
<file path=[Content_Types].xml><?xml version="1.0" encoding="utf-8"?>
<Types xmlns="http://schemas.openxmlformats.org/package/2006/content-type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persons/person.xml" ContentType="application/vnd.ms-excel.person+xml"/>
  <Override PartName="/xl/threadedComments/threadedComment1.xml" ContentType="application/vnd.ms-excel.threadedcomments+xml"/>
  <Override PartName="/xl/threadedComments/threadedComment2.xml" ContentType="application/vnd.ms-excel.threadedcomment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28"/>
  <workbookPr/>
  <mc:AlternateContent xmlns:mc="http://schemas.openxmlformats.org/markup-compatibility/2006">
    <mc:Choice Requires="x15">
      <x15ac:absPath xmlns:x15ac="http://schemas.microsoft.com/office/spreadsheetml/2010/11/ac" url="/Users/valade/Documents/GitHub/Wood-Carbon/rawData/"/>
    </mc:Choice>
  </mc:AlternateContent>
  <xr:revisionPtr revIDLastSave="0" documentId="13_ncr:1_{A29B72BC-3F92-4544-B47F-BFA8C9E63BB3}" xr6:coauthVersionLast="47" xr6:coauthVersionMax="47" xr10:uidLastSave="{00000000-0000-0000-0000-000000000000}"/>
  <bookViews>
    <workbookView xWindow="-35120" yWindow="-3100" windowWidth="35120" windowHeight="20940" xr2:uid="{00000000-000D-0000-FFFF-FFFF00000000}"/>
  </bookViews>
  <sheets>
    <sheet name="Sheet1" sheetId="1" r:id="rId1"/>
    <sheet name="Sheet2" sheetId="2" r:id="rId2"/>
    <sheet name="Conversions" sheetId="3" r:id="rId3"/>
    <sheet name="Palette_in_use" sheetId="4" r:id="rId4"/>
    <sheet name="SL_Extractions_v5" sheetId="5" r:id="rId5"/>
    <sheet name="VB_Extractions_v5" sheetId="6" r:id="rId6"/>
    <sheet name="QC_Aude" sheetId="7" r:id="rId7"/>
    <sheet name="QC_indicators" sheetId="8" r:id="rId8"/>
    <sheet name="TO DO" sheetId="9" r:id="rId9"/>
  </sheets>
  <externalReferences>
    <externalReference r:id="rId10"/>
    <externalReference r:id="rId11"/>
    <externalReference r:id="rId12"/>
    <externalReference r:id="rId13"/>
  </externalReferences>
  <definedNames>
    <definedName name="_xlnm._FilterDatabase" localSheetId="0" hidden="1">Sheet1!$A$7:$HT$1732</definedName>
    <definedName name="C_to_CO2">Conversions!$B$5</definedName>
    <definedName name="kg_to_m3">Conversions!$B$3</definedName>
    <definedName name="t_to_m3">Conversions!$B$2</definedName>
    <definedName name="tC_to_m3">Conversions!$B$4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calcChain.xml><?xml version="1.0" encoding="utf-8"?>
<calcChain xmlns="http://schemas.openxmlformats.org/spreadsheetml/2006/main">
  <c r="BF200" i="1" l="1" a="1"/>
  <c r="BF200" i="1" s="1"/>
  <c r="BF201" i="1" a="1"/>
  <c r="BF201" i="1" s="1"/>
  <c r="BF202" i="1" a="1"/>
  <c r="BF202" i="1" s="1"/>
  <c r="BF203" i="1" a="1"/>
  <c r="BF203" i="1" s="1"/>
  <c r="BF204" i="1" a="1"/>
  <c r="BF204" i="1" s="1"/>
  <c r="BF205" i="1" a="1"/>
  <c r="BF205" i="1" s="1"/>
  <c r="BF206" i="1" a="1"/>
  <c r="BF206" i="1" s="1"/>
  <c r="BF207" i="1" a="1"/>
  <c r="BF207" i="1" s="1"/>
  <c r="BF208" i="1" a="1"/>
  <c r="BF208" i="1" s="1"/>
  <c r="BF209" i="1" a="1"/>
  <c r="BF209" i="1" s="1"/>
  <c r="BF210" i="1" a="1"/>
  <c r="BF210" i="1" s="1"/>
  <c r="BF211" i="1" a="1"/>
  <c r="BF211" i="1" s="1"/>
  <c r="BF212" i="1" a="1"/>
  <c r="BF212" i="1" s="1"/>
  <c r="BF213" i="1" a="1"/>
  <c r="BF213" i="1" s="1"/>
  <c r="BF214" i="1" a="1"/>
  <c r="BF214" i="1" s="1"/>
  <c r="BF215" i="1" a="1"/>
  <c r="BF215" i="1" s="1"/>
  <c r="BF216" i="1" a="1"/>
  <c r="BF216" i="1" s="1"/>
  <c r="BF217" i="1" a="1"/>
  <c r="BF217" i="1" s="1"/>
  <c r="BF218" i="1" a="1"/>
  <c r="BF218" i="1" s="1"/>
  <c r="BF219" i="1" a="1"/>
  <c r="BF219" i="1" s="1"/>
  <c r="BF220" i="1" a="1"/>
  <c r="BF220" i="1" s="1"/>
  <c r="BF221" i="1" a="1"/>
  <c r="BF221" i="1" s="1"/>
  <c r="BF222" i="1" a="1"/>
  <c r="BF222" i="1" s="1"/>
  <c r="BF223" i="1" a="1"/>
  <c r="BF223" i="1" s="1"/>
  <c r="BF224" i="1" a="1"/>
  <c r="BF224" i="1" s="1"/>
  <c r="BF225" i="1" a="1"/>
  <c r="BF225" i="1" s="1"/>
  <c r="BF226" i="1" a="1"/>
  <c r="BF226" i="1" s="1"/>
  <c r="BF227" i="1" a="1"/>
  <c r="BF227" i="1"/>
  <c r="BF228" i="1" a="1"/>
  <c r="BF228" i="1" s="1"/>
  <c r="BF229" i="1" a="1"/>
  <c r="BF229" i="1" s="1"/>
  <c r="BF230" i="1" a="1"/>
  <c r="BF230" i="1" s="1"/>
  <c r="BF231" i="1" a="1"/>
  <c r="BF231" i="1" s="1"/>
  <c r="BF232" i="1" a="1"/>
  <c r="BF232" i="1" s="1"/>
  <c r="BF233" i="1" a="1"/>
  <c r="BF233" i="1" s="1"/>
  <c r="BF234" i="1" a="1"/>
  <c r="BF234" i="1" s="1"/>
  <c r="BF235" i="1" a="1"/>
  <c r="BF235" i="1" s="1"/>
  <c r="BF236" i="1" a="1"/>
  <c r="BF236" i="1" s="1"/>
  <c r="BF237" i="1" a="1"/>
  <c r="BF237" i="1" s="1"/>
  <c r="BF238" i="1" a="1"/>
  <c r="BF238" i="1" s="1"/>
  <c r="BF239" i="1" a="1"/>
  <c r="BF239" i="1" s="1"/>
  <c r="BF240" i="1" a="1"/>
  <c r="BF240" i="1" s="1"/>
  <c r="BF241" i="1" a="1"/>
  <c r="BF241" i="1" s="1"/>
  <c r="BF242" i="1" a="1"/>
  <c r="BF242" i="1" s="1"/>
  <c r="BF243" i="1" a="1"/>
  <c r="BF243" i="1" s="1"/>
  <c r="BF244" i="1" a="1"/>
  <c r="BF244" i="1" s="1"/>
  <c r="BF245" i="1" a="1"/>
  <c r="BF245" i="1" s="1"/>
  <c r="BF246" i="1" a="1"/>
  <c r="BF246" i="1" s="1"/>
  <c r="BF247" i="1" a="1"/>
  <c r="BF247" i="1" s="1"/>
  <c r="BF248" i="1" a="1"/>
  <c r="BF248" i="1" s="1"/>
  <c r="BF249" i="1" a="1"/>
  <c r="BF249" i="1" s="1"/>
  <c r="BF250" i="1" a="1"/>
  <c r="BF250" i="1" s="1"/>
  <c r="BF251" i="1" a="1"/>
  <c r="BF251" i="1" s="1"/>
  <c r="BF252" i="1" a="1"/>
  <c r="BF252" i="1" s="1"/>
  <c r="BF253" i="1" a="1"/>
  <c r="BF253" i="1" s="1"/>
  <c r="BF254" i="1" a="1"/>
  <c r="BF254" i="1" s="1"/>
  <c r="BF255" i="1" a="1"/>
  <c r="BF255" i="1" s="1"/>
  <c r="BF256" i="1" a="1"/>
  <c r="BF256" i="1" s="1"/>
  <c r="BF257" i="1" a="1"/>
  <c r="BF257" i="1" s="1"/>
  <c r="BF258" i="1" a="1"/>
  <c r="BF258" i="1" s="1"/>
  <c r="BF259" i="1" a="1"/>
  <c r="BF259" i="1" s="1"/>
  <c r="BF260" i="1" a="1"/>
  <c r="BF260" i="1" s="1"/>
  <c r="BF261" i="1" a="1"/>
  <c r="BF261" i="1" s="1"/>
  <c r="BF262" i="1" a="1"/>
  <c r="BF262" i="1" s="1"/>
  <c r="BF263" i="1" a="1"/>
  <c r="BF263" i="1"/>
  <c r="BF264" i="1" a="1"/>
  <c r="BF264" i="1" s="1"/>
  <c r="BF265" i="1" a="1"/>
  <c r="BF265" i="1" s="1"/>
  <c r="BF266" i="1" a="1"/>
  <c r="BF266" i="1" s="1"/>
  <c r="BF267" i="1" a="1"/>
  <c r="BF267" i="1" s="1"/>
  <c r="BF268" i="1" a="1"/>
  <c r="BF268" i="1" s="1"/>
  <c r="BF269" i="1" a="1"/>
  <c r="BF269" i="1" s="1"/>
  <c r="BF270" i="1" a="1"/>
  <c r="BF270" i="1" s="1"/>
  <c r="BF271" i="1" a="1"/>
  <c r="BF271" i="1" s="1"/>
  <c r="BF272" i="1" a="1"/>
  <c r="BF272" i="1" s="1"/>
  <c r="BF273" i="1" a="1"/>
  <c r="BF273" i="1" s="1"/>
  <c r="BF274" i="1" a="1"/>
  <c r="BF274" i="1" s="1"/>
  <c r="BF275" i="1" a="1"/>
  <c r="BF275" i="1" s="1"/>
  <c r="BF276" i="1" a="1"/>
  <c r="BF276" i="1" s="1"/>
  <c r="BF277" i="1" a="1"/>
  <c r="BF277" i="1" s="1"/>
  <c r="BF278" i="1" a="1"/>
  <c r="BF278" i="1" s="1"/>
  <c r="BF279" i="1" a="1"/>
  <c r="BF279" i="1" s="1"/>
  <c r="BF280" i="1" a="1"/>
  <c r="BF280" i="1" s="1"/>
  <c r="BF281" i="1" a="1"/>
  <c r="BF281" i="1" s="1"/>
  <c r="EK437" i="1"/>
  <c r="EL437" i="1"/>
  <c r="EK438" i="1"/>
  <c r="EL438" i="1"/>
  <c r="EK439" i="1"/>
  <c r="EL439" i="1"/>
  <c r="EK440" i="1"/>
  <c r="EL440" i="1"/>
  <c r="EK441" i="1"/>
  <c r="EL441" i="1"/>
  <c r="EK442" i="1"/>
  <c r="EL442" i="1"/>
  <c r="EK443" i="1"/>
  <c r="EL443" i="1"/>
  <c r="EK444" i="1"/>
  <c r="EL444" i="1"/>
  <c r="EK52" i="1"/>
  <c r="EL52" i="1"/>
  <c r="EK53" i="1"/>
  <c r="EL53" i="1"/>
  <c r="EK54" i="1"/>
  <c r="EL54" i="1"/>
  <c r="EK590" i="1"/>
  <c r="EL590" i="1"/>
  <c r="EK593" i="1"/>
  <c r="EL593" i="1"/>
  <c r="EK594" i="1"/>
  <c r="EL594" i="1"/>
  <c r="EK445" i="1"/>
  <c r="EL445" i="1"/>
  <c r="EK446" i="1"/>
  <c r="EL446" i="1"/>
  <c r="EK447" i="1"/>
  <c r="EL447" i="1"/>
  <c r="EK448" i="1"/>
  <c r="EL448" i="1"/>
  <c r="EK607" i="1"/>
  <c r="EL607" i="1"/>
  <c r="EK608" i="1"/>
  <c r="EL608" i="1"/>
  <c r="EK528" i="1"/>
  <c r="EL528" i="1"/>
  <c r="EK59" i="1"/>
  <c r="EL59" i="1"/>
  <c r="EK530" i="1"/>
  <c r="EL530" i="1"/>
  <c r="EK61" i="1"/>
  <c r="EL61" i="1"/>
  <c r="EK62" i="1"/>
  <c r="EL62" i="1"/>
  <c r="EK63" i="1"/>
  <c r="EL63" i="1"/>
  <c r="EK531" i="1"/>
  <c r="EL531" i="1"/>
  <c r="EK65" i="1"/>
  <c r="EL65" i="1"/>
  <c r="EK532" i="1"/>
  <c r="EL532" i="1"/>
  <c r="EK67" i="1"/>
  <c r="EL67" i="1"/>
  <c r="EK68" i="1"/>
  <c r="EL68" i="1"/>
  <c r="EK69" i="1"/>
  <c r="EL69" i="1"/>
  <c r="EK611" i="1"/>
  <c r="EL611" i="1"/>
  <c r="EK452" i="1"/>
  <c r="EL452" i="1"/>
  <c r="EK613" i="1"/>
  <c r="EL613" i="1"/>
  <c r="EK70" i="1"/>
  <c r="EL70" i="1"/>
  <c r="EK71" i="1"/>
  <c r="EL71" i="1"/>
  <c r="EK72" i="1"/>
  <c r="EL72" i="1"/>
  <c r="EK73" i="1"/>
  <c r="EL73" i="1"/>
  <c r="EK74" i="1"/>
  <c r="EL74" i="1"/>
  <c r="EK75" i="1"/>
  <c r="EL75" i="1"/>
  <c r="EK76" i="1"/>
  <c r="EL76" i="1"/>
  <c r="EK77" i="1"/>
  <c r="EL77" i="1"/>
  <c r="EK78" i="1"/>
  <c r="EL78" i="1"/>
  <c r="EK79" i="1"/>
  <c r="EL79" i="1"/>
  <c r="EK80" i="1"/>
  <c r="EL80" i="1"/>
  <c r="EK81" i="1"/>
  <c r="EL81" i="1"/>
  <c r="EK82" i="1"/>
  <c r="EL82" i="1"/>
  <c r="EK386" i="1"/>
  <c r="EL386" i="1"/>
  <c r="EK387" i="1"/>
  <c r="EL387" i="1"/>
  <c r="EK388" i="1"/>
  <c r="EL388" i="1"/>
  <c r="EK389" i="1"/>
  <c r="EL389" i="1"/>
  <c r="EK390" i="1"/>
  <c r="EL390" i="1"/>
  <c r="EK200" i="1"/>
  <c r="EL200" i="1"/>
  <c r="EK201" i="1"/>
  <c r="EL201" i="1"/>
  <c r="EK202" i="1"/>
  <c r="EL202" i="1"/>
  <c r="EK203" i="1"/>
  <c r="EL203" i="1"/>
  <c r="EK204" i="1"/>
  <c r="EL204" i="1"/>
  <c r="EK205" i="1"/>
  <c r="EL205" i="1"/>
  <c r="EK206" i="1"/>
  <c r="EL206" i="1"/>
  <c r="EK207" i="1"/>
  <c r="EL207" i="1"/>
  <c r="EK208" i="1"/>
  <c r="EL208" i="1"/>
  <c r="EK209" i="1"/>
  <c r="EL209" i="1"/>
  <c r="EK391" i="1"/>
  <c r="EL391" i="1"/>
  <c r="EK605" i="1"/>
  <c r="EL605" i="1"/>
  <c r="EK606" i="1"/>
  <c r="EL606" i="1"/>
  <c r="EK394" i="1"/>
  <c r="EL394" i="1"/>
  <c r="EK395" i="1"/>
  <c r="EL395" i="1"/>
  <c r="EK396" i="1"/>
  <c r="EL396" i="1"/>
  <c r="EK397" i="1"/>
  <c r="EL397" i="1"/>
  <c r="EK398" i="1"/>
  <c r="EL398" i="1"/>
  <c r="EK399" i="1"/>
  <c r="EL399" i="1"/>
  <c r="EK400" i="1"/>
  <c r="EL400" i="1"/>
  <c r="EK401" i="1"/>
  <c r="EL401" i="1"/>
  <c r="EK402" i="1"/>
  <c r="EL402" i="1"/>
  <c r="EK403" i="1"/>
  <c r="EL403" i="1"/>
  <c r="EK404" i="1"/>
  <c r="EL404" i="1"/>
  <c r="EK405" i="1"/>
  <c r="EL405" i="1"/>
  <c r="EK83" i="1"/>
  <c r="EL83" i="1"/>
  <c r="EK84" i="1"/>
  <c r="EL84" i="1"/>
  <c r="EK767" i="1"/>
  <c r="EL767" i="1"/>
  <c r="EK769" i="1"/>
  <c r="EL769" i="1"/>
  <c r="EK636" i="1"/>
  <c r="EL636" i="1"/>
  <c r="EK637" i="1"/>
  <c r="EL637" i="1"/>
  <c r="EK638" i="1"/>
  <c r="EL638" i="1"/>
  <c r="EK639" i="1"/>
  <c r="EL639" i="1"/>
  <c r="EK640" i="1"/>
  <c r="EL640" i="1"/>
  <c r="EK641" i="1"/>
  <c r="EL641" i="1"/>
  <c r="EK642" i="1"/>
  <c r="EL642" i="1"/>
  <c r="EK643" i="1"/>
  <c r="EL643" i="1"/>
  <c r="EK644" i="1"/>
  <c r="EL644" i="1"/>
  <c r="EK645" i="1"/>
  <c r="EL645" i="1"/>
  <c r="EK646" i="1"/>
  <c r="EL646" i="1"/>
  <c r="EK647" i="1"/>
  <c r="EL647" i="1"/>
  <c r="EK648" i="1"/>
  <c r="EL648" i="1"/>
  <c r="EK649" i="1"/>
  <c r="EL649" i="1"/>
  <c r="EK650" i="1"/>
  <c r="EL650" i="1"/>
  <c r="EK651" i="1"/>
  <c r="EL651" i="1"/>
  <c r="EK652" i="1"/>
  <c r="EL652" i="1"/>
  <c r="EK653" i="1"/>
  <c r="EL653" i="1"/>
  <c r="EK654" i="1"/>
  <c r="EL654" i="1"/>
  <c r="EK655" i="1"/>
  <c r="EL655" i="1"/>
  <c r="EK656" i="1"/>
  <c r="EL656" i="1"/>
  <c r="EK657" i="1"/>
  <c r="EL657" i="1"/>
  <c r="EK658" i="1"/>
  <c r="EL658" i="1"/>
  <c r="EK659" i="1"/>
  <c r="EL659" i="1"/>
  <c r="EK660" i="1"/>
  <c r="EL660" i="1"/>
  <c r="EK661" i="1"/>
  <c r="EL661" i="1"/>
  <c r="EK662" i="1"/>
  <c r="EL662" i="1"/>
  <c r="EK663" i="1"/>
  <c r="EL663" i="1"/>
  <c r="EK664" i="1"/>
  <c r="EL664" i="1"/>
  <c r="EK665" i="1"/>
  <c r="EL665" i="1"/>
  <c r="EK406" i="1"/>
  <c r="EL406" i="1"/>
  <c r="EK407" i="1"/>
  <c r="EL407" i="1"/>
  <c r="EK408" i="1"/>
  <c r="EL408" i="1"/>
  <c r="EK409" i="1"/>
  <c r="EL409" i="1"/>
  <c r="EK666" i="1"/>
  <c r="EL666" i="1"/>
  <c r="EK667" i="1"/>
  <c r="EL667" i="1"/>
  <c r="EK668" i="1"/>
  <c r="EL668" i="1"/>
  <c r="EK669" i="1"/>
  <c r="EL669" i="1"/>
  <c r="EK843" i="1"/>
  <c r="EL843" i="1"/>
  <c r="EK844" i="1"/>
  <c r="EL844" i="1"/>
  <c r="EK845" i="1"/>
  <c r="EL845" i="1"/>
  <c r="EK846" i="1"/>
  <c r="EL846" i="1"/>
  <c r="EK670" i="1"/>
  <c r="EL670" i="1"/>
  <c r="EK671" i="1"/>
  <c r="EL671" i="1"/>
  <c r="EK672" i="1"/>
  <c r="EL672" i="1"/>
  <c r="EK673" i="1"/>
  <c r="EL673" i="1"/>
  <c r="EK674" i="1"/>
  <c r="EL674" i="1"/>
  <c r="EK87" i="1"/>
  <c r="EL87" i="1"/>
  <c r="EK88" i="1"/>
  <c r="EL88" i="1"/>
  <c r="EK847" i="1"/>
  <c r="EL847" i="1"/>
  <c r="EK848" i="1"/>
  <c r="EL848" i="1"/>
  <c r="EK849" i="1"/>
  <c r="EL849" i="1"/>
  <c r="EK850" i="1"/>
  <c r="EL850" i="1"/>
  <c r="EK851" i="1"/>
  <c r="EL851" i="1"/>
  <c r="EK852" i="1"/>
  <c r="EL852" i="1"/>
  <c r="EK853" i="1"/>
  <c r="EL853" i="1"/>
  <c r="EK854" i="1"/>
  <c r="EL854" i="1"/>
  <c r="EK855" i="1"/>
  <c r="EL855" i="1"/>
  <c r="EK856" i="1"/>
  <c r="EL856" i="1"/>
  <c r="EK857" i="1"/>
  <c r="EL857" i="1"/>
  <c r="EK858" i="1"/>
  <c r="EL858" i="1"/>
  <c r="EK675" i="1"/>
  <c r="EL675" i="1"/>
  <c r="EK676" i="1"/>
  <c r="EL676" i="1"/>
  <c r="EK677" i="1"/>
  <c r="EL677" i="1"/>
  <c r="EK678" i="1"/>
  <c r="EL678" i="1"/>
  <c r="EK679" i="1"/>
  <c r="EL679" i="1"/>
  <c r="EK680" i="1"/>
  <c r="EL680" i="1"/>
  <c r="EK859" i="1"/>
  <c r="EL859" i="1"/>
  <c r="EK860" i="1"/>
  <c r="EL860" i="1"/>
  <c r="EK681" i="1"/>
  <c r="EL681" i="1"/>
  <c r="EK682" i="1"/>
  <c r="EL682" i="1"/>
  <c r="EK861" i="1"/>
  <c r="EL861" i="1"/>
  <c r="EK862" i="1"/>
  <c r="EL862" i="1"/>
  <c r="EK863" i="1"/>
  <c r="EL863" i="1"/>
  <c r="EK864" i="1"/>
  <c r="EL864" i="1"/>
  <c r="EK683" i="1"/>
  <c r="EL683" i="1"/>
  <c r="EK684" i="1"/>
  <c r="EL684" i="1"/>
  <c r="EK685" i="1"/>
  <c r="EL685" i="1"/>
  <c r="EK686" i="1"/>
  <c r="EL686" i="1"/>
  <c r="EK454" i="1"/>
  <c r="EL454" i="1"/>
  <c r="EK20" i="1"/>
  <c r="EL20" i="1"/>
  <c r="EK21" i="1"/>
  <c r="EL21" i="1"/>
  <c r="EK455" i="1"/>
  <c r="EL455" i="1"/>
  <c r="EK456" i="1"/>
  <c r="EL456" i="1"/>
  <c r="EK457" i="1"/>
  <c r="EL457" i="1"/>
  <c r="EK458" i="1"/>
  <c r="EL458" i="1"/>
  <c r="EK865" i="1"/>
  <c r="EL865" i="1"/>
  <c r="EK866" i="1"/>
  <c r="EL866" i="1"/>
  <c r="EK867" i="1"/>
  <c r="EL867" i="1"/>
  <c r="EK868" i="1"/>
  <c r="EL868" i="1"/>
  <c r="EK869" i="1"/>
  <c r="EL869" i="1"/>
  <c r="EK870" i="1"/>
  <c r="EL870" i="1"/>
  <c r="EK871" i="1"/>
  <c r="EL871" i="1"/>
  <c r="EK872" i="1"/>
  <c r="EL872" i="1"/>
  <c r="EK873" i="1"/>
  <c r="EL873" i="1"/>
  <c r="EK874" i="1"/>
  <c r="EL874" i="1"/>
  <c r="EK875" i="1"/>
  <c r="EL875" i="1"/>
  <c r="EK876" i="1"/>
  <c r="EL876" i="1"/>
  <c r="EK877" i="1"/>
  <c r="EL877" i="1"/>
  <c r="EK878" i="1"/>
  <c r="EL878" i="1"/>
  <c r="EK879" i="1"/>
  <c r="EL879" i="1"/>
  <c r="EK880" i="1"/>
  <c r="EL880" i="1"/>
  <c r="EK881" i="1"/>
  <c r="EL881" i="1"/>
  <c r="EK882" i="1"/>
  <c r="EL882" i="1"/>
  <c r="EK883" i="1"/>
  <c r="EL883" i="1"/>
  <c r="EK459" i="1"/>
  <c r="EL459" i="1"/>
  <c r="EK460" i="1"/>
  <c r="EL460" i="1"/>
  <c r="EK461" i="1"/>
  <c r="EL461" i="1"/>
  <c r="EK462" i="1"/>
  <c r="EL462" i="1"/>
  <c r="EK463" i="1"/>
  <c r="EL463" i="1"/>
  <c r="EK464" i="1"/>
  <c r="EL464" i="1"/>
  <c r="EK465" i="1"/>
  <c r="EL465" i="1"/>
  <c r="EK466" i="1"/>
  <c r="EL466" i="1"/>
  <c r="EK467" i="1"/>
  <c r="EL467" i="1"/>
  <c r="EK468" i="1"/>
  <c r="EL468" i="1"/>
  <c r="EK469" i="1"/>
  <c r="EL469" i="1"/>
  <c r="EK470" i="1"/>
  <c r="EL470" i="1"/>
  <c r="EK471" i="1"/>
  <c r="EL471" i="1"/>
  <c r="EK472" i="1"/>
  <c r="EL472" i="1"/>
  <c r="EK473" i="1"/>
  <c r="EL473" i="1"/>
  <c r="EK474" i="1"/>
  <c r="EL474" i="1"/>
  <c r="EK475" i="1"/>
  <c r="EL475" i="1"/>
  <c r="EK476" i="1"/>
  <c r="EL476" i="1"/>
  <c r="EK410" i="1"/>
  <c r="EL410" i="1"/>
  <c r="EK411" i="1"/>
  <c r="EL411" i="1"/>
  <c r="EK22" i="1"/>
  <c r="EL22" i="1"/>
  <c r="EK412" i="1"/>
  <c r="EL412" i="1"/>
  <c r="EK413" i="1"/>
  <c r="EL413" i="1"/>
  <c r="EK23" i="1"/>
  <c r="EL23" i="1"/>
  <c r="EK687" i="1"/>
  <c r="EL687" i="1"/>
  <c r="EK688" i="1"/>
  <c r="EL688" i="1"/>
  <c r="EK477" i="1"/>
  <c r="EL477" i="1"/>
  <c r="EK478" i="1"/>
  <c r="EL478" i="1"/>
  <c r="EK479" i="1"/>
  <c r="EL479" i="1"/>
  <c r="EK480" i="1"/>
  <c r="EL480" i="1"/>
  <c r="EK481" i="1"/>
  <c r="EL481" i="1"/>
  <c r="EK482" i="1"/>
  <c r="EL482" i="1"/>
  <c r="EK44" i="1"/>
  <c r="EL44" i="1"/>
  <c r="EK45" i="1"/>
  <c r="EL45" i="1"/>
  <c r="EK46" i="1"/>
  <c r="EL46" i="1"/>
  <c r="EK47" i="1"/>
  <c r="EL47" i="1"/>
  <c r="EK50" i="1"/>
  <c r="EL50" i="1"/>
  <c r="EK51" i="1"/>
  <c r="EL51" i="1"/>
  <c r="EK55" i="1"/>
  <c r="EL55" i="1"/>
  <c r="EK884" i="1"/>
  <c r="EL884" i="1"/>
  <c r="EK885" i="1"/>
  <c r="EL885" i="1"/>
  <c r="EK886" i="1"/>
  <c r="EL886" i="1"/>
  <c r="EK887" i="1"/>
  <c r="EL887" i="1"/>
  <c r="EK888" i="1"/>
  <c r="EL888" i="1"/>
  <c r="EK889" i="1"/>
  <c r="EL889" i="1"/>
  <c r="EK890" i="1"/>
  <c r="EL890" i="1"/>
  <c r="EK891" i="1"/>
  <c r="EL891" i="1"/>
  <c r="EK892" i="1"/>
  <c r="EL892" i="1"/>
  <c r="EK689" i="1"/>
  <c r="EL689" i="1"/>
  <c r="EK690" i="1"/>
  <c r="EL690" i="1"/>
  <c r="EK691" i="1"/>
  <c r="EL691" i="1"/>
  <c r="EK692" i="1"/>
  <c r="EL692" i="1"/>
  <c r="EK693" i="1"/>
  <c r="EL693" i="1"/>
  <c r="EK89" i="1"/>
  <c r="EL89" i="1"/>
  <c r="EK90" i="1"/>
  <c r="EL90" i="1"/>
  <c r="EK490" i="1"/>
  <c r="EL490" i="1"/>
  <c r="EK893" i="1"/>
  <c r="EL893" i="1"/>
  <c r="EK894" i="1"/>
  <c r="EL894" i="1"/>
  <c r="EK895" i="1"/>
  <c r="EL895" i="1"/>
  <c r="EK896" i="1"/>
  <c r="EL896" i="1"/>
  <c r="EK897" i="1"/>
  <c r="EL897" i="1"/>
  <c r="EK898" i="1"/>
  <c r="EL898" i="1"/>
  <c r="EK899" i="1"/>
  <c r="EL899" i="1"/>
  <c r="EK900" i="1"/>
  <c r="EL900" i="1"/>
  <c r="EK901" i="1"/>
  <c r="EL901" i="1"/>
  <c r="EK902" i="1"/>
  <c r="EL902" i="1"/>
  <c r="EK903" i="1"/>
  <c r="EL903" i="1"/>
  <c r="EK694" i="1"/>
  <c r="EL694" i="1"/>
  <c r="EK904" i="1"/>
  <c r="EL904" i="1"/>
  <c r="EK414" i="1"/>
  <c r="EL414" i="1"/>
  <c r="EK415" i="1"/>
  <c r="EL415" i="1"/>
  <c r="EK695" i="1"/>
  <c r="EL695" i="1"/>
  <c r="EK696" i="1"/>
  <c r="EL696" i="1"/>
  <c r="EK91" i="1"/>
  <c r="EL91" i="1"/>
  <c r="EK491" i="1"/>
  <c r="EL491" i="1"/>
  <c r="EK492" i="1"/>
  <c r="EL492" i="1"/>
  <c r="EK493" i="1"/>
  <c r="EL493" i="1"/>
  <c r="EK494" i="1"/>
  <c r="EL494" i="1"/>
  <c r="EK331" i="1"/>
  <c r="EL331" i="1"/>
  <c r="EK333" i="1"/>
  <c r="EL333" i="1"/>
  <c r="EK338" i="1"/>
  <c r="EL338" i="1"/>
  <c r="EK339" i="1"/>
  <c r="EL339" i="1"/>
  <c r="EK340" i="1"/>
  <c r="EL340" i="1"/>
  <c r="EK499" i="1"/>
  <c r="EL499" i="1"/>
  <c r="EK500" i="1"/>
  <c r="EL500" i="1"/>
  <c r="EK501" i="1"/>
  <c r="EL501" i="1"/>
  <c r="EK502" i="1"/>
  <c r="EL502" i="1"/>
  <c r="EK905" i="1"/>
  <c r="EL905" i="1"/>
  <c r="EK906" i="1"/>
  <c r="EL906" i="1"/>
  <c r="EK907" i="1"/>
  <c r="EL907" i="1"/>
  <c r="EK908" i="1"/>
  <c r="EL908" i="1"/>
  <c r="EK909" i="1"/>
  <c r="EL909" i="1"/>
  <c r="EK910" i="1"/>
  <c r="EL910" i="1"/>
  <c r="EK911" i="1"/>
  <c r="EL911" i="1"/>
  <c r="EK912" i="1"/>
  <c r="EL912" i="1"/>
  <c r="EK913" i="1"/>
  <c r="EL913" i="1"/>
  <c r="EK914" i="1"/>
  <c r="EL914" i="1"/>
  <c r="EK915" i="1"/>
  <c r="EL915" i="1"/>
  <c r="EK916" i="1"/>
  <c r="EL916" i="1"/>
  <c r="EK917" i="1"/>
  <c r="EL917" i="1"/>
  <c r="EK918" i="1"/>
  <c r="EL918" i="1"/>
  <c r="EK93" i="1"/>
  <c r="EL93" i="1"/>
  <c r="EK94" i="1"/>
  <c r="EL94" i="1"/>
  <c r="EK95" i="1"/>
  <c r="EL95" i="1"/>
  <c r="EK96" i="1"/>
  <c r="EL96" i="1"/>
  <c r="EK97" i="1"/>
  <c r="EL97" i="1"/>
  <c r="EK697" i="1"/>
  <c r="EL697" i="1"/>
  <c r="EK698" i="1"/>
  <c r="EL698" i="1"/>
  <c r="EK503" i="1"/>
  <c r="EL503" i="1"/>
  <c r="EK504" i="1"/>
  <c r="EL504" i="1"/>
  <c r="EK505" i="1"/>
  <c r="EL505" i="1"/>
  <c r="EK506" i="1"/>
  <c r="EL506" i="1"/>
  <c r="EK489" i="1"/>
  <c r="EL489" i="1"/>
  <c r="EK495" i="1"/>
  <c r="EL495" i="1"/>
  <c r="EK98" i="1"/>
  <c r="EL98" i="1"/>
  <c r="EK496" i="1"/>
  <c r="EL496" i="1"/>
  <c r="EK509" i="1"/>
  <c r="EL509" i="1"/>
  <c r="EK99" i="1"/>
  <c r="EL99" i="1"/>
  <c r="EK100" i="1"/>
  <c r="EL100" i="1"/>
  <c r="EK101" i="1"/>
  <c r="EL101" i="1"/>
  <c r="EK102" i="1"/>
  <c r="EL102" i="1"/>
  <c r="EK103" i="1"/>
  <c r="EL103" i="1"/>
  <c r="EK700" i="1"/>
  <c r="EL700" i="1"/>
  <c r="EK701" i="1"/>
  <c r="EL701" i="1"/>
  <c r="EK104" i="1"/>
  <c r="EL104" i="1"/>
  <c r="EK378" i="1"/>
  <c r="EL378" i="1"/>
  <c r="EK392" i="1"/>
  <c r="EL392" i="1"/>
  <c r="EK393" i="1"/>
  <c r="EL393" i="1"/>
  <c r="EK449" i="1"/>
  <c r="EL449" i="1"/>
  <c r="EK450" i="1"/>
  <c r="EL450" i="1"/>
  <c r="EK510" i="1"/>
  <c r="EL510" i="1"/>
  <c r="EK332" i="1"/>
  <c r="EL332" i="1"/>
  <c r="EK343" i="1"/>
  <c r="EL343" i="1"/>
  <c r="EK344" i="1"/>
  <c r="EL344" i="1"/>
  <c r="EK347" i="1"/>
  <c r="EL347" i="1"/>
  <c r="EK348" i="1"/>
  <c r="EL348" i="1"/>
  <c r="EK56" i="1"/>
  <c r="EL56" i="1"/>
  <c r="EK57" i="1"/>
  <c r="EL57" i="1"/>
  <c r="EK58" i="1"/>
  <c r="EL58" i="1"/>
  <c r="EK60" i="1"/>
  <c r="EL60" i="1"/>
  <c r="EK64" i="1"/>
  <c r="EL64" i="1"/>
  <c r="EK66" i="1"/>
  <c r="EL66" i="1"/>
  <c r="EK85" i="1"/>
  <c r="EL85" i="1"/>
  <c r="EK521" i="1"/>
  <c r="EL521" i="1"/>
  <c r="EK522" i="1"/>
  <c r="EL522" i="1"/>
  <c r="EK497" i="1"/>
  <c r="EL497" i="1"/>
  <c r="EK524" i="1"/>
  <c r="EL524" i="1"/>
  <c r="EK525" i="1"/>
  <c r="EL525" i="1"/>
  <c r="EK498" i="1"/>
  <c r="EL498" i="1"/>
  <c r="EK111" i="1"/>
  <c r="EL111" i="1"/>
  <c r="EK112" i="1"/>
  <c r="EL112" i="1"/>
  <c r="EK113" i="1"/>
  <c r="EL113" i="1"/>
  <c r="EK114" i="1"/>
  <c r="EL114" i="1"/>
  <c r="EK703" i="1"/>
  <c r="EL703" i="1"/>
  <c r="EK704" i="1"/>
  <c r="EL704" i="1"/>
  <c r="EK115" i="1"/>
  <c r="EL115" i="1"/>
  <c r="EK116" i="1"/>
  <c r="EL116" i="1"/>
  <c r="EK117" i="1"/>
  <c r="EL117" i="1"/>
  <c r="EK118" i="1"/>
  <c r="EL118" i="1"/>
  <c r="EK119" i="1"/>
  <c r="EL119" i="1"/>
  <c r="EK120" i="1"/>
  <c r="EL120" i="1"/>
  <c r="EK705" i="1"/>
  <c r="EL705" i="1"/>
  <c r="EK706" i="1"/>
  <c r="EL706" i="1"/>
  <c r="EK121" i="1"/>
  <c r="EL121" i="1"/>
  <c r="EK122" i="1"/>
  <c r="EL122" i="1"/>
  <c r="EK451" i="1"/>
  <c r="EL451" i="1"/>
  <c r="EK453" i="1"/>
  <c r="EL453" i="1"/>
  <c r="EK511" i="1"/>
  <c r="EL511" i="1"/>
  <c r="EK483" i="1"/>
  <c r="EL483" i="1"/>
  <c r="EK484" i="1"/>
  <c r="EL484" i="1"/>
  <c r="EK485" i="1"/>
  <c r="EL485" i="1"/>
  <c r="EK512" i="1"/>
  <c r="EL512" i="1"/>
  <c r="EK486" i="1"/>
  <c r="EL486" i="1"/>
  <c r="EK527" i="1"/>
  <c r="EL527" i="1"/>
  <c r="EK365" i="1"/>
  <c r="EL365" i="1"/>
  <c r="EK709" i="1"/>
  <c r="EL709" i="1"/>
  <c r="EK369" i="1"/>
  <c r="EL369" i="1"/>
  <c r="EK529" i="1"/>
  <c r="EL529" i="1"/>
  <c r="EK366" i="1"/>
  <c r="EL366" i="1"/>
  <c r="EK711" i="1"/>
  <c r="EL711" i="1"/>
  <c r="EK370" i="1"/>
  <c r="EL370" i="1"/>
  <c r="EK86" i="1"/>
  <c r="EL86" i="1"/>
  <c r="EK92" i="1"/>
  <c r="EL92" i="1"/>
  <c r="EK105" i="1"/>
  <c r="EL105" i="1"/>
  <c r="EK106" i="1"/>
  <c r="EL106" i="1"/>
  <c r="EK535" i="1"/>
  <c r="EL535" i="1"/>
  <c r="EK536" i="1"/>
  <c r="EL536" i="1"/>
  <c r="EK537" i="1"/>
  <c r="EL537" i="1"/>
  <c r="EK538" i="1"/>
  <c r="EL538" i="1"/>
  <c r="EK416" i="1"/>
  <c r="EL416" i="1"/>
  <c r="EK417" i="1"/>
  <c r="EL417" i="1"/>
  <c r="EK418" i="1"/>
  <c r="EL418" i="1"/>
  <c r="EK419" i="1"/>
  <c r="EL419" i="1"/>
  <c r="EK129" i="1"/>
  <c r="EL129" i="1"/>
  <c r="EK130" i="1"/>
  <c r="EL130" i="1"/>
  <c r="EK131" i="1"/>
  <c r="EL131" i="1"/>
  <c r="EK132" i="1"/>
  <c r="EL132" i="1"/>
  <c r="EK133" i="1"/>
  <c r="EL133" i="1"/>
  <c r="EK420" i="1"/>
  <c r="EL420" i="1"/>
  <c r="EK421" i="1"/>
  <c r="EL421" i="1"/>
  <c r="EK422" i="1"/>
  <c r="EL422" i="1"/>
  <c r="EK423" i="1"/>
  <c r="EL423" i="1"/>
  <c r="EK134" i="1"/>
  <c r="EL134" i="1"/>
  <c r="EK135" i="1"/>
  <c r="EL135" i="1"/>
  <c r="EK136" i="1"/>
  <c r="EL136" i="1"/>
  <c r="EK424" i="1"/>
  <c r="EL424" i="1"/>
  <c r="EK425" i="1"/>
  <c r="EL425" i="1"/>
  <c r="EK426" i="1"/>
  <c r="EL426" i="1"/>
  <c r="EK427" i="1"/>
  <c r="EL427" i="1"/>
  <c r="EK137" i="1"/>
  <c r="EL137" i="1"/>
  <c r="EK138" i="1"/>
  <c r="EL138" i="1"/>
  <c r="EK139" i="1"/>
  <c r="EL139" i="1"/>
  <c r="EK140" i="1"/>
  <c r="EL140" i="1"/>
  <c r="EK713" i="1"/>
  <c r="EL713" i="1"/>
  <c r="EK714" i="1"/>
  <c r="EL714" i="1"/>
  <c r="EK715" i="1"/>
  <c r="EL715" i="1"/>
  <c r="EK716" i="1"/>
  <c r="EL716" i="1"/>
  <c r="EK717" i="1"/>
  <c r="EL717" i="1"/>
  <c r="EK718" i="1"/>
  <c r="EL718" i="1"/>
  <c r="EK719" i="1"/>
  <c r="EL719" i="1"/>
  <c r="EK919" i="1"/>
  <c r="EL919" i="1"/>
  <c r="EK920" i="1"/>
  <c r="EL920" i="1"/>
  <c r="EK921" i="1"/>
  <c r="EL921" i="1"/>
  <c r="EK922" i="1"/>
  <c r="EL922" i="1"/>
  <c r="EK923" i="1"/>
  <c r="EL923" i="1"/>
  <c r="EK924" i="1"/>
  <c r="EL924" i="1"/>
  <c r="EK925" i="1"/>
  <c r="EL925" i="1"/>
  <c r="EK926" i="1"/>
  <c r="EL926" i="1"/>
  <c r="EK927" i="1"/>
  <c r="EL927" i="1"/>
  <c r="EK928" i="1"/>
  <c r="EL928" i="1"/>
  <c r="EK929" i="1"/>
  <c r="EL929" i="1"/>
  <c r="EK930" i="1"/>
  <c r="EL930" i="1"/>
  <c r="EK931" i="1"/>
  <c r="EL931" i="1"/>
  <c r="EK932" i="1"/>
  <c r="EL932" i="1"/>
  <c r="EK933" i="1"/>
  <c r="EL933" i="1"/>
  <c r="EK934" i="1"/>
  <c r="EL934" i="1"/>
  <c r="EK935" i="1"/>
  <c r="EL935" i="1"/>
  <c r="EK936" i="1"/>
  <c r="EL936" i="1"/>
  <c r="EK937" i="1"/>
  <c r="EL937" i="1"/>
  <c r="EK367" i="1"/>
  <c r="EL367" i="1"/>
  <c r="EK371" i="1"/>
  <c r="EL371" i="1"/>
  <c r="EK368" i="1"/>
  <c r="EL368" i="1"/>
  <c r="EK372" i="1"/>
  <c r="EL372" i="1"/>
  <c r="EK107" i="1"/>
  <c r="EL107" i="1"/>
  <c r="EK108" i="1"/>
  <c r="EL108" i="1"/>
  <c r="EK109" i="1"/>
  <c r="EL109" i="1"/>
  <c r="EK110" i="1"/>
  <c r="EL110" i="1"/>
  <c r="EK938" i="1"/>
  <c r="EL938" i="1"/>
  <c r="EK939" i="1"/>
  <c r="EL939" i="1"/>
  <c r="EK940" i="1"/>
  <c r="EL940" i="1"/>
  <c r="EK545" i="1"/>
  <c r="EL545" i="1"/>
  <c r="EK546" i="1"/>
  <c r="EL546" i="1"/>
  <c r="EK547" i="1"/>
  <c r="EL547" i="1"/>
  <c r="EK548" i="1"/>
  <c r="EL548" i="1"/>
  <c r="EK549" i="1"/>
  <c r="EL549" i="1"/>
  <c r="EK550" i="1"/>
  <c r="EL550" i="1"/>
  <c r="EK722" i="1"/>
  <c r="EL722" i="1"/>
  <c r="EK723" i="1"/>
  <c r="EL723" i="1"/>
  <c r="EK551" i="1"/>
  <c r="EL551" i="1"/>
  <c r="EK724" i="1"/>
  <c r="EL724" i="1"/>
  <c r="EK725" i="1"/>
  <c r="EL725" i="1"/>
  <c r="EK726" i="1"/>
  <c r="EL726" i="1"/>
  <c r="EK552" i="1"/>
  <c r="EL552" i="1"/>
  <c r="EK553" i="1"/>
  <c r="EL553" i="1"/>
  <c r="EK554" i="1"/>
  <c r="EL554" i="1"/>
  <c r="EK555" i="1"/>
  <c r="EL555" i="1"/>
  <c r="EK556" i="1"/>
  <c r="EL556" i="1"/>
  <c r="EK727" i="1"/>
  <c r="EL727" i="1"/>
  <c r="EK557" i="1"/>
  <c r="EL557" i="1"/>
  <c r="EK728" i="1"/>
  <c r="EL728" i="1"/>
  <c r="EK729" i="1"/>
  <c r="EL729" i="1"/>
  <c r="EK730" i="1"/>
  <c r="EL730" i="1"/>
  <c r="EK731" i="1"/>
  <c r="EL731" i="1"/>
  <c r="EK941" i="1"/>
  <c r="EL941" i="1"/>
  <c r="EK942" i="1"/>
  <c r="EL942" i="1"/>
  <c r="EK943" i="1"/>
  <c r="EL943" i="1"/>
  <c r="EK944" i="1"/>
  <c r="EL944" i="1"/>
  <c r="EK945" i="1"/>
  <c r="EL945" i="1"/>
  <c r="EK946" i="1"/>
  <c r="EL946" i="1"/>
  <c r="EK947" i="1"/>
  <c r="EL947" i="1"/>
  <c r="EK948" i="1"/>
  <c r="EL948" i="1"/>
  <c r="EK732" i="1"/>
  <c r="EL732" i="1"/>
  <c r="EK733" i="1"/>
  <c r="EL733" i="1"/>
  <c r="EK734" i="1"/>
  <c r="EL734" i="1"/>
  <c r="EK735" i="1"/>
  <c r="EL735" i="1"/>
  <c r="EK736" i="1"/>
  <c r="EL736" i="1"/>
  <c r="EK141" i="1"/>
  <c r="EL141" i="1"/>
  <c r="EK142" i="1"/>
  <c r="EL142" i="1"/>
  <c r="EK428" i="1"/>
  <c r="EL428" i="1"/>
  <c r="EK949" i="1"/>
  <c r="EL949" i="1"/>
  <c r="EK950" i="1"/>
  <c r="EL950" i="1"/>
  <c r="EK951" i="1"/>
  <c r="EL951" i="1"/>
  <c r="EK952" i="1"/>
  <c r="EL952" i="1"/>
  <c r="EK953" i="1"/>
  <c r="EL953" i="1"/>
  <c r="EK954" i="1"/>
  <c r="EL954" i="1"/>
  <c r="EK955" i="1"/>
  <c r="EL955" i="1"/>
  <c r="EK956" i="1"/>
  <c r="EL956" i="1"/>
  <c r="EK957" i="1"/>
  <c r="EL957" i="1"/>
  <c r="EK958" i="1"/>
  <c r="EL958" i="1"/>
  <c r="EK959" i="1"/>
  <c r="EL959" i="1"/>
  <c r="EK960" i="1"/>
  <c r="EL960" i="1"/>
  <c r="EK737" i="1"/>
  <c r="EL737" i="1"/>
  <c r="EK738" i="1"/>
  <c r="EL738" i="1"/>
  <c r="EK739" i="1"/>
  <c r="EL739" i="1"/>
  <c r="EK740" i="1"/>
  <c r="EL740" i="1"/>
  <c r="EK961" i="1"/>
  <c r="EL961" i="1"/>
  <c r="EK962" i="1"/>
  <c r="EL962" i="1"/>
  <c r="EK741" i="1"/>
  <c r="EL741" i="1"/>
  <c r="EK742" i="1"/>
  <c r="EL742" i="1"/>
  <c r="EK564" i="1"/>
  <c r="EL564" i="1"/>
  <c r="EK24" i="1"/>
  <c r="EL24" i="1"/>
  <c r="EK25" i="1"/>
  <c r="EL25" i="1"/>
  <c r="EK42" i="1"/>
  <c r="EL42" i="1"/>
  <c r="EK963" i="1"/>
  <c r="EL963" i="1"/>
  <c r="EK964" i="1"/>
  <c r="EL964" i="1"/>
  <c r="EK965" i="1"/>
  <c r="EL965" i="1"/>
  <c r="EK966" i="1"/>
  <c r="EL966" i="1"/>
  <c r="EK967" i="1"/>
  <c r="EL967" i="1"/>
  <c r="EK968" i="1"/>
  <c r="EL968" i="1"/>
  <c r="EK969" i="1"/>
  <c r="EL969" i="1"/>
  <c r="EK970" i="1"/>
  <c r="EL970" i="1"/>
  <c r="EK971" i="1"/>
  <c r="EL971" i="1"/>
  <c r="EK972" i="1"/>
  <c r="EL972" i="1"/>
  <c r="EK973" i="1"/>
  <c r="EL973" i="1"/>
  <c r="EK974" i="1"/>
  <c r="EL974" i="1"/>
  <c r="EK975" i="1"/>
  <c r="EL975" i="1"/>
  <c r="EK976" i="1"/>
  <c r="EL976" i="1"/>
  <c r="EK977" i="1"/>
  <c r="EL977" i="1"/>
  <c r="EK978" i="1"/>
  <c r="EL978" i="1"/>
  <c r="EK979" i="1"/>
  <c r="EL979" i="1"/>
  <c r="EK980" i="1"/>
  <c r="EL980" i="1"/>
  <c r="EK981" i="1"/>
  <c r="EL981" i="1"/>
  <c r="EK982" i="1"/>
  <c r="EL982" i="1"/>
  <c r="EK571" i="1"/>
  <c r="EL571" i="1"/>
  <c r="EK572" i="1"/>
  <c r="EL572" i="1"/>
  <c r="EK573" i="1"/>
  <c r="EL573" i="1"/>
  <c r="EK574" i="1"/>
  <c r="EL574" i="1"/>
  <c r="EK699" i="1"/>
  <c r="EL699" i="1"/>
  <c r="EK702" i="1"/>
  <c r="EL702" i="1"/>
  <c r="EK429" i="1"/>
  <c r="EL429" i="1"/>
  <c r="EK983" i="1"/>
  <c r="EL983" i="1"/>
  <c r="EK984" i="1"/>
  <c r="EL984" i="1"/>
  <c r="EK985" i="1"/>
  <c r="EL985" i="1"/>
  <c r="EK986" i="1"/>
  <c r="EL986" i="1"/>
  <c r="EK987" i="1"/>
  <c r="EL987" i="1"/>
  <c r="EK123" i="1"/>
  <c r="EL123" i="1"/>
  <c r="EK327" i="1"/>
  <c r="EL327" i="1"/>
  <c r="EK328" i="1"/>
  <c r="EL328" i="1"/>
  <c r="EK143" i="1"/>
  <c r="EL143" i="1"/>
  <c r="EK144" i="1"/>
  <c r="EL144" i="1"/>
  <c r="EK430" i="1"/>
  <c r="EL430" i="1"/>
  <c r="EK145" i="1"/>
  <c r="EL145" i="1"/>
  <c r="EK146" i="1"/>
  <c r="EL146" i="1"/>
  <c r="EK147" i="1"/>
  <c r="EL147" i="1"/>
  <c r="EK988" i="1"/>
  <c r="EL988" i="1"/>
  <c r="EK989" i="1"/>
  <c r="EL989" i="1"/>
  <c r="EK990" i="1"/>
  <c r="EL990" i="1"/>
  <c r="EK991" i="1"/>
  <c r="EL991" i="1"/>
  <c r="EK992" i="1"/>
  <c r="EL992" i="1"/>
  <c r="EK993" i="1"/>
  <c r="EL993" i="1"/>
  <c r="EK124" i="1"/>
  <c r="EL124" i="1"/>
  <c r="EK329" i="1"/>
  <c r="EL329" i="1"/>
  <c r="EK330" i="1"/>
  <c r="EL330" i="1"/>
  <c r="EK431" i="1"/>
  <c r="EL431" i="1"/>
  <c r="EK994" i="1"/>
  <c r="EL994" i="1"/>
  <c r="EK995" i="1"/>
  <c r="EL995" i="1"/>
  <c r="EK996" i="1"/>
  <c r="EL996" i="1"/>
  <c r="EK997" i="1"/>
  <c r="EL997" i="1"/>
  <c r="EK998" i="1"/>
  <c r="EL998" i="1"/>
  <c r="EK999" i="1"/>
  <c r="EL999" i="1"/>
  <c r="EK1000" i="1"/>
  <c r="EL1000" i="1"/>
  <c r="EK1001" i="1"/>
  <c r="EL1001" i="1"/>
  <c r="EK1002" i="1"/>
  <c r="EL1002" i="1"/>
  <c r="EK1003" i="1"/>
  <c r="EL1003" i="1"/>
  <c r="EK1004" i="1"/>
  <c r="EL1004" i="1"/>
  <c r="EK1005" i="1"/>
  <c r="EL1005" i="1"/>
  <c r="EK1006" i="1"/>
  <c r="EL1006" i="1"/>
  <c r="EK1007" i="1"/>
  <c r="EL1007" i="1"/>
  <c r="EK1008" i="1"/>
  <c r="EL1008" i="1"/>
  <c r="EK1009" i="1"/>
  <c r="EL1009" i="1"/>
  <c r="EK1010" i="1"/>
  <c r="EL1010" i="1"/>
  <c r="EK1011" i="1"/>
  <c r="EL1011" i="1"/>
  <c r="EK1012" i="1"/>
  <c r="EL1012" i="1"/>
  <c r="EK1013" i="1"/>
  <c r="EL1013" i="1"/>
  <c r="EK1014" i="1"/>
  <c r="EL1014" i="1"/>
  <c r="EK1015" i="1"/>
  <c r="EL1015" i="1"/>
  <c r="EK1016" i="1"/>
  <c r="EL1016" i="1"/>
  <c r="EK1017" i="1"/>
  <c r="EL1017" i="1"/>
  <c r="EK1018" i="1"/>
  <c r="EL1018" i="1"/>
  <c r="EK1019" i="1"/>
  <c r="EL1019" i="1"/>
  <c r="EK1020" i="1"/>
  <c r="EL1020" i="1"/>
  <c r="EK1021" i="1"/>
  <c r="EL1021" i="1"/>
  <c r="EK1022" i="1"/>
  <c r="EL1022" i="1"/>
  <c r="EK565" i="1"/>
  <c r="EL565" i="1"/>
  <c r="EK566" i="1"/>
  <c r="EL566" i="1"/>
  <c r="EK567" i="1"/>
  <c r="EL567" i="1"/>
  <c r="EK568" i="1"/>
  <c r="EL568" i="1"/>
  <c r="EK569" i="1"/>
  <c r="EL569" i="1"/>
  <c r="EK570" i="1"/>
  <c r="EL570" i="1"/>
  <c r="EK1023" i="1"/>
  <c r="EL1023" i="1"/>
  <c r="EK1024" i="1"/>
  <c r="EL1024" i="1"/>
  <c r="EK1025" i="1"/>
  <c r="EL1025" i="1"/>
  <c r="EK1026" i="1"/>
  <c r="EL1026" i="1"/>
  <c r="EK744" i="1"/>
  <c r="EL744" i="1"/>
  <c r="EK1027" i="1"/>
  <c r="EL1027" i="1"/>
  <c r="EK1028" i="1"/>
  <c r="EL1028" i="1"/>
  <c r="EK1029" i="1"/>
  <c r="EL1029" i="1"/>
  <c r="EK577" i="1"/>
  <c r="EL577" i="1"/>
  <c r="EK507" i="1"/>
  <c r="EL507" i="1"/>
  <c r="EK487" i="1"/>
  <c r="EL487" i="1"/>
  <c r="EK149" i="1"/>
  <c r="EL149" i="1"/>
  <c r="EK513" i="1"/>
  <c r="EL513" i="1"/>
  <c r="EK514" i="1"/>
  <c r="EL514" i="1"/>
  <c r="EK747" i="1"/>
  <c r="EL747" i="1"/>
  <c r="EK748" i="1"/>
  <c r="EL748" i="1"/>
  <c r="EK749" i="1"/>
  <c r="EL749" i="1"/>
  <c r="EK750" i="1"/>
  <c r="EL750" i="1"/>
  <c r="EK1030" i="1"/>
  <c r="EL1030" i="1"/>
  <c r="EK1031" i="1"/>
  <c r="EL1031" i="1"/>
  <c r="EK1032" i="1"/>
  <c r="EL1032" i="1"/>
  <c r="EK751" i="1"/>
  <c r="EL751" i="1"/>
  <c r="EK508" i="1"/>
  <c r="EL508" i="1"/>
  <c r="EK488" i="1"/>
  <c r="EL488" i="1"/>
  <c r="EK515" i="1"/>
  <c r="EL515" i="1"/>
  <c r="EK516" i="1"/>
  <c r="EL516" i="1"/>
  <c r="EK210" i="1"/>
  <c r="EL210" i="1"/>
  <c r="EK211" i="1"/>
  <c r="EL211" i="1"/>
  <c r="EK212" i="1"/>
  <c r="EL212" i="1"/>
  <c r="EK213" i="1"/>
  <c r="EL213" i="1"/>
  <c r="EK214" i="1"/>
  <c r="EL214" i="1"/>
  <c r="EK215" i="1"/>
  <c r="EL215" i="1"/>
  <c r="EK216" i="1"/>
  <c r="EL216" i="1"/>
  <c r="EK217" i="1"/>
  <c r="EL217" i="1"/>
  <c r="EK218" i="1"/>
  <c r="EL218" i="1"/>
  <c r="EK219" i="1"/>
  <c r="EL219" i="1"/>
  <c r="EK220" i="1"/>
  <c r="EL220" i="1"/>
  <c r="EK221" i="1"/>
  <c r="EL221" i="1"/>
  <c r="EK222" i="1"/>
  <c r="EL222" i="1"/>
  <c r="EK223" i="1"/>
  <c r="EL223" i="1"/>
  <c r="EK224" i="1"/>
  <c r="EL224" i="1"/>
  <c r="EK225" i="1"/>
  <c r="EL225" i="1"/>
  <c r="EK226" i="1"/>
  <c r="EL226" i="1"/>
  <c r="EK227" i="1"/>
  <c r="EL227" i="1"/>
  <c r="EK228" i="1"/>
  <c r="EL228" i="1"/>
  <c r="EK229" i="1"/>
  <c r="EL229" i="1"/>
  <c r="EK230" i="1"/>
  <c r="EL230" i="1"/>
  <c r="EK231" i="1"/>
  <c r="EL231" i="1"/>
  <c r="EK232" i="1"/>
  <c r="EL232" i="1"/>
  <c r="EK233" i="1"/>
  <c r="EL233" i="1"/>
  <c r="EK234" i="1"/>
  <c r="EL234" i="1"/>
  <c r="EK235" i="1"/>
  <c r="EL235" i="1"/>
  <c r="EK236" i="1"/>
  <c r="EL236" i="1"/>
  <c r="EK237" i="1"/>
  <c r="EL237" i="1"/>
  <c r="EK238" i="1"/>
  <c r="EL238" i="1"/>
  <c r="EK239" i="1"/>
  <c r="EL239" i="1"/>
  <c r="EK240" i="1"/>
  <c r="EL240" i="1"/>
  <c r="EK241" i="1"/>
  <c r="EL241" i="1"/>
  <c r="EK242" i="1"/>
  <c r="EL242" i="1"/>
  <c r="EK243" i="1"/>
  <c r="EL243" i="1"/>
  <c r="EK244" i="1"/>
  <c r="EL244" i="1"/>
  <c r="EK245" i="1"/>
  <c r="EL245" i="1"/>
  <c r="EK246" i="1"/>
  <c r="EL246" i="1"/>
  <c r="EK247" i="1"/>
  <c r="EL247" i="1"/>
  <c r="EK248" i="1"/>
  <c r="EL248" i="1"/>
  <c r="EK249" i="1"/>
  <c r="EL249" i="1"/>
  <c r="EK250" i="1"/>
  <c r="EL250" i="1"/>
  <c r="EK251" i="1"/>
  <c r="EL251" i="1"/>
  <c r="EK252" i="1"/>
  <c r="EL252" i="1"/>
  <c r="EK253" i="1"/>
  <c r="EL253" i="1"/>
  <c r="EK254" i="1"/>
  <c r="EL254" i="1"/>
  <c r="EK255" i="1"/>
  <c r="EL255" i="1"/>
  <c r="EK256" i="1"/>
  <c r="EL256" i="1"/>
  <c r="EK257" i="1"/>
  <c r="EL257" i="1"/>
  <c r="EK258" i="1"/>
  <c r="EL258" i="1"/>
  <c r="EK259" i="1"/>
  <c r="EL259" i="1"/>
  <c r="EK260" i="1"/>
  <c r="EL260" i="1"/>
  <c r="EK261" i="1"/>
  <c r="EL261" i="1"/>
  <c r="EK262" i="1"/>
  <c r="EL262" i="1"/>
  <c r="EK263" i="1"/>
  <c r="EL263" i="1"/>
  <c r="EK264" i="1"/>
  <c r="EL264" i="1"/>
  <c r="EK265" i="1"/>
  <c r="EL265" i="1"/>
  <c r="EK266" i="1"/>
  <c r="EL266" i="1"/>
  <c r="EK267" i="1"/>
  <c r="EL267" i="1"/>
  <c r="EK268" i="1"/>
  <c r="EL268" i="1"/>
  <c r="EK269" i="1"/>
  <c r="EL269" i="1"/>
  <c r="EK270" i="1"/>
  <c r="EL270" i="1"/>
  <c r="EK271" i="1"/>
  <c r="EL271" i="1"/>
  <c r="EK272" i="1"/>
  <c r="EL272" i="1"/>
  <c r="EK273" i="1"/>
  <c r="EL273" i="1"/>
  <c r="EK274" i="1"/>
  <c r="EL274" i="1"/>
  <c r="EK275" i="1"/>
  <c r="EL275" i="1"/>
  <c r="EK276" i="1"/>
  <c r="EL276" i="1"/>
  <c r="EK277" i="1"/>
  <c r="EL277" i="1"/>
  <c r="EK278" i="1"/>
  <c r="EL278" i="1"/>
  <c r="EK279" i="1"/>
  <c r="EL279" i="1"/>
  <c r="EK280" i="1"/>
  <c r="EL280" i="1"/>
  <c r="EK281" i="1"/>
  <c r="EL281" i="1"/>
  <c r="EK580" i="1"/>
  <c r="EL580" i="1"/>
  <c r="EK581" i="1"/>
  <c r="EL581" i="1"/>
  <c r="EK582" i="1"/>
  <c r="EL582" i="1"/>
  <c r="EK583" i="1"/>
  <c r="EL583" i="1"/>
  <c r="EK584" i="1"/>
  <c r="EL584" i="1"/>
  <c r="EK754" i="1"/>
  <c r="EL754" i="1"/>
  <c r="EK151" i="1"/>
  <c r="EL151" i="1"/>
  <c r="EK152" i="1"/>
  <c r="EL152" i="1"/>
  <c r="EK755" i="1"/>
  <c r="EL755" i="1"/>
  <c r="EK756" i="1"/>
  <c r="EL756" i="1"/>
  <c r="EK757" i="1"/>
  <c r="EL757" i="1"/>
  <c r="EK758" i="1"/>
  <c r="EL758" i="1"/>
  <c r="EK759" i="1"/>
  <c r="EL759" i="1"/>
  <c r="EK1033" i="1"/>
  <c r="EL1033" i="1"/>
  <c r="EK1034" i="1"/>
  <c r="EL1034" i="1"/>
  <c r="EK1035" i="1"/>
  <c r="EL1035" i="1"/>
  <c r="EK1036" i="1"/>
  <c r="EL1036" i="1"/>
  <c r="EK1037" i="1"/>
  <c r="EL1037" i="1"/>
  <c r="EK1038" i="1"/>
  <c r="EL1038" i="1"/>
  <c r="EK1039" i="1"/>
  <c r="EL1039" i="1"/>
  <c r="EK1040" i="1"/>
  <c r="EL1040" i="1"/>
  <c r="EK1041" i="1"/>
  <c r="EL1041" i="1"/>
  <c r="EK1042" i="1"/>
  <c r="EL1042" i="1"/>
  <c r="EK1043" i="1"/>
  <c r="EL1043" i="1"/>
  <c r="EK1044" i="1"/>
  <c r="EL1044" i="1"/>
  <c r="EK1045" i="1"/>
  <c r="EL1045" i="1"/>
  <c r="EK1046" i="1"/>
  <c r="EL1046" i="1"/>
  <c r="EK585" i="1"/>
  <c r="EL585" i="1"/>
  <c r="EK586" i="1"/>
  <c r="EL586" i="1"/>
  <c r="EK587" i="1"/>
  <c r="EL587" i="1"/>
  <c r="EK1047" i="1"/>
  <c r="EL1047" i="1"/>
  <c r="EK1048" i="1"/>
  <c r="EL1048" i="1"/>
  <c r="EK1049" i="1"/>
  <c r="EL1049" i="1"/>
  <c r="EK1050" i="1"/>
  <c r="EL1050" i="1"/>
  <c r="EK760" i="1"/>
  <c r="EL760" i="1"/>
  <c r="EK761" i="1"/>
  <c r="EL761" i="1"/>
  <c r="EK762" i="1"/>
  <c r="EL762" i="1"/>
  <c r="EK588" i="1"/>
  <c r="EL588" i="1"/>
  <c r="EK519" i="1"/>
  <c r="EL519" i="1"/>
  <c r="EK520" i="1"/>
  <c r="EL520" i="1"/>
  <c r="EK591" i="1"/>
  <c r="EL591" i="1"/>
  <c r="EK592" i="1"/>
  <c r="EL592" i="1"/>
  <c r="EK523" i="1"/>
  <c r="EL523" i="1"/>
  <c r="EK526" i="1"/>
  <c r="EL526" i="1"/>
  <c r="EK595" i="1"/>
  <c r="EL595" i="1"/>
  <c r="EK596" i="1"/>
  <c r="EL596" i="1"/>
  <c r="EK153" i="1"/>
  <c r="EL153" i="1"/>
  <c r="EK154" i="1"/>
  <c r="EL154" i="1"/>
  <c r="EK597" i="1"/>
  <c r="EL597" i="1"/>
  <c r="EK598" i="1"/>
  <c r="EL598" i="1"/>
  <c r="EK599" i="1"/>
  <c r="EL599" i="1"/>
  <c r="EK600" i="1"/>
  <c r="EL600" i="1"/>
  <c r="EK1051" i="1"/>
  <c r="EL1051" i="1"/>
  <c r="EK1052" i="1"/>
  <c r="EL1052" i="1"/>
  <c r="EK1053" i="1"/>
  <c r="EL1053" i="1"/>
  <c r="EK601" i="1"/>
  <c r="EL601" i="1"/>
  <c r="EK602" i="1"/>
  <c r="EL602" i="1"/>
  <c r="EK603" i="1"/>
  <c r="EL603" i="1"/>
  <c r="EK604" i="1"/>
  <c r="EL604" i="1"/>
  <c r="EK707" i="1"/>
  <c r="EL707" i="1"/>
  <c r="EK708" i="1"/>
  <c r="EL708" i="1"/>
  <c r="EK710" i="1"/>
  <c r="EL710" i="1"/>
  <c r="EK712" i="1"/>
  <c r="EL712" i="1"/>
  <c r="EK609" i="1"/>
  <c r="EL609" i="1"/>
  <c r="EK610" i="1"/>
  <c r="EL610" i="1"/>
  <c r="EK763" i="1"/>
  <c r="EL763" i="1"/>
  <c r="EK743" i="1"/>
  <c r="EL743" i="1"/>
  <c r="EK745" i="1"/>
  <c r="EL745" i="1"/>
  <c r="EK746" i="1"/>
  <c r="EL746" i="1"/>
  <c r="EK752" i="1"/>
  <c r="EL752" i="1"/>
  <c r="EK768" i="1"/>
  <c r="EL768" i="1"/>
  <c r="EK720" i="1"/>
  <c r="EL720" i="1"/>
  <c r="EK612" i="1"/>
  <c r="EL612" i="1"/>
  <c r="EK721" i="1"/>
  <c r="EL721" i="1"/>
  <c r="EK753" i="1"/>
  <c r="EL753" i="1"/>
  <c r="EK770" i="1"/>
  <c r="EL770" i="1"/>
  <c r="EK764" i="1"/>
  <c r="EL764" i="1"/>
  <c r="EK614" i="1"/>
  <c r="EL614" i="1"/>
  <c r="EK615" i="1"/>
  <c r="EL615" i="1"/>
  <c r="EK616" i="1"/>
  <c r="EL616" i="1"/>
  <c r="EK617" i="1"/>
  <c r="EL617" i="1"/>
  <c r="EK1054" i="1"/>
  <c r="EL1054" i="1"/>
  <c r="EK1055" i="1"/>
  <c r="EL1055" i="1"/>
  <c r="EK1056" i="1"/>
  <c r="EL1056" i="1"/>
  <c r="EK1057" i="1"/>
  <c r="EL1057" i="1"/>
  <c r="EK1058" i="1"/>
  <c r="EL1058" i="1"/>
  <c r="EK1059" i="1"/>
  <c r="EL1059" i="1"/>
  <c r="EK1060" i="1"/>
  <c r="EL1060" i="1"/>
  <c r="EK1061" i="1"/>
  <c r="EL1061" i="1"/>
  <c r="EK1062" i="1"/>
  <c r="EL1062" i="1"/>
  <c r="EK1063" i="1"/>
  <c r="EL1063" i="1"/>
  <c r="EK1064" i="1"/>
  <c r="EL1064" i="1"/>
  <c r="EK1065" i="1"/>
  <c r="EL1065" i="1"/>
  <c r="EK1066" i="1"/>
  <c r="EL1066" i="1"/>
  <c r="EK1067" i="1"/>
  <c r="EL1067" i="1"/>
  <c r="EK1068" i="1"/>
  <c r="EL1068" i="1"/>
  <c r="EK772" i="1"/>
  <c r="EL772" i="1"/>
  <c r="EK773" i="1"/>
  <c r="EL773" i="1"/>
  <c r="EK774" i="1"/>
  <c r="EL774" i="1"/>
  <c r="EK1069" i="1"/>
  <c r="EL1069" i="1"/>
  <c r="EK1070" i="1"/>
  <c r="EL1070" i="1"/>
  <c r="EK1071" i="1"/>
  <c r="EL1071" i="1"/>
  <c r="EK1072" i="1"/>
  <c r="EL1072" i="1"/>
  <c r="EK1073" i="1"/>
  <c r="EL1073" i="1"/>
  <c r="EK1074" i="1"/>
  <c r="EL1074" i="1"/>
  <c r="EK1075" i="1"/>
  <c r="EL1075" i="1"/>
  <c r="EK1076" i="1"/>
  <c r="EL1076" i="1"/>
  <c r="EK1077" i="1"/>
  <c r="EL1077" i="1"/>
  <c r="EK1078" i="1"/>
  <c r="EL1078" i="1"/>
  <c r="EK1079" i="1"/>
  <c r="EL1079" i="1"/>
  <c r="EK1080" i="1"/>
  <c r="EL1080" i="1"/>
  <c r="EK1081" i="1"/>
  <c r="EL1081" i="1"/>
  <c r="EK1082" i="1"/>
  <c r="EL1082" i="1"/>
  <c r="EK1083" i="1"/>
  <c r="EL1083" i="1"/>
  <c r="EK1084" i="1"/>
  <c r="EL1084" i="1"/>
  <c r="EK618" i="1"/>
  <c r="EL618" i="1"/>
  <c r="EK775" i="1"/>
  <c r="EL775" i="1"/>
  <c r="EK776" i="1"/>
  <c r="EL776" i="1"/>
  <c r="EK777" i="1"/>
  <c r="EL777" i="1"/>
  <c r="EK432" i="1"/>
  <c r="EL432" i="1"/>
  <c r="EK1085" i="1"/>
  <c r="EL1085" i="1"/>
  <c r="EK1086" i="1"/>
  <c r="EL1086" i="1"/>
  <c r="EK1087" i="1"/>
  <c r="EL1087" i="1"/>
  <c r="EK1088" i="1"/>
  <c r="EL1088" i="1"/>
  <c r="EK778" i="1"/>
  <c r="EL778" i="1"/>
  <c r="EK1089" i="1"/>
  <c r="EL1089" i="1"/>
  <c r="EK1090" i="1"/>
  <c r="EL1090" i="1"/>
  <c r="EK1091" i="1"/>
  <c r="EL1091" i="1"/>
  <c r="EK1092" i="1"/>
  <c r="EL1092" i="1"/>
  <c r="EK1093" i="1"/>
  <c r="EL1093" i="1"/>
  <c r="EK1094" i="1"/>
  <c r="EL1094" i="1"/>
  <c r="EK1095" i="1"/>
  <c r="EL1095" i="1"/>
  <c r="EK779" i="1"/>
  <c r="EL779" i="1"/>
  <c r="EK780" i="1"/>
  <c r="EL780" i="1"/>
  <c r="EK781" i="1"/>
  <c r="EL781" i="1"/>
  <c r="EK782" i="1"/>
  <c r="EL782" i="1"/>
  <c r="EK783" i="1"/>
  <c r="EL783" i="1"/>
  <c r="EK784" i="1"/>
  <c r="EL784" i="1"/>
  <c r="EK785" i="1"/>
  <c r="EL785" i="1"/>
  <c r="EK786" i="1"/>
  <c r="EL786" i="1"/>
  <c r="EK1096" i="1"/>
  <c r="EL1096" i="1"/>
  <c r="EK1097" i="1"/>
  <c r="EL1097" i="1"/>
  <c r="EK1098" i="1"/>
  <c r="EL1098" i="1"/>
  <c r="EK1099" i="1"/>
  <c r="EL1099" i="1"/>
  <c r="EK1100" i="1"/>
  <c r="EL1100" i="1"/>
  <c r="EK1101" i="1"/>
  <c r="EL1101" i="1"/>
  <c r="EK1102" i="1"/>
  <c r="EL1102" i="1"/>
  <c r="EK1103" i="1"/>
  <c r="EL1103" i="1"/>
  <c r="EK1104" i="1"/>
  <c r="EL1104" i="1"/>
  <c r="EK1105" i="1"/>
  <c r="EL1105" i="1"/>
  <c r="EK1106" i="1"/>
  <c r="EL1106" i="1"/>
  <c r="EK1107" i="1"/>
  <c r="EL1107" i="1"/>
  <c r="EK619" i="1"/>
  <c r="EL619" i="1"/>
  <c r="EK620" i="1"/>
  <c r="EL620" i="1"/>
  <c r="EK621" i="1"/>
  <c r="EL621" i="1"/>
  <c r="EK622" i="1"/>
  <c r="EL622" i="1"/>
  <c r="EK1108" i="1"/>
  <c r="EL1108" i="1"/>
  <c r="EK1109" i="1"/>
  <c r="EL1109" i="1"/>
  <c r="EK1110" i="1"/>
  <c r="EL1110" i="1"/>
  <c r="EK1111" i="1"/>
  <c r="EL1111" i="1"/>
  <c r="EK1112" i="1"/>
  <c r="EL1112" i="1"/>
  <c r="EK1113" i="1"/>
  <c r="EL1113" i="1"/>
  <c r="EK1114" i="1"/>
  <c r="EL1114" i="1"/>
  <c r="EK1115" i="1"/>
  <c r="EL1115" i="1"/>
  <c r="EK1116" i="1"/>
  <c r="EL1116" i="1"/>
  <c r="EK1117" i="1"/>
  <c r="EL1117" i="1"/>
  <c r="EK1118" i="1"/>
  <c r="EL1118" i="1"/>
  <c r="EK1119" i="1"/>
  <c r="EL1119" i="1"/>
  <c r="EK1120" i="1"/>
  <c r="EL1120" i="1"/>
  <c r="EK1121" i="1"/>
  <c r="EL1121" i="1"/>
  <c r="EK1122" i="1"/>
  <c r="EL1122" i="1"/>
  <c r="EK1123" i="1"/>
  <c r="EL1123" i="1"/>
  <c r="EK1124" i="1"/>
  <c r="EL1124" i="1"/>
  <c r="EK1125" i="1"/>
  <c r="EL1125" i="1"/>
  <c r="EK787" i="1"/>
  <c r="EL787" i="1"/>
  <c r="EK788" i="1"/>
  <c r="EL788" i="1"/>
  <c r="EK789" i="1"/>
  <c r="EL789" i="1"/>
  <c r="EK790" i="1"/>
  <c r="EL790" i="1"/>
  <c r="EK791" i="1"/>
  <c r="EL791" i="1"/>
  <c r="EK792" i="1"/>
  <c r="EL792" i="1"/>
  <c r="EK793" i="1"/>
  <c r="EL793" i="1"/>
  <c r="EK794" i="1"/>
  <c r="EL794" i="1"/>
  <c r="EK795" i="1"/>
  <c r="EL795" i="1"/>
  <c r="EK796" i="1"/>
  <c r="EL796" i="1"/>
  <c r="EK797" i="1"/>
  <c r="EL797" i="1"/>
  <c r="EK798" i="1"/>
  <c r="EL798" i="1"/>
  <c r="EK799" i="1"/>
  <c r="EL799" i="1"/>
  <c r="EK800" i="1"/>
  <c r="EL800" i="1"/>
  <c r="EK801" i="1"/>
  <c r="EL801" i="1"/>
  <c r="EK802" i="1"/>
  <c r="EL802" i="1"/>
  <c r="EK803" i="1"/>
  <c r="EL803" i="1"/>
  <c r="EK804" i="1"/>
  <c r="EL804" i="1"/>
  <c r="EK1126" i="1"/>
  <c r="EL1126" i="1"/>
  <c r="EK1127" i="1"/>
  <c r="EL1127" i="1"/>
  <c r="EK1128" i="1"/>
  <c r="EL1128" i="1"/>
  <c r="EK1129" i="1"/>
  <c r="EL1129" i="1"/>
  <c r="EK1130" i="1"/>
  <c r="EL1130" i="1"/>
  <c r="EK1131" i="1"/>
  <c r="EL1131" i="1"/>
  <c r="EK623" i="1"/>
  <c r="EL623" i="1"/>
  <c r="EK1132" i="1"/>
  <c r="EL1132" i="1"/>
  <c r="EK624" i="1"/>
  <c r="EL624" i="1"/>
  <c r="EK625" i="1"/>
  <c r="EL625" i="1"/>
  <c r="EK805" i="1"/>
  <c r="EL805" i="1"/>
  <c r="EK806" i="1"/>
  <c r="EL806" i="1"/>
  <c r="EK807" i="1"/>
  <c r="EL807" i="1"/>
  <c r="EK808" i="1"/>
  <c r="EL808" i="1"/>
  <c r="EK626" i="1"/>
  <c r="EL626" i="1"/>
  <c r="EK1133" i="1"/>
  <c r="EL1133" i="1"/>
  <c r="EK1134" i="1"/>
  <c r="EL1134" i="1"/>
  <c r="EK809" i="1"/>
  <c r="EL809" i="1"/>
  <c r="EK810" i="1"/>
  <c r="EL810" i="1"/>
  <c r="EK811" i="1"/>
  <c r="EL811" i="1"/>
  <c r="EK627" i="1"/>
  <c r="EL627" i="1"/>
  <c r="EK628" i="1"/>
  <c r="EL628" i="1"/>
  <c r="EK629" i="1"/>
  <c r="EL629" i="1"/>
  <c r="EK630" i="1"/>
  <c r="EL630" i="1"/>
  <c r="EK631" i="1"/>
  <c r="EL631" i="1"/>
  <c r="EK632" i="1"/>
  <c r="EL632" i="1"/>
  <c r="EK633" i="1"/>
  <c r="EL633" i="1"/>
  <c r="EK634" i="1"/>
  <c r="EL634" i="1"/>
  <c r="EK635" i="1"/>
  <c r="EL635" i="1"/>
  <c r="EK26" i="1"/>
  <c r="EL26" i="1"/>
  <c r="EK27" i="1"/>
  <c r="EL27" i="1"/>
  <c r="EK28" i="1"/>
  <c r="EL28" i="1"/>
  <c r="EK29" i="1"/>
  <c r="EL29" i="1"/>
  <c r="EK30" i="1"/>
  <c r="EL30" i="1"/>
  <c r="EK31" i="1"/>
  <c r="EL31" i="1"/>
  <c r="EK32" i="1"/>
  <c r="EL32" i="1"/>
  <c r="EK33" i="1"/>
  <c r="EL33" i="1"/>
  <c r="EK433" i="1"/>
  <c r="EL433" i="1"/>
  <c r="EK434" i="1"/>
  <c r="EL434" i="1"/>
  <c r="EK435" i="1"/>
  <c r="EL435" i="1"/>
  <c r="EK34" i="1"/>
  <c r="EL34" i="1"/>
  <c r="EK35" i="1"/>
  <c r="EL35" i="1"/>
  <c r="EK36" i="1"/>
  <c r="EL36" i="1"/>
  <c r="EK37" i="1"/>
  <c r="EL37" i="1"/>
  <c r="EK38" i="1"/>
  <c r="EL38" i="1"/>
  <c r="EK39" i="1"/>
  <c r="EL39" i="1"/>
  <c r="EK40" i="1"/>
  <c r="EL40" i="1"/>
  <c r="EK41" i="1"/>
  <c r="EL41" i="1"/>
  <c r="EK812" i="1"/>
  <c r="EL812" i="1"/>
  <c r="EK813" i="1"/>
  <c r="EL813" i="1"/>
  <c r="EK814" i="1"/>
  <c r="EL814" i="1"/>
  <c r="EK1135" i="1"/>
  <c r="EL1135" i="1"/>
  <c r="EK1136" i="1"/>
  <c r="EL1136" i="1"/>
  <c r="EK1137" i="1"/>
  <c r="EL1137" i="1"/>
  <c r="EK1138" i="1"/>
  <c r="EL1138" i="1"/>
  <c r="EK1139" i="1"/>
  <c r="EL1139" i="1"/>
  <c r="EK1140" i="1"/>
  <c r="EL1140" i="1"/>
  <c r="EK1141" i="1"/>
  <c r="EL1141" i="1"/>
  <c r="EK155" i="1"/>
  <c r="EL155" i="1"/>
  <c r="EK156" i="1"/>
  <c r="EL156" i="1"/>
  <c r="EK157" i="1"/>
  <c r="EL157" i="1"/>
  <c r="EK158" i="1"/>
  <c r="EL158" i="1"/>
  <c r="EK159" i="1"/>
  <c r="EL159" i="1"/>
  <c r="EK160" i="1"/>
  <c r="EL160" i="1"/>
  <c r="EK161" i="1"/>
  <c r="EL161" i="1"/>
  <c r="EK162" i="1"/>
  <c r="EL162" i="1"/>
  <c r="EK163" i="1"/>
  <c r="EL163" i="1"/>
  <c r="EK282" i="1"/>
  <c r="EL282" i="1"/>
  <c r="EK283" i="1"/>
  <c r="EL283" i="1"/>
  <c r="EK284" i="1"/>
  <c r="EL284" i="1"/>
  <c r="EK285" i="1"/>
  <c r="EL285" i="1"/>
  <c r="EK286" i="1"/>
  <c r="EL286" i="1"/>
  <c r="EK287" i="1"/>
  <c r="EL287" i="1"/>
  <c r="EK288" i="1"/>
  <c r="EL288" i="1"/>
  <c r="EK289" i="1"/>
  <c r="EL289" i="1"/>
  <c r="EK290" i="1"/>
  <c r="EL290" i="1"/>
  <c r="EK291" i="1"/>
  <c r="EL291" i="1"/>
  <c r="EK292" i="1"/>
  <c r="EL292" i="1"/>
  <c r="EK1142" i="1"/>
  <c r="EL1142" i="1"/>
  <c r="EK1143" i="1"/>
  <c r="EL1143" i="1"/>
  <c r="EK1144" i="1"/>
  <c r="EL1144" i="1"/>
  <c r="EK1145" i="1"/>
  <c r="EL1145" i="1"/>
  <c r="EK1146" i="1"/>
  <c r="EL1146" i="1"/>
  <c r="EK1147" i="1"/>
  <c r="EL1147" i="1"/>
  <c r="EK1148" i="1"/>
  <c r="EL1148" i="1"/>
  <c r="EK1149" i="1"/>
  <c r="EL1149" i="1"/>
  <c r="EK1150" i="1"/>
  <c r="EL1150" i="1"/>
  <c r="EK1151" i="1"/>
  <c r="EL1151" i="1"/>
  <c r="EK1152" i="1"/>
  <c r="EL1152" i="1"/>
  <c r="EK1153" i="1"/>
  <c r="EL1153" i="1"/>
  <c r="EK1154" i="1"/>
  <c r="EL1154" i="1"/>
  <c r="EK1155" i="1"/>
  <c r="EL1155" i="1"/>
  <c r="EK1156" i="1"/>
  <c r="EL1156" i="1"/>
  <c r="EK1157" i="1"/>
  <c r="EL1157" i="1"/>
  <c r="EK1158" i="1"/>
  <c r="EL1158" i="1"/>
  <c r="EK1159" i="1"/>
  <c r="EL1159" i="1"/>
  <c r="EK1160" i="1"/>
  <c r="EL1160" i="1"/>
  <c r="EK1161" i="1"/>
  <c r="EL1161" i="1"/>
  <c r="EK8" i="1"/>
  <c r="EL8" i="1"/>
  <c r="EK9" i="1"/>
  <c r="EL9" i="1"/>
  <c r="EK10" i="1"/>
  <c r="EL10" i="1"/>
  <c r="EK11" i="1"/>
  <c r="EL11" i="1"/>
  <c r="EK12" i="1"/>
  <c r="EL12" i="1"/>
  <c r="EK13" i="1"/>
  <c r="EL13" i="1"/>
  <c r="EK14" i="1"/>
  <c r="EL14" i="1"/>
  <c r="EK15" i="1"/>
  <c r="EL15" i="1"/>
  <c r="EK16" i="1"/>
  <c r="EL16" i="1"/>
  <c r="EK1162" i="1"/>
  <c r="EL1162" i="1"/>
  <c r="EK17" i="1"/>
  <c r="EL17" i="1"/>
  <c r="EK18" i="1"/>
  <c r="EL18" i="1"/>
  <c r="EK19" i="1"/>
  <c r="EL19" i="1"/>
  <c r="EK575" i="1"/>
  <c r="EL575" i="1"/>
  <c r="EK43" i="1"/>
  <c r="EL43" i="1"/>
  <c r="EK576" i="1"/>
  <c r="EL576" i="1"/>
  <c r="EK578" i="1"/>
  <c r="EL578" i="1"/>
  <c r="EK579" i="1"/>
  <c r="EL579" i="1"/>
  <c r="EK589" i="1"/>
  <c r="EL589" i="1"/>
  <c r="EK1163" i="1"/>
  <c r="EL1163" i="1"/>
  <c r="EK1164" i="1"/>
  <c r="EL1164" i="1"/>
  <c r="EK518" i="1"/>
  <c r="EL518" i="1"/>
  <c r="EK771" i="1"/>
  <c r="EL771" i="1"/>
  <c r="EK295" i="1"/>
  <c r="EL295" i="1"/>
  <c r="EK125" i="1"/>
  <c r="EL125" i="1"/>
  <c r="EK126" i="1"/>
  <c r="EL126" i="1"/>
  <c r="EK298" i="1"/>
  <c r="EL298" i="1"/>
  <c r="EK299" i="1"/>
  <c r="EL299" i="1"/>
  <c r="EK300" i="1"/>
  <c r="EL300" i="1"/>
  <c r="EK301" i="1"/>
  <c r="EL301" i="1"/>
  <c r="EK127" i="1"/>
  <c r="EL127" i="1"/>
  <c r="EK128" i="1"/>
  <c r="EL128" i="1"/>
  <c r="EK304" i="1"/>
  <c r="EL304" i="1"/>
  <c r="EK305" i="1"/>
  <c r="EL305" i="1"/>
  <c r="EK148" i="1"/>
  <c r="EL148" i="1"/>
  <c r="EK150" i="1"/>
  <c r="EL150" i="1"/>
  <c r="EK308" i="1"/>
  <c r="EL308" i="1"/>
  <c r="EK309" i="1"/>
  <c r="EL309" i="1"/>
  <c r="EK293" i="1"/>
  <c r="EL293" i="1"/>
  <c r="EK294" i="1"/>
  <c r="EL294" i="1"/>
  <c r="EK312" i="1"/>
  <c r="EL312" i="1"/>
  <c r="EK313" i="1"/>
  <c r="EL313" i="1"/>
  <c r="EK314" i="1"/>
  <c r="EL314" i="1"/>
  <c r="EK315" i="1"/>
  <c r="EL315" i="1"/>
  <c r="EK316" i="1"/>
  <c r="EL316" i="1"/>
  <c r="EK317" i="1"/>
  <c r="EL317" i="1"/>
  <c r="EK318" i="1"/>
  <c r="EL318" i="1"/>
  <c r="EK319" i="1"/>
  <c r="EL319" i="1"/>
  <c r="EK320" i="1"/>
  <c r="EL320" i="1"/>
  <c r="EK321" i="1"/>
  <c r="EL321" i="1"/>
  <c r="EK322" i="1"/>
  <c r="EL322" i="1"/>
  <c r="EK323" i="1"/>
  <c r="EL323" i="1"/>
  <c r="EK324" i="1"/>
  <c r="EL324" i="1"/>
  <c r="EK325" i="1"/>
  <c r="EL325" i="1"/>
  <c r="EK1165" i="1"/>
  <c r="EL1165" i="1"/>
  <c r="EK1166" i="1"/>
  <c r="EL1166" i="1"/>
  <c r="EK1167" i="1"/>
  <c r="EL1167" i="1"/>
  <c r="EK1168" i="1"/>
  <c r="EL1168" i="1"/>
  <c r="EK1169" i="1"/>
  <c r="EL1169" i="1"/>
  <c r="EK1170" i="1"/>
  <c r="EL1170" i="1"/>
  <c r="EK1171" i="1"/>
  <c r="EL1171" i="1"/>
  <c r="EK1172" i="1"/>
  <c r="EL1172" i="1"/>
  <c r="EK1173" i="1"/>
  <c r="EL1173" i="1"/>
  <c r="EK1174" i="1"/>
  <c r="EL1174" i="1"/>
  <c r="EK815" i="1"/>
  <c r="EL815" i="1"/>
  <c r="EK1175" i="1"/>
  <c r="EL1175" i="1"/>
  <c r="EK1176" i="1"/>
  <c r="EL1176" i="1"/>
  <c r="EK1177" i="1"/>
  <c r="EL1177" i="1"/>
  <c r="EK326" i="1"/>
  <c r="EL326" i="1"/>
  <c r="EK533" i="1"/>
  <c r="EL533" i="1"/>
  <c r="EK534" i="1"/>
  <c r="EL534" i="1"/>
  <c r="EK539" i="1"/>
  <c r="EL539" i="1"/>
  <c r="EK540" i="1"/>
  <c r="EL540" i="1"/>
  <c r="EK541" i="1"/>
  <c r="EL541" i="1"/>
  <c r="EK542" i="1"/>
  <c r="EL542" i="1"/>
  <c r="EK296" i="1"/>
  <c r="EL296" i="1"/>
  <c r="EK334" i="1"/>
  <c r="EL334" i="1"/>
  <c r="EK335" i="1"/>
  <c r="EL335" i="1"/>
  <c r="EK336" i="1"/>
  <c r="EL336" i="1"/>
  <c r="EK337" i="1"/>
  <c r="EL337" i="1"/>
  <c r="EK297" i="1"/>
  <c r="EL297" i="1"/>
  <c r="EK302" i="1"/>
  <c r="EL302" i="1"/>
  <c r="EK303" i="1"/>
  <c r="EL303" i="1"/>
  <c r="EK341" i="1"/>
  <c r="EL341" i="1"/>
  <c r="EK342" i="1"/>
  <c r="EL342" i="1"/>
  <c r="EK306" i="1"/>
  <c r="EL306" i="1"/>
  <c r="EK307" i="1"/>
  <c r="EL307" i="1"/>
  <c r="EK345" i="1"/>
  <c r="EL345" i="1"/>
  <c r="EK346" i="1"/>
  <c r="EL346" i="1"/>
  <c r="EK310" i="1"/>
  <c r="EL310" i="1"/>
  <c r="EK311" i="1"/>
  <c r="EL311" i="1"/>
  <c r="EK349" i="1"/>
  <c r="EL349" i="1"/>
  <c r="EK350" i="1"/>
  <c r="EL350" i="1"/>
  <c r="EK351" i="1"/>
  <c r="EL351" i="1"/>
  <c r="EK352" i="1"/>
  <c r="EL352" i="1"/>
  <c r="EK353" i="1"/>
  <c r="EL353" i="1"/>
  <c r="EK354" i="1"/>
  <c r="EL354" i="1"/>
  <c r="EK355" i="1"/>
  <c r="EL355" i="1"/>
  <c r="EK356" i="1"/>
  <c r="EL356" i="1"/>
  <c r="EK357" i="1"/>
  <c r="EL357" i="1"/>
  <c r="EK358" i="1"/>
  <c r="EL358" i="1"/>
  <c r="EK359" i="1"/>
  <c r="EL359" i="1"/>
  <c r="EK1178" i="1"/>
  <c r="EL1178" i="1"/>
  <c r="EK1179" i="1"/>
  <c r="EL1179" i="1"/>
  <c r="EK1180" i="1"/>
  <c r="EL1180" i="1"/>
  <c r="EK1181" i="1"/>
  <c r="EL1181" i="1"/>
  <c r="EK1182" i="1"/>
  <c r="EL1182" i="1"/>
  <c r="EK1183" i="1"/>
  <c r="EL1183" i="1"/>
  <c r="EK1184" i="1"/>
  <c r="EL1184" i="1"/>
  <c r="EK1185" i="1"/>
  <c r="EL1185" i="1"/>
  <c r="EK1186" i="1"/>
  <c r="EL1186" i="1"/>
  <c r="EK1187" i="1"/>
  <c r="EL1187" i="1"/>
  <c r="EK1188" i="1"/>
  <c r="EL1188" i="1"/>
  <c r="EK1189" i="1"/>
  <c r="EL1189" i="1"/>
  <c r="EK1190" i="1"/>
  <c r="EL1190" i="1"/>
  <c r="EK1191" i="1"/>
  <c r="EL1191" i="1"/>
  <c r="EK1192" i="1"/>
  <c r="EL1192" i="1"/>
  <c r="EK1193" i="1"/>
  <c r="EL1193" i="1"/>
  <c r="EK1194" i="1"/>
  <c r="EL1194" i="1"/>
  <c r="EK1195" i="1"/>
  <c r="EL1195" i="1"/>
  <c r="EK360" i="1"/>
  <c r="EL360" i="1"/>
  <c r="EK1196" i="1"/>
  <c r="EL1196" i="1"/>
  <c r="EK361" i="1"/>
  <c r="EL361" i="1"/>
  <c r="EK362" i="1"/>
  <c r="EL362" i="1"/>
  <c r="EK363" i="1"/>
  <c r="EL363" i="1"/>
  <c r="EK364" i="1"/>
  <c r="EL364" i="1"/>
  <c r="EK816" i="1"/>
  <c r="EL816" i="1"/>
  <c r="EK543" i="1"/>
  <c r="EL543" i="1"/>
  <c r="EK544" i="1"/>
  <c r="EL544" i="1"/>
  <c r="EK558" i="1"/>
  <c r="EL558" i="1"/>
  <c r="EK559" i="1"/>
  <c r="EL559" i="1"/>
  <c r="EK560" i="1"/>
  <c r="EL560" i="1"/>
  <c r="EK561" i="1"/>
  <c r="EL561" i="1"/>
  <c r="EK562" i="1"/>
  <c r="EL562" i="1"/>
  <c r="EK563" i="1"/>
  <c r="EL563" i="1"/>
  <c r="EK817" i="1"/>
  <c r="EL817" i="1"/>
  <c r="EK818" i="1"/>
  <c r="EL818" i="1"/>
  <c r="EK819" i="1"/>
  <c r="EL819" i="1"/>
  <c r="EK820" i="1"/>
  <c r="EL820" i="1"/>
  <c r="EK1197" i="1"/>
  <c r="EL1197" i="1"/>
  <c r="EK1198" i="1"/>
  <c r="EL1198" i="1"/>
  <c r="EK821" i="1"/>
  <c r="EL821" i="1"/>
  <c r="EK822" i="1"/>
  <c r="EL822" i="1"/>
  <c r="EK823" i="1"/>
  <c r="EL823" i="1"/>
  <c r="EK1199" i="1"/>
  <c r="EL1199" i="1"/>
  <c r="EK1200" i="1"/>
  <c r="EL1200" i="1"/>
  <c r="EK1201" i="1"/>
  <c r="EL1201" i="1"/>
  <c r="EK824" i="1"/>
  <c r="EL824" i="1"/>
  <c r="EK825" i="1"/>
  <c r="EL825" i="1"/>
  <c r="EK826" i="1"/>
  <c r="EL826" i="1"/>
  <c r="EK827" i="1"/>
  <c r="EL827" i="1"/>
  <c r="EK1202" i="1"/>
  <c r="EL1202" i="1"/>
  <c r="EK828" i="1"/>
  <c r="EL828" i="1"/>
  <c r="EK829" i="1"/>
  <c r="EL829" i="1"/>
  <c r="EK830" i="1"/>
  <c r="EL830" i="1"/>
  <c r="EK831" i="1"/>
  <c r="EL831" i="1"/>
  <c r="EK832" i="1"/>
  <c r="EL832" i="1"/>
  <c r="EK833" i="1"/>
  <c r="EL833" i="1"/>
  <c r="EK834" i="1"/>
  <c r="EL834" i="1"/>
  <c r="EK835" i="1"/>
  <c r="EL835" i="1"/>
  <c r="EK836" i="1"/>
  <c r="EL836" i="1"/>
  <c r="EK837" i="1"/>
  <c r="EL837" i="1"/>
  <c r="EK838" i="1"/>
  <c r="EL838" i="1"/>
  <c r="EK839" i="1"/>
  <c r="EL839" i="1"/>
  <c r="EK840" i="1"/>
  <c r="EL840" i="1"/>
  <c r="EK841" i="1"/>
  <c r="EL841" i="1"/>
  <c r="EK842" i="1"/>
  <c r="EL842" i="1"/>
  <c r="EK164" i="1"/>
  <c r="EL164" i="1"/>
  <c r="EK165" i="1"/>
  <c r="EL165" i="1"/>
  <c r="EK166" i="1"/>
  <c r="EL166" i="1"/>
  <c r="EK167" i="1"/>
  <c r="EL167" i="1"/>
  <c r="EK168" i="1"/>
  <c r="EL168" i="1"/>
  <c r="EK169" i="1"/>
  <c r="EL169" i="1"/>
  <c r="EK170" i="1"/>
  <c r="EL170" i="1"/>
  <c r="EK171" i="1"/>
  <c r="EL171" i="1"/>
  <c r="EK172" i="1"/>
  <c r="EL172" i="1"/>
  <c r="EK173" i="1"/>
  <c r="EL173" i="1"/>
  <c r="EK174" i="1"/>
  <c r="EL174" i="1"/>
  <c r="EK175" i="1"/>
  <c r="EL175" i="1"/>
  <c r="EK176" i="1"/>
  <c r="EL176" i="1"/>
  <c r="EK177" i="1"/>
  <c r="EL177" i="1"/>
  <c r="EK178" i="1"/>
  <c r="EL178" i="1"/>
  <c r="EK179" i="1"/>
  <c r="EL179" i="1"/>
  <c r="EK180" i="1"/>
  <c r="EL180" i="1"/>
  <c r="EK181" i="1"/>
  <c r="EL181" i="1"/>
  <c r="EK182" i="1"/>
  <c r="EL182" i="1"/>
  <c r="EK183" i="1"/>
  <c r="EL183" i="1"/>
  <c r="EK184" i="1"/>
  <c r="EL184" i="1"/>
  <c r="EK185" i="1"/>
  <c r="EL185" i="1"/>
  <c r="EK186" i="1"/>
  <c r="EL186" i="1"/>
  <c r="EK187" i="1"/>
  <c r="EL187" i="1"/>
  <c r="EK188" i="1"/>
  <c r="EL188" i="1"/>
  <c r="EK189" i="1"/>
  <c r="EL189" i="1"/>
  <c r="EK190" i="1"/>
  <c r="EL190" i="1"/>
  <c r="EK191" i="1"/>
  <c r="EL191" i="1"/>
  <c r="EK192" i="1"/>
  <c r="EL192" i="1"/>
  <c r="EK193" i="1"/>
  <c r="EL193" i="1"/>
  <c r="EK194" i="1"/>
  <c r="EL194" i="1"/>
  <c r="EK195" i="1"/>
  <c r="EL195" i="1"/>
  <c r="EK196" i="1"/>
  <c r="EL196" i="1"/>
  <c r="EK197" i="1"/>
  <c r="EL197" i="1"/>
  <c r="EK198" i="1"/>
  <c r="EL198" i="1"/>
  <c r="EK199" i="1"/>
  <c r="EL199" i="1"/>
  <c r="EK1203" i="1"/>
  <c r="EL1203" i="1"/>
  <c r="EK1204" i="1"/>
  <c r="EL1204" i="1"/>
  <c r="EK1205" i="1"/>
  <c r="EL1205" i="1"/>
  <c r="EK1206" i="1"/>
  <c r="EL1206" i="1"/>
  <c r="EK1207" i="1"/>
  <c r="EL1207" i="1"/>
  <c r="EK1208" i="1"/>
  <c r="EL1208" i="1"/>
  <c r="EK1209" i="1"/>
  <c r="EL1209" i="1"/>
  <c r="EK1210" i="1"/>
  <c r="EL1210" i="1"/>
  <c r="EK1211" i="1"/>
  <c r="EL1211" i="1"/>
  <c r="EK1212" i="1"/>
  <c r="EL1212" i="1"/>
  <c r="EK1213" i="1"/>
  <c r="EL1213" i="1"/>
  <c r="EK1214" i="1"/>
  <c r="EL1214" i="1"/>
  <c r="EK1215" i="1"/>
  <c r="EL1215" i="1"/>
  <c r="EK1216" i="1"/>
  <c r="EL1216" i="1"/>
  <c r="EK1217" i="1"/>
  <c r="EL1217" i="1"/>
  <c r="EK1218" i="1"/>
  <c r="EL1218" i="1"/>
  <c r="EK1219" i="1"/>
  <c r="EL1219" i="1"/>
  <c r="EK1220" i="1"/>
  <c r="EL1220" i="1"/>
  <c r="EK1221" i="1"/>
  <c r="EL1221" i="1"/>
  <c r="EK1222" i="1"/>
  <c r="EL1222" i="1"/>
  <c r="EK1223" i="1"/>
  <c r="EL1223" i="1"/>
  <c r="EK1224" i="1"/>
  <c r="EL1224" i="1"/>
  <c r="EK1225" i="1"/>
  <c r="EL1225" i="1"/>
  <c r="EK1226" i="1"/>
  <c r="EL1226" i="1"/>
  <c r="EK1227" i="1"/>
  <c r="EL1227" i="1"/>
  <c r="EK1228" i="1"/>
  <c r="EL1228" i="1"/>
  <c r="EK1229" i="1"/>
  <c r="EL1229" i="1"/>
  <c r="EK1230" i="1"/>
  <c r="EL1230" i="1"/>
  <c r="EK1231" i="1"/>
  <c r="EL1231" i="1"/>
  <c r="EK1232" i="1"/>
  <c r="EL1232" i="1"/>
  <c r="EK1233" i="1"/>
  <c r="EL1233" i="1"/>
  <c r="EK1234" i="1"/>
  <c r="EL1234" i="1"/>
  <c r="EK1235" i="1"/>
  <c r="EL1235" i="1"/>
  <c r="EK1236" i="1"/>
  <c r="EL1236" i="1"/>
  <c r="EK1237" i="1"/>
  <c r="EL1237" i="1"/>
  <c r="EK1238" i="1"/>
  <c r="EL1238" i="1"/>
  <c r="EK1239" i="1"/>
  <c r="EL1239" i="1"/>
  <c r="EK1240" i="1"/>
  <c r="EL1240" i="1"/>
  <c r="EK1241" i="1"/>
  <c r="EL1241" i="1"/>
  <c r="EK373" i="1"/>
  <c r="EL373" i="1"/>
  <c r="EK374" i="1"/>
  <c r="EL374" i="1"/>
  <c r="EK375" i="1"/>
  <c r="EL375" i="1"/>
  <c r="EK376" i="1"/>
  <c r="EL376" i="1"/>
  <c r="EK377" i="1"/>
  <c r="EL377" i="1"/>
  <c r="EK48" i="1"/>
  <c r="EL48" i="1"/>
  <c r="EK49" i="1"/>
  <c r="EL49" i="1"/>
  <c r="EK517" i="1"/>
  <c r="EL517" i="1"/>
  <c r="EK379" i="1"/>
  <c r="EL379" i="1"/>
  <c r="EK380" i="1"/>
  <c r="EL380" i="1"/>
  <c r="EK381" i="1"/>
  <c r="EL381" i="1"/>
  <c r="EK382" i="1"/>
  <c r="EL382" i="1"/>
  <c r="EK383" i="1"/>
  <c r="EL383" i="1"/>
  <c r="EK384" i="1"/>
  <c r="EL384" i="1"/>
  <c r="EK385" i="1"/>
  <c r="EL385" i="1"/>
  <c r="EK765" i="1"/>
  <c r="EL765" i="1"/>
  <c r="EK766" i="1"/>
  <c r="EL766" i="1"/>
  <c r="EK436" i="1"/>
  <c r="EL436" i="1"/>
  <c r="BN433" i="1"/>
  <c r="BO433" i="1" s="1"/>
  <c r="BN434" i="1"/>
  <c r="BO434" i="1" s="1"/>
  <c r="BN27" i="1"/>
  <c r="BO27" i="1" s="1"/>
  <c r="BN28" i="1"/>
  <c r="BO28" i="1" s="1"/>
  <c r="BN29" i="1"/>
  <c r="BO29" i="1" s="1"/>
  <c r="BN30" i="1"/>
  <c r="BO30" i="1" s="1"/>
  <c r="BN31" i="1"/>
  <c r="BO31" i="1" s="1"/>
  <c r="BN32" i="1"/>
  <c r="BO32" i="1" s="1"/>
  <c r="BN33" i="1"/>
  <c r="BO33" i="1" s="1"/>
  <c r="BN435" i="1"/>
  <c r="BO435" i="1" s="1"/>
  <c r="BN34" i="1"/>
  <c r="BO34" i="1" s="1"/>
  <c r="BN35" i="1"/>
  <c r="BO35" i="1" s="1"/>
  <c r="BN36" i="1"/>
  <c r="BO36" i="1" s="1"/>
  <c r="BN37" i="1"/>
  <c r="BO37" i="1" s="1"/>
  <c r="BN38" i="1"/>
  <c r="BO38" i="1" s="1"/>
  <c r="BN39" i="1"/>
  <c r="BO39" i="1" s="1"/>
  <c r="BN40" i="1"/>
  <c r="BO40" i="1" s="1"/>
  <c r="BN41" i="1"/>
  <c r="BO41" i="1" s="1"/>
  <c r="EM635" i="1"/>
  <c r="DU635" i="1"/>
  <c r="DT635" i="1"/>
  <c r="DN635" i="1"/>
  <c r="DM635" i="1"/>
  <c r="DL635" i="1"/>
  <c r="DK635" i="1"/>
  <c r="DI635" i="1"/>
  <c r="DJ635" i="1" s="1"/>
  <c r="DB635" i="1"/>
  <c r="DC635" i="1" s="1"/>
  <c r="CX635" i="1"/>
  <c r="CN635" i="1"/>
  <c r="BV635" i="1"/>
  <c r="BX635" i="1" s="1"/>
  <c r="BN635" i="1"/>
  <c r="BO635" i="1" s="1"/>
  <c r="BM635" i="1"/>
  <c r="BD635" i="1"/>
  <c r="BC635" i="1"/>
  <c r="BB635" i="1"/>
  <c r="BA635" i="1"/>
  <c r="AZ635" i="1"/>
  <c r="AY635" i="1"/>
  <c r="AX635" i="1"/>
  <c r="M635" i="1"/>
  <c r="EM634" i="1"/>
  <c r="DU634" i="1"/>
  <c r="DT634" i="1"/>
  <c r="DN634" i="1"/>
  <c r="DM634" i="1"/>
  <c r="DL634" i="1"/>
  <c r="DK634" i="1"/>
  <c r="DI634" i="1"/>
  <c r="DJ634" i="1" s="1"/>
  <c r="DB634" i="1"/>
  <c r="DC634" i="1" s="1"/>
  <c r="CX634" i="1"/>
  <c r="CN634" i="1"/>
  <c r="CO634" i="1" s="1"/>
  <c r="BV634" i="1"/>
  <c r="BX634" i="1" s="1"/>
  <c r="BN634" i="1"/>
  <c r="BO634" i="1" s="1"/>
  <c r="BM634" i="1"/>
  <c r="BD634" i="1"/>
  <c r="BC634" i="1"/>
  <c r="BB634" i="1"/>
  <c r="BA634" i="1"/>
  <c r="AZ634" i="1"/>
  <c r="BF634" i="1" s="1" a="1"/>
  <c r="BF634" i="1" s="1"/>
  <c r="AY634" i="1"/>
  <c r="BE634" i="1" s="1" a="1"/>
  <c r="BE634" i="1" s="1"/>
  <c r="M634" i="1"/>
  <c r="EM633" i="1"/>
  <c r="DU633" i="1"/>
  <c r="DT633" i="1"/>
  <c r="DN633" i="1"/>
  <c r="DM633" i="1"/>
  <c r="DL633" i="1"/>
  <c r="DK633" i="1"/>
  <c r="DI633" i="1"/>
  <c r="DJ633" i="1" s="1"/>
  <c r="DB633" i="1"/>
  <c r="DC633" i="1" s="1"/>
  <c r="CX633" i="1"/>
  <c r="CN633" i="1"/>
  <c r="CP633" i="1" s="1"/>
  <c r="BV633" i="1"/>
  <c r="BX633" i="1" s="1"/>
  <c r="BN633" i="1"/>
  <c r="BO633" i="1" s="1"/>
  <c r="BM633" i="1"/>
  <c r="BD633" i="1"/>
  <c r="BC633" i="1"/>
  <c r="BB633" i="1"/>
  <c r="BA633" i="1"/>
  <c r="AZ633" i="1"/>
  <c r="AY633" i="1"/>
  <c r="BE633" i="1" s="1" a="1"/>
  <c r="BE633" i="1" s="1"/>
  <c r="AX633" i="1"/>
  <c r="M633" i="1"/>
  <c r="EM632" i="1"/>
  <c r="DU632" i="1"/>
  <c r="DT632" i="1"/>
  <c r="DN632" i="1"/>
  <c r="DM632" i="1"/>
  <c r="DL632" i="1"/>
  <c r="DK632" i="1"/>
  <c r="DI632" i="1"/>
  <c r="DJ632" i="1" s="1"/>
  <c r="DB632" i="1"/>
  <c r="DC632" i="1" s="1"/>
  <c r="CX632" i="1"/>
  <c r="CN632" i="1"/>
  <c r="CR632" i="1" s="1"/>
  <c r="BV632" i="1"/>
  <c r="BX632" i="1" s="1"/>
  <c r="BN632" i="1"/>
  <c r="BO632" i="1" s="1"/>
  <c r="BM632" i="1"/>
  <c r="BD632" i="1"/>
  <c r="BC632" i="1"/>
  <c r="BB632" i="1"/>
  <c r="BA632" i="1"/>
  <c r="AZ632" i="1"/>
  <c r="AY632" i="1"/>
  <c r="BE632" i="1" s="1" a="1"/>
  <c r="BE632" i="1" s="1"/>
  <c r="AX632" i="1"/>
  <c r="M632" i="1"/>
  <c r="BV626" i="1"/>
  <c r="BV1133" i="1"/>
  <c r="BV1134" i="1"/>
  <c r="BV809" i="1"/>
  <c r="BV810" i="1"/>
  <c r="BV811" i="1"/>
  <c r="BF633" i="1" l="1" a="1"/>
  <c r="BF633" i="1" s="1"/>
  <c r="BF632" i="1" a="1"/>
  <c r="BF632" i="1" s="1"/>
  <c r="BF635" i="1" a="1"/>
  <c r="BF635" i="1" s="1"/>
  <c r="BE635" i="1" s="1" a="1"/>
  <c r="BE635" i="1" s="1"/>
  <c r="CS633" i="1"/>
  <c r="BY632" i="1"/>
  <c r="EP632" i="1" s="1"/>
  <c r="BY634" i="1"/>
  <c r="EP634" i="1" s="1"/>
  <c r="BY635" i="1"/>
  <c r="EP635" i="1" s="1"/>
  <c r="CQ633" i="1"/>
  <c r="CR633" i="1"/>
  <c r="CP634" i="1"/>
  <c r="CQ634" i="1"/>
  <c r="CS632" i="1"/>
  <c r="CV632" i="1" s="1"/>
  <c r="CT635" i="1"/>
  <c r="CR634" i="1"/>
  <c r="CS634" i="1"/>
  <c r="CT632" i="1"/>
  <c r="CT633" i="1"/>
  <c r="BY633" i="1"/>
  <c r="EP633" i="1" s="1"/>
  <c r="CO635" i="1"/>
  <c r="CO632" i="1"/>
  <c r="CT634" i="1"/>
  <c r="CP635" i="1"/>
  <c r="CQ635" i="1"/>
  <c r="CQ632" i="1"/>
  <c r="CR635" i="1"/>
  <c r="CP632" i="1"/>
  <c r="CO633" i="1"/>
  <c r="CS635" i="1"/>
  <c r="CV633" i="1" l="1"/>
  <c r="CU633" i="1"/>
  <c r="CU634" i="1"/>
  <c r="CV634" i="1"/>
  <c r="CU632" i="1"/>
  <c r="CU635" i="1"/>
  <c r="CV635" i="1"/>
  <c r="BL626" i="1" l="1"/>
  <c r="DC702" i="1" l="1"/>
  <c r="DC699" i="1"/>
  <c r="EM41" i="1" l="1"/>
  <c r="DU41" i="1"/>
  <c r="DT41" i="1"/>
  <c r="DN41" i="1"/>
  <c r="DM41" i="1"/>
  <c r="DL41" i="1"/>
  <c r="DK41" i="1"/>
  <c r="DI41" i="1"/>
  <c r="DJ41" i="1" s="1"/>
  <c r="DB41" i="1"/>
  <c r="DC41" i="1" s="1"/>
  <c r="CX41" i="1"/>
  <c r="CN41" i="1"/>
  <c r="BV41" i="1"/>
  <c r="BX41" i="1" s="1"/>
  <c r="BM41" i="1"/>
  <c r="BD41" i="1"/>
  <c r="BC41" i="1"/>
  <c r="BB41" i="1"/>
  <c r="BA41" i="1"/>
  <c r="AZ41" i="1"/>
  <c r="AY41" i="1"/>
  <c r="AX41" i="1"/>
  <c r="M41" i="1"/>
  <c r="EM40" i="1"/>
  <c r="DU40" i="1"/>
  <c r="DT40" i="1"/>
  <c r="DN40" i="1"/>
  <c r="DM40" i="1"/>
  <c r="DL40" i="1"/>
  <c r="DK40" i="1"/>
  <c r="DI40" i="1"/>
  <c r="DJ40" i="1" s="1"/>
  <c r="DB40" i="1"/>
  <c r="DC40" i="1" s="1"/>
  <c r="CX40" i="1"/>
  <c r="CN40" i="1"/>
  <c r="CO40" i="1" s="1"/>
  <c r="BV40" i="1"/>
  <c r="BX40" i="1" s="1"/>
  <c r="BM40" i="1"/>
  <c r="BD40" i="1"/>
  <c r="BC40" i="1"/>
  <c r="BB40" i="1"/>
  <c r="BA40" i="1"/>
  <c r="AZ40" i="1"/>
  <c r="AY40" i="1"/>
  <c r="AX40" i="1"/>
  <c r="M40" i="1"/>
  <c r="EM39" i="1"/>
  <c r="DU39" i="1"/>
  <c r="DT39" i="1"/>
  <c r="DN39" i="1"/>
  <c r="DM39" i="1"/>
  <c r="DL39" i="1"/>
  <c r="DK39" i="1"/>
  <c r="DI39" i="1"/>
  <c r="DJ39" i="1" s="1"/>
  <c r="DB39" i="1"/>
  <c r="DC39" i="1" s="1"/>
  <c r="CX39" i="1"/>
  <c r="CN39" i="1"/>
  <c r="CR39" i="1" s="1"/>
  <c r="BV39" i="1"/>
  <c r="BX39" i="1" s="1"/>
  <c r="BM39" i="1"/>
  <c r="BD39" i="1"/>
  <c r="BC39" i="1"/>
  <c r="BB39" i="1"/>
  <c r="BA39" i="1"/>
  <c r="AZ39" i="1"/>
  <c r="AY39" i="1"/>
  <c r="AX39" i="1"/>
  <c r="M39" i="1"/>
  <c r="EM38" i="1"/>
  <c r="DU38" i="1"/>
  <c r="DT38" i="1"/>
  <c r="DN38" i="1"/>
  <c r="DM38" i="1"/>
  <c r="DL38" i="1"/>
  <c r="DK38" i="1"/>
  <c r="DI38" i="1"/>
  <c r="DJ38" i="1" s="1"/>
  <c r="DB38" i="1"/>
  <c r="DC38" i="1" s="1"/>
  <c r="CX38" i="1"/>
  <c r="CN38" i="1"/>
  <c r="CS38" i="1" s="1"/>
  <c r="BV38" i="1"/>
  <c r="BX38" i="1" s="1"/>
  <c r="BM38" i="1"/>
  <c r="BD38" i="1"/>
  <c r="BC38" i="1"/>
  <c r="BB38" i="1"/>
  <c r="BA38" i="1"/>
  <c r="AZ38" i="1"/>
  <c r="AY38" i="1"/>
  <c r="AX38" i="1"/>
  <c r="M38" i="1"/>
  <c r="EM37" i="1"/>
  <c r="DU37" i="1"/>
  <c r="DT37" i="1"/>
  <c r="DN37" i="1"/>
  <c r="DM37" i="1"/>
  <c r="DL37" i="1"/>
  <c r="DK37" i="1"/>
  <c r="DI37" i="1"/>
  <c r="DJ37" i="1" s="1"/>
  <c r="DB37" i="1"/>
  <c r="DC37" i="1" s="1"/>
  <c r="CX37" i="1"/>
  <c r="CN37" i="1"/>
  <c r="BV37" i="1"/>
  <c r="BX37" i="1" s="1"/>
  <c r="BM37" i="1"/>
  <c r="BD37" i="1"/>
  <c r="BC37" i="1"/>
  <c r="BB37" i="1"/>
  <c r="BA37" i="1"/>
  <c r="AZ37" i="1"/>
  <c r="AY37" i="1"/>
  <c r="AX37" i="1"/>
  <c r="M37" i="1"/>
  <c r="EM36" i="1"/>
  <c r="DU36" i="1"/>
  <c r="DT36" i="1"/>
  <c r="DN36" i="1"/>
  <c r="DM36" i="1"/>
  <c r="DL36" i="1"/>
  <c r="DK36" i="1"/>
  <c r="DI36" i="1"/>
  <c r="DJ36" i="1" s="1"/>
  <c r="DB36" i="1"/>
  <c r="DC36" i="1" s="1"/>
  <c r="CX36" i="1"/>
  <c r="CN36" i="1"/>
  <c r="CO36" i="1" s="1"/>
  <c r="BV36" i="1"/>
  <c r="BX36" i="1" s="1"/>
  <c r="BM36" i="1"/>
  <c r="BD36" i="1"/>
  <c r="BC36" i="1"/>
  <c r="BB36" i="1"/>
  <c r="BA36" i="1"/>
  <c r="AZ36" i="1"/>
  <c r="AY36" i="1"/>
  <c r="AX36" i="1"/>
  <c r="M36" i="1"/>
  <c r="EM35" i="1"/>
  <c r="DU35" i="1"/>
  <c r="DT35" i="1"/>
  <c r="DN35" i="1"/>
  <c r="DM35" i="1"/>
  <c r="DL35" i="1"/>
  <c r="DK35" i="1"/>
  <c r="DI35" i="1"/>
  <c r="DJ35" i="1" s="1"/>
  <c r="DB35" i="1"/>
  <c r="DC35" i="1" s="1"/>
  <c r="CX35" i="1"/>
  <c r="CN35" i="1"/>
  <c r="CR35" i="1" s="1"/>
  <c r="BV35" i="1"/>
  <c r="BX35" i="1" s="1"/>
  <c r="BM35" i="1"/>
  <c r="BD35" i="1"/>
  <c r="BC35" i="1"/>
  <c r="BB35" i="1"/>
  <c r="BA35" i="1"/>
  <c r="AZ35" i="1"/>
  <c r="AY35" i="1"/>
  <c r="AX35" i="1"/>
  <c r="M35" i="1"/>
  <c r="EM34" i="1"/>
  <c r="DU34" i="1"/>
  <c r="DT34" i="1"/>
  <c r="DN34" i="1"/>
  <c r="DM34" i="1"/>
  <c r="DL34" i="1"/>
  <c r="DK34" i="1"/>
  <c r="DI34" i="1"/>
  <c r="DJ34" i="1" s="1"/>
  <c r="DB34" i="1"/>
  <c r="DC34" i="1" s="1"/>
  <c r="CX34" i="1"/>
  <c r="CN34" i="1"/>
  <c r="CS34" i="1" s="1"/>
  <c r="BV34" i="1"/>
  <c r="BX34" i="1" s="1"/>
  <c r="BM34" i="1"/>
  <c r="BD34" i="1"/>
  <c r="BC34" i="1"/>
  <c r="BB34" i="1"/>
  <c r="BA34" i="1"/>
  <c r="AZ34" i="1"/>
  <c r="AY34" i="1"/>
  <c r="AX34" i="1"/>
  <c r="M34" i="1"/>
  <c r="EM435" i="1"/>
  <c r="DU435" i="1"/>
  <c r="DT435" i="1"/>
  <c r="DN435" i="1"/>
  <c r="DM435" i="1"/>
  <c r="DL435" i="1"/>
  <c r="DK435" i="1"/>
  <c r="DI435" i="1"/>
  <c r="DJ435" i="1" s="1"/>
  <c r="DB435" i="1"/>
  <c r="DC435" i="1" s="1"/>
  <c r="CX435" i="1"/>
  <c r="CN435" i="1"/>
  <c r="BV435" i="1"/>
  <c r="BX435" i="1" s="1"/>
  <c r="BM435" i="1"/>
  <c r="BD435" i="1"/>
  <c r="BC435" i="1"/>
  <c r="BB435" i="1"/>
  <c r="BA435" i="1"/>
  <c r="AZ435" i="1"/>
  <c r="AY435" i="1"/>
  <c r="BE435" i="1" s="1" a="1"/>
  <c r="BE435" i="1" s="1"/>
  <c r="AX435" i="1"/>
  <c r="M435" i="1"/>
  <c r="EM434" i="1"/>
  <c r="DU434" i="1"/>
  <c r="DT434" i="1"/>
  <c r="DN434" i="1"/>
  <c r="DM434" i="1"/>
  <c r="DL434" i="1"/>
  <c r="DK434" i="1"/>
  <c r="DI434" i="1"/>
  <c r="DJ434" i="1" s="1"/>
  <c r="DB434" i="1"/>
  <c r="DC434" i="1" s="1"/>
  <c r="CX434" i="1"/>
  <c r="CN434" i="1"/>
  <c r="CO434" i="1" s="1"/>
  <c r="BV434" i="1"/>
  <c r="BX434" i="1" s="1"/>
  <c r="BM434" i="1"/>
  <c r="BD434" i="1"/>
  <c r="BC434" i="1"/>
  <c r="BB434" i="1"/>
  <c r="BA434" i="1"/>
  <c r="AZ434" i="1"/>
  <c r="AY434" i="1"/>
  <c r="BE434" i="1" s="1" a="1"/>
  <c r="BE434" i="1" s="1"/>
  <c r="AX434" i="1"/>
  <c r="M434" i="1"/>
  <c r="EM433" i="1"/>
  <c r="DU433" i="1"/>
  <c r="DT433" i="1"/>
  <c r="DN433" i="1"/>
  <c r="DM433" i="1"/>
  <c r="DL433" i="1"/>
  <c r="DK433" i="1"/>
  <c r="DI433" i="1"/>
  <c r="DJ433" i="1" s="1"/>
  <c r="DB433" i="1"/>
  <c r="DC433" i="1" s="1"/>
  <c r="CX433" i="1"/>
  <c r="CN433" i="1"/>
  <c r="CR433" i="1" s="1"/>
  <c r="BV433" i="1"/>
  <c r="BX433" i="1" s="1"/>
  <c r="BM433" i="1"/>
  <c r="BD433" i="1"/>
  <c r="BC433" i="1"/>
  <c r="BB433" i="1"/>
  <c r="BA433" i="1"/>
  <c r="AZ433" i="1"/>
  <c r="AY433" i="1"/>
  <c r="BE433" i="1" s="1" a="1"/>
  <c r="BE433" i="1" s="1"/>
  <c r="AX433" i="1"/>
  <c r="M433" i="1"/>
  <c r="EM33" i="1"/>
  <c r="DU33" i="1"/>
  <c r="DT33" i="1"/>
  <c r="DN33" i="1"/>
  <c r="DM33" i="1"/>
  <c r="DL33" i="1"/>
  <c r="DK33" i="1"/>
  <c r="DI33" i="1"/>
  <c r="DJ33" i="1" s="1"/>
  <c r="DB33" i="1"/>
  <c r="DC33" i="1" s="1"/>
  <c r="CX33" i="1"/>
  <c r="CN33" i="1"/>
  <c r="CS33" i="1" s="1"/>
  <c r="BV33" i="1"/>
  <c r="BX33" i="1" s="1"/>
  <c r="BM33" i="1"/>
  <c r="BD33" i="1"/>
  <c r="BC33" i="1"/>
  <c r="BB33" i="1"/>
  <c r="BA33" i="1"/>
  <c r="AZ33" i="1"/>
  <c r="AY33" i="1"/>
  <c r="BE33" i="1" s="1" a="1"/>
  <c r="BE33" i="1" s="1"/>
  <c r="AX33" i="1"/>
  <c r="M33" i="1"/>
  <c r="EM32" i="1"/>
  <c r="DU32" i="1"/>
  <c r="DT32" i="1"/>
  <c r="DN32" i="1"/>
  <c r="DM32" i="1"/>
  <c r="DL32" i="1"/>
  <c r="DK32" i="1"/>
  <c r="DI32" i="1"/>
  <c r="DJ32" i="1" s="1"/>
  <c r="DB32" i="1"/>
  <c r="DC32" i="1" s="1"/>
  <c r="CX32" i="1"/>
  <c r="CN32" i="1"/>
  <c r="BV32" i="1"/>
  <c r="BX32" i="1" s="1"/>
  <c r="BM32" i="1"/>
  <c r="BD32" i="1"/>
  <c r="BC32" i="1"/>
  <c r="BB32" i="1"/>
  <c r="BA32" i="1"/>
  <c r="AZ32" i="1"/>
  <c r="AY32" i="1"/>
  <c r="BE32" i="1" s="1" a="1"/>
  <c r="BE32" i="1" s="1"/>
  <c r="AX32" i="1"/>
  <c r="M32" i="1"/>
  <c r="EM31" i="1"/>
  <c r="DU31" i="1"/>
  <c r="DT31" i="1"/>
  <c r="DN31" i="1"/>
  <c r="DM31" i="1"/>
  <c r="DL31" i="1"/>
  <c r="DK31" i="1"/>
  <c r="DI31" i="1"/>
  <c r="DJ31" i="1" s="1"/>
  <c r="DB31" i="1"/>
  <c r="DC31" i="1" s="1"/>
  <c r="CX31" i="1"/>
  <c r="CN31" i="1"/>
  <c r="CO31" i="1" s="1"/>
  <c r="BV31" i="1"/>
  <c r="BX31" i="1" s="1"/>
  <c r="BM31" i="1"/>
  <c r="BD31" i="1"/>
  <c r="BC31" i="1"/>
  <c r="BB31" i="1"/>
  <c r="BA31" i="1"/>
  <c r="AZ31" i="1"/>
  <c r="AY31" i="1"/>
  <c r="BE31" i="1" s="1" a="1"/>
  <c r="BE31" i="1" s="1"/>
  <c r="AX31" i="1"/>
  <c r="M31" i="1"/>
  <c r="EM30" i="1"/>
  <c r="DU30" i="1"/>
  <c r="DT30" i="1"/>
  <c r="DN30" i="1"/>
  <c r="DM30" i="1"/>
  <c r="DL30" i="1"/>
  <c r="DK30" i="1"/>
  <c r="DI30" i="1"/>
  <c r="DJ30" i="1" s="1"/>
  <c r="DB30" i="1"/>
  <c r="DC30" i="1" s="1"/>
  <c r="CX30" i="1"/>
  <c r="CN30" i="1"/>
  <c r="CR30" i="1" s="1"/>
  <c r="BV30" i="1"/>
  <c r="BX30" i="1" s="1"/>
  <c r="BM30" i="1"/>
  <c r="BD30" i="1"/>
  <c r="BC30" i="1"/>
  <c r="BB30" i="1"/>
  <c r="BA30" i="1"/>
  <c r="AZ30" i="1"/>
  <c r="AY30" i="1"/>
  <c r="BE30" i="1" s="1" a="1"/>
  <c r="BE30" i="1" s="1"/>
  <c r="AX30" i="1"/>
  <c r="M30" i="1"/>
  <c r="EM29" i="1"/>
  <c r="DU29" i="1"/>
  <c r="DT29" i="1"/>
  <c r="DN29" i="1"/>
  <c r="DM29" i="1"/>
  <c r="DL29" i="1"/>
  <c r="DK29" i="1"/>
  <c r="DI29" i="1"/>
  <c r="DJ29" i="1" s="1"/>
  <c r="DB29" i="1"/>
  <c r="DC29" i="1" s="1"/>
  <c r="CX29" i="1"/>
  <c r="CN29" i="1"/>
  <c r="CS29" i="1" s="1"/>
  <c r="BV29" i="1"/>
  <c r="BX29" i="1" s="1"/>
  <c r="BM29" i="1"/>
  <c r="BD29" i="1"/>
  <c r="BC29" i="1"/>
  <c r="BB29" i="1"/>
  <c r="BA29" i="1"/>
  <c r="AZ29" i="1"/>
  <c r="AY29" i="1"/>
  <c r="BE29" i="1" s="1" a="1"/>
  <c r="BE29" i="1" s="1"/>
  <c r="AX29" i="1"/>
  <c r="M29" i="1"/>
  <c r="EM28" i="1"/>
  <c r="DU28" i="1"/>
  <c r="DT28" i="1"/>
  <c r="DN28" i="1"/>
  <c r="DM28" i="1"/>
  <c r="DL28" i="1"/>
  <c r="DK28" i="1"/>
  <c r="DI28" i="1"/>
  <c r="DJ28" i="1" s="1"/>
  <c r="DB28" i="1"/>
  <c r="DC28" i="1" s="1"/>
  <c r="CX28" i="1"/>
  <c r="CN28" i="1"/>
  <c r="BV28" i="1"/>
  <c r="BX28" i="1" s="1"/>
  <c r="BM28" i="1"/>
  <c r="BD28" i="1"/>
  <c r="BC28" i="1"/>
  <c r="BB28" i="1"/>
  <c r="BA28" i="1"/>
  <c r="AZ28" i="1"/>
  <c r="AY28" i="1"/>
  <c r="BE28" i="1" s="1" a="1"/>
  <c r="BE28" i="1" s="1"/>
  <c r="AX28" i="1"/>
  <c r="M28" i="1"/>
  <c r="EM27" i="1"/>
  <c r="DU27" i="1"/>
  <c r="DT27" i="1"/>
  <c r="DN27" i="1"/>
  <c r="DM27" i="1"/>
  <c r="DL27" i="1"/>
  <c r="DK27" i="1"/>
  <c r="DI27" i="1"/>
  <c r="DJ27" i="1" s="1"/>
  <c r="DB27" i="1"/>
  <c r="DC27" i="1" s="1"/>
  <c r="CX27" i="1"/>
  <c r="CN27" i="1"/>
  <c r="CO27" i="1" s="1"/>
  <c r="BV27" i="1"/>
  <c r="BX27" i="1" s="1"/>
  <c r="BM27" i="1"/>
  <c r="BD27" i="1"/>
  <c r="BC27" i="1"/>
  <c r="BB27" i="1"/>
  <c r="BA27" i="1"/>
  <c r="AZ27" i="1"/>
  <c r="AY27" i="1"/>
  <c r="BE27" i="1" s="1" a="1"/>
  <c r="BE27" i="1" s="1"/>
  <c r="AX27" i="1"/>
  <c r="M27" i="1"/>
  <c r="EM26" i="1"/>
  <c r="DU26" i="1"/>
  <c r="DT26" i="1"/>
  <c r="DN26" i="1"/>
  <c r="DM26" i="1"/>
  <c r="DL26" i="1"/>
  <c r="DK26" i="1"/>
  <c r="DI26" i="1"/>
  <c r="DJ26" i="1" s="1"/>
  <c r="DB26" i="1"/>
  <c r="DC26" i="1" s="1"/>
  <c r="CX26" i="1"/>
  <c r="CN26" i="1"/>
  <c r="BV26" i="1"/>
  <c r="BX26" i="1" s="1"/>
  <c r="BN26" i="1"/>
  <c r="BO26" i="1" s="1"/>
  <c r="BM26" i="1"/>
  <c r="BD26" i="1"/>
  <c r="BC26" i="1"/>
  <c r="BB26" i="1"/>
  <c r="BA26" i="1"/>
  <c r="AZ26" i="1"/>
  <c r="AY26" i="1"/>
  <c r="BE26" i="1" s="1" a="1"/>
  <c r="BE26" i="1" s="1"/>
  <c r="AX26" i="1"/>
  <c r="M26" i="1"/>
  <c r="EM631" i="1"/>
  <c r="DU631" i="1"/>
  <c r="DT631" i="1"/>
  <c r="DN631" i="1"/>
  <c r="DM631" i="1"/>
  <c r="DL631" i="1"/>
  <c r="DK631" i="1"/>
  <c r="DI631" i="1"/>
  <c r="DJ631" i="1" s="1"/>
  <c r="DB631" i="1"/>
  <c r="DC631" i="1" s="1"/>
  <c r="CX631" i="1"/>
  <c r="CN631" i="1"/>
  <c r="CS631" i="1" s="1"/>
  <c r="BV631" i="1"/>
  <c r="BX631" i="1" s="1"/>
  <c r="BO631" i="1"/>
  <c r="BN631" i="1"/>
  <c r="BM631" i="1"/>
  <c r="BD631" i="1"/>
  <c r="BC631" i="1"/>
  <c r="BB631" i="1"/>
  <c r="BA631" i="1"/>
  <c r="AZ631" i="1"/>
  <c r="BF631" i="1" s="1" a="1"/>
  <c r="BF631" i="1" s="1"/>
  <c r="AY631" i="1"/>
  <c r="AX631" i="1"/>
  <c r="M631" i="1"/>
  <c r="EM630" i="1"/>
  <c r="DU630" i="1"/>
  <c r="DT630" i="1"/>
  <c r="DN630" i="1"/>
  <c r="DM630" i="1"/>
  <c r="DL630" i="1"/>
  <c r="DK630" i="1"/>
  <c r="DI630" i="1"/>
  <c r="DJ630" i="1" s="1"/>
  <c r="DB630" i="1"/>
  <c r="DC630" i="1" s="1"/>
  <c r="CX630" i="1"/>
  <c r="CN630" i="1"/>
  <c r="BV630" i="1"/>
  <c r="BX630" i="1" s="1"/>
  <c r="BO630" i="1"/>
  <c r="BN630" i="1"/>
  <c r="BM630" i="1"/>
  <c r="BD630" i="1"/>
  <c r="BC630" i="1"/>
  <c r="BB630" i="1"/>
  <c r="BA630" i="1"/>
  <c r="AZ630" i="1"/>
  <c r="BF630" i="1" s="1" a="1"/>
  <c r="BF630" i="1" s="1"/>
  <c r="AY630" i="1"/>
  <c r="BE630" i="1" s="1" a="1"/>
  <c r="BE630" i="1" s="1"/>
  <c r="AX630" i="1"/>
  <c r="M630" i="1"/>
  <c r="EM629" i="1"/>
  <c r="DU629" i="1"/>
  <c r="DT629" i="1"/>
  <c r="DN629" i="1"/>
  <c r="DM629" i="1"/>
  <c r="DL629" i="1"/>
  <c r="DK629" i="1"/>
  <c r="DI629" i="1"/>
  <c r="DJ629" i="1" s="1"/>
  <c r="DB629" i="1"/>
  <c r="DC629" i="1" s="1"/>
  <c r="CX629" i="1"/>
  <c r="CN629" i="1"/>
  <c r="CO629" i="1" s="1"/>
  <c r="BV629" i="1"/>
  <c r="BX629" i="1" s="1"/>
  <c r="BO629" i="1"/>
  <c r="BN629" i="1"/>
  <c r="BM629" i="1"/>
  <c r="BD629" i="1"/>
  <c r="BC629" i="1"/>
  <c r="BB629" i="1"/>
  <c r="BA629" i="1"/>
  <c r="AZ629" i="1"/>
  <c r="AY629" i="1"/>
  <c r="BE629" i="1" s="1" a="1"/>
  <c r="BE629" i="1" s="1"/>
  <c r="M629" i="1"/>
  <c r="EM628" i="1"/>
  <c r="DU628" i="1"/>
  <c r="DT628" i="1"/>
  <c r="DN628" i="1"/>
  <c r="DM628" i="1"/>
  <c r="DL628" i="1"/>
  <c r="DK628" i="1"/>
  <c r="DI628" i="1"/>
  <c r="DJ628" i="1" s="1"/>
  <c r="DB628" i="1"/>
  <c r="DC628" i="1" s="1"/>
  <c r="CX628" i="1"/>
  <c r="CN628" i="1"/>
  <c r="CP628" i="1" s="1"/>
  <c r="BV628" i="1"/>
  <c r="BX628" i="1" s="1"/>
  <c r="BO628" i="1"/>
  <c r="BN628" i="1"/>
  <c r="BM628" i="1"/>
  <c r="BD628" i="1"/>
  <c r="BC628" i="1"/>
  <c r="BB628" i="1"/>
  <c r="BA628" i="1"/>
  <c r="AZ628" i="1"/>
  <c r="AY628" i="1"/>
  <c r="BE628" i="1" s="1" a="1"/>
  <c r="BE628" i="1" s="1"/>
  <c r="AX628" i="1"/>
  <c r="M628" i="1"/>
  <c r="EM627" i="1"/>
  <c r="DU627" i="1"/>
  <c r="DT627" i="1"/>
  <c r="DN627" i="1"/>
  <c r="DM627" i="1"/>
  <c r="DL627" i="1"/>
  <c r="DK627" i="1"/>
  <c r="DI627" i="1"/>
  <c r="DJ627" i="1" s="1"/>
  <c r="DB627" i="1"/>
  <c r="DC627" i="1" s="1"/>
  <c r="CX627" i="1"/>
  <c r="CN627" i="1"/>
  <c r="CR627" i="1" s="1"/>
  <c r="BV627" i="1"/>
  <c r="BX627" i="1" s="1"/>
  <c r="BO627" i="1"/>
  <c r="BN627" i="1"/>
  <c r="BM627" i="1"/>
  <c r="BD627" i="1"/>
  <c r="BC627" i="1"/>
  <c r="BB627" i="1"/>
  <c r="BA627" i="1"/>
  <c r="AZ627" i="1"/>
  <c r="BF627" i="1" s="1" a="1"/>
  <c r="BF627" i="1" s="1"/>
  <c r="AY627" i="1"/>
  <c r="BE627" i="1" s="1" a="1"/>
  <c r="BE627" i="1" s="1"/>
  <c r="AX627" i="1"/>
  <c r="M627" i="1"/>
  <c r="EM811" i="1"/>
  <c r="DU811" i="1"/>
  <c r="DT811" i="1"/>
  <c r="DN811" i="1"/>
  <c r="DM811" i="1"/>
  <c r="DL811" i="1"/>
  <c r="DK811" i="1"/>
  <c r="DI811" i="1"/>
  <c r="DJ811" i="1" s="1"/>
  <c r="DB811" i="1"/>
  <c r="DC811" i="1" s="1"/>
  <c r="CX811" i="1"/>
  <c r="CN811" i="1"/>
  <c r="BX811" i="1"/>
  <c r="BD811" i="1"/>
  <c r="BC811" i="1"/>
  <c r="BB811" i="1"/>
  <c r="BA811" i="1"/>
  <c r="AZ811" i="1"/>
  <c r="BF811" i="1" s="1" a="1"/>
  <c r="BF811" i="1" s="1"/>
  <c r="AY811" i="1"/>
  <c r="BE811" i="1" s="1" a="1"/>
  <c r="BE811" i="1" s="1"/>
  <c r="AX811" i="1"/>
  <c r="M811" i="1"/>
  <c r="EM810" i="1"/>
  <c r="DU810" i="1"/>
  <c r="DT810" i="1"/>
  <c r="DN810" i="1"/>
  <c r="DM810" i="1"/>
  <c r="DL810" i="1"/>
  <c r="DK810" i="1"/>
  <c r="DI810" i="1"/>
  <c r="DJ810" i="1" s="1"/>
  <c r="DB810" i="1"/>
  <c r="DC810" i="1" s="1"/>
  <c r="CX810" i="1"/>
  <c r="CN810" i="1"/>
  <c r="BX810" i="1"/>
  <c r="BD810" i="1"/>
  <c r="BC810" i="1"/>
  <c r="BB810" i="1"/>
  <c r="BA810" i="1"/>
  <c r="AZ810" i="1"/>
  <c r="BF810" i="1" s="1" a="1"/>
  <c r="BF810" i="1" s="1"/>
  <c r="AY810" i="1"/>
  <c r="BE810" i="1" s="1" a="1"/>
  <c r="BE810" i="1" s="1"/>
  <c r="AX810" i="1"/>
  <c r="M810" i="1"/>
  <c r="EM809" i="1"/>
  <c r="DU809" i="1"/>
  <c r="DT809" i="1"/>
  <c r="DN809" i="1"/>
  <c r="DM809" i="1"/>
  <c r="DL809" i="1"/>
  <c r="DK809" i="1"/>
  <c r="DI809" i="1"/>
  <c r="DJ809" i="1" s="1"/>
  <c r="DB809" i="1"/>
  <c r="DC809" i="1" s="1"/>
  <c r="CX809" i="1"/>
  <c r="CN809" i="1"/>
  <c r="BX809" i="1"/>
  <c r="BD809" i="1"/>
  <c r="BC809" i="1"/>
  <c r="BB809" i="1"/>
  <c r="BA809" i="1"/>
  <c r="AZ809" i="1"/>
  <c r="BF809" i="1" s="1" a="1"/>
  <c r="BF809" i="1" s="1"/>
  <c r="AY809" i="1"/>
  <c r="BE809" i="1" s="1" a="1"/>
  <c r="BE809" i="1" s="1"/>
  <c r="AX809" i="1"/>
  <c r="M809" i="1"/>
  <c r="EM1134" i="1"/>
  <c r="DU1134" i="1"/>
  <c r="DT1134" i="1"/>
  <c r="DN1134" i="1"/>
  <c r="DM1134" i="1"/>
  <c r="DL1134" i="1"/>
  <c r="DK1134" i="1"/>
  <c r="DI1134" i="1"/>
  <c r="DJ1134" i="1" s="1"/>
  <c r="DB1134" i="1"/>
  <c r="DC1134" i="1" s="1"/>
  <c r="CX1134" i="1"/>
  <c r="CN1134" i="1"/>
  <c r="BX1134" i="1"/>
  <c r="BD1134" i="1"/>
  <c r="BC1134" i="1"/>
  <c r="BB1134" i="1"/>
  <c r="BA1134" i="1"/>
  <c r="AZ1134" i="1"/>
  <c r="BF1134" i="1" s="1" a="1"/>
  <c r="BF1134" i="1" s="1"/>
  <c r="AY1134" i="1"/>
  <c r="BE1134" i="1" s="1" a="1"/>
  <c r="BE1134" i="1" s="1"/>
  <c r="AX1134" i="1"/>
  <c r="M1134" i="1"/>
  <c r="EM1133" i="1"/>
  <c r="DU1133" i="1"/>
  <c r="DT1133" i="1"/>
  <c r="DN1133" i="1"/>
  <c r="DM1133" i="1"/>
  <c r="DL1133" i="1"/>
  <c r="DK1133" i="1"/>
  <c r="DI1133" i="1"/>
  <c r="DJ1133" i="1" s="1"/>
  <c r="DB1133" i="1"/>
  <c r="DC1133" i="1" s="1"/>
  <c r="CX1133" i="1"/>
  <c r="CN1133" i="1"/>
  <c r="BX1133" i="1"/>
  <c r="BD1133" i="1"/>
  <c r="BC1133" i="1"/>
  <c r="BB1133" i="1"/>
  <c r="BA1133" i="1"/>
  <c r="AZ1133" i="1"/>
  <c r="BF1133" i="1" s="1" a="1"/>
  <c r="BF1133" i="1" s="1"/>
  <c r="AY1133" i="1"/>
  <c r="BE1133" i="1" s="1" a="1"/>
  <c r="BE1133" i="1" s="1"/>
  <c r="AX1133" i="1"/>
  <c r="M1133" i="1"/>
  <c r="EM626" i="1"/>
  <c r="DU626" i="1"/>
  <c r="DT626" i="1"/>
  <c r="DN626" i="1"/>
  <c r="DM626" i="1"/>
  <c r="DL626" i="1"/>
  <c r="DK626" i="1"/>
  <c r="DI626" i="1"/>
  <c r="DJ626" i="1" s="1"/>
  <c r="DB626" i="1"/>
  <c r="DC626" i="1" s="1"/>
  <c r="CX626" i="1"/>
  <c r="BX626" i="1"/>
  <c r="BD626" i="1"/>
  <c r="BC626" i="1"/>
  <c r="BB626" i="1"/>
  <c r="BA626" i="1"/>
  <c r="AZ626" i="1"/>
  <c r="AY626" i="1"/>
  <c r="BE626" i="1" s="1" a="1"/>
  <c r="BE626" i="1" s="1"/>
  <c r="AX626" i="1"/>
  <c r="M626" i="1"/>
  <c r="EM808" i="1"/>
  <c r="DU808" i="1"/>
  <c r="DT808" i="1"/>
  <c r="DN808" i="1"/>
  <c r="DM808" i="1"/>
  <c r="DL808" i="1"/>
  <c r="DK808" i="1"/>
  <c r="DI808" i="1"/>
  <c r="DJ808" i="1" s="1"/>
  <c r="DC808" i="1"/>
  <c r="CX808" i="1"/>
  <c r="CN808" i="1"/>
  <c r="CS808" i="1" s="1"/>
  <c r="BV808" i="1"/>
  <c r="BX808" i="1" s="1"/>
  <c r="BU808" i="1"/>
  <c r="BN808" i="1"/>
  <c r="BO808" i="1" s="1"/>
  <c r="BM808" i="1"/>
  <c r="BD808" i="1"/>
  <c r="BC808" i="1"/>
  <c r="BB808" i="1"/>
  <c r="BA808" i="1"/>
  <c r="AZ808" i="1"/>
  <c r="AY808" i="1"/>
  <c r="BE808" i="1" s="1" a="1"/>
  <c r="BE808" i="1" s="1"/>
  <c r="AX808" i="1"/>
  <c r="M808" i="1"/>
  <c r="EM807" i="1"/>
  <c r="DU807" i="1"/>
  <c r="DT807" i="1"/>
  <c r="DN807" i="1"/>
  <c r="DM807" i="1"/>
  <c r="DL807" i="1"/>
  <c r="DK807" i="1"/>
  <c r="DI807" i="1"/>
  <c r="DJ807" i="1" s="1"/>
  <c r="DC807" i="1"/>
  <c r="CX807" i="1"/>
  <c r="CN807" i="1"/>
  <c r="BV807" i="1"/>
  <c r="BX807" i="1" s="1"/>
  <c r="BU807" i="1"/>
  <c r="BN807" i="1"/>
  <c r="BO807" i="1" s="1"/>
  <c r="BM807" i="1"/>
  <c r="BD807" i="1"/>
  <c r="BC807" i="1"/>
  <c r="BB807" i="1"/>
  <c r="BA807" i="1"/>
  <c r="AZ807" i="1"/>
  <c r="AY807" i="1"/>
  <c r="BE807" i="1" s="1" a="1"/>
  <c r="BE807" i="1" s="1"/>
  <c r="AX807" i="1"/>
  <c r="M807" i="1"/>
  <c r="EM806" i="1"/>
  <c r="DU806" i="1"/>
  <c r="DT806" i="1"/>
  <c r="DN806" i="1"/>
  <c r="DM806" i="1"/>
  <c r="DL806" i="1"/>
  <c r="DK806" i="1"/>
  <c r="DI806" i="1"/>
  <c r="DJ806" i="1" s="1"/>
  <c r="DC806" i="1"/>
  <c r="CX806" i="1"/>
  <c r="CN806" i="1"/>
  <c r="CO806" i="1" s="1"/>
  <c r="BV806" i="1"/>
  <c r="BX806" i="1" s="1"/>
  <c r="BU806" i="1"/>
  <c r="BN806" i="1"/>
  <c r="BO806" i="1" s="1"/>
  <c r="BM806" i="1"/>
  <c r="BD806" i="1"/>
  <c r="BC806" i="1"/>
  <c r="BB806" i="1"/>
  <c r="BA806" i="1"/>
  <c r="AZ806" i="1"/>
  <c r="BF806" i="1" s="1" a="1"/>
  <c r="BF806" i="1" s="1"/>
  <c r="AY806" i="1"/>
  <c r="BE806" i="1" s="1" a="1"/>
  <c r="BE806" i="1" s="1"/>
  <c r="AX806" i="1"/>
  <c r="M806" i="1"/>
  <c r="EM805" i="1"/>
  <c r="DU805" i="1"/>
  <c r="DT805" i="1"/>
  <c r="DN805" i="1"/>
  <c r="DM805" i="1"/>
  <c r="DL805" i="1"/>
  <c r="DK805" i="1"/>
  <c r="DI805" i="1"/>
  <c r="DJ805" i="1" s="1"/>
  <c r="DC805" i="1"/>
  <c r="CX805" i="1"/>
  <c r="CN805" i="1"/>
  <c r="BV805" i="1"/>
  <c r="BX805" i="1" s="1"/>
  <c r="BU805" i="1"/>
  <c r="BN805" i="1"/>
  <c r="BO805" i="1" s="1"/>
  <c r="BM805" i="1"/>
  <c r="BD805" i="1"/>
  <c r="BC805" i="1"/>
  <c r="BB805" i="1"/>
  <c r="BA805" i="1"/>
  <c r="AZ805" i="1"/>
  <c r="AY805" i="1"/>
  <c r="BE805" i="1" s="1" a="1"/>
  <c r="BE805" i="1" s="1"/>
  <c r="AX805" i="1"/>
  <c r="M805" i="1"/>
  <c r="EM625" i="1"/>
  <c r="DU625" i="1"/>
  <c r="DT625" i="1"/>
  <c r="DN625" i="1"/>
  <c r="DM625" i="1"/>
  <c r="DL625" i="1"/>
  <c r="DK625" i="1"/>
  <c r="DI625" i="1"/>
  <c r="DJ625" i="1" s="1"/>
  <c r="DC625" i="1"/>
  <c r="CX625" i="1"/>
  <c r="CN625" i="1"/>
  <c r="BV625" i="1"/>
  <c r="BX625" i="1" s="1"/>
  <c r="BU625" i="1"/>
  <c r="BN625" i="1"/>
  <c r="BO625" i="1" s="1"/>
  <c r="BM625" i="1"/>
  <c r="BD625" i="1"/>
  <c r="BC625" i="1"/>
  <c r="BB625" i="1"/>
  <c r="BA625" i="1"/>
  <c r="AZ625" i="1"/>
  <c r="AY625" i="1"/>
  <c r="BE625" i="1" s="1" a="1"/>
  <c r="BE625" i="1" s="1"/>
  <c r="AX625" i="1"/>
  <c r="M625" i="1"/>
  <c r="EM624" i="1"/>
  <c r="DU624" i="1"/>
  <c r="DT624" i="1"/>
  <c r="DN624" i="1"/>
  <c r="DM624" i="1"/>
  <c r="DL624" i="1"/>
  <c r="DK624" i="1"/>
  <c r="DI624" i="1"/>
  <c r="DJ624" i="1" s="1"/>
  <c r="DC624" i="1"/>
  <c r="CX624" i="1"/>
  <c r="CN624" i="1"/>
  <c r="BV624" i="1"/>
  <c r="BX624" i="1" s="1"/>
  <c r="BU624" i="1"/>
  <c r="BN624" i="1"/>
  <c r="BO624" i="1" s="1"/>
  <c r="BM624" i="1"/>
  <c r="BD624" i="1"/>
  <c r="BC624" i="1"/>
  <c r="BB624" i="1"/>
  <c r="BA624" i="1"/>
  <c r="AZ624" i="1"/>
  <c r="AY624" i="1"/>
  <c r="BE624" i="1" s="1" a="1"/>
  <c r="BE624" i="1" s="1"/>
  <c r="AX624" i="1"/>
  <c r="M624" i="1"/>
  <c r="EM1132" i="1"/>
  <c r="DU1132" i="1"/>
  <c r="DT1132" i="1"/>
  <c r="DN1132" i="1"/>
  <c r="DM1132" i="1"/>
  <c r="DL1132" i="1"/>
  <c r="DK1132" i="1"/>
  <c r="DI1132" i="1"/>
  <c r="DJ1132" i="1" s="1"/>
  <c r="DC1132" i="1"/>
  <c r="CX1132" i="1"/>
  <c r="BV1132" i="1"/>
  <c r="BX1132" i="1" s="1"/>
  <c r="BU1132" i="1"/>
  <c r="BL1132" i="1"/>
  <c r="CN1132" i="1" s="1"/>
  <c r="BD1132" i="1"/>
  <c r="BC1132" i="1"/>
  <c r="BB1132" i="1"/>
  <c r="BA1132" i="1"/>
  <c r="AZ1132" i="1"/>
  <c r="AY1132" i="1"/>
  <c r="BE1132" i="1" s="1" a="1"/>
  <c r="BE1132" i="1" s="1"/>
  <c r="AX1132" i="1"/>
  <c r="M1132" i="1"/>
  <c r="EP200" i="1"/>
  <c r="EP210" i="1"/>
  <c r="EP211" i="1"/>
  <c r="EP212" i="1"/>
  <c r="EP213" i="1"/>
  <c r="EP201" i="1"/>
  <c r="EP214" i="1"/>
  <c r="EP215" i="1"/>
  <c r="EP216" i="1"/>
  <c r="EP217" i="1"/>
  <c r="EP218" i="1"/>
  <c r="EP202" i="1"/>
  <c r="EP219" i="1"/>
  <c r="EP220" i="1"/>
  <c r="EP221" i="1"/>
  <c r="EP222" i="1"/>
  <c r="EP223" i="1"/>
  <c r="EP224" i="1"/>
  <c r="EP203" i="1"/>
  <c r="EP225" i="1"/>
  <c r="EP226" i="1"/>
  <c r="EP227" i="1"/>
  <c r="EP204" i="1"/>
  <c r="EP205" i="1"/>
  <c r="EP228" i="1"/>
  <c r="EP206" i="1"/>
  <c r="EP229" i="1"/>
  <c r="EP207" i="1"/>
  <c r="EP230" i="1"/>
  <c r="EP231" i="1"/>
  <c r="EP232" i="1"/>
  <c r="EP233" i="1"/>
  <c r="EP234" i="1"/>
  <c r="EP235" i="1"/>
  <c r="EP236" i="1"/>
  <c r="EP237" i="1"/>
  <c r="EP238" i="1"/>
  <c r="EP239" i="1"/>
  <c r="EP240" i="1"/>
  <c r="EP241" i="1"/>
  <c r="EP208" i="1"/>
  <c r="EP242" i="1"/>
  <c r="EP243" i="1"/>
  <c r="EP244" i="1"/>
  <c r="EP245" i="1"/>
  <c r="EP246" i="1"/>
  <c r="EP247" i="1"/>
  <c r="EP248" i="1"/>
  <c r="EP249" i="1"/>
  <c r="EP250" i="1"/>
  <c r="EP251" i="1"/>
  <c r="EP252" i="1"/>
  <c r="EP253" i="1"/>
  <c r="EP254" i="1"/>
  <c r="EP209" i="1"/>
  <c r="EP255" i="1"/>
  <c r="EP256" i="1"/>
  <c r="EP257" i="1"/>
  <c r="EP258" i="1"/>
  <c r="EP259" i="1"/>
  <c r="EP260" i="1"/>
  <c r="EP261" i="1"/>
  <c r="EP262" i="1"/>
  <c r="EP263" i="1"/>
  <c r="EP264" i="1"/>
  <c r="EP265" i="1"/>
  <c r="EP266" i="1"/>
  <c r="EP267" i="1"/>
  <c r="EP268" i="1"/>
  <c r="EP269" i="1"/>
  <c r="EP270" i="1"/>
  <c r="EP271" i="1"/>
  <c r="EP272" i="1"/>
  <c r="EP273" i="1"/>
  <c r="EP274" i="1"/>
  <c r="EP275" i="1"/>
  <c r="EP276" i="1"/>
  <c r="EP277" i="1"/>
  <c r="EP278" i="1"/>
  <c r="EP279" i="1"/>
  <c r="EP280" i="1"/>
  <c r="EP281" i="1"/>
  <c r="EM1236" i="1"/>
  <c r="DU1236" i="1"/>
  <c r="DT1236" i="1"/>
  <c r="DN1236" i="1"/>
  <c r="DM1236" i="1"/>
  <c r="DL1236" i="1"/>
  <c r="DK1236" i="1"/>
  <c r="DI1236" i="1"/>
  <c r="DJ1236" i="1" s="1"/>
  <c r="DC1236" i="1"/>
  <c r="CX1236" i="1"/>
  <c r="BV1236" i="1"/>
  <c r="BX1236" i="1" s="1"/>
  <c r="BL1236" i="1"/>
  <c r="CN1236" i="1" s="1"/>
  <c r="BK1236" i="1"/>
  <c r="BD1236" i="1"/>
  <c r="BC1236" i="1"/>
  <c r="BB1236" i="1"/>
  <c r="BA1236" i="1"/>
  <c r="AZ1236" i="1"/>
  <c r="AY1236" i="1"/>
  <c r="BE1236" i="1" s="1" a="1"/>
  <c r="BE1236" i="1" s="1"/>
  <c r="AX1236" i="1"/>
  <c r="M1236" i="1"/>
  <c r="EM1235" i="1"/>
  <c r="DU1235" i="1"/>
  <c r="DT1235" i="1"/>
  <c r="DN1235" i="1"/>
  <c r="DM1235" i="1"/>
  <c r="DL1235" i="1"/>
  <c r="DK1235" i="1"/>
  <c r="DI1235" i="1"/>
  <c r="DJ1235" i="1" s="1"/>
  <c r="DC1235" i="1"/>
  <c r="CX1235" i="1"/>
  <c r="BV1235" i="1"/>
  <c r="BX1235" i="1" s="1"/>
  <c r="BL1235" i="1"/>
  <c r="BK1235" i="1"/>
  <c r="BD1235" i="1"/>
  <c r="BC1235" i="1"/>
  <c r="BB1235" i="1"/>
  <c r="BA1235" i="1"/>
  <c r="AZ1235" i="1"/>
  <c r="AY1235" i="1"/>
  <c r="BE1235" i="1" s="1" a="1"/>
  <c r="BE1235" i="1" s="1"/>
  <c r="AX1235" i="1"/>
  <c r="M1235" i="1"/>
  <c r="EM163" i="1"/>
  <c r="DU163" i="1"/>
  <c r="DT163" i="1"/>
  <c r="DN163" i="1"/>
  <c r="DM163" i="1"/>
  <c r="DL163" i="1"/>
  <c r="DK163" i="1"/>
  <c r="DI163" i="1"/>
  <c r="DJ163" i="1" s="1"/>
  <c r="DC163" i="1"/>
  <c r="CX163" i="1"/>
  <c r="CN163" i="1"/>
  <c r="CP163" i="1" s="1"/>
  <c r="BX163" i="1"/>
  <c r="BN163" i="1"/>
  <c r="BO163" i="1" s="1"/>
  <c r="BD163" i="1"/>
  <c r="BC163" i="1"/>
  <c r="BB163" i="1"/>
  <c r="BA163" i="1"/>
  <c r="AZ163" i="1"/>
  <c r="AY163" i="1"/>
  <c r="AX163" i="1"/>
  <c r="U163" i="1"/>
  <c r="M163" i="1"/>
  <c r="EM162" i="1"/>
  <c r="DU162" i="1"/>
  <c r="DT162" i="1"/>
  <c r="DN162" i="1"/>
  <c r="DM162" i="1"/>
  <c r="DL162" i="1"/>
  <c r="DK162" i="1"/>
  <c r="DI162" i="1"/>
  <c r="DJ162" i="1" s="1"/>
  <c r="DC162" i="1"/>
  <c r="CX162" i="1"/>
  <c r="CN162" i="1"/>
  <c r="CP162" i="1" s="1"/>
  <c r="BX162" i="1"/>
  <c r="BN162" i="1"/>
  <c r="BO162" i="1" s="1"/>
  <c r="BD162" i="1"/>
  <c r="BC162" i="1"/>
  <c r="BB162" i="1"/>
  <c r="BA162" i="1"/>
  <c r="AZ162" i="1"/>
  <c r="AY162" i="1"/>
  <c r="AX162" i="1"/>
  <c r="U162" i="1"/>
  <c r="M162" i="1"/>
  <c r="EM161" i="1"/>
  <c r="DU161" i="1"/>
  <c r="DT161" i="1"/>
  <c r="DN161" i="1"/>
  <c r="DM161" i="1"/>
  <c r="DL161" i="1"/>
  <c r="DK161" i="1"/>
  <c r="DI161" i="1"/>
  <c r="DJ161" i="1" s="1"/>
  <c r="DC161" i="1"/>
  <c r="CX161" i="1"/>
  <c r="CN161" i="1"/>
  <c r="CP161" i="1" s="1"/>
  <c r="BX161" i="1"/>
  <c r="BN161" i="1"/>
  <c r="BO161" i="1" s="1"/>
  <c r="BD161" i="1"/>
  <c r="BC161" i="1"/>
  <c r="BB161" i="1"/>
  <c r="BA161" i="1"/>
  <c r="AZ161" i="1"/>
  <c r="AY161" i="1"/>
  <c r="AX161" i="1"/>
  <c r="U161" i="1"/>
  <c r="M161" i="1"/>
  <c r="EM160" i="1"/>
  <c r="DU160" i="1"/>
  <c r="DT160" i="1"/>
  <c r="DN160" i="1"/>
  <c r="DM160" i="1"/>
  <c r="DL160" i="1"/>
  <c r="DK160" i="1"/>
  <c r="DI160" i="1"/>
  <c r="DJ160" i="1" s="1"/>
  <c r="DC160" i="1"/>
  <c r="CX160" i="1"/>
  <c r="CN160" i="1"/>
  <c r="CO160" i="1" s="1"/>
  <c r="BX160" i="1"/>
  <c r="BN160" i="1"/>
  <c r="BO160" i="1" s="1"/>
  <c r="BD160" i="1"/>
  <c r="BC160" i="1"/>
  <c r="BB160" i="1"/>
  <c r="BA160" i="1"/>
  <c r="AZ160" i="1"/>
  <c r="AY160" i="1"/>
  <c r="AX160" i="1"/>
  <c r="U160" i="1"/>
  <c r="M160" i="1"/>
  <c r="EM159" i="1"/>
  <c r="DU159" i="1"/>
  <c r="DT159" i="1"/>
  <c r="DN159" i="1"/>
  <c r="DM159" i="1"/>
  <c r="DL159" i="1"/>
  <c r="DK159" i="1"/>
  <c r="DI159" i="1"/>
  <c r="DJ159" i="1" s="1"/>
  <c r="DC159" i="1"/>
  <c r="CX159" i="1"/>
  <c r="CN159" i="1"/>
  <c r="CS159" i="1" s="1"/>
  <c r="BX159" i="1"/>
  <c r="BN159" i="1"/>
  <c r="BO159" i="1" s="1"/>
  <c r="BD159" i="1"/>
  <c r="BC159" i="1"/>
  <c r="BB159" i="1"/>
  <c r="BA159" i="1"/>
  <c r="AZ159" i="1"/>
  <c r="AY159" i="1"/>
  <c r="AX159" i="1"/>
  <c r="U159" i="1"/>
  <c r="M159" i="1"/>
  <c r="EM158" i="1"/>
  <c r="DU158" i="1"/>
  <c r="DT158" i="1"/>
  <c r="DN158" i="1"/>
  <c r="DM158" i="1"/>
  <c r="DL158" i="1"/>
  <c r="DK158" i="1"/>
  <c r="DI158" i="1"/>
  <c r="DJ158" i="1" s="1"/>
  <c r="DC158" i="1"/>
  <c r="CX158" i="1"/>
  <c r="CN158" i="1"/>
  <c r="CR158" i="1" s="1"/>
  <c r="BX158" i="1"/>
  <c r="BN158" i="1"/>
  <c r="BO158" i="1" s="1"/>
  <c r="BD158" i="1"/>
  <c r="BC158" i="1"/>
  <c r="BB158" i="1"/>
  <c r="BA158" i="1"/>
  <c r="AZ158" i="1"/>
  <c r="AY158" i="1"/>
  <c r="AX158" i="1"/>
  <c r="U158" i="1"/>
  <c r="M158" i="1"/>
  <c r="EM157" i="1"/>
  <c r="DU157" i="1"/>
  <c r="DT157" i="1"/>
  <c r="DN157" i="1"/>
  <c r="DM157" i="1"/>
  <c r="DL157" i="1"/>
  <c r="DK157" i="1"/>
  <c r="DI157" i="1"/>
  <c r="DJ157" i="1" s="1"/>
  <c r="DC157" i="1"/>
  <c r="CX157" i="1"/>
  <c r="CN157" i="1"/>
  <c r="CS157" i="1" s="1"/>
  <c r="BX157" i="1"/>
  <c r="BN157" i="1"/>
  <c r="BO157" i="1" s="1"/>
  <c r="BD157" i="1"/>
  <c r="BC157" i="1"/>
  <c r="BB157" i="1"/>
  <c r="BA157" i="1"/>
  <c r="AZ157" i="1"/>
  <c r="AY157" i="1"/>
  <c r="AX157" i="1"/>
  <c r="U157" i="1"/>
  <c r="M157" i="1"/>
  <c r="EM156" i="1"/>
  <c r="DU156" i="1"/>
  <c r="DT156" i="1"/>
  <c r="DN156" i="1"/>
  <c r="DM156" i="1"/>
  <c r="DL156" i="1"/>
  <c r="DK156" i="1"/>
  <c r="DI156" i="1"/>
  <c r="DJ156" i="1" s="1"/>
  <c r="DC156" i="1"/>
  <c r="CX156" i="1"/>
  <c r="CN156" i="1"/>
  <c r="CS156" i="1" s="1"/>
  <c r="BX156" i="1"/>
  <c r="BN156" i="1"/>
  <c r="BO156" i="1" s="1"/>
  <c r="BD156" i="1"/>
  <c r="BC156" i="1"/>
  <c r="BB156" i="1"/>
  <c r="BA156" i="1"/>
  <c r="AZ156" i="1"/>
  <c r="AY156" i="1"/>
  <c r="AX156" i="1"/>
  <c r="U156" i="1"/>
  <c r="M156" i="1"/>
  <c r="EM155" i="1"/>
  <c r="DU155" i="1"/>
  <c r="DT155" i="1"/>
  <c r="DN155" i="1"/>
  <c r="DM155" i="1"/>
  <c r="DL155" i="1"/>
  <c r="DK155" i="1"/>
  <c r="DI155" i="1"/>
  <c r="DJ155" i="1" s="1"/>
  <c r="DC155" i="1"/>
  <c r="CX155" i="1"/>
  <c r="CN155" i="1"/>
  <c r="CP155" i="1" s="1"/>
  <c r="BX155" i="1"/>
  <c r="BN155" i="1"/>
  <c r="BO155" i="1" s="1"/>
  <c r="BD155" i="1"/>
  <c r="BC155" i="1"/>
  <c r="BB155" i="1"/>
  <c r="BA155" i="1"/>
  <c r="AZ155" i="1"/>
  <c r="AY155" i="1"/>
  <c r="AX155" i="1"/>
  <c r="U155" i="1"/>
  <c r="M155" i="1"/>
  <c r="EM80" i="1"/>
  <c r="DU80" i="1"/>
  <c r="DT80" i="1"/>
  <c r="DN80" i="1"/>
  <c r="DM80" i="1"/>
  <c r="DL80" i="1"/>
  <c r="DK80" i="1"/>
  <c r="DI80" i="1"/>
  <c r="DJ80" i="1" s="1"/>
  <c r="DC80" i="1"/>
  <c r="CX80" i="1"/>
  <c r="CN80" i="1"/>
  <c r="CS80" i="1" s="1"/>
  <c r="BX80" i="1"/>
  <c r="BN80" i="1"/>
  <c r="BO80" i="1" s="1"/>
  <c r="BD80" i="1"/>
  <c r="BC80" i="1"/>
  <c r="BB80" i="1"/>
  <c r="BA80" i="1"/>
  <c r="AZ80" i="1"/>
  <c r="AY80" i="1"/>
  <c r="AX80" i="1"/>
  <c r="U80" i="1"/>
  <c r="M80" i="1"/>
  <c r="EM79" i="1"/>
  <c r="DU79" i="1"/>
  <c r="DT79" i="1"/>
  <c r="DN79" i="1"/>
  <c r="DM79" i="1"/>
  <c r="DL79" i="1"/>
  <c r="DK79" i="1"/>
  <c r="DI79" i="1"/>
  <c r="DJ79" i="1" s="1"/>
  <c r="DC79" i="1"/>
  <c r="CX79" i="1"/>
  <c r="CN79" i="1"/>
  <c r="CR79" i="1" s="1"/>
  <c r="BX79" i="1"/>
  <c r="BN79" i="1"/>
  <c r="BO79" i="1" s="1"/>
  <c r="BD79" i="1"/>
  <c r="BC79" i="1"/>
  <c r="BB79" i="1"/>
  <c r="BA79" i="1"/>
  <c r="AZ79" i="1"/>
  <c r="AY79" i="1"/>
  <c r="AX79" i="1"/>
  <c r="U79" i="1"/>
  <c r="M79" i="1"/>
  <c r="EM78" i="1"/>
  <c r="DU78" i="1"/>
  <c r="DT78" i="1"/>
  <c r="DN78" i="1"/>
  <c r="DM78" i="1"/>
  <c r="DL78" i="1"/>
  <c r="DK78" i="1"/>
  <c r="DI78" i="1"/>
  <c r="DJ78" i="1" s="1"/>
  <c r="DC78" i="1"/>
  <c r="CX78" i="1"/>
  <c r="CN78" i="1"/>
  <c r="CO78" i="1" s="1"/>
  <c r="BX78" i="1"/>
  <c r="BN78" i="1"/>
  <c r="BO78" i="1" s="1"/>
  <c r="BD78" i="1"/>
  <c r="BC78" i="1"/>
  <c r="BB78" i="1"/>
  <c r="BA78" i="1"/>
  <c r="AZ78" i="1"/>
  <c r="AY78" i="1"/>
  <c r="AX78" i="1"/>
  <c r="U78" i="1"/>
  <c r="M78" i="1"/>
  <c r="EM77" i="1"/>
  <c r="DU77" i="1"/>
  <c r="DT77" i="1"/>
  <c r="DN77" i="1"/>
  <c r="DM77" i="1"/>
  <c r="DL77" i="1"/>
  <c r="DK77" i="1"/>
  <c r="DI77" i="1"/>
  <c r="DJ77" i="1" s="1"/>
  <c r="DC77" i="1"/>
  <c r="CX77" i="1"/>
  <c r="CN77" i="1"/>
  <c r="CS77" i="1" s="1"/>
  <c r="BX77" i="1"/>
  <c r="BN77" i="1"/>
  <c r="BO77" i="1" s="1"/>
  <c r="BD77" i="1"/>
  <c r="BC77" i="1"/>
  <c r="BB77" i="1"/>
  <c r="BA77" i="1"/>
  <c r="AZ77" i="1"/>
  <c r="AY77" i="1"/>
  <c r="AX77" i="1"/>
  <c r="U77" i="1"/>
  <c r="M77" i="1"/>
  <c r="EM76" i="1"/>
  <c r="DU76" i="1"/>
  <c r="DT76" i="1"/>
  <c r="DN76" i="1"/>
  <c r="DM76" i="1"/>
  <c r="DL76" i="1"/>
  <c r="DK76" i="1"/>
  <c r="DI76" i="1"/>
  <c r="DJ76" i="1" s="1"/>
  <c r="DC76" i="1"/>
  <c r="CX76" i="1"/>
  <c r="CN76" i="1"/>
  <c r="CR76" i="1" s="1"/>
  <c r="BX76" i="1"/>
  <c r="BN76" i="1"/>
  <c r="BO76" i="1" s="1"/>
  <c r="BD76" i="1"/>
  <c r="BC76" i="1"/>
  <c r="BB76" i="1"/>
  <c r="BA76" i="1"/>
  <c r="AZ76" i="1"/>
  <c r="AY76" i="1"/>
  <c r="AX76" i="1"/>
  <c r="U76" i="1"/>
  <c r="M76" i="1"/>
  <c r="EM75" i="1"/>
  <c r="DU75" i="1"/>
  <c r="DT75" i="1"/>
  <c r="DN75" i="1"/>
  <c r="DM75" i="1"/>
  <c r="DL75" i="1"/>
  <c r="DK75" i="1"/>
  <c r="DI75" i="1"/>
  <c r="DJ75" i="1" s="1"/>
  <c r="DC75" i="1"/>
  <c r="CX75" i="1"/>
  <c r="CN75" i="1"/>
  <c r="CO75" i="1" s="1"/>
  <c r="BV75" i="1"/>
  <c r="BX75" i="1" s="1"/>
  <c r="BU75" i="1"/>
  <c r="BN75" i="1"/>
  <c r="BO75" i="1" s="1"/>
  <c r="BM75" i="1"/>
  <c r="BD75" i="1"/>
  <c r="BC75" i="1"/>
  <c r="BB75" i="1"/>
  <c r="BA75" i="1"/>
  <c r="AZ75" i="1"/>
  <c r="AY75" i="1"/>
  <c r="AX75" i="1"/>
  <c r="T75" i="1"/>
  <c r="M75" i="1"/>
  <c r="EM74" i="1"/>
  <c r="DU74" i="1"/>
  <c r="DT74" i="1"/>
  <c r="DN74" i="1"/>
  <c r="DM74" i="1"/>
  <c r="DL74" i="1"/>
  <c r="DK74" i="1"/>
  <c r="DI74" i="1"/>
  <c r="DJ74" i="1" s="1"/>
  <c r="DC74" i="1"/>
  <c r="CX74" i="1"/>
  <c r="CN74" i="1"/>
  <c r="CS74" i="1" s="1"/>
  <c r="BV74" i="1"/>
  <c r="BX74" i="1" s="1"/>
  <c r="BU74" i="1"/>
  <c r="BN74" i="1"/>
  <c r="BO74" i="1" s="1"/>
  <c r="BM74" i="1"/>
  <c r="BD74" i="1"/>
  <c r="BC74" i="1"/>
  <c r="BB74" i="1"/>
  <c r="BA74" i="1"/>
  <c r="AZ74" i="1"/>
  <c r="AY74" i="1"/>
  <c r="AX74" i="1"/>
  <c r="T74" i="1"/>
  <c r="M74" i="1"/>
  <c r="EM73" i="1"/>
  <c r="DU73" i="1"/>
  <c r="DT73" i="1"/>
  <c r="DN73" i="1"/>
  <c r="DM73" i="1"/>
  <c r="DL73" i="1"/>
  <c r="DK73" i="1"/>
  <c r="DI73" i="1"/>
  <c r="DJ73" i="1" s="1"/>
  <c r="DC73" i="1"/>
  <c r="CX73" i="1"/>
  <c r="CN73" i="1"/>
  <c r="BV73" i="1"/>
  <c r="BX73" i="1" s="1"/>
  <c r="BU73" i="1"/>
  <c r="BN73" i="1"/>
  <c r="BO73" i="1" s="1"/>
  <c r="BM73" i="1"/>
  <c r="BD73" i="1"/>
  <c r="BC73" i="1"/>
  <c r="BB73" i="1"/>
  <c r="BA73" i="1"/>
  <c r="AZ73" i="1"/>
  <c r="AY73" i="1"/>
  <c r="AX73" i="1"/>
  <c r="T73" i="1"/>
  <c r="M73" i="1"/>
  <c r="EM72" i="1"/>
  <c r="DU72" i="1"/>
  <c r="DT72" i="1"/>
  <c r="DN72" i="1"/>
  <c r="DM72" i="1"/>
  <c r="DL72" i="1"/>
  <c r="DK72" i="1"/>
  <c r="DI72" i="1"/>
  <c r="DJ72" i="1" s="1"/>
  <c r="DC72" i="1"/>
  <c r="CX72" i="1"/>
  <c r="CN72" i="1"/>
  <c r="CS72" i="1" s="1"/>
  <c r="BV72" i="1"/>
  <c r="BX72" i="1" s="1"/>
  <c r="BU72" i="1"/>
  <c r="BN72" i="1"/>
  <c r="BO72" i="1" s="1"/>
  <c r="BM72" i="1"/>
  <c r="BD72" i="1"/>
  <c r="BC72" i="1"/>
  <c r="BB72" i="1"/>
  <c r="BA72" i="1"/>
  <c r="AZ72" i="1"/>
  <c r="AY72" i="1"/>
  <c r="AX72" i="1"/>
  <c r="T72" i="1"/>
  <c r="M72" i="1"/>
  <c r="EM71" i="1"/>
  <c r="DU71" i="1"/>
  <c r="DT71" i="1"/>
  <c r="DN71" i="1"/>
  <c r="DM71" i="1"/>
  <c r="DL71" i="1"/>
  <c r="DK71" i="1"/>
  <c r="DI71" i="1"/>
  <c r="DJ71" i="1" s="1"/>
  <c r="DC71" i="1"/>
  <c r="CX71" i="1"/>
  <c r="CN71" i="1"/>
  <c r="BV71" i="1"/>
  <c r="BX71" i="1" s="1"/>
  <c r="BU71" i="1"/>
  <c r="BN71" i="1"/>
  <c r="BO71" i="1" s="1"/>
  <c r="BM71" i="1"/>
  <c r="BD71" i="1"/>
  <c r="BC71" i="1"/>
  <c r="BB71" i="1"/>
  <c r="BA71" i="1"/>
  <c r="AZ71" i="1"/>
  <c r="AY71" i="1"/>
  <c r="AX71" i="1"/>
  <c r="T71" i="1"/>
  <c r="M71" i="1"/>
  <c r="EM70" i="1"/>
  <c r="DU70" i="1"/>
  <c r="DT70" i="1"/>
  <c r="DN70" i="1"/>
  <c r="DM70" i="1"/>
  <c r="DL70" i="1"/>
  <c r="DK70" i="1"/>
  <c r="DI70" i="1"/>
  <c r="DJ70" i="1" s="1"/>
  <c r="DC70" i="1"/>
  <c r="CX70" i="1"/>
  <c r="CN70" i="1"/>
  <c r="CO70" i="1" s="1"/>
  <c r="BV70" i="1"/>
  <c r="BX70" i="1" s="1"/>
  <c r="BU70" i="1"/>
  <c r="BN70" i="1"/>
  <c r="BO70" i="1" s="1"/>
  <c r="BM70" i="1"/>
  <c r="BD70" i="1"/>
  <c r="BC70" i="1"/>
  <c r="BB70" i="1"/>
  <c r="BA70" i="1"/>
  <c r="AZ70" i="1"/>
  <c r="AY70" i="1"/>
  <c r="AX70" i="1"/>
  <c r="T70" i="1"/>
  <c r="M70" i="1"/>
  <c r="EM1201" i="1"/>
  <c r="DU1201" i="1"/>
  <c r="DT1201" i="1"/>
  <c r="DN1201" i="1"/>
  <c r="DM1201" i="1"/>
  <c r="DL1201" i="1"/>
  <c r="DK1201" i="1"/>
  <c r="DI1201" i="1"/>
  <c r="DJ1201" i="1" s="1"/>
  <c r="DC1201" i="1"/>
  <c r="CX1201" i="1"/>
  <c r="BV1201" i="1"/>
  <c r="BX1201" i="1" s="1"/>
  <c r="BU1201" i="1"/>
  <c r="BL1201" i="1"/>
  <c r="BO1201" i="1" s="1"/>
  <c r="BK1201" i="1"/>
  <c r="BD1201" i="1"/>
  <c r="BC1201" i="1"/>
  <c r="BB1201" i="1"/>
  <c r="BA1201" i="1"/>
  <c r="AZ1201" i="1"/>
  <c r="BF1201" i="1" s="1" a="1"/>
  <c r="BF1201" i="1" s="1"/>
  <c r="AY1201" i="1"/>
  <c r="BE1201" i="1" s="1" a="1"/>
  <c r="BE1201" i="1" s="1"/>
  <c r="AX1201" i="1"/>
  <c r="M1201" i="1"/>
  <c r="EM1234" i="1"/>
  <c r="DU1234" i="1"/>
  <c r="DT1234" i="1"/>
  <c r="DN1234" i="1"/>
  <c r="DM1234" i="1"/>
  <c r="DL1234" i="1"/>
  <c r="DK1234" i="1"/>
  <c r="DI1234" i="1"/>
  <c r="DJ1234" i="1" s="1"/>
  <c r="DC1234" i="1"/>
  <c r="CX1234" i="1"/>
  <c r="BT1234" i="1"/>
  <c r="BS1234" i="1"/>
  <c r="BL1234" i="1"/>
  <c r="BK1234" i="1"/>
  <c r="BD1234" i="1"/>
  <c r="BC1234" i="1"/>
  <c r="BB1234" i="1"/>
  <c r="BA1234" i="1"/>
  <c r="AZ1234" i="1"/>
  <c r="AY1234" i="1"/>
  <c r="BE1234" i="1" s="1" a="1"/>
  <c r="BE1234" i="1" s="1"/>
  <c r="AX1234" i="1"/>
  <c r="M1234" i="1"/>
  <c r="EM1200" i="1"/>
  <c r="DU1200" i="1"/>
  <c r="DT1200" i="1"/>
  <c r="DN1200" i="1"/>
  <c r="DM1200" i="1"/>
  <c r="DL1200" i="1"/>
  <c r="DK1200" i="1"/>
  <c r="DI1200" i="1"/>
  <c r="DJ1200" i="1" s="1"/>
  <c r="DC1200" i="1"/>
  <c r="CX1200" i="1"/>
  <c r="BV1200" i="1"/>
  <c r="BX1200" i="1" s="1"/>
  <c r="BU1200" i="1"/>
  <c r="BL1200" i="1"/>
  <c r="BK1200" i="1"/>
  <c r="BD1200" i="1"/>
  <c r="BC1200" i="1"/>
  <c r="BB1200" i="1"/>
  <c r="BA1200" i="1"/>
  <c r="AZ1200" i="1"/>
  <c r="AY1200" i="1"/>
  <c r="BE1200" i="1" s="1" a="1"/>
  <c r="BE1200" i="1" s="1"/>
  <c r="AX1200" i="1"/>
  <c r="M1200" i="1"/>
  <c r="EM1199" i="1"/>
  <c r="DU1199" i="1"/>
  <c r="DT1199" i="1"/>
  <c r="DN1199" i="1"/>
  <c r="DM1199" i="1"/>
  <c r="DL1199" i="1"/>
  <c r="DK1199" i="1"/>
  <c r="DI1199" i="1"/>
  <c r="DJ1199" i="1" s="1"/>
  <c r="DC1199" i="1"/>
  <c r="CX1199" i="1"/>
  <c r="BV1199" i="1"/>
  <c r="BX1199" i="1" s="1"/>
  <c r="BU1199" i="1"/>
  <c r="BL1199" i="1"/>
  <c r="CN1199" i="1" s="1"/>
  <c r="BK1199" i="1"/>
  <c r="BD1199" i="1"/>
  <c r="BC1199" i="1"/>
  <c r="BB1199" i="1"/>
  <c r="BA1199" i="1"/>
  <c r="AZ1199" i="1"/>
  <c r="AY1199" i="1"/>
  <c r="BE1199" i="1" s="1" a="1"/>
  <c r="BE1199" i="1" s="1"/>
  <c r="AX1199" i="1"/>
  <c r="M1199" i="1"/>
  <c r="EM1233" i="1"/>
  <c r="DU1233" i="1"/>
  <c r="DT1233" i="1"/>
  <c r="DN1233" i="1"/>
  <c r="DM1233" i="1"/>
  <c r="DL1233" i="1"/>
  <c r="DK1233" i="1"/>
  <c r="DI1233" i="1"/>
  <c r="DJ1233" i="1" s="1"/>
  <c r="DC1233" i="1"/>
  <c r="CX1233" i="1"/>
  <c r="BV1233" i="1"/>
  <c r="BX1233" i="1" s="1"/>
  <c r="BU1233" i="1"/>
  <c r="BL1233" i="1"/>
  <c r="BK1233" i="1"/>
  <c r="BD1233" i="1"/>
  <c r="BC1233" i="1"/>
  <c r="BB1233" i="1"/>
  <c r="BA1233" i="1"/>
  <c r="AZ1233" i="1"/>
  <c r="BF1233" i="1" s="1" a="1"/>
  <c r="BF1233" i="1" s="1"/>
  <c r="AY1233" i="1"/>
  <c r="BE1233" i="1" s="1" a="1"/>
  <c r="BE1233" i="1" s="1"/>
  <c r="AX1233" i="1"/>
  <c r="M1233" i="1"/>
  <c r="EM1232" i="1"/>
  <c r="DU1232" i="1"/>
  <c r="DT1232" i="1"/>
  <c r="DN1232" i="1"/>
  <c r="DM1232" i="1"/>
  <c r="DL1232" i="1"/>
  <c r="DK1232" i="1"/>
  <c r="DI1232" i="1"/>
  <c r="DJ1232" i="1" s="1"/>
  <c r="DC1232" i="1"/>
  <c r="CX1232" i="1"/>
  <c r="BT1232" i="1"/>
  <c r="BS1232" i="1"/>
  <c r="BL1232" i="1"/>
  <c r="BK1232" i="1"/>
  <c r="BD1232" i="1"/>
  <c r="BC1232" i="1"/>
  <c r="BB1232" i="1"/>
  <c r="BA1232" i="1"/>
  <c r="AZ1232" i="1"/>
  <c r="AY1232" i="1"/>
  <c r="BE1232" i="1" s="1" a="1"/>
  <c r="BE1232" i="1" s="1"/>
  <c r="AX1232" i="1"/>
  <c r="M1232" i="1"/>
  <c r="EM823" i="1"/>
  <c r="DU823" i="1"/>
  <c r="DT823" i="1"/>
  <c r="DN823" i="1"/>
  <c r="DM823" i="1"/>
  <c r="DL823" i="1"/>
  <c r="DK823" i="1"/>
  <c r="DI823" i="1"/>
  <c r="DJ823" i="1" s="1"/>
  <c r="DC823" i="1"/>
  <c r="CX823" i="1"/>
  <c r="BT823" i="1"/>
  <c r="BS823" i="1"/>
  <c r="BL823" i="1"/>
  <c r="BK823" i="1"/>
  <c r="BD823" i="1"/>
  <c r="BC823" i="1"/>
  <c r="BB823" i="1"/>
  <c r="BA823" i="1"/>
  <c r="AZ823" i="1"/>
  <c r="AY823" i="1"/>
  <c r="BE823" i="1" s="1" a="1"/>
  <c r="BE823" i="1" s="1"/>
  <c r="AX823" i="1"/>
  <c r="M823" i="1"/>
  <c r="EM822" i="1"/>
  <c r="DU822" i="1"/>
  <c r="DT822" i="1"/>
  <c r="DN822" i="1"/>
  <c r="DM822" i="1"/>
  <c r="DL822" i="1"/>
  <c r="DK822" i="1"/>
  <c r="DI822" i="1"/>
  <c r="DJ822" i="1" s="1"/>
  <c r="DC822" i="1"/>
  <c r="CX822" i="1"/>
  <c r="BT822" i="1"/>
  <c r="BS822" i="1"/>
  <c r="BU822" i="1" s="1"/>
  <c r="BL822" i="1"/>
  <c r="BK822" i="1"/>
  <c r="BD822" i="1"/>
  <c r="BC822" i="1"/>
  <c r="BB822" i="1"/>
  <c r="BA822" i="1"/>
  <c r="AZ822" i="1"/>
  <c r="AY822" i="1"/>
  <c r="BE822" i="1" s="1" a="1"/>
  <c r="BE822" i="1" s="1"/>
  <c r="AX822" i="1"/>
  <c r="M822" i="1"/>
  <c r="EM821" i="1"/>
  <c r="DU821" i="1"/>
  <c r="DT821" i="1"/>
  <c r="DN821" i="1"/>
  <c r="DM821" i="1"/>
  <c r="DL821" i="1"/>
  <c r="DK821" i="1"/>
  <c r="DI821" i="1"/>
  <c r="DJ821" i="1" s="1"/>
  <c r="DC821" i="1"/>
  <c r="CX821" i="1"/>
  <c r="BU821" i="1"/>
  <c r="BT821" i="1"/>
  <c r="BV821" i="1" s="1"/>
  <c r="BX821" i="1" s="1"/>
  <c r="BL821" i="1"/>
  <c r="BO821" i="1" s="1"/>
  <c r="BK821" i="1"/>
  <c r="BD821" i="1"/>
  <c r="BC821" i="1"/>
  <c r="BB821" i="1"/>
  <c r="BA821" i="1"/>
  <c r="AZ821" i="1"/>
  <c r="BF821" i="1" s="1" a="1"/>
  <c r="BF821" i="1" s="1"/>
  <c r="AY821" i="1"/>
  <c r="BE821" i="1" s="1" a="1"/>
  <c r="BE821" i="1" s="1"/>
  <c r="AX821" i="1"/>
  <c r="M821" i="1"/>
  <c r="EM82" i="1"/>
  <c r="DU82" i="1"/>
  <c r="DT82" i="1"/>
  <c r="DN82" i="1"/>
  <c r="DM82" i="1"/>
  <c r="DL82" i="1"/>
  <c r="DK82" i="1"/>
  <c r="DI82" i="1"/>
  <c r="DJ82" i="1" s="1"/>
  <c r="DC82" i="1"/>
  <c r="CX82" i="1"/>
  <c r="CN82" i="1"/>
  <c r="CS82" i="1" s="1"/>
  <c r="BV82" i="1"/>
  <c r="BX82" i="1" s="1"/>
  <c r="BU82" i="1"/>
  <c r="BN82" i="1"/>
  <c r="BO82" i="1" s="1"/>
  <c r="BD82" i="1"/>
  <c r="BC82" i="1"/>
  <c r="BB82" i="1"/>
  <c r="BA82" i="1"/>
  <c r="AZ82" i="1"/>
  <c r="AY82" i="1"/>
  <c r="AX82" i="1"/>
  <c r="M82" i="1"/>
  <c r="EM81" i="1"/>
  <c r="DU81" i="1"/>
  <c r="DT81" i="1"/>
  <c r="DN81" i="1"/>
  <c r="DM81" i="1"/>
  <c r="DL81" i="1"/>
  <c r="DK81" i="1"/>
  <c r="DI81" i="1"/>
  <c r="DJ81" i="1" s="1"/>
  <c r="DC81" i="1"/>
  <c r="CX81" i="1"/>
  <c r="CN81" i="1"/>
  <c r="CO81" i="1" s="1"/>
  <c r="BV81" i="1"/>
  <c r="BX81" i="1" s="1"/>
  <c r="BU81" i="1"/>
  <c r="BN81" i="1"/>
  <c r="BO81" i="1" s="1"/>
  <c r="BD81" i="1"/>
  <c r="BC81" i="1"/>
  <c r="BB81" i="1"/>
  <c r="BA81" i="1"/>
  <c r="AZ81" i="1"/>
  <c r="AY81" i="1"/>
  <c r="AX81" i="1"/>
  <c r="M81" i="1"/>
  <c r="EM317" i="1"/>
  <c r="DU317" i="1"/>
  <c r="DT317" i="1"/>
  <c r="DN317" i="1"/>
  <c r="DM317" i="1"/>
  <c r="DL317" i="1"/>
  <c r="DK317" i="1"/>
  <c r="DI317" i="1"/>
  <c r="DJ317" i="1" s="1"/>
  <c r="DC317" i="1"/>
  <c r="CX317" i="1"/>
  <c r="CN317" i="1"/>
  <c r="CP317" i="1" s="1"/>
  <c r="BV317" i="1"/>
  <c r="BX317" i="1" s="1"/>
  <c r="BN317" i="1"/>
  <c r="BO317" i="1" s="1"/>
  <c r="BM317" i="1"/>
  <c r="BD317" i="1"/>
  <c r="BC317" i="1"/>
  <c r="BB317" i="1"/>
  <c r="BA317" i="1"/>
  <c r="AZ317" i="1"/>
  <c r="AY317" i="1"/>
  <c r="BE317" i="1" s="1" a="1"/>
  <c r="BE317" i="1" s="1"/>
  <c r="AX317" i="1"/>
  <c r="M317" i="1"/>
  <c r="EM316" i="1"/>
  <c r="DU316" i="1"/>
  <c r="DT316" i="1"/>
  <c r="DN316" i="1"/>
  <c r="DM316" i="1"/>
  <c r="DL316" i="1"/>
  <c r="DK316" i="1"/>
  <c r="DI316" i="1"/>
  <c r="DJ316" i="1" s="1"/>
  <c r="DC316" i="1"/>
  <c r="CX316" i="1"/>
  <c r="CN316" i="1"/>
  <c r="BV316" i="1"/>
  <c r="BX316" i="1" s="1"/>
  <c r="BN316" i="1"/>
  <c r="BO316" i="1" s="1"/>
  <c r="BM316" i="1"/>
  <c r="BD316" i="1"/>
  <c r="BC316" i="1"/>
  <c r="BB316" i="1"/>
  <c r="BA316" i="1"/>
  <c r="AZ316" i="1"/>
  <c r="BF316" i="1" s="1" a="1"/>
  <c r="BF316" i="1" s="1"/>
  <c r="AY316" i="1"/>
  <c r="BE316" i="1" s="1" a="1"/>
  <c r="BE316" i="1" s="1"/>
  <c r="AX316" i="1"/>
  <c r="M316" i="1"/>
  <c r="EM315" i="1"/>
  <c r="DU315" i="1"/>
  <c r="DT315" i="1"/>
  <c r="DN315" i="1"/>
  <c r="DM315" i="1"/>
  <c r="DL315" i="1"/>
  <c r="DK315" i="1"/>
  <c r="DI315" i="1"/>
  <c r="DJ315" i="1" s="1"/>
  <c r="DC315" i="1"/>
  <c r="CX315" i="1"/>
  <c r="CN315" i="1"/>
  <c r="CO315" i="1" s="1"/>
  <c r="BV315" i="1"/>
  <c r="BX315" i="1" s="1"/>
  <c r="BN315" i="1"/>
  <c r="BO315" i="1" s="1"/>
  <c r="BM315" i="1"/>
  <c r="BD315" i="1"/>
  <c r="BC315" i="1"/>
  <c r="BB315" i="1"/>
  <c r="BA315" i="1"/>
  <c r="AZ315" i="1"/>
  <c r="AY315" i="1"/>
  <c r="BE315" i="1" s="1" a="1"/>
  <c r="BE315" i="1" s="1"/>
  <c r="AX315" i="1"/>
  <c r="M315" i="1"/>
  <c r="EM314" i="1"/>
  <c r="DU314" i="1"/>
  <c r="DT314" i="1"/>
  <c r="DN314" i="1"/>
  <c r="DM314" i="1"/>
  <c r="DL314" i="1"/>
  <c r="DK314" i="1"/>
  <c r="DI314" i="1"/>
  <c r="DJ314" i="1" s="1"/>
  <c r="DC314" i="1"/>
  <c r="CX314" i="1"/>
  <c r="CN314" i="1"/>
  <c r="CS314" i="1" s="1"/>
  <c r="BV314" i="1"/>
  <c r="BX314" i="1" s="1"/>
  <c r="BN314" i="1"/>
  <c r="BO314" i="1" s="1"/>
  <c r="BM314" i="1"/>
  <c r="BD314" i="1"/>
  <c r="BC314" i="1"/>
  <c r="BB314" i="1"/>
  <c r="BA314" i="1"/>
  <c r="AZ314" i="1"/>
  <c r="AY314" i="1"/>
  <c r="BE314" i="1" s="1" a="1"/>
  <c r="BE314" i="1" s="1"/>
  <c r="AX314" i="1"/>
  <c r="M314" i="1"/>
  <c r="EM313" i="1"/>
  <c r="DU313" i="1"/>
  <c r="DT313" i="1"/>
  <c r="DN313" i="1"/>
  <c r="DM313" i="1"/>
  <c r="DL313" i="1"/>
  <c r="DK313" i="1"/>
  <c r="DI313" i="1"/>
  <c r="DJ313" i="1" s="1"/>
  <c r="DC313" i="1"/>
  <c r="CX313" i="1"/>
  <c r="CN313" i="1"/>
  <c r="BV313" i="1"/>
  <c r="BX313" i="1" s="1"/>
  <c r="BN313" i="1"/>
  <c r="BO313" i="1" s="1"/>
  <c r="BM313" i="1"/>
  <c r="BD313" i="1"/>
  <c r="BC313" i="1"/>
  <c r="BB313" i="1"/>
  <c r="BA313" i="1"/>
  <c r="AZ313" i="1"/>
  <c r="AY313" i="1"/>
  <c r="BE313" i="1" s="1" a="1"/>
  <c r="BE313" i="1" s="1"/>
  <c r="AX313" i="1"/>
  <c r="M313" i="1"/>
  <c r="EM312" i="1"/>
  <c r="DU312" i="1"/>
  <c r="DT312" i="1"/>
  <c r="DN312" i="1"/>
  <c r="DM312" i="1"/>
  <c r="DL312" i="1"/>
  <c r="DK312" i="1"/>
  <c r="DI312" i="1"/>
  <c r="DJ312" i="1" s="1"/>
  <c r="DC312" i="1"/>
  <c r="CX312" i="1"/>
  <c r="CN312" i="1"/>
  <c r="CP312" i="1" s="1"/>
  <c r="BV312" i="1"/>
  <c r="BX312" i="1" s="1"/>
  <c r="BN312" i="1"/>
  <c r="BO312" i="1" s="1"/>
  <c r="BM312" i="1"/>
  <c r="BD312" i="1"/>
  <c r="BC312" i="1"/>
  <c r="BB312" i="1"/>
  <c r="BA312" i="1"/>
  <c r="AZ312" i="1"/>
  <c r="BF312" i="1" s="1" a="1"/>
  <c r="BF312" i="1" s="1"/>
  <c r="AY312" i="1"/>
  <c r="BE312" i="1" s="1" a="1"/>
  <c r="BE312" i="1" s="1"/>
  <c r="AX312" i="1"/>
  <c r="M312" i="1"/>
  <c r="EM355" i="1"/>
  <c r="DU355" i="1"/>
  <c r="DT355" i="1"/>
  <c r="DN355" i="1"/>
  <c r="DM355" i="1"/>
  <c r="DL355" i="1"/>
  <c r="DK355" i="1"/>
  <c r="DI355" i="1"/>
  <c r="DJ355" i="1" s="1"/>
  <c r="DC355" i="1"/>
  <c r="CX355" i="1"/>
  <c r="CN355" i="1"/>
  <c r="CS355" i="1" s="1"/>
  <c r="BV355" i="1"/>
  <c r="BX355" i="1" s="1"/>
  <c r="BN355" i="1"/>
  <c r="BO355" i="1" s="1"/>
  <c r="BM355" i="1"/>
  <c r="BD355" i="1"/>
  <c r="BC355" i="1"/>
  <c r="BB355" i="1"/>
  <c r="BA355" i="1"/>
  <c r="AZ355" i="1"/>
  <c r="AY355" i="1"/>
  <c r="BE355" i="1" s="1" a="1"/>
  <c r="BE355" i="1" s="1"/>
  <c r="AX355" i="1"/>
  <c r="M355" i="1"/>
  <c r="EM354" i="1"/>
  <c r="DU354" i="1"/>
  <c r="DT354" i="1"/>
  <c r="DN354" i="1"/>
  <c r="DM354" i="1"/>
  <c r="DL354" i="1"/>
  <c r="DK354" i="1"/>
  <c r="DI354" i="1"/>
  <c r="DJ354" i="1" s="1"/>
  <c r="DC354" i="1"/>
  <c r="CX354" i="1"/>
  <c r="CN354" i="1"/>
  <c r="BV354" i="1"/>
  <c r="BX354" i="1" s="1"/>
  <c r="BN354" i="1"/>
  <c r="BO354" i="1" s="1"/>
  <c r="BM354" i="1"/>
  <c r="BD354" i="1"/>
  <c r="BC354" i="1"/>
  <c r="BB354" i="1"/>
  <c r="BA354" i="1"/>
  <c r="AZ354" i="1"/>
  <c r="AY354" i="1"/>
  <c r="BE354" i="1" s="1" a="1"/>
  <c r="BE354" i="1" s="1"/>
  <c r="AX354" i="1"/>
  <c r="M354" i="1"/>
  <c r="EM353" i="1"/>
  <c r="DU353" i="1"/>
  <c r="DT353" i="1"/>
  <c r="DN353" i="1"/>
  <c r="DM353" i="1"/>
  <c r="DL353" i="1"/>
  <c r="DK353" i="1"/>
  <c r="DI353" i="1"/>
  <c r="DJ353" i="1" s="1"/>
  <c r="DC353" i="1"/>
  <c r="CX353" i="1"/>
  <c r="CN353" i="1"/>
  <c r="BV353" i="1"/>
  <c r="BX353" i="1" s="1"/>
  <c r="BN353" i="1"/>
  <c r="BO353" i="1" s="1"/>
  <c r="BM353" i="1"/>
  <c r="BD353" i="1"/>
  <c r="BC353" i="1"/>
  <c r="BB353" i="1"/>
  <c r="BA353" i="1"/>
  <c r="AZ353" i="1"/>
  <c r="AY353" i="1"/>
  <c r="BE353" i="1" s="1" a="1"/>
  <c r="BE353" i="1" s="1"/>
  <c r="AX353" i="1"/>
  <c r="M353" i="1"/>
  <c r="EM352" i="1"/>
  <c r="DU352" i="1"/>
  <c r="DT352" i="1"/>
  <c r="DN352" i="1"/>
  <c r="DM352" i="1"/>
  <c r="DL352" i="1"/>
  <c r="DK352" i="1"/>
  <c r="DI352" i="1"/>
  <c r="DJ352" i="1" s="1"/>
  <c r="DC352" i="1"/>
  <c r="CX352" i="1"/>
  <c r="CN352" i="1"/>
  <c r="BV352" i="1"/>
  <c r="BX352" i="1" s="1"/>
  <c r="BN352" i="1"/>
  <c r="BO352" i="1" s="1"/>
  <c r="BM352" i="1"/>
  <c r="BD352" i="1"/>
  <c r="BC352" i="1"/>
  <c r="BB352" i="1"/>
  <c r="BA352" i="1"/>
  <c r="AZ352" i="1"/>
  <c r="BF352" i="1" s="1" a="1"/>
  <c r="BF352" i="1" s="1"/>
  <c r="AY352" i="1"/>
  <c r="BE352" i="1" s="1" a="1"/>
  <c r="BE352" i="1" s="1"/>
  <c r="AX352" i="1"/>
  <c r="M352" i="1"/>
  <c r="EM351" i="1"/>
  <c r="DU351" i="1"/>
  <c r="DT351" i="1"/>
  <c r="DN351" i="1"/>
  <c r="DM351" i="1"/>
  <c r="DL351" i="1"/>
  <c r="DK351" i="1"/>
  <c r="DI351" i="1"/>
  <c r="DJ351" i="1" s="1"/>
  <c r="DC351" i="1"/>
  <c r="CX351" i="1"/>
  <c r="CN351" i="1"/>
  <c r="CP351" i="1" s="1"/>
  <c r="BV351" i="1"/>
  <c r="BX351" i="1" s="1"/>
  <c r="BN351" i="1"/>
  <c r="BO351" i="1" s="1"/>
  <c r="BM351" i="1"/>
  <c r="BD351" i="1"/>
  <c r="BC351" i="1"/>
  <c r="BB351" i="1"/>
  <c r="BA351" i="1"/>
  <c r="AZ351" i="1"/>
  <c r="AY351" i="1"/>
  <c r="BE351" i="1" s="1" a="1"/>
  <c r="BE351" i="1" s="1"/>
  <c r="AX351" i="1"/>
  <c r="M351" i="1"/>
  <c r="EM350" i="1"/>
  <c r="DU350" i="1"/>
  <c r="DT350" i="1"/>
  <c r="DN350" i="1"/>
  <c r="DM350" i="1"/>
  <c r="DL350" i="1"/>
  <c r="DK350" i="1"/>
  <c r="DI350" i="1"/>
  <c r="DJ350" i="1" s="1"/>
  <c r="DC350" i="1"/>
  <c r="CX350" i="1"/>
  <c r="CN350" i="1"/>
  <c r="BV350" i="1"/>
  <c r="BX350" i="1" s="1"/>
  <c r="BN350" i="1"/>
  <c r="BO350" i="1" s="1"/>
  <c r="BM350" i="1"/>
  <c r="BD350" i="1"/>
  <c r="BC350" i="1"/>
  <c r="BB350" i="1"/>
  <c r="BA350" i="1"/>
  <c r="AZ350" i="1"/>
  <c r="AY350" i="1"/>
  <c r="BE350" i="1" s="1" a="1"/>
  <c r="BE350" i="1" s="1"/>
  <c r="AX350" i="1"/>
  <c r="M350" i="1"/>
  <c r="EM349" i="1"/>
  <c r="DU349" i="1"/>
  <c r="DT349" i="1"/>
  <c r="DN349" i="1"/>
  <c r="DM349" i="1"/>
  <c r="DL349" i="1"/>
  <c r="DK349" i="1"/>
  <c r="DI349" i="1"/>
  <c r="DJ349" i="1" s="1"/>
  <c r="DC349" i="1"/>
  <c r="CX349" i="1"/>
  <c r="CN349" i="1"/>
  <c r="CR349" i="1" s="1"/>
  <c r="BV349" i="1"/>
  <c r="BX349" i="1" s="1"/>
  <c r="BN349" i="1"/>
  <c r="BO349" i="1" s="1"/>
  <c r="BM349" i="1"/>
  <c r="BD349" i="1"/>
  <c r="BC349" i="1"/>
  <c r="BB349" i="1"/>
  <c r="BA349" i="1"/>
  <c r="AZ349" i="1"/>
  <c r="AY349" i="1"/>
  <c r="BE349" i="1" s="1" a="1"/>
  <c r="BE349" i="1" s="1"/>
  <c r="AX349" i="1"/>
  <c r="M349" i="1"/>
  <c r="EM1195" i="1"/>
  <c r="DU1195" i="1"/>
  <c r="DT1195" i="1"/>
  <c r="DN1195" i="1"/>
  <c r="DM1195" i="1"/>
  <c r="DL1195" i="1"/>
  <c r="DK1195" i="1"/>
  <c r="DI1195" i="1"/>
  <c r="DJ1195" i="1" s="1"/>
  <c r="DC1195" i="1"/>
  <c r="CX1195" i="1"/>
  <c r="CN1195" i="1"/>
  <c r="BX1195" i="1"/>
  <c r="BY1195" i="1" s="1"/>
  <c r="BD1195" i="1"/>
  <c r="BC1195" i="1"/>
  <c r="BB1195" i="1"/>
  <c r="BA1195" i="1"/>
  <c r="AZ1195" i="1"/>
  <c r="AY1195" i="1"/>
  <c r="BE1195" i="1" s="1" a="1"/>
  <c r="BE1195" i="1" s="1"/>
  <c r="AX1195" i="1"/>
  <c r="M1195" i="1"/>
  <c r="EM1194" i="1"/>
  <c r="DU1194" i="1"/>
  <c r="DT1194" i="1"/>
  <c r="DN1194" i="1"/>
  <c r="DM1194" i="1"/>
  <c r="DL1194" i="1"/>
  <c r="DK1194" i="1"/>
  <c r="DI1194" i="1"/>
  <c r="DJ1194" i="1" s="1"/>
  <c r="DC1194" i="1"/>
  <c r="CX1194" i="1"/>
  <c r="CN1194" i="1"/>
  <c r="BX1194" i="1"/>
  <c r="BY1194" i="1" s="1"/>
  <c r="BD1194" i="1"/>
  <c r="BC1194" i="1"/>
  <c r="BB1194" i="1"/>
  <c r="BA1194" i="1"/>
  <c r="AZ1194" i="1"/>
  <c r="AY1194" i="1"/>
  <c r="BE1194" i="1" s="1" a="1"/>
  <c r="BE1194" i="1" s="1"/>
  <c r="AX1194" i="1"/>
  <c r="M1194" i="1"/>
  <c r="EM1193" i="1"/>
  <c r="DU1193" i="1"/>
  <c r="DT1193" i="1"/>
  <c r="DN1193" i="1"/>
  <c r="DM1193" i="1"/>
  <c r="DL1193" i="1"/>
  <c r="DK1193" i="1"/>
  <c r="DI1193" i="1"/>
  <c r="DJ1193" i="1" s="1"/>
  <c r="DC1193" i="1"/>
  <c r="CX1193" i="1"/>
  <c r="CN1193" i="1"/>
  <c r="CS1193" i="1" s="1"/>
  <c r="BX1193" i="1"/>
  <c r="BD1193" i="1"/>
  <c r="BC1193" i="1"/>
  <c r="BB1193" i="1"/>
  <c r="BA1193" i="1"/>
  <c r="AZ1193" i="1"/>
  <c r="AY1193" i="1"/>
  <c r="BE1193" i="1" s="1" a="1"/>
  <c r="BE1193" i="1" s="1"/>
  <c r="AX1193" i="1"/>
  <c r="M1193" i="1"/>
  <c r="EM1192" i="1"/>
  <c r="DU1192" i="1"/>
  <c r="DT1192" i="1"/>
  <c r="DN1192" i="1"/>
  <c r="DM1192" i="1"/>
  <c r="DL1192" i="1"/>
  <c r="DK1192" i="1"/>
  <c r="DI1192" i="1"/>
  <c r="DJ1192" i="1" s="1"/>
  <c r="DC1192" i="1"/>
  <c r="CX1192" i="1"/>
  <c r="CN1192" i="1"/>
  <c r="CR1192" i="1" s="1"/>
  <c r="BX1192" i="1"/>
  <c r="BD1192" i="1"/>
  <c r="BC1192" i="1"/>
  <c r="BB1192" i="1"/>
  <c r="BA1192" i="1"/>
  <c r="AZ1192" i="1"/>
  <c r="AY1192" i="1"/>
  <c r="BE1192" i="1" s="1" a="1"/>
  <c r="BE1192" i="1" s="1"/>
  <c r="AX1192" i="1"/>
  <c r="M1192" i="1"/>
  <c r="EM1191" i="1"/>
  <c r="DU1191" i="1"/>
  <c r="DT1191" i="1"/>
  <c r="DN1191" i="1"/>
  <c r="DM1191" i="1"/>
  <c r="DL1191" i="1"/>
  <c r="DK1191" i="1"/>
  <c r="DI1191" i="1"/>
  <c r="DJ1191" i="1" s="1"/>
  <c r="DC1191" i="1"/>
  <c r="CX1191" i="1"/>
  <c r="CN1191" i="1"/>
  <c r="CS1191" i="1" s="1"/>
  <c r="BX1191" i="1"/>
  <c r="BY1191" i="1" s="1"/>
  <c r="BD1191" i="1"/>
  <c r="BC1191" i="1"/>
  <c r="BB1191" i="1"/>
  <c r="BA1191" i="1"/>
  <c r="AZ1191" i="1"/>
  <c r="AY1191" i="1"/>
  <c r="BE1191" i="1" s="1" a="1"/>
  <c r="BE1191" i="1" s="1"/>
  <c r="AX1191" i="1"/>
  <c r="M1191" i="1"/>
  <c r="EM1190" i="1"/>
  <c r="DU1190" i="1"/>
  <c r="DT1190" i="1"/>
  <c r="DN1190" i="1"/>
  <c r="DM1190" i="1"/>
  <c r="DL1190" i="1"/>
  <c r="DK1190" i="1"/>
  <c r="DI1190" i="1"/>
  <c r="DJ1190" i="1" s="1"/>
  <c r="DC1190" i="1"/>
  <c r="CX1190" i="1"/>
  <c r="CN1190" i="1"/>
  <c r="CS1190" i="1" s="1"/>
  <c r="BX1190" i="1"/>
  <c r="BY1190" i="1" s="1"/>
  <c r="BD1190" i="1"/>
  <c r="BC1190" i="1"/>
  <c r="BB1190" i="1"/>
  <c r="BA1190" i="1"/>
  <c r="AZ1190" i="1"/>
  <c r="AY1190" i="1"/>
  <c r="BE1190" i="1" s="1" a="1"/>
  <c r="BE1190" i="1" s="1"/>
  <c r="AX1190" i="1"/>
  <c r="M1190" i="1"/>
  <c r="EM1189" i="1"/>
  <c r="DU1189" i="1"/>
  <c r="DT1189" i="1"/>
  <c r="DN1189" i="1"/>
  <c r="DM1189" i="1"/>
  <c r="DL1189" i="1"/>
  <c r="DK1189" i="1"/>
  <c r="DI1189" i="1"/>
  <c r="DJ1189" i="1" s="1"/>
  <c r="DC1189" i="1"/>
  <c r="CX1189" i="1"/>
  <c r="CN1189" i="1"/>
  <c r="CS1189" i="1" s="1"/>
  <c r="BX1189" i="1"/>
  <c r="BD1189" i="1"/>
  <c r="BC1189" i="1"/>
  <c r="BB1189" i="1"/>
  <c r="BA1189" i="1"/>
  <c r="AZ1189" i="1"/>
  <c r="AY1189" i="1"/>
  <c r="BE1189" i="1" s="1" a="1"/>
  <c r="BE1189" i="1" s="1"/>
  <c r="AX1189" i="1"/>
  <c r="M1189" i="1"/>
  <c r="EM1188" i="1"/>
  <c r="DU1188" i="1"/>
  <c r="DT1188" i="1"/>
  <c r="DN1188" i="1"/>
  <c r="DM1188" i="1"/>
  <c r="DL1188" i="1"/>
  <c r="DK1188" i="1"/>
  <c r="DI1188" i="1"/>
  <c r="DJ1188" i="1" s="1"/>
  <c r="DC1188" i="1"/>
  <c r="CX1188" i="1"/>
  <c r="CN1188" i="1"/>
  <c r="CR1188" i="1" s="1"/>
  <c r="BX1188" i="1"/>
  <c r="BD1188" i="1"/>
  <c r="BC1188" i="1"/>
  <c r="BB1188" i="1"/>
  <c r="BA1188" i="1"/>
  <c r="AZ1188" i="1"/>
  <c r="AY1188" i="1"/>
  <c r="BE1188" i="1" s="1" a="1"/>
  <c r="BE1188" i="1" s="1"/>
  <c r="AX1188" i="1"/>
  <c r="M1188" i="1"/>
  <c r="EM1187" i="1"/>
  <c r="DU1187" i="1"/>
  <c r="DT1187" i="1"/>
  <c r="DN1187" i="1"/>
  <c r="DM1187" i="1"/>
  <c r="DL1187" i="1"/>
  <c r="DK1187" i="1"/>
  <c r="DI1187" i="1"/>
  <c r="DJ1187" i="1" s="1"/>
  <c r="DC1187" i="1"/>
  <c r="CX1187" i="1"/>
  <c r="CN1187" i="1"/>
  <c r="CS1187" i="1" s="1"/>
  <c r="BX1187" i="1"/>
  <c r="BY1187" i="1" s="1"/>
  <c r="BD1187" i="1"/>
  <c r="BC1187" i="1"/>
  <c r="BB1187" i="1"/>
  <c r="BA1187" i="1"/>
  <c r="AZ1187" i="1"/>
  <c r="AY1187" i="1"/>
  <c r="BE1187" i="1" s="1" a="1"/>
  <c r="BE1187" i="1" s="1"/>
  <c r="AX1187" i="1"/>
  <c r="M1187" i="1"/>
  <c r="EM1186" i="1"/>
  <c r="DU1186" i="1"/>
  <c r="DT1186" i="1"/>
  <c r="DN1186" i="1"/>
  <c r="DM1186" i="1"/>
  <c r="DL1186" i="1"/>
  <c r="DK1186" i="1"/>
  <c r="DI1186" i="1"/>
  <c r="DJ1186" i="1" s="1"/>
  <c r="DC1186" i="1"/>
  <c r="CX1186" i="1"/>
  <c r="CN1186" i="1"/>
  <c r="CS1186" i="1" s="1"/>
  <c r="BX1186" i="1"/>
  <c r="BY1186" i="1" s="1"/>
  <c r="BD1186" i="1"/>
  <c r="BC1186" i="1"/>
  <c r="BB1186" i="1"/>
  <c r="BA1186" i="1"/>
  <c r="AZ1186" i="1"/>
  <c r="AY1186" i="1"/>
  <c r="BE1186" i="1" s="1" a="1"/>
  <c r="BE1186" i="1" s="1"/>
  <c r="AX1186" i="1"/>
  <c r="M1186" i="1"/>
  <c r="EM1185" i="1"/>
  <c r="DU1185" i="1"/>
  <c r="DT1185" i="1"/>
  <c r="DN1185" i="1"/>
  <c r="DM1185" i="1"/>
  <c r="DL1185" i="1"/>
  <c r="DK1185" i="1"/>
  <c r="DI1185" i="1"/>
  <c r="DJ1185" i="1" s="1"/>
  <c r="DC1185" i="1"/>
  <c r="CX1185" i="1"/>
  <c r="CN1185" i="1"/>
  <c r="CS1185" i="1" s="1"/>
  <c r="BX1185" i="1"/>
  <c r="BY1185" i="1" s="1"/>
  <c r="BD1185" i="1"/>
  <c r="BC1185" i="1"/>
  <c r="BB1185" i="1"/>
  <c r="BA1185" i="1"/>
  <c r="AZ1185" i="1"/>
  <c r="AY1185" i="1"/>
  <c r="BE1185" i="1" s="1" a="1"/>
  <c r="BE1185" i="1" s="1"/>
  <c r="AX1185" i="1"/>
  <c r="M1185" i="1"/>
  <c r="EM1184" i="1"/>
  <c r="DU1184" i="1"/>
  <c r="DT1184" i="1"/>
  <c r="DN1184" i="1"/>
  <c r="DM1184" i="1"/>
  <c r="DL1184" i="1"/>
  <c r="DK1184" i="1"/>
  <c r="DI1184" i="1"/>
  <c r="DJ1184" i="1" s="1"/>
  <c r="DC1184" i="1"/>
  <c r="CX1184" i="1"/>
  <c r="CN1184" i="1"/>
  <c r="CR1184" i="1" s="1"/>
  <c r="BX1184" i="1"/>
  <c r="BY1184" i="1" s="1"/>
  <c r="BD1184" i="1"/>
  <c r="BC1184" i="1"/>
  <c r="BB1184" i="1"/>
  <c r="BA1184" i="1"/>
  <c r="AZ1184" i="1"/>
  <c r="AY1184" i="1"/>
  <c r="BE1184" i="1" s="1" a="1"/>
  <c r="BE1184" i="1" s="1"/>
  <c r="AX1184" i="1"/>
  <c r="M1184" i="1"/>
  <c r="EM1183" i="1"/>
  <c r="DU1183" i="1"/>
  <c r="DT1183" i="1"/>
  <c r="DN1183" i="1"/>
  <c r="DM1183" i="1"/>
  <c r="DL1183" i="1"/>
  <c r="DK1183" i="1"/>
  <c r="DI1183" i="1"/>
  <c r="DJ1183" i="1" s="1"/>
  <c r="DC1183" i="1"/>
  <c r="CX1183" i="1"/>
  <c r="CN1183" i="1"/>
  <c r="BX1183" i="1"/>
  <c r="BY1183" i="1" s="1"/>
  <c r="BD1183" i="1"/>
  <c r="BC1183" i="1"/>
  <c r="BB1183" i="1"/>
  <c r="BA1183" i="1"/>
  <c r="AZ1183" i="1"/>
  <c r="AY1183" i="1"/>
  <c r="BE1183" i="1" s="1" a="1"/>
  <c r="BE1183" i="1" s="1"/>
  <c r="AX1183" i="1"/>
  <c r="M1183" i="1"/>
  <c r="EM1182" i="1"/>
  <c r="DU1182" i="1"/>
  <c r="DT1182" i="1"/>
  <c r="DN1182" i="1"/>
  <c r="DM1182" i="1"/>
  <c r="DL1182" i="1"/>
  <c r="DK1182" i="1"/>
  <c r="DI1182" i="1"/>
  <c r="DJ1182" i="1" s="1"/>
  <c r="DC1182" i="1"/>
  <c r="CX1182" i="1"/>
  <c r="CN1182" i="1"/>
  <c r="CS1182" i="1" s="1"/>
  <c r="BX1182" i="1"/>
  <c r="BY1182" i="1" s="1"/>
  <c r="BD1182" i="1"/>
  <c r="BC1182" i="1"/>
  <c r="BB1182" i="1"/>
  <c r="BA1182" i="1"/>
  <c r="AZ1182" i="1"/>
  <c r="AY1182" i="1"/>
  <c r="BE1182" i="1" s="1" a="1"/>
  <c r="BE1182" i="1" s="1"/>
  <c r="AX1182" i="1"/>
  <c r="M1182" i="1"/>
  <c r="EM1181" i="1"/>
  <c r="DU1181" i="1"/>
  <c r="DT1181" i="1"/>
  <c r="DN1181" i="1"/>
  <c r="DM1181" i="1"/>
  <c r="DL1181" i="1"/>
  <c r="DK1181" i="1"/>
  <c r="DI1181" i="1"/>
  <c r="DJ1181" i="1" s="1"/>
  <c r="DC1181" i="1"/>
  <c r="CX1181" i="1"/>
  <c r="CN1181" i="1"/>
  <c r="CS1181" i="1" s="1"/>
  <c r="BX1181" i="1"/>
  <c r="BY1181" i="1" s="1"/>
  <c r="BD1181" i="1"/>
  <c r="BC1181" i="1"/>
  <c r="BB1181" i="1"/>
  <c r="BA1181" i="1"/>
  <c r="AZ1181" i="1"/>
  <c r="AY1181" i="1"/>
  <c r="BE1181" i="1" s="1" a="1"/>
  <c r="BE1181" i="1" s="1"/>
  <c r="AX1181" i="1"/>
  <c r="M1181" i="1"/>
  <c r="EM1180" i="1"/>
  <c r="DU1180" i="1"/>
  <c r="DT1180" i="1"/>
  <c r="DN1180" i="1"/>
  <c r="DM1180" i="1"/>
  <c r="DL1180" i="1"/>
  <c r="DK1180" i="1"/>
  <c r="DI1180" i="1"/>
  <c r="DJ1180" i="1" s="1"/>
  <c r="DC1180" i="1"/>
  <c r="CX1180" i="1"/>
  <c r="CN1180" i="1"/>
  <c r="BX1180" i="1"/>
  <c r="BY1180" i="1" s="1"/>
  <c r="BD1180" i="1"/>
  <c r="BC1180" i="1"/>
  <c r="BB1180" i="1"/>
  <c r="BA1180" i="1"/>
  <c r="AZ1180" i="1"/>
  <c r="AY1180" i="1"/>
  <c r="BE1180" i="1" s="1" a="1"/>
  <c r="BE1180" i="1" s="1"/>
  <c r="AX1180" i="1"/>
  <c r="M1180" i="1"/>
  <c r="EM1179" i="1"/>
  <c r="DU1179" i="1"/>
  <c r="DT1179" i="1"/>
  <c r="DN1179" i="1"/>
  <c r="DM1179" i="1"/>
  <c r="DL1179" i="1"/>
  <c r="DK1179" i="1"/>
  <c r="DI1179" i="1"/>
  <c r="DJ1179" i="1" s="1"/>
  <c r="DC1179" i="1"/>
  <c r="CX1179" i="1"/>
  <c r="CN1179" i="1"/>
  <c r="CS1179" i="1" s="1"/>
  <c r="BX1179" i="1"/>
  <c r="BY1179" i="1" s="1"/>
  <c r="BD1179" i="1"/>
  <c r="BC1179" i="1"/>
  <c r="BB1179" i="1"/>
  <c r="BA1179" i="1"/>
  <c r="AZ1179" i="1"/>
  <c r="AY1179" i="1"/>
  <c r="BE1179" i="1" s="1" a="1"/>
  <c r="BE1179" i="1" s="1"/>
  <c r="AX1179" i="1"/>
  <c r="M1179" i="1"/>
  <c r="EM1178" i="1"/>
  <c r="DU1178" i="1"/>
  <c r="DT1178" i="1"/>
  <c r="DN1178" i="1"/>
  <c r="DM1178" i="1"/>
  <c r="DL1178" i="1"/>
  <c r="DK1178" i="1"/>
  <c r="DI1178" i="1"/>
  <c r="DJ1178" i="1" s="1"/>
  <c r="DC1178" i="1"/>
  <c r="CX1178" i="1"/>
  <c r="CN1178" i="1"/>
  <c r="BX1178" i="1"/>
  <c r="BY1178" i="1" s="1"/>
  <c r="BD1178" i="1"/>
  <c r="BC1178" i="1"/>
  <c r="BB1178" i="1"/>
  <c r="BA1178" i="1"/>
  <c r="AZ1178" i="1"/>
  <c r="AY1178" i="1"/>
  <c r="BE1178" i="1" s="1" a="1"/>
  <c r="BE1178" i="1" s="1"/>
  <c r="AX1178" i="1"/>
  <c r="M1178" i="1"/>
  <c r="EM1159" i="1"/>
  <c r="DU1159" i="1"/>
  <c r="DT1159" i="1"/>
  <c r="DN1159" i="1"/>
  <c r="DM1159" i="1"/>
  <c r="DL1159" i="1"/>
  <c r="DK1159" i="1"/>
  <c r="DI1159" i="1"/>
  <c r="DJ1159" i="1" s="1"/>
  <c r="DC1159" i="1"/>
  <c r="CX1159" i="1"/>
  <c r="CN1159" i="1"/>
  <c r="BX1159" i="1"/>
  <c r="BY1159" i="1" s="1"/>
  <c r="BD1159" i="1"/>
  <c r="BC1159" i="1"/>
  <c r="BB1159" i="1"/>
  <c r="BA1159" i="1"/>
  <c r="AZ1159" i="1"/>
  <c r="AY1159" i="1"/>
  <c r="BE1159" i="1" s="1" a="1"/>
  <c r="BE1159" i="1" s="1"/>
  <c r="AX1159" i="1"/>
  <c r="M1159" i="1"/>
  <c r="EM1158" i="1"/>
  <c r="DU1158" i="1"/>
  <c r="DT1158" i="1"/>
  <c r="DN1158" i="1"/>
  <c r="DM1158" i="1"/>
  <c r="DL1158" i="1"/>
  <c r="DK1158" i="1"/>
  <c r="DI1158" i="1"/>
  <c r="DJ1158" i="1" s="1"/>
  <c r="DC1158" i="1"/>
  <c r="CX1158" i="1"/>
  <c r="CN1158" i="1"/>
  <c r="BX1158" i="1"/>
  <c r="BY1158" i="1" s="1"/>
  <c r="BD1158" i="1"/>
  <c r="BC1158" i="1"/>
  <c r="BB1158" i="1"/>
  <c r="BA1158" i="1"/>
  <c r="AZ1158" i="1"/>
  <c r="AY1158" i="1"/>
  <c r="BE1158" i="1" s="1" a="1"/>
  <c r="BE1158" i="1" s="1"/>
  <c r="AX1158" i="1"/>
  <c r="M1158" i="1"/>
  <c r="EM1157" i="1"/>
  <c r="DU1157" i="1"/>
  <c r="DT1157" i="1"/>
  <c r="DN1157" i="1"/>
  <c r="DM1157" i="1"/>
  <c r="DL1157" i="1"/>
  <c r="DK1157" i="1"/>
  <c r="DI1157" i="1"/>
  <c r="DJ1157" i="1" s="1"/>
  <c r="DC1157" i="1"/>
  <c r="CX1157" i="1"/>
  <c r="CN1157" i="1"/>
  <c r="BX1157" i="1"/>
  <c r="BY1157" i="1" s="1"/>
  <c r="BD1157" i="1"/>
  <c r="BC1157" i="1"/>
  <c r="BB1157" i="1"/>
  <c r="BA1157" i="1"/>
  <c r="AZ1157" i="1"/>
  <c r="AY1157" i="1"/>
  <c r="BE1157" i="1" s="1" a="1"/>
  <c r="BE1157" i="1" s="1"/>
  <c r="AX1157" i="1"/>
  <c r="M1157" i="1"/>
  <c r="EM1156" i="1"/>
  <c r="DU1156" i="1"/>
  <c r="DT1156" i="1"/>
  <c r="DN1156" i="1"/>
  <c r="DM1156" i="1"/>
  <c r="DL1156" i="1"/>
  <c r="DK1156" i="1"/>
  <c r="DI1156" i="1"/>
  <c r="DJ1156" i="1" s="1"/>
  <c r="DC1156" i="1"/>
  <c r="CX1156" i="1"/>
  <c r="CN1156" i="1"/>
  <c r="CR1156" i="1" s="1"/>
  <c r="BX1156" i="1"/>
  <c r="BY1156" i="1" s="1"/>
  <c r="BD1156" i="1"/>
  <c r="BC1156" i="1"/>
  <c r="BB1156" i="1"/>
  <c r="BA1156" i="1"/>
  <c r="AZ1156" i="1"/>
  <c r="AY1156" i="1"/>
  <c r="BE1156" i="1" s="1" a="1"/>
  <c r="BE1156" i="1" s="1"/>
  <c r="AX1156" i="1"/>
  <c r="M1156" i="1"/>
  <c r="EM1155" i="1"/>
  <c r="DU1155" i="1"/>
  <c r="DT1155" i="1"/>
  <c r="DN1155" i="1"/>
  <c r="DM1155" i="1"/>
  <c r="DL1155" i="1"/>
  <c r="DK1155" i="1"/>
  <c r="DI1155" i="1"/>
  <c r="DJ1155" i="1" s="1"/>
  <c r="DC1155" i="1"/>
  <c r="CX1155" i="1"/>
  <c r="CN1155" i="1"/>
  <c r="BX1155" i="1"/>
  <c r="BY1155" i="1" s="1"/>
  <c r="BD1155" i="1"/>
  <c r="BC1155" i="1"/>
  <c r="BB1155" i="1"/>
  <c r="BA1155" i="1"/>
  <c r="AZ1155" i="1"/>
  <c r="AY1155" i="1"/>
  <c r="BE1155" i="1" s="1" a="1"/>
  <c r="BE1155" i="1" s="1"/>
  <c r="AX1155" i="1"/>
  <c r="M1155" i="1"/>
  <c r="EM1154" i="1"/>
  <c r="DU1154" i="1"/>
  <c r="DT1154" i="1"/>
  <c r="DN1154" i="1"/>
  <c r="DM1154" i="1"/>
  <c r="DL1154" i="1"/>
  <c r="DK1154" i="1"/>
  <c r="DI1154" i="1"/>
  <c r="DJ1154" i="1" s="1"/>
  <c r="DC1154" i="1"/>
  <c r="CX1154" i="1"/>
  <c r="CN1154" i="1"/>
  <c r="CS1154" i="1" s="1"/>
  <c r="BX1154" i="1"/>
  <c r="BY1154" i="1" s="1"/>
  <c r="BD1154" i="1"/>
  <c r="BC1154" i="1"/>
  <c r="BB1154" i="1"/>
  <c r="BA1154" i="1"/>
  <c r="AZ1154" i="1"/>
  <c r="AY1154" i="1"/>
  <c r="BE1154" i="1" s="1" a="1"/>
  <c r="BE1154" i="1" s="1"/>
  <c r="AX1154" i="1"/>
  <c r="M1154" i="1"/>
  <c r="EM1153" i="1"/>
  <c r="DU1153" i="1"/>
  <c r="DT1153" i="1"/>
  <c r="DN1153" i="1"/>
  <c r="DM1153" i="1"/>
  <c r="DL1153" i="1"/>
  <c r="DK1153" i="1"/>
  <c r="DI1153" i="1"/>
  <c r="DJ1153" i="1" s="1"/>
  <c r="DC1153" i="1"/>
  <c r="CX1153" i="1"/>
  <c r="CN1153" i="1"/>
  <c r="CS1153" i="1" s="1"/>
  <c r="BX1153" i="1"/>
  <c r="BY1153" i="1" s="1"/>
  <c r="BD1153" i="1"/>
  <c r="BC1153" i="1"/>
  <c r="BB1153" i="1"/>
  <c r="BA1153" i="1"/>
  <c r="AZ1153" i="1"/>
  <c r="AY1153" i="1"/>
  <c r="BE1153" i="1" s="1" a="1"/>
  <c r="BE1153" i="1" s="1"/>
  <c r="AX1153" i="1"/>
  <c r="M1153" i="1"/>
  <c r="EM1152" i="1"/>
  <c r="DU1152" i="1"/>
  <c r="DT1152" i="1"/>
  <c r="DN1152" i="1"/>
  <c r="DM1152" i="1"/>
  <c r="DL1152" i="1"/>
  <c r="DK1152" i="1"/>
  <c r="DI1152" i="1"/>
  <c r="DJ1152" i="1" s="1"/>
  <c r="DC1152" i="1"/>
  <c r="CX1152" i="1"/>
  <c r="CN1152" i="1"/>
  <c r="BX1152" i="1"/>
  <c r="BY1152" i="1" s="1"/>
  <c r="BD1152" i="1"/>
  <c r="BC1152" i="1"/>
  <c r="BB1152" i="1"/>
  <c r="BA1152" i="1"/>
  <c r="AZ1152" i="1"/>
  <c r="AY1152" i="1"/>
  <c r="BE1152" i="1" s="1" a="1"/>
  <c r="BE1152" i="1" s="1"/>
  <c r="AX1152" i="1"/>
  <c r="M1152" i="1"/>
  <c r="EM1151" i="1"/>
  <c r="DU1151" i="1"/>
  <c r="DT1151" i="1"/>
  <c r="DN1151" i="1"/>
  <c r="DM1151" i="1"/>
  <c r="DL1151" i="1"/>
  <c r="DK1151" i="1"/>
  <c r="DI1151" i="1"/>
  <c r="DJ1151" i="1" s="1"/>
  <c r="DC1151" i="1"/>
  <c r="CX1151" i="1"/>
  <c r="CN1151" i="1"/>
  <c r="BX1151" i="1"/>
  <c r="BY1151" i="1" s="1"/>
  <c r="BD1151" i="1"/>
  <c r="BC1151" i="1"/>
  <c r="BB1151" i="1"/>
  <c r="BA1151" i="1"/>
  <c r="AZ1151" i="1"/>
  <c r="AY1151" i="1"/>
  <c r="BE1151" i="1" s="1" a="1"/>
  <c r="BE1151" i="1" s="1"/>
  <c r="AX1151" i="1"/>
  <c r="M1151" i="1"/>
  <c r="EM1150" i="1"/>
  <c r="DU1150" i="1"/>
  <c r="DT1150" i="1"/>
  <c r="DN1150" i="1"/>
  <c r="DM1150" i="1"/>
  <c r="DL1150" i="1"/>
  <c r="DK1150" i="1"/>
  <c r="DI1150" i="1"/>
  <c r="DJ1150" i="1" s="1"/>
  <c r="DC1150" i="1"/>
  <c r="CX1150" i="1"/>
  <c r="CN1150" i="1"/>
  <c r="CS1150" i="1" s="1"/>
  <c r="BX1150" i="1"/>
  <c r="BY1150" i="1" s="1"/>
  <c r="BD1150" i="1"/>
  <c r="BC1150" i="1"/>
  <c r="BB1150" i="1"/>
  <c r="BA1150" i="1"/>
  <c r="AZ1150" i="1"/>
  <c r="AY1150" i="1"/>
  <c r="BE1150" i="1" s="1" a="1"/>
  <c r="BE1150" i="1" s="1"/>
  <c r="AX1150" i="1"/>
  <c r="M1150" i="1"/>
  <c r="EM1149" i="1"/>
  <c r="DU1149" i="1"/>
  <c r="DT1149" i="1"/>
  <c r="DN1149" i="1"/>
  <c r="DM1149" i="1"/>
  <c r="DL1149" i="1"/>
  <c r="DK1149" i="1"/>
  <c r="DI1149" i="1"/>
  <c r="DJ1149" i="1" s="1"/>
  <c r="DC1149" i="1"/>
  <c r="CX1149" i="1"/>
  <c r="CN1149" i="1"/>
  <c r="CS1149" i="1" s="1"/>
  <c r="BX1149" i="1"/>
  <c r="BY1149" i="1" s="1"/>
  <c r="BD1149" i="1"/>
  <c r="BC1149" i="1"/>
  <c r="BB1149" i="1"/>
  <c r="BA1149" i="1"/>
  <c r="AZ1149" i="1"/>
  <c r="AY1149" i="1"/>
  <c r="BE1149" i="1" s="1" a="1"/>
  <c r="BE1149" i="1" s="1"/>
  <c r="AX1149" i="1"/>
  <c r="M1149" i="1"/>
  <c r="EM1148" i="1"/>
  <c r="DU1148" i="1"/>
  <c r="DT1148" i="1"/>
  <c r="DN1148" i="1"/>
  <c r="DM1148" i="1"/>
  <c r="DL1148" i="1"/>
  <c r="DK1148" i="1"/>
  <c r="DI1148" i="1"/>
  <c r="DJ1148" i="1" s="1"/>
  <c r="DC1148" i="1"/>
  <c r="CX1148" i="1"/>
  <c r="CN1148" i="1"/>
  <c r="CR1148" i="1" s="1"/>
  <c r="BX1148" i="1"/>
  <c r="BD1148" i="1"/>
  <c r="BC1148" i="1"/>
  <c r="BB1148" i="1"/>
  <c r="BA1148" i="1"/>
  <c r="AZ1148" i="1"/>
  <c r="AY1148" i="1"/>
  <c r="BE1148" i="1" s="1" a="1"/>
  <c r="BE1148" i="1" s="1"/>
  <c r="AX1148" i="1"/>
  <c r="M1148" i="1"/>
  <c r="EM1147" i="1"/>
  <c r="DU1147" i="1"/>
  <c r="DT1147" i="1"/>
  <c r="DN1147" i="1"/>
  <c r="DM1147" i="1"/>
  <c r="DL1147" i="1"/>
  <c r="DK1147" i="1"/>
  <c r="DI1147" i="1"/>
  <c r="DJ1147" i="1" s="1"/>
  <c r="DC1147" i="1"/>
  <c r="CX1147" i="1"/>
  <c r="CN1147" i="1"/>
  <c r="CR1147" i="1" s="1"/>
  <c r="BX1147" i="1"/>
  <c r="BY1147" i="1" s="1"/>
  <c r="BD1147" i="1"/>
  <c r="BC1147" i="1"/>
  <c r="BB1147" i="1"/>
  <c r="BA1147" i="1"/>
  <c r="AZ1147" i="1"/>
  <c r="AY1147" i="1"/>
  <c r="BE1147" i="1" s="1" a="1"/>
  <c r="BE1147" i="1" s="1"/>
  <c r="AX1147" i="1"/>
  <c r="M1147" i="1"/>
  <c r="EM1146" i="1"/>
  <c r="DU1146" i="1"/>
  <c r="DT1146" i="1"/>
  <c r="DN1146" i="1"/>
  <c r="DM1146" i="1"/>
  <c r="DL1146" i="1"/>
  <c r="DK1146" i="1"/>
  <c r="DI1146" i="1"/>
  <c r="DJ1146" i="1" s="1"/>
  <c r="DC1146" i="1"/>
  <c r="CX1146" i="1"/>
  <c r="CN1146" i="1"/>
  <c r="CS1146" i="1" s="1"/>
  <c r="BX1146" i="1"/>
  <c r="BY1146" i="1" s="1"/>
  <c r="BD1146" i="1"/>
  <c r="BC1146" i="1"/>
  <c r="BB1146" i="1"/>
  <c r="BA1146" i="1"/>
  <c r="AZ1146" i="1"/>
  <c r="AY1146" i="1"/>
  <c r="BE1146" i="1" s="1" a="1"/>
  <c r="BE1146" i="1" s="1"/>
  <c r="AX1146" i="1"/>
  <c r="M1146" i="1"/>
  <c r="EM1145" i="1"/>
  <c r="DU1145" i="1"/>
  <c r="DT1145" i="1"/>
  <c r="DN1145" i="1"/>
  <c r="DM1145" i="1"/>
  <c r="DL1145" i="1"/>
  <c r="DK1145" i="1"/>
  <c r="DI1145" i="1"/>
  <c r="DJ1145" i="1" s="1"/>
  <c r="DC1145" i="1"/>
  <c r="CX1145" i="1"/>
  <c r="CN1145" i="1"/>
  <c r="CS1145" i="1" s="1"/>
  <c r="BX1145" i="1"/>
  <c r="BY1145" i="1" s="1"/>
  <c r="BD1145" i="1"/>
  <c r="BC1145" i="1"/>
  <c r="BB1145" i="1"/>
  <c r="BA1145" i="1"/>
  <c r="AZ1145" i="1"/>
  <c r="AY1145" i="1"/>
  <c r="BE1145" i="1" s="1" a="1"/>
  <c r="BE1145" i="1" s="1"/>
  <c r="AX1145" i="1"/>
  <c r="M1145" i="1"/>
  <c r="EM1144" i="1"/>
  <c r="DU1144" i="1"/>
  <c r="DT1144" i="1"/>
  <c r="DN1144" i="1"/>
  <c r="DM1144" i="1"/>
  <c r="DL1144" i="1"/>
  <c r="DK1144" i="1"/>
  <c r="DI1144" i="1"/>
  <c r="DJ1144" i="1" s="1"/>
  <c r="DC1144" i="1"/>
  <c r="CX1144" i="1"/>
  <c r="CN1144" i="1"/>
  <c r="CS1144" i="1" s="1"/>
  <c r="BX1144" i="1"/>
  <c r="BY1144" i="1" s="1"/>
  <c r="BD1144" i="1"/>
  <c r="BC1144" i="1"/>
  <c r="BB1144" i="1"/>
  <c r="BA1144" i="1"/>
  <c r="AZ1144" i="1"/>
  <c r="AY1144" i="1"/>
  <c r="BE1144" i="1" s="1" a="1"/>
  <c r="BE1144" i="1" s="1"/>
  <c r="AX1144" i="1"/>
  <c r="M1144" i="1"/>
  <c r="EM1143" i="1"/>
  <c r="DU1143" i="1"/>
  <c r="DT1143" i="1"/>
  <c r="DN1143" i="1"/>
  <c r="DM1143" i="1"/>
  <c r="DL1143" i="1"/>
  <c r="DK1143" i="1"/>
  <c r="DI1143" i="1"/>
  <c r="DJ1143" i="1" s="1"/>
  <c r="DC1143" i="1"/>
  <c r="CX1143" i="1"/>
  <c r="CN1143" i="1"/>
  <c r="BX1143" i="1"/>
  <c r="BY1143" i="1" s="1"/>
  <c r="BD1143" i="1"/>
  <c r="BC1143" i="1"/>
  <c r="BB1143" i="1"/>
  <c r="BA1143" i="1"/>
  <c r="AZ1143" i="1"/>
  <c r="AY1143" i="1"/>
  <c r="BE1143" i="1" s="1" a="1"/>
  <c r="BE1143" i="1" s="1"/>
  <c r="AX1143" i="1"/>
  <c r="M1143" i="1"/>
  <c r="EM1142" i="1"/>
  <c r="DU1142" i="1"/>
  <c r="DT1142" i="1"/>
  <c r="DN1142" i="1"/>
  <c r="DM1142" i="1"/>
  <c r="DL1142" i="1"/>
  <c r="DK1142" i="1"/>
  <c r="DI1142" i="1"/>
  <c r="DJ1142" i="1" s="1"/>
  <c r="DC1142" i="1"/>
  <c r="CX1142" i="1"/>
  <c r="CN1142" i="1"/>
  <c r="CS1142" i="1" s="1"/>
  <c r="BX1142" i="1"/>
  <c r="BD1142" i="1"/>
  <c r="BC1142" i="1"/>
  <c r="BB1142" i="1"/>
  <c r="BA1142" i="1"/>
  <c r="AZ1142" i="1"/>
  <c r="AY1142" i="1"/>
  <c r="BE1142" i="1" s="1" a="1"/>
  <c r="BE1142" i="1" s="1"/>
  <c r="AX1142" i="1"/>
  <c r="M1142" i="1"/>
  <c r="EM311" i="1"/>
  <c r="DU311" i="1"/>
  <c r="DT311" i="1"/>
  <c r="DN311" i="1"/>
  <c r="DM311" i="1"/>
  <c r="DL311" i="1"/>
  <c r="DK311" i="1"/>
  <c r="DI311" i="1"/>
  <c r="DJ311" i="1" s="1"/>
  <c r="DC311" i="1"/>
  <c r="CX311" i="1"/>
  <c r="CN311" i="1"/>
  <c r="BT311" i="1"/>
  <c r="BS311" i="1"/>
  <c r="BN311" i="1"/>
  <c r="BO311" i="1" s="1"/>
  <c r="BD311" i="1"/>
  <c r="BC311" i="1"/>
  <c r="BB311" i="1"/>
  <c r="BA311" i="1"/>
  <c r="AZ311" i="1"/>
  <c r="AY311" i="1"/>
  <c r="BE311" i="1" s="1" a="1"/>
  <c r="BE311" i="1" s="1"/>
  <c r="AX311" i="1"/>
  <c r="M311" i="1"/>
  <c r="EM310" i="1"/>
  <c r="DU310" i="1"/>
  <c r="DT310" i="1"/>
  <c r="DN310" i="1"/>
  <c r="DM310" i="1"/>
  <c r="DL310" i="1"/>
  <c r="DK310" i="1"/>
  <c r="DI310" i="1"/>
  <c r="DJ310" i="1" s="1"/>
  <c r="DC310" i="1"/>
  <c r="CX310" i="1"/>
  <c r="CN310" i="1"/>
  <c r="CP310" i="1" s="1"/>
  <c r="BT310" i="1"/>
  <c r="BV310" i="1" s="1"/>
  <c r="BX310" i="1" s="1"/>
  <c r="BS310" i="1"/>
  <c r="BN310" i="1"/>
  <c r="BO310" i="1" s="1"/>
  <c r="BD310" i="1"/>
  <c r="BC310" i="1"/>
  <c r="BB310" i="1"/>
  <c r="BA310" i="1"/>
  <c r="AZ310" i="1"/>
  <c r="AY310" i="1"/>
  <c r="BE310" i="1" s="1" a="1"/>
  <c r="BE310" i="1" s="1"/>
  <c r="AX310" i="1"/>
  <c r="M310" i="1"/>
  <c r="EM294" i="1"/>
  <c r="DU294" i="1"/>
  <c r="DT294" i="1"/>
  <c r="DN294" i="1"/>
  <c r="DM294" i="1"/>
  <c r="DL294" i="1"/>
  <c r="DK294" i="1"/>
  <c r="DI294" i="1"/>
  <c r="DJ294" i="1" s="1"/>
  <c r="DC294" i="1"/>
  <c r="CX294" i="1"/>
  <c r="CN294" i="1"/>
  <c r="CP294" i="1" s="1"/>
  <c r="BV294" i="1"/>
  <c r="BX294" i="1" s="1"/>
  <c r="BT294" i="1"/>
  <c r="BS294" i="1"/>
  <c r="BN294" i="1"/>
  <c r="BO294" i="1" s="1"/>
  <c r="BD294" i="1"/>
  <c r="BC294" i="1"/>
  <c r="BB294" i="1"/>
  <c r="BA294" i="1"/>
  <c r="AZ294" i="1"/>
  <c r="AY294" i="1"/>
  <c r="BE294" i="1" s="1" a="1"/>
  <c r="BE294" i="1" s="1"/>
  <c r="AX294" i="1"/>
  <c r="M294" i="1"/>
  <c r="EM293" i="1"/>
  <c r="DU293" i="1"/>
  <c r="DT293" i="1"/>
  <c r="DN293" i="1"/>
  <c r="DM293" i="1"/>
  <c r="DL293" i="1"/>
  <c r="DK293" i="1"/>
  <c r="DI293" i="1"/>
  <c r="DJ293" i="1" s="1"/>
  <c r="DC293" i="1"/>
  <c r="CX293" i="1"/>
  <c r="CN293" i="1"/>
  <c r="CR293" i="1" s="1"/>
  <c r="BT293" i="1"/>
  <c r="BS293" i="1"/>
  <c r="BN293" i="1"/>
  <c r="BO293" i="1" s="1"/>
  <c r="BD293" i="1"/>
  <c r="BC293" i="1"/>
  <c r="BB293" i="1"/>
  <c r="BA293" i="1"/>
  <c r="AZ293" i="1"/>
  <c r="AY293" i="1"/>
  <c r="BE293" i="1" s="1" a="1"/>
  <c r="BE293" i="1" s="1"/>
  <c r="AX293" i="1"/>
  <c r="M293" i="1"/>
  <c r="EM346" i="1"/>
  <c r="DU346" i="1"/>
  <c r="DT346" i="1"/>
  <c r="DN346" i="1"/>
  <c r="DM346" i="1"/>
  <c r="DL346" i="1"/>
  <c r="DK346" i="1"/>
  <c r="DI346" i="1"/>
  <c r="DJ346" i="1" s="1"/>
  <c r="DC346" i="1"/>
  <c r="CX346" i="1"/>
  <c r="CN346" i="1"/>
  <c r="BT346" i="1"/>
  <c r="BS346" i="1"/>
  <c r="BN346" i="1"/>
  <c r="BO346" i="1" s="1"/>
  <c r="BD346" i="1"/>
  <c r="BC346" i="1"/>
  <c r="BB346" i="1"/>
  <c r="BA346" i="1"/>
  <c r="AZ346" i="1"/>
  <c r="AY346" i="1"/>
  <c r="BE346" i="1" s="1" a="1"/>
  <c r="BE346" i="1" s="1"/>
  <c r="AX346" i="1"/>
  <c r="M346" i="1"/>
  <c r="EM292" i="1"/>
  <c r="DU292" i="1"/>
  <c r="DT292" i="1"/>
  <c r="DN292" i="1"/>
  <c r="DM292" i="1"/>
  <c r="DL292" i="1"/>
  <c r="DK292" i="1"/>
  <c r="DI292" i="1"/>
  <c r="DJ292" i="1" s="1"/>
  <c r="DC292" i="1"/>
  <c r="CX292" i="1"/>
  <c r="CN292" i="1"/>
  <c r="CR292" i="1" s="1"/>
  <c r="BV292" i="1"/>
  <c r="BX292" i="1" s="1"/>
  <c r="BN292" i="1"/>
  <c r="BO292" i="1" s="1"/>
  <c r="BD292" i="1"/>
  <c r="BC292" i="1"/>
  <c r="BB292" i="1"/>
  <c r="BA292" i="1"/>
  <c r="AZ292" i="1"/>
  <c r="AY292" i="1"/>
  <c r="BE292" i="1" s="1" a="1"/>
  <c r="BE292" i="1" s="1"/>
  <c r="AX292" i="1"/>
  <c r="M292" i="1"/>
  <c r="EM325" i="1"/>
  <c r="DU325" i="1"/>
  <c r="DT325" i="1"/>
  <c r="DN325" i="1"/>
  <c r="DM325" i="1"/>
  <c r="DL325" i="1"/>
  <c r="DK325" i="1"/>
  <c r="DI325" i="1"/>
  <c r="DJ325" i="1" s="1"/>
  <c r="DC325" i="1"/>
  <c r="CX325" i="1"/>
  <c r="CN325" i="1"/>
  <c r="BV325" i="1"/>
  <c r="BX325" i="1" s="1"/>
  <c r="BN325" i="1"/>
  <c r="BO325" i="1" s="1"/>
  <c r="BD325" i="1"/>
  <c r="BC325" i="1"/>
  <c r="BB325" i="1"/>
  <c r="BA325" i="1"/>
  <c r="AZ325" i="1"/>
  <c r="AY325" i="1"/>
  <c r="BE325" i="1" s="1" a="1"/>
  <c r="BE325" i="1" s="1"/>
  <c r="AX325" i="1"/>
  <c r="M325" i="1"/>
  <c r="EM324" i="1"/>
  <c r="DU324" i="1"/>
  <c r="DT324" i="1"/>
  <c r="DN324" i="1"/>
  <c r="DM324" i="1"/>
  <c r="DL324" i="1"/>
  <c r="DK324" i="1"/>
  <c r="DI324" i="1"/>
  <c r="DJ324" i="1" s="1"/>
  <c r="DC324" i="1"/>
  <c r="CX324" i="1"/>
  <c r="CN324" i="1"/>
  <c r="BV324" i="1"/>
  <c r="BX324" i="1" s="1"/>
  <c r="BN324" i="1"/>
  <c r="BO324" i="1" s="1"/>
  <c r="BD324" i="1"/>
  <c r="BC324" i="1"/>
  <c r="BB324" i="1"/>
  <c r="BA324" i="1"/>
  <c r="AZ324" i="1"/>
  <c r="AY324" i="1"/>
  <c r="BE324" i="1" s="1" a="1"/>
  <c r="BE324" i="1" s="1"/>
  <c r="AX324" i="1"/>
  <c r="M324" i="1"/>
  <c r="EM309" i="1"/>
  <c r="DU309" i="1"/>
  <c r="DT309" i="1"/>
  <c r="DN309" i="1"/>
  <c r="DM309" i="1"/>
  <c r="DL309" i="1"/>
  <c r="DK309" i="1"/>
  <c r="DI309" i="1"/>
  <c r="DJ309" i="1" s="1"/>
  <c r="DC309" i="1"/>
  <c r="CX309" i="1"/>
  <c r="CN309" i="1"/>
  <c r="CO309" i="1" s="1"/>
  <c r="BT309" i="1"/>
  <c r="BS309" i="1"/>
  <c r="BN309" i="1"/>
  <c r="BO309" i="1" s="1"/>
  <c r="BD309" i="1"/>
  <c r="BC309" i="1"/>
  <c r="BB309" i="1"/>
  <c r="BA309" i="1"/>
  <c r="AZ309" i="1"/>
  <c r="AY309" i="1"/>
  <c r="BE309" i="1" s="1" a="1"/>
  <c r="BE309" i="1" s="1"/>
  <c r="AX309" i="1"/>
  <c r="M309" i="1"/>
  <c r="EM308" i="1"/>
  <c r="DU308" i="1"/>
  <c r="DT308" i="1"/>
  <c r="DN308" i="1"/>
  <c r="DM308" i="1"/>
  <c r="DL308" i="1"/>
  <c r="DK308" i="1"/>
  <c r="DI308" i="1"/>
  <c r="DJ308" i="1" s="1"/>
  <c r="DC308" i="1"/>
  <c r="CX308" i="1"/>
  <c r="CN308" i="1"/>
  <c r="CP308" i="1" s="1"/>
  <c r="BT308" i="1"/>
  <c r="BS308" i="1"/>
  <c r="BN308" i="1"/>
  <c r="BO308" i="1" s="1"/>
  <c r="BD308" i="1"/>
  <c r="BC308" i="1"/>
  <c r="BB308" i="1"/>
  <c r="BA308" i="1"/>
  <c r="AZ308" i="1"/>
  <c r="AY308" i="1"/>
  <c r="BE308" i="1" s="1" a="1"/>
  <c r="BE308" i="1" s="1"/>
  <c r="AX308" i="1"/>
  <c r="M308" i="1"/>
  <c r="EM345" i="1"/>
  <c r="DU345" i="1"/>
  <c r="DT345" i="1"/>
  <c r="DN345" i="1"/>
  <c r="DM345" i="1"/>
  <c r="DL345" i="1"/>
  <c r="DK345" i="1"/>
  <c r="DI345" i="1"/>
  <c r="DJ345" i="1" s="1"/>
  <c r="DC345" i="1"/>
  <c r="CX345" i="1"/>
  <c r="CN345" i="1"/>
  <c r="BT345" i="1"/>
  <c r="BS345" i="1"/>
  <c r="BN345" i="1"/>
  <c r="BO345" i="1" s="1"/>
  <c r="BD345" i="1"/>
  <c r="BC345" i="1"/>
  <c r="BB345" i="1"/>
  <c r="BA345" i="1"/>
  <c r="AZ345" i="1"/>
  <c r="AY345" i="1"/>
  <c r="BE345" i="1" s="1" a="1"/>
  <c r="BE345" i="1" s="1"/>
  <c r="AX345" i="1"/>
  <c r="M345" i="1"/>
  <c r="EM291" i="1"/>
  <c r="DU291" i="1"/>
  <c r="DT291" i="1"/>
  <c r="DN291" i="1"/>
  <c r="DM291" i="1"/>
  <c r="DL291" i="1"/>
  <c r="DK291" i="1"/>
  <c r="DI291" i="1"/>
  <c r="DJ291" i="1" s="1"/>
  <c r="DC291" i="1"/>
  <c r="CX291" i="1"/>
  <c r="CN291" i="1"/>
  <c r="CS291" i="1" s="1"/>
  <c r="BV291" i="1"/>
  <c r="BX291" i="1" s="1"/>
  <c r="BN291" i="1"/>
  <c r="BO291" i="1" s="1"/>
  <c r="BD291" i="1"/>
  <c r="BC291" i="1"/>
  <c r="BB291" i="1"/>
  <c r="BA291" i="1"/>
  <c r="AZ291" i="1"/>
  <c r="AY291" i="1"/>
  <c r="BE291" i="1" s="1" a="1"/>
  <c r="BE291" i="1" s="1"/>
  <c r="AX291" i="1"/>
  <c r="M291" i="1"/>
  <c r="EM323" i="1"/>
  <c r="DU323" i="1"/>
  <c r="DT323" i="1"/>
  <c r="DN323" i="1"/>
  <c r="DM323" i="1"/>
  <c r="DL323" i="1"/>
  <c r="DK323" i="1"/>
  <c r="DI323" i="1"/>
  <c r="DJ323" i="1" s="1"/>
  <c r="DC323" i="1"/>
  <c r="CX323" i="1"/>
  <c r="CN323" i="1"/>
  <c r="CS323" i="1" s="1"/>
  <c r="BV323" i="1"/>
  <c r="BX323" i="1" s="1"/>
  <c r="BN323" i="1"/>
  <c r="BO323" i="1" s="1"/>
  <c r="BD323" i="1"/>
  <c r="BC323" i="1"/>
  <c r="BB323" i="1"/>
  <c r="BA323" i="1"/>
  <c r="AZ323" i="1"/>
  <c r="AY323" i="1"/>
  <c r="BE323" i="1" s="1" a="1"/>
  <c r="BE323" i="1" s="1"/>
  <c r="AX323" i="1"/>
  <c r="M323" i="1"/>
  <c r="EM307" i="1"/>
  <c r="DU307" i="1"/>
  <c r="DT307" i="1"/>
  <c r="DN307" i="1"/>
  <c r="DM307" i="1"/>
  <c r="DL307" i="1"/>
  <c r="DK307" i="1"/>
  <c r="DI307" i="1"/>
  <c r="DJ307" i="1" s="1"/>
  <c r="DC307" i="1"/>
  <c r="CX307" i="1"/>
  <c r="CN307" i="1"/>
  <c r="BT307" i="1"/>
  <c r="BS307" i="1"/>
  <c r="BN307" i="1"/>
  <c r="BO307" i="1" s="1"/>
  <c r="BD307" i="1"/>
  <c r="BC307" i="1"/>
  <c r="BB307" i="1"/>
  <c r="BA307" i="1"/>
  <c r="AZ307" i="1"/>
  <c r="AY307" i="1"/>
  <c r="BE307" i="1" s="1" a="1"/>
  <c r="BE307" i="1" s="1"/>
  <c r="AX307" i="1"/>
  <c r="M307" i="1"/>
  <c r="EM306" i="1"/>
  <c r="DU306" i="1"/>
  <c r="DT306" i="1"/>
  <c r="DN306" i="1"/>
  <c r="DM306" i="1"/>
  <c r="DL306" i="1"/>
  <c r="DK306" i="1"/>
  <c r="DI306" i="1"/>
  <c r="DJ306" i="1" s="1"/>
  <c r="DC306" i="1"/>
  <c r="CX306" i="1"/>
  <c r="CN306" i="1"/>
  <c r="BT306" i="1"/>
  <c r="BS306" i="1"/>
  <c r="BN306" i="1"/>
  <c r="BO306" i="1" s="1"/>
  <c r="BD306" i="1"/>
  <c r="BC306" i="1"/>
  <c r="BB306" i="1"/>
  <c r="BA306" i="1"/>
  <c r="AZ306" i="1"/>
  <c r="AY306" i="1"/>
  <c r="BE306" i="1" s="1" a="1"/>
  <c r="BE306" i="1" s="1"/>
  <c r="AX306" i="1"/>
  <c r="M306" i="1"/>
  <c r="EM150" i="1"/>
  <c r="DU150" i="1"/>
  <c r="DT150" i="1"/>
  <c r="DN150" i="1"/>
  <c r="DM150" i="1"/>
  <c r="DL150" i="1"/>
  <c r="DK150" i="1"/>
  <c r="DI150" i="1"/>
  <c r="DJ150" i="1" s="1"/>
  <c r="DC150" i="1"/>
  <c r="CX150" i="1"/>
  <c r="CN150" i="1"/>
  <c r="CO150" i="1" s="1"/>
  <c r="BT150" i="1"/>
  <c r="BS150" i="1"/>
  <c r="BN150" i="1"/>
  <c r="BO150" i="1" s="1"/>
  <c r="BD150" i="1"/>
  <c r="BC150" i="1"/>
  <c r="BB150" i="1"/>
  <c r="BA150" i="1"/>
  <c r="AZ150" i="1"/>
  <c r="AY150" i="1"/>
  <c r="BE150" i="1" s="1" a="1"/>
  <c r="BE150" i="1" s="1"/>
  <c r="AX150" i="1"/>
  <c r="M150" i="1"/>
  <c r="EM148" i="1"/>
  <c r="DU148" i="1"/>
  <c r="DT148" i="1"/>
  <c r="DN148" i="1"/>
  <c r="DM148" i="1"/>
  <c r="DL148" i="1"/>
  <c r="DK148" i="1"/>
  <c r="DI148" i="1"/>
  <c r="DJ148" i="1" s="1"/>
  <c r="DC148" i="1"/>
  <c r="CX148" i="1"/>
  <c r="CN148" i="1"/>
  <c r="BT148" i="1"/>
  <c r="BS148" i="1"/>
  <c r="BN148" i="1"/>
  <c r="BO148" i="1" s="1"/>
  <c r="BD148" i="1"/>
  <c r="BC148" i="1"/>
  <c r="BB148" i="1"/>
  <c r="BA148" i="1"/>
  <c r="AZ148" i="1"/>
  <c r="AY148" i="1"/>
  <c r="BE148" i="1" s="1" a="1"/>
  <c r="BE148" i="1" s="1"/>
  <c r="AX148" i="1"/>
  <c r="M148" i="1"/>
  <c r="EM322" i="1"/>
  <c r="DU322" i="1"/>
  <c r="DT322" i="1"/>
  <c r="DN322" i="1"/>
  <c r="DM322" i="1"/>
  <c r="DL322" i="1"/>
  <c r="DK322" i="1"/>
  <c r="DI322" i="1"/>
  <c r="DJ322" i="1" s="1"/>
  <c r="DC322" i="1"/>
  <c r="CX322" i="1"/>
  <c r="CN322" i="1"/>
  <c r="CR322" i="1" s="1"/>
  <c r="BV322" i="1"/>
  <c r="BX322" i="1" s="1"/>
  <c r="BN322" i="1"/>
  <c r="BO322" i="1" s="1"/>
  <c r="BD322" i="1"/>
  <c r="BC322" i="1"/>
  <c r="BB322" i="1"/>
  <c r="BA322" i="1"/>
  <c r="AZ322" i="1"/>
  <c r="AY322" i="1"/>
  <c r="BE322" i="1" s="1" a="1"/>
  <c r="BE322" i="1" s="1"/>
  <c r="AX322" i="1"/>
  <c r="M322" i="1"/>
  <c r="EM290" i="1"/>
  <c r="DU290" i="1"/>
  <c r="DT290" i="1"/>
  <c r="DN290" i="1"/>
  <c r="DM290" i="1"/>
  <c r="DL290" i="1"/>
  <c r="DK290" i="1"/>
  <c r="DI290" i="1"/>
  <c r="DJ290" i="1" s="1"/>
  <c r="DC290" i="1"/>
  <c r="CX290" i="1"/>
  <c r="CN290" i="1"/>
  <c r="CR290" i="1" s="1"/>
  <c r="BV290" i="1"/>
  <c r="BX290" i="1" s="1"/>
  <c r="BN290" i="1"/>
  <c r="BO290" i="1" s="1"/>
  <c r="BD290" i="1"/>
  <c r="BC290" i="1"/>
  <c r="BB290" i="1"/>
  <c r="BA290" i="1"/>
  <c r="AZ290" i="1"/>
  <c r="AY290" i="1"/>
  <c r="BE290" i="1" s="1" a="1"/>
  <c r="BE290" i="1" s="1"/>
  <c r="AX290" i="1"/>
  <c r="M290" i="1"/>
  <c r="EM305" i="1"/>
  <c r="DU305" i="1"/>
  <c r="DT305" i="1"/>
  <c r="DN305" i="1"/>
  <c r="DM305" i="1"/>
  <c r="DL305" i="1"/>
  <c r="DK305" i="1"/>
  <c r="DI305" i="1"/>
  <c r="DJ305" i="1" s="1"/>
  <c r="DC305" i="1"/>
  <c r="CX305" i="1"/>
  <c r="CN305" i="1"/>
  <c r="BT305" i="1"/>
  <c r="BV305" i="1" s="1"/>
  <c r="BX305" i="1" s="1"/>
  <c r="BS305" i="1"/>
  <c r="BN305" i="1"/>
  <c r="BO305" i="1" s="1"/>
  <c r="BD305" i="1"/>
  <c r="BC305" i="1"/>
  <c r="BB305" i="1"/>
  <c r="BA305" i="1"/>
  <c r="AZ305" i="1"/>
  <c r="AY305" i="1"/>
  <c r="BE305" i="1" s="1" a="1"/>
  <c r="BE305" i="1" s="1"/>
  <c r="AX305" i="1"/>
  <c r="M305" i="1"/>
  <c r="EM342" i="1"/>
  <c r="DU342" i="1"/>
  <c r="DT342" i="1"/>
  <c r="DN342" i="1"/>
  <c r="DM342" i="1"/>
  <c r="DL342" i="1"/>
  <c r="DK342" i="1"/>
  <c r="DI342" i="1"/>
  <c r="DJ342" i="1" s="1"/>
  <c r="DC342" i="1"/>
  <c r="CX342" i="1"/>
  <c r="CN342" i="1"/>
  <c r="BT342" i="1"/>
  <c r="BS342" i="1"/>
  <c r="BN342" i="1"/>
  <c r="BO342" i="1" s="1"/>
  <c r="BD342" i="1"/>
  <c r="BC342" i="1"/>
  <c r="BB342" i="1"/>
  <c r="BA342" i="1"/>
  <c r="AZ342" i="1"/>
  <c r="AY342" i="1"/>
  <c r="BE342" i="1" s="1" a="1"/>
  <c r="BE342" i="1" s="1"/>
  <c r="AX342" i="1"/>
  <c r="M342" i="1"/>
  <c r="EM304" i="1"/>
  <c r="DU304" i="1"/>
  <c r="DT304" i="1"/>
  <c r="DN304" i="1"/>
  <c r="DM304" i="1"/>
  <c r="DL304" i="1"/>
  <c r="DK304" i="1"/>
  <c r="DI304" i="1"/>
  <c r="DJ304" i="1" s="1"/>
  <c r="DC304" i="1"/>
  <c r="CX304" i="1"/>
  <c r="CN304" i="1"/>
  <c r="CP304" i="1" s="1"/>
  <c r="BT304" i="1"/>
  <c r="BV304" i="1" s="1"/>
  <c r="BX304" i="1" s="1"/>
  <c r="BS304" i="1"/>
  <c r="BN304" i="1"/>
  <c r="BO304" i="1" s="1"/>
  <c r="BD304" i="1"/>
  <c r="BC304" i="1"/>
  <c r="BB304" i="1"/>
  <c r="BA304" i="1"/>
  <c r="AZ304" i="1"/>
  <c r="AY304" i="1"/>
  <c r="BE304" i="1" s="1" a="1"/>
  <c r="BE304" i="1" s="1"/>
  <c r="AX304" i="1"/>
  <c r="M304" i="1"/>
  <c r="EM341" i="1"/>
  <c r="DU341" i="1"/>
  <c r="DT341" i="1"/>
  <c r="DN341" i="1"/>
  <c r="DM341" i="1"/>
  <c r="DL341" i="1"/>
  <c r="DK341" i="1"/>
  <c r="DI341" i="1"/>
  <c r="DJ341" i="1" s="1"/>
  <c r="DC341" i="1"/>
  <c r="CX341" i="1"/>
  <c r="CN341" i="1"/>
  <c r="CO341" i="1" s="1"/>
  <c r="BT341" i="1"/>
  <c r="BS341" i="1"/>
  <c r="BN341" i="1"/>
  <c r="BO341" i="1" s="1"/>
  <c r="BD341" i="1"/>
  <c r="BC341" i="1"/>
  <c r="BB341" i="1"/>
  <c r="BA341" i="1"/>
  <c r="AZ341" i="1"/>
  <c r="AY341" i="1"/>
  <c r="BE341" i="1" s="1" a="1"/>
  <c r="BE341" i="1" s="1"/>
  <c r="AX341" i="1"/>
  <c r="M341" i="1"/>
  <c r="EM289" i="1"/>
  <c r="DU289" i="1"/>
  <c r="DT289" i="1"/>
  <c r="DN289" i="1"/>
  <c r="DM289" i="1"/>
  <c r="DL289" i="1"/>
  <c r="DK289" i="1"/>
  <c r="DI289" i="1"/>
  <c r="DJ289" i="1" s="1"/>
  <c r="DC289" i="1"/>
  <c r="CX289" i="1"/>
  <c r="CN289" i="1"/>
  <c r="CR289" i="1" s="1"/>
  <c r="BV289" i="1"/>
  <c r="BX289" i="1" s="1"/>
  <c r="BN289" i="1"/>
  <c r="BO289" i="1" s="1"/>
  <c r="BD289" i="1"/>
  <c r="BC289" i="1"/>
  <c r="BB289" i="1"/>
  <c r="BA289" i="1"/>
  <c r="AZ289" i="1"/>
  <c r="AY289" i="1"/>
  <c r="BE289" i="1" s="1" a="1"/>
  <c r="BE289" i="1" s="1"/>
  <c r="AX289" i="1"/>
  <c r="M289" i="1"/>
  <c r="EM303" i="1"/>
  <c r="DU303" i="1"/>
  <c r="DT303" i="1"/>
  <c r="DN303" i="1"/>
  <c r="DM303" i="1"/>
  <c r="DL303" i="1"/>
  <c r="DK303" i="1"/>
  <c r="DI303" i="1"/>
  <c r="DJ303" i="1" s="1"/>
  <c r="DC303" i="1"/>
  <c r="CX303" i="1"/>
  <c r="CN303" i="1"/>
  <c r="BT303" i="1"/>
  <c r="BS303" i="1"/>
  <c r="BN303" i="1"/>
  <c r="BO303" i="1" s="1"/>
  <c r="BD303" i="1"/>
  <c r="BC303" i="1"/>
  <c r="BB303" i="1"/>
  <c r="BA303" i="1"/>
  <c r="AZ303" i="1"/>
  <c r="AY303" i="1"/>
  <c r="BE303" i="1" s="1" a="1"/>
  <c r="BE303" i="1" s="1"/>
  <c r="AX303" i="1"/>
  <c r="M303" i="1"/>
  <c r="EM288" i="1"/>
  <c r="DU288" i="1"/>
  <c r="DT288" i="1"/>
  <c r="DN288" i="1"/>
  <c r="DM288" i="1"/>
  <c r="DL288" i="1"/>
  <c r="DK288" i="1"/>
  <c r="DI288" i="1"/>
  <c r="DJ288" i="1" s="1"/>
  <c r="DC288" i="1"/>
  <c r="CX288" i="1"/>
  <c r="CN288" i="1"/>
  <c r="BV288" i="1"/>
  <c r="BX288" i="1" s="1"/>
  <c r="BN288" i="1"/>
  <c r="BO288" i="1" s="1"/>
  <c r="BD288" i="1"/>
  <c r="BC288" i="1"/>
  <c r="BB288" i="1"/>
  <c r="BA288" i="1"/>
  <c r="AZ288" i="1"/>
  <c r="AY288" i="1"/>
  <c r="BE288" i="1" s="1" a="1"/>
  <c r="BE288" i="1" s="1"/>
  <c r="AX288" i="1"/>
  <c r="M288" i="1"/>
  <c r="EM302" i="1"/>
  <c r="DU302" i="1"/>
  <c r="DT302" i="1"/>
  <c r="DN302" i="1"/>
  <c r="DM302" i="1"/>
  <c r="DL302" i="1"/>
  <c r="DK302" i="1"/>
  <c r="DI302" i="1"/>
  <c r="DJ302" i="1" s="1"/>
  <c r="DC302" i="1"/>
  <c r="CX302" i="1"/>
  <c r="CN302" i="1"/>
  <c r="CO302" i="1" s="1"/>
  <c r="BT302" i="1"/>
  <c r="BS302" i="1"/>
  <c r="BN302" i="1"/>
  <c r="BO302" i="1" s="1"/>
  <c r="BD302" i="1"/>
  <c r="BC302" i="1"/>
  <c r="BB302" i="1"/>
  <c r="BA302" i="1"/>
  <c r="AZ302" i="1"/>
  <c r="AY302" i="1"/>
  <c r="BE302" i="1" s="1" a="1"/>
  <c r="BE302" i="1" s="1"/>
  <c r="AX302" i="1"/>
  <c r="M302" i="1"/>
  <c r="EM297" i="1"/>
  <c r="DU297" i="1"/>
  <c r="DT297" i="1"/>
  <c r="DN297" i="1"/>
  <c r="DM297" i="1"/>
  <c r="DL297" i="1"/>
  <c r="DK297" i="1"/>
  <c r="DI297" i="1"/>
  <c r="DJ297" i="1" s="1"/>
  <c r="DC297" i="1"/>
  <c r="CX297" i="1"/>
  <c r="CN297" i="1"/>
  <c r="CP297" i="1" s="1"/>
  <c r="BT297" i="1"/>
  <c r="BS297" i="1"/>
  <c r="BN297" i="1"/>
  <c r="BO297" i="1" s="1"/>
  <c r="BD297" i="1"/>
  <c r="BC297" i="1"/>
  <c r="BB297" i="1"/>
  <c r="BA297" i="1"/>
  <c r="AZ297" i="1"/>
  <c r="AY297" i="1"/>
  <c r="BE297" i="1" s="1" a="1"/>
  <c r="BE297" i="1" s="1"/>
  <c r="AX297" i="1"/>
  <c r="M297" i="1"/>
  <c r="EM128" i="1"/>
  <c r="DU128" i="1"/>
  <c r="DT128" i="1"/>
  <c r="DN128" i="1"/>
  <c r="DM128" i="1"/>
  <c r="DL128" i="1"/>
  <c r="DK128" i="1"/>
  <c r="DI128" i="1"/>
  <c r="DJ128" i="1" s="1"/>
  <c r="DC128" i="1"/>
  <c r="CX128" i="1"/>
  <c r="CN128" i="1"/>
  <c r="BT128" i="1"/>
  <c r="BS128" i="1"/>
  <c r="BN128" i="1"/>
  <c r="BO128" i="1" s="1"/>
  <c r="BD128" i="1"/>
  <c r="BC128" i="1"/>
  <c r="BB128" i="1"/>
  <c r="BA128" i="1"/>
  <c r="AZ128" i="1"/>
  <c r="AY128" i="1"/>
  <c r="BE128" i="1" s="1" a="1"/>
  <c r="BE128" i="1" s="1"/>
  <c r="AX128" i="1"/>
  <c r="M128" i="1"/>
  <c r="EM287" i="1"/>
  <c r="DU287" i="1"/>
  <c r="DT287" i="1"/>
  <c r="DN287" i="1"/>
  <c r="DM287" i="1"/>
  <c r="DL287" i="1"/>
  <c r="DK287" i="1"/>
  <c r="DI287" i="1"/>
  <c r="DJ287" i="1" s="1"/>
  <c r="DC287" i="1"/>
  <c r="CX287" i="1"/>
  <c r="CN287" i="1"/>
  <c r="CO287" i="1" s="1"/>
  <c r="BV287" i="1"/>
  <c r="BX287" i="1" s="1"/>
  <c r="BN287" i="1"/>
  <c r="BO287" i="1" s="1"/>
  <c r="BD287" i="1"/>
  <c r="BC287" i="1"/>
  <c r="BB287" i="1"/>
  <c r="BA287" i="1"/>
  <c r="AZ287" i="1"/>
  <c r="BF287" i="1" s="1" a="1"/>
  <c r="BF287" i="1" s="1"/>
  <c r="AY287" i="1"/>
  <c r="BE287" i="1" s="1" a="1"/>
  <c r="BE287" i="1" s="1"/>
  <c r="AX287" i="1"/>
  <c r="M287" i="1"/>
  <c r="EM127" i="1"/>
  <c r="DU127" i="1"/>
  <c r="DT127" i="1"/>
  <c r="DN127" i="1"/>
  <c r="DM127" i="1"/>
  <c r="DL127" i="1"/>
  <c r="DK127" i="1"/>
  <c r="DI127" i="1"/>
  <c r="DJ127" i="1" s="1"/>
  <c r="DC127" i="1"/>
  <c r="CX127" i="1"/>
  <c r="CN127" i="1"/>
  <c r="BT127" i="1"/>
  <c r="BS127" i="1"/>
  <c r="BN127" i="1"/>
  <c r="BO127" i="1" s="1"/>
  <c r="BD127" i="1"/>
  <c r="BC127" i="1"/>
  <c r="BB127" i="1"/>
  <c r="BA127" i="1"/>
  <c r="AZ127" i="1"/>
  <c r="AY127" i="1"/>
  <c r="BE127" i="1" s="1" a="1"/>
  <c r="BE127" i="1" s="1"/>
  <c r="AX127" i="1"/>
  <c r="M127" i="1"/>
  <c r="EM286" i="1"/>
  <c r="DU286" i="1"/>
  <c r="DT286" i="1"/>
  <c r="DN286" i="1"/>
  <c r="DM286" i="1"/>
  <c r="DL286" i="1"/>
  <c r="DK286" i="1"/>
  <c r="DI286" i="1"/>
  <c r="DJ286" i="1" s="1"/>
  <c r="DC286" i="1"/>
  <c r="CX286" i="1"/>
  <c r="CN286" i="1"/>
  <c r="BV286" i="1"/>
  <c r="BX286" i="1" s="1"/>
  <c r="BN286" i="1"/>
  <c r="BO286" i="1" s="1"/>
  <c r="BD286" i="1"/>
  <c r="BC286" i="1"/>
  <c r="BB286" i="1"/>
  <c r="BA286" i="1"/>
  <c r="AZ286" i="1"/>
  <c r="AY286" i="1"/>
  <c r="BE286" i="1" s="1" a="1"/>
  <c r="BE286" i="1" s="1"/>
  <c r="AX286" i="1"/>
  <c r="M286" i="1"/>
  <c r="EM301" i="1"/>
  <c r="DU301" i="1"/>
  <c r="DT301" i="1"/>
  <c r="DN301" i="1"/>
  <c r="DM301" i="1"/>
  <c r="DL301" i="1"/>
  <c r="DK301" i="1"/>
  <c r="DI301" i="1"/>
  <c r="DJ301" i="1" s="1"/>
  <c r="DC301" i="1"/>
  <c r="CX301" i="1"/>
  <c r="CN301" i="1"/>
  <c r="CO301" i="1" s="1"/>
  <c r="BT301" i="1"/>
  <c r="BS301" i="1"/>
  <c r="BN301" i="1"/>
  <c r="BO301" i="1" s="1"/>
  <c r="BD301" i="1"/>
  <c r="BC301" i="1"/>
  <c r="BB301" i="1"/>
  <c r="BA301" i="1"/>
  <c r="AZ301" i="1"/>
  <c r="AY301" i="1"/>
  <c r="BE301" i="1" s="1" a="1"/>
  <c r="BE301" i="1" s="1"/>
  <c r="AX301" i="1"/>
  <c r="M301" i="1"/>
  <c r="EM300" i="1"/>
  <c r="DU300" i="1"/>
  <c r="DT300" i="1"/>
  <c r="DN300" i="1"/>
  <c r="DM300" i="1"/>
  <c r="DL300" i="1"/>
  <c r="DK300" i="1"/>
  <c r="DI300" i="1"/>
  <c r="DJ300" i="1" s="1"/>
  <c r="DC300" i="1"/>
  <c r="CX300" i="1"/>
  <c r="CN300" i="1"/>
  <c r="BT300" i="1"/>
  <c r="BS300" i="1"/>
  <c r="BN300" i="1"/>
  <c r="BO300" i="1" s="1"/>
  <c r="BD300" i="1"/>
  <c r="BC300" i="1"/>
  <c r="BB300" i="1"/>
  <c r="BA300" i="1"/>
  <c r="AZ300" i="1"/>
  <c r="AY300" i="1"/>
  <c r="BE300" i="1" s="1" a="1"/>
  <c r="BE300" i="1" s="1"/>
  <c r="AX300" i="1"/>
  <c r="M300" i="1"/>
  <c r="EM337" i="1"/>
  <c r="DU337" i="1"/>
  <c r="DT337" i="1"/>
  <c r="DN337" i="1"/>
  <c r="DM337" i="1"/>
  <c r="DL337" i="1"/>
  <c r="DK337" i="1"/>
  <c r="DI337" i="1"/>
  <c r="DJ337" i="1" s="1"/>
  <c r="DC337" i="1"/>
  <c r="CX337" i="1"/>
  <c r="CN337" i="1"/>
  <c r="BT337" i="1"/>
  <c r="BS337" i="1"/>
  <c r="BN337" i="1"/>
  <c r="BO337" i="1" s="1"/>
  <c r="BD337" i="1"/>
  <c r="BC337" i="1"/>
  <c r="BB337" i="1"/>
  <c r="BA337" i="1"/>
  <c r="AZ337" i="1"/>
  <c r="AY337" i="1"/>
  <c r="BE337" i="1" s="1" a="1"/>
  <c r="BE337" i="1" s="1"/>
  <c r="AX337" i="1"/>
  <c r="M337" i="1"/>
  <c r="EM321" i="1"/>
  <c r="DU321" i="1"/>
  <c r="DT321" i="1"/>
  <c r="DN321" i="1"/>
  <c r="DM321" i="1"/>
  <c r="DL321" i="1"/>
  <c r="DK321" i="1"/>
  <c r="DI321" i="1"/>
  <c r="DJ321" i="1" s="1"/>
  <c r="DC321" i="1"/>
  <c r="CX321" i="1"/>
  <c r="CN321" i="1"/>
  <c r="CR321" i="1" s="1"/>
  <c r="BV321" i="1"/>
  <c r="BX321" i="1" s="1"/>
  <c r="BN321" i="1"/>
  <c r="BO321" i="1" s="1"/>
  <c r="BD321" i="1"/>
  <c r="BC321" i="1"/>
  <c r="BB321" i="1"/>
  <c r="BA321" i="1"/>
  <c r="AZ321" i="1"/>
  <c r="AY321" i="1"/>
  <c r="BE321" i="1" s="1" a="1"/>
  <c r="BE321" i="1" s="1"/>
  <c r="AX321" i="1"/>
  <c r="M321" i="1"/>
  <c r="EM320" i="1"/>
  <c r="DU320" i="1"/>
  <c r="DT320" i="1"/>
  <c r="DN320" i="1"/>
  <c r="DM320" i="1"/>
  <c r="DL320" i="1"/>
  <c r="DK320" i="1"/>
  <c r="DI320" i="1"/>
  <c r="DJ320" i="1" s="1"/>
  <c r="DC320" i="1"/>
  <c r="CX320" i="1"/>
  <c r="CN320" i="1"/>
  <c r="BV320" i="1"/>
  <c r="BX320" i="1" s="1"/>
  <c r="BN320" i="1"/>
  <c r="BO320" i="1" s="1"/>
  <c r="BD320" i="1"/>
  <c r="BC320" i="1"/>
  <c r="BB320" i="1"/>
  <c r="BA320" i="1"/>
  <c r="AZ320" i="1"/>
  <c r="AY320" i="1"/>
  <c r="BE320" i="1" s="1" a="1"/>
  <c r="BE320" i="1" s="1"/>
  <c r="AX320" i="1"/>
  <c r="M320" i="1"/>
  <c r="EM285" i="1"/>
  <c r="DU285" i="1"/>
  <c r="DT285" i="1"/>
  <c r="DN285" i="1"/>
  <c r="DM285" i="1"/>
  <c r="DL285" i="1"/>
  <c r="DK285" i="1"/>
  <c r="DI285" i="1"/>
  <c r="DJ285" i="1" s="1"/>
  <c r="DC285" i="1"/>
  <c r="CX285" i="1"/>
  <c r="CN285" i="1"/>
  <c r="BV285" i="1"/>
  <c r="BX285" i="1" s="1"/>
  <c r="BN285" i="1"/>
  <c r="BO285" i="1" s="1"/>
  <c r="BD285" i="1"/>
  <c r="BC285" i="1"/>
  <c r="BB285" i="1"/>
  <c r="BA285" i="1"/>
  <c r="AZ285" i="1"/>
  <c r="AY285" i="1"/>
  <c r="BE285" i="1" s="1" a="1"/>
  <c r="BE285" i="1" s="1"/>
  <c r="AX285" i="1"/>
  <c r="M285" i="1"/>
  <c r="EM299" i="1"/>
  <c r="DU299" i="1"/>
  <c r="DT299" i="1"/>
  <c r="DN299" i="1"/>
  <c r="DM299" i="1"/>
  <c r="DL299" i="1"/>
  <c r="DK299" i="1"/>
  <c r="DI299" i="1"/>
  <c r="DJ299" i="1" s="1"/>
  <c r="DC299" i="1"/>
  <c r="CX299" i="1"/>
  <c r="CN299" i="1"/>
  <c r="BT299" i="1"/>
  <c r="BS299" i="1"/>
  <c r="BN299" i="1"/>
  <c r="BO299" i="1" s="1"/>
  <c r="BD299" i="1"/>
  <c r="BC299" i="1"/>
  <c r="BB299" i="1"/>
  <c r="BA299" i="1"/>
  <c r="AZ299" i="1"/>
  <c r="AY299" i="1"/>
  <c r="BE299" i="1" s="1" a="1"/>
  <c r="BE299" i="1" s="1"/>
  <c r="AX299" i="1"/>
  <c r="M299" i="1"/>
  <c r="EM298" i="1"/>
  <c r="DU298" i="1"/>
  <c r="DT298" i="1"/>
  <c r="DN298" i="1"/>
  <c r="DM298" i="1"/>
  <c r="DL298" i="1"/>
  <c r="DK298" i="1"/>
  <c r="DI298" i="1"/>
  <c r="DJ298" i="1" s="1"/>
  <c r="DC298" i="1"/>
  <c r="CX298" i="1"/>
  <c r="CN298" i="1"/>
  <c r="CO298" i="1" s="1"/>
  <c r="BT298" i="1"/>
  <c r="BS298" i="1"/>
  <c r="BN298" i="1"/>
  <c r="BO298" i="1" s="1"/>
  <c r="BD298" i="1"/>
  <c r="BC298" i="1"/>
  <c r="BB298" i="1"/>
  <c r="BA298" i="1"/>
  <c r="AZ298" i="1"/>
  <c r="BF298" i="1" s="1" a="1"/>
  <c r="BF298" i="1" s="1"/>
  <c r="AY298" i="1"/>
  <c r="BE298" i="1" s="1" a="1"/>
  <c r="BE298" i="1" s="1"/>
  <c r="AX298" i="1"/>
  <c r="M298" i="1"/>
  <c r="EM336" i="1"/>
  <c r="DU336" i="1"/>
  <c r="DT336" i="1"/>
  <c r="DN336" i="1"/>
  <c r="DM336" i="1"/>
  <c r="DL336" i="1"/>
  <c r="DK336" i="1"/>
  <c r="DI336" i="1"/>
  <c r="DJ336" i="1" s="1"/>
  <c r="DC336" i="1"/>
  <c r="CX336" i="1"/>
  <c r="CN336" i="1"/>
  <c r="BT336" i="1"/>
  <c r="BV336" i="1" s="1"/>
  <c r="BX336" i="1" s="1"/>
  <c r="BS336" i="1"/>
  <c r="BN336" i="1"/>
  <c r="BO336" i="1" s="1"/>
  <c r="BD336" i="1"/>
  <c r="BC336" i="1"/>
  <c r="BB336" i="1"/>
  <c r="BA336" i="1"/>
  <c r="AZ336" i="1"/>
  <c r="AY336" i="1"/>
  <c r="BE336" i="1" s="1" a="1"/>
  <c r="BE336" i="1" s="1"/>
  <c r="AX336" i="1"/>
  <c r="M336" i="1"/>
  <c r="EM335" i="1"/>
  <c r="DU335" i="1"/>
  <c r="DT335" i="1"/>
  <c r="DN335" i="1"/>
  <c r="DM335" i="1"/>
  <c r="DL335" i="1"/>
  <c r="DK335" i="1"/>
  <c r="DI335" i="1"/>
  <c r="DJ335" i="1" s="1"/>
  <c r="DC335" i="1"/>
  <c r="CX335" i="1"/>
  <c r="CN335" i="1"/>
  <c r="CO335" i="1" s="1"/>
  <c r="BT335" i="1"/>
  <c r="BV335" i="1" s="1"/>
  <c r="BX335" i="1" s="1"/>
  <c r="BS335" i="1"/>
  <c r="BN335" i="1"/>
  <c r="BO335" i="1" s="1"/>
  <c r="BD335" i="1"/>
  <c r="BC335" i="1"/>
  <c r="BB335" i="1"/>
  <c r="BA335" i="1"/>
  <c r="AZ335" i="1"/>
  <c r="AY335" i="1"/>
  <c r="BE335" i="1" s="1" a="1"/>
  <c r="BE335" i="1" s="1"/>
  <c r="AX335" i="1"/>
  <c r="M335" i="1"/>
  <c r="EM334" i="1"/>
  <c r="DU334" i="1"/>
  <c r="DT334" i="1"/>
  <c r="DN334" i="1"/>
  <c r="DM334" i="1"/>
  <c r="DL334" i="1"/>
  <c r="DK334" i="1"/>
  <c r="DI334" i="1"/>
  <c r="DJ334" i="1" s="1"/>
  <c r="DC334" i="1"/>
  <c r="CX334" i="1"/>
  <c r="CN334" i="1"/>
  <c r="BT334" i="1"/>
  <c r="BS334" i="1"/>
  <c r="BN334" i="1"/>
  <c r="BO334" i="1" s="1"/>
  <c r="BD334" i="1"/>
  <c r="BC334" i="1"/>
  <c r="BB334" i="1"/>
  <c r="BA334" i="1"/>
  <c r="AZ334" i="1"/>
  <c r="AY334" i="1"/>
  <c r="BE334" i="1" s="1" a="1"/>
  <c r="BE334" i="1" s="1"/>
  <c r="AX334" i="1"/>
  <c r="M334" i="1"/>
  <c r="EM319" i="1"/>
  <c r="DU319" i="1"/>
  <c r="DT319" i="1"/>
  <c r="DN319" i="1"/>
  <c r="DM319" i="1"/>
  <c r="DL319" i="1"/>
  <c r="DK319" i="1"/>
  <c r="DI319" i="1"/>
  <c r="DJ319" i="1" s="1"/>
  <c r="DC319" i="1"/>
  <c r="CX319" i="1"/>
  <c r="CN319" i="1"/>
  <c r="BV319" i="1"/>
  <c r="BX319" i="1" s="1"/>
  <c r="BN319" i="1"/>
  <c r="BO319" i="1" s="1"/>
  <c r="BD319" i="1"/>
  <c r="BC319" i="1"/>
  <c r="BB319" i="1"/>
  <c r="BA319" i="1"/>
  <c r="AZ319" i="1"/>
  <c r="AY319" i="1"/>
  <c r="BE319" i="1" s="1" a="1"/>
  <c r="BE319" i="1" s="1"/>
  <c r="AX319" i="1"/>
  <c r="M319" i="1"/>
  <c r="EM318" i="1"/>
  <c r="DU318" i="1"/>
  <c r="DT318" i="1"/>
  <c r="DN318" i="1"/>
  <c r="DM318" i="1"/>
  <c r="DL318" i="1"/>
  <c r="DK318" i="1"/>
  <c r="DI318" i="1"/>
  <c r="DJ318" i="1" s="1"/>
  <c r="DC318" i="1"/>
  <c r="CX318" i="1"/>
  <c r="CN318" i="1"/>
  <c r="CO318" i="1" s="1"/>
  <c r="BV318" i="1"/>
  <c r="BX318" i="1" s="1"/>
  <c r="BN318" i="1"/>
  <c r="BO318" i="1" s="1"/>
  <c r="BD318" i="1"/>
  <c r="BC318" i="1"/>
  <c r="BB318" i="1"/>
  <c r="BA318" i="1"/>
  <c r="AZ318" i="1"/>
  <c r="AY318" i="1"/>
  <c r="BE318" i="1" s="1" a="1"/>
  <c r="BE318" i="1" s="1"/>
  <c r="AX318" i="1"/>
  <c r="M318" i="1"/>
  <c r="EM126" i="1"/>
  <c r="DU126" i="1"/>
  <c r="DT126" i="1"/>
  <c r="DN126" i="1"/>
  <c r="DM126" i="1"/>
  <c r="DL126" i="1"/>
  <c r="DK126" i="1"/>
  <c r="DI126" i="1"/>
  <c r="DJ126" i="1" s="1"/>
  <c r="DC126" i="1"/>
  <c r="CX126" i="1"/>
  <c r="CN126" i="1"/>
  <c r="BT126" i="1"/>
  <c r="BS126" i="1"/>
  <c r="BN126" i="1"/>
  <c r="BO126" i="1" s="1"/>
  <c r="BD126" i="1"/>
  <c r="BC126" i="1"/>
  <c r="BB126" i="1"/>
  <c r="BA126" i="1"/>
  <c r="AZ126" i="1"/>
  <c r="AY126" i="1"/>
  <c r="BE126" i="1" s="1" a="1"/>
  <c r="BE126" i="1" s="1"/>
  <c r="AX126" i="1"/>
  <c r="M126" i="1"/>
  <c r="EM296" i="1"/>
  <c r="DU296" i="1"/>
  <c r="DT296" i="1"/>
  <c r="DN296" i="1"/>
  <c r="DM296" i="1"/>
  <c r="DL296" i="1"/>
  <c r="DK296" i="1"/>
  <c r="DI296" i="1"/>
  <c r="DJ296" i="1" s="1"/>
  <c r="DC296" i="1"/>
  <c r="CX296" i="1"/>
  <c r="CN296" i="1"/>
  <c r="BT296" i="1"/>
  <c r="BS296" i="1"/>
  <c r="BN296" i="1"/>
  <c r="BO296" i="1" s="1"/>
  <c r="BD296" i="1"/>
  <c r="BC296" i="1"/>
  <c r="BB296" i="1"/>
  <c r="BA296" i="1"/>
  <c r="AZ296" i="1"/>
  <c r="AY296" i="1"/>
  <c r="BE296" i="1" s="1" a="1"/>
  <c r="BE296" i="1" s="1"/>
  <c r="AX296" i="1"/>
  <c r="M296" i="1"/>
  <c r="EM125" i="1"/>
  <c r="DU125" i="1"/>
  <c r="DT125" i="1"/>
  <c r="DN125" i="1"/>
  <c r="DM125" i="1"/>
  <c r="DL125" i="1"/>
  <c r="DK125" i="1"/>
  <c r="DI125" i="1"/>
  <c r="DJ125" i="1" s="1"/>
  <c r="DC125" i="1"/>
  <c r="CX125" i="1"/>
  <c r="CN125" i="1"/>
  <c r="CP125" i="1" s="1"/>
  <c r="BT125" i="1"/>
  <c r="BS125" i="1"/>
  <c r="BV125" i="1" s="1"/>
  <c r="BX125" i="1" s="1"/>
  <c r="BN125" i="1"/>
  <c r="BO125" i="1" s="1"/>
  <c r="BD125" i="1"/>
  <c r="BC125" i="1"/>
  <c r="BB125" i="1"/>
  <c r="BA125" i="1"/>
  <c r="AZ125" i="1"/>
  <c r="AY125" i="1"/>
  <c r="BE125" i="1" s="1" a="1"/>
  <c r="BE125" i="1" s="1"/>
  <c r="AX125" i="1"/>
  <c r="M125" i="1"/>
  <c r="EM1177" i="1"/>
  <c r="DU1177" i="1"/>
  <c r="DT1177" i="1"/>
  <c r="DN1177" i="1"/>
  <c r="DM1177" i="1"/>
  <c r="DL1177" i="1"/>
  <c r="DK1177" i="1"/>
  <c r="DI1177" i="1"/>
  <c r="DJ1177" i="1" s="1"/>
  <c r="DC1177" i="1"/>
  <c r="CX1177" i="1"/>
  <c r="CN1177" i="1"/>
  <c r="BX1177" i="1"/>
  <c r="BY1177" i="1" s="1"/>
  <c r="BN1177" i="1"/>
  <c r="BM1177" i="1"/>
  <c r="BD1177" i="1"/>
  <c r="BC1177" i="1"/>
  <c r="BB1177" i="1"/>
  <c r="BA1177" i="1"/>
  <c r="AZ1177" i="1"/>
  <c r="AY1177" i="1"/>
  <c r="BE1177" i="1" s="1" a="1"/>
  <c r="BE1177" i="1" s="1"/>
  <c r="AX1177" i="1"/>
  <c r="M1177" i="1"/>
  <c r="EM1176" i="1"/>
  <c r="DU1176" i="1"/>
  <c r="DT1176" i="1"/>
  <c r="DN1176" i="1"/>
  <c r="DM1176" i="1"/>
  <c r="DL1176" i="1"/>
  <c r="DK1176" i="1"/>
  <c r="DI1176" i="1"/>
  <c r="DJ1176" i="1" s="1"/>
  <c r="DC1176" i="1"/>
  <c r="CX1176" i="1"/>
  <c r="CN1176" i="1"/>
  <c r="BX1176" i="1"/>
  <c r="BY1176" i="1" s="1"/>
  <c r="BN1176" i="1"/>
  <c r="BM1176" i="1"/>
  <c r="BD1176" i="1"/>
  <c r="BC1176" i="1"/>
  <c r="BB1176" i="1"/>
  <c r="BA1176" i="1"/>
  <c r="AZ1176" i="1"/>
  <c r="AY1176" i="1"/>
  <c r="BE1176" i="1" s="1" a="1"/>
  <c r="BE1176" i="1" s="1"/>
  <c r="AX1176" i="1"/>
  <c r="M1176" i="1"/>
  <c r="EM1175" i="1"/>
  <c r="DU1175" i="1"/>
  <c r="DT1175" i="1"/>
  <c r="DN1175" i="1"/>
  <c r="DM1175" i="1"/>
  <c r="DL1175" i="1"/>
  <c r="DK1175" i="1"/>
  <c r="DI1175" i="1"/>
  <c r="DJ1175" i="1" s="1"/>
  <c r="DC1175" i="1"/>
  <c r="CX1175" i="1"/>
  <c r="CN1175" i="1"/>
  <c r="BX1175" i="1"/>
  <c r="BY1175" i="1" s="1"/>
  <c r="BN1175" i="1"/>
  <c r="BM1175" i="1"/>
  <c r="BD1175" i="1"/>
  <c r="BC1175" i="1"/>
  <c r="BB1175" i="1"/>
  <c r="BA1175" i="1"/>
  <c r="AZ1175" i="1"/>
  <c r="BF1175" i="1" s="1" a="1"/>
  <c r="BF1175" i="1" s="1"/>
  <c r="AY1175" i="1"/>
  <c r="BE1175" i="1" s="1" a="1"/>
  <c r="BE1175" i="1" s="1"/>
  <c r="AX1175" i="1"/>
  <c r="M1175" i="1"/>
  <c r="EM1162" i="1"/>
  <c r="DU1162" i="1"/>
  <c r="DT1162" i="1"/>
  <c r="DN1162" i="1"/>
  <c r="DM1162" i="1"/>
  <c r="DL1162" i="1"/>
  <c r="DK1162" i="1"/>
  <c r="DI1162" i="1"/>
  <c r="DJ1162" i="1" s="1"/>
  <c r="DC1162" i="1"/>
  <c r="CX1162" i="1"/>
  <c r="CN1162" i="1"/>
  <c r="CR1162" i="1" s="1"/>
  <c r="BX1162" i="1"/>
  <c r="BY1162" i="1" s="1"/>
  <c r="BN1162" i="1"/>
  <c r="BM1162" i="1"/>
  <c r="BD1162" i="1"/>
  <c r="BC1162" i="1"/>
  <c r="BB1162" i="1"/>
  <c r="BA1162" i="1"/>
  <c r="AZ1162" i="1"/>
  <c r="AY1162" i="1"/>
  <c r="BE1162" i="1" s="1" a="1"/>
  <c r="BE1162" i="1" s="1"/>
  <c r="AX1162" i="1"/>
  <c r="M1162" i="1"/>
  <c r="EM815" i="1"/>
  <c r="DU815" i="1"/>
  <c r="DT815" i="1"/>
  <c r="DN815" i="1"/>
  <c r="DM815" i="1"/>
  <c r="DL815" i="1"/>
  <c r="DK815" i="1"/>
  <c r="DI815" i="1"/>
  <c r="DJ815" i="1" s="1"/>
  <c r="DC815" i="1"/>
  <c r="CX815" i="1"/>
  <c r="CN815" i="1"/>
  <c r="BV815" i="1"/>
  <c r="BX815" i="1" s="1"/>
  <c r="BY815" i="1" s="1"/>
  <c r="BN815" i="1"/>
  <c r="BM815" i="1"/>
  <c r="BD815" i="1"/>
  <c r="BC815" i="1"/>
  <c r="BB815" i="1"/>
  <c r="BA815" i="1"/>
  <c r="AZ815" i="1"/>
  <c r="AY815" i="1"/>
  <c r="BE815" i="1" s="1" a="1"/>
  <c r="BE815" i="1" s="1"/>
  <c r="AX815" i="1"/>
  <c r="M815" i="1"/>
  <c r="EM1174" i="1"/>
  <c r="DU1174" i="1"/>
  <c r="DT1174" i="1"/>
  <c r="DN1174" i="1"/>
  <c r="DM1174" i="1"/>
  <c r="DL1174" i="1"/>
  <c r="DK1174" i="1"/>
  <c r="DI1174" i="1"/>
  <c r="DJ1174" i="1" s="1"/>
  <c r="DC1174" i="1"/>
  <c r="CX1174" i="1"/>
  <c r="CN1174" i="1"/>
  <c r="CO1174" i="1" s="1"/>
  <c r="BV1174" i="1"/>
  <c r="BX1174" i="1" s="1"/>
  <c r="BY1174" i="1" s="1"/>
  <c r="BN1174" i="1"/>
  <c r="BM1174" i="1"/>
  <c r="BD1174" i="1"/>
  <c r="BC1174" i="1"/>
  <c r="BB1174" i="1"/>
  <c r="BA1174" i="1"/>
  <c r="AZ1174" i="1"/>
  <c r="AY1174" i="1"/>
  <c r="BE1174" i="1" s="1" a="1"/>
  <c r="BE1174" i="1" s="1"/>
  <c r="AX1174" i="1"/>
  <c r="M1174" i="1"/>
  <c r="EM1173" i="1"/>
  <c r="DU1173" i="1"/>
  <c r="DT1173" i="1"/>
  <c r="DN1173" i="1"/>
  <c r="DM1173" i="1"/>
  <c r="DL1173" i="1"/>
  <c r="DK1173" i="1"/>
  <c r="DI1173" i="1"/>
  <c r="DJ1173" i="1" s="1"/>
  <c r="DC1173" i="1"/>
  <c r="CX1173" i="1"/>
  <c r="CN1173" i="1"/>
  <c r="BX1173" i="1"/>
  <c r="BY1173" i="1" s="1"/>
  <c r="BN1173" i="1"/>
  <c r="BM1173" i="1"/>
  <c r="BD1173" i="1"/>
  <c r="BC1173" i="1"/>
  <c r="BB1173" i="1"/>
  <c r="BA1173" i="1"/>
  <c r="AZ1173" i="1"/>
  <c r="BF1173" i="1" s="1" a="1"/>
  <c r="BF1173" i="1" s="1"/>
  <c r="AY1173" i="1"/>
  <c r="BE1173" i="1" s="1" a="1"/>
  <c r="BE1173" i="1" s="1"/>
  <c r="AX1173" i="1"/>
  <c r="M1173" i="1"/>
  <c r="EM1172" i="1"/>
  <c r="DU1172" i="1"/>
  <c r="DT1172" i="1"/>
  <c r="DN1172" i="1"/>
  <c r="DM1172" i="1"/>
  <c r="DL1172" i="1"/>
  <c r="DK1172" i="1"/>
  <c r="DI1172" i="1"/>
  <c r="DJ1172" i="1" s="1"/>
  <c r="DC1172" i="1"/>
  <c r="CX1172" i="1"/>
  <c r="CN1172" i="1"/>
  <c r="CO1172" i="1" s="1"/>
  <c r="BX1172" i="1"/>
  <c r="BY1172" i="1" s="1"/>
  <c r="BN1172" i="1"/>
  <c r="BM1172" i="1"/>
  <c r="BD1172" i="1"/>
  <c r="BC1172" i="1"/>
  <c r="BB1172" i="1"/>
  <c r="BA1172" i="1"/>
  <c r="AZ1172" i="1"/>
  <c r="AY1172" i="1"/>
  <c r="BE1172" i="1" s="1" a="1"/>
  <c r="BE1172" i="1" s="1"/>
  <c r="AX1172" i="1"/>
  <c r="M1172" i="1"/>
  <c r="EM1171" i="1"/>
  <c r="DU1171" i="1"/>
  <c r="DT1171" i="1"/>
  <c r="DN1171" i="1"/>
  <c r="DM1171" i="1"/>
  <c r="DL1171" i="1"/>
  <c r="DK1171" i="1"/>
  <c r="DI1171" i="1"/>
  <c r="DJ1171" i="1" s="1"/>
  <c r="DC1171" i="1"/>
  <c r="CX1171" i="1"/>
  <c r="CN1171" i="1"/>
  <c r="BX1171" i="1"/>
  <c r="BY1171" i="1" s="1"/>
  <c r="BN1171" i="1"/>
  <c r="BM1171" i="1"/>
  <c r="BD1171" i="1"/>
  <c r="BC1171" i="1"/>
  <c r="BB1171" i="1"/>
  <c r="BA1171" i="1"/>
  <c r="AZ1171" i="1"/>
  <c r="AY1171" i="1"/>
  <c r="BE1171" i="1" s="1" a="1"/>
  <c r="BE1171" i="1" s="1"/>
  <c r="AX1171" i="1"/>
  <c r="M1171" i="1"/>
  <c r="EM1170" i="1"/>
  <c r="DU1170" i="1"/>
  <c r="DT1170" i="1"/>
  <c r="DN1170" i="1"/>
  <c r="DM1170" i="1"/>
  <c r="DL1170" i="1"/>
  <c r="DK1170" i="1"/>
  <c r="DI1170" i="1"/>
  <c r="DJ1170" i="1" s="1"/>
  <c r="DC1170" i="1"/>
  <c r="CX1170" i="1"/>
  <c r="CN1170" i="1"/>
  <c r="BX1170" i="1"/>
  <c r="BY1170" i="1" s="1"/>
  <c r="BN1170" i="1"/>
  <c r="BM1170" i="1"/>
  <c r="BD1170" i="1"/>
  <c r="BC1170" i="1"/>
  <c r="BB1170" i="1"/>
  <c r="BA1170" i="1"/>
  <c r="AZ1170" i="1"/>
  <c r="AY1170" i="1"/>
  <c r="BE1170" i="1" s="1" a="1"/>
  <c r="BE1170" i="1" s="1"/>
  <c r="AX1170" i="1"/>
  <c r="M1170" i="1"/>
  <c r="EM1169" i="1"/>
  <c r="DU1169" i="1"/>
  <c r="DT1169" i="1"/>
  <c r="DN1169" i="1"/>
  <c r="DM1169" i="1"/>
  <c r="DL1169" i="1"/>
  <c r="DK1169" i="1"/>
  <c r="DI1169" i="1"/>
  <c r="DJ1169" i="1" s="1"/>
  <c r="DC1169" i="1"/>
  <c r="CX1169" i="1"/>
  <c r="CN1169" i="1"/>
  <c r="BX1169" i="1"/>
  <c r="BY1169" i="1" s="1"/>
  <c r="BN1169" i="1"/>
  <c r="BM1169" i="1"/>
  <c r="BD1169" i="1"/>
  <c r="BC1169" i="1"/>
  <c r="BB1169" i="1"/>
  <c r="BA1169" i="1"/>
  <c r="AZ1169" i="1"/>
  <c r="BF1169" i="1" s="1" a="1"/>
  <c r="BF1169" i="1" s="1"/>
  <c r="AY1169" i="1"/>
  <c r="BE1169" i="1" s="1" a="1"/>
  <c r="BE1169" i="1" s="1"/>
  <c r="AX1169" i="1"/>
  <c r="M1169" i="1"/>
  <c r="EM1168" i="1"/>
  <c r="DU1168" i="1"/>
  <c r="DT1168" i="1"/>
  <c r="DN1168" i="1"/>
  <c r="DM1168" i="1"/>
  <c r="DL1168" i="1"/>
  <c r="DK1168" i="1"/>
  <c r="DI1168" i="1"/>
  <c r="DJ1168" i="1" s="1"/>
  <c r="DC1168" i="1"/>
  <c r="CX1168" i="1"/>
  <c r="CN1168" i="1"/>
  <c r="BV1168" i="1"/>
  <c r="BX1168" i="1" s="1"/>
  <c r="BN1168" i="1"/>
  <c r="BM1168" i="1"/>
  <c r="BD1168" i="1"/>
  <c r="BC1168" i="1"/>
  <c r="BB1168" i="1"/>
  <c r="BA1168" i="1"/>
  <c r="AZ1168" i="1"/>
  <c r="AY1168" i="1"/>
  <c r="BE1168" i="1" s="1" a="1"/>
  <c r="BE1168" i="1" s="1"/>
  <c r="AX1168" i="1"/>
  <c r="M1168" i="1"/>
  <c r="EM1167" i="1"/>
  <c r="DU1167" i="1"/>
  <c r="DT1167" i="1"/>
  <c r="DN1167" i="1"/>
  <c r="DM1167" i="1"/>
  <c r="DL1167" i="1"/>
  <c r="DK1167" i="1"/>
  <c r="DI1167" i="1"/>
  <c r="DJ1167" i="1" s="1"/>
  <c r="DC1167" i="1"/>
  <c r="CX1167" i="1"/>
  <c r="CN1167" i="1"/>
  <c r="CS1167" i="1" s="1"/>
  <c r="BV1167" i="1"/>
  <c r="BX1167" i="1" s="1"/>
  <c r="BN1167" i="1"/>
  <c r="BM1167" i="1"/>
  <c r="BD1167" i="1"/>
  <c r="BC1167" i="1"/>
  <c r="BB1167" i="1"/>
  <c r="BA1167" i="1"/>
  <c r="AZ1167" i="1"/>
  <c r="AY1167" i="1"/>
  <c r="BE1167" i="1" s="1" a="1"/>
  <c r="BE1167" i="1" s="1"/>
  <c r="AX1167" i="1"/>
  <c r="M1167" i="1"/>
  <c r="EM816" i="1"/>
  <c r="DU816" i="1"/>
  <c r="DN816" i="1"/>
  <c r="DM816" i="1"/>
  <c r="DL816" i="1"/>
  <c r="DK816" i="1"/>
  <c r="DI816" i="1"/>
  <c r="DJ816" i="1" s="1"/>
  <c r="DC816" i="1"/>
  <c r="CX816" i="1"/>
  <c r="CN816" i="1"/>
  <c r="CO816" i="1" s="1"/>
  <c r="BV816" i="1"/>
  <c r="BX816" i="1" s="1"/>
  <c r="BM816" i="1"/>
  <c r="BL816" i="1"/>
  <c r="BK816" i="1"/>
  <c r="BD816" i="1"/>
  <c r="BC816" i="1"/>
  <c r="BB816" i="1"/>
  <c r="BA816" i="1"/>
  <c r="AZ816" i="1"/>
  <c r="AY816" i="1"/>
  <c r="BE816" i="1" s="1" a="1"/>
  <c r="BE816" i="1" s="1"/>
  <c r="AX816" i="1"/>
  <c r="M816" i="1"/>
  <c r="EM517" i="1"/>
  <c r="DU517" i="1"/>
  <c r="DN517" i="1"/>
  <c r="DM517" i="1"/>
  <c r="DL517" i="1"/>
  <c r="DK517" i="1"/>
  <c r="DI517" i="1"/>
  <c r="DJ517" i="1" s="1"/>
  <c r="DC517" i="1"/>
  <c r="CX517" i="1"/>
  <c r="CN517" i="1"/>
  <c r="CR517" i="1" s="1"/>
  <c r="BV517" i="1"/>
  <c r="BX517" i="1" s="1"/>
  <c r="BU517" i="1"/>
  <c r="BN517" i="1"/>
  <c r="BO517" i="1" s="1"/>
  <c r="BM517" i="1"/>
  <c r="BD517" i="1"/>
  <c r="BC517" i="1"/>
  <c r="BB517" i="1"/>
  <c r="BA517" i="1"/>
  <c r="AZ517" i="1"/>
  <c r="AY517" i="1"/>
  <c r="BE517" i="1" s="1" a="1"/>
  <c r="BE517" i="1" s="1"/>
  <c r="AX517" i="1"/>
  <c r="M517" i="1"/>
  <c r="EM376" i="1"/>
  <c r="DU376" i="1"/>
  <c r="DT376" i="1"/>
  <c r="DN376" i="1"/>
  <c r="DM376" i="1"/>
  <c r="DL376" i="1"/>
  <c r="DK376" i="1"/>
  <c r="DI376" i="1"/>
  <c r="DJ376" i="1" s="1"/>
  <c r="DC376" i="1"/>
  <c r="CX376" i="1"/>
  <c r="CN376" i="1"/>
  <c r="BX376" i="1"/>
  <c r="BN376" i="1"/>
  <c r="BO376" i="1" s="1"/>
  <c r="BM376" i="1"/>
  <c r="BD376" i="1"/>
  <c r="BC376" i="1"/>
  <c r="BB376" i="1"/>
  <c r="BA376" i="1"/>
  <c r="AZ376" i="1"/>
  <c r="AY376" i="1"/>
  <c r="BE376" i="1" s="1" a="1"/>
  <c r="BE376" i="1" s="1"/>
  <c r="AX376" i="1"/>
  <c r="M376" i="1"/>
  <c r="EM375" i="1"/>
  <c r="DU375" i="1"/>
  <c r="DT375" i="1"/>
  <c r="DN375" i="1"/>
  <c r="DM375" i="1"/>
  <c r="DL375" i="1"/>
  <c r="DK375" i="1"/>
  <c r="DI375" i="1"/>
  <c r="DJ375" i="1" s="1"/>
  <c r="DC375" i="1"/>
  <c r="CX375" i="1"/>
  <c r="CN375" i="1"/>
  <c r="CO375" i="1" s="1"/>
  <c r="BX375" i="1"/>
  <c r="BN375" i="1"/>
  <c r="BO375" i="1" s="1"/>
  <c r="BM375" i="1"/>
  <c r="BD375" i="1"/>
  <c r="BC375" i="1"/>
  <c r="BB375" i="1"/>
  <c r="BA375" i="1"/>
  <c r="AZ375" i="1"/>
  <c r="AY375" i="1"/>
  <c r="BE375" i="1" s="1" a="1"/>
  <c r="BE375" i="1" s="1"/>
  <c r="AX375" i="1"/>
  <c r="M375" i="1"/>
  <c r="EM374" i="1"/>
  <c r="DU374" i="1"/>
  <c r="DT374" i="1"/>
  <c r="DN374" i="1"/>
  <c r="DM374" i="1"/>
  <c r="DL374" i="1"/>
  <c r="DK374" i="1"/>
  <c r="DI374" i="1"/>
  <c r="DJ374" i="1" s="1"/>
  <c r="DC374" i="1"/>
  <c r="CX374" i="1"/>
  <c r="CN374" i="1"/>
  <c r="BX374" i="1"/>
  <c r="BN374" i="1"/>
  <c r="BO374" i="1" s="1"/>
  <c r="BM374" i="1"/>
  <c r="BD374" i="1"/>
  <c r="BC374" i="1"/>
  <c r="BB374" i="1"/>
  <c r="BA374" i="1"/>
  <c r="AZ374" i="1"/>
  <c r="AY374" i="1"/>
  <c r="BE374" i="1" s="1" a="1"/>
  <c r="BE374" i="1" s="1"/>
  <c r="AX374" i="1"/>
  <c r="M374" i="1"/>
  <c r="EM373" i="1"/>
  <c r="DU373" i="1"/>
  <c r="DT373" i="1"/>
  <c r="DN373" i="1"/>
  <c r="DM373" i="1"/>
  <c r="DL373" i="1"/>
  <c r="DK373" i="1"/>
  <c r="DI373" i="1"/>
  <c r="DJ373" i="1" s="1"/>
  <c r="DC373" i="1"/>
  <c r="CX373" i="1"/>
  <c r="CN373" i="1"/>
  <c r="CO373" i="1" s="1"/>
  <c r="BX373" i="1"/>
  <c r="BN373" i="1"/>
  <c r="BO373" i="1" s="1"/>
  <c r="BM373" i="1"/>
  <c r="BD373" i="1"/>
  <c r="BC373" i="1"/>
  <c r="BB373" i="1"/>
  <c r="BA373" i="1"/>
  <c r="AZ373" i="1"/>
  <c r="BF373" i="1" s="1" a="1"/>
  <c r="BF373" i="1" s="1"/>
  <c r="AY373" i="1"/>
  <c r="BE373" i="1" s="1" a="1"/>
  <c r="BE373" i="1" s="1"/>
  <c r="AX373" i="1"/>
  <c r="M373" i="1"/>
  <c r="EM284" i="1"/>
  <c r="DU284" i="1"/>
  <c r="DT284" i="1"/>
  <c r="DN284" i="1"/>
  <c r="DM284" i="1"/>
  <c r="DL284" i="1"/>
  <c r="DK284" i="1"/>
  <c r="DI284" i="1"/>
  <c r="DJ284" i="1" s="1"/>
  <c r="DB284" i="1"/>
  <c r="DC284" i="1" s="1"/>
  <c r="CX284" i="1"/>
  <c r="CN284" i="1"/>
  <c r="BV284" i="1"/>
  <c r="BU284" i="1"/>
  <c r="BN284" i="1"/>
  <c r="BO284" i="1" s="1"/>
  <c r="BY284" i="1" s="1"/>
  <c r="BM284" i="1"/>
  <c r="BD284" i="1"/>
  <c r="BC284" i="1"/>
  <c r="BB284" i="1"/>
  <c r="BA284" i="1"/>
  <c r="AZ284" i="1"/>
  <c r="AY284" i="1"/>
  <c r="BE284" i="1" s="1" a="1"/>
  <c r="BE284" i="1" s="1"/>
  <c r="AX284" i="1"/>
  <c r="M284" i="1"/>
  <c r="EM283" i="1"/>
  <c r="DU283" i="1"/>
  <c r="DT283" i="1"/>
  <c r="DN283" i="1"/>
  <c r="DM283" i="1"/>
  <c r="DL283" i="1"/>
  <c r="DK283" i="1"/>
  <c r="DI283" i="1"/>
  <c r="DJ283" i="1" s="1"/>
  <c r="DB283" i="1"/>
  <c r="DC283" i="1" s="1"/>
  <c r="CX283" i="1"/>
  <c r="CN283" i="1"/>
  <c r="CP283" i="1" s="1"/>
  <c r="BV283" i="1"/>
  <c r="BU283" i="1"/>
  <c r="BN283" i="1"/>
  <c r="BO283" i="1" s="1"/>
  <c r="BM283" i="1"/>
  <c r="BD283" i="1"/>
  <c r="BC283" i="1"/>
  <c r="BB283" i="1"/>
  <c r="BA283" i="1"/>
  <c r="AZ283" i="1"/>
  <c r="AY283" i="1"/>
  <c r="BE283" i="1" s="1" a="1"/>
  <c r="BE283" i="1" s="1"/>
  <c r="AX283" i="1"/>
  <c r="M283" i="1"/>
  <c r="EM282" i="1"/>
  <c r="DU282" i="1"/>
  <c r="DT282" i="1"/>
  <c r="DN282" i="1"/>
  <c r="DM282" i="1"/>
  <c r="DL282" i="1"/>
  <c r="DK282" i="1"/>
  <c r="DI282" i="1"/>
  <c r="DJ282" i="1" s="1"/>
  <c r="DB282" i="1"/>
  <c r="DC282" i="1" s="1"/>
  <c r="CX282" i="1"/>
  <c r="CN282" i="1"/>
  <c r="CR282" i="1" s="1"/>
  <c r="BV282" i="1"/>
  <c r="BU282" i="1"/>
  <c r="BN282" i="1"/>
  <c r="BO282" i="1" s="1"/>
  <c r="BM282" i="1"/>
  <c r="BD282" i="1"/>
  <c r="BC282" i="1"/>
  <c r="BB282" i="1"/>
  <c r="BA282" i="1"/>
  <c r="AZ282" i="1"/>
  <c r="AY282" i="1"/>
  <c r="BE282" i="1" s="1" a="1"/>
  <c r="BE282" i="1" s="1"/>
  <c r="AX282" i="1"/>
  <c r="M282" i="1"/>
  <c r="EM1166" i="1"/>
  <c r="DU1166" i="1"/>
  <c r="DT1166" i="1"/>
  <c r="DN1166" i="1"/>
  <c r="DM1166" i="1"/>
  <c r="DL1166" i="1"/>
  <c r="DK1166" i="1"/>
  <c r="DI1166" i="1"/>
  <c r="DJ1166" i="1" s="1"/>
  <c r="DC1166" i="1"/>
  <c r="CX1166" i="1"/>
  <c r="CN1166" i="1"/>
  <c r="CR1166" i="1" s="1"/>
  <c r="BV1166" i="1"/>
  <c r="BX1166" i="1" s="1"/>
  <c r="BN1166" i="1"/>
  <c r="BO1166" i="1" s="1"/>
  <c r="BD1166" i="1"/>
  <c r="BC1166" i="1"/>
  <c r="BB1166" i="1"/>
  <c r="BA1166" i="1"/>
  <c r="AZ1166" i="1"/>
  <c r="AY1166" i="1"/>
  <c r="BE1166" i="1" s="1" a="1"/>
  <c r="BE1166" i="1" s="1"/>
  <c r="AX1166" i="1"/>
  <c r="M1166" i="1"/>
  <c r="EM1165" i="1"/>
  <c r="DU1165" i="1"/>
  <c r="DT1165" i="1"/>
  <c r="DN1165" i="1"/>
  <c r="DM1165" i="1"/>
  <c r="DL1165" i="1"/>
  <c r="DK1165" i="1"/>
  <c r="DI1165" i="1"/>
  <c r="DJ1165" i="1" s="1"/>
  <c r="DC1165" i="1"/>
  <c r="CX1165" i="1"/>
  <c r="CN1165" i="1"/>
  <c r="CS1165" i="1" s="1"/>
  <c r="BV1165" i="1"/>
  <c r="BX1165" i="1" s="1"/>
  <c r="BN1165" i="1"/>
  <c r="BO1165" i="1" s="1"/>
  <c r="BD1165" i="1"/>
  <c r="BC1165" i="1"/>
  <c r="BB1165" i="1"/>
  <c r="BA1165" i="1"/>
  <c r="AZ1165" i="1"/>
  <c r="AY1165" i="1"/>
  <c r="BE1165" i="1" s="1" a="1"/>
  <c r="BE1165" i="1" s="1"/>
  <c r="AX1165" i="1"/>
  <c r="M1165" i="1"/>
  <c r="EM661" i="1"/>
  <c r="DU661" i="1"/>
  <c r="DT661" i="1"/>
  <c r="DN661" i="1"/>
  <c r="DM661" i="1"/>
  <c r="DL661" i="1"/>
  <c r="DK661" i="1"/>
  <c r="DI661" i="1"/>
  <c r="DJ661" i="1" s="1"/>
  <c r="DC661" i="1"/>
  <c r="CX661" i="1"/>
  <c r="CN661" i="1"/>
  <c r="BV661" i="1"/>
  <c r="BX661" i="1" s="1"/>
  <c r="BN661" i="1"/>
  <c r="BO661" i="1" s="1"/>
  <c r="BD661" i="1"/>
  <c r="BC661" i="1"/>
  <c r="BB661" i="1"/>
  <c r="BA661" i="1"/>
  <c r="AZ661" i="1"/>
  <c r="AY661" i="1"/>
  <c r="BE661" i="1" s="1" a="1"/>
  <c r="BE661" i="1" s="1"/>
  <c r="AX661" i="1"/>
  <c r="M661" i="1"/>
  <c r="EM660" i="1"/>
  <c r="DU660" i="1"/>
  <c r="DT660" i="1"/>
  <c r="DN660" i="1"/>
  <c r="DM660" i="1"/>
  <c r="DL660" i="1"/>
  <c r="DK660" i="1"/>
  <c r="DI660" i="1"/>
  <c r="DJ660" i="1" s="1"/>
  <c r="DC660" i="1"/>
  <c r="CX660" i="1"/>
  <c r="CN660" i="1"/>
  <c r="CR660" i="1" s="1"/>
  <c r="BV660" i="1"/>
  <c r="BX660" i="1" s="1"/>
  <c r="BN660" i="1"/>
  <c r="BO660" i="1" s="1"/>
  <c r="BD660" i="1"/>
  <c r="BC660" i="1"/>
  <c r="BB660" i="1"/>
  <c r="BA660" i="1"/>
  <c r="AZ660" i="1"/>
  <c r="AY660" i="1"/>
  <c r="BE660" i="1" s="1" a="1"/>
  <c r="BE660" i="1" s="1"/>
  <c r="AX660" i="1"/>
  <c r="M660" i="1"/>
  <c r="EM1198" i="1"/>
  <c r="DU1198" i="1"/>
  <c r="DT1198" i="1"/>
  <c r="DN1198" i="1"/>
  <c r="DM1198" i="1"/>
  <c r="DL1198" i="1"/>
  <c r="DK1198" i="1"/>
  <c r="DI1198" i="1"/>
  <c r="DJ1198" i="1" s="1"/>
  <c r="DC1198" i="1"/>
  <c r="CX1198" i="1"/>
  <c r="BV1198" i="1"/>
  <c r="BX1198" i="1" s="1"/>
  <c r="BL1198" i="1"/>
  <c r="BN1198" i="1" s="1"/>
  <c r="BO1198" i="1" s="1"/>
  <c r="BD1198" i="1"/>
  <c r="BC1198" i="1"/>
  <c r="BB1198" i="1"/>
  <c r="BA1198" i="1"/>
  <c r="AZ1198" i="1"/>
  <c r="AY1198" i="1"/>
  <c r="BE1198" i="1" s="1" a="1"/>
  <c r="BE1198" i="1" s="1"/>
  <c r="AX1198" i="1"/>
  <c r="M1198" i="1"/>
  <c r="EM518" i="1"/>
  <c r="DU518" i="1"/>
  <c r="DT518" i="1"/>
  <c r="DN518" i="1"/>
  <c r="DM518" i="1"/>
  <c r="DL518" i="1"/>
  <c r="DK518" i="1"/>
  <c r="DI518" i="1"/>
  <c r="DJ518" i="1" s="1"/>
  <c r="DC518" i="1"/>
  <c r="CX518" i="1"/>
  <c r="CN518" i="1"/>
  <c r="CO518" i="1" s="1"/>
  <c r="BX518" i="1"/>
  <c r="BN518" i="1"/>
  <c r="BO518" i="1" s="1"/>
  <c r="BD518" i="1"/>
  <c r="BC518" i="1"/>
  <c r="BB518" i="1"/>
  <c r="BA518" i="1"/>
  <c r="AZ518" i="1"/>
  <c r="AY518" i="1"/>
  <c r="BE518" i="1" s="1" a="1"/>
  <c r="BE518" i="1" s="1"/>
  <c r="AX518" i="1"/>
  <c r="M518" i="1"/>
  <c r="EM404" i="1"/>
  <c r="DU404" i="1"/>
  <c r="DT404" i="1"/>
  <c r="DN404" i="1"/>
  <c r="DM404" i="1"/>
  <c r="DL404" i="1"/>
  <c r="DK404" i="1"/>
  <c r="DI404" i="1"/>
  <c r="DJ404" i="1" s="1"/>
  <c r="DC404" i="1"/>
  <c r="CX404" i="1"/>
  <c r="CN404" i="1"/>
  <c r="CR404" i="1" s="1"/>
  <c r="BV404" i="1"/>
  <c r="BX404" i="1" s="1"/>
  <c r="BU404" i="1"/>
  <c r="BN404" i="1"/>
  <c r="BO404" i="1" s="1"/>
  <c r="BM404" i="1"/>
  <c r="BD404" i="1"/>
  <c r="BC404" i="1"/>
  <c r="BB404" i="1"/>
  <c r="BA404" i="1"/>
  <c r="AZ404" i="1"/>
  <c r="AY404" i="1"/>
  <c r="BE404" i="1" s="1" a="1"/>
  <c r="BE404" i="1" s="1"/>
  <c r="AX404" i="1"/>
  <c r="M404" i="1"/>
  <c r="EM403" i="1"/>
  <c r="DU403" i="1"/>
  <c r="DT403" i="1"/>
  <c r="DN403" i="1"/>
  <c r="DM403" i="1"/>
  <c r="DL403" i="1"/>
  <c r="DK403" i="1"/>
  <c r="DI403" i="1"/>
  <c r="DJ403" i="1" s="1"/>
  <c r="DC403" i="1"/>
  <c r="CX403" i="1"/>
  <c r="CN403" i="1"/>
  <c r="BV403" i="1"/>
  <c r="BX403" i="1" s="1"/>
  <c r="BU403" i="1"/>
  <c r="BN403" i="1"/>
  <c r="BO403" i="1" s="1"/>
  <c r="BM403" i="1"/>
  <c r="BD403" i="1"/>
  <c r="BC403" i="1"/>
  <c r="BB403" i="1"/>
  <c r="BA403" i="1"/>
  <c r="AZ403" i="1"/>
  <c r="BF403" i="1" s="1" a="1"/>
  <c r="BF403" i="1" s="1"/>
  <c r="AY403" i="1"/>
  <c r="BE403" i="1" s="1" a="1"/>
  <c r="BE403" i="1" s="1"/>
  <c r="AX403" i="1"/>
  <c r="M403" i="1"/>
  <c r="EM402" i="1"/>
  <c r="DU402" i="1"/>
  <c r="DT402" i="1"/>
  <c r="DN402" i="1"/>
  <c r="DM402" i="1"/>
  <c r="DL402" i="1"/>
  <c r="DK402" i="1"/>
  <c r="DI402" i="1"/>
  <c r="DJ402" i="1" s="1"/>
  <c r="DC402" i="1"/>
  <c r="CX402" i="1"/>
  <c r="CN402" i="1"/>
  <c r="CR402" i="1" s="1"/>
  <c r="BV402" i="1"/>
  <c r="BX402" i="1" s="1"/>
  <c r="BU402" i="1"/>
  <c r="BN402" i="1"/>
  <c r="BO402" i="1" s="1"/>
  <c r="BM402" i="1"/>
  <c r="BD402" i="1"/>
  <c r="BC402" i="1"/>
  <c r="BB402" i="1"/>
  <c r="BA402" i="1"/>
  <c r="AZ402" i="1"/>
  <c r="AY402" i="1"/>
  <c r="BE402" i="1" s="1" a="1"/>
  <c r="BE402" i="1" s="1"/>
  <c r="AX402" i="1"/>
  <c r="M402" i="1"/>
  <c r="EM401" i="1"/>
  <c r="DU401" i="1"/>
  <c r="DT401" i="1"/>
  <c r="DN401" i="1"/>
  <c r="DM401" i="1"/>
  <c r="DL401" i="1"/>
  <c r="DK401" i="1"/>
  <c r="DI401" i="1"/>
  <c r="DJ401" i="1" s="1"/>
  <c r="DC401" i="1"/>
  <c r="CX401" i="1"/>
  <c r="CN401" i="1"/>
  <c r="CS401" i="1" s="1"/>
  <c r="BV401" i="1"/>
  <c r="BX401" i="1" s="1"/>
  <c r="BU401" i="1"/>
  <c r="BN401" i="1"/>
  <c r="BO401" i="1" s="1"/>
  <c r="BM401" i="1"/>
  <c r="BD401" i="1"/>
  <c r="BC401" i="1"/>
  <c r="BB401" i="1"/>
  <c r="BA401" i="1"/>
  <c r="AZ401" i="1"/>
  <c r="AY401" i="1"/>
  <c r="BE401" i="1" s="1" a="1"/>
  <c r="BE401" i="1" s="1"/>
  <c r="AX401" i="1"/>
  <c r="M401" i="1"/>
  <c r="EM16" i="1"/>
  <c r="DU16" i="1"/>
  <c r="DT16" i="1"/>
  <c r="DN16" i="1"/>
  <c r="DM16" i="1"/>
  <c r="DL16" i="1"/>
  <c r="DK16" i="1"/>
  <c r="DI16" i="1"/>
  <c r="DJ16" i="1" s="1"/>
  <c r="DC16" i="1"/>
  <c r="CX16" i="1"/>
  <c r="CN16" i="1"/>
  <c r="CS16" i="1" s="1"/>
  <c r="BV16" i="1"/>
  <c r="BX16" i="1" s="1"/>
  <c r="BU16" i="1"/>
  <c r="BN16" i="1"/>
  <c r="BO16" i="1" s="1"/>
  <c r="BM16" i="1"/>
  <c r="BD16" i="1"/>
  <c r="BC16" i="1"/>
  <c r="BB16" i="1"/>
  <c r="BA16" i="1"/>
  <c r="AZ16" i="1"/>
  <c r="AY16" i="1"/>
  <c r="BE16" i="1" s="1" a="1"/>
  <c r="BE16" i="1" s="1"/>
  <c r="AX16" i="1"/>
  <c r="M16" i="1"/>
  <c r="EM15" i="1"/>
  <c r="DU15" i="1"/>
  <c r="DT15" i="1"/>
  <c r="DN15" i="1"/>
  <c r="DM15" i="1"/>
  <c r="DL15" i="1"/>
  <c r="DK15" i="1"/>
  <c r="DI15" i="1"/>
  <c r="DJ15" i="1" s="1"/>
  <c r="DC15" i="1"/>
  <c r="CX15" i="1"/>
  <c r="CN15" i="1"/>
  <c r="BV15" i="1"/>
  <c r="BX15" i="1" s="1"/>
  <c r="BU15" i="1"/>
  <c r="BN15" i="1"/>
  <c r="BO15" i="1" s="1"/>
  <c r="BM15" i="1"/>
  <c r="BD15" i="1"/>
  <c r="BC15" i="1"/>
  <c r="BB15" i="1"/>
  <c r="BA15" i="1"/>
  <c r="AZ15" i="1"/>
  <c r="AY15" i="1"/>
  <c r="BE15" i="1" s="1" a="1"/>
  <c r="BE15" i="1" s="1"/>
  <c r="AX15" i="1"/>
  <c r="M15" i="1"/>
  <c r="EM14" i="1"/>
  <c r="DU14" i="1"/>
  <c r="DT14" i="1"/>
  <c r="DN14" i="1"/>
  <c r="DM14" i="1"/>
  <c r="DL14" i="1"/>
  <c r="DK14" i="1"/>
  <c r="DI14" i="1"/>
  <c r="DJ14" i="1" s="1"/>
  <c r="DC14" i="1"/>
  <c r="CX14" i="1"/>
  <c r="CN14" i="1"/>
  <c r="CS14" i="1" s="1"/>
  <c r="BV14" i="1"/>
  <c r="BX14" i="1" s="1"/>
  <c r="BU14" i="1"/>
  <c r="BN14" i="1"/>
  <c r="BO14" i="1" s="1"/>
  <c r="BM14" i="1"/>
  <c r="BD14" i="1"/>
  <c r="BC14" i="1"/>
  <c r="BB14" i="1"/>
  <c r="BA14" i="1"/>
  <c r="AZ14" i="1"/>
  <c r="AY14" i="1"/>
  <c r="BE14" i="1" s="1" a="1"/>
  <c r="BE14" i="1" s="1"/>
  <c r="AX14" i="1"/>
  <c r="M14" i="1"/>
  <c r="EM13" i="1"/>
  <c r="DU13" i="1"/>
  <c r="DT13" i="1"/>
  <c r="DN13" i="1"/>
  <c r="DM13" i="1"/>
  <c r="DL13" i="1"/>
  <c r="DK13" i="1"/>
  <c r="DI13" i="1"/>
  <c r="DJ13" i="1" s="1"/>
  <c r="DC13" i="1"/>
  <c r="CX13" i="1"/>
  <c r="CN13" i="1"/>
  <c r="CO13" i="1" s="1"/>
  <c r="BV13" i="1"/>
  <c r="BX13" i="1" s="1"/>
  <c r="BU13" i="1"/>
  <c r="BN13" i="1"/>
  <c r="BO13" i="1" s="1"/>
  <c r="BM13" i="1"/>
  <c r="BD13" i="1"/>
  <c r="BC13" i="1"/>
  <c r="BB13" i="1"/>
  <c r="BA13" i="1"/>
  <c r="AZ13" i="1"/>
  <c r="AY13" i="1"/>
  <c r="BE13" i="1" s="1" a="1"/>
  <c r="BE13" i="1" s="1"/>
  <c r="AX13" i="1"/>
  <c r="M13" i="1"/>
  <c r="EM12" i="1"/>
  <c r="DU12" i="1"/>
  <c r="DT12" i="1"/>
  <c r="DN12" i="1"/>
  <c r="DM12" i="1"/>
  <c r="DL12" i="1"/>
  <c r="DK12" i="1"/>
  <c r="DI12" i="1"/>
  <c r="DJ12" i="1" s="1"/>
  <c r="DC12" i="1"/>
  <c r="CX12" i="1"/>
  <c r="CN12" i="1"/>
  <c r="BV12" i="1"/>
  <c r="BX12" i="1" s="1"/>
  <c r="BU12" i="1"/>
  <c r="BN12" i="1"/>
  <c r="BO12" i="1" s="1"/>
  <c r="BM12" i="1"/>
  <c r="BD12" i="1"/>
  <c r="BC12" i="1"/>
  <c r="BB12" i="1"/>
  <c r="BA12" i="1"/>
  <c r="AZ12" i="1"/>
  <c r="AY12" i="1"/>
  <c r="BE12" i="1" s="1" a="1"/>
  <c r="BE12" i="1" s="1"/>
  <c r="AX12" i="1"/>
  <c r="M12" i="1"/>
  <c r="EM11" i="1"/>
  <c r="DU11" i="1"/>
  <c r="DT11" i="1"/>
  <c r="DN11" i="1"/>
  <c r="DM11" i="1"/>
  <c r="DL11" i="1"/>
  <c r="DK11" i="1"/>
  <c r="DI11" i="1"/>
  <c r="DJ11" i="1" s="1"/>
  <c r="DC11" i="1"/>
  <c r="CX11" i="1"/>
  <c r="CN11" i="1"/>
  <c r="CP11" i="1" s="1"/>
  <c r="BV11" i="1"/>
  <c r="BX11" i="1" s="1"/>
  <c r="BU11" i="1"/>
  <c r="BN11" i="1"/>
  <c r="BO11" i="1" s="1"/>
  <c r="BM11" i="1"/>
  <c r="BD11" i="1"/>
  <c r="BC11" i="1"/>
  <c r="BB11" i="1"/>
  <c r="BA11" i="1"/>
  <c r="AZ11" i="1"/>
  <c r="AY11" i="1"/>
  <c r="BE11" i="1" s="1" a="1"/>
  <c r="BE11" i="1" s="1"/>
  <c r="AX11" i="1"/>
  <c r="M11" i="1"/>
  <c r="EM10" i="1"/>
  <c r="DU10" i="1"/>
  <c r="DT10" i="1"/>
  <c r="DN10" i="1"/>
  <c r="DM10" i="1"/>
  <c r="DL10" i="1"/>
  <c r="DK10" i="1"/>
  <c r="DI10" i="1"/>
  <c r="DJ10" i="1" s="1"/>
  <c r="DC10" i="1"/>
  <c r="CX10" i="1"/>
  <c r="CN10" i="1"/>
  <c r="CO10" i="1" s="1"/>
  <c r="BV10" i="1"/>
  <c r="BX10" i="1" s="1"/>
  <c r="BU10" i="1"/>
  <c r="BN10" i="1"/>
  <c r="BO10" i="1" s="1"/>
  <c r="BM10" i="1"/>
  <c r="BD10" i="1"/>
  <c r="BC10" i="1"/>
  <c r="BB10" i="1"/>
  <c r="BA10" i="1"/>
  <c r="AZ10" i="1"/>
  <c r="AY10" i="1"/>
  <c r="BE10" i="1" s="1" a="1"/>
  <c r="BE10" i="1" s="1"/>
  <c r="AX10" i="1"/>
  <c r="M10" i="1"/>
  <c r="EM9" i="1"/>
  <c r="DU9" i="1"/>
  <c r="DT9" i="1"/>
  <c r="DN9" i="1"/>
  <c r="DM9" i="1"/>
  <c r="DL9" i="1"/>
  <c r="DK9" i="1"/>
  <c r="DI9" i="1"/>
  <c r="DJ9" i="1" s="1"/>
  <c r="DC9" i="1"/>
  <c r="CX9" i="1"/>
  <c r="CN9" i="1"/>
  <c r="CP9" i="1" s="1"/>
  <c r="BV9" i="1"/>
  <c r="BX9" i="1" s="1"/>
  <c r="BU9" i="1"/>
  <c r="BN9" i="1"/>
  <c r="BO9" i="1" s="1"/>
  <c r="BM9" i="1"/>
  <c r="BD9" i="1"/>
  <c r="BC9" i="1"/>
  <c r="BB9" i="1"/>
  <c r="BA9" i="1"/>
  <c r="AZ9" i="1"/>
  <c r="AY9" i="1"/>
  <c r="BE9" i="1" s="1" a="1"/>
  <c r="BE9" i="1" s="1"/>
  <c r="AX9" i="1"/>
  <c r="M9" i="1"/>
  <c r="EM8" i="1"/>
  <c r="DU8" i="1"/>
  <c r="DT8" i="1"/>
  <c r="DN8" i="1"/>
  <c r="DM8" i="1"/>
  <c r="DL8" i="1"/>
  <c r="DK8" i="1"/>
  <c r="DI8" i="1"/>
  <c r="DJ8" i="1" s="1"/>
  <c r="DC8" i="1"/>
  <c r="CX8" i="1"/>
  <c r="CN8" i="1"/>
  <c r="CS8" i="1" s="1"/>
  <c r="BV8" i="1"/>
  <c r="BX8" i="1" s="1"/>
  <c r="BU8" i="1"/>
  <c r="BN8" i="1"/>
  <c r="BO8" i="1" s="1"/>
  <c r="BM8" i="1"/>
  <c r="BD8" i="1"/>
  <c r="BC8" i="1"/>
  <c r="BB8" i="1"/>
  <c r="BA8" i="1"/>
  <c r="AZ8" i="1"/>
  <c r="AY8" i="1"/>
  <c r="BE8" i="1" s="1" a="1"/>
  <c r="BE8" i="1" s="1"/>
  <c r="AX8" i="1"/>
  <c r="M8" i="1"/>
  <c r="EM295" i="1"/>
  <c r="DU295" i="1"/>
  <c r="DT295" i="1"/>
  <c r="DN295" i="1"/>
  <c r="DM295" i="1"/>
  <c r="DL295" i="1"/>
  <c r="DK295" i="1"/>
  <c r="DI295" i="1"/>
  <c r="DJ295" i="1" s="1"/>
  <c r="DC295" i="1"/>
  <c r="CX295" i="1"/>
  <c r="CN295" i="1"/>
  <c r="BX295" i="1"/>
  <c r="BO295" i="1"/>
  <c r="BD295" i="1"/>
  <c r="BC295" i="1"/>
  <c r="BB295" i="1"/>
  <c r="BA295" i="1"/>
  <c r="AZ295" i="1"/>
  <c r="AY295" i="1"/>
  <c r="BE295" i="1" s="1" a="1"/>
  <c r="BE295" i="1" s="1"/>
  <c r="AX295" i="1"/>
  <c r="M295" i="1"/>
  <c r="EM1231" i="1"/>
  <c r="DT1231" i="1"/>
  <c r="DN1231" i="1"/>
  <c r="DM1231" i="1"/>
  <c r="DL1231" i="1"/>
  <c r="DK1231" i="1"/>
  <c r="DJ1231" i="1"/>
  <c r="DC1231" i="1"/>
  <c r="CX1231" i="1"/>
  <c r="CN1231" i="1"/>
  <c r="BV1231" i="1"/>
  <c r="BX1231" i="1" s="1"/>
  <c r="BN1231" i="1"/>
  <c r="BO1231" i="1" s="1"/>
  <c r="BD1231" i="1"/>
  <c r="BC1231" i="1"/>
  <c r="BB1231" i="1"/>
  <c r="BA1231" i="1"/>
  <c r="AZ1231" i="1"/>
  <c r="AY1231" i="1"/>
  <c r="BE1231" i="1" s="1" a="1"/>
  <c r="BE1231" i="1" s="1"/>
  <c r="AX1231" i="1"/>
  <c r="M1231" i="1"/>
  <c r="EM1230" i="1"/>
  <c r="DT1230" i="1"/>
  <c r="DN1230" i="1"/>
  <c r="DM1230" i="1"/>
  <c r="DL1230" i="1"/>
  <c r="DK1230" i="1"/>
  <c r="DJ1230" i="1"/>
  <c r="DC1230" i="1"/>
  <c r="CX1230" i="1"/>
  <c r="CN1230" i="1"/>
  <c r="BV1230" i="1"/>
  <c r="BX1230" i="1" s="1"/>
  <c r="BN1230" i="1"/>
  <c r="BO1230" i="1" s="1"/>
  <c r="BD1230" i="1"/>
  <c r="BC1230" i="1"/>
  <c r="BB1230" i="1"/>
  <c r="BA1230" i="1"/>
  <c r="AZ1230" i="1"/>
  <c r="AY1230" i="1"/>
  <c r="BE1230" i="1" s="1" a="1"/>
  <c r="BE1230" i="1" s="1"/>
  <c r="AX1230" i="1"/>
  <c r="M1230" i="1"/>
  <c r="EM1229" i="1"/>
  <c r="DT1229" i="1"/>
  <c r="DN1229" i="1"/>
  <c r="DM1229" i="1"/>
  <c r="DL1229" i="1"/>
  <c r="DK1229" i="1"/>
  <c r="DJ1229" i="1"/>
  <c r="DC1229" i="1"/>
  <c r="CX1229" i="1"/>
  <c r="CN1229" i="1"/>
  <c r="CS1229" i="1" s="1"/>
  <c r="BV1229" i="1"/>
  <c r="BX1229" i="1" s="1"/>
  <c r="BN1229" i="1"/>
  <c r="BO1229" i="1" s="1"/>
  <c r="BD1229" i="1"/>
  <c r="BC1229" i="1"/>
  <c r="BB1229" i="1"/>
  <c r="BA1229" i="1"/>
  <c r="AZ1229" i="1"/>
  <c r="AY1229" i="1"/>
  <c r="BE1229" i="1" s="1" a="1"/>
  <c r="BE1229" i="1" s="1"/>
  <c r="AX1229" i="1"/>
  <c r="M1229" i="1"/>
  <c r="EM1228" i="1"/>
  <c r="DT1228" i="1"/>
  <c r="DN1228" i="1"/>
  <c r="DM1228" i="1"/>
  <c r="DL1228" i="1"/>
  <c r="DK1228" i="1"/>
  <c r="DJ1228" i="1"/>
  <c r="DC1228" i="1"/>
  <c r="CX1228" i="1"/>
  <c r="CN1228" i="1"/>
  <c r="BV1228" i="1"/>
  <c r="BX1228" i="1" s="1"/>
  <c r="BN1228" i="1"/>
  <c r="BO1228" i="1" s="1"/>
  <c r="BD1228" i="1"/>
  <c r="BC1228" i="1"/>
  <c r="BB1228" i="1"/>
  <c r="BA1228" i="1"/>
  <c r="AZ1228" i="1"/>
  <c r="AY1228" i="1"/>
  <c r="BE1228" i="1" s="1" a="1"/>
  <c r="BE1228" i="1" s="1"/>
  <c r="AX1228" i="1"/>
  <c r="M1228" i="1"/>
  <c r="EM1227" i="1"/>
  <c r="DT1227" i="1"/>
  <c r="DN1227" i="1"/>
  <c r="DM1227" i="1"/>
  <c r="DL1227" i="1"/>
  <c r="DK1227" i="1"/>
  <c r="DJ1227" i="1"/>
  <c r="DC1227" i="1"/>
  <c r="CX1227" i="1"/>
  <c r="CN1227" i="1"/>
  <c r="CO1227" i="1" s="1"/>
  <c r="BV1227" i="1"/>
  <c r="BX1227" i="1" s="1"/>
  <c r="BN1227" i="1"/>
  <c r="BO1227" i="1" s="1"/>
  <c r="BD1227" i="1"/>
  <c r="BC1227" i="1"/>
  <c r="BB1227" i="1"/>
  <c r="BA1227" i="1"/>
  <c r="AZ1227" i="1"/>
  <c r="AY1227" i="1"/>
  <c r="BE1227" i="1" s="1" a="1"/>
  <c r="BE1227" i="1" s="1"/>
  <c r="AX1227" i="1"/>
  <c r="M1227" i="1"/>
  <c r="EM1226" i="1"/>
  <c r="DT1226" i="1"/>
  <c r="DN1226" i="1"/>
  <c r="DM1226" i="1"/>
  <c r="DL1226" i="1"/>
  <c r="DK1226" i="1"/>
  <c r="DJ1226" i="1"/>
  <c r="DC1226" i="1"/>
  <c r="CX1226" i="1"/>
  <c r="CN1226" i="1"/>
  <c r="BV1226" i="1"/>
  <c r="BX1226" i="1" s="1"/>
  <c r="BN1226" i="1"/>
  <c r="BO1226" i="1" s="1"/>
  <c r="BD1226" i="1"/>
  <c r="BC1226" i="1"/>
  <c r="BB1226" i="1"/>
  <c r="BA1226" i="1"/>
  <c r="AZ1226" i="1"/>
  <c r="AY1226" i="1"/>
  <c r="BE1226" i="1" s="1" a="1"/>
  <c r="BE1226" i="1" s="1"/>
  <c r="AX1226" i="1"/>
  <c r="M1226" i="1"/>
  <c r="EM1225" i="1"/>
  <c r="DU1225" i="1"/>
  <c r="DT1225" i="1"/>
  <c r="DN1225" i="1"/>
  <c r="DM1225" i="1"/>
  <c r="DL1225" i="1"/>
  <c r="DK1225" i="1"/>
  <c r="DI1225" i="1"/>
  <c r="DJ1225" i="1" s="1"/>
  <c r="DC1225" i="1"/>
  <c r="CX1225" i="1"/>
  <c r="CN1225" i="1"/>
  <c r="CS1225" i="1" s="1"/>
  <c r="BV1225" i="1"/>
  <c r="BX1225" i="1" s="1"/>
  <c r="BN1225" i="1"/>
  <c r="BO1225" i="1" s="1"/>
  <c r="BD1225" i="1"/>
  <c r="BC1225" i="1"/>
  <c r="BB1225" i="1"/>
  <c r="BA1225" i="1"/>
  <c r="AZ1225" i="1"/>
  <c r="AY1225" i="1"/>
  <c r="BE1225" i="1" s="1" a="1"/>
  <c r="BE1225" i="1" s="1"/>
  <c r="AX1225" i="1"/>
  <c r="M1225" i="1"/>
  <c r="EM1241" i="1"/>
  <c r="DU1241" i="1"/>
  <c r="DT1241" i="1"/>
  <c r="DN1241" i="1"/>
  <c r="DM1241" i="1"/>
  <c r="DL1241" i="1"/>
  <c r="DK1241" i="1"/>
  <c r="DI1241" i="1"/>
  <c r="DJ1241" i="1" s="1"/>
  <c r="DC1241" i="1"/>
  <c r="CX1241" i="1"/>
  <c r="CN1241" i="1"/>
  <c r="BT1241" i="1"/>
  <c r="BS1241" i="1"/>
  <c r="BN1241" i="1"/>
  <c r="BO1241" i="1" s="1"/>
  <c r="BD1241" i="1"/>
  <c r="BC1241" i="1"/>
  <c r="BB1241" i="1"/>
  <c r="BA1241" i="1"/>
  <c r="AZ1241" i="1"/>
  <c r="AY1241" i="1"/>
  <c r="BE1241" i="1" s="1" a="1"/>
  <c r="BE1241" i="1" s="1"/>
  <c r="AX1241" i="1"/>
  <c r="M1241" i="1"/>
  <c r="EM1161" i="1"/>
  <c r="DU1161" i="1"/>
  <c r="DT1161" i="1"/>
  <c r="DN1161" i="1"/>
  <c r="DM1161" i="1"/>
  <c r="DL1161" i="1"/>
  <c r="DK1161" i="1"/>
  <c r="DI1161" i="1"/>
  <c r="DJ1161" i="1" s="1"/>
  <c r="DC1161" i="1"/>
  <c r="CX1161" i="1"/>
  <c r="CN1161" i="1"/>
  <c r="CO1161" i="1" s="1"/>
  <c r="BV1161" i="1"/>
  <c r="BX1161" i="1" s="1"/>
  <c r="BN1161" i="1"/>
  <c r="BO1161" i="1" s="1"/>
  <c r="BD1161" i="1"/>
  <c r="BC1161" i="1"/>
  <c r="BB1161" i="1"/>
  <c r="BA1161" i="1"/>
  <c r="AZ1161" i="1"/>
  <c r="AY1161" i="1"/>
  <c r="BE1161" i="1" s="1" a="1"/>
  <c r="BE1161" i="1" s="1"/>
  <c r="AX1161" i="1"/>
  <c r="M1161" i="1"/>
  <c r="EM1224" i="1"/>
  <c r="DU1224" i="1"/>
  <c r="DT1224" i="1"/>
  <c r="DN1224" i="1"/>
  <c r="DM1224" i="1"/>
  <c r="DL1224" i="1"/>
  <c r="DK1224" i="1"/>
  <c r="DI1224" i="1"/>
  <c r="DJ1224" i="1" s="1"/>
  <c r="DC1224" i="1"/>
  <c r="CX1224" i="1"/>
  <c r="CN1224" i="1"/>
  <c r="CO1224" i="1" s="1"/>
  <c r="BT1224" i="1"/>
  <c r="BS1224" i="1"/>
  <c r="BN1224" i="1"/>
  <c r="BO1224" i="1" s="1"/>
  <c r="BD1224" i="1"/>
  <c r="BC1224" i="1"/>
  <c r="BB1224" i="1"/>
  <c r="BA1224" i="1"/>
  <c r="AZ1224" i="1"/>
  <c r="BF1224" i="1" s="1" a="1"/>
  <c r="BF1224" i="1" s="1"/>
  <c r="AY1224" i="1"/>
  <c r="BE1224" i="1" s="1" a="1"/>
  <c r="BE1224" i="1" s="1"/>
  <c r="AX1224" i="1"/>
  <c r="M1224" i="1"/>
  <c r="EM1164" i="1"/>
  <c r="DU1164" i="1"/>
  <c r="DT1164" i="1"/>
  <c r="DN1164" i="1"/>
  <c r="DM1164" i="1"/>
  <c r="DL1164" i="1"/>
  <c r="DK1164" i="1"/>
  <c r="DI1164" i="1"/>
  <c r="DJ1164" i="1" s="1"/>
  <c r="DC1164" i="1"/>
  <c r="CX1164" i="1"/>
  <c r="CN1164" i="1"/>
  <c r="BV1164" i="1"/>
  <c r="BX1164" i="1" s="1"/>
  <c r="BN1164" i="1"/>
  <c r="BO1164" i="1" s="1"/>
  <c r="BD1164" i="1"/>
  <c r="BC1164" i="1"/>
  <c r="BB1164" i="1"/>
  <c r="BA1164" i="1"/>
  <c r="AZ1164" i="1"/>
  <c r="AY1164" i="1"/>
  <c r="BE1164" i="1" s="1" a="1"/>
  <c r="BE1164" i="1" s="1"/>
  <c r="AX1164" i="1"/>
  <c r="M1164" i="1"/>
  <c r="EM1240" i="1"/>
  <c r="DU1240" i="1"/>
  <c r="DT1240" i="1"/>
  <c r="DN1240" i="1"/>
  <c r="DM1240" i="1"/>
  <c r="DL1240" i="1"/>
  <c r="DK1240" i="1"/>
  <c r="DI1240" i="1"/>
  <c r="DJ1240" i="1" s="1"/>
  <c r="DC1240" i="1"/>
  <c r="CX1240" i="1"/>
  <c r="CN1240" i="1"/>
  <c r="BT1240" i="1"/>
  <c r="BS1240" i="1"/>
  <c r="BN1240" i="1"/>
  <c r="BO1240" i="1" s="1"/>
  <c r="BD1240" i="1"/>
  <c r="BC1240" i="1"/>
  <c r="BB1240" i="1"/>
  <c r="BA1240" i="1"/>
  <c r="AZ1240" i="1"/>
  <c r="AY1240" i="1"/>
  <c r="BE1240" i="1" s="1" a="1"/>
  <c r="BE1240" i="1" s="1"/>
  <c r="AX1240" i="1"/>
  <c r="M1240" i="1"/>
  <c r="EM1163" i="1"/>
  <c r="DU1163" i="1"/>
  <c r="DT1163" i="1"/>
  <c r="DN1163" i="1"/>
  <c r="DM1163" i="1"/>
  <c r="DL1163" i="1"/>
  <c r="DK1163" i="1"/>
  <c r="DI1163" i="1"/>
  <c r="DJ1163" i="1" s="1"/>
  <c r="DC1163" i="1"/>
  <c r="CX1163" i="1"/>
  <c r="CN1163" i="1"/>
  <c r="CO1163" i="1" s="1"/>
  <c r="BV1163" i="1"/>
  <c r="BX1163" i="1" s="1"/>
  <c r="BN1163" i="1"/>
  <c r="BO1163" i="1" s="1"/>
  <c r="BD1163" i="1"/>
  <c r="BC1163" i="1"/>
  <c r="BB1163" i="1"/>
  <c r="BA1163" i="1"/>
  <c r="AZ1163" i="1"/>
  <c r="BF1163" i="1" s="1" a="1"/>
  <c r="BF1163" i="1" s="1"/>
  <c r="AY1163" i="1"/>
  <c r="BE1163" i="1" s="1" a="1"/>
  <c r="BE1163" i="1" s="1"/>
  <c r="AX1163" i="1"/>
  <c r="M1163" i="1"/>
  <c r="EM1223" i="1"/>
  <c r="DU1223" i="1"/>
  <c r="DT1223" i="1"/>
  <c r="DN1223" i="1"/>
  <c r="DM1223" i="1"/>
  <c r="DL1223" i="1"/>
  <c r="DK1223" i="1"/>
  <c r="DI1223" i="1"/>
  <c r="DJ1223" i="1" s="1"/>
  <c r="DC1223" i="1"/>
  <c r="CX1223" i="1"/>
  <c r="CN1223" i="1"/>
  <c r="BV1223" i="1"/>
  <c r="BX1223" i="1" s="1"/>
  <c r="BN1223" i="1"/>
  <c r="BO1223" i="1" s="1"/>
  <c r="BD1223" i="1"/>
  <c r="BC1223" i="1"/>
  <c r="BB1223" i="1"/>
  <c r="BA1223" i="1"/>
  <c r="AZ1223" i="1"/>
  <c r="AY1223" i="1"/>
  <c r="BE1223" i="1" s="1" a="1"/>
  <c r="BE1223" i="1" s="1"/>
  <c r="AX1223" i="1"/>
  <c r="M1223" i="1"/>
  <c r="EM1160" i="1"/>
  <c r="DU1160" i="1"/>
  <c r="DT1160" i="1"/>
  <c r="DN1160" i="1"/>
  <c r="DM1160" i="1"/>
  <c r="DL1160" i="1"/>
  <c r="DK1160" i="1"/>
  <c r="DI1160" i="1"/>
  <c r="DJ1160" i="1" s="1"/>
  <c r="DC1160" i="1"/>
  <c r="CX1160" i="1"/>
  <c r="CN1160" i="1"/>
  <c r="CP1160" i="1" s="1"/>
  <c r="BV1160" i="1"/>
  <c r="BX1160" i="1" s="1"/>
  <c r="BN1160" i="1"/>
  <c r="BO1160" i="1" s="1"/>
  <c r="BD1160" i="1"/>
  <c r="BC1160" i="1"/>
  <c r="BB1160" i="1"/>
  <c r="BA1160" i="1"/>
  <c r="AZ1160" i="1"/>
  <c r="AY1160" i="1"/>
  <c r="BE1160" i="1" s="1" a="1"/>
  <c r="BE1160" i="1" s="1"/>
  <c r="AX1160" i="1"/>
  <c r="M1160" i="1"/>
  <c r="EM1222" i="1"/>
  <c r="DU1222" i="1"/>
  <c r="DT1222" i="1"/>
  <c r="DN1222" i="1"/>
  <c r="DM1222" i="1"/>
  <c r="DL1222" i="1"/>
  <c r="DK1222" i="1"/>
  <c r="DI1222" i="1"/>
  <c r="DJ1222" i="1" s="1"/>
  <c r="DC1222" i="1"/>
  <c r="CX1222" i="1"/>
  <c r="CN1222" i="1"/>
  <c r="BV1222" i="1"/>
  <c r="BX1222" i="1" s="1"/>
  <c r="BN1222" i="1"/>
  <c r="BO1222" i="1" s="1"/>
  <c r="BD1222" i="1"/>
  <c r="BC1222" i="1"/>
  <c r="BB1222" i="1"/>
  <c r="BA1222" i="1"/>
  <c r="AZ1222" i="1"/>
  <c r="AY1222" i="1"/>
  <c r="BE1222" i="1" s="1" a="1"/>
  <c r="BE1222" i="1" s="1"/>
  <c r="AX1222" i="1"/>
  <c r="M1222" i="1"/>
  <c r="EM1239" i="1"/>
  <c r="DU1239" i="1"/>
  <c r="DT1239" i="1"/>
  <c r="DN1239" i="1"/>
  <c r="DM1239" i="1"/>
  <c r="DL1239" i="1"/>
  <c r="DK1239" i="1"/>
  <c r="DI1239" i="1"/>
  <c r="DJ1239" i="1" s="1"/>
  <c r="DC1239" i="1"/>
  <c r="CX1239" i="1"/>
  <c r="CN1239" i="1"/>
  <c r="BV1239" i="1"/>
  <c r="BX1239" i="1" s="1"/>
  <c r="BN1239" i="1"/>
  <c r="BO1239" i="1" s="1"/>
  <c r="BD1239" i="1"/>
  <c r="BC1239" i="1"/>
  <c r="BB1239" i="1"/>
  <c r="BA1239" i="1"/>
  <c r="AZ1239" i="1"/>
  <c r="AY1239" i="1"/>
  <c r="BE1239" i="1" s="1" a="1"/>
  <c r="BE1239" i="1" s="1"/>
  <c r="AX1239" i="1"/>
  <c r="M1239" i="1"/>
  <c r="EM1221" i="1"/>
  <c r="DU1221" i="1"/>
  <c r="DT1221" i="1"/>
  <c r="DN1221" i="1"/>
  <c r="DM1221" i="1"/>
  <c r="DL1221" i="1"/>
  <c r="DK1221" i="1"/>
  <c r="DI1221" i="1"/>
  <c r="DJ1221" i="1" s="1"/>
  <c r="DC1221" i="1"/>
  <c r="CX1221" i="1"/>
  <c r="CN1221" i="1"/>
  <c r="BV1221" i="1"/>
  <c r="BX1221" i="1" s="1"/>
  <c r="BN1221" i="1"/>
  <c r="BO1221" i="1" s="1"/>
  <c r="BD1221" i="1"/>
  <c r="BC1221" i="1"/>
  <c r="BB1221" i="1"/>
  <c r="BA1221" i="1"/>
  <c r="AZ1221" i="1"/>
  <c r="AY1221" i="1"/>
  <c r="BE1221" i="1" s="1" a="1"/>
  <c r="BE1221" i="1" s="1"/>
  <c r="AX1221" i="1"/>
  <c r="M1221" i="1"/>
  <c r="EM1220" i="1"/>
  <c r="DU1220" i="1"/>
  <c r="DT1220" i="1"/>
  <c r="DN1220" i="1"/>
  <c r="DM1220" i="1"/>
  <c r="DL1220" i="1"/>
  <c r="DK1220" i="1"/>
  <c r="DI1220" i="1"/>
  <c r="DJ1220" i="1" s="1"/>
  <c r="DC1220" i="1"/>
  <c r="CX1220" i="1"/>
  <c r="CN1220" i="1"/>
  <c r="CP1220" i="1" s="1"/>
  <c r="BT1220" i="1"/>
  <c r="BV1220" i="1" s="1"/>
  <c r="BX1220" i="1" s="1"/>
  <c r="BS1220" i="1"/>
  <c r="BN1220" i="1"/>
  <c r="BO1220" i="1" s="1"/>
  <c r="BD1220" i="1"/>
  <c r="BC1220" i="1"/>
  <c r="BB1220" i="1"/>
  <c r="BA1220" i="1"/>
  <c r="AZ1220" i="1"/>
  <c r="AY1220" i="1"/>
  <c r="BE1220" i="1" s="1" a="1"/>
  <c r="BE1220" i="1" s="1"/>
  <c r="AX1220" i="1"/>
  <c r="M1220" i="1"/>
  <c r="EM1238" i="1"/>
  <c r="DU1238" i="1"/>
  <c r="DT1238" i="1"/>
  <c r="DN1238" i="1"/>
  <c r="DM1238" i="1"/>
  <c r="DL1238" i="1"/>
  <c r="DK1238" i="1"/>
  <c r="DI1238" i="1"/>
  <c r="DJ1238" i="1" s="1"/>
  <c r="DC1238" i="1"/>
  <c r="CX1238" i="1"/>
  <c r="CN1238" i="1"/>
  <c r="BV1238" i="1"/>
  <c r="BX1238" i="1" s="1"/>
  <c r="BN1238" i="1"/>
  <c r="BO1238" i="1" s="1"/>
  <c r="BD1238" i="1"/>
  <c r="BC1238" i="1"/>
  <c r="BB1238" i="1"/>
  <c r="BA1238" i="1"/>
  <c r="AZ1238" i="1"/>
  <c r="AY1238" i="1"/>
  <c r="BE1238" i="1" s="1" a="1"/>
  <c r="BE1238" i="1" s="1"/>
  <c r="AX1238" i="1"/>
  <c r="M1238" i="1"/>
  <c r="EM1237" i="1"/>
  <c r="DU1237" i="1"/>
  <c r="DT1237" i="1"/>
  <c r="DN1237" i="1"/>
  <c r="DM1237" i="1"/>
  <c r="DL1237" i="1"/>
  <c r="DK1237" i="1"/>
  <c r="DI1237" i="1"/>
  <c r="DJ1237" i="1" s="1"/>
  <c r="DC1237" i="1"/>
  <c r="CX1237" i="1"/>
  <c r="CN1237" i="1"/>
  <c r="BV1237" i="1"/>
  <c r="BX1237" i="1" s="1"/>
  <c r="BN1237" i="1"/>
  <c r="BO1237" i="1" s="1"/>
  <c r="BD1237" i="1"/>
  <c r="BC1237" i="1"/>
  <c r="BB1237" i="1"/>
  <c r="BA1237" i="1"/>
  <c r="AZ1237" i="1"/>
  <c r="AY1237" i="1"/>
  <c r="BE1237" i="1" s="1" a="1"/>
  <c r="BE1237" i="1" s="1"/>
  <c r="AX1237" i="1"/>
  <c r="M1237" i="1"/>
  <c r="EM766" i="1"/>
  <c r="DU766" i="1"/>
  <c r="DT766" i="1"/>
  <c r="DN766" i="1"/>
  <c r="DM766" i="1"/>
  <c r="DL766" i="1"/>
  <c r="DK766" i="1"/>
  <c r="DI766" i="1"/>
  <c r="DJ766" i="1" s="1"/>
  <c r="DB766" i="1"/>
  <c r="DC766" i="1" s="1"/>
  <c r="CX766" i="1"/>
  <c r="BT766" i="1"/>
  <c r="BS766" i="1"/>
  <c r="BO766" i="1"/>
  <c r="BL766" i="1"/>
  <c r="BK766" i="1"/>
  <c r="BN766" i="1" s="1"/>
  <c r="BD766" i="1"/>
  <c r="BC766" i="1"/>
  <c r="BB766" i="1"/>
  <c r="BA766" i="1"/>
  <c r="AZ766" i="1"/>
  <c r="AY766" i="1"/>
  <c r="BE766" i="1" s="1" a="1"/>
  <c r="BE766" i="1" s="1"/>
  <c r="AX766" i="1"/>
  <c r="M766" i="1"/>
  <c r="EM49" i="1"/>
  <c r="DU49" i="1"/>
  <c r="DT49" i="1"/>
  <c r="DN49" i="1"/>
  <c r="DM49" i="1"/>
  <c r="DL49" i="1"/>
  <c r="DK49" i="1"/>
  <c r="DI49" i="1"/>
  <c r="DJ49" i="1" s="1"/>
  <c r="DB49" i="1"/>
  <c r="DC49" i="1" s="1"/>
  <c r="CX49" i="1"/>
  <c r="BT49" i="1"/>
  <c r="BV49" i="1" s="1"/>
  <c r="BX49" i="1" s="1"/>
  <c r="BS49" i="1"/>
  <c r="BL49" i="1"/>
  <c r="BK49" i="1"/>
  <c r="CN49" i="1" s="1"/>
  <c r="CO49" i="1" s="1"/>
  <c r="BD49" i="1"/>
  <c r="BC49" i="1"/>
  <c r="BB49" i="1"/>
  <c r="BA49" i="1"/>
  <c r="AZ49" i="1"/>
  <c r="AY49" i="1"/>
  <c r="BE49" i="1" s="1" a="1"/>
  <c r="BE49" i="1" s="1"/>
  <c r="AX49" i="1"/>
  <c r="M49" i="1"/>
  <c r="EM48" i="1"/>
  <c r="DU48" i="1"/>
  <c r="DT48" i="1"/>
  <c r="DN48" i="1"/>
  <c r="DM48" i="1"/>
  <c r="DL48" i="1"/>
  <c r="DK48" i="1"/>
  <c r="DI48" i="1"/>
  <c r="DJ48" i="1" s="1"/>
  <c r="DB48" i="1"/>
  <c r="DC48" i="1" s="1"/>
  <c r="CX48" i="1"/>
  <c r="BT48" i="1"/>
  <c r="BS48" i="1"/>
  <c r="BL48" i="1"/>
  <c r="BK48" i="1"/>
  <c r="BD48" i="1"/>
  <c r="BC48" i="1"/>
  <c r="BB48" i="1"/>
  <c r="BA48" i="1"/>
  <c r="AZ48" i="1"/>
  <c r="AY48" i="1"/>
  <c r="BE48" i="1" s="1" a="1"/>
  <c r="BE48" i="1" s="1"/>
  <c r="AX48" i="1"/>
  <c r="M48" i="1"/>
  <c r="EM765" i="1"/>
  <c r="DU765" i="1"/>
  <c r="DT765" i="1"/>
  <c r="DN765" i="1"/>
  <c r="DM765" i="1"/>
  <c r="DL765" i="1"/>
  <c r="DK765" i="1"/>
  <c r="DI765" i="1"/>
  <c r="DJ765" i="1" s="1"/>
  <c r="DB765" i="1"/>
  <c r="DC765" i="1" s="1"/>
  <c r="CX765" i="1"/>
  <c r="BT765" i="1"/>
  <c r="BS765" i="1"/>
  <c r="BL765" i="1"/>
  <c r="BK765" i="1"/>
  <c r="BD765" i="1"/>
  <c r="BC765" i="1"/>
  <c r="BB765" i="1"/>
  <c r="BA765" i="1"/>
  <c r="AZ765" i="1"/>
  <c r="AY765" i="1"/>
  <c r="BE765" i="1" s="1" a="1"/>
  <c r="BE765" i="1" s="1"/>
  <c r="AX765" i="1"/>
  <c r="M765" i="1"/>
  <c r="EM84" i="1"/>
  <c r="DU84" i="1"/>
  <c r="DT84" i="1"/>
  <c r="DN84" i="1"/>
  <c r="DM84" i="1"/>
  <c r="DL84" i="1"/>
  <c r="DK84" i="1"/>
  <c r="DI84" i="1"/>
  <c r="DJ84" i="1" s="1"/>
  <c r="DB84" i="1"/>
  <c r="DC84" i="1" s="1"/>
  <c r="CX84" i="1"/>
  <c r="BT84" i="1"/>
  <c r="BV84" i="1" s="1"/>
  <c r="BX84" i="1" s="1"/>
  <c r="BS84" i="1"/>
  <c r="BL84" i="1"/>
  <c r="BK84" i="1"/>
  <c r="BD84" i="1"/>
  <c r="BC84" i="1"/>
  <c r="BB84" i="1"/>
  <c r="BA84" i="1"/>
  <c r="AZ84" i="1"/>
  <c r="AY84" i="1"/>
  <c r="AX84" i="1"/>
  <c r="M84" i="1"/>
  <c r="EM83" i="1"/>
  <c r="DU83" i="1"/>
  <c r="DT83" i="1"/>
  <c r="DN83" i="1"/>
  <c r="DM83" i="1"/>
  <c r="DL83" i="1"/>
  <c r="DK83" i="1"/>
  <c r="DI83" i="1"/>
  <c r="DJ83" i="1" s="1"/>
  <c r="DB83" i="1"/>
  <c r="DC83" i="1" s="1"/>
  <c r="CX83" i="1"/>
  <c r="BT83" i="1"/>
  <c r="BS83" i="1"/>
  <c r="BL83" i="1"/>
  <c r="BK83" i="1"/>
  <c r="BO83" i="1" s="1"/>
  <c r="BD83" i="1"/>
  <c r="BC83" i="1"/>
  <c r="BB83" i="1"/>
  <c r="BA83" i="1"/>
  <c r="AZ83" i="1"/>
  <c r="AY83" i="1"/>
  <c r="AX83" i="1"/>
  <c r="M83" i="1"/>
  <c r="EM769" i="1"/>
  <c r="DU769" i="1"/>
  <c r="DT769" i="1"/>
  <c r="DN769" i="1"/>
  <c r="DM769" i="1"/>
  <c r="DL769" i="1"/>
  <c r="DK769" i="1"/>
  <c r="DI769" i="1"/>
  <c r="DJ769" i="1" s="1"/>
  <c r="DB769" i="1"/>
  <c r="DC769" i="1" s="1"/>
  <c r="CX769" i="1"/>
  <c r="BT769" i="1"/>
  <c r="BV769" i="1" s="1"/>
  <c r="BX769" i="1" s="1"/>
  <c r="BS769" i="1"/>
  <c r="BL769" i="1"/>
  <c r="BK769" i="1"/>
  <c r="BD769" i="1"/>
  <c r="BC769" i="1"/>
  <c r="BB769" i="1"/>
  <c r="BA769" i="1"/>
  <c r="AZ769" i="1"/>
  <c r="AY769" i="1"/>
  <c r="AX769" i="1"/>
  <c r="M769" i="1"/>
  <c r="EM767" i="1"/>
  <c r="DU767" i="1"/>
  <c r="DT767" i="1"/>
  <c r="DN767" i="1"/>
  <c r="DM767" i="1"/>
  <c r="DL767" i="1"/>
  <c r="DK767" i="1"/>
  <c r="DI767" i="1"/>
  <c r="DJ767" i="1" s="1"/>
  <c r="DB767" i="1"/>
  <c r="DC767" i="1" s="1"/>
  <c r="CX767" i="1"/>
  <c r="BT767" i="1"/>
  <c r="BV767" i="1" s="1"/>
  <c r="BX767" i="1" s="1"/>
  <c r="BS767" i="1"/>
  <c r="BL767" i="1"/>
  <c r="BK767" i="1"/>
  <c r="BD767" i="1"/>
  <c r="BC767" i="1"/>
  <c r="BB767" i="1"/>
  <c r="BA767" i="1"/>
  <c r="AZ767" i="1"/>
  <c r="AY767" i="1"/>
  <c r="AX767" i="1"/>
  <c r="M767" i="1"/>
  <c r="EM771" i="1"/>
  <c r="DU771" i="1"/>
  <c r="DT771" i="1"/>
  <c r="DN771" i="1"/>
  <c r="DM771" i="1"/>
  <c r="DL771" i="1"/>
  <c r="DK771" i="1"/>
  <c r="DI771" i="1"/>
  <c r="DJ771" i="1" s="1"/>
  <c r="DB771" i="1"/>
  <c r="DC771" i="1" s="1"/>
  <c r="CX771" i="1"/>
  <c r="BT771" i="1"/>
  <c r="BV771" i="1" s="1"/>
  <c r="BX771" i="1" s="1"/>
  <c r="BS771" i="1"/>
  <c r="BL771" i="1"/>
  <c r="BK771" i="1"/>
  <c r="BD771" i="1"/>
  <c r="BC771" i="1"/>
  <c r="BB771" i="1"/>
  <c r="BA771" i="1"/>
  <c r="AZ771" i="1"/>
  <c r="AY771" i="1"/>
  <c r="BE771" i="1" s="1" a="1"/>
  <c r="BE771" i="1" s="1"/>
  <c r="AX771" i="1"/>
  <c r="M771" i="1"/>
  <c r="EM377" i="1"/>
  <c r="DU377" i="1"/>
  <c r="DT377" i="1"/>
  <c r="DN377" i="1"/>
  <c r="DM377" i="1"/>
  <c r="DL377" i="1"/>
  <c r="DK377" i="1"/>
  <c r="DI377" i="1"/>
  <c r="DJ377" i="1" s="1"/>
  <c r="DB377" i="1"/>
  <c r="DC377" i="1" s="1"/>
  <c r="CX377" i="1"/>
  <c r="BT377" i="1"/>
  <c r="BS377" i="1"/>
  <c r="BL377" i="1"/>
  <c r="BK377" i="1"/>
  <c r="BD377" i="1"/>
  <c r="BC377" i="1"/>
  <c r="BB377" i="1"/>
  <c r="BA377" i="1"/>
  <c r="AZ377" i="1"/>
  <c r="AY377" i="1"/>
  <c r="BE377" i="1" s="1" a="1"/>
  <c r="BE377" i="1" s="1"/>
  <c r="AX377" i="1"/>
  <c r="M377" i="1"/>
  <c r="EM326" i="1"/>
  <c r="DU326" i="1"/>
  <c r="DT326" i="1"/>
  <c r="DN326" i="1"/>
  <c r="DM326" i="1"/>
  <c r="DL326" i="1"/>
  <c r="DK326" i="1"/>
  <c r="DI326" i="1"/>
  <c r="DJ326" i="1" s="1"/>
  <c r="DC326" i="1"/>
  <c r="DA326" i="1"/>
  <c r="CX326" i="1"/>
  <c r="CN326" i="1"/>
  <c r="BU326" i="1"/>
  <c r="BO326" i="1"/>
  <c r="BD326" i="1"/>
  <c r="BC326" i="1"/>
  <c r="BB326" i="1"/>
  <c r="BA326" i="1"/>
  <c r="AZ326" i="1"/>
  <c r="AY326" i="1"/>
  <c r="BE326" i="1" s="1" a="1"/>
  <c r="BE326" i="1" s="1"/>
  <c r="AX326" i="1"/>
  <c r="M326" i="1"/>
  <c r="EM1219" i="1"/>
  <c r="DU1219" i="1"/>
  <c r="DT1219" i="1"/>
  <c r="DN1219" i="1"/>
  <c r="DM1219" i="1"/>
  <c r="DL1219" i="1"/>
  <c r="DK1219" i="1"/>
  <c r="DI1219" i="1"/>
  <c r="DJ1219" i="1" s="1"/>
  <c r="DC1219" i="1"/>
  <c r="CX1219" i="1"/>
  <c r="CN1219" i="1"/>
  <c r="BX1219" i="1"/>
  <c r="BU1219" i="1"/>
  <c r="BN1219" i="1"/>
  <c r="BO1219" i="1" s="1"/>
  <c r="BM1219" i="1"/>
  <c r="BD1219" i="1"/>
  <c r="BC1219" i="1"/>
  <c r="BB1219" i="1"/>
  <c r="BA1219" i="1"/>
  <c r="AZ1219" i="1"/>
  <c r="AY1219" i="1"/>
  <c r="BE1219" i="1" s="1" a="1"/>
  <c r="BE1219" i="1" s="1"/>
  <c r="AX1219" i="1"/>
  <c r="M1219" i="1"/>
  <c r="EM1218" i="1"/>
  <c r="DU1218" i="1"/>
  <c r="DT1218" i="1"/>
  <c r="DN1218" i="1"/>
  <c r="DM1218" i="1"/>
  <c r="DL1218" i="1"/>
  <c r="DK1218" i="1"/>
  <c r="DI1218" i="1"/>
  <c r="DJ1218" i="1" s="1"/>
  <c r="DC1218" i="1"/>
  <c r="CX1218" i="1"/>
  <c r="CN1218" i="1"/>
  <c r="BX1218" i="1"/>
  <c r="BU1218" i="1"/>
  <c r="BN1218" i="1"/>
  <c r="BO1218" i="1" s="1"/>
  <c r="BM1218" i="1"/>
  <c r="BD1218" i="1"/>
  <c r="BC1218" i="1"/>
  <c r="BB1218" i="1"/>
  <c r="BA1218" i="1"/>
  <c r="AZ1218" i="1"/>
  <c r="AY1218" i="1"/>
  <c r="BE1218" i="1" s="1" a="1"/>
  <c r="BE1218" i="1" s="1"/>
  <c r="AX1218" i="1"/>
  <c r="M1218" i="1"/>
  <c r="EM1217" i="1"/>
  <c r="DU1217" i="1"/>
  <c r="DT1217" i="1"/>
  <c r="DN1217" i="1"/>
  <c r="DM1217" i="1"/>
  <c r="DL1217" i="1"/>
  <c r="DK1217" i="1"/>
  <c r="DI1217" i="1"/>
  <c r="DJ1217" i="1" s="1"/>
  <c r="DC1217" i="1"/>
  <c r="CX1217" i="1"/>
  <c r="CN1217" i="1"/>
  <c r="CR1217" i="1" s="1"/>
  <c r="BX1217" i="1"/>
  <c r="BU1217" i="1"/>
  <c r="BN1217" i="1"/>
  <c r="BO1217" i="1" s="1"/>
  <c r="BM1217" i="1"/>
  <c r="BD1217" i="1"/>
  <c r="BC1217" i="1"/>
  <c r="BB1217" i="1"/>
  <c r="BA1217" i="1"/>
  <c r="AZ1217" i="1"/>
  <c r="AY1217" i="1"/>
  <c r="BE1217" i="1" s="1" a="1"/>
  <c r="BE1217" i="1" s="1"/>
  <c r="AX1217" i="1"/>
  <c r="M1217" i="1"/>
  <c r="EM1216" i="1"/>
  <c r="DU1216" i="1"/>
  <c r="DT1216" i="1"/>
  <c r="DN1216" i="1"/>
  <c r="DM1216" i="1"/>
  <c r="DL1216" i="1"/>
  <c r="DK1216" i="1"/>
  <c r="DI1216" i="1"/>
  <c r="DJ1216" i="1" s="1"/>
  <c r="DC1216" i="1"/>
  <c r="CX1216" i="1"/>
  <c r="CN1216" i="1"/>
  <c r="BX1216" i="1"/>
  <c r="BU1216" i="1"/>
  <c r="BN1216" i="1"/>
  <c r="BO1216" i="1" s="1"/>
  <c r="BM1216" i="1"/>
  <c r="BD1216" i="1"/>
  <c r="BC1216" i="1"/>
  <c r="BB1216" i="1"/>
  <c r="BA1216" i="1"/>
  <c r="AZ1216" i="1"/>
  <c r="BF1216" i="1" s="1" a="1"/>
  <c r="BF1216" i="1" s="1"/>
  <c r="AY1216" i="1"/>
  <c r="BE1216" i="1" s="1" a="1"/>
  <c r="BE1216" i="1" s="1"/>
  <c r="AX1216" i="1"/>
  <c r="M1216" i="1"/>
  <c r="EM1215" i="1"/>
  <c r="DU1215" i="1"/>
  <c r="DT1215" i="1"/>
  <c r="DN1215" i="1"/>
  <c r="DM1215" i="1"/>
  <c r="DL1215" i="1"/>
  <c r="DK1215" i="1"/>
  <c r="DI1215" i="1"/>
  <c r="DJ1215" i="1" s="1"/>
  <c r="DC1215" i="1"/>
  <c r="CX1215" i="1"/>
  <c r="CN1215" i="1"/>
  <c r="CP1215" i="1" s="1"/>
  <c r="BX1215" i="1"/>
  <c r="BU1215" i="1"/>
  <c r="BN1215" i="1"/>
  <c r="BO1215" i="1" s="1"/>
  <c r="BM1215" i="1"/>
  <c r="BD1215" i="1"/>
  <c r="BC1215" i="1"/>
  <c r="BB1215" i="1"/>
  <c r="BA1215" i="1"/>
  <c r="AZ1215" i="1"/>
  <c r="AY1215" i="1"/>
  <c r="BE1215" i="1" s="1" a="1"/>
  <c r="BE1215" i="1" s="1"/>
  <c r="AX1215" i="1"/>
  <c r="M1215" i="1"/>
  <c r="EM1214" i="1"/>
  <c r="DU1214" i="1"/>
  <c r="DT1214" i="1"/>
  <c r="DN1214" i="1"/>
  <c r="DM1214" i="1"/>
  <c r="DL1214" i="1"/>
  <c r="DK1214" i="1"/>
  <c r="DI1214" i="1"/>
  <c r="DJ1214" i="1" s="1"/>
  <c r="DC1214" i="1"/>
  <c r="CX1214" i="1"/>
  <c r="CN1214" i="1"/>
  <c r="BX1214" i="1"/>
  <c r="BU1214" i="1"/>
  <c r="BN1214" i="1"/>
  <c r="BO1214" i="1" s="1"/>
  <c r="BM1214" i="1"/>
  <c r="BD1214" i="1"/>
  <c r="BC1214" i="1"/>
  <c r="BB1214" i="1"/>
  <c r="BA1214" i="1"/>
  <c r="AZ1214" i="1"/>
  <c r="AY1214" i="1"/>
  <c r="BE1214" i="1" s="1" a="1"/>
  <c r="BE1214" i="1" s="1"/>
  <c r="AX1214" i="1"/>
  <c r="M1214" i="1"/>
  <c r="EM1213" i="1"/>
  <c r="DU1213" i="1"/>
  <c r="DT1213" i="1"/>
  <c r="DN1213" i="1"/>
  <c r="DM1213" i="1"/>
  <c r="DL1213" i="1"/>
  <c r="DK1213" i="1"/>
  <c r="DI1213" i="1"/>
  <c r="DJ1213" i="1" s="1"/>
  <c r="DC1213" i="1"/>
  <c r="CX1213" i="1"/>
  <c r="CN1213" i="1"/>
  <c r="BX1213" i="1"/>
  <c r="BU1213" i="1"/>
  <c r="BN1213" i="1"/>
  <c r="BO1213" i="1" s="1"/>
  <c r="BM1213" i="1"/>
  <c r="BD1213" i="1"/>
  <c r="BC1213" i="1"/>
  <c r="BB1213" i="1"/>
  <c r="BA1213" i="1"/>
  <c r="AZ1213" i="1"/>
  <c r="AY1213" i="1"/>
  <c r="BE1213" i="1" s="1" a="1"/>
  <c r="BE1213" i="1" s="1"/>
  <c r="AX1213" i="1"/>
  <c r="M1213" i="1"/>
  <c r="EM1212" i="1"/>
  <c r="DU1212" i="1"/>
  <c r="DT1212" i="1"/>
  <c r="DN1212" i="1"/>
  <c r="DM1212" i="1"/>
  <c r="DL1212" i="1"/>
  <c r="DK1212" i="1"/>
  <c r="DI1212" i="1"/>
  <c r="DJ1212" i="1" s="1"/>
  <c r="DC1212" i="1"/>
  <c r="CX1212" i="1"/>
  <c r="CN1212" i="1"/>
  <c r="CS1212" i="1" s="1"/>
  <c r="BX1212" i="1"/>
  <c r="BU1212" i="1"/>
  <c r="BN1212" i="1"/>
  <c r="BO1212" i="1" s="1"/>
  <c r="BM1212" i="1"/>
  <c r="BD1212" i="1"/>
  <c r="BC1212" i="1"/>
  <c r="BB1212" i="1"/>
  <c r="BA1212" i="1"/>
  <c r="AZ1212" i="1"/>
  <c r="AY1212" i="1"/>
  <c r="BE1212" i="1" s="1" a="1"/>
  <c r="BE1212" i="1" s="1"/>
  <c r="AX1212" i="1"/>
  <c r="M1212" i="1"/>
  <c r="EM1211" i="1"/>
  <c r="DU1211" i="1"/>
  <c r="DT1211" i="1"/>
  <c r="DN1211" i="1"/>
  <c r="DM1211" i="1"/>
  <c r="DL1211" i="1"/>
  <c r="DK1211" i="1"/>
  <c r="DI1211" i="1"/>
  <c r="DJ1211" i="1" s="1"/>
  <c r="DC1211" i="1"/>
  <c r="CX1211" i="1"/>
  <c r="CN1211" i="1"/>
  <c r="CP1211" i="1" s="1"/>
  <c r="BX1211" i="1"/>
  <c r="BU1211" i="1"/>
  <c r="BN1211" i="1"/>
  <c r="BO1211" i="1" s="1"/>
  <c r="BM1211" i="1"/>
  <c r="BD1211" i="1"/>
  <c r="BC1211" i="1"/>
  <c r="BB1211" i="1"/>
  <c r="BA1211" i="1"/>
  <c r="AZ1211" i="1"/>
  <c r="AY1211" i="1"/>
  <c r="BE1211" i="1" s="1" a="1"/>
  <c r="BE1211" i="1" s="1"/>
  <c r="AX1211" i="1"/>
  <c r="M1211" i="1"/>
  <c r="EM1210" i="1"/>
  <c r="DU1210" i="1"/>
  <c r="DT1210" i="1"/>
  <c r="DN1210" i="1"/>
  <c r="DM1210" i="1"/>
  <c r="DL1210" i="1"/>
  <c r="DK1210" i="1"/>
  <c r="DI1210" i="1"/>
  <c r="DJ1210" i="1" s="1"/>
  <c r="DC1210" i="1"/>
  <c r="CX1210" i="1"/>
  <c r="CN1210" i="1"/>
  <c r="BX1210" i="1"/>
  <c r="BU1210" i="1"/>
  <c r="BN1210" i="1"/>
  <c r="BO1210" i="1" s="1"/>
  <c r="BM1210" i="1"/>
  <c r="BD1210" i="1"/>
  <c r="BC1210" i="1"/>
  <c r="BB1210" i="1"/>
  <c r="BA1210" i="1"/>
  <c r="AZ1210" i="1"/>
  <c r="AY1210" i="1"/>
  <c r="BE1210" i="1" s="1" a="1"/>
  <c r="BE1210" i="1" s="1"/>
  <c r="AX1210" i="1"/>
  <c r="M1210" i="1"/>
  <c r="EM1209" i="1"/>
  <c r="DU1209" i="1"/>
  <c r="DT1209" i="1"/>
  <c r="DN1209" i="1"/>
  <c r="DM1209" i="1"/>
  <c r="DL1209" i="1"/>
  <c r="DK1209" i="1"/>
  <c r="DI1209" i="1"/>
  <c r="DJ1209" i="1" s="1"/>
  <c r="DC1209" i="1"/>
  <c r="CX1209" i="1"/>
  <c r="CN1209" i="1"/>
  <c r="BX1209" i="1"/>
  <c r="BU1209" i="1"/>
  <c r="BN1209" i="1"/>
  <c r="BO1209" i="1" s="1"/>
  <c r="BM1209" i="1"/>
  <c r="BD1209" i="1"/>
  <c r="BC1209" i="1"/>
  <c r="BB1209" i="1"/>
  <c r="BA1209" i="1"/>
  <c r="AZ1209" i="1"/>
  <c r="AY1209" i="1"/>
  <c r="BE1209" i="1" s="1" a="1"/>
  <c r="BE1209" i="1" s="1"/>
  <c r="AX1209" i="1"/>
  <c r="M1209" i="1"/>
  <c r="EM1208" i="1"/>
  <c r="DU1208" i="1"/>
  <c r="DT1208" i="1"/>
  <c r="DN1208" i="1"/>
  <c r="DM1208" i="1"/>
  <c r="DL1208" i="1"/>
  <c r="DK1208" i="1"/>
  <c r="DI1208" i="1"/>
  <c r="DJ1208" i="1" s="1"/>
  <c r="DC1208" i="1"/>
  <c r="CX1208" i="1"/>
  <c r="CN1208" i="1"/>
  <c r="CS1208" i="1" s="1"/>
  <c r="BX1208" i="1"/>
  <c r="BU1208" i="1"/>
  <c r="BN1208" i="1"/>
  <c r="BO1208" i="1" s="1"/>
  <c r="BM1208" i="1"/>
  <c r="BD1208" i="1"/>
  <c r="BC1208" i="1"/>
  <c r="BB1208" i="1"/>
  <c r="BA1208" i="1"/>
  <c r="AZ1208" i="1"/>
  <c r="BF1208" i="1" s="1" a="1"/>
  <c r="BF1208" i="1" s="1"/>
  <c r="AY1208" i="1"/>
  <c r="BE1208" i="1" s="1" a="1"/>
  <c r="BE1208" i="1" s="1"/>
  <c r="AX1208" i="1"/>
  <c r="M1208" i="1"/>
  <c r="EM1207" i="1"/>
  <c r="DU1207" i="1"/>
  <c r="DT1207" i="1"/>
  <c r="DN1207" i="1"/>
  <c r="DM1207" i="1"/>
  <c r="DL1207" i="1"/>
  <c r="DK1207" i="1"/>
  <c r="DI1207" i="1"/>
  <c r="DJ1207" i="1" s="1"/>
  <c r="DC1207" i="1"/>
  <c r="CX1207" i="1"/>
  <c r="CN1207" i="1"/>
  <c r="CR1207" i="1" s="1"/>
  <c r="BX1207" i="1"/>
  <c r="BU1207" i="1"/>
  <c r="BN1207" i="1"/>
  <c r="BO1207" i="1" s="1"/>
  <c r="BM1207" i="1"/>
  <c r="BD1207" i="1"/>
  <c r="BC1207" i="1"/>
  <c r="BB1207" i="1"/>
  <c r="BA1207" i="1"/>
  <c r="AZ1207" i="1"/>
  <c r="AY1207" i="1"/>
  <c r="BE1207" i="1" s="1" a="1"/>
  <c r="BE1207" i="1" s="1"/>
  <c r="AX1207" i="1"/>
  <c r="M1207" i="1"/>
  <c r="EM1206" i="1"/>
  <c r="DU1206" i="1"/>
  <c r="DT1206" i="1"/>
  <c r="DN1206" i="1"/>
  <c r="DM1206" i="1"/>
  <c r="DL1206" i="1"/>
  <c r="DK1206" i="1"/>
  <c r="DI1206" i="1"/>
  <c r="DJ1206" i="1" s="1"/>
  <c r="DC1206" i="1"/>
  <c r="CX1206" i="1"/>
  <c r="CN1206" i="1"/>
  <c r="BX1206" i="1"/>
  <c r="BU1206" i="1"/>
  <c r="BN1206" i="1"/>
  <c r="BO1206" i="1" s="1"/>
  <c r="BM1206" i="1"/>
  <c r="BD1206" i="1"/>
  <c r="BC1206" i="1"/>
  <c r="BB1206" i="1"/>
  <c r="BA1206" i="1"/>
  <c r="AZ1206" i="1"/>
  <c r="AY1206" i="1"/>
  <c r="BE1206" i="1" s="1" a="1"/>
  <c r="BE1206" i="1" s="1"/>
  <c r="AX1206" i="1"/>
  <c r="M1206" i="1"/>
  <c r="EM1205" i="1"/>
  <c r="DU1205" i="1"/>
  <c r="DT1205" i="1"/>
  <c r="DN1205" i="1"/>
  <c r="DM1205" i="1"/>
  <c r="DL1205" i="1"/>
  <c r="DK1205" i="1"/>
  <c r="DI1205" i="1"/>
  <c r="DJ1205" i="1" s="1"/>
  <c r="DC1205" i="1"/>
  <c r="CX1205" i="1"/>
  <c r="CN1205" i="1"/>
  <c r="BX1205" i="1"/>
  <c r="BU1205" i="1"/>
  <c r="BN1205" i="1"/>
  <c r="BO1205" i="1" s="1"/>
  <c r="BM1205" i="1"/>
  <c r="BD1205" i="1"/>
  <c r="BC1205" i="1"/>
  <c r="BB1205" i="1"/>
  <c r="BA1205" i="1"/>
  <c r="AZ1205" i="1"/>
  <c r="AY1205" i="1"/>
  <c r="BE1205" i="1" s="1" a="1"/>
  <c r="BE1205" i="1" s="1"/>
  <c r="AX1205" i="1"/>
  <c r="M1205" i="1"/>
  <c r="EM1204" i="1"/>
  <c r="DU1204" i="1"/>
  <c r="DT1204" i="1"/>
  <c r="DN1204" i="1"/>
  <c r="DM1204" i="1"/>
  <c r="DL1204" i="1"/>
  <c r="DK1204" i="1"/>
  <c r="DI1204" i="1"/>
  <c r="DJ1204" i="1" s="1"/>
  <c r="DC1204" i="1"/>
  <c r="CX1204" i="1"/>
  <c r="CN1204" i="1"/>
  <c r="CO1204" i="1" s="1"/>
  <c r="BX1204" i="1"/>
  <c r="BU1204" i="1"/>
  <c r="BN1204" i="1"/>
  <c r="BO1204" i="1" s="1"/>
  <c r="BD1204" i="1"/>
  <c r="BC1204" i="1"/>
  <c r="BB1204" i="1"/>
  <c r="BA1204" i="1"/>
  <c r="AZ1204" i="1"/>
  <c r="AY1204" i="1"/>
  <c r="BE1204" i="1" s="1" a="1"/>
  <c r="BE1204" i="1" s="1"/>
  <c r="AX1204" i="1"/>
  <c r="M1204" i="1"/>
  <c r="EM1203" i="1"/>
  <c r="DU1203" i="1"/>
  <c r="DT1203" i="1"/>
  <c r="DN1203" i="1"/>
  <c r="DM1203" i="1"/>
  <c r="DL1203" i="1"/>
  <c r="DK1203" i="1"/>
  <c r="DI1203" i="1"/>
  <c r="DJ1203" i="1" s="1"/>
  <c r="DC1203" i="1"/>
  <c r="CX1203" i="1"/>
  <c r="BT1203" i="1"/>
  <c r="BS1203" i="1"/>
  <c r="BL1203" i="1"/>
  <c r="BD1203" i="1"/>
  <c r="BC1203" i="1"/>
  <c r="BB1203" i="1"/>
  <c r="BA1203" i="1"/>
  <c r="AZ1203" i="1"/>
  <c r="BF1203" i="1" s="1" a="1"/>
  <c r="BF1203" i="1" s="1"/>
  <c r="AY1203" i="1"/>
  <c r="BE1203" i="1" s="1" a="1"/>
  <c r="BE1203" i="1" s="1"/>
  <c r="AX1203" i="1"/>
  <c r="M1203" i="1"/>
  <c r="EM385" i="1"/>
  <c r="DU385" i="1"/>
  <c r="DT385" i="1"/>
  <c r="DN385" i="1"/>
  <c r="DM385" i="1"/>
  <c r="DL385" i="1"/>
  <c r="DK385" i="1"/>
  <c r="DI385" i="1"/>
  <c r="DJ385" i="1" s="1"/>
  <c r="DC385" i="1"/>
  <c r="CX385" i="1"/>
  <c r="CN385" i="1"/>
  <c r="CO385" i="1" s="1"/>
  <c r="BV385" i="1"/>
  <c r="BX385" i="1" s="1"/>
  <c r="BU385" i="1"/>
  <c r="BN385" i="1"/>
  <c r="BO385" i="1" s="1"/>
  <c r="BM385" i="1"/>
  <c r="BD385" i="1"/>
  <c r="BC385" i="1"/>
  <c r="BB385" i="1"/>
  <c r="BA385" i="1"/>
  <c r="AZ385" i="1"/>
  <c r="AY385" i="1"/>
  <c r="BE385" i="1" s="1" a="1"/>
  <c r="BE385" i="1" s="1"/>
  <c r="AX385" i="1"/>
  <c r="M385" i="1"/>
  <c r="EM384" i="1"/>
  <c r="DU384" i="1"/>
  <c r="DT384" i="1"/>
  <c r="DN384" i="1"/>
  <c r="DM384" i="1"/>
  <c r="DL384" i="1"/>
  <c r="DK384" i="1"/>
  <c r="DI384" i="1"/>
  <c r="DJ384" i="1" s="1"/>
  <c r="DC384" i="1"/>
  <c r="CX384" i="1"/>
  <c r="CN384" i="1"/>
  <c r="CS384" i="1" s="1"/>
  <c r="BV384" i="1"/>
  <c r="BX384" i="1" s="1"/>
  <c r="BU384" i="1"/>
  <c r="BN384" i="1"/>
  <c r="BO384" i="1" s="1"/>
  <c r="BM384" i="1"/>
  <c r="BD384" i="1"/>
  <c r="BC384" i="1"/>
  <c r="BB384" i="1"/>
  <c r="BA384" i="1"/>
  <c r="AZ384" i="1"/>
  <c r="AY384" i="1"/>
  <c r="BE384" i="1" s="1" a="1"/>
  <c r="BE384" i="1" s="1"/>
  <c r="AX384" i="1"/>
  <c r="M384" i="1"/>
  <c r="EM383" i="1"/>
  <c r="DU383" i="1"/>
  <c r="DT383" i="1"/>
  <c r="DN383" i="1"/>
  <c r="DM383" i="1"/>
  <c r="DL383" i="1"/>
  <c r="DK383" i="1"/>
  <c r="DI383" i="1"/>
  <c r="DJ383" i="1" s="1"/>
  <c r="DC383" i="1"/>
  <c r="CX383" i="1"/>
  <c r="CN383" i="1"/>
  <c r="BV383" i="1"/>
  <c r="BX383" i="1" s="1"/>
  <c r="BU383" i="1"/>
  <c r="BN383" i="1"/>
  <c r="BO383" i="1" s="1"/>
  <c r="BM383" i="1"/>
  <c r="BD383" i="1"/>
  <c r="BC383" i="1"/>
  <c r="BB383" i="1"/>
  <c r="BA383" i="1"/>
  <c r="AZ383" i="1"/>
  <c r="AY383" i="1"/>
  <c r="BE383" i="1" s="1" a="1"/>
  <c r="BE383" i="1" s="1"/>
  <c r="AX383" i="1"/>
  <c r="M383" i="1"/>
  <c r="EM382" i="1"/>
  <c r="DU382" i="1"/>
  <c r="DT382" i="1"/>
  <c r="DN382" i="1"/>
  <c r="DM382" i="1"/>
  <c r="DL382" i="1"/>
  <c r="DK382" i="1"/>
  <c r="DI382" i="1"/>
  <c r="DJ382" i="1" s="1"/>
  <c r="DC382" i="1"/>
  <c r="CX382" i="1"/>
  <c r="CN382" i="1"/>
  <c r="CO382" i="1" s="1"/>
  <c r="BV382" i="1"/>
  <c r="BX382" i="1" s="1"/>
  <c r="BU382" i="1"/>
  <c r="BN382" i="1"/>
  <c r="BO382" i="1" s="1"/>
  <c r="BM382" i="1"/>
  <c r="BD382" i="1"/>
  <c r="BC382" i="1"/>
  <c r="BB382" i="1"/>
  <c r="BA382" i="1"/>
  <c r="AZ382" i="1"/>
  <c r="AY382" i="1"/>
  <c r="BE382" i="1" s="1" a="1"/>
  <c r="BE382" i="1" s="1"/>
  <c r="AX382" i="1"/>
  <c r="M382" i="1"/>
  <c r="EM199" i="1"/>
  <c r="DU199" i="1"/>
  <c r="DT199" i="1"/>
  <c r="DN199" i="1"/>
  <c r="DM199" i="1"/>
  <c r="DL199" i="1"/>
  <c r="DK199" i="1"/>
  <c r="DI199" i="1"/>
  <c r="DJ199" i="1" s="1"/>
  <c r="DC199" i="1"/>
  <c r="CX199" i="1"/>
  <c r="CN199" i="1"/>
  <c r="CO199" i="1" s="1"/>
  <c r="BV199" i="1"/>
  <c r="BX199" i="1" s="1"/>
  <c r="BU199" i="1"/>
  <c r="BN199" i="1"/>
  <c r="BO199" i="1" s="1"/>
  <c r="BM199" i="1"/>
  <c r="BD199" i="1"/>
  <c r="BC199" i="1"/>
  <c r="BB199" i="1"/>
  <c r="BA199" i="1"/>
  <c r="AZ199" i="1"/>
  <c r="AY199" i="1"/>
  <c r="AX199" i="1"/>
  <c r="M199" i="1"/>
  <c r="EM198" i="1"/>
  <c r="DU198" i="1"/>
  <c r="DT198" i="1"/>
  <c r="DN198" i="1"/>
  <c r="DM198" i="1"/>
  <c r="DL198" i="1"/>
  <c r="DK198" i="1"/>
  <c r="DI198" i="1"/>
  <c r="DJ198" i="1" s="1"/>
  <c r="DC198" i="1"/>
  <c r="CX198" i="1"/>
  <c r="CN198" i="1"/>
  <c r="CS198" i="1" s="1"/>
  <c r="BV198" i="1"/>
  <c r="BX198" i="1" s="1"/>
  <c r="BU198" i="1"/>
  <c r="BN198" i="1"/>
  <c r="BO198" i="1" s="1"/>
  <c r="BM198" i="1"/>
  <c r="BD198" i="1"/>
  <c r="BC198" i="1"/>
  <c r="BB198" i="1"/>
  <c r="BA198" i="1"/>
  <c r="AZ198" i="1"/>
  <c r="AY198" i="1"/>
  <c r="AX198" i="1"/>
  <c r="M198" i="1"/>
  <c r="EM197" i="1"/>
  <c r="DU197" i="1"/>
  <c r="DT197" i="1"/>
  <c r="DN197" i="1"/>
  <c r="DM197" i="1"/>
  <c r="DL197" i="1"/>
  <c r="DK197" i="1"/>
  <c r="DI197" i="1"/>
  <c r="DJ197" i="1" s="1"/>
  <c r="DC197" i="1"/>
  <c r="CX197" i="1"/>
  <c r="CN197" i="1"/>
  <c r="BV197" i="1"/>
  <c r="BX197" i="1" s="1"/>
  <c r="BU197" i="1"/>
  <c r="BN197" i="1"/>
  <c r="BO197" i="1" s="1"/>
  <c r="BM197" i="1"/>
  <c r="BD197" i="1"/>
  <c r="BC197" i="1"/>
  <c r="BB197" i="1"/>
  <c r="BA197" i="1"/>
  <c r="AZ197" i="1"/>
  <c r="AY197" i="1"/>
  <c r="AX197" i="1"/>
  <c r="M197" i="1"/>
  <c r="EM196" i="1"/>
  <c r="DU196" i="1"/>
  <c r="DT196" i="1"/>
  <c r="DN196" i="1"/>
  <c r="DM196" i="1"/>
  <c r="DL196" i="1"/>
  <c r="DK196" i="1"/>
  <c r="DI196" i="1"/>
  <c r="DJ196" i="1" s="1"/>
  <c r="DC196" i="1"/>
  <c r="CX196" i="1"/>
  <c r="CN196" i="1"/>
  <c r="BV196" i="1"/>
  <c r="BX196" i="1" s="1"/>
  <c r="BU196" i="1"/>
  <c r="BN196" i="1"/>
  <c r="BO196" i="1" s="1"/>
  <c r="BM196" i="1"/>
  <c r="BD196" i="1"/>
  <c r="BC196" i="1"/>
  <c r="BB196" i="1"/>
  <c r="BA196" i="1"/>
  <c r="AZ196" i="1"/>
  <c r="AY196" i="1"/>
  <c r="AX196" i="1"/>
  <c r="M196" i="1"/>
  <c r="EM195" i="1"/>
  <c r="DU195" i="1"/>
  <c r="DT195" i="1"/>
  <c r="DN195" i="1"/>
  <c r="DM195" i="1"/>
  <c r="DL195" i="1"/>
  <c r="DK195" i="1"/>
  <c r="DI195" i="1"/>
  <c r="DJ195" i="1" s="1"/>
  <c r="DC195" i="1"/>
  <c r="CX195" i="1"/>
  <c r="CN195" i="1"/>
  <c r="CO195" i="1" s="1"/>
  <c r="BV195" i="1"/>
  <c r="BX195" i="1" s="1"/>
  <c r="BU195" i="1"/>
  <c r="BN195" i="1"/>
  <c r="BO195" i="1" s="1"/>
  <c r="BM195" i="1"/>
  <c r="BD195" i="1"/>
  <c r="BC195" i="1"/>
  <c r="BB195" i="1"/>
  <c r="BA195" i="1"/>
  <c r="AZ195" i="1"/>
  <c r="AY195" i="1"/>
  <c r="AX195" i="1"/>
  <c r="M195" i="1"/>
  <c r="EM194" i="1"/>
  <c r="DU194" i="1"/>
  <c r="DT194" i="1"/>
  <c r="DN194" i="1"/>
  <c r="DM194" i="1"/>
  <c r="DL194" i="1"/>
  <c r="DK194" i="1"/>
  <c r="DI194" i="1"/>
  <c r="DJ194" i="1" s="1"/>
  <c r="DC194" i="1"/>
  <c r="CX194" i="1"/>
  <c r="CN194" i="1"/>
  <c r="CS194" i="1" s="1"/>
  <c r="BV194" i="1"/>
  <c r="BX194" i="1" s="1"/>
  <c r="BU194" i="1"/>
  <c r="BN194" i="1"/>
  <c r="BO194" i="1" s="1"/>
  <c r="BM194" i="1"/>
  <c r="BD194" i="1"/>
  <c r="BC194" i="1"/>
  <c r="BB194" i="1"/>
  <c r="BA194" i="1"/>
  <c r="AZ194" i="1"/>
  <c r="AY194" i="1"/>
  <c r="AX194" i="1"/>
  <c r="M194" i="1"/>
  <c r="EM193" i="1"/>
  <c r="DU193" i="1"/>
  <c r="DT193" i="1"/>
  <c r="DN193" i="1"/>
  <c r="DM193" i="1"/>
  <c r="DL193" i="1"/>
  <c r="DK193" i="1"/>
  <c r="DI193" i="1"/>
  <c r="DJ193" i="1" s="1"/>
  <c r="DC193" i="1"/>
  <c r="CX193" i="1"/>
  <c r="CN193" i="1"/>
  <c r="CS193" i="1" s="1"/>
  <c r="BV193" i="1"/>
  <c r="BX193" i="1" s="1"/>
  <c r="BU193" i="1"/>
  <c r="BN193" i="1"/>
  <c r="BO193" i="1" s="1"/>
  <c r="BM193" i="1"/>
  <c r="BD193" i="1"/>
  <c r="BC193" i="1"/>
  <c r="BB193" i="1"/>
  <c r="BA193" i="1"/>
  <c r="AZ193" i="1"/>
  <c r="AY193" i="1"/>
  <c r="AX193" i="1"/>
  <c r="M193" i="1"/>
  <c r="EM192" i="1"/>
  <c r="DU192" i="1"/>
  <c r="DT192" i="1"/>
  <c r="DN192" i="1"/>
  <c r="DM192" i="1"/>
  <c r="DL192" i="1"/>
  <c r="DK192" i="1"/>
  <c r="DI192" i="1"/>
  <c r="DJ192" i="1" s="1"/>
  <c r="DC192" i="1"/>
  <c r="CX192" i="1"/>
  <c r="CN192" i="1"/>
  <c r="BV192" i="1"/>
  <c r="BX192" i="1" s="1"/>
  <c r="BU192" i="1"/>
  <c r="BN192" i="1"/>
  <c r="BO192" i="1" s="1"/>
  <c r="BM192" i="1"/>
  <c r="BD192" i="1"/>
  <c r="BC192" i="1"/>
  <c r="BB192" i="1"/>
  <c r="BA192" i="1"/>
  <c r="AZ192" i="1"/>
  <c r="AY192" i="1"/>
  <c r="AX192" i="1"/>
  <c r="M192" i="1"/>
  <c r="EM191" i="1"/>
  <c r="DU191" i="1"/>
  <c r="DT191" i="1"/>
  <c r="DN191" i="1"/>
  <c r="DM191" i="1"/>
  <c r="DL191" i="1"/>
  <c r="DK191" i="1"/>
  <c r="DI191" i="1"/>
  <c r="DJ191" i="1" s="1"/>
  <c r="DC191" i="1"/>
  <c r="CX191" i="1"/>
  <c r="CN191" i="1"/>
  <c r="CO191" i="1" s="1"/>
  <c r="BV191" i="1"/>
  <c r="BX191" i="1" s="1"/>
  <c r="BU191" i="1"/>
  <c r="BN191" i="1"/>
  <c r="BO191" i="1" s="1"/>
  <c r="BM191" i="1"/>
  <c r="BD191" i="1"/>
  <c r="BC191" i="1"/>
  <c r="BB191" i="1"/>
  <c r="BA191" i="1"/>
  <c r="AZ191" i="1"/>
  <c r="AY191" i="1"/>
  <c r="AX191" i="1"/>
  <c r="M191" i="1"/>
  <c r="EM190" i="1"/>
  <c r="DU190" i="1"/>
  <c r="DT190" i="1"/>
  <c r="DN190" i="1"/>
  <c r="DM190" i="1"/>
  <c r="DL190" i="1"/>
  <c r="DK190" i="1"/>
  <c r="DI190" i="1"/>
  <c r="DJ190" i="1" s="1"/>
  <c r="DC190" i="1"/>
  <c r="CX190" i="1"/>
  <c r="CN190" i="1"/>
  <c r="BV190" i="1"/>
  <c r="BX190" i="1" s="1"/>
  <c r="BU190" i="1"/>
  <c r="BN190" i="1"/>
  <c r="BO190" i="1" s="1"/>
  <c r="BM190" i="1"/>
  <c r="BD190" i="1"/>
  <c r="BC190" i="1"/>
  <c r="BB190" i="1"/>
  <c r="BA190" i="1"/>
  <c r="AZ190" i="1"/>
  <c r="AY190" i="1"/>
  <c r="AX190" i="1"/>
  <c r="M190" i="1"/>
  <c r="EM189" i="1"/>
  <c r="DU189" i="1"/>
  <c r="DT189" i="1"/>
  <c r="DN189" i="1"/>
  <c r="DM189" i="1"/>
  <c r="DL189" i="1"/>
  <c r="DK189" i="1"/>
  <c r="DI189" i="1"/>
  <c r="DJ189" i="1" s="1"/>
  <c r="DC189" i="1"/>
  <c r="CX189" i="1"/>
  <c r="CN189" i="1"/>
  <c r="CS189" i="1" s="1"/>
  <c r="BV189" i="1"/>
  <c r="BX189" i="1" s="1"/>
  <c r="BU189" i="1"/>
  <c r="BN189" i="1"/>
  <c r="BO189" i="1" s="1"/>
  <c r="BM189" i="1"/>
  <c r="BD189" i="1"/>
  <c r="BC189" i="1"/>
  <c r="BB189" i="1"/>
  <c r="BA189" i="1"/>
  <c r="AZ189" i="1"/>
  <c r="AY189" i="1"/>
  <c r="AX189" i="1"/>
  <c r="M189" i="1"/>
  <c r="EM188" i="1"/>
  <c r="DU188" i="1"/>
  <c r="DT188" i="1"/>
  <c r="DN188" i="1"/>
  <c r="DM188" i="1"/>
  <c r="DL188" i="1"/>
  <c r="DK188" i="1"/>
  <c r="DI188" i="1"/>
  <c r="DJ188" i="1" s="1"/>
  <c r="DC188" i="1"/>
  <c r="CX188" i="1"/>
  <c r="CN188" i="1"/>
  <c r="CO188" i="1" s="1"/>
  <c r="BV188" i="1"/>
  <c r="BX188" i="1" s="1"/>
  <c r="BU188" i="1"/>
  <c r="BN188" i="1"/>
  <c r="BO188" i="1" s="1"/>
  <c r="BM188" i="1"/>
  <c r="BD188" i="1"/>
  <c r="BC188" i="1"/>
  <c r="BB188" i="1"/>
  <c r="BA188" i="1"/>
  <c r="AZ188" i="1"/>
  <c r="AY188" i="1"/>
  <c r="AX188" i="1"/>
  <c r="M188" i="1"/>
  <c r="EM187" i="1"/>
  <c r="DU187" i="1"/>
  <c r="DT187" i="1"/>
  <c r="DN187" i="1"/>
  <c r="DM187" i="1"/>
  <c r="DL187" i="1"/>
  <c r="DK187" i="1"/>
  <c r="DI187" i="1"/>
  <c r="DJ187" i="1" s="1"/>
  <c r="DC187" i="1"/>
  <c r="CX187" i="1"/>
  <c r="CN187" i="1"/>
  <c r="CO187" i="1" s="1"/>
  <c r="BV187" i="1"/>
  <c r="BX187" i="1" s="1"/>
  <c r="BU187" i="1"/>
  <c r="BN187" i="1"/>
  <c r="BO187" i="1" s="1"/>
  <c r="BM187" i="1"/>
  <c r="BD187" i="1"/>
  <c r="BC187" i="1"/>
  <c r="BB187" i="1"/>
  <c r="BA187" i="1"/>
  <c r="AZ187" i="1"/>
  <c r="AY187" i="1"/>
  <c r="AX187" i="1"/>
  <c r="M187" i="1"/>
  <c r="EM186" i="1"/>
  <c r="DU186" i="1"/>
  <c r="DT186" i="1"/>
  <c r="DN186" i="1"/>
  <c r="DM186" i="1"/>
  <c r="DL186" i="1"/>
  <c r="DK186" i="1"/>
  <c r="DI186" i="1"/>
  <c r="DJ186" i="1" s="1"/>
  <c r="DC186" i="1"/>
  <c r="CX186" i="1"/>
  <c r="CN186" i="1"/>
  <c r="BV186" i="1"/>
  <c r="BX186" i="1" s="1"/>
  <c r="BU186" i="1"/>
  <c r="BN186" i="1"/>
  <c r="BO186" i="1" s="1"/>
  <c r="BM186" i="1"/>
  <c r="BD186" i="1"/>
  <c r="BC186" i="1"/>
  <c r="BB186" i="1"/>
  <c r="BA186" i="1"/>
  <c r="AZ186" i="1"/>
  <c r="AY186" i="1"/>
  <c r="AX186" i="1"/>
  <c r="M186" i="1"/>
  <c r="EM185" i="1"/>
  <c r="DU185" i="1"/>
  <c r="DT185" i="1"/>
  <c r="DN185" i="1"/>
  <c r="DM185" i="1"/>
  <c r="DL185" i="1"/>
  <c r="DK185" i="1"/>
  <c r="DI185" i="1"/>
  <c r="DJ185" i="1" s="1"/>
  <c r="DC185" i="1"/>
  <c r="CX185" i="1"/>
  <c r="CN185" i="1"/>
  <c r="BV185" i="1"/>
  <c r="BX185" i="1" s="1"/>
  <c r="BU185" i="1"/>
  <c r="BN185" i="1"/>
  <c r="BO185" i="1" s="1"/>
  <c r="BM185" i="1"/>
  <c r="BD185" i="1"/>
  <c r="BC185" i="1"/>
  <c r="BB185" i="1"/>
  <c r="BA185" i="1"/>
  <c r="AZ185" i="1"/>
  <c r="AY185" i="1"/>
  <c r="AX185" i="1"/>
  <c r="M185" i="1"/>
  <c r="EM184" i="1"/>
  <c r="DU184" i="1"/>
  <c r="DT184" i="1"/>
  <c r="DN184" i="1"/>
  <c r="DM184" i="1"/>
  <c r="DL184" i="1"/>
  <c r="DK184" i="1"/>
  <c r="DI184" i="1"/>
  <c r="DJ184" i="1" s="1"/>
  <c r="DC184" i="1"/>
  <c r="CX184" i="1"/>
  <c r="CN184" i="1"/>
  <c r="BV184" i="1"/>
  <c r="BX184" i="1" s="1"/>
  <c r="BU184" i="1"/>
  <c r="BN184" i="1"/>
  <c r="BO184" i="1" s="1"/>
  <c r="BM184" i="1"/>
  <c r="BD184" i="1"/>
  <c r="BC184" i="1"/>
  <c r="BB184" i="1"/>
  <c r="BA184" i="1"/>
  <c r="AZ184" i="1"/>
  <c r="AY184" i="1"/>
  <c r="AX184" i="1"/>
  <c r="M184" i="1"/>
  <c r="EM183" i="1"/>
  <c r="DU183" i="1"/>
  <c r="DT183" i="1"/>
  <c r="DN183" i="1"/>
  <c r="DM183" i="1"/>
  <c r="DL183" i="1"/>
  <c r="DK183" i="1"/>
  <c r="DI183" i="1"/>
  <c r="DJ183" i="1" s="1"/>
  <c r="DC183" i="1"/>
  <c r="CX183" i="1"/>
  <c r="CN183" i="1"/>
  <c r="CO183" i="1" s="1"/>
  <c r="BV183" i="1"/>
  <c r="BX183" i="1" s="1"/>
  <c r="BU183" i="1"/>
  <c r="BN183" i="1"/>
  <c r="BO183" i="1" s="1"/>
  <c r="BM183" i="1"/>
  <c r="BD183" i="1"/>
  <c r="BC183" i="1"/>
  <c r="BB183" i="1"/>
  <c r="BA183" i="1"/>
  <c r="AZ183" i="1"/>
  <c r="AY183" i="1"/>
  <c r="AX183" i="1"/>
  <c r="M183" i="1"/>
  <c r="EM182" i="1"/>
  <c r="DU182" i="1"/>
  <c r="DT182" i="1"/>
  <c r="DN182" i="1"/>
  <c r="DM182" i="1"/>
  <c r="DL182" i="1"/>
  <c r="DK182" i="1"/>
  <c r="DI182" i="1"/>
  <c r="DJ182" i="1" s="1"/>
  <c r="DC182" i="1"/>
  <c r="CX182" i="1"/>
  <c r="CN182" i="1"/>
  <c r="BV182" i="1"/>
  <c r="BX182" i="1" s="1"/>
  <c r="BU182" i="1"/>
  <c r="BN182" i="1"/>
  <c r="BO182" i="1" s="1"/>
  <c r="BM182" i="1"/>
  <c r="BD182" i="1"/>
  <c r="BC182" i="1"/>
  <c r="BB182" i="1"/>
  <c r="BA182" i="1"/>
  <c r="AZ182" i="1"/>
  <c r="AY182" i="1"/>
  <c r="AX182" i="1"/>
  <c r="M182" i="1"/>
  <c r="EM181" i="1"/>
  <c r="DU181" i="1"/>
  <c r="DT181" i="1"/>
  <c r="DN181" i="1"/>
  <c r="DM181" i="1"/>
  <c r="DL181" i="1"/>
  <c r="DK181" i="1"/>
  <c r="DI181" i="1"/>
  <c r="DJ181" i="1" s="1"/>
  <c r="DC181" i="1"/>
  <c r="CX181" i="1"/>
  <c r="CN181" i="1"/>
  <c r="CS181" i="1" s="1"/>
  <c r="BV181" i="1"/>
  <c r="BX181" i="1" s="1"/>
  <c r="BU181" i="1"/>
  <c r="BN181" i="1"/>
  <c r="BO181" i="1" s="1"/>
  <c r="BM181" i="1"/>
  <c r="BD181" i="1"/>
  <c r="BC181" i="1"/>
  <c r="BB181" i="1"/>
  <c r="BA181" i="1"/>
  <c r="AZ181" i="1"/>
  <c r="AY181" i="1"/>
  <c r="AX181" i="1"/>
  <c r="M181" i="1"/>
  <c r="EM180" i="1"/>
  <c r="DU180" i="1"/>
  <c r="DT180" i="1"/>
  <c r="DN180" i="1"/>
  <c r="DM180" i="1"/>
  <c r="DL180" i="1"/>
  <c r="DK180" i="1"/>
  <c r="DI180" i="1"/>
  <c r="DJ180" i="1" s="1"/>
  <c r="DC180" i="1"/>
  <c r="CX180" i="1"/>
  <c r="CN180" i="1"/>
  <c r="BV180" i="1"/>
  <c r="BX180" i="1" s="1"/>
  <c r="BU180" i="1"/>
  <c r="BN180" i="1"/>
  <c r="BO180" i="1" s="1"/>
  <c r="BM180" i="1"/>
  <c r="BD180" i="1"/>
  <c r="BC180" i="1"/>
  <c r="BB180" i="1"/>
  <c r="BA180" i="1"/>
  <c r="AZ180" i="1"/>
  <c r="AY180" i="1"/>
  <c r="AX180" i="1"/>
  <c r="M180" i="1"/>
  <c r="EM179" i="1"/>
  <c r="DU179" i="1"/>
  <c r="DT179" i="1"/>
  <c r="DN179" i="1"/>
  <c r="DM179" i="1"/>
  <c r="DL179" i="1"/>
  <c r="DK179" i="1"/>
  <c r="DI179" i="1"/>
  <c r="DJ179" i="1" s="1"/>
  <c r="DC179" i="1"/>
  <c r="CX179" i="1"/>
  <c r="CN179" i="1"/>
  <c r="CP179" i="1" s="1"/>
  <c r="BV179" i="1"/>
  <c r="BX179" i="1" s="1"/>
  <c r="BU179" i="1"/>
  <c r="BN179" i="1"/>
  <c r="BO179" i="1" s="1"/>
  <c r="BM179" i="1"/>
  <c r="BD179" i="1"/>
  <c r="BC179" i="1"/>
  <c r="BB179" i="1"/>
  <c r="BA179" i="1"/>
  <c r="AZ179" i="1"/>
  <c r="AY179" i="1"/>
  <c r="AX179" i="1"/>
  <c r="M179" i="1"/>
  <c r="EM178" i="1"/>
  <c r="DU178" i="1"/>
  <c r="DT178" i="1"/>
  <c r="DN178" i="1"/>
  <c r="DM178" i="1"/>
  <c r="DL178" i="1"/>
  <c r="DK178" i="1"/>
  <c r="DI178" i="1"/>
  <c r="DJ178" i="1" s="1"/>
  <c r="DC178" i="1"/>
  <c r="CX178" i="1"/>
  <c r="CN178" i="1"/>
  <c r="BV178" i="1"/>
  <c r="BX178" i="1" s="1"/>
  <c r="BU178" i="1"/>
  <c r="BN178" i="1"/>
  <c r="BO178" i="1" s="1"/>
  <c r="BM178" i="1"/>
  <c r="BD178" i="1"/>
  <c r="BC178" i="1"/>
  <c r="BB178" i="1"/>
  <c r="BA178" i="1"/>
  <c r="AZ178" i="1"/>
  <c r="AY178" i="1"/>
  <c r="AX178" i="1"/>
  <c r="M178" i="1"/>
  <c r="EM177" i="1"/>
  <c r="DU177" i="1"/>
  <c r="DT177" i="1"/>
  <c r="DN177" i="1"/>
  <c r="DM177" i="1"/>
  <c r="DL177" i="1"/>
  <c r="DK177" i="1"/>
  <c r="DI177" i="1"/>
  <c r="DJ177" i="1" s="1"/>
  <c r="DC177" i="1"/>
  <c r="CX177" i="1"/>
  <c r="CN177" i="1"/>
  <c r="BV177" i="1"/>
  <c r="BX177" i="1" s="1"/>
  <c r="BU177" i="1"/>
  <c r="BN177" i="1"/>
  <c r="BO177" i="1" s="1"/>
  <c r="BM177" i="1"/>
  <c r="BD177" i="1"/>
  <c r="BC177" i="1"/>
  <c r="BB177" i="1"/>
  <c r="BA177" i="1"/>
  <c r="AZ177" i="1"/>
  <c r="AY177" i="1"/>
  <c r="AX177" i="1"/>
  <c r="M177" i="1"/>
  <c r="EM176" i="1"/>
  <c r="DU176" i="1"/>
  <c r="DT176" i="1"/>
  <c r="DN176" i="1"/>
  <c r="DM176" i="1"/>
  <c r="DL176" i="1"/>
  <c r="DK176" i="1"/>
  <c r="DI176" i="1"/>
  <c r="DJ176" i="1" s="1"/>
  <c r="DC176" i="1"/>
  <c r="CX176" i="1"/>
  <c r="CN176" i="1"/>
  <c r="CO176" i="1" s="1"/>
  <c r="BV176" i="1"/>
  <c r="BX176" i="1" s="1"/>
  <c r="BU176" i="1"/>
  <c r="BN176" i="1"/>
  <c r="BO176" i="1" s="1"/>
  <c r="BM176" i="1"/>
  <c r="BD176" i="1"/>
  <c r="BC176" i="1"/>
  <c r="BB176" i="1"/>
  <c r="BA176" i="1"/>
  <c r="AZ176" i="1"/>
  <c r="AY176" i="1"/>
  <c r="AX176" i="1"/>
  <c r="M176" i="1"/>
  <c r="EM175" i="1"/>
  <c r="DU175" i="1"/>
  <c r="DT175" i="1"/>
  <c r="DN175" i="1"/>
  <c r="DM175" i="1"/>
  <c r="DL175" i="1"/>
  <c r="DK175" i="1"/>
  <c r="DI175" i="1"/>
  <c r="DJ175" i="1" s="1"/>
  <c r="DC175" i="1"/>
  <c r="CX175" i="1"/>
  <c r="CN175" i="1"/>
  <c r="CR175" i="1" s="1"/>
  <c r="BV175" i="1"/>
  <c r="BX175" i="1" s="1"/>
  <c r="BU175" i="1"/>
  <c r="BN175" i="1"/>
  <c r="BO175" i="1" s="1"/>
  <c r="BM175" i="1"/>
  <c r="BD175" i="1"/>
  <c r="BC175" i="1"/>
  <c r="BB175" i="1"/>
  <c r="BA175" i="1"/>
  <c r="AZ175" i="1"/>
  <c r="AY175" i="1"/>
  <c r="AX175" i="1"/>
  <c r="M175" i="1"/>
  <c r="EM174" i="1"/>
  <c r="DU174" i="1"/>
  <c r="DT174" i="1"/>
  <c r="DN174" i="1"/>
  <c r="DM174" i="1"/>
  <c r="DL174" i="1"/>
  <c r="DK174" i="1"/>
  <c r="DI174" i="1"/>
  <c r="DJ174" i="1" s="1"/>
  <c r="DC174" i="1"/>
  <c r="CX174" i="1"/>
  <c r="CN174" i="1"/>
  <c r="CS174" i="1" s="1"/>
  <c r="BV174" i="1"/>
  <c r="BX174" i="1" s="1"/>
  <c r="BU174" i="1"/>
  <c r="BN174" i="1"/>
  <c r="BO174" i="1" s="1"/>
  <c r="BM174" i="1"/>
  <c r="BD174" i="1"/>
  <c r="BC174" i="1"/>
  <c r="BB174" i="1"/>
  <c r="BA174" i="1"/>
  <c r="AZ174" i="1"/>
  <c r="AY174" i="1"/>
  <c r="AX174" i="1"/>
  <c r="M174" i="1"/>
  <c r="EM173" i="1"/>
  <c r="DU173" i="1"/>
  <c r="DT173" i="1"/>
  <c r="DN173" i="1"/>
  <c r="DM173" i="1"/>
  <c r="DL173" i="1"/>
  <c r="DK173" i="1"/>
  <c r="DI173" i="1"/>
  <c r="DJ173" i="1" s="1"/>
  <c r="DC173" i="1"/>
  <c r="CX173" i="1"/>
  <c r="CN173" i="1"/>
  <c r="CS173" i="1" s="1"/>
  <c r="BV173" i="1"/>
  <c r="BX173" i="1" s="1"/>
  <c r="BU173" i="1"/>
  <c r="BN173" i="1"/>
  <c r="BO173" i="1" s="1"/>
  <c r="BM173" i="1"/>
  <c r="BD173" i="1"/>
  <c r="BC173" i="1"/>
  <c r="BB173" i="1"/>
  <c r="BA173" i="1"/>
  <c r="AZ173" i="1"/>
  <c r="AY173" i="1"/>
  <c r="AX173" i="1"/>
  <c r="M173" i="1"/>
  <c r="EM172" i="1"/>
  <c r="DU172" i="1"/>
  <c r="DT172" i="1"/>
  <c r="DN172" i="1"/>
  <c r="DM172" i="1"/>
  <c r="DL172" i="1"/>
  <c r="DK172" i="1"/>
  <c r="DI172" i="1"/>
  <c r="DJ172" i="1" s="1"/>
  <c r="DC172" i="1"/>
  <c r="CX172" i="1"/>
  <c r="CN172" i="1"/>
  <c r="CO172" i="1" s="1"/>
  <c r="BV172" i="1"/>
  <c r="BX172" i="1" s="1"/>
  <c r="BU172" i="1"/>
  <c r="BN172" i="1"/>
  <c r="BO172" i="1" s="1"/>
  <c r="BM172" i="1"/>
  <c r="BD172" i="1"/>
  <c r="BC172" i="1"/>
  <c r="BB172" i="1"/>
  <c r="BA172" i="1"/>
  <c r="AZ172" i="1"/>
  <c r="AY172" i="1"/>
  <c r="AX172" i="1"/>
  <c r="M172" i="1"/>
  <c r="EM171" i="1"/>
  <c r="DU171" i="1"/>
  <c r="DT171" i="1"/>
  <c r="DN171" i="1"/>
  <c r="DM171" i="1"/>
  <c r="DL171" i="1"/>
  <c r="DK171" i="1"/>
  <c r="DI171" i="1"/>
  <c r="DJ171" i="1" s="1"/>
  <c r="DC171" i="1"/>
  <c r="CX171" i="1"/>
  <c r="CN171" i="1"/>
  <c r="CO171" i="1" s="1"/>
  <c r="BV171" i="1"/>
  <c r="BX171" i="1" s="1"/>
  <c r="BU171" i="1"/>
  <c r="BN171" i="1"/>
  <c r="BO171" i="1" s="1"/>
  <c r="BM171" i="1"/>
  <c r="BD171" i="1"/>
  <c r="BC171" i="1"/>
  <c r="BB171" i="1"/>
  <c r="BA171" i="1"/>
  <c r="AZ171" i="1"/>
  <c r="AY171" i="1"/>
  <c r="AX171" i="1"/>
  <c r="M171" i="1"/>
  <c r="EM170" i="1"/>
  <c r="DU170" i="1"/>
  <c r="DT170" i="1"/>
  <c r="DN170" i="1"/>
  <c r="DM170" i="1"/>
  <c r="DL170" i="1"/>
  <c r="DK170" i="1"/>
  <c r="DI170" i="1"/>
  <c r="DJ170" i="1" s="1"/>
  <c r="DC170" i="1"/>
  <c r="CX170" i="1"/>
  <c r="CN170" i="1"/>
  <c r="CS170" i="1" s="1"/>
  <c r="BV170" i="1"/>
  <c r="BX170" i="1" s="1"/>
  <c r="BU170" i="1"/>
  <c r="BN170" i="1"/>
  <c r="BO170" i="1" s="1"/>
  <c r="BM170" i="1"/>
  <c r="BD170" i="1"/>
  <c r="BC170" i="1"/>
  <c r="BB170" i="1"/>
  <c r="BA170" i="1"/>
  <c r="AZ170" i="1"/>
  <c r="AY170" i="1"/>
  <c r="AX170" i="1"/>
  <c r="M170" i="1"/>
  <c r="EM169" i="1"/>
  <c r="DU169" i="1"/>
  <c r="DT169" i="1"/>
  <c r="DN169" i="1"/>
  <c r="DM169" i="1"/>
  <c r="DL169" i="1"/>
  <c r="DK169" i="1"/>
  <c r="DI169" i="1"/>
  <c r="DJ169" i="1" s="1"/>
  <c r="DC169" i="1"/>
  <c r="CX169" i="1"/>
  <c r="CN169" i="1"/>
  <c r="BV169" i="1"/>
  <c r="BX169" i="1" s="1"/>
  <c r="BU169" i="1"/>
  <c r="BN169" i="1"/>
  <c r="BO169" i="1" s="1"/>
  <c r="BM169" i="1"/>
  <c r="BD169" i="1"/>
  <c r="BC169" i="1"/>
  <c r="BB169" i="1"/>
  <c r="BA169" i="1"/>
  <c r="AZ169" i="1"/>
  <c r="AY169" i="1"/>
  <c r="AX169" i="1"/>
  <c r="M169" i="1"/>
  <c r="EM168" i="1"/>
  <c r="DU168" i="1"/>
  <c r="DT168" i="1"/>
  <c r="DN168" i="1"/>
  <c r="DM168" i="1"/>
  <c r="DL168" i="1"/>
  <c r="DK168" i="1"/>
  <c r="DI168" i="1"/>
  <c r="DJ168" i="1" s="1"/>
  <c r="DC168" i="1"/>
  <c r="CX168" i="1"/>
  <c r="CN168" i="1"/>
  <c r="BV168" i="1"/>
  <c r="BX168" i="1" s="1"/>
  <c r="BU168" i="1"/>
  <c r="BN168" i="1"/>
  <c r="BO168" i="1" s="1"/>
  <c r="BM168" i="1"/>
  <c r="BD168" i="1"/>
  <c r="BC168" i="1"/>
  <c r="BB168" i="1"/>
  <c r="BA168" i="1"/>
  <c r="AZ168" i="1"/>
  <c r="AY168" i="1"/>
  <c r="AX168" i="1"/>
  <c r="M168" i="1"/>
  <c r="EM167" i="1"/>
  <c r="DU167" i="1"/>
  <c r="DT167" i="1"/>
  <c r="DN167" i="1"/>
  <c r="DM167" i="1"/>
  <c r="DL167" i="1"/>
  <c r="DK167" i="1"/>
  <c r="DI167" i="1"/>
  <c r="DJ167" i="1" s="1"/>
  <c r="DC167" i="1"/>
  <c r="CX167" i="1"/>
  <c r="CN167" i="1"/>
  <c r="CP167" i="1" s="1"/>
  <c r="BV167" i="1"/>
  <c r="BX167" i="1" s="1"/>
  <c r="BU167" i="1"/>
  <c r="BN167" i="1"/>
  <c r="BO167" i="1" s="1"/>
  <c r="BM167" i="1"/>
  <c r="BD167" i="1"/>
  <c r="BC167" i="1"/>
  <c r="BB167" i="1"/>
  <c r="BA167" i="1"/>
  <c r="AZ167" i="1"/>
  <c r="AY167" i="1"/>
  <c r="AX167" i="1"/>
  <c r="M167" i="1"/>
  <c r="EM166" i="1"/>
  <c r="DU166" i="1"/>
  <c r="DT166" i="1"/>
  <c r="DN166" i="1"/>
  <c r="DM166" i="1"/>
  <c r="DL166" i="1"/>
  <c r="DK166" i="1"/>
  <c r="DI166" i="1"/>
  <c r="DJ166" i="1" s="1"/>
  <c r="DC166" i="1"/>
  <c r="CX166" i="1"/>
  <c r="CN166" i="1"/>
  <c r="CR166" i="1" s="1"/>
  <c r="BV166" i="1"/>
  <c r="BX166" i="1" s="1"/>
  <c r="BU166" i="1"/>
  <c r="BN166" i="1"/>
  <c r="BO166" i="1" s="1"/>
  <c r="BM166" i="1"/>
  <c r="BD166" i="1"/>
  <c r="BC166" i="1"/>
  <c r="BB166" i="1"/>
  <c r="BA166" i="1"/>
  <c r="AZ166" i="1"/>
  <c r="AY166" i="1"/>
  <c r="AX166" i="1"/>
  <c r="M166" i="1"/>
  <c r="EM165" i="1"/>
  <c r="DU165" i="1"/>
  <c r="DT165" i="1"/>
  <c r="DN165" i="1"/>
  <c r="DM165" i="1"/>
  <c r="DL165" i="1"/>
  <c r="DK165" i="1"/>
  <c r="DI165" i="1"/>
  <c r="DJ165" i="1" s="1"/>
  <c r="DC165" i="1"/>
  <c r="CX165" i="1"/>
  <c r="CN165" i="1"/>
  <c r="BV165" i="1"/>
  <c r="BX165" i="1" s="1"/>
  <c r="BU165" i="1"/>
  <c r="BN165" i="1"/>
  <c r="BO165" i="1" s="1"/>
  <c r="BM165" i="1"/>
  <c r="BD165" i="1"/>
  <c r="BC165" i="1"/>
  <c r="BB165" i="1"/>
  <c r="BA165" i="1"/>
  <c r="AZ165" i="1"/>
  <c r="AY165" i="1"/>
  <c r="AX165" i="1"/>
  <c r="M165" i="1"/>
  <c r="EM164" i="1"/>
  <c r="DU164" i="1"/>
  <c r="DT164" i="1"/>
  <c r="DN164" i="1"/>
  <c r="DM164" i="1"/>
  <c r="DL164" i="1"/>
  <c r="DK164" i="1"/>
  <c r="DI164" i="1"/>
  <c r="DJ164" i="1" s="1"/>
  <c r="DC164" i="1"/>
  <c r="CX164" i="1"/>
  <c r="CN164" i="1"/>
  <c r="BV164" i="1"/>
  <c r="BX164" i="1" s="1"/>
  <c r="BU164" i="1"/>
  <c r="BN164" i="1"/>
  <c r="BO164" i="1" s="1"/>
  <c r="BM164" i="1"/>
  <c r="BD164" i="1"/>
  <c r="BC164" i="1"/>
  <c r="BB164" i="1"/>
  <c r="BA164" i="1"/>
  <c r="AZ164" i="1"/>
  <c r="AY164" i="1"/>
  <c r="AX164" i="1"/>
  <c r="M164" i="1"/>
  <c r="EM842" i="1"/>
  <c r="DU842" i="1"/>
  <c r="DT842" i="1"/>
  <c r="DN842" i="1"/>
  <c r="DM842" i="1"/>
  <c r="DL842" i="1"/>
  <c r="DK842" i="1"/>
  <c r="DI842" i="1"/>
  <c r="DJ842" i="1" s="1"/>
  <c r="DC842" i="1"/>
  <c r="CX842" i="1"/>
  <c r="CN842" i="1"/>
  <c r="BV842" i="1"/>
  <c r="BX842" i="1" s="1"/>
  <c r="BU842" i="1"/>
  <c r="BN842" i="1"/>
  <c r="BO842" i="1" s="1"/>
  <c r="BM842" i="1"/>
  <c r="BD842" i="1"/>
  <c r="BC842" i="1"/>
  <c r="BB842" i="1"/>
  <c r="BA842" i="1"/>
  <c r="AZ842" i="1"/>
  <c r="AY842" i="1"/>
  <c r="BE842" i="1" s="1" a="1"/>
  <c r="BE842" i="1" s="1"/>
  <c r="AX842" i="1"/>
  <c r="M842" i="1"/>
  <c r="EM841" i="1"/>
  <c r="DU841" i="1"/>
  <c r="DT841" i="1"/>
  <c r="DN841" i="1"/>
  <c r="DM841" i="1"/>
  <c r="DL841" i="1"/>
  <c r="DK841" i="1"/>
  <c r="DI841" i="1"/>
  <c r="DJ841" i="1" s="1"/>
  <c r="DC841" i="1"/>
  <c r="CX841" i="1"/>
  <c r="CN841" i="1"/>
  <c r="CS841" i="1" s="1"/>
  <c r="BV841" i="1"/>
  <c r="BX841" i="1" s="1"/>
  <c r="BU841" i="1"/>
  <c r="BN841" i="1"/>
  <c r="BO841" i="1" s="1"/>
  <c r="BM841" i="1"/>
  <c r="BD841" i="1"/>
  <c r="BC841" i="1"/>
  <c r="BB841" i="1"/>
  <c r="BA841" i="1"/>
  <c r="AZ841" i="1"/>
  <c r="AY841" i="1"/>
  <c r="BE841" i="1" s="1" a="1"/>
  <c r="BE841" i="1" s="1"/>
  <c r="AX841" i="1"/>
  <c r="M841" i="1"/>
  <c r="EM840" i="1"/>
  <c r="DU840" i="1"/>
  <c r="DT840" i="1"/>
  <c r="DN840" i="1"/>
  <c r="DM840" i="1"/>
  <c r="DL840" i="1"/>
  <c r="DK840" i="1"/>
  <c r="DI840" i="1"/>
  <c r="DJ840" i="1" s="1"/>
  <c r="DC840" i="1"/>
  <c r="CX840" i="1"/>
  <c r="CN840" i="1"/>
  <c r="BV840" i="1"/>
  <c r="BX840" i="1" s="1"/>
  <c r="BU840" i="1"/>
  <c r="BN840" i="1"/>
  <c r="BO840" i="1" s="1"/>
  <c r="BM840" i="1"/>
  <c r="BD840" i="1"/>
  <c r="BC840" i="1"/>
  <c r="BB840" i="1"/>
  <c r="BA840" i="1"/>
  <c r="AZ840" i="1"/>
  <c r="AY840" i="1"/>
  <c r="BE840" i="1" s="1" a="1"/>
  <c r="BE840" i="1" s="1"/>
  <c r="AX840" i="1"/>
  <c r="M840" i="1"/>
  <c r="EM839" i="1"/>
  <c r="DU839" i="1"/>
  <c r="DT839" i="1"/>
  <c r="DN839" i="1"/>
  <c r="DM839" i="1"/>
  <c r="DL839" i="1"/>
  <c r="DK839" i="1"/>
  <c r="DI839" i="1"/>
  <c r="DJ839" i="1" s="1"/>
  <c r="DC839" i="1"/>
  <c r="CX839" i="1"/>
  <c r="CN839" i="1"/>
  <c r="CS839" i="1" s="1"/>
  <c r="BV839" i="1"/>
  <c r="BX839" i="1" s="1"/>
  <c r="BU839" i="1"/>
  <c r="BN839" i="1"/>
  <c r="BO839" i="1" s="1"/>
  <c r="BM839" i="1"/>
  <c r="BD839" i="1"/>
  <c r="BC839" i="1"/>
  <c r="BB839" i="1"/>
  <c r="BA839" i="1"/>
  <c r="AZ839" i="1"/>
  <c r="AY839" i="1"/>
  <c r="BE839" i="1" s="1" a="1"/>
  <c r="BE839" i="1" s="1"/>
  <c r="AX839" i="1"/>
  <c r="M839" i="1"/>
  <c r="EM838" i="1"/>
  <c r="DU838" i="1"/>
  <c r="DT838" i="1"/>
  <c r="DN838" i="1"/>
  <c r="DM838" i="1"/>
  <c r="DL838" i="1"/>
  <c r="DK838" i="1"/>
  <c r="DI838" i="1"/>
  <c r="DJ838" i="1" s="1"/>
  <c r="DC838" i="1"/>
  <c r="CX838" i="1"/>
  <c r="CN838" i="1"/>
  <c r="CO838" i="1" s="1"/>
  <c r="BV838" i="1"/>
  <c r="BX838" i="1" s="1"/>
  <c r="BU838" i="1"/>
  <c r="BN838" i="1"/>
  <c r="BO838" i="1" s="1"/>
  <c r="BM838" i="1"/>
  <c r="BD838" i="1"/>
  <c r="BC838" i="1"/>
  <c r="BB838" i="1"/>
  <c r="BA838" i="1"/>
  <c r="AZ838" i="1"/>
  <c r="AY838" i="1"/>
  <c r="BE838" i="1" s="1" a="1"/>
  <c r="BE838" i="1" s="1"/>
  <c r="AX838" i="1"/>
  <c r="M838" i="1"/>
  <c r="EM837" i="1"/>
  <c r="DU837" i="1"/>
  <c r="DT837" i="1"/>
  <c r="DN837" i="1"/>
  <c r="DM837" i="1"/>
  <c r="DL837" i="1"/>
  <c r="DK837" i="1"/>
  <c r="DI837" i="1"/>
  <c r="DJ837" i="1" s="1"/>
  <c r="DC837" i="1"/>
  <c r="CX837" i="1"/>
  <c r="CN837" i="1"/>
  <c r="CR837" i="1" s="1"/>
  <c r="BV837" i="1"/>
  <c r="BX837" i="1" s="1"/>
  <c r="BU837" i="1"/>
  <c r="BN837" i="1"/>
  <c r="BO837" i="1" s="1"/>
  <c r="BM837" i="1"/>
  <c r="BD837" i="1"/>
  <c r="BC837" i="1"/>
  <c r="BB837" i="1"/>
  <c r="BA837" i="1"/>
  <c r="AZ837" i="1"/>
  <c r="AY837" i="1"/>
  <c r="BE837" i="1" s="1" a="1"/>
  <c r="BE837" i="1" s="1"/>
  <c r="AX837" i="1"/>
  <c r="M837" i="1"/>
  <c r="EM836" i="1"/>
  <c r="DU836" i="1"/>
  <c r="DT836" i="1"/>
  <c r="DN836" i="1"/>
  <c r="DM836" i="1"/>
  <c r="DL836" i="1"/>
  <c r="DK836" i="1"/>
  <c r="DI836" i="1"/>
  <c r="DJ836" i="1" s="1"/>
  <c r="DC836" i="1"/>
  <c r="CX836" i="1"/>
  <c r="CN836" i="1"/>
  <c r="BV836" i="1"/>
  <c r="BX836" i="1" s="1"/>
  <c r="BU836" i="1"/>
  <c r="BN836" i="1"/>
  <c r="BO836" i="1" s="1"/>
  <c r="BM836" i="1"/>
  <c r="BD836" i="1"/>
  <c r="BC836" i="1"/>
  <c r="BB836" i="1"/>
  <c r="BA836" i="1"/>
  <c r="AZ836" i="1"/>
  <c r="AY836" i="1"/>
  <c r="BE836" i="1" s="1" a="1"/>
  <c r="BE836" i="1" s="1"/>
  <c r="AX836" i="1"/>
  <c r="M836" i="1"/>
  <c r="EM835" i="1"/>
  <c r="DU835" i="1"/>
  <c r="DT835" i="1"/>
  <c r="DN835" i="1"/>
  <c r="DM835" i="1"/>
  <c r="DL835" i="1"/>
  <c r="DK835" i="1"/>
  <c r="DI835" i="1"/>
  <c r="DJ835" i="1" s="1"/>
  <c r="DC835" i="1"/>
  <c r="CX835" i="1"/>
  <c r="CN835" i="1"/>
  <c r="BV835" i="1"/>
  <c r="BX835" i="1" s="1"/>
  <c r="BU835" i="1"/>
  <c r="BN835" i="1"/>
  <c r="BO835" i="1" s="1"/>
  <c r="BM835" i="1"/>
  <c r="BD835" i="1"/>
  <c r="BC835" i="1"/>
  <c r="BB835" i="1"/>
  <c r="BA835" i="1"/>
  <c r="AZ835" i="1"/>
  <c r="BF835" i="1" s="1" a="1"/>
  <c r="BF835" i="1" s="1"/>
  <c r="AY835" i="1"/>
  <c r="BE835" i="1" s="1" a="1"/>
  <c r="BE835" i="1" s="1"/>
  <c r="AX835" i="1"/>
  <c r="M835" i="1"/>
  <c r="EM834" i="1"/>
  <c r="DU834" i="1"/>
  <c r="DT834" i="1"/>
  <c r="DN834" i="1"/>
  <c r="DM834" i="1"/>
  <c r="DL834" i="1"/>
  <c r="DK834" i="1"/>
  <c r="DI834" i="1"/>
  <c r="DJ834" i="1" s="1"/>
  <c r="DC834" i="1"/>
  <c r="CX834" i="1"/>
  <c r="CN834" i="1"/>
  <c r="CO834" i="1" s="1"/>
  <c r="BV834" i="1"/>
  <c r="BX834" i="1" s="1"/>
  <c r="BU834" i="1"/>
  <c r="BN834" i="1"/>
  <c r="BO834" i="1" s="1"/>
  <c r="BM834" i="1"/>
  <c r="BD834" i="1"/>
  <c r="BC834" i="1"/>
  <c r="BB834" i="1"/>
  <c r="BA834" i="1"/>
  <c r="AZ834" i="1"/>
  <c r="AY834" i="1"/>
  <c r="BE834" i="1" s="1" a="1"/>
  <c r="BE834" i="1" s="1"/>
  <c r="AX834" i="1"/>
  <c r="M834" i="1"/>
  <c r="EM833" i="1"/>
  <c r="DU833" i="1"/>
  <c r="DT833" i="1"/>
  <c r="DN833" i="1"/>
  <c r="DM833" i="1"/>
  <c r="DL833" i="1"/>
  <c r="DK833" i="1"/>
  <c r="DI833" i="1"/>
  <c r="DJ833" i="1" s="1"/>
  <c r="DC833" i="1"/>
  <c r="CX833" i="1"/>
  <c r="CN833" i="1"/>
  <c r="CS833" i="1" s="1"/>
  <c r="BV833" i="1"/>
  <c r="BX833" i="1" s="1"/>
  <c r="BU833" i="1"/>
  <c r="BN833" i="1"/>
  <c r="BO833" i="1" s="1"/>
  <c r="BM833" i="1"/>
  <c r="BD833" i="1"/>
  <c r="BC833" i="1"/>
  <c r="BB833" i="1"/>
  <c r="BA833" i="1"/>
  <c r="AZ833" i="1"/>
  <c r="BF833" i="1" s="1" a="1"/>
  <c r="BF833" i="1" s="1"/>
  <c r="AY833" i="1"/>
  <c r="BE833" i="1" s="1" a="1"/>
  <c r="BE833" i="1" s="1"/>
  <c r="AX833" i="1"/>
  <c r="M833" i="1"/>
  <c r="EM832" i="1"/>
  <c r="DU832" i="1"/>
  <c r="DT832" i="1"/>
  <c r="DN832" i="1"/>
  <c r="DM832" i="1"/>
  <c r="DL832" i="1"/>
  <c r="DK832" i="1"/>
  <c r="DI832" i="1"/>
  <c r="DJ832" i="1" s="1"/>
  <c r="DC832" i="1"/>
  <c r="CX832" i="1"/>
  <c r="CN832" i="1"/>
  <c r="BV832" i="1"/>
  <c r="BX832" i="1" s="1"/>
  <c r="BU832" i="1"/>
  <c r="BN832" i="1"/>
  <c r="BO832" i="1" s="1"/>
  <c r="BM832" i="1"/>
  <c r="BD832" i="1"/>
  <c r="BC832" i="1"/>
  <c r="BB832" i="1"/>
  <c r="BA832" i="1"/>
  <c r="AZ832" i="1"/>
  <c r="AY832" i="1"/>
  <c r="BE832" i="1" s="1" a="1"/>
  <c r="BE832" i="1" s="1"/>
  <c r="AX832" i="1"/>
  <c r="M832" i="1"/>
  <c r="EM831" i="1"/>
  <c r="DU831" i="1"/>
  <c r="DT831" i="1"/>
  <c r="DN831" i="1"/>
  <c r="DM831" i="1"/>
  <c r="DL831" i="1"/>
  <c r="DK831" i="1"/>
  <c r="DI831" i="1"/>
  <c r="DJ831" i="1" s="1"/>
  <c r="DC831" i="1"/>
  <c r="CX831" i="1"/>
  <c r="CN831" i="1"/>
  <c r="BV831" i="1"/>
  <c r="BX831" i="1" s="1"/>
  <c r="BU831" i="1"/>
  <c r="BN831" i="1"/>
  <c r="BO831" i="1" s="1"/>
  <c r="BM831" i="1"/>
  <c r="BD831" i="1"/>
  <c r="BC831" i="1"/>
  <c r="BB831" i="1"/>
  <c r="BA831" i="1"/>
  <c r="AZ831" i="1"/>
  <c r="AY831" i="1"/>
  <c r="BE831" i="1" s="1" a="1"/>
  <c r="BE831" i="1" s="1"/>
  <c r="AX831" i="1"/>
  <c r="M831" i="1"/>
  <c r="EM830" i="1"/>
  <c r="DU830" i="1"/>
  <c r="DT830" i="1"/>
  <c r="DN830" i="1"/>
  <c r="DM830" i="1"/>
  <c r="DL830" i="1"/>
  <c r="DK830" i="1"/>
  <c r="DI830" i="1"/>
  <c r="DJ830" i="1" s="1"/>
  <c r="DC830" i="1"/>
  <c r="CX830" i="1"/>
  <c r="CN830" i="1"/>
  <c r="CS830" i="1" s="1"/>
  <c r="BV830" i="1"/>
  <c r="BX830" i="1" s="1"/>
  <c r="BU830" i="1"/>
  <c r="BN830" i="1"/>
  <c r="BO830" i="1" s="1"/>
  <c r="BM830" i="1"/>
  <c r="BD830" i="1"/>
  <c r="BC830" i="1"/>
  <c r="BB830" i="1"/>
  <c r="BA830" i="1"/>
  <c r="AZ830" i="1"/>
  <c r="AY830" i="1"/>
  <c r="BE830" i="1" s="1" a="1"/>
  <c r="BE830" i="1" s="1"/>
  <c r="AX830" i="1"/>
  <c r="M830" i="1"/>
  <c r="EM829" i="1"/>
  <c r="DU829" i="1"/>
  <c r="DT829" i="1"/>
  <c r="DN829" i="1"/>
  <c r="DM829" i="1"/>
  <c r="DL829" i="1"/>
  <c r="DK829" i="1"/>
  <c r="DI829" i="1"/>
  <c r="DJ829" i="1" s="1"/>
  <c r="DC829" i="1"/>
  <c r="CX829" i="1"/>
  <c r="CN829" i="1"/>
  <c r="BV829" i="1"/>
  <c r="BX829" i="1" s="1"/>
  <c r="BU829" i="1"/>
  <c r="BN829" i="1"/>
  <c r="BO829" i="1" s="1"/>
  <c r="BM829" i="1"/>
  <c r="BD829" i="1"/>
  <c r="BC829" i="1"/>
  <c r="BB829" i="1"/>
  <c r="BA829" i="1"/>
  <c r="AZ829" i="1"/>
  <c r="AY829" i="1"/>
  <c r="BE829" i="1" s="1" a="1"/>
  <c r="BE829" i="1" s="1"/>
  <c r="AX829" i="1"/>
  <c r="M829" i="1"/>
  <c r="EM828" i="1"/>
  <c r="DU828" i="1"/>
  <c r="DT828" i="1"/>
  <c r="DN828" i="1"/>
  <c r="DM828" i="1"/>
  <c r="DL828" i="1"/>
  <c r="DK828" i="1"/>
  <c r="DI828" i="1"/>
  <c r="DJ828" i="1" s="1"/>
  <c r="DC828" i="1"/>
  <c r="CX828" i="1"/>
  <c r="CN828" i="1"/>
  <c r="CP828" i="1" s="1"/>
  <c r="BV828" i="1"/>
  <c r="BX828" i="1" s="1"/>
  <c r="BU828" i="1"/>
  <c r="BN828" i="1"/>
  <c r="BO828" i="1" s="1"/>
  <c r="BM828" i="1"/>
  <c r="BD828" i="1"/>
  <c r="BC828" i="1"/>
  <c r="BB828" i="1"/>
  <c r="BA828" i="1"/>
  <c r="AZ828" i="1"/>
  <c r="AY828" i="1"/>
  <c r="BE828" i="1" s="1" a="1"/>
  <c r="BE828" i="1" s="1"/>
  <c r="AX828" i="1"/>
  <c r="M828" i="1"/>
  <c r="EM381" i="1"/>
  <c r="DU381" i="1"/>
  <c r="DT381" i="1"/>
  <c r="DN381" i="1"/>
  <c r="DM381" i="1"/>
  <c r="DL381" i="1"/>
  <c r="DK381" i="1"/>
  <c r="DI381" i="1"/>
  <c r="DJ381" i="1" s="1"/>
  <c r="DC381" i="1"/>
  <c r="CX381" i="1"/>
  <c r="CN381" i="1"/>
  <c r="CP381" i="1" s="1"/>
  <c r="BV381" i="1"/>
  <c r="BX381" i="1" s="1"/>
  <c r="BU381" i="1"/>
  <c r="BN381" i="1"/>
  <c r="BO381" i="1" s="1"/>
  <c r="BD381" i="1"/>
  <c r="BC381" i="1"/>
  <c r="BB381" i="1"/>
  <c r="BA381" i="1"/>
  <c r="AZ381" i="1"/>
  <c r="AY381" i="1"/>
  <c r="AX381" i="1"/>
  <c r="M381" i="1"/>
  <c r="EM380" i="1"/>
  <c r="DU380" i="1"/>
  <c r="DT380" i="1"/>
  <c r="DN380" i="1"/>
  <c r="DM380" i="1"/>
  <c r="DL380" i="1"/>
  <c r="DK380" i="1"/>
  <c r="DI380" i="1"/>
  <c r="DJ380" i="1" s="1"/>
  <c r="DC380" i="1"/>
  <c r="CX380" i="1"/>
  <c r="CN380" i="1"/>
  <c r="CS380" i="1" s="1"/>
  <c r="BV380" i="1"/>
  <c r="BX380" i="1" s="1"/>
  <c r="BU380" i="1"/>
  <c r="BN380" i="1"/>
  <c r="BO380" i="1" s="1"/>
  <c r="BD380" i="1"/>
  <c r="BC380" i="1"/>
  <c r="BB380" i="1"/>
  <c r="BA380" i="1"/>
  <c r="AZ380" i="1"/>
  <c r="AY380" i="1"/>
  <c r="AX380" i="1"/>
  <c r="M380" i="1"/>
  <c r="EM379" i="1"/>
  <c r="DU379" i="1"/>
  <c r="DT379" i="1"/>
  <c r="DN379" i="1"/>
  <c r="DM379" i="1"/>
  <c r="DL379" i="1"/>
  <c r="DK379" i="1"/>
  <c r="DI379" i="1"/>
  <c r="DJ379" i="1" s="1"/>
  <c r="DC379" i="1"/>
  <c r="CX379" i="1"/>
  <c r="CN379" i="1"/>
  <c r="CS379" i="1" s="1"/>
  <c r="BV379" i="1"/>
  <c r="BX379" i="1" s="1"/>
  <c r="BU379" i="1"/>
  <c r="BN379" i="1"/>
  <c r="BO379" i="1" s="1"/>
  <c r="BD379" i="1"/>
  <c r="BC379" i="1"/>
  <c r="BB379" i="1"/>
  <c r="BA379" i="1"/>
  <c r="AZ379" i="1"/>
  <c r="AY379" i="1"/>
  <c r="AX379" i="1"/>
  <c r="M379" i="1"/>
  <c r="EM589" i="1"/>
  <c r="DU589" i="1"/>
  <c r="DT589" i="1"/>
  <c r="DN589" i="1"/>
  <c r="DM589" i="1"/>
  <c r="DL589" i="1"/>
  <c r="DK589" i="1"/>
  <c r="DI589" i="1"/>
  <c r="DJ589" i="1" s="1"/>
  <c r="DB589" i="1"/>
  <c r="DC589" i="1" s="1"/>
  <c r="CX589" i="1"/>
  <c r="BT589" i="1"/>
  <c r="BV589" i="1" s="1"/>
  <c r="BX589" i="1" s="1"/>
  <c r="BL589" i="1"/>
  <c r="BN589" i="1" s="1"/>
  <c r="BO589" i="1" s="1"/>
  <c r="BD589" i="1"/>
  <c r="BC589" i="1"/>
  <c r="BB589" i="1"/>
  <c r="BA589" i="1"/>
  <c r="AZ589" i="1"/>
  <c r="AY589" i="1"/>
  <c r="BE589" i="1" s="1" a="1"/>
  <c r="BE589" i="1" s="1"/>
  <c r="AX589" i="1"/>
  <c r="M589" i="1"/>
  <c r="EM579" i="1"/>
  <c r="DU579" i="1"/>
  <c r="DT579" i="1"/>
  <c r="DN579" i="1"/>
  <c r="DM579" i="1"/>
  <c r="DL579" i="1"/>
  <c r="DK579" i="1"/>
  <c r="DI579" i="1"/>
  <c r="DJ579" i="1" s="1"/>
  <c r="DB579" i="1"/>
  <c r="DC579" i="1" s="1"/>
  <c r="CX579" i="1"/>
  <c r="BS579" i="1"/>
  <c r="BK579" i="1"/>
  <c r="BM579" i="1" s="1"/>
  <c r="BD579" i="1"/>
  <c r="BC579" i="1"/>
  <c r="BB579" i="1"/>
  <c r="BA579" i="1"/>
  <c r="AZ579" i="1"/>
  <c r="AY579" i="1"/>
  <c r="BE579" i="1" s="1" a="1"/>
  <c r="BE579" i="1" s="1"/>
  <c r="AX579" i="1"/>
  <c r="M579" i="1"/>
  <c r="EM578" i="1"/>
  <c r="DU578" i="1"/>
  <c r="DT578" i="1"/>
  <c r="DN578" i="1"/>
  <c r="DM578" i="1"/>
  <c r="DL578" i="1"/>
  <c r="DK578" i="1"/>
  <c r="DI578" i="1"/>
  <c r="DJ578" i="1" s="1"/>
  <c r="DB578" i="1"/>
  <c r="DC578" i="1" s="1"/>
  <c r="CX578" i="1"/>
  <c r="BS578" i="1"/>
  <c r="BK578" i="1"/>
  <c r="CN578" i="1" s="1"/>
  <c r="CO578" i="1" s="1"/>
  <c r="BD578" i="1"/>
  <c r="BC578" i="1"/>
  <c r="BB578" i="1"/>
  <c r="BA578" i="1"/>
  <c r="AZ578" i="1"/>
  <c r="AY578" i="1"/>
  <c r="BE578" i="1" s="1" a="1"/>
  <c r="BE578" i="1" s="1"/>
  <c r="AX578" i="1"/>
  <c r="M578" i="1"/>
  <c r="EM576" i="1"/>
  <c r="DU576" i="1"/>
  <c r="DT576" i="1"/>
  <c r="DN576" i="1"/>
  <c r="DM576" i="1"/>
  <c r="DL576" i="1"/>
  <c r="DK576" i="1"/>
  <c r="DI576" i="1"/>
  <c r="DJ576" i="1" s="1"/>
  <c r="DB576" i="1"/>
  <c r="DC576" i="1" s="1"/>
  <c r="CX576" i="1"/>
  <c r="CN576" i="1"/>
  <c r="BT576" i="1"/>
  <c r="BV576" i="1" s="1"/>
  <c r="BX576" i="1" s="1"/>
  <c r="BN576" i="1"/>
  <c r="BO576" i="1" s="1"/>
  <c r="BM576" i="1"/>
  <c r="BD576" i="1"/>
  <c r="BC576" i="1"/>
  <c r="BB576" i="1"/>
  <c r="BA576" i="1"/>
  <c r="AZ576" i="1"/>
  <c r="AY576" i="1"/>
  <c r="BE576" i="1" s="1" a="1"/>
  <c r="BE576" i="1" s="1"/>
  <c r="AX576" i="1"/>
  <c r="M576" i="1"/>
  <c r="EM43" i="1"/>
  <c r="DU43" i="1"/>
  <c r="DT43" i="1"/>
  <c r="DN43" i="1"/>
  <c r="DM43" i="1"/>
  <c r="DL43" i="1"/>
  <c r="DK43" i="1"/>
  <c r="DI43" i="1"/>
  <c r="DJ43" i="1" s="1"/>
  <c r="DB43" i="1"/>
  <c r="DC43" i="1" s="1"/>
  <c r="CX43" i="1"/>
  <c r="CN43" i="1"/>
  <c r="BT43" i="1"/>
  <c r="BV43" i="1" s="1"/>
  <c r="BX43" i="1" s="1"/>
  <c r="BN43" i="1"/>
  <c r="BO43" i="1" s="1"/>
  <c r="BM43" i="1"/>
  <c r="BD43" i="1"/>
  <c r="BC43" i="1"/>
  <c r="BB43" i="1"/>
  <c r="BA43" i="1"/>
  <c r="AZ43" i="1"/>
  <c r="AY43" i="1"/>
  <c r="BE43" i="1" s="1" a="1"/>
  <c r="BE43" i="1" s="1"/>
  <c r="AX43" i="1"/>
  <c r="M43" i="1"/>
  <c r="EM575" i="1"/>
  <c r="DU575" i="1"/>
  <c r="DT575" i="1"/>
  <c r="DN575" i="1"/>
  <c r="DM575" i="1"/>
  <c r="DL575" i="1"/>
  <c r="DK575" i="1"/>
  <c r="DI575" i="1"/>
  <c r="DJ575" i="1" s="1"/>
  <c r="DB575" i="1"/>
  <c r="DC575" i="1" s="1"/>
  <c r="CX575" i="1"/>
  <c r="CN575" i="1"/>
  <c r="BV575" i="1"/>
  <c r="BX575" i="1" s="1"/>
  <c r="BU575" i="1"/>
  <c r="BN575" i="1"/>
  <c r="BO575" i="1" s="1"/>
  <c r="BM575" i="1"/>
  <c r="BD575" i="1"/>
  <c r="BC575" i="1"/>
  <c r="BB575" i="1"/>
  <c r="BA575" i="1"/>
  <c r="AZ575" i="1"/>
  <c r="AY575" i="1"/>
  <c r="BE575" i="1" s="1" a="1"/>
  <c r="BE575" i="1" s="1"/>
  <c r="AX575" i="1"/>
  <c r="M575" i="1"/>
  <c r="EM405" i="1"/>
  <c r="DU405" i="1"/>
  <c r="DT405" i="1"/>
  <c r="DN405" i="1"/>
  <c r="DM405" i="1"/>
  <c r="DL405" i="1"/>
  <c r="DK405" i="1"/>
  <c r="DI405" i="1"/>
  <c r="DJ405" i="1" s="1"/>
  <c r="DB405" i="1"/>
  <c r="DC405" i="1" s="1"/>
  <c r="CX405" i="1"/>
  <c r="BS405" i="1"/>
  <c r="BK405" i="1"/>
  <c r="BN405" i="1" s="1"/>
  <c r="BO405" i="1" s="1"/>
  <c r="BD405" i="1"/>
  <c r="BC405" i="1"/>
  <c r="BB405" i="1"/>
  <c r="BA405" i="1"/>
  <c r="AZ405" i="1"/>
  <c r="AY405" i="1"/>
  <c r="BE405" i="1" s="1" a="1"/>
  <c r="BE405" i="1" s="1"/>
  <c r="AX405" i="1"/>
  <c r="M405" i="1"/>
  <c r="EM19" i="1"/>
  <c r="DU19" i="1"/>
  <c r="DT19" i="1"/>
  <c r="DN19" i="1"/>
  <c r="DM19" i="1"/>
  <c r="DL19" i="1"/>
  <c r="DK19" i="1"/>
  <c r="DI19" i="1"/>
  <c r="DJ19" i="1" s="1"/>
  <c r="DB19" i="1"/>
  <c r="DC19" i="1" s="1"/>
  <c r="CX19" i="1"/>
  <c r="BT19" i="1"/>
  <c r="BL19" i="1"/>
  <c r="BN19" i="1" s="1"/>
  <c r="BO19" i="1" s="1"/>
  <c r="BD19" i="1"/>
  <c r="BC19" i="1"/>
  <c r="BB19" i="1"/>
  <c r="BA19" i="1"/>
  <c r="AZ19" i="1"/>
  <c r="AY19" i="1"/>
  <c r="BE19" i="1" s="1" a="1"/>
  <c r="BE19" i="1" s="1"/>
  <c r="AX19" i="1"/>
  <c r="M19" i="1"/>
  <c r="EM18" i="1"/>
  <c r="DU18" i="1"/>
  <c r="DT18" i="1"/>
  <c r="DN18" i="1"/>
  <c r="DM18" i="1"/>
  <c r="DL18" i="1"/>
  <c r="DK18" i="1"/>
  <c r="DI18" i="1"/>
  <c r="DJ18" i="1" s="1"/>
  <c r="DB18" i="1"/>
  <c r="DC18" i="1" s="1"/>
  <c r="CX18" i="1"/>
  <c r="BS18" i="1"/>
  <c r="BK18" i="1"/>
  <c r="BN18" i="1" s="1"/>
  <c r="BO18" i="1" s="1"/>
  <c r="BD18" i="1"/>
  <c r="BC18" i="1"/>
  <c r="BB18" i="1"/>
  <c r="BA18" i="1"/>
  <c r="AZ18" i="1"/>
  <c r="AY18" i="1"/>
  <c r="BE18" i="1" s="1" a="1"/>
  <c r="BE18" i="1" s="1"/>
  <c r="AX18" i="1"/>
  <c r="M18" i="1"/>
  <c r="EM17" i="1"/>
  <c r="DU17" i="1"/>
  <c r="DT17" i="1"/>
  <c r="DN17" i="1"/>
  <c r="DM17" i="1"/>
  <c r="DL17" i="1"/>
  <c r="DK17" i="1"/>
  <c r="DI17" i="1"/>
  <c r="DJ17" i="1" s="1"/>
  <c r="DB17" i="1"/>
  <c r="DC17" i="1" s="1"/>
  <c r="CX17" i="1"/>
  <c r="BT17" i="1"/>
  <c r="BU17" i="1" s="1"/>
  <c r="BL17" i="1"/>
  <c r="BM17" i="1" s="1"/>
  <c r="BD17" i="1"/>
  <c r="BC17" i="1"/>
  <c r="BB17" i="1"/>
  <c r="BA17" i="1"/>
  <c r="AZ17" i="1"/>
  <c r="AY17" i="1"/>
  <c r="BE17" i="1" s="1" a="1"/>
  <c r="BE17" i="1" s="1"/>
  <c r="AX17" i="1"/>
  <c r="M17" i="1"/>
  <c r="EM1196" i="1"/>
  <c r="DU1196" i="1"/>
  <c r="DT1196" i="1"/>
  <c r="DN1196" i="1"/>
  <c r="DM1196" i="1"/>
  <c r="DL1196" i="1"/>
  <c r="DK1196" i="1"/>
  <c r="DI1196" i="1"/>
  <c r="DJ1196" i="1" s="1"/>
  <c r="DB1196" i="1"/>
  <c r="DC1196" i="1" s="1"/>
  <c r="CX1196" i="1"/>
  <c r="CN1196" i="1"/>
  <c r="CO1196" i="1" s="1"/>
  <c r="BX1196" i="1"/>
  <c r="BN1196" i="1"/>
  <c r="BO1196" i="1" s="1"/>
  <c r="BD1196" i="1"/>
  <c r="BC1196" i="1"/>
  <c r="BB1196" i="1"/>
  <c r="BA1196" i="1"/>
  <c r="AZ1196" i="1"/>
  <c r="AY1196" i="1"/>
  <c r="BE1196" i="1" s="1" a="1"/>
  <c r="BE1196" i="1" s="1"/>
  <c r="AX1196" i="1"/>
  <c r="M1196" i="1"/>
  <c r="EM1141" i="1"/>
  <c r="DU1141" i="1"/>
  <c r="DT1141" i="1"/>
  <c r="DN1141" i="1"/>
  <c r="DM1141" i="1"/>
  <c r="DL1141" i="1"/>
  <c r="DK1141" i="1"/>
  <c r="DI1141" i="1"/>
  <c r="DJ1141" i="1" s="1"/>
  <c r="DC1141" i="1"/>
  <c r="CX1141" i="1"/>
  <c r="CU1141" i="1"/>
  <c r="BL1141" i="1"/>
  <c r="BK1141" i="1"/>
  <c r="BD1141" i="1"/>
  <c r="BC1141" i="1"/>
  <c r="BB1141" i="1"/>
  <c r="BA1141" i="1"/>
  <c r="AZ1141" i="1"/>
  <c r="AY1141" i="1"/>
  <c r="BE1141" i="1" s="1" a="1"/>
  <c r="BE1141" i="1" s="1"/>
  <c r="AX1141" i="1"/>
  <c r="M1141" i="1"/>
  <c r="EM1140" i="1"/>
  <c r="DU1140" i="1"/>
  <c r="DT1140" i="1"/>
  <c r="DN1140" i="1"/>
  <c r="DM1140" i="1"/>
  <c r="DL1140" i="1"/>
  <c r="DK1140" i="1"/>
  <c r="DI1140" i="1"/>
  <c r="DJ1140" i="1" s="1"/>
  <c r="DC1140" i="1"/>
  <c r="CX1140" i="1"/>
  <c r="BX1140" i="1"/>
  <c r="BL1140" i="1"/>
  <c r="BN1140" i="1" s="1"/>
  <c r="BO1140" i="1" s="1"/>
  <c r="BD1140" i="1"/>
  <c r="BC1140" i="1"/>
  <c r="BB1140" i="1"/>
  <c r="BA1140" i="1"/>
  <c r="AZ1140" i="1"/>
  <c r="BF1140" i="1" s="1" a="1"/>
  <c r="BF1140" i="1" s="1"/>
  <c r="AY1140" i="1"/>
  <c r="BE1140" i="1" s="1" a="1"/>
  <c r="BE1140" i="1" s="1"/>
  <c r="AX1140" i="1"/>
  <c r="M1140" i="1"/>
  <c r="EM1139" i="1"/>
  <c r="DU1139" i="1"/>
  <c r="DT1139" i="1"/>
  <c r="DN1139" i="1"/>
  <c r="DM1139" i="1"/>
  <c r="DL1139" i="1"/>
  <c r="DK1139" i="1"/>
  <c r="DI1139" i="1"/>
  <c r="DJ1139" i="1" s="1"/>
  <c r="DC1139" i="1"/>
  <c r="CX1139" i="1"/>
  <c r="BX1139" i="1"/>
  <c r="BL1139" i="1"/>
  <c r="CN1139" i="1" s="1"/>
  <c r="BD1139" i="1"/>
  <c r="BC1139" i="1"/>
  <c r="BB1139" i="1"/>
  <c r="BA1139" i="1"/>
  <c r="AZ1139" i="1"/>
  <c r="AY1139" i="1"/>
  <c r="BE1139" i="1" s="1" a="1"/>
  <c r="BE1139" i="1" s="1"/>
  <c r="AX1139" i="1"/>
  <c r="M1139" i="1"/>
  <c r="EM1138" i="1"/>
  <c r="DU1138" i="1"/>
  <c r="DT1138" i="1"/>
  <c r="DN1138" i="1"/>
  <c r="DM1138" i="1"/>
  <c r="DL1138" i="1"/>
  <c r="DK1138" i="1"/>
  <c r="DI1138" i="1"/>
  <c r="DJ1138" i="1" s="1"/>
  <c r="DC1138" i="1"/>
  <c r="CX1138" i="1"/>
  <c r="BX1138" i="1"/>
  <c r="BL1138" i="1"/>
  <c r="BN1138" i="1" s="1"/>
  <c r="BO1138" i="1" s="1"/>
  <c r="BD1138" i="1"/>
  <c r="BC1138" i="1"/>
  <c r="BB1138" i="1"/>
  <c r="BA1138" i="1"/>
  <c r="AZ1138" i="1"/>
  <c r="BF1138" i="1" s="1" a="1"/>
  <c r="BF1138" i="1" s="1"/>
  <c r="AY1138" i="1"/>
  <c r="BE1138" i="1" s="1" a="1"/>
  <c r="BE1138" i="1" s="1"/>
  <c r="AX1138" i="1"/>
  <c r="M1138" i="1"/>
  <c r="EM1137" i="1"/>
  <c r="DU1137" i="1"/>
  <c r="DT1137" i="1"/>
  <c r="DN1137" i="1"/>
  <c r="DM1137" i="1"/>
  <c r="DL1137" i="1"/>
  <c r="DK1137" i="1"/>
  <c r="DI1137" i="1"/>
  <c r="DJ1137" i="1" s="1"/>
  <c r="DC1137" i="1"/>
  <c r="CX1137" i="1"/>
  <c r="BX1137" i="1"/>
  <c r="BL1137" i="1"/>
  <c r="CN1137" i="1" s="1"/>
  <c r="CP1137" i="1" s="1"/>
  <c r="BD1137" i="1"/>
  <c r="BC1137" i="1"/>
  <c r="BB1137" i="1"/>
  <c r="BA1137" i="1"/>
  <c r="AZ1137" i="1"/>
  <c r="AY1137" i="1"/>
  <c r="BE1137" i="1" s="1" a="1"/>
  <c r="BE1137" i="1" s="1"/>
  <c r="AX1137" i="1"/>
  <c r="M1137" i="1"/>
  <c r="EM1136" i="1"/>
  <c r="DU1136" i="1"/>
  <c r="DT1136" i="1"/>
  <c r="DN1136" i="1"/>
  <c r="DM1136" i="1"/>
  <c r="DL1136" i="1"/>
  <c r="DK1136" i="1"/>
  <c r="DI1136" i="1"/>
  <c r="DJ1136" i="1" s="1"/>
  <c r="DC1136" i="1"/>
  <c r="CX1136" i="1"/>
  <c r="BX1136" i="1"/>
  <c r="BL1136" i="1"/>
  <c r="CN1136" i="1" s="1"/>
  <c r="CS1136" i="1" s="1"/>
  <c r="BD1136" i="1"/>
  <c r="BC1136" i="1"/>
  <c r="BB1136" i="1"/>
  <c r="BA1136" i="1"/>
  <c r="AZ1136" i="1"/>
  <c r="BF1136" i="1" s="1" a="1"/>
  <c r="BF1136" i="1" s="1"/>
  <c r="AY1136" i="1"/>
  <c r="BE1136" i="1" s="1" a="1"/>
  <c r="BE1136" i="1" s="1"/>
  <c r="AX1136" i="1"/>
  <c r="M1136" i="1"/>
  <c r="EM1135" i="1"/>
  <c r="DU1135" i="1"/>
  <c r="DT1135" i="1"/>
  <c r="DN1135" i="1"/>
  <c r="DM1135" i="1"/>
  <c r="DL1135" i="1"/>
  <c r="DK1135" i="1"/>
  <c r="DI1135" i="1"/>
  <c r="DJ1135" i="1" s="1"/>
  <c r="DC1135" i="1"/>
  <c r="CX1135" i="1"/>
  <c r="BX1135" i="1"/>
  <c r="BL1135" i="1"/>
  <c r="BN1135" i="1" s="1"/>
  <c r="BO1135" i="1" s="1"/>
  <c r="BD1135" i="1"/>
  <c r="BC1135" i="1"/>
  <c r="BB1135" i="1"/>
  <c r="BA1135" i="1"/>
  <c r="AZ1135" i="1"/>
  <c r="AY1135" i="1"/>
  <c r="BE1135" i="1" s="1" a="1"/>
  <c r="BE1135" i="1" s="1"/>
  <c r="AX1135" i="1"/>
  <c r="M1135" i="1"/>
  <c r="EM814" i="1"/>
  <c r="DU814" i="1"/>
  <c r="DT814" i="1"/>
  <c r="DN814" i="1"/>
  <c r="DM814" i="1"/>
  <c r="DL814" i="1"/>
  <c r="DK814" i="1"/>
  <c r="DI814" i="1"/>
  <c r="DJ814" i="1" s="1"/>
  <c r="DC814" i="1"/>
  <c r="CX814" i="1"/>
  <c r="BX814" i="1"/>
  <c r="BL814" i="1"/>
  <c r="BK814" i="1"/>
  <c r="BD814" i="1"/>
  <c r="BC814" i="1"/>
  <c r="BB814" i="1"/>
  <c r="BA814" i="1"/>
  <c r="AZ814" i="1"/>
  <c r="AY814" i="1"/>
  <c r="BE814" i="1" s="1" a="1"/>
  <c r="BE814" i="1" s="1"/>
  <c r="AX814" i="1"/>
  <c r="M814" i="1"/>
  <c r="EM813" i="1"/>
  <c r="DU813" i="1"/>
  <c r="DT813" i="1"/>
  <c r="DN813" i="1"/>
  <c r="DM813" i="1"/>
  <c r="DL813" i="1"/>
  <c r="DK813" i="1"/>
  <c r="DI813" i="1"/>
  <c r="DJ813" i="1" s="1"/>
  <c r="DC813" i="1"/>
  <c r="CX813" i="1"/>
  <c r="BX813" i="1"/>
  <c r="BL813" i="1"/>
  <c r="BN813" i="1" s="1"/>
  <c r="BO813" i="1" s="1"/>
  <c r="BK813" i="1"/>
  <c r="BD813" i="1"/>
  <c r="BC813" i="1"/>
  <c r="BB813" i="1"/>
  <c r="BA813" i="1"/>
  <c r="AZ813" i="1"/>
  <c r="AY813" i="1"/>
  <c r="BE813" i="1" s="1" a="1"/>
  <c r="BE813" i="1" s="1"/>
  <c r="AX813" i="1"/>
  <c r="M813" i="1"/>
  <c r="EM812" i="1"/>
  <c r="DU812" i="1"/>
  <c r="DT812" i="1"/>
  <c r="DN812" i="1"/>
  <c r="DM812" i="1"/>
  <c r="DL812" i="1"/>
  <c r="DK812" i="1"/>
  <c r="DI812" i="1"/>
  <c r="DJ812" i="1" s="1"/>
  <c r="DC812" i="1"/>
  <c r="CX812" i="1"/>
  <c r="BX812" i="1"/>
  <c r="BL812" i="1"/>
  <c r="BK812" i="1"/>
  <c r="BD812" i="1"/>
  <c r="BC812" i="1"/>
  <c r="BB812" i="1"/>
  <c r="BA812" i="1"/>
  <c r="AZ812" i="1"/>
  <c r="AY812" i="1"/>
  <c r="BE812" i="1" s="1" a="1"/>
  <c r="BE812" i="1" s="1"/>
  <c r="AX812" i="1"/>
  <c r="M812" i="1"/>
  <c r="EM1197" i="1"/>
  <c r="DU1197" i="1"/>
  <c r="DT1197" i="1"/>
  <c r="DN1197" i="1"/>
  <c r="DM1197" i="1"/>
  <c r="DL1197" i="1"/>
  <c r="DK1197" i="1"/>
  <c r="DI1197" i="1"/>
  <c r="DJ1197" i="1" s="1"/>
  <c r="DB1197" i="1"/>
  <c r="DC1197" i="1" s="1"/>
  <c r="CX1197" i="1"/>
  <c r="CN1197" i="1"/>
  <c r="BX1197" i="1"/>
  <c r="BN1197" i="1"/>
  <c r="BO1197" i="1" s="1"/>
  <c r="BD1197" i="1"/>
  <c r="BC1197" i="1"/>
  <c r="BB1197" i="1"/>
  <c r="BA1197" i="1"/>
  <c r="AZ1197" i="1"/>
  <c r="BF1197" i="1" s="1" a="1"/>
  <c r="BF1197" i="1" s="1"/>
  <c r="AY1197" i="1"/>
  <c r="BE1197" i="1" s="1" a="1"/>
  <c r="BE1197" i="1" s="1"/>
  <c r="AX1197" i="1"/>
  <c r="M1197" i="1"/>
  <c r="EM1202" i="1"/>
  <c r="DU1202" i="1"/>
  <c r="DT1202" i="1"/>
  <c r="DN1202" i="1"/>
  <c r="DM1202" i="1"/>
  <c r="DL1202" i="1"/>
  <c r="DK1202" i="1"/>
  <c r="DI1202" i="1"/>
  <c r="DJ1202" i="1" s="1"/>
  <c r="DB1202" i="1"/>
  <c r="DC1202" i="1" s="1"/>
  <c r="CX1202" i="1"/>
  <c r="CN1202" i="1"/>
  <c r="CO1202" i="1" s="1"/>
  <c r="BX1202" i="1"/>
  <c r="BN1202" i="1"/>
  <c r="BO1202" i="1" s="1"/>
  <c r="BD1202" i="1"/>
  <c r="BC1202" i="1"/>
  <c r="BB1202" i="1"/>
  <c r="BA1202" i="1"/>
  <c r="AZ1202" i="1"/>
  <c r="AY1202" i="1"/>
  <c r="BE1202" i="1" s="1" a="1"/>
  <c r="BE1202" i="1" s="1"/>
  <c r="AX1202" i="1"/>
  <c r="M1202" i="1"/>
  <c r="EM827" i="1"/>
  <c r="DU827" i="1"/>
  <c r="DT827" i="1"/>
  <c r="DN827" i="1"/>
  <c r="DM827" i="1"/>
  <c r="DL827" i="1"/>
  <c r="DK827" i="1"/>
  <c r="DI827" i="1"/>
  <c r="DJ827" i="1" s="1"/>
  <c r="DB827" i="1"/>
  <c r="DC827" i="1" s="1"/>
  <c r="CX827" i="1"/>
  <c r="CN827" i="1"/>
  <c r="CO827" i="1" s="1"/>
  <c r="BX827" i="1"/>
  <c r="BN827" i="1"/>
  <c r="BO827" i="1" s="1"/>
  <c r="BD827" i="1"/>
  <c r="BC827" i="1"/>
  <c r="BB827" i="1"/>
  <c r="BA827" i="1"/>
  <c r="AZ827" i="1"/>
  <c r="AY827" i="1"/>
  <c r="BE827" i="1" s="1" a="1"/>
  <c r="BE827" i="1" s="1"/>
  <c r="AX827" i="1"/>
  <c r="M827" i="1"/>
  <c r="EM820" i="1"/>
  <c r="DU820" i="1"/>
  <c r="DT820" i="1"/>
  <c r="DN820" i="1"/>
  <c r="DM820" i="1"/>
  <c r="DL820" i="1"/>
  <c r="DK820" i="1"/>
  <c r="DI820" i="1"/>
  <c r="DJ820" i="1" s="1"/>
  <c r="DB820" i="1"/>
  <c r="DC820" i="1" s="1"/>
  <c r="CX820" i="1"/>
  <c r="CN820" i="1"/>
  <c r="CO820" i="1" s="1"/>
  <c r="BX820" i="1"/>
  <c r="BN820" i="1"/>
  <c r="BO820" i="1" s="1"/>
  <c r="BD820" i="1"/>
  <c r="BC820" i="1"/>
  <c r="BB820" i="1"/>
  <c r="BA820" i="1"/>
  <c r="AZ820" i="1"/>
  <c r="BF820" i="1" s="1" a="1"/>
  <c r="BF820" i="1" s="1"/>
  <c r="AY820" i="1"/>
  <c r="BE820" i="1" s="1" a="1"/>
  <c r="BE820" i="1" s="1"/>
  <c r="AX820" i="1"/>
  <c r="M820" i="1"/>
  <c r="EM826" i="1"/>
  <c r="DU826" i="1"/>
  <c r="DT826" i="1"/>
  <c r="DN826" i="1"/>
  <c r="DM826" i="1"/>
  <c r="DL826" i="1"/>
  <c r="DK826" i="1"/>
  <c r="DI826" i="1"/>
  <c r="DJ826" i="1" s="1"/>
  <c r="DB826" i="1"/>
  <c r="DC826" i="1" s="1"/>
  <c r="CX826" i="1"/>
  <c r="CN826" i="1"/>
  <c r="CO826" i="1" s="1"/>
  <c r="BX826" i="1"/>
  <c r="BN826" i="1"/>
  <c r="BO826" i="1" s="1"/>
  <c r="BD826" i="1"/>
  <c r="BC826" i="1"/>
  <c r="BB826" i="1"/>
  <c r="BA826" i="1"/>
  <c r="AZ826" i="1"/>
  <c r="AY826" i="1"/>
  <c r="BE826" i="1" s="1" a="1"/>
  <c r="BE826" i="1" s="1"/>
  <c r="AX826" i="1"/>
  <c r="M826" i="1"/>
  <c r="EM819" i="1"/>
  <c r="DU819" i="1"/>
  <c r="DT819" i="1"/>
  <c r="DN819" i="1"/>
  <c r="DM819" i="1"/>
  <c r="DL819" i="1"/>
  <c r="DK819" i="1"/>
  <c r="DI819" i="1"/>
  <c r="DJ819" i="1" s="1"/>
  <c r="DB819" i="1"/>
  <c r="DC819" i="1" s="1"/>
  <c r="CX819" i="1"/>
  <c r="CN819" i="1"/>
  <c r="CO819" i="1" s="1"/>
  <c r="BX819" i="1"/>
  <c r="BN819" i="1"/>
  <c r="BO819" i="1" s="1"/>
  <c r="BD819" i="1"/>
  <c r="BC819" i="1"/>
  <c r="BB819" i="1"/>
  <c r="BA819" i="1"/>
  <c r="AZ819" i="1"/>
  <c r="AY819" i="1"/>
  <c r="BE819" i="1" s="1" a="1"/>
  <c r="BE819" i="1" s="1"/>
  <c r="AX819" i="1"/>
  <c r="M819" i="1"/>
  <c r="EM825" i="1"/>
  <c r="DU825" i="1"/>
  <c r="DT825" i="1"/>
  <c r="DN825" i="1"/>
  <c r="DM825" i="1"/>
  <c r="DL825" i="1"/>
  <c r="DK825" i="1"/>
  <c r="DI825" i="1"/>
  <c r="DJ825" i="1" s="1"/>
  <c r="DB825" i="1"/>
  <c r="DC825" i="1" s="1"/>
  <c r="CX825" i="1"/>
  <c r="CN825" i="1"/>
  <c r="CO825" i="1" s="1"/>
  <c r="BX825" i="1"/>
  <c r="BN825" i="1"/>
  <c r="BO825" i="1" s="1"/>
  <c r="BD825" i="1"/>
  <c r="BC825" i="1"/>
  <c r="BB825" i="1"/>
  <c r="BA825" i="1"/>
  <c r="AZ825" i="1"/>
  <c r="AY825" i="1"/>
  <c r="BE825" i="1" s="1" a="1"/>
  <c r="BE825" i="1" s="1"/>
  <c r="AX825" i="1"/>
  <c r="M825" i="1"/>
  <c r="EM824" i="1"/>
  <c r="DU824" i="1"/>
  <c r="DT824" i="1"/>
  <c r="DN824" i="1"/>
  <c r="DM824" i="1"/>
  <c r="DL824" i="1"/>
  <c r="DK824" i="1"/>
  <c r="DI824" i="1"/>
  <c r="DJ824" i="1" s="1"/>
  <c r="DB824" i="1"/>
  <c r="DC824" i="1" s="1"/>
  <c r="CX824" i="1"/>
  <c r="CN824" i="1"/>
  <c r="CO824" i="1" s="1"/>
  <c r="BX824" i="1"/>
  <c r="BN824" i="1"/>
  <c r="BO824" i="1" s="1"/>
  <c r="BD824" i="1"/>
  <c r="BC824" i="1"/>
  <c r="BB824" i="1"/>
  <c r="BA824" i="1"/>
  <c r="AZ824" i="1"/>
  <c r="AY824" i="1"/>
  <c r="BE824" i="1" s="1" a="1"/>
  <c r="BE824" i="1" s="1"/>
  <c r="AX824" i="1"/>
  <c r="M824" i="1"/>
  <c r="EM818" i="1"/>
  <c r="DU818" i="1"/>
  <c r="DT818" i="1"/>
  <c r="DN818" i="1"/>
  <c r="DM818" i="1"/>
  <c r="DL818" i="1"/>
  <c r="DK818" i="1"/>
  <c r="DI818" i="1"/>
  <c r="DJ818" i="1" s="1"/>
  <c r="DB818" i="1"/>
  <c r="DC818" i="1" s="1"/>
  <c r="CX818" i="1"/>
  <c r="CN818" i="1"/>
  <c r="CS818" i="1" s="1"/>
  <c r="BX818" i="1"/>
  <c r="BN818" i="1"/>
  <c r="BO818" i="1" s="1"/>
  <c r="BD818" i="1"/>
  <c r="BC818" i="1"/>
  <c r="BB818" i="1"/>
  <c r="BA818" i="1"/>
  <c r="AZ818" i="1"/>
  <c r="BF818" i="1" s="1" a="1"/>
  <c r="BF818" i="1" s="1"/>
  <c r="AY818" i="1"/>
  <c r="BE818" i="1" s="1" a="1"/>
  <c r="BE818" i="1" s="1"/>
  <c r="AX818" i="1"/>
  <c r="M818" i="1"/>
  <c r="EM817" i="1"/>
  <c r="DU817" i="1"/>
  <c r="DT817" i="1"/>
  <c r="DN817" i="1"/>
  <c r="DM817" i="1"/>
  <c r="DL817" i="1"/>
  <c r="DK817" i="1"/>
  <c r="DI817" i="1"/>
  <c r="DJ817" i="1" s="1"/>
  <c r="DB817" i="1"/>
  <c r="DC817" i="1" s="1"/>
  <c r="CX817" i="1"/>
  <c r="CN817" i="1"/>
  <c r="CS817" i="1" s="1"/>
  <c r="BX817" i="1"/>
  <c r="BN817" i="1"/>
  <c r="BO817" i="1" s="1"/>
  <c r="BD817" i="1"/>
  <c r="BC817" i="1"/>
  <c r="BB817" i="1"/>
  <c r="BA817" i="1"/>
  <c r="AZ817" i="1"/>
  <c r="AY817" i="1"/>
  <c r="BE817" i="1" s="1" a="1"/>
  <c r="BE817" i="1" s="1"/>
  <c r="AX817" i="1"/>
  <c r="M817" i="1"/>
  <c r="EM542" i="1"/>
  <c r="DU542" i="1"/>
  <c r="DT542" i="1"/>
  <c r="DN542" i="1"/>
  <c r="DM542" i="1"/>
  <c r="DL542" i="1"/>
  <c r="DK542" i="1"/>
  <c r="DI542" i="1"/>
  <c r="DJ542" i="1" s="1"/>
  <c r="DB542" i="1"/>
  <c r="DC542" i="1" s="1"/>
  <c r="CX542" i="1"/>
  <c r="CN542" i="1"/>
  <c r="CO542" i="1" s="1"/>
  <c r="BX542" i="1"/>
  <c r="BO542" i="1"/>
  <c r="BN542" i="1"/>
  <c r="BD542" i="1"/>
  <c r="BC542" i="1"/>
  <c r="BB542" i="1"/>
  <c r="BA542" i="1"/>
  <c r="AZ542" i="1"/>
  <c r="AY542" i="1"/>
  <c r="BE542" i="1" s="1" a="1"/>
  <c r="BE542" i="1" s="1"/>
  <c r="AX542" i="1"/>
  <c r="M542" i="1"/>
  <c r="EM541" i="1"/>
  <c r="DU541" i="1"/>
  <c r="DT541" i="1"/>
  <c r="DN541" i="1"/>
  <c r="DM541" i="1"/>
  <c r="DL541" i="1"/>
  <c r="DK541" i="1"/>
  <c r="DI541" i="1"/>
  <c r="DJ541" i="1" s="1"/>
  <c r="DB541" i="1"/>
  <c r="DC541" i="1" s="1"/>
  <c r="CX541" i="1"/>
  <c r="CN541" i="1"/>
  <c r="CO541" i="1" s="1"/>
  <c r="BX541" i="1"/>
  <c r="BO541" i="1"/>
  <c r="BN541" i="1"/>
  <c r="BD541" i="1"/>
  <c r="BC541" i="1"/>
  <c r="BB541" i="1"/>
  <c r="BA541" i="1"/>
  <c r="AZ541" i="1"/>
  <c r="AY541" i="1"/>
  <c r="BE541" i="1" s="1" a="1"/>
  <c r="BE541" i="1" s="1"/>
  <c r="AX541" i="1"/>
  <c r="M541" i="1"/>
  <c r="EM540" i="1"/>
  <c r="DU540" i="1"/>
  <c r="DT540" i="1"/>
  <c r="DN540" i="1"/>
  <c r="DM540" i="1"/>
  <c r="DL540" i="1"/>
  <c r="DK540" i="1"/>
  <c r="DI540" i="1"/>
  <c r="DJ540" i="1" s="1"/>
  <c r="DB540" i="1"/>
  <c r="DC540" i="1" s="1"/>
  <c r="CX540" i="1"/>
  <c r="CN540" i="1"/>
  <c r="CO540" i="1" s="1"/>
  <c r="BX540" i="1"/>
  <c r="BO540" i="1"/>
  <c r="BN540" i="1"/>
  <c r="BD540" i="1"/>
  <c r="BC540" i="1"/>
  <c r="BB540" i="1"/>
  <c r="BA540" i="1"/>
  <c r="AZ540" i="1"/>
  <c r="BF540" i="1" s="1" a="1"/>
  <c r="BF540" i="1" s="1"/>
  <c r="AY540" i="1"/>
  <c r="BE540" i="1" s="1" a="1"/>
  <c r="BE540" i="1" s="1"/>
  <c r="AX540" i="1"/>
  <c r="M540" i="1"/>
  <c r="EM539" i="1"/>
  <c r="DU539" i="1"/>
  <c r="DT539" i="1"/>
  <c r="DN539" i="1"/>
  <c r="DM539" i="1"/>
  <c r="DL539" i="1"/>
  <c r="DK539" i="1"/>
  <c r="DI539" i="1"/>
  <c r="DJ539" i="1" s="1"/>
  <c r="DB539" i="1"/>
  <c r="DC539" i="1" s="1"/>
  <c r="CX539" i="1"/>
  <c r="CN539" i="1"/>
  <c r="CO539" i="1" s="1"/>
  <c r="BX539" i="1"/>
  <c r="BO539" i="1"/>
  <c r="BN539" i="1"/>
  <c r="BD539" i="1"/>
  <c r="BC539" i="1"/>
  <c r="BB539" i="1"/>
  <c r="BA539" i="1"/>
  <c r="AZ539" i="1"/>
  <c r="AY539" i="1"/>
  <c r="BE539" i="1" s="1" a="1"/>
  <c r="BE539" i="1" s="1"/>
  <c r="AX539" i="1"/>
  <c r="M539" i="1"/>
  <c r="EM534" i="1"/>
  <c r="DU534" i="1"/>
  <c r="DT534" i="1"/>
  <c r="DN534" i="1"/>
  <c r="DM534" i="1"/>
  <c r="DL534" i="1"/>
  <c r="DK534" i="1"/>
  <c r="DI534" i="1"/>
  <c r="DJ534" i="1" s="1"/>
  <c r="DB534" i="1"/>
  <c r="DC534" i="1" s="1"/>
  <c r="CX534" i="1"/>
  <c r="CN534" i="1"/>
  <c r="CO534" i="1" s="1"/>
  <c r="BX534" i="1"/>
  <c r="BO534" i="1"/>
  <c r="BN534" i="1"/>
  <c r="BD534" i="1"/>
  <c r="BC534" i="1"/>
  <c r="BB534" i="1"/>
  <c r="BA534" i="1"/>
  <c r="AZ534" i="1"/>
  <c r="AY534" i="1"/>
  <c r="BE534" i="1" s="1" a="1"/>
  <c r="BE534" i="1" s="1"/>
  <c r="AX534" i="1"/>
  <c r="M534" i="1"/>
  <c r="EM533" i="1"/>
  <c r="DU533" i="1"/>
  <c r="DT533" i="1"/>
  <c r="DN533" i="1"/>
  <c r="DM533" i="1"/>
  <c r="DL533" i="1"/>
  <c r="DK533" i="1"/>
  <c r="DI533" i="1"/>
  <c r="DJ533" i="1" s="1"/>
  <c r="DB533" i="1"/>
  <c r="DC533" i="1" s="1"/>
  <c r="CX533" i="1"/>
  <c r="CN533" i="1"/>
  <c r="CO533" i="1" s="1"/>
  <c r="BX533" i="1"/>
  <c r="BO533" i="1"/>
  <c r="BN533" i="1"/>
  <c r="BD533" i="1"/>
  <c r="BC533" i="1"/>
  <c r="BB533" i="1"/>
  <c r="BA533" i="1"/>
  <c r="AZ533" i="1"/>
  <c r="AY533" i="1"/>
  <c r="BE533" i="1" s="1" a="1"/>
  <c r="BE533" i="1" s="1"/>
  <c r="AX533" i="1"/>
  <c r="M533" i="1"/>
  <c r="EM360" i="1"/>
  <c r="DU360" i="1"/>
  <c r="DT360" i="1"/>
  <c r="DN360" i="1"/>
  <c r="DM360" i="1"/>
  <c r="DL360" i="1"/>
  <c r="DK360" i="1"/>
  <c r="DI360" i="1"/>
  <c r="DJ360" i="1" s="1"/>
  <c r="DC360" i="1"/>
  <c r="CX360" i="1"/>
  <c r="CN360" i="1"/>
  <c r="CR360" i="1" s="1"/>
  <c r="BV360" i="1"/>
  <c r="BX360" i="1" s="1"/>
  <c r="BU360" i="1"/>
  <c r="BN360" i="1"/>
  <c r="BO360" i="1" s="1"/>
  <c r="BD360" i="1"/>
  <c r="BC360" i="1"/>
  <c r="BB360" i="1"/>
  <c r="BA360" i="1"/>
  <c r="AZ360" i="1"/>
  <c r="BF360" i="1" s="1" a="1"/>
  <c r="BF360" i="1" s="1"/>
  <c r="AY360" i="1"/>
  <c r="BE360" i="1" s="1" a="1"/>
  <c r="BE360" i="1" s="1"/>
  <c r="AX360" i="1"/>
  <c r="M360" i="1"/>
  <c r="EM563" i="1"/>
  <c r="DU563" i="1"/>
  <c r="DT563" i="1"/>
  <c r="DN563" i="1"/>
  <c r="DM563" i="1"/>
  <c r="DL563" i="1"/>
  <c r="DK563" i="1"/>
  <c r="DI563" i="1"/>
  <c r="DJ563" i="1" s="1"/>
  <c r="DC563" i="1"/>
  <c r="CX563" i="1"/>
  <c r="CN563" i="1"/>
  <c r="CS563" i="1" s="1"/>
  <c r="BX563" i="1"/>
  <c r="BU563" i="1"/>
  <c r="BN563" i="1"/>
  <c r="BO563" i="1" s="1"/>
  <c r="BM563" i="1"/>
  <c r="BD563" i="1"/>
  <c r="BC563" i="1"/>
  <c r="BB563" i="1"/>
  <c r="BA563" i="1"/>
  <c r="AZ563" i="1"/>
  <c r="AY563" i="1"/>
  <c r="BE563" i="1" s="1" a="1"/>
  <c r="BE563" i="1" s="1"/>
  <c r="AX563" i="1"/>
  <c r="M563" i="1"/>
  <c r="EM562" i="1"/>
  <c r="DU562" i="1"/>
  <c r="DT562" i="1"/>
  <c r="DN562" i="1"/>
  <c r="DM562" i="1"/>
  <c r="DL562" i="1"/>
  <c r="DK562" i="1"/>
  <c r="DI562" i="1"/>
  <c r="DJ562" i="1" s="1"/>
  <c r="DC562" i="1"/>
  <c r="CX562" i="1"/>
  <c r="CN562" i="1"/>
  <c r="BX562" i="1"/>
  <c r="BU562" i="1"/>
  <c r="BN562" i="1"/>
  <c r="BO562" i="1" s="1"/>
  <c r="BM562" i="1"/>
  <c r="BD562" i="1"/>
  <c r="BC562" i="1"/>
  <c r="BB562" i="1"/>
  <c r="BA562" i="1"/>
  <c r="AZ562" i="1"/>
  <c r="AY562" i="1"/>
  <c r="BE562" i="1" s="1" a="1"/>
  <c r="BE562" i="1" s="1"/>
  <c r="AX562" i="1"/>
  <c r="M562" i="1"/>
  <c r="EM561" i="1"/>
  <c r="DU561" i="1"/>
  <c r="DT561" i="1"/>
  <c r="DN561" i="1"/>
  <c r="DM561" i="1"/>
  <c r="DL561" i="1"/>
  <c r="DK561" i="1"/>
  <c r="DI561" i="1"/>
  <c r="DJ561" i="1" s="1"/>
  <c r="DC561" i="1"/>
  <c r="CX561" i="1"/>
  <c r="CN561" i="1"/>
  <c r="CO561" i="1" s="1"/>
  <c r="BX561" i="1"/>
  <c r="BN561" i="1"/>
  <c r="BO561" i="1" s="1"/>
  <c r="BM561" i="1"/>
  <c r="BD561" i="1"/>
  <c r="BC561" i="1"/>
  <c r="BB561" i="1"/>
  <c r="BA561" i="1"/>
  <c r="AZ561" i="1"/>
  <c r="AY561" i="1"/>
  <c r="BE561" i="1" s="1" a="1"/>
  <c r="BE561" i="1" s="1"/>
  <c r="AX561" i="1"/>
  <c r="M561" i="1"/>
  <c r="EM560" i="1"/>
  <c r="DU560" i="1"/>
  <c r="DT560" i="1"/>
  <c r="DN560" i="1"/>
  <c r="DM560" i="1"/>
  <c r="DL560" i="1"/>
  <c r="DK560" i="1"/>
  <c r="DI560" i="1"/>
  <c r="DJ560" i="1" s="1"/>
  <c r="DC560" i="1"/>
  <c r="CX560" i="1"/>
  <c r="CN560" i="1"/>
  <c r="CR560" i="1" s="1"/>
  <c r="BX560" i="1"/>
  <c r="BN560" i="1"/>
  <c r="BO560" i="1" s="1"/>
  <c r="BM560" i="1"/>
  <c r="BD560" i="1"/>
  <c r="BC560" i="1"/>
  <c r="BB560" i="1"/>
  <c r="BA560" i="1"/>
  <c r="AZ560" i="1"/>
  <c r="AY560" i="1"/>
  <c r="BE560" i="1" s="1" a="1"/>
  <c r="BE560" i="1" s="1"/>
  <c r="AX560" i="1"/>
  <c r="M560" i="1"/>
  <c r="EM359" i="1"/>
  <c r="DU359" i="1"/>
  <c r="DT359" i="1"/>
  <c r="DN359" i="1"/>
  <c r="DM359" i="1"/>
  <c r="DL359" i="1"/>
  <c r="DK359" i="1"/>
  <c r="DI359" i="1"/>
  <c r="DJ359" i="1" s="1"/>
  <c r="DC359" i="1"/>
  <c r="CX359" i="1"/>
  <c r="CN359" i="1"/>
  <c r="CO359" i="1" s="1"/>
  <c r="BX359" i="1"/>
  <c r="BU359" i="1"/>
  <c r="BN359" i="1"/>
  <c r="BO359" i="1" s="1"/>
  <c r="BM359" i="1"/>
  <c r="BD359" i="1"/>
  <c r="BC359" i="1"/>
  <c r="BB359" i="1"/>
  <c r="BA359" i="1"/>
  <c r="AZ359" i="1"/>
  <c r="BF359" i="1" s="1" a="1"/>
  <c r="BF359" i="1" s="1"/>
  <c r="AY359" i="1"/>
  <c r="BE359" i="1" s="1" a="1"/>
  <c r="BE359" i="1" s="1"/>
  <c r="AX359" i="1"/>
  <c r="M359" i="1"/>
  <c r="EM358" i="1"/>
  <c r="DU358" i="1"/>
  <c r="DT358" i="1"/>
  <c r="DN358" i="1"/>
  <c r="DM358" i="1"/>
  <c r="DL358" i="1"/>
  <c r="DK358" i="1"/>
  <c r="DI358" i="1"/>
  <c r="DJ358" i="1" s="1"/>
  <c r="DC358" i="1"/>
  <c r="CX358" i="1"/>
  <c r="CN358" i="1"/>
  <c r="CO358" i="1" s="1"/>
  <c r="BX358" i="1"/>
  <c r="BN358" i="1"/>
  <c r="BO358" i="1" s="1"/>
  <c r="BM358" i="1"/>
  <c r="BD358" i="1"/>
  <c r="BC358" i="1"/>
  <c r="BB358" i="1"/>
  <c r="BA358" i="1"/>
  <c r="AZ358" i="1"/>
  <c r="AY358" i="1"/>
  <c r="BE358" i="1" s="1" a="1"/>
  <c r="BE358" i="1" s="1"/>
  <c r="AX358" i="1"/>
  <c r="M358" i="1"/>
  <c r="EM364" i="1"/>
  <c r="DU364" i="1"/>
  <c r="DT364" i="1"/>
  <c r="DN364" i="1"/>
  <c r="DM364" i="1"/>
  <c r="DL364" i="1"/>
  <c r="DK364" i="1"/>
  <c r="DI364" i="1"/>
  <c r="DJ364" i="1" s="1"/>
  <c r="DC364" i="1"/>
  <c r="CX364" i="1"/>
  <c r="CN364" i="1"/>
  <c r="CP364" i="1" s="1"/>
  <c r="BX364" i="1"/>
  <c r="BU364" i="1"/>
  <c r="BN364" i="1"/>
  <c r="BO364" i="1" s="1"/>
  <c r="BM364" i="1"/>
  <c r="BD364" i="1"/>
  <c r="BC364" i="1"/>
  <c r="BB364" i="1"/>
  <c r="BA364" i="1"/>
  <c r="AZ364" i="1"/>
  <c r="AY364" i="1"/>
  <c r="BE364" i="1" s="1" a="1"/>
  <c r="BE364" i="1" s="1"/>
  <c r="AX364" i="1"/>
  <c r="M364" i="1"/>
  <c r="EM363" i="1"/>
  <c r="DU363" i="1"/>
  <c r="DT363" i="1"/>
  <c r="DN363" i="1"/>
  <c r="DM363" i="1"/>
  <c r="DL363" i="1"/>
  <c r="DK363" i="1"/>
  <c r="DI363" i="1"/>
  <c r="DJ363" i="1" s="1"/>
  <c r="DC363" i="1"/>
  <c r="CX363" i="1"/>
  <c r="CN363" i="1"/>
  <c r="BX363" i="1"/>
  <c r="BN363" i="1"/>
  <c r="BO363" i="1" s="1"/>
  <c r="BM363" i="1"/>
  <c r="BD363" i="1"/>
  <c r="BC363" i="1"/>
  <c r="BB363" i="1"/>
  <c r="BA363" i="1"/>
  <c r="AZ363" i="1"/>
  <c r="AY363" i="1"/>
  <c r="BE363" i="1" s="1" a="1"/>
  <c r="BE363" i="1" s="1"/>
  <c r="AX363" i="1"/>
  <c r="M363" i="1"/>
  <c r="EM559" i="1"/>
  <c r="DU559" i="1"/>
  <c r="DT559" i="1"/>
  <c r="DN559" i="1"/>
  <c r="DM559" i="1"/>
  <c r="DL559" i="1"/>
  <c r="DK559" i="1"/>
  <c r="DI559" i="1"/>
  <c r="DJ559" i="1" s="1"/>
  <c r="DC559" i="1"/>
  <c r="CX559" i="1"/>
  <c r="CN559" i="1"/>
  <c r="BX559" i="1"/>
  <c r="BU559" i="1"/>
  <c r="BN559" i="1"/>
  <c r="BO559" i="1" s="1"/>
  <c r="BM559" i="1"/>
  <c r="BD559" i="1"/>
  <c r="BC559" i="1"/>
  <c r="BB559" i="1"/>
  <c r="BA559" i="1"/>
  <c r="AZ559" i="1"/>
  <c r="AY559" i="1"/>
  <c r="BE559" i="1" s="1" a="1"/>
  <c r="BE559" i="1" s="1"/>
  <c r="AX559" i="1"/>
  <c r="M559" i="1"/>
  <c r="EM558" i="1"/>
  <c r="DU558" i="1"/>
  <c r="DT558" i="1"/>
  <c r="DN558" i="1"/>
  <c r="DM558" i="1"/>
  <c r="DL558" i="1"/>
  <c r="DK558" i="1"/>
  <c r="DI558" i="1"/>
  <c r="DJ558" i="1" s="1"/>
  <c r="DC558" i="1"/>
  <c r="CX558" i="1"/>
  <c r="CN558" i="1"/>
  <c r="CR558" i="1" s="1"/>
  <c r="BX558" i="1"/>
  <c r="BU558" i="1"/>
  <c r="BN558" i="1"/>
  <c r="BO558" i="1" s="1"/>
  <c r="BM558" i="1"/>
  <c r="BD558" i="1"/>
  <c r="BC558" i="1"/>
  <c r="BB558" i="1"/>
  <c r="BA558" i="1"/>
  <c r="AZ558" i="1"/>
  <c r="AY558" i="1"/>
  <c r="BE558" i="1" s="1" a="1"/>
  <c r="BE558" i="1" s="1"/>
  <c r="AX558" i="1"/>
  <c r="M558" i="1"/>
  <c r="EM544" i="1"/>
  <c r="DU544" i="1"/>
  <c r="DT544" i="1"/>
  <c r="DN544" i="1"/>
  <c r="DM544" i="1"/>
  <c r="DL544" i="1"/>
  <c r="DK544" i="1"/>
  <c r="DI544" i="1"/>
  <c r="DJ544" i="1" s="1"/>
  <c r="DC544" i="1"/>
  <c r="CX544" i="1"/>
  <c r="CN544" i="1"/>
  <c r="BX544" i="1"/>
  <c r="BU544" i="1"/>
  <c r="BN544" i="1"/>
  <c r="BO544" i="1" s="1"/>
  <c r="BM544" i="1"/>
  <c r="BD544" i="1"/>
  <c r="BC544" i="1"/>
  <c r="BB544" i="1"/>
  <c r="BA544" i="1"/>
  <c r="AZ544" i="1"/>
  <c r="BF544" i="1" s="1" a="1"/>
  <c r="BF544" i="1" s="1"/>
  <c r="AY544" i="1"/>
  <c r="BE544" i="1" s="1" a="1"/>
  <c r="BE544" i="1" s="1"/>
  <c r="AX544" i="1"/>
  <c r="M544" i="1"/>
  <c r="EM543" i="1"/>
  <c r="DU543" i="1"/>
  <c r="DT543" i="1"/>
  <c r="DN543" i="1"/>
  <c r="DM543" i="1"/>
  <c r="DL543" i="1"/>
  <c r="DK543" i="1"/>
  <c r="DI543" i="1"/>
  <c r="DJ543" i="1" s="1"/>
  <c r="DC543" i="1"/>
  <c r="CX543" i="1"/>
  <c r="CN543" i="1"/>
  <c r="CR543" i="1" s="1"/>
  <c r="BX543" i="1"/>
  <c r="BU543" i="1"/>
  <c r="BN543" i="1"/>
  <c r="BO543" i="1" s="1"/>
  <c r="BM543" i="1"/>
  <c r="BD543" i="1"/>
  <c r="BC543" i="1"/>
  <c r="BB543" i="1"/>
  <c r="BA543" i="1"/>
  <c r="AZ543" i="1"/>
  <c r="BF543" i="1" s="1" a="1"/>
  <c r="BF543" i="1" s="1"/>
  <c r="AY543" i="1"/>
  <c r="BE543" i="1" s="1" a="1"/>
  <c r="BE543" i="1" s="1"/>
  <c r="AX543" i="1"/>
  <c r="M543" i="1"/>
  <c r="EM357" i="1"/>
  <c r="DU357" i="1"/>
  <c r="DT357" i="1"/>
  <c r="DN357" i="1"/>
  <c r="DM357" i="1"/>
  <c r="DL357" i="1"/>
  <c r="DK357" i="1"/>
  <c r="DI357" i="1"/>
  <c r="DJ357" i="1" s="1"/>
  <c r="DC357" i="1"/>
  <c r="CX357" i="1"/>
  <c r="CN357" i="1"/>
  <c r="CO357" i="1" s="1"/>
  <c r="BX357" i="1"/>
  <c r="BU357" i="1"/>
  <c r="BN357" i="1"/>
  <c r="BO357" i="1" s="1"/>
  <c r="BM357" i="1"/>
  <c r="BD357" i="1"/>
  <c r="BC357" i="1"/>
  <c r="BB357" i="1"/>
  <c r="BA357" i="1"/>
  <c r="AZ357" i="1"/>
  <c r="AY357" i="1"/>
  <c r="BE357" i="1" s="1" a="1"/>
  <c r="BE357" i="1" s="1"/>
  <c r="AX357" i="1"/>
  <c r="M357" i="1"/>
  <c r="EM356" i="1"/>
  <c r="DU356" i="1"/>
  <c r="DT356" i="1"/>
  <c r="DN356" i="1"/>
  <c r="DM356" i="1"/>
  <c r="DL356" i="1"/>
  <c r="DK356" i="1"/>
  <c r="DI356" i="1"/>
  <c r="DJ356" i="1" s="1"/>
  <c r="DC356" i="1"/>
  <c r="CX356" i="1"/>
  <c r="CN356" i="1"/>
  <c r="CP356" i="1" s="1"/>
  <c r="BX356" i="1"/>
  <c r="BU356" i="1"/>
  <c r="BN356" i="1"/>
  <c r="BO356" i="1" s="1"/>
  <c r="BM356" i="1"/>
  <c r="BD356" i="1"/>
  <c r="BC356" i="1"/>
  <c r="BB356" i="1"/>
  <c r="BA356" i="1"/>
  <c r="AZ356" i="1"/>
  <c r="AY356" i="1"/>
  <c r="BE356" i="1" s="1" a="1"/>
  <c r="BE356" i="1" s="1"/>
  <c r="AX356" i="1"/>
  <c r="M356" i="1"/>
  <c r="EM362" i="1"/>
  <c r="DU362" i="1"/>
  <c r="DT362" i="1"/>
  <c r="DN362" i="1"/>
  <c r="DM362" i="1"/>
  <c r="DL362" i="1"/>
  <c r="DK362" i="1"/>
  <c r="DI362" i="1"/>
  <c r="DJ362" i="1" s="1"/>
  <c r="DC362" i="1"/>
  <c r="CX362" i="1"/>
  <c r="CN362" i="1"/>
  <c r="CS362" i="1" s="1"/>
  <c r="BX362" i="1"/>
  <c r="BU362" i="1"/>
  <c r="BN362" i="1"/>
  <c r="BO362" i="1" s="1"/>
  <c r="BM362" i="1"/>
  <c r="BD362" i="1"/>
  <c r="BC362" i="1"/>
  <c r="BB362" i="1"/>
  <c r="BA362" i="1"/>
  <c r="AZ362" i="1"/>
  <c r="AY362" i="1"/>
  <c r="BE362" i="1" s="1" a="1"/>
  <c r="BE362" i="1" s="1"/>
  <c r="AX362" i="1"/>
  <c r="M362" i="1"/>
  <c r="EM361" i="1"/>
  <c r="DU361" i="1"/>
  <c r="DT361" i="1"/>
  <c r="DN361" i="1"/>
  <c r="DM361" i="1"/>
  <c r="DL361" i="1"/>
  <c r="DK361" i="1"/>
  <c r="DI361" i="1"/>
  <c r="DJ361" i="1" s="1"/>
  <c r="DC361" i="1"/>
  <c r="CX361" i="1"/>
  <c r="CN361" i="1"/>
  <c r="CO361" i="1" s="1"/>
  <c r="BX361" i="1"/>
  <c r="BU361" i="1"/>
  <c r="BN361" i="1"/>
  <c r="BO361" i="1" s="1"/>
  <c r="BM361" i="1"/>
  <c r="BD361" i="1"/>
  <c r="BC361" i="1"/>
  <c r="BB361" i="1"/>
  <c r="BA361" i="1"/>
  <c r="AZ361" i="1"/>
  <c r="AY361" i="1"/>
  <c r="BE361" i="1" s="1" a="1"/>
  <c r="BE361" i="1" s="1"/>
  <c r="AX361" i="1"/>
  <c r="M361" i="1"/>
  <c r="BF771" i="1" l="1" a="1"/>
  <c r="BF771" i="1" s="1"/>
  <c r="BF517" i="1" a="1"/>
  <c r="BF517" i="1" s="1"/>
  <c r="BF296" i="1" a="1"/>
  <c r="BF296" i="1" s="1"/>
  <c r="BF358" i="1" a="1"/>
  <c r="BF358" i="1" s="1"/>
  <c r="BF563" i="1" a="1"/>
  <c r="BF563" i="1" s="1"/>
  <c r="BF405" i="1" a="1"/>
  <c r="BF405" i="1" s="1"/>
  <c r="BF357" i="1" a="1"/>
  <c r="BF357" i="1" s="1"/>
  <c r="BF825" i="1" a="1"/>
  <c r="BF825" i="1" s="1"/>
  <c r="BF813" i="1" a="1"/>
  <c r="BF813" i="1" s="1"/>
  <c r="BF1196" i="1" a="1"/>
  <c r="BF1196" i="1" s="1"/>
  <c r="BF381" i="1" a="1"/>
  <c r="BF381" i="1" s="1"/>
  <c r="BF834" i="1" a="1"/>
  <c r="BF834" i="1" s="1"/>
  <c r="BF842" i="1" a="1"/>
  <c r="BF842" i="1" s="1"/>
  <c r="BF385" i="1" a="1"/>
  <c r="BF385" i="1" s="1"/>
  <c r="BF1207" i="1" a="1"/>
  <c r="BF1207" i="1" s="1"/>
  <c r="BF1215" i="1" a="1"/>
  <c r="BF1215" i="1" s="1"/>
  <c r="BF434" i="1" a="1"/>
  <c r="BF434" i="1" s="1"/>
  <c r="BF841" i="1" a="1"/>
  <c r="BF841" i="1" s="1"/>
  <c r="BF384" i="1" a="1"/>
  <c r="BF384" i="1" s="1"/>
  <c r="BF1206" i="1" a="1"/>
  <c r="BF1206" i="1" s="1"/>
  <c r="BF1214" i="1" a="1"/>
  <c r="BF1214" i="1" s="1"/>
  <c r="BF377" i="1" a="1"/>
  <c r="BF377" i="1" s="1"/>
  <c r="BF1227" i="1" a="1"/>
  <c r="BF1227" i="1" s="1"/>
  <c r="BF1229" i="1" a="1"/>
  <c r="BF1229" i="1" s="1"/>
  <c r="BF1231" i="1" a="1"/>
  <c r="BF1231" i="1" s="1"/>
  <c r="BF401" i="1" a="1"/>
  <c r="BF401" i="1" s="1"/>
  <c r="BF283" i="1" a="1"/>
  <c r="BF283" i="1" s="1"/>
  <c r="BF376" i="1" a="1"/>
  <c r="BF376" i="1" s="1"/>
  <c r="BF1168" i="1" a="1"/>
  <c r="BF1168" i="1" s="1"/>
  <c r="BF1172" i="1" a="1"/>
  <c r="BF1172" i="1" s="1"/>
  <c r="BF1162" i="1" a="1"/>
  <c r="BF1162" i="1" s="1"/>
  <c r="BF125" i="1" a="1"/>
  <c r="BF125" i="1" s="1"/>
  <c r="BF336" i="1" a="1"/>
  <c r="BF336" i="1" s="1"/>
  <c r="BF127" i="1" a="1"/>
  <c r="BF127" i="1" s="1"/>
  <c r="BF289" i="1" a="1"/>
  <c r="BF289" i="1" s="1"/>
  <c r="BF325" i="1" a="1"/>
  <c r="BF325" i="1" s="1"/>
  <c r="BF293" i="1" a="1"/>
  <c r="BF293" i="1" s="1"/>
  <c r="BF356" i="1" a="1"/>
  <c r="BF356" i="1" s="1"/>
  <c r="BF364" i="1" a="1"/>
  <c r="BF364" i="1" s="1"/>
  <c r="BF362" i="1" a="1"/>
  <c r="BF362" i="1" s="1"/>
  <c r="BF826" i="1" a="1"/>
  <c r="BF826" i="1" s="1"/>
  <c r="BF1135" i="1" a="1"/>
  <c r="BF1135" i="1" s="1"/>
  <c r="BF1137" i="1" a="1"/>
  <c r="BF1137" i="1" s="1"/>
  <c r="BF1139" i="1" a="1"/>
  <c r="BF1139" i="1" s="1"/>
  <c r="BF1141" i="1" a="1"/>
  <c r="BF1141" i="1" s="1"/>
  <c r="BF831" i="1" a="1"/>
  <c r="BF831" i="1" s="1"/>
  <c r="BF839" i="1" a="1"/>
  <c r="BF839" i="1" s="1"/>
  <c r="BF382" i="1" a="1"/>
  <c r="BF382" i="1" s="1"/>
  <c r="BF1212" i="1" a="1"/>
  <c r="BF1212" i="1" s="1"/>
  <c r="BF326" i="1" a="1"/>
  <c r="BF326" i="1" s="1"/>
  <c r="BF1238" i="1" a="1"/>
  <c r="BF1238" i="1" s="1"/>
  <c r="BF1239" i="1" a="1"/>
  <c r="BF1239" i="1" s="1"/>
  <c r="BF661" i="1" a="1"/>
  <c r="BF661" i="1" s="1"/>
  <c r="BF375" i="1" a="1"/>
  <c r="BF375" i="1" s="1"/>
  <c r="BF1167" i="1" a="1"/>
  <c r="BF1167" i="1" s="1"/>
  <c r="BF1171" i="1" a="1"/>
  <c r="BF1171" i="1" s="1"/>
  <c r="BF815" i="1" a="1"/>
  <c r="BF815" i="1" s="1"/>
  <c r="BF1177" i="1" a="1"/>
  <c r="BF1177" i="1" s="1"/>
  <c r="BF318" i="1" a="1"/>
  <c r="BF318" i="1" s="1"/>
  <c r="BF335" i="1" a="1"/>
  <c r="BF335" i="1" s="1"/>
  <c r="BF285" i="1" a="1"/>
  <c r="BF285" i="1" s="1"/>
  <c r="BF291" i="1" a="1"/>
  <c r="BF291" i="1" s="1"/>
  <c r="BF435" i="1" a="1"/>
  <c r="BF435" i="1" s="1"/>
  <c r="BF294" i="1" a="1"/>
  <c r="BF294" i="1" s="1"/>
  <c r="BF624" i="1" a="1"/>
  <c r="BF624" i="1" s="1"/>
  <c r="BF628" i="1" a="1"/>
  <c r="BF628" i="1" s="1"/>
  <c r="BF1220" i="1" a="1"/>
  <c r="BF1220" i="1" s="1"/>
  <c r="BF1222" i="1" a="1"/>
  <c r="BF1222" i="1" s="1"/>
  <c r="BF1225" i="1" a="1"/>
  <c r="BF1225" i="1" s="1"/>
  <c r="BF402" i="1" a="1"/>
  <c r="BF402" i="1" s="1"/>
  <c r="BF1165" i="1" a="1"/>
  <c r="BF1165" i="1" s="1"/>
  <c r="BF284" i="1" a="1"/>
  <c r="BF284" i="1" s="1"/>
  <c r="BF319" i="1" a="1"/>
  <c r="BF319" i="1" s="1"/>
  <c r="BF320" i="1" a="1"/>
  <c r="BF320" i="1" s="1"/>
  <c r="BF300" i="1" a="1"/>
  <c r="BF300" i="1" s="1"/>
  <c r="BF302" i="1" a="1"/>
  <c r="BF302" i="1" s="1"/>
  <c r="BF305" i="1" a="1"/>
  <c r="BF305" i="1" s="1"/>
  <c r="BF148" i="1" a="1"/>
  <c r="BF148" i="1" s="1"/>
  <c r="BF323" i="1" a="1"/>
  <c r="BF323" i="1" s="1"/>
  <c r="BF308" i="1" a="1"/>
  <c r="BF308" i="1" s="1"/>
  <c r="BF350" i="1" a="1"/>
  <c r="BF350" i="1" s="1"/>
  <c r="BF354" i="1" a="1"/>
  <c r="BF354" i="1" s="1"/>
  <c r="BF314" i="1" a="1"/>
  <c r="BF314" i="1" s="1"/>
  <c r="BF823" i="1" a="1"/>
  <c r="BF823" i="1" s="1"/>
  <c r="BF1200" i="1" a="1"/>
  <c r="BF1200" i="1" s="1"/>
  <c r="BF626" i="1" a="1"/>
  <c r="BF626" i="1" s="1"/>
  <c r="BF562" i="1" a="1"/>
  <c r="BF562" i="1" s="1"/>
  <c r="BF539" i="1" a="1"/>
  <c r="BF539" i="1" s="1"/>
  <c r="BF817" i="1" a="1"/>
  <c r="BF817" i="1" s="1"/>
  <c r="BF1202" i="1" a="1"/>
  <c r="BF1202" i="1" s="1"/>
  <c r="BF380" i="1" a="1"/>
  <c r="BF380" i="1" s="1"/>
  <c r="BF832" i="1" a="1"/>
  <c r="BF832" i="1" s="1"/>
  <c r="BF840" i="1" a="1"/>
  <c r="BF840" i="1" s="1"/>
  <c r="BF383" i="1" a="1"/>
  <c r="BF383" i="1" s="1"/>
  <c r="BF1205" i="1" a="1"/>
  <c r="BF1205" i="1" s="1"/>
  <c r="BF1213" i="1" a="1"/>
  <c r="BF1213" i="1" s="1"/>
  <c r="BF1223" i="1" a="1"/>
  <c r="BF1223" i="1" s="1"/>
  <c r="BF1164" i="1" a="1"/>
  <c r="BF1164" i="1" s="1"/>
  <c r="BF1241" i="1" a="1"/>
  <c r="BF1241" i="1" s="1"/>
  <c r="BF1198" i="1" a="1"/>
  <c r="BF1198" i="1" s="1"/>
  <c r="BF282" i="1" a="1"/>
  <c r="BF282" i="1" s="1"/>
  <c r="BF337" i="1" a="1"/>
  <c r="BF337" i="1" s="1"/>
  <c r="BF297" i="1" a="1"/>
  <c r="BF297" i="1" s="1"/>
  <c r="BF342" i="1" a="1"/>
  <c r="BF342" i="1" s="1"/>
  <c r="BF307" i="1" a="1"/>
  <c r="BF307" i="1" s="1"/>
  <c r="BF345" i="1" a="1"/>
  <c r="BF345" i="1" s="1"/>
  <c r="BF1142" i="1" a="1"/>
  <c r="BF1142" i="1" s="1"/>
  <c r="BF1144" i="1" a="1"/>
  <c r="BF1144" i="1" s="1"/>
  <c r="BF1146" i="1" a="1"/>
  <c r="BF1146" i="1" s="1"/>
  <c r="BF1148" i="1" a="1"/>
  <c r="BF1148" i="1" s="1"/>
  <c r="BF1150" i="1" a="1"/>
  <c r="BF1150" i="1" s="1"/>
  <c r="BF1152" i="1" a="1"/>
  <c r="BF1152" i="1" s="1"/>
  <c r="BF1154" i="1" a="1"/>
  <c r="BF1154" i="1" s="1"/>
  <c r="BF1156" i="1" a="1"/>
  <c r="BF1156" i="1" s="1"/>
  <c r="BF1158" i="1" a="1"/>
  <c r="BF1158" i="1" s="1"/>
  <c r="BF1178" i="1" a="1"/>
  <c r="BF1178" i="1" s="1"/>
  <c r="BF1180" i="1" a="1"/>
  <c r="BF1180" i="1" s="1"/>
  <c r="BF1182" i="1" a="1"/>
  <c r="BF1182" i="1" s="1"/>
  <c r="BF1184" i="1" a="1"/>
  <c r="BF1184" i="1" s="1"/>
  <c r="BF1186" i="1" a="1"/>
  <c r="BF1186" i="1" s="1"/>
  <c r="BF1188" i="1" a="1"/>
  <c r="BF1188" i="1" s="1"/>
  <c r="BF1190" i="1" a="1"/>
  <c r="BF1190" i="1" s="1"/>
  <c r="BF1192" i="1" a="1"/>
  <c r="BF1192" i="1" s="1"/>
  <c r="BF1194" i="1" a="1"/>
  <c r="BF1194" i="1" s="1"/>
  <c r="BF349" i="1" a="1"/>
  <c r="BF349" i="1" s="1"/>
  <c r="BF353" i="1" a="1"/>
  <c r="BF353" i="1" s="1"/>
  <c r="BF313" i="1" a="1"/>
  <c r="BF313" i="1" s="1"/>
  <c r="BF317" i="1" a="1"/>
  <c r="BF317" i="1" s="1"/>
  <c r="BF822" i="1" a="1"/>
  <c r="BF822" i="1" s="1"/>
  <c r="BF1199" i="1" a="1"/>
  <c r="BF1199" i="1" s="1"/>
  <c r="BF1132" i="1" a="1"/>
  <c r="BF1132" i="1" s="1"/>
  <c r="BF808" i="1" a="1"/>
  <c r="BF808" i="1" s="1"/>
  <c r="BF303" i="1" a="1"/>
  <c r="BF303" i="1" s="1"/>
  <c r="BF322" i="1" a="1"/>
  <c r="BF322" i="1" s="1"/>
  <c r="BF346" i="1" a="1"/>
  <c r="BF346" i="1" s="1"/>
  <c r="BF1236" i="1" a="1"/>
  <c r="BF1236" i="1" s="1"/>
  <c r="BF807" i="1" a="1"/>
  <c r="BF807" i="1" s="1"/>
  <c r="BF433" i="1" a="1"/>
  <c r="BF433" i="1" s="1"/>
  <c r="BF361" i="1" a="1"/>
  <c r="BF361" i="1" s="1"/>
  <c r="BF363" i="1" a="1"/>
  <c r="BF363" i="1" s="1"/>
  <c r="BF561" i="1" a="1"/>
  <c r="BF561" i="1" s="1"/>
  <c r="BF534" i="1" a="1"/>
  <c r="BF534" i="1" s="1"/>
  <c r="BF542" i="1" a="1"/>
  <c r="BF542" i="1" s="1"/>
  <c r="BF824" i="1" a="1"/>
  <c r="BF824" i="1" s="1"/>
  <c r="BF812" i="1" a="1"/>
  <c r="BF812" i="1" s="1"/>
  <c r="BF379" i="1" a="1"/>
  <c r="BF379" i="1" s="1"/>
  <c r="BF830" i="1" a="1"/>
  <c r="BF830" i="1" s="1"/>
  <c r="BF838" i="1" a="1"/>
  <c r="BF838" i="1" s="1"/>
  <c r="BF1204" i="1" a="1"/>
  <c r="BF1204" i="1" s="1"/>
  <c r="BF1211" i="1" a="1"/>
  <c r="BF1211" i="1" s="1"/>
  <c r="BF1219" i="1" a="1"/>
  <c r="BF1219" i="1" s="1"/>
  <c r="BF1240" i="1" a="1"/>
  <c r="BF1240" i="1" s="1"/>
  <c r="BF286" i="1" a="1"/>
  <c r="BF286" i="1" s="1"/>
  <c r="BF128" i="1" a="1"/>
  <c r="BF128" i="1" s="1"/>
  <c r="BF304" i="1" a="1"/>
  <c r="BF304" i="1" s="1"/>
  <c r="BF306" i="1" a="1"/>
  <c r="BF306" i="1" s="1"/>
  <c r="BF324" i="1" a="1"/>
  <c r="BF324" i="1" s="1"/>
  <c r="BF311" i="1" a="1"/>
  <c r="BF311" i="1" s="1"/>
  <c r="BF827" i="1" a="1"/>
  <c r="BF827" i="1" s="1"/>
  <c r="BF829" i="1" a="1"/>
  <c r="BF829" i="1" s="1"/>
  <c r="BF837" i="1" a="1"/>
  <c r="BF837" i="1" s="1"/>
  <c r="BF1210" i="1" a="1"/>
  <c r="BF1210" i="1" s="1"/>
  <c r="BF1218" i="1" a="1"/>
  <c r="BF1218" i="1" s="1"/>
  <c r="BF1160" i="1" a="1"/>
  <c r="BF1160" i="1" s="1"/>
  <c r="BF1161" i="1" a="1"/>
  <c r="BF1161" i="1" s="1"/>
  <c r="BF1226" i="1" a="1"/>
  <c r="BF1226" i="1" s="1"/>
  <c r="BF1228" i="1" a="1"/>
  <c r="BF1228" i="1" s="1"/>
  <c r="BF1230" i="1" a="1"/>
  <c r="BF1230" i="1" s="1"/>
  <c r="BF295" i="1" a="1"/>
  <c r="BF295" i="1" s="1"/>
  <c r="BF518" i="1" a="1"/>
  <c r="BF518" i="1" s="1"/>
  <c r="BF1166" i="1" a="1"/>
  <c r="BF1166" i="1" s="1"/>
  <c r="BF374" i="1" a="1"/>
  <c r="BF374" i="1" s="1"/>
  <c r="BF816" i="1" a="1"/>
  <c r="BF816" i="1" s="1"/>
  <c r="BF1170" i="1" a="1"/>
  <c r="BF1170" i="1" s="1"/>
  <c r="BF1174" i="1" a="1"/>
  <c r="BF1174" i="1" s="1"/>
  <c r="BF1176" i="1" a="1"/>
  <c r="BF1176" i="1" s="1"/>
  <c r="BF126" i="1" a="1"/>
  <c r="BF126" i="1" s="1"/>
  <c r="BF334" i="1" a="1"/>
  <c r="BF334" i="1" s="1"/>
  <c r="BF299" i="1" a="1"/>
  <c r="BF299" i="1" s="1"/>
  <c r="BF321" i="1" a="1"/>
  <c r="BF321" i="1" s="1"/>
  <c r="BF805" i="1" a="1"/>
  <c r="BF805" i="1" s="1"/>
  <c r="BF629" i="1" a="1"/>
  <c r="BF629" i="1" s="1"/>
  <c r="BF559" i="1" a="1"/>
  <c r="BF559" i="1" s="1"/>
  <c r="BF558" i="1" a="1"/>
  <c r="BF558" i="1" s="1"/>
  <c r="BF560" i="1" a="1"/>
  <c r="BF560" i="1" s="1"/>
  <c r="BF533" i="1" a="1"/>
  <c r="BF533" i="1" s="1"/>
  <c r="BF541" i="1" a="1"/>
  <c r="BF541" i="1" s="1"/>
  <c r="BF819" i="1" a="1"/>
  <c r="BF819" i="1" s="1"/>
  <c r="BF814" i="1" a="1"/>
  <c r="BF814" i="1" s="1"/>
  <c r="BF828" i="1" a="1"/>
  <c r="BF828" i="1" s="1"/>
  <c r="BF836" i="1" a="1"/>
  <c r="BF836" i="1" s="1"/>
  <c r="BF1209" i="1" a="1"/>
  <c r="BF1209" i="1" s="1"/>
  <c r="BF1217" i="1" a="1"/>
  <c r="BF1217" i="1" s="1"/>
  <c r="BF1237" i="1" a="1"/>
  <c r="BF1237" i="1" s="1"/>
  <c r="BF1221" i="1" a="1"/>
  <c r="BF1221" i="1" s="1"/>
  <c r="BF404" i="1" a="1"/>
  <c r="BF404" i="1" s="1"/>
  <c r="BF660" i="1" a="1"/>
  <c r="BF660" i="1" s="1"/>
  <c r="BF301" i="1" a="1"/>
  <c r="BF301" i="1" s="1"/>
  <c r="BF288" i="1" a="1"/>
  <c r="BF288" i="1" s="1"/>
  <c r="BF341" i="1" a="1"/>
  <c r="BF341" i="1" s="1"/>
  <c r="BF290" i="1" a="1"/>
  <c r="BF290" i="1" s="1"/>
  <c r="BF150" i="1" a="1"/>
  <c r="BF150" i="1" s="1"/>
  <c r="BF309" i="1" a="1"/>
  <c r="BF309" i="1" s="1"/>
  <c r="BF292" i="1" a="1"/>
  <c r="BF292" i="1" s="1"/>
  <c r="BF310" i="1" a="1"/>
  <c r="BF310" i="1" s="1"/>
  <c r="BF1143" i="1" a="1"/>
  <c r="BF1143" i="1" s="1"/>
  <c r="BF1145" i="1" a="1"/>
  <c r="BF1145" i="1" s="1"/>
  <c r="BF1147" i="1" a="1"/>
  <c r="BF1147" i="1" s="1"/>
  <c r="BF1149" i="1" a="1"/>
  <c r="BF1149" i="1" s="1"/>
  <c r="BF1151" i="1" a="1"/>
  <c r="BF1151" i="1" s="1"/>
  <c r="BF1153" i="1" a="1"/>
  <c r="BF1153" i="1" s="1"/>
  <c r="BF1155" i="1" a="1"/>
  <c r="BF1155" i="1" s="1"/>
  <c r="BF1157" i="1" a="1"/>
  <c r="BF1157" i="1" s="1"/>
  <c r="BF1159" i="1" a="1"/>
  <c r="BF1159" i="1" s="1"/>
  <c r="BF1179" i="1" a="1"/>
  <c r="BF1179" i="1" s="1"/>
  <c r="BF1181" i="1" a="1"/>
  <c r="BF1181" i="1" s="1"/>
  <c r="BF1183" i="1" a="1"/>
  <c r="BF1183" i="1" s="1"/>
  <c r="BF1185" i="1" a="1"/>
  <c r="BF1185" i="1" s="1"/>
  <c r="BF1187" i="1" a="1"/>
  <c r="BF1187" i="1" s="1"/>
  <c r="BF1189" i="1" a="1"/>
  <c r="BF1189" i="1" s="1"/>
  <c r="BF1191" i="1" a="1"/>
  <c r="BF1191" i="1" s="1"/>
  <c r="BF1193" i="1" a="1"/>
  <c r="BF1193" i="1" s="1"/>
  <c r="BF1195" i="1" a="1"/>
  <c r="BF1195" i="1" s="1"/>
  <c r="BF351" i="1" a="1"/>
  <c r="BF351" i="1" s="1"/>
  <c r="BF355" i="1" a="1"/>
  <c r="BF355" i="1" s="1"/>
  <c r="BF315" i="1" a="1"/>
  <c r="BF315" i="1" s="1"/>
  <c r="BF1232" i="1" a="1"/>
  <c r="BF1232" i="1" s="1"/>
  <c r="BF1234" i="1" a="1"/>
  <c r="BF1234" i="1" s="1"/>
  <c r="BF1235" i="1" a="1"/>
  <c r="BF1235" i="1" s="1"/>
  <c r="BF625" i="1" a="1"/>
  <c r="BF625" i="1" s="1"/>
  <c r="BV127" i="1"/>
  <c r="BX127" i="1" s="1"/>
  <c r="CT127" i="1" s="1"/>
  <c r="BV1232" i="1"/>
  <c r="BX1232" i="1" s="1"/>
  <c r="BO377" i="1"/>
  <c r="BN769" i="1"/>
  <c r="CN48" i="1"/>
  <c r="BO49" i="1"/>
  <c r="CQ49" i="1" s="1"/>
  <c r="CN766" i="1"/>
  <c r="CP766" i="1" s="1"/>
  <c r="BN816" i="1"/>
  <c r="BO816" i="1" s="1"/>
  <c r="CQ816" i="1" s="1"/>
  <c r="BN1234" i="1"/>
  <c r="BV296" i="1"/>
  <c r="BX296" i="1" s="1"/>
  <c r="CT296" i="1" s="1"/>
  <c r="BV293" i="1"/>
  <c r="BX293" i="1" s="1"/>
  <c r="BY293" i="1" s="1"/>
  <c r="BV1224" i="1"/>
  <c r="BX1224" i="1" s="1"/>
  <c r="BV300" i="1"/>
  <c r="BX300" i="1" s="1"/>
  <c r="BN821" i="1"/>
  <c r="BO822" i="1"/>
  <c r="BO1233" i="1"/>
  <c r="BY1233" i="1" s="1"/>
  <c r="BN1132" i="1"/>
  <c r="BO1132" i="1" s="1"/>
  <c r="BY1132" i="1" s="1"/>
  <c r="BV334" i="1"/>
  <c r="BX334" i="1" s="1"/>
  <c r="CT334" i="1" s="1"/>
  <c r="BO1200" i="1"/>
  <c r="BY1200" i="1" s="1"/>
  <c r="CN1234" i="1"/>
  <c r="BV150" i="1"/>
  <c r="BX150" i="1" s="1"/>
  <c r="BV306" i="1"/>
  <c r="BX306" i="1" s="1"/>
  <c r="CT306" i="1" s="1"/>
  <c r="BV307" i="1"/>
  <c r="BX307" i="1" s="1"/>
  <c r="CT307" i="1" s="1"/>
  <c r="CR306" i="1"/>
  <c r="CN1198" i="1"/>
  <c r="CP1198" i="1" s="1"/>
  <c r="CS296" i="1"/>
  <c r="BV303" i="1"/>
  <c r="BX303" i="1" s="1"/>
  <c r="CT303" i="1" s="1"/>
  <c r="CR342" i="1"/>
  <c r="BV1234" i="1"/>
  <c r="BX1234" i="1" s="1"/>
  <c r="BV765" i="1"/>
  <c r="BX765" i="1" s="1"/>
  <c r="BF185" i="1" a="1"/>
  <c r="BF185" i="1" s="1"/>
  <c r="BY434" i="1"/>
  <c r="CT543" i="1"/>
  <c r="BV1241" i="1"/>
  <c r="BX1241" i="1" s="1"/>
  <c r="CN822" i="1"/>
  <c r="CO822" i="1" s="1"/>
  <c r="BV1203" i="1"/>
  <c r="BX1203" i="1" s="1"/>
  <c r="BO84" i="1"/>
  <c r="BY84" i="1" s="1"/>
  <c r="BV766" i="1"/>
  <c r="BX766" i="1" s="1"/>
  <c r="CS1241" i="1"/>
  <c r="BV308" i="1"/>
  <c r="BX308" i="1" s="1"/>
  <c r="BY308" i="1" s="1"/>
  <c r="CR311" i="1"/>
  <c r="BO1234" i="1"/>
  <c r="CN769" i="1"/>
  <c r="CR769" i="1" s="1"/>
  <c r="CN1135" i="1"/>
  <c r="CO1135" i="1" s="1"/>
  <c r="CN1140" i="1"/>
  <c r="CP1140" i="1" s="1"/>
  <c r="CN377" i="1"/>
  <c r="CR1240" i="1"/>
  <c r="BN822" i="1"/>
  <c r="BV297" i="1"/>
  <c r="BX297" i="1" s="1"/>
  <c r="CT297" i="1" s="1"/>
  <c r="BV48" i="1"/>
  <c r="BX48" i="1" s="1"/>
  <c r="CT48" i="1" s="1"/>
  <c r="BN49" i="1"/>
  <c r="BU1234" i="1"/>
  <c r="CN1138" i="1"/>
  <c r="CQ1138" i="1" s="1"/>
  <c r="BV822" i="1"/>
  <c r="BX822" i="1" s="1"/>
  <c r="BN1233" i="1"/>
  <c r="BN1236" i="1"/>
  <c r="BO1236" i="1" s="1"/>
  <c r="BY1236" i="1" s="1"/>
  <c r="BN1133" i="1"/>
  <c r="BO1133" i="1" s="1"/>
  <c r="BY1133" i="1" s="1"/>
  <c r="BN1134" i="1"/>
  <c r="BO1134" i="1" s="1"/>
  <c r="BN809" i="1"/>
  <c r="BO809" i="1" s="1"/>
  <c r="CQ809" i="1" s="1"/>
  <c r="BN810" i="1"/>
  <c r="BO810" i="1" s="1"/>
  <c r="BY810" i="1" s="1"/>
  <c r="BN811" i="1"/>
  <c r="BO811" i="1" s="1"/>
  <c r="BY811" i="1" s="1"/>
  <c r="BF41" i="1" a="1"/>
  <c r="BF41" i="1" s="1"/>
  <c r="BE41" i="1" s="1" a="1"/>
  <c r="BE41" i="1" s="1"/>
  <c r="BN1141" i="1"/>
  <c r="BO1141" i="1" s="1"/>
  <c r="BY1141" i="1" s="1"/>
  <c r="CT360" i="1"/>
  <c r="CT534" i="1"/>
  <c r="BU1232" i="1"/>
  <c r="BY28" i="1"/>
  <c r="CQ287" i="1"/>
  <c r="BF33" i="1" a="1"/>
  <c r="BF33" i="1" s="1"/>
  <c r="BF26" i="1" a="1"/>
  <c r="BF26" i="1" s="1"/>
  <c r="CQ834" i="1"/>
  <c r="BY1205" i="1"/>
  <c r="CP306" i="1"/>
  <c r="CS160" i="1"/>
  <c r="CQ167" i="1"/>
  <c r="BY1163" i="1"/>
  <c r="BF166" i="1" a="1"/>
  <c r="BF166" i="1" s="1"/>
  <c r="BE166" i="1" s="1" a="1"/>
  <c r="BE166" i="1" s="1"/>
  <c r="CP160" i="1"/>
  <c r="BY629" i="1"/>
  <c r="CO292" i="1"/>
  <c r="CT1222" i="1"/>
  <c r="CT73" i="1"/>
  <c r="CQ356" i="1"/>
  <c r="CT49" i="1"/>
  <c r="CQ1225" i="1"/>
  <c r="BY661" i="1"/>
  <c r="CT355" i="1"/>
  <c r="BF30" i="1" a="1"/>
  <c r="BF30" i="1" s="1"/>
  <c r="CO198" i="1"/>
  <c r="BY625" i="1"/>
  <c r="BY631" i="1"/>
  <c r="BY32" i="1"/>
  <c r="CO173" i="1"/>
  <c r="CT356" i="1"/>
  <c r="CP173" i="1"/>
  <c r="CP199" i="1"/>
  <c r="CQ1161" i="1"/>
  <c r="CS290" i="1"/>
  <c r="CV290" i="1" s="1"/>
  <c r="CT1148" i="1"/>
  <c r="CU1148" i="1" s="1"/>
  <c r="CS75" i="1"/>
  <c r="CR356" i="1"/>
  <c r="BF197" i="1" a="1"/>
  <c r="BF197" i="1" s="1"/>
  <c r="BE197" i="1" s="1" a="1"/>
  <c r="BE197" i="1" s="1"/>
  <c r="BY362" i="1"/>
  <c r="CQ539" i="1"/>
  <c r="BF19" i="1" a="1"/>
  <c r="BF19" i="1" s="1"/>
  <c r="BY177" i="1"/>
  <c r="CS183" i="1"/>
  <c r="BY8" i="1"/>
  <c r="BY350" i="1"/>
  <c r="CS73" i="1"/>
  <c r="CT808" i="1"/>
  <c r="CQ302" i="1"/>
  <c r="CP292" i="1"/>
  <c r="CT74" i="1"/>
  <c r="CR160" i="1"/>
  <c r="CT162" i="1"/>
  <c r="BY31" i="1"/>
  <c r="BF190" i="1" a="1"/>
  <c r="BF190" i="1" s="1"/>
  <c r="BE190" i="1" s="1" a="1"/>
  <c r="BE190" i="1" s="1"/>
  <c r="CQ1223" i="1"/>
  <c r="CO1240" i="1"/>
  <c r="CS292" i="1"/>
  <c r="CV292" i="1" s="1"/>
  <c r="CS40" i="1"/>
  <c r="CT561" i="1"/>
  <c r="CQ1196" i="1"/>
  <c r="CQ385" i="1"/>
  <c r="CO1208" i="1"/>
  <c r="CQ1222" i="1"/>
  <c r="CR401" i="1"/>
  <c r="CV401" i="1" s="1"/>
  <c r="BY376" i="1"/>
  <c r="CS837" i="1"/>
  <c r="CV837" i="1" s="1"/>
  <c r="BY829" i="1"/>
  <c r="BF180" i="1" a="1"/>
  <c r="BF180" i="1" s="1"/>
  <c r="BE180" i="1" s="1" a="1"/>
  <c r="BE180" i="1" s="1"/>
  <c r="CR1208" i="1"/>
  <c r="CV1208" i="1" s="1"/>
  <c r="CO1217" i="1"/>
  <c r="CQ1230" i="1"/>
  <c r="BY403" i="1"/>
  <c r="BY517" i="1"/>
  <c r="CP287" i="1"/>
  <c r="BF35" i="1" a="1"/>
  <c r="BF35" i="1" s="1"/>
  <c r="CS820" i="1"/>
  <c r="CQ363" i="1"/>
  <c r="BF170" i="1" a="1"/>
  <c r="BF170" i="1" s="1"/>
  <c r="BE170" i="1" s="1" a="1"/>
  <c r="BE170" i="1" s="1"/>
  <c r="BF174" i="1" a="1"/>
  <c r="BF174" i="1" s="1"/>
  <c r="BE174" i="1" s="1" a="1"/>
  <c r="BE174" i="1" s="1"/>
  <c r="CQ175" i="1"/>
  <c r="CQ183" i="1"/>
  <c r="CP191" i="1"/>
  <c r="CQ199" i="1"/>
  <c r="CO384" i="1"/>
  <c r="CS1217" i="1"/>
  <c r="CV1217" i="1" s="1"/>
  <c r="CP1161" i="1"/>
  <c r="CQ292" i="1"/>
  <c r="CQ355" i="1"/>
  <c r="CP75" i="1"/>
  <c r="CT157" i="1"/>
  <c r="CO808" i="1"/>
  <c r="BY589" i="1"/>
  <c r="CP379" i="1"/>
  <c r="CQ827" i="1"/>
  <c r="CU827" i="1" s="1"/>
  <c r="CQ313" i="1"/>
  <c r="BF28" i="1" a="1"/>
  <c r="BF28" i="1" s="1"/>
  <c r="BF43" i="1" a="1"/>
  <c r="BF43" i="1" s="1"/>
  <c r="CQ826" i="1"/>
  <c r="CO170" i="1"/>
  <c r="CO174" i="1"/>
  <c r="BF194" i="1" a="1"/>
  <c r="BF194" i="1" s="1"/>
  <c r="BE194" i="1" s="1" a="1"/>
  <c r="BE194" i="1" s="1"/>
  <c r="CR198" i="1"/>
  <c r="CV198" i="1" s="1"/>
  <c r="CQ401" i="1"/>
  <c r="BF39" i="1" a="1"/>
  <c r="BF39" i="1" s="1"/>
  <c r="BE39" i="1" s="1" a="1"/>
  <c r="BE39" i="1" s="1"/>
  <c r="BY1164" i="1"/>
  <c r="CP187" i="1"/>
  <c r="BF195" i="1" a="1"/>
  <c r="BF195" i="1" s="1"/>
  <c r="BE195" i="1" s="1" a="1"/>
  <c r="BE195" i="1" s="1"/>
  <c r="CP195" i="1"/>
  <c r="CT1221" i="1"/>
  <c r="BY319" i="1"/>
  <c r="CP322" i="1"/>
  <c r="CO310" i="1"/>
  <c r="CT1146" i="1"/>
  <c r="CU1146" i="1" s="1"/>
  <c r="CS79" i="1"/>
  <c r="CV79" i="1" s="1"/>
  <c r="CS627" i="1"/>
  <c r="CV627" i="1" s="1"/>
  <c r="CP631" i="1"/>
  <c r="BY29" i="1"/>
  <c r="BY30" i="1"/>
  <c r="BF32" i="1" a="1"/>
  <c r="BF32" i="1" s="1"/>
  <c r="BY33" i="1"/>
  <c r="CR434" i="1"/>
  <c r="CO38" i="1"/>
  <c r="BY39" i="1"/>
  <c r="BY41" i="1"/>
  <c r="BN17" i="1"/>
  <c r="BO17" i="1" s="1"/>
  <c r="CP363" i="1"/>
  <c r="BY820" i="1"/>
  <c r="CR833" i="1"/>
  <c r="CV833" i="1" s="1"/>
  <c r="BY837" i="1"/>
  <c r="CO841" i="1"/>
  <c r="BY174" i="1"/>
  <c r="BF178" i="1" a="1"/>
  <c r="BF178" i="1" s="1"/>
  <c r="BE178" i="1" s="1" a="1"/>
  <c r="BE178" i="1" s="1"/>
  <c r="BY178" i="1"/>
  <c r="BY185" i="1"/>
  <c r="CR187" i="1"/>
  <c r="CQ193" i="1"/>
  <c r="CR195" i="1"/>
  <c r="CO1220" i="1"/>
  <c r="CO1221" i="1"/>
  <c r="CO1222" i="1"/>
  <c r="CT1223" i="1"/>
  <c r="CP13" i="1"/>
  <c r="CO16" i="1"/>
  <c r="BY317" i="1"/>
  <c r="CT1134" i="1"/>
  <c r="CS434" i="1"/>
  <c r="CP38" i="1"/>
  <c r="CP543" i="1"/>
  <c r="CO360" i="1"/>
  <c r="CT819" i="1"/>
  <c r="CP1196" i="1"/>
  <c r="CT834" i="1"/>
  <c r="BF186" i="1" a="1"/>
  <c r="BF186" i="1" s="1"/>
  <c r="BE186" i="1" s="1" a="1"/>
  <c r="BE186" i="1" s="1"/>
  <c r="BY186" i="1"/>
  <c r="CS187" i="1"/>
  <c r="CS195" i="1"/>
  <c r="CP1222" i="1"/>
  <c r="BY1160" i="1"/>
  <c r="BY1228" i="1"/>
  <c r="CR16" i="1"/>
  <c r="CV16" i="1" s="1"/>
  <c r="CQ346" i="1"/>
  <c r="CO155" i="1"/>
  <c r="CO628" i="1"/>
  <c r="CQ26" i="1"/>
  <c r="CO33" i="1"/>
  <c r="CO543" i="1"/>
  <c r="CQ840" i="1"/>
  <c r="CQ186" i="1"/>
  <c r="CO1223" i="1"/>
  <c r="CR1161" i="1"/>
  <c r="BY660" i="1"/>
  <c r="CT1155" i="1"/>
  <c r="CU1155" i="1" s="1"/>
  <c r="CO349" i="1"/>
  <c r="CP82" i="1"/>
  <c r="CO74" i="1"/>
  <c r="CO77" i="1"/>
  <c r="CR155" i="1"/>
  <c r="CO162" i="1"/>
  <c r="CQ628" i="1"/>
  <c r="CP33" i="1"/>
  <c r="CO363" i="1"/>
  <c r="CS356" i="1"/>
  <c r="CR379" i="1"/>
  <c r="CV379" i="1" s="1"/>
  <c r="CP834" i="1"/>
  <c r="BF165" i="1" a="1"/>
  <c r="BF165" i="1" s="1"/>
  <c r="BE165" i="1" s="1" a="1"/>
  <c r="BE165" i="1" s="1"/>
  <c r="CQ168" i="1"/>
  <c r="CR174" i="1"/>
  <c r="CV174" i="1" s="1"/>
  <c r="CQ176" i="1"/>
  <c r="BF179" i="1" a="1"/>
  <c r="BF179" i="1" s="1"/>
  <c r="BE179" i="1" s="1" a="1"/>
  <c r="BE179" i="1" s="1"/>
  <c r="CO186" i="1"/>
  <c r="CQ187" i="1"/>
  <c r="CQ195" i="1"/>
  <c r="CR199" i="1"/>
  <c r="CR384" i="1"/>
  <c r="CV384" i="1" s="1"/>
  <c r="CS1207" i="1"/>
  <c r="CV1207" i="1" s="1"/>
  <c r="CP1223" i="1"/>
  <c r="CS1161" i="1"/>
  <c r="BY295" i="1"/>
  <c r="CO283" i="1"/>
  <c r="CR304" i="1"/>
  <c r="CR310" i="1"/>
  <c r="CR82" i="1"/>
  <c r="CV82" i="1" s="1"/>
  <c r="CP78" i="1"/>
  <c r="CS155" i="1"/>
  <c r="CS163" i="1"/>
  <c r="CR628" i="1"/>
  <c r="CP36" i="1"/>
  <c r="BF579" i="1" a="1"/>
  <c r="BF579" i="1" s="1"/>
  <c r="CP360" i="1"/>
  <c r="CS360" i="1"/>
  <c r="CV360" i="1" s="1"/>
  <c r="BY43" i="1"/>
  <c r="CR834" i="1"/>
  <c r="CQ181" i="1"/>
  <c r="CP183" i="1"/>
  <c r="CR186" i="1"/>
  <c r="BF198" i="1" a="1"/>
  <c r="BF198" i="1" s="1"/>
  <c r="BE198" i="1" s="1" a="1"/>
  <c r="BE198" i="1" s="1"/>
  <c r="CS199" i="1"/>
  <c r="CQ1214" i="1"/>
  <c r="CO1225" i="1"/>
  <c r="CQ284" i="1"/>
  <c r="CS310" i="1"/>
  <c r="CT1143" i="1"/>
  <c r="CU1143" i="1" s="1"/>
  <c r="CR1153" i="1"/>
  <c r="CV1153" i="1" s="1"/>
  <c r="CT75" i="1"/>
  <c r="CR78" i="1"/>
  <c r="CO157" i="1"/>
  <c r="CQ158" i="1"/>
  <c r="CP27" i="1"/>
  <c r="BY34" i="1"/>
  <c r="BY37" i="1"/>
  <c r="CS543" i="1"/>
  <c r="CV543" i="1" s="1"/>
  <c r="CR359" i="1"/>
  <c r="CT560" i="1"/>
  <c r="CS819" i="1"/>
  <c r="CS560" i="1"/>
  <c r="CV560" i="1" s="1"/>
  <c r="CQ360" i="1"/>
  <c r="CR539" i="1"/>
  <c r="CT818" i="1"/>
  <c r="CS834" i="1"/>
  <c r="BF173" i="1" a="1"/>
  <c r="BF173" i="1" s="1"/>
  <c r="BE173" i="1" s="1" a="1"/>
  <c r="BE173" i="1" s="1"/>
  <c r="CR183" i="1"/>
  <c r="CS186" i="1"/>
  <c r="BY1219" i="1"/>
  <c r="BF769" i="1" a="1"/>
  <c r="BF769" i="1" s="1"/>
  <c r="BE769" i="1" s="1" a="1"/>
  <c r="BE769" i="1" s="1"/>
  <c r="BF766" i="1" a="1"/>
  <c r="BF766" i="1" s="1"/>
  <c r="CR128" i="1"/>
  <c r="CQ345" i="1"/>
  <c r="CT1142" i="1"/>
  <c r="CU1142" i="1" s="1"/>
  <c r="CS78" i="1"/>
  <c r="CT805" i="1"/>
  <c r="BE631" i="1" a="1"/>
  <c r="BE631" i="1" s="1"/>
  <c r="CS27" i="1"/>
  <c r="BF37" i="1" a="1"/>
  <c r="BF37" i="1" s="1"/>
  <c r="BE37" i="1" s="1" a="1"/>
  <c r="BE37" i="1" s="1"/>
  <c r="BY38" i="1"/>
  <c r="CR40" i="1"/>
  <c r="BY197" i="1"/>
  <c r="CT197" i="1"/>
  <c r="CP357" i="1"/>
  <c r="CT364" i="1"/>
  <c r="BY358" i="1"/>
  <c r="CQ563" i="1"/>
  <c r="CT533" i="1"/>
  <c r="CQ541" i="1"/>
  <c r="CQ818" i="1"/>
  <c r="CP824" i="1"/>
  <c r="CO380" i="1"/>
  <c r="CT836" i="1"/>
  <c r="CP838" i="1"/>
  <c r="BY841" i="1"/>
  <c r="BY166" i="1"/>
  <c r="BY170" i="1"/>
  <c r="CO181" i="1"/>
  <c r="CQ189" i="1"/>
  <c r="CO193" i="1"/>
  <c r="BF196" i="1" a="1"/>
  <c r="BF196" i="1" s="1"/>
  <c r="BE196" i="1" s="1" a="1"/>
  <c r="BE196" i="1" s="1"/>
  <c r="CQ1206" i="1"/>
  <c r="CT1211" i="1"/>
  <c r="CQ1212" i="1"/>
  <c r="CP1217" i="1"/>
  <c r="CP1221" i="1"/>
  <c r="CQ1160" i="1"/>
  <c r="BY1225" i="1"/>
  <c r="CO14" i="1"/>
  <c r="CT660" i="1"/>
  <c r="CS660" i="1"/>
  <c r="CV660" i="1" s="1"/>
  <c r="CQ1162" i="1"/>
  <c r="CS288" i="1"/>
  <c r="CR288" i="1"/>
  <c r="CT628" i="1"/>
  <c r="BY628" i="1"/>
  <c r="CR541" i="1"/>
  <c r="CR824" i="1"/>
  <c r="CP380" i="1"/>
  <c r="CR838" i="1"/>
  <c r="CP181" i="1"/>
  <c r="BY182" i="1"/>
  <c r="BY188" i="1"/>
  <c r="CP14" i="1"/>
  <c r="BY15" i="1"/>
  <c r="CO1175" i="1"/>
  <c r="CT1175" i="1"/>
  <c r="CQ1175" i="1"/>
  <c r="CS541" i="1"/>
  <c r="CR380" i="1"/>
  <c r="CV380" i="1" s="1"/>
  <c r="BY383" i="1"/>
  <c r="BY1229" i="1"/>
  <c r="CP1176" i="1"/>
  <c r="CS1176" i="1"/>
  <c r="CS824" i="1"/>
  <c r="CO818" i="1"/>
  <c r="CR1136" i="1"/>
  <c r="CV1136" i="1" s="1"/>
  <c r="CN18" i="1"/>
  <c r="CS18" i="1" s="1"/>
  <c r="CQ828" i="1"/>
  <c r="CR841" i="1"/>
  <c r="CV841" i="1" s="1"/>
  <c r="BF189" i="1" a="1"/>
  <c r="BF189" i="1" s="1"/>
  <c r="BE189" i="1" s="1" a="1"/>
  <c r="BE189" i="1" s="1"/>
  <c r="CR191" i="1"/>
  <c r="CP385" i="1"/>
  <c r="CP1225" i="1"/>
  <c r="CO11" i="1"/>
  <c r="CR13" i="1"/>
  <c r="CP284" i="1"/>
  <c r="CT624" i="1"/>
  <c r="CR357" i="1"/>
  <c r="CQ533" i="1"/>
  <c r="CR533" i="1"/>
  <c r="CT542" i="1"/>
  <c r="CR827" i="1"/>
  <c r="CR1202" i="1"/>
  <c r="CR1196" i="1"/>
  <c r="BN579" i="1"/>
  <c r="BO579" i="1" s="1"/>
  <c r="CO839" i="1"/>
  <c r="CQ357" i="1"/>
  <c r="CT559" i="1"/>
  <c r="BY363" i="1"/>
  <c r="CS533" i="1"/>
  <c r="CP818" i="1"/>
  <c r="CS1202" i="1"/>
  <c r="CS1196" i="1"/>
  <c r="BU589" i="1"/>
  <c r="CQ380" i="1"/>
  <c r="CO837" i="1"/>
  <c r="CQ838" i="1"/>
  <c r="CQ165" i="1"/>
  <c r="CQ177" i="1"/>
  <c r="CO189" i="1"/>
  <c r="CS191" i="1"/>
  <c r="CR385" i="1"/>
  <c r="CT1207" i="1"/>
  <c r="CR1212" i="1"/>
  <c r="CV1212" i="1" s="1"/>
  <c r="BF765" i="1" a="1"/>
  <c r="BF765" i="1" s="1"/>
  <c r="CQ1221" i="1"/>
  <c r="CO1160" i="1"/>
  <c r="CR1225" i="1"/>
  <c r="CV1225" i="1" s="1"/>
  <c r="BF9" i="1" a="1"/>
  <c r="BF9" i="1" s="1"/>
  <c r="CS1166" i="1"/>
  <c r="CV1166" i="1" s="1"/>
  <c r="CS364" i="1"/>
  <c r="CR818" i="1"/>
  <c r="CV818" i="1" s="1"/>
  <c r="CN579" i="1"/>
  <c r="CS579" i="1" s="1"/>
  <c r="BF589" i="1" a="1"/>
  <c r="BF589" i="1" s="1"/>
  <c r="CT828" i="1"/>
  <c r="BF171" i="1" a="1"/>
  <c r="BF171" i="1" s="1"/>
  <c r="BE171" i="1" s="1" a="1"/>
  <c r="BE171" i="1" s="1"/>
  <c r="CQ173" i="1"/>
  <c r="BF181" i="1" a="1"/>
  <c r="BF181" i="1" s="1"/>
  <c r="BE181" i="1" s="1" a="1"/>
  <c r="BE181" i="1" s="1"/>
  <c r="CP189" i="1"/>
  <c r="BF193" i="1" a="1"/>
  <c r="BF193" i="1" s="1"/>
  <c r="BE193" i="1" s="1" a="1"/>
  <c r="BE193" i="1" s="1"/>
  <c r="CS385" i="1"/>
  <c r="BY1208" i="1"/>
  <c r="BY1211" i="1"/>
  <c r="CT1217" i="1"/>
  <c r="BF12" i="1" a="1"/>
  <c r="BF12" i="1" s="1"/>
  <c r="BF16" i="1" a="1"/>
  <c r="BF16" i="1" s="1"/>
  <c r="CT541" i="1"/>
  <c r="CT824" i="1"/>
  <c r="CT380" i="1"/>
  <c r="CT838" i="1"/>
  <c r="CT840" i="1"/>
  <c r="BF177" i="1" a="1"/>
  <c r="BF177" i="1" s="1"/>
  <c r="BE177" i="1" s="1" a="1"/>
  <c r="BE177" i="1" s="1"/>
  <c r="CT181" i="1"/>
  <c r="CQ191" i="1"/>
  <c r="CT1210" i="1"/>
  <c r="CO401" i="1"/>
  <c r="CP401" i="1"/>
  <c r="BF36" i="1" a="1"/>
  <c r="BF36" i="1" s="1"/>
  <c r="BE36" i="1" s="1" a="1"/>
  <c r="BE36" i="1" s="1"/>
  <c r="BY36" i="1"/>
  <c r="BY289" i="1"/>
  <c r="CO314" i="1"/>
  <c r="CR72" i="1"/>
  <c r="CV72" i="1" s="1"/>
  <c r="CT76" i="1"/>
  <c r="BY79" i="1"/>
  <c r="CT161" i="1"/>
  <c r="CT625" i="1"/>
  <c r="CQ807" i="1"/>
  <c r="CT810" i="1"/>
  <c r="CP629" i="1"/>
  <c r="CO29" i="1"/>
  <c r="CO34" i="1"/>
  <c r="BF38" i="1" a="1"/>
  <c r="BF38" i="1" s="1"/>
  <c r="BE38" i="1" s="1" a="1"/>
  <c r="BE38" i="1" s="1"/>
  <c r="CQ39" i="1"/>
  <c r="CT300" i="1"/>
  <c r="BY325" i="1"/>
  <c r="CR346" i="1"/>
  <c r="CR1150" i="1"/>
  <c r="CV1150" i="1" s="1"/>
  <c r="CR314" i="1"/>
  <c r="CV314" i="1" s="1"/>
  <c r="CP806" i="1"/>
  <c r="CR629" i="1"/>
  <c r="CR26" i="1"/>
  <c r="CP29" i="1"/>
  <c r="CP31" i="1"/>
  <c r="CP34" i="1"/>
  <c r="CT16" i="1"/>
  <c r="BY375" i="1"/>
  <c r="CQ318" i="1"/>
  <c r="BY336" i="1"/>
  <c r="CO300" i="1"/>
  <c r="BY286" i="1"/>
  <c r="CS289" i="1"/>
  <c r="CV289" i="1" s="1"/>
  <c r="BY305" i="1"/>
  <c r="CQ310" i="1"/>
  <c r="BY1148" i="1"/>
  <c r="CO351" i="1"/>
  <c r="CO355" i="1"/>
  <c r="CQ315" i="1"/>
  <c r="BY316" i="1"/>
  <c r="CQ317" i="1"/>
  <c r="CQ82" i="1"/>
  <c r="CP70" i="1"/>
  <c r="BY71" i="1"/>
  <c r="CR74" i="1"/>
  <c r="CV74" i="1" s="1"/>
  <c r="CO76" i="1"/>
  <c r="CP157" i="1"/>
  <c r="BY158" i="1"/>
  <c r="CO161" i="1"/>
  <c r="CP624" i="1"/>
  <c r="CR806" i="1"/>
  <c r="CT811" i="1"/>
  <c r="CS628" i="1"/>
  <c r="CS629" i="1"/>
  <c r="BF27" i="1" a="1"/>
  <c r="BF27" i="1" s="1"/>
  <c r="CR31" i="1"/>
  <c r="CT34" i="1"/>
  <c r="BY35" i="1"/>
  <c r="CR36" i="1"/>
  <c r="BF40" i="1" a="1"/>
  <c r="BF40" i="1" s="1"/>
  <c r="BE40" i="1" s="1" a="1"/>
  <c r="BE40" i="1" s="1"/>
  <c r="CS304" i="1"/>
  <c r="CT325" i="1"/>
  <c r="CT1194" i="1"/>
  <c r="CU1194" i="1" s="1"/>
  <c r="CS351" i="1"/>
  <c r="BY353" i="1"/>
  <c r="CR355" i="1"/>
  <c r="CV355" i="1" s="1"/>
  <c r="CS70" i="1"/>
  <c r="BF73" i="1" a="1"/>
  <c r="BF73" i="1" s="1"/>
  <c r="BE73" i="1" s="1" a="1"/>
  <c r="BE73" i="1" s="1"/>
  <c r="CS76" i="1"/>
  <c r="CV76" i="1" s="1"/>
  <c r="CT77" i="1"/>
  <c r="BF79" i="1" a="1"/>
  <c r="BF79" i="1" s="1"/>
  <c r="BE79" i="1" s="1" a="1"/>
  <c r="BE79" i="1" s="1"/>
  <c r="CT155" i="1"/>
  <c r="CR157" i="1"/>
  <c r="CV157" i="1" s="1"/>
  <c r="BY159" i="1"/>
  <c r="CS161" i="1"/>
  <c r="CR624" i="1"/>
  <c r="CS806" i="1"/>
  <c r="CT629" i="1"/>
  <c r="BY27" i="1"/>
  <c r="CS31" i="1"/>
  <c r="BY435" i="1"/>
  <c r="CS36" i="1"/>
  <c r="CP40" i="1"/>
  <c r="CS1194" i="1"/>
  <c r="CT351" i="1"/>
  <c r="BF71" i="1" a="1"/>
  <c r="BF71" i="1" s="1"/>
  <c r="BE71" i="1" s="1" a="1"/>
  <c r="BE71" i="1" s="1"/>
  <c r="BF75" i="1" a="1"/>
  <c r="BF75" i="1" s="1"/>
  <c r="BE75" i="1" s="1" a="1"/>
  <c r="BE75" i="1" s="1"/>
  <c r="BY78" i="1"/>
  <c r="CT160" i="1"/>
  <c r="CT163" i="1"/>
  <c r="BY627" i="1"/>
  <c r="CO631" i="1"/>
  <c r="BF29" i="1" a="1"/>
  <c r="BF29" i="1" s="1"/>
  <c r="CP318" i="1"/>
  <c r="CO321" i="1"/>
  <c r="CR297" i="1"/>
  <c r="CQ70" i="1"/>
  <c r="BF77" i="1" a="1"/>
  <c r="BF77" i="1" s="1"/>
  <c r="BE77" i="1" s="1" a="1"/>
  <c r="BE77" i="1" s="1"/>
  <c r="BF162" i="1" a="1"/>
  <c r="BF162" i="1" s="1"/>
  <c r="BE162" i="1" s="1" a="1"/>
  <c r="BE162" i="1" s="1"/>
  <c r="CQ624" i="1"/>
  <c r="BY26" i="1"/>
  <c r="BF34" i="1" a="1"/>
  <c r="BF34" i="1" s="1"/>
  <c r="BE34" i="1" s="1" a="1"/>
  <c r="BE34" i="1" s="1"/>
  <c r="CT318" i="1"/>
  <c r="CR298" i="1"/>
  <c r="CQ128" i="1"/>
  <c r="CO304" i="1"/>
  <c r="CT323" i="1"/>
  <c r="CT1150" i="1"/>
  <c r="CU1150" i="1" s="1"/>
  <c r="CT1153" i="1"/>
  <c r="CU1153" i="1" s="1"/>
  <c r="CT1154" i="1"/>
  <c r="CU1154" i="1" s="1"/>
  <c r="CO82" i="1"/>
  <c r="BF74" i="1" a="1"/>
  <c r="BF74" i="1" s="1"/>
  <c r="BE74" i="1" s="1" a="1"/>
  <c r="BE74" i="1" s="1"/>
  <c r="CQ77" i="1"/>
  <c r="CQ155" i="1"/>
  <c r="BY156" i="1"/>
  <c r="CO163" i="1"/>
  <c r="CP808" i="1"/>
  <c r="CT809" i="1"/>
  <c r="CO627" i="1"/>
  <c r="CR27" i="1"/>
  <c r="BF31" i="1" a="1"/>
  <c r="BF31" i="1" s="1"/>
  <c r="CT33" i="1"/>
  <c r="BY433" i="1"/>
  <c r="CP434" i="1"/>
  <c r="BY806" i="1"/>
  <c r="CT806" i="1"/>
  <c r="BY1134" i="1"/>
  <c r="CQ1134" i="1"/>
  <c r="CO625" i="1"/>
  <c r="CR807" i="1"/>
  <c r="CT32" i="1"/>
  <c r="CS32" i="1"/>
  <c r="CR32" i="1"/>
  <c r="CQ32" i="1"/>
  <c r="CP32" i="1"/>
  <c r="CO32" i="1"/>
  <c r="CT435" i="1"/>
  <c r="CS435" i="1"/>
  <c r="CR435" i="1"/>
  <c r="CQ435" i="1"/>
  <c r="CP435" i="1"/>
  <c r="CO435" i="1"/>
  <c r="CT41" i="1"/>
  <c r="CS41" i="1"/>
  <c r="CR41" i="1"/>
  <c r="CQ41" i="1"/>
  <c r="CP41" i="1"/>
  <c r="CO41" i="1"/>
  <c r="CP625" i="1"/>
  <c r="CQ35" i="1"/>
  <c r="BY40" i="1"/>
  <c r="CT40" i="1"/>
  <c r="CR1132" i="1"/>
  <c r="BY805" i="1"/>
  <c r="BY630" i="1"/>
  <c r="CT28" i="1"/>
  <c r="CS28" i="1"/>
  <c r="CR28" i="1"/>
  <c r="CQ28" i="1"/>
  <c r="CP28" i="1"/>
  <c r="CO28" i="1"/>
  <c r="CT29" i="1"/>
  <c r="CS1132" i="1"/>
  <c r="BY624" i="1"/>
  <c r="CQ805" i="1"/>
  <c r="CP805" i="1"/>
  <c r="CO805" i="1"/>
  <c r="CS805" i="1"/>
  <c r="CT630" i="1"/>
  <c r="CS630" i="1"/>
  <c r="CQ630" i="1"/>
  <c r="CP630" i="1"/>
  <c r="CO630" i="1"/>
  <c r="CQ433" i="1"/>
  <c r="CT37" i="1"/>
  <c r="CS37" i="1"/>
  <c r="CR37" i="1"/>
  <c r="CQ37" i="1"/>
  <c r="CP37" i="1"/>
  <c r="CO37" i="1"/>
  <c r="CT38" i="1"/>
  <c r="CT807" i="1"/>
  <c r="CS807" i="1"/>
  <c r="CP807" i="1"/>
  <c r="CO807" i="1"/>
  <c r="CT1132" i="1"/>
  <c r="CS624" i="1"/>
  <c r="CO624" i="1"/>
  <c r="CR805" i="1"/>
  <c r="BY808" i="1"/>
  <c r="CT1133" i="1"/>
  <c r="CS1133" i="1"/>
  <c r="CR1133" i="1"/>
  <c r="CR630" i="1"/>
  <c r="CT631" i="1"/>
  <c r="CS625" i="1"/>
  <c r="CR625" i="1"/>
  <c r="CQ625" i="1"/>
  <c r="BY807" i="1"/>
  <c r="CQ30" i="1"/>
  <c r="BE35" i="1" a="1"/>
  <c r="BE35" i="1" s="1"/>
  <c r="CQ806" i="1"/>
  <c r="CT627" i="1"/>
  <c r="CQ629" i="1"/>
  <c r="CS26" i="1"/>
  <c r="CQ27" i="1"/>
  <c r="CS30" i="1"/>
  <c r="CV30" i="1" s="1"/>
  <c r="CQ31" i="1"/>
  <c r="CS433" i="1"/>
  <c r="CV433" i="1" s="1"/>
  <c r="CQ434" i="1"/>
  <c r="CS35" i="1"/>
  <c r="CV35" i="1" s="1"/>
  <c r="CQ36" i="1"/>
  <c r="CS39" i="1"/>
  <c r="CV39" i="1" s="1"/>
  <c r="CQ40" i="1"/>
  <c r="CT26" i="1"/>
  <c r="CT30" i="1"/>
  <c r="CT433" i="1"/>
  <c r="CT35" i="1"/>
  <c r="CT39" i="1"/>
  <c r="CT27" i="1"/>
  <c r="CT31" i="1"/>
  <c r="CT434" i="1"/>
  <c r="CT36" i="1"/>
  <c r="CQ808" i="1"/>
  <c r="BK626" i="1"/>
  <c r="CN626" i="1" s="1"/>
  <c r="CR1134" i="1"/>
  <c r="CR809" i="1"/>
  <c r="CR810" i="1"/>
  <c r="CR811" i="1"/>
  <c r="CP627" i="1"/>
  <c r="CQ631" i="1"/>
  <c r="CO26" i="1"/>
  <c r="CQ29" i="1"/>
  <c r="CO30" i="1"/>
  <c r="CQ33" i="1"/>
  <c r="CO433" i="1"/>
  <c r="CQ34" i="1"/>
  <c r="CO35" i="1"/>
  <c r="CQ38" i="1"/>
  <c r="CO39" i="1"/>
  <c r="CR808" i="1"/>
  <c r="CV808" i="1" s="1"/>
  <c r="CS1134" i="1"/>
  <c r="CV1134" i="1" s="1"/>
  <c r="CS809" i="1"/>
  <c r="CS810" i="1"/>
  <c r="CS811" i="1"/>
  <c r="CQ627" i="1"/>
  <c r="CR631" i="1"/>
  <c r="CV631" i="1" s="1"/>
  <c r="CP26" i="1"/>
  <c r="CR29" i="1"/>
  <c r="CV29" i="1" s="1"/>
  <c r="CP30" i="1"/>
  <c r="CR33" i="1"/>
  <c r="CV33" i="1" s="1"/>
  <c r="CP433" i="1"/>
  <c r="CR34" i="1"/>
  <c r="CV34" i="1" s="1"/>
  <c r="CP35" i="1"/>
  <c r="CR38" i="1"/>
  <c r="CV38" i="1" s="1"/>
  <c r="CP39" i="1"/>
  <c r="BY169" i="1"/>
  <c r="CT169" i="1"/>
  <c r="BY173" i="1"/>
  <c r="CT173" i="1"/>
  <c r="BY359" i="1"/>
  <c r="BY575" i="1"/>
  <c r="CS832" i="1"/>
  <c r="CO832" i="1"/>
  <c r="CS836" i="1"/>
  <c r="CO836" i="1"/>
  <c r="BY165" i="1"/>
  <c r="CR190" i="1"/>
  <c r="CO190" i="1"/>
  <c r="BY1161" i="1"/>
  <c r="CT1161" i="1"/>
  <c r="CU1161" i="1" s="1"/>
  <c r="CO319" i="1"/>
  <c r="CT319" i="1"/>
  <c r="CS319" i="1"/>
  <c r="CR319" i="1"/>
  <c r="BY539" i="1"/>
  <c r="CP540" i="1"/>
  <c r="CP832" i="1"/>
  <c r="CP836" i="1"/>
  <c r="BY840" i="1"/>
  <c r="CS165" i="1"/>
  <c r="CP165" i="1"/>
  <c r="BF169" i="1" a="1"/>
  <c r="BF169" i="1" s="1"/>
  <c r="BE169" i="1" s="1" a="1"/>
  <c r="BE169" i="1" s="1"/>
  <c r="CQ171" i="1"/>
  <c r="CQ178" i="1"/>
  <c r="CR178" i="1"/>
  <c r="CS185" i="1"/>
  <c r="CP185" i="1"/>
  <c r="CS190" i="1"/>
  <c r="CO1210" i="1"/>
  <c r="CS1210" i="1"/>
  <c r="CQ1210" i="1"/>
  <c r="CP1210" i="1"/>
  <c r="CP1218" i="1"/>
  <c r="CT1218" i="1"/>
  <c r="CP1224" i="1"/>
  <c r="BY1231" i="1"/>
  <c r="BY373" i="1"/>
  <c r="CO563" i="1"/>
  <c r="CP826" i="1"/>
  <c r="CP563" i="1"/>
  <c r="CQ534" i="1"/>
  <c r="CR540" i="1"/>
  <c r="CQ542" i="1"/>
  <c r="CO817" i="1"/>
  <c r="CP825" i="1"/>
  <c r="CR826" i="1"/>
  <c r="CQ820" i="1"/>
  <c r="BY1197" i="1"/>
  <c r="CO1137" i="1"/>
  <c r="CS840" i="1"/>
  <c r="CP840" i="1"/>
  <c r="CO165" i="1"/>
  <c r="BF167" i="1" a="1"/>
  <c r="BF167" i="1" s="1"/>
  <c r="BE167" i="1" s="1" a="1"/>
  <c r="BE167" i="1" s="1"/>
  <c r="CS169" i="1"/>
  <c r="CO169" i="1"/>
  <c r="CO178" i="1"/>
  <c r="CQ182" i="1"/>
  <c r="CR182" i="1"/>
  <c r="CO185" i="1"/>
  <c r="BY189" i="1"/>
  <c r="CS383" i="1"/>
  <c r="CP383" i="1"/>
  <c r="CO383" i="1"/>
  <c r="CQ1209" i="1"/>
  <c r="CR1210" i="1"/>
  <c r="CR1213" i="1"/>
  <c r="CS1213" i="1"/>
  <c r="CO1213" i="1"/>
  <c r="BY518" i="1"/>
  <c r="CP1168" i="1"/>
  <c r="CS1168" i="1"/>
  <c r="CR1168" i="1"/>
  <c r="CQ1168" i="1"/>
  <c r="BY560" i="1"/>
  <c r="CR362" i="1"/>
  <c r="CV362" i="1" s="1"/>
  <c r="BY543" i="1"/>
  <c r="CO560" i="1"/>
  <c r="BY562" i="1"/>
  <c r="CR563" i="1"/>
  <c r="CV563" i="1" s="1"/>
  <c r="CP539" i="1"/>
  <c r="CS540" i="1"/>
  <c r="CP817" i="1"/>
  <c r="CQ824" i="1"/>
  <c r="CR825" i="1"/>
  <c r="CQ819" i="1"/>
  <c r="CS826" i="1"/>
  <c r="CT820" i="1"/>
  <c r="CP827" i="1"/>
  <c r="BV17" i="1"/>
  <c r="BX17" i="1" s="1"/>
  <c r="CN19" i="1"/>
  <c r="CS19" i="1" s="1"/>
  <c r="CO379" i="1"/>
  <c r="BY831" i="1"/>
  <c r="CO833" i="1"/>
  <c r="CQ839" i="1"/>
  <c r="CO840" i="1"/>
  <c r="CT165" i="1"/>
  <c r="CO167" i="1"/>
  <c r="CR167" i="1"/>
  <c r="CP169" i="1"/>
  <c r="CQ172" i="1"/>
  <c r="CO175" i="1"/>
  <c r="CS175" i="1"/>
  <c r="CV175" i="1" s="1"/>
  <c r="CS178" i="1"/>
  <c r="CO182" i="1"/>
  <c r="BF187" i="1" a="1"/>
  <c r="BF187" i="1" s="1"/>
  <c r="BE187" i="1" s="1" a="1"/>
  <c r="BE187" i="1" s="1"/>
  <c r="CT383" i="1"/>
  <c r="CS1206" i="1"/>
  <c r="CT1206" i="1"/>
  <c r="CP1206" i="1"/>
  <c r="CO1206" i="1"/>
  <c r="CT1213" i="1"/>
  <c r="CT1226" i="1"/>
  <c r="CS1226" i="1"/>
  <c r="CR1226" i="1"/>
  <c r="CP1226" i="1"/>
  <c r="CR817" i="1"/>
  <c r="CV817" i="1" s="1"/>
  <c r="CQ832" i="1"/>
  <c r="CQ836" i="1"/>
  <c r="CO842" i="1"/>
  <c r="CR842" i="1"/>
  <c r="BF175" i="1" a="1"/>
  <c r="BF175" i="1" s="1"/>
  <c r="BE175" i="1" s="1" a="1"/>
  <c r="BE175" i="1" s="1"/>
  <c r="CP175" i="1"/>
  <c r="CO179" i="1"/>
  <c r="CR179" i="1"/>
  <c r="CS182" i="1"/>
  <c r="CQ185" i="1"/>
  <c r="CS197" i="1"/>
  <c r="CP197" i="1"/>
  <c r="CO197" i="1"/>
  <c r="CO1226" i="1"/>
  <c r="CO9" i="1"/>
  <c r="CS9" i="1"/>
  <c r="CR9" i="1"/>
  <c r="CQ9" i="1"/>
  <c r="CQ402" i="1"/>
  <c r="CT1171" i="1"/>
  <c r="CT540" i="1"/>
  <c r="BY361" i="1"/>
  <c r="CP542" i="1"/>
  <c r="BY824" i="1"/>
  <c r="CT825" i="1"/>
  <c r="BY1202" i="1"/>
  <c r="BM18" i="1"/>
  <c r="CO381" i="1"/>
  <c r="CO830" i="1"/>
  <c r="CR830" i="1"/>
  <c r="CV830" i="1" s="1"/>
  <c r="CP842" i="1"/>
  <c r="CP171" i="1"/>
  <c r="CS177" i="1"/>
  <c r="CO177" i="1"/>
  <c r="CP1209" i="1"/>
  <c r="CR1209" i="1"/>
  <c r="CQ1211" i="1"/>
  <c r="CT326" i="1"/>
  <c r="CS326" i="1"/>
  <c r="CR326" i="1"/>
  <c r="CT362" i="1"/>
  <c r="CS825" i="1"/>
  <c r="CP558" i="1"/>
  <c r="BY533" i="1"/>
  <c r="CP534" i="1"/>
  <c r="BY541" i="1"/>
  <c r="CQ543" i="1"/>
  <c r="CQ559" i="1"/>
  <c r="CR534" i="1"/>
  <c r="CS539" i="1"/>
  <c r="CQ540" i="1"/>
  <c r="CR542" i="1"/>
  <c r="BY818" i="1"/>
  <c r="CP819" i="1"/>
  <c r="CP820" i="1"/>
  <c r="CS827" i="1"/>
  <c r="BY1135" i="1"/>
  <c r="BY1196" i="1"/>
  <c r="CN405" i="1"/>
  <c r="CP405" i="1" s="1"/>
  <c r="BF575" i="1" a="1"/>
  <c r="BF575" i="1" s="1"/>
  <c r="BU43" i="1"/>
  <c r="BU579" i="1"/>
  <c r="BM589" i="1"/>
  <c r="CP830" i="1"/>
  <c r="CS842" i="1"/>
  <c r="BF164" i="1" a="1"/>
  <c r="BF164" i="1" s="1"/>
  <c r="BE164" i="1" s="1" a="1"/>
  <c r="BE164" i="1" s="1"/>
  <c r="CO166" i="1"/>
  <c r="CS167" i="1"/>
  <c r="CQ169" i="1"/>
  <c r="CR171" i="1"/>
  <c r="CP177" i="1"/>
  <c r="CS179" i="1"/>
  <c r="CT189" i="1"/>
  <c r="CQ383" i="1"/>
  <c r="CO1241" i="1"/>
  <c r="CT12" i="1"/>
  <c r="CR12" i="1"/>
  <c r="CT826" i="1"/>
  <c r="CS357" i="1"/>
  <c r="CT357" i="1"/>
  <c r="CP533" i="1"/>
  <c r="CS534" i="1"/>
  <c r="CT539" i="1"/>
  <c r="CP541" i="1"/>
  <c r="CS542" i="1"/>
  <c r="CQ817" i="1"/>
  <c r="CQ825" i="1"/>
  <c r="CR819" i="1"/>
  <c r="CR820" i="1"/>
  <c r="BF18" i="1" a="1"/>
  <c r="BF18" i="1" s="1"/>
  <c r="BF576" i="1" a="1"/>
  <c r="BF576" i="1" s="1"/>
  <c r="BY576" i="1"/>
  <c r="BV579" i="1"/>
  <c r="BX579" i="1" s="1"/>
  <c r="CQ379" i="1"/>
  <c r="CQ830" i="1"/>
  <c r="CT832" i="1"/>
  <c r="BY833" i="1"/>
  <c r="CS166" i="1"/>
  <c r="CV166" i="1" s="1"/>
  <c r="CQ170" i="1"/>
  <c r="CR170" i="1"/>
  <c r="CV170" i="1" s="1"/>
  <c r="CS171" i="1"/>
  <c r="BF172" i="1" a="1"/>
  <c r="BF172" i="1" s="1"/>
  <c r="BE172" i="1" s="1" a="1"/>
  <c r="BE172" i="1" s="1"/>
  <c r="CT177" i="1"/>
  <c r="BF182" i="1" a="1"/>
  <c r="BF182" i="1" s="1"/>
  <c r="BE182" i="1" s="1" a="1"/>
  <c r="BE182" i="1" s="1"/>
  <c r="CR194" i="1"/>
  <c r="CV194" i="1" s="1"/>
  <c r="CO194" i="1"/>
  <c r="CQ197" i="1"/>
  <c r="BY1239" i="1"/>
  <c r="CO12" i="1"/>
  <c r="CT842" i="1"/>
  <c r="CQ174" i="1"/>
  <c r="BF176" i="1" a="1"/>
  <c r="BF176" i="1" s="1"/>
  <c r="BE176" i="1" s="1" a="1"/>
  <c r="BE176" i="1" s="1"/>
  <c r="BY184" i="1"/>
  <c r="BF191" i="1" a="1"/>
  <c r="BF191" i="1" s="1"/>
  <c r="BE191" i="1" s="1" a="1"/>
  <c r="BE191" i="1" s="1"/>
  <c r="CR1211" i="1"/>
  <c r="BF83" i="1" a="1"/>
  <c r="BF83" i="1" s="1"/>
  <c r="BE83" i="1" s="1" a="1"/>
  <c r="BE83" i="1" s="1"/>
  <c r="BF49" i="1" a="1"/>
  <c r="BF49" i="1" s="1"/>
  <c r="CT1160" i="1"/>
  <c r="BF8" i="1" a="1"/>
  <c r="BF8" i="1" s="1"/>
  <c r="BF11" i="1" a="1"/>
  <c r="BF11" i="1" s="1"/>
  <c r="CS13" i="1"/>
  <c r="BF15" i="1" a="1"/>
  <c r="BF15" i="1" s="1"/>
  <c r="CS283" i="1"/>
  <c r="CR283" i="1"/>
  <c r="CO125" i="1"/>
  <c r="CT125" i="1"/>
  <c r="CR125" i="1"/>
  <c r="CQ125" i="1"/>
  <c r="BY196" i="1"/>
  <c r="BY382" i="1"/>
  <c r="BY1206" i="1"/>
  <c r="BY1209" i="1"/>
  <c r="CS1211" i="1"/>
  <c r="BF767" i="1" a="1"/>
  <c r="BF767" i="1" s="1"/>
  <c r="BE767" i="1" s="1" a="1"/>
  <c r="BE767" i="1" s="1"/>
  <c r="BF84" i="1" a="1"/>
  <c r="BF84" i="1" s="1"/>
  <c r="BE84" i="1" s="1" a="1"/>
  <c r="BE84" i="1" s="1"/>
  <c r="CT1163" i="1"/>
  <c r="CT1227" i="1"/>
  <c r="CQ13" i="1"/>
  <c r="CO320" i="1"/>
  <c r="CS320" i="1"/>
  <c r="CR320" i="1"/>
  <c r="CQ320" i="1"/>
  <c r="CP320" i="1"/>
  <c r="CQ306" i="1"/>
  <c r="CQ1224" i="1"/>
  <c r="CQ15" i="1"/>
  <c r="CR126" i="1"/>
  <c r="CQ126" i="1"/>
  <c r="CS838" i="1"/>
  <c r="CQ841" i="1"/>
  <c r="CQ179" i="1"/>
  <c r="BY180" i="1"/>
  <c r="BF192" i="1" a="1"/>
  <c r="BF192" i="1" s="1"/>
  <c r="BE192" i="1" s="1" a="1"/>
  <c r="BE192" i="1" s="1"/>
  <c r="CP193" i="1"/>
  <c r="BF199" i="1" a="1"/>
  <c r="BF199" i="1" s="1"/>
  <c r="BE199" i="1" s="1" a="1"/>
  <c r="BE199" i="1" s="1"/>
  <c r="CP1163" i="1"/>
  <c r="CR1224" i="1"/>
  <c r="CP1227" i="1"/>
  <c r="CT8" i="1"/>
  <c r="BY14" i="1"/>
  <c r="CO402" i="1"/>
  <c r="CT283" i="1"/>
  <c r="CP816" i="1"/>
  <c r="BF183" i="1" a="1"/>
  <c r="BF183" i="1" s="1"/>
  <c r="BE183" i="1" s="1" a="1"/>
  <c r="BE183" i="1" s="1"/>
  <c r="CT185" i="1"/>
  <c r="BF188" i="1" a="1"/>
  <c r="BF188" i="1" s="1"/>
  <c r="BE188" i="1" s="1" a="1"/>
  <c r="BE188" i="1" s="1"/>
  <c r="BY192" i="1"/>
  <c r="BY198" i="1"/>
  <c r="BY1210" i="1"/>
  <c r="BY1213" i="1"/>
  <c r="CQ1163" i="1"/>
  <c r="CS1224" i="1"/>
  <c r="BY1241" i="1"/>
  <c r="CQ1226" i="1"/>
  <c r="CR1227" i="1"/>
  <c r="BF10" i="1" a="1"/>
  <c r="BF10" i="1" s="1"/>
  <c r="BF13" i="1" a="1"/>
  <c r="BF13" i="1" s="1"/>
  <c r="CT13" i="1"/>
  <c r="CP402" i="1"/>
  <c r="BY1165" i="1"/>
  <c r="CP282" i="1"/>
  <c r="CT282" i="1"/>
  <c r="CS282" i="1"/>
  <c r="CV282" i="1" s="1"/>
  <c r="CR816" i="1"/>
  <c r="CT1177" i="1"/>
  <c r="CS1177" i="1"/>
  <c r="CR1177" i="1"/>
  <c r="CQ198" i="1"/>
  <c r="CS1227" i="1"/>
  <c r="BY1230" i="1"/>
  <c r="BY9" i="1"/>
  <c r="CS816" i="1"/>
  <c r="CP1167" i="1"/>
  <c r="CR1167" i="1"/>
  <c r="CV1167" i="1" s="1"/>
  <c r="CQ1167" i="1"/>
  <c r="CP1162" i="1"/>
  <c r="CO1162" i="1"/>
  <c r="CS1162" i="1"/>
  <c r="CV1162" i="1" s="1"/>
  <c r="CR1155" i="1"/>
  <c r="CS321" i="1"/>
  <c r="CV321" i="1" s="1"/>
  <c r="CS302" i="1"/>
  <c r="CP309" i="1"/>
  <c r="CO293" i="1"/>
  <c r="CP311" i="1"/>
  <c r="CT1144" i="1"/>
  <c r="CU1144" i="1" s="1"/>
  <c r="CT1147" i="1"/>
  <c r="CU1147" i="1" s="1"/>
  <c r="CS1155" i="1"/>
  <c r="CO312" i="1"/>
  <c r="CP81" i="1"/>
  <c r="CQ73" i="1"/>
  <c r="CR75" i="1"/>
  <c r="BY76" i="1"/>
  <c r="CO80" i="1"/>
  <c r="CT156" i="1"/>
  <c r="CS158" i="1"/>
  <c r="CV158" i="1" s="1"/>
  <c r="CT159" i="1"/>
  <c r="CQ1176" i="1"/>
  <c r="CR299" i="1"/>
  <c r="CT321" i="1"/>
  <c r="CQ308" i="1"/>
  <c r="CQ309" i="1"/>
  <c r="CP293" i="1"/>
  <c r="CQ311" i="1"/>
  <c r="CR1142" i="1"/>
  <c r="CV1142" i="1" s="1"/>
  <c r="BY351" i="1"/>
  <c r="BY352" i="1"/>
  <c r="CR312" i="1"/>
  <c r="CQ81" i="1"/>
  <c r="BY75" i="1"/>
  <c r="CP80" i="1"/>
  <c r="CP1175" i="1"/>
  <c r="CR1176" i="1"/>
  <c r="CS299" i="1"/>
  <c r="CS301" i="1"/>
  <c r="CP302" i="1"/>
  <c r="CQ150" i="1"/>
  <c r="CO308" i="1"/>
  <c r="CS1147" i="1"/>
  <c r="CV1147" i="1" s="1"/>
  <c r="CR1154" i="1"/>
  <c r="CV1154" i="1" s="1"/>
  <c r="CT1156" i="1"/>
  <c r="CU1156" i="1" s="1"/>
  <c r="CT1184" i="1"/>
  <c r="CU1184" i="1" s="1"/>
  <c r="CT1185" i="1"/>
  <c r="CU1185" i="1" s="1"/>
  <c r="CP355" i="1"/>
  <c r="CS312" i="1"/>
  <c r="CP314" i="1"/>
  <c r="CO317" i="1"/>
  <c r="CS81" i="1"/>
  <c r="CP77" i="1"/>
  <c r="CT79" i="1"/>
  <c r="CR80" i="1"/>
  <c r="CV80" i="1" s="1"/>
  <c r="BY155" i="1"/>
  <c r="BF156" i="1" a="1"/>
  <c r="BF156" i="1" s="1"/>
  <c r="BE156" i="1" s="1" a="1"/>
  <c r="BE156" i="1" s="1"/>
  <c r="CO156" i="1"/>
  <c r="CT158" i="1"/>
  <c r="BF159" i="1" a="1"/>
  <c r="BF159" i="1" s="1"/>
  <c r="BE159" i="1" s="1" a="1"/>
  <c r="BE159" i="1" s="1"/>
  <c r="CO159" i="1"/>
  <c r="BY161" i="1"/>
  <c r="CQ162" i="1"/>
  <c r="BY163" i="1"/>
  <c r="CR317" i="1"/>
  <c r="BY821" i="1"/>
  <c r="BY1201" i="1"/>
  <c r="CP156" i="1"/>
  <c r="CP159" i="1"/>
  <c r="CR162" i="1"/>
  <c r="BY1166" i="1"/>
  <c r="BY374" i="1"/>
  <c r="CR1175" i="1"/>
  <c r="CT1176" i="1"/>
  <c r="CS125" i="1"/>
  <c r="CR296" i="1"/>
  <c r="CR318" i="1"/>
  <c r="BY334" i="1"/>
  <c r="CR287" i="1"/>
  <c r="BY288" i="1"/>
  <c r="CT289" i="1"/>
  <c r="CQ322" i="1"/>
  <c r="CP150" i="1"/>
  <c r="CP291" i="1"/>
  <c r="CR308" i="1"/>
  <c r="CP346" i="1"/>
  <c r="CR1143" i="1"/>
  <c r="CR1146" i="1"/>
  <c r="CV1146" i="1" s="1"/>
  <c r="CR1193" i="1"/>
  <c r="CV1193" i="1" s="1"/>
  <c r="BY354" i="1"/>
  <c r="CT314" i="1"/>
  <c r="CT317" i="1"/>
  <c r="BF70" i="1" a="1"/>
  <c r="BF70" i="1" s="1"/>
  <c r="BE70" i="1" s="1" a="1"/>
  <c r="BE70" i="1" s="1"/>
  <c r="CO73" i="1"/>
  <c r="CP76" i="1"/>
  <c r="CR77" i="1"/>
  <c r="CV77" i="1" s="1"/>
  <c r="CT78" i="1"/>
  <c r="CO79" i="1"/>
  <c r="CQ156" i="1"/>
  <c r="BY157" i="1"/>
  <c r="CO158" i="1"/>
  <c r="CQ159" i="1"/>
  <c r="BY160" i="1"/>
  <c r="BF161" i="1" a="1"/>
  <c r="BF161" i="1" s="1"/>
  <c r="BE161" i="1" s="1" a="1"/>
  <c r="BE161" i="1" s="1"/>
  <c r="CS162" i="1"/>
  <c r="CS1175" i="1"/>
  <c r="BY125" i="1"/>
  <c r="CS318" i="1"/>
  <c r="BY300" i="1"/>
  <c r="CS287" i="1"/>
  <c r="CS322" i="1"/>
  <c r="CV322" i="1" s="1"/>
  <c r="CR150" i="1"/>
  <c r="CS308" i="1"/>
  <c r="CR309" i="1"/>
  <c r="BY294" i="1"/>
  <c r="CS1143" i="1"/>
  <c r="CT1151" i="1"/>
  <c r="CU1151" i="1" s="1"/>
  <c r="BY349" i="1"/>
  <c r="CQ312" i="1"/>
  <c r="BF72" i="1" a="1"/>
  <c r="BF72" i="1" s="1"/>
  <c r="BE72" i="1" s="1" a="1"/>
  <c r="BE72" i="1" s="1"/>
  <c r="CP73" i="1"/>
  <c r="CQ76" i="1"/>
  <c r="CP79" i="1"/>
  <c r="BF155" i="1" a="1"/>
  <c r="BF155" i="1" s="1"/>
  <c r="BE155" i="1" s="1" a="1"/>
  <c r="BE155" i="1" s="1"/>
  <c r="CR156" i="1"/>
  <c r="CV156" i="1" s="1"/>
  <c r="CP158" i="1"/>
  <c r="CR159" i="1"/>
  <c r="CV159" i="1" s="1"/>
  <c r="CR73" i="1"/>
  <c r="CP74" i="1"/>
  <c r="BY77" i="1"/>
  <c r="CT80" i="1"/>
  <c r="CR161" i="1"/>
  <c r="BY162" i="1"/>
  <c r="CR163" i="1"/>
  <c r="CQ842" i="1"/>
  <c r="BY842" i="1"/>
  <c r="BY558" i="1"/>
  <c r="CQ558" i="1"/>
  <c r="BY813" i="1"/>
  <c r="BY830" i="1"/>
  <c r="CT830" i="1"/>
  <c r="BY175" i="1"/>
  <c r="CT175" i="1"/>
  <c r="BY1215" i="1"/>
  <c r="CT1215" i="1"/>
  <c r="BO767" i="1"/>
  <c r="BY767" i="1" s="1"/>
  <c r="CN767" i="1"/>
  <c r="CS1240" i="1"/>
  <c r="BV1240" i="1"/>
  <c r="BX1240" i="1" s="1"/>
  <c r="CQ282" i="1"/>
  <c r="BY282" i="1"/>
  <c r="BY826" i="1"/>
  <c r="CN814" i="1"/>
  <c r="BN814" i="1"/>
  <c r="BO814" i="1" s="1"/>
  <c r="BY814" i="1" s="1"/>
  <c r="BY1138" i="1"/>
  <c r="CT1139" i="1"/>
  <c r="CP1139" i="1"/>
  <c r="CO1139" i="1"/>
  <c r="BU19" i="1"/>
  <c r="BV405" i="1"/>
  <c r="BX405" i="1" s="1"/>
  <c r="BU405" i="1"/>
  <c r="CT831" i="1"/>
  <c r="CR831" i="1"/>
  <c r="CP831" i="1"/>
  <c r="CS831" i="1"/>
  <c r="CQ831" i="1"/>
  <c r="CT180" i="1"/>
  <c r="CS180" i="1"/>
  <c r="CR180" i="1"/>
  <c r="CP180" i="1"/>
  <c r="CQ180" i="1"/>
  <c r="CT184" i="1"/>
  <c r="CS184" i="1"/>
  <c r="CR184" i="1"/>
  <c r="CQ184" i="1"/>
  <c r="CP184" i="1"/>
  <c r="CO184" i="1"/>
  <c r="BY1224" i="1"/>
  <c r="CT1224" i="1"/>
  <c r="BY356" i="1"/>
  <c r="BY544" i="1"/>
  <c r="BY561" i="1"/>
  <c r="BY563" i="1"/>
  <c r="BY817" i="1"/>
  <c r="BY819" i="1"/>
  <c r="BN1139" i="1"/>
  <c r="BO1139" i="1" s="1"/>
  <c r="CQ1139" i="1" s="1"/>
  <c r="BF17" i="1" a="1"/>
  <c r="BF17" i="1" s="1"/>
  <c r="BV19" i="1"/>
  <c r="BX19" i="1" s="1"/>
  <c r="CO831" i="1"/>
  <c r="BY836" i="1"/>
  <c r="BY179" i="1"/>
  <c r="CT179" i="1"/>
  <c r="CO180" i="1"/>
  <c r="CP48" i="1"/>
  <c r="CO48" i="1"/>
  <c r="CS48" i="1"/>
  <c r="CR48" i="1"/>
  <c r="BY540" i="1"/>
  <c r="BV18" i="1"/>
  <c r="BX18" i="1" s="1"/>
  <c r="BY18" i="1" s="1"/>
  <c r="BU18" i="1"/>
  <c r="CP576" i="1"/>
  <c r="CO576" i="1"/>
  <c r="CT576" i="1"/>
  <c r="CS576" i="1"/>
  <c r="CR576" i="1"/>
  <c r="CQ576" i="1"/>
  <c r="BY828" i="1"/>
  <c r="CT835" i="1"/>
  <c r="CR835" i="1"/>
  <c r="CP835" i="1"/>
  <c r="CS835" i="1"/>
  <c r="BY183" i="1"/>
  <c r="CT183" i="1"/>
  <c r="CT193" i="1"/>
  <c r="BY193" i="1"/>
  <c r="CT544" i="1"/>
  <c r="CS544" i="1"/>
  <c r="BY534" i="1"/>
  <c r="BY825" i="1"/>
  <c r="BY357" i="1"/>
  <c r="CO544" i="1"/>
  <c r="BY559" i="1"/>
  <c r="CQ359" i="1"/>
  <c r="CP359" i="1"/>
  <c r="CT359" i="1"/>
  <c r="CS359" i="1"/>
  <c r="CT1137" i="1"/>
  <c r="CS1137" i="1"/>
  <c r="CR1137" i="1"/>
  <c r="BN578" i="1"/>
  <c r="BO578" i="1" s="1"/>
  <c r="CQ578" i="1" s="1"/>
  <c r="BM578" i="1"/>
  <c r="BE380" i="1" a="1"/>
  <c r="BE380" i="1" s="1"/>
  <c r="CO835" i="1"/>
  <c r="CT1204" i="1"/>
  <c r="CS1204" i="1"/>
  <c r="CR1204" i="1"/>
  <c r="CQ1204" i="1"/>
  <c r="CP1204" i="1"/>
  <c r="BY1214" i="1"/>
  <c r="CT1214" i="1"/>
  <c r="CR361" i="1"/>
  <c r="CQ361" i="1"/>
  <c r="CP361" i="1"/>
  <c r="CS361" i="1"/>
  <c r="CP544" i="1"/>
  <c r="CT558" i="1"/>
  <c r="CS558" i="1"/>
  <c r="CV558" i="1" s="1"/>
  <c r="BY364" i="1"/>
  <c r="CP562" i="1"/>
  <c r="CO562" i="1"/>
  <c r="CS562" i="1"/>
  <c r="CR562" i="1"/>
  <c r="CT562" i="1"/>
  <c r="CQ1197" i="1"/>
  <c r="CP1197" i="1"/>
  <c r="CT1197" i="1"/>
  <c r="CS1197" i="1"/>
  <c r="CR1197" i="1"/>
  <c r="CO1197" i="1"/>
  <c r="CR1139" i="1"/>
  <c r="CT575" i="1"/>
  <c r="CT43" i="1"/>
  <c r="CS43" i="1"/>
  <c r="CR43" i="1"/>
  <c r="CQ43" i="1"/>
  <c r="CP43" i="1"/>
  <c r="CO43" i="1"/>
  <c r="CT381" i="1"/>
  <c r="CS381" i="1"/>
  <c r="CR381" i="1"/>
  <c r="CQ381" i="1"/>
  <c r="CQ829" i="1"/>
  <c r="CP829" i="1"/>
  <c r="CT829" i="1"/>
  <c r="CS829" i="1"/>
  <c r="CR829" i="1"/>
  <c r="CO829" i="1"/>
  <c r="CQ835" i="1"/>
  <c r="CO1216" i="1"/>
  <c r="CT1216" i="1"/>
  <c r="CS1216" i="1"/>
  <c r="CR1216" i="1"/>
  <c r="CQ1216" i="1"/>
  <c r="CP1216" i="1"/>
  <c r="BY1217" i="1"/>
  <c r="CQ1217" i="1"/>
  <c r="CN765" i="1"/>
  <c r="BO765" i="1"/>
  <c r="BN765" i="1"/>
  <c r="CR358" i="1"/>
  <c r="CQ358" i="1"/>
  <c r="CT358" i="1"/>
  <c r="CS358" i="1"/>
  <c r="CP358" i="1"/>
  <c r="BY360" i="1"/>
  <c r="BY542" i="1"/>
  <c r="CT361" i="1"/>
  <c r="CQ544" i="1"/>
  <c r="CO558" i="1"/>
  <c r="CQ562" i="1"/>
  <c r="CT1136" i="1"/>
  <c r="CP1136" i="1"/>
  <c r="CO1136" i="1"/>
  <c r="CS1139" i="1"/>
  <c r="CT196" i="1"/>
  <c r="CS196" i="1"/>
  <c r="CR196" i="1"/>
  <c r="CQ196" i="1"/>
  <c r="CP196" i="1"/>
  <c r="CQ362" i="1"/>
  <c r="CO362" i="1"/>
  <c r="CP362" i="1"/>
  <c r="CR544" i="1"/>
  <c r="CS363" i="1"/>
  <c r="CR363" i="1"/>
  <c r="CT363" i="1"/>
  <c r="BY827" i="1"/>
  <c r="CQ1202" i="1"/>
  <c r="CP1202" i="1"/>
  <c r="CT1202" i="1"/>
  <c r="CN812" i="1"/>
  <c r="BN812" i="1"/>
  <c r="BO812" i="1" s="1"/>
  <c r="BY812" i="1" s="1"/>
  <c r="CP1135" i="1"/>
  <c r="BN1136" i="1"/>
  <c r="BO1136" i="1" s="1"/>
  <c r="CQ1136" i="1" s="1"/>
  <c r="CS1140" i="1"/>
  <c r="CS578" i="1"/>
  <c r="CR578" i="1"/>
  <c r="CP578" i="1"/>
  <c r="BY379" i="1"/>
  <c r="CT379" i="1"/>
  <c r="BY832" i="1"/>
  <c r="CT176" i="1"/>
  <c r="CS176" i="1"/>
  <c r="CR176" i="1"/>
  <c r="CP176" i="1"/>
  <c r="BY181" i="1"/>
  <c r="BY195" i="1"/>
  <c r="CT195" i="1"/>
  <c r="CO196" i="1"/>
  <c r="CN1203" i="1"/>
  <c r="BN1203" i="1"/>
  <c r="BO1203" i="1" s="1"/>
  <c r="BY1203" i="1" s="1"/>
  <c r="CT1196" i="1"/>
  <c r="BF578" i="1" a="1"/>
  <c r="BF578" i="1" s="1"/>
  <c r="CN589" i="1"/>
  <c r="BE379" i="1" a="1"/>
  <c r="BE379" i="1" s="1"/>
  <c r="BF168" i="1" a="1"/>
  <c r="BF168" i="1" s="1"/>
  <c r="BE168" i="1" s="1" a="1"/>
  <c r="BE168" i="1" s="1"/>
  <c r="BE185" i="1" a="1"/>
  <c r="BE185" i="1" s="1"/>
  <c r="BY194" i="1"/>
  <c r="CQ1208" i="1"/>
  <c r="BY326" i="1"/>
  <c r="CQ326" i="1"/>
  <c r="BN83" i="1"/>
  <c r="CT1237" i="1"/>
  <c r="CS1237" i="1"/>
  <c r="CR1237" i="1"/>
  <c r="CQ1237" i="1"/>
  <c r="CP1237" i="1"/>
  <c r="BY1221" i="1"/>
  <c r="CP575" i="1"/>
  <c r="CO575" i="1"/>
  <c r="BY380" i="1"/>
  <c r="BE381" i="1" a="1"/>
  <c r="BE381" i="1" s="1"/>
  <c r="CQ837" i="1"/>
  <c r="BY164" i="1"/>
  <c r="BY191" i="1"/>
  <c r="CT191" i="1"/>
  <c r="CT192" i="1"/>
  <c r="CS192" i="1"/>
  <c r="CR192" i="1"/>
  <c r="CQ192" i="1"/>
  <c r="CP192" i="1"/>
  <c r="CQ194" i="1"/>
  <c r="CT1219" i="1"/>
  <c r="CQ1219" i="1"/>
  <c r="CS1219" i="1"/>
  <c r="CR1219" i="1"/>
  <c r="CP1219" i="1"/>
  <c r="CO1219" i="1"/>
  <c r="CO1237" i="1"/>
  <c r="CS1239" i="1"/>
  <c r="CR1239" i="1"/>
  <c r="CT1239" i="1"/>
  <c r="CQ1239" i="1"/>
  <c r="CP1239" i="1"/>
  <c r="CO1239" i="1"/>
  <c r="CT563" i="1"/>
  <c r="CT817" i="1"/>
  <c r="CQ575" i="1"/>
  <c r="CQ833" i="1"/>
  <c r="BY838" i="1"/>
  <c r="CT164" i="1"/>
  <c r="CS164" i="1"/>
  <c r="CR164" i="1"/>
  <c r="CP164" i="1"/>
  <c r="BY168" i="1"/>
  <c r="CO192" i="1"/>
  <c r="BY385" i="1"/>
  <c r="CT385" i="1"/>
  <c r="BY1207" i="1"/>
  <c r="BY1212" i="1"/>
  <c r="BO771" i="1"/>
  <c r="BY771" i="1" s="1"/>
  <c r="BN771" i="1"/>
  <c r="BY1220" i="1"/>
  <c r="CQ1220" i="1"/>
  <c r="CQ561" i="1"/>
  <c r="CP561" i="1"/>
  <c r="CR364" i="1"/>
  <c r="CQ364" i="1"/>
  <c r="CN17" i="1"/>
  <c r="BM405" i="1"/>
  <c r="CR575" i="1"/>
  <c r="BU576" i="1"/>
  <c r="BV578" i="1"/>
  <c r="BX578" i="1" s="1"/>
  <c r="BU578" i="1"/>
  <c r="CS828" i="1"/>
  <c r="CR828" i="1"/>
  <c r="BY834" i="1"/>
  <c r="BY839" i="1"/>
  <c r="CO164" i="1"/>
  <c r="BY167" i="1"/>
  <c r="CT167" i="1"/>
  <c r="CT168" i="1"/>
  <c r="CS168" i="1"/>
  <c r="CR168" i="1"/>
  <c r="CP168" i="1"/>
  <c r="BY172" i="1"/>
  <c r="BY190" i="1"/>
  <c r="BY199" i="1"/>
  <c r="CT199" i="1"/>
  <c r="BY384" i="1"/>
  <c r="BN1137" i="1"/>
  <c r="BO1137" i="1" s="1"/>
  <c r="CQ1137" i="1" s="1"/>
  <c r="CS559" i="1"/>
  <c r="CR559" i="1"/>
  <c r="CO356" i="1"/>
  <c r="CO559" i="1"/>
  <c r="CR561" i="1"/>
  <c r="CP559" i="1"/>
  <c r="CO364" i="1"/>
  <c r="CQ560" i="1"/>
  <c r="CP560" i="1"/>
  <c r="CS561" i="1"/>
  <c r="CN813" i="1"/>
  <c r="BY1140" i="1"/>
  <c r="BM19" i="1"/>
  <c r="CS575" i="1"/>
  <c r="BY381" i="1"/>
  <c r="CO828" i="1"/>
  <c r="BY835" i="1"/>
  <c r="CT839" i="1"/>
  <c r="CR839" i="1"/>
  <c r="CV839" i="1" s="1"/>
  <c r="CP839" i="1"/>
  <c r="CQ164" i="1"/>
  <c r="CQ166" i="1"/>
  <c r="CO168" i="1"/>
  <c r="BY171" i="1"/>
  <c r="CT171" i="1"/>
  <c r="CT172" i="1"/>
  <c r="CS172" i="1"/>
  <c r="CR172" i="1"/>
  <c r="CP172" i="1"/>
  <c r="BY176" i="1"/>
  <c r="BF184" i="1" a="1"/>
  <c r="BF184" i="1" s="1"/>
  <c r="BE184" i="1" s="1" a="1"/>
  <c r="BE184" i="1" s="1"/>
  <c r="BY187" i="1"/>
  <c r="CT187" i="1"/>
  <c r="CT188" i="1"/>
  <c r="CS188" i="1"/>
  <c r="CR188" i="1"/>
  <c r="CQ188" i="1"/>
  <c r="CP188" i="1"/>
  <c r="CQ190" i="1"/>
  <c r="CT382" i="1"/>
  <c r="CS382" i="1"/>
  <c r="CR382" i="1"/>
  <c r="CQ382" i="1"/>
  <c r="CP382" i="1"/>
  <c r="CQ384" i="1"/>
  <c r="BY1204" i="1"/>
  <c r="CT1205" i="1"/>
  <c r="CS1205" i="1"/>
  <c r="CR1205" i="1"/>
  <c r="CQ1205" i="1"/>
  <c r="CP1205" i="1"/>
  <c r="CO1205" i="1"/>
  <c r="BY1216" i="1"/>
  <c r="CT833" i="1"/>
  <c r="CT837" i="1"/>
  <c r="CT841" i="1"/>
  <c r="CT166" i="1"/>
  <c r="CT170" i="1"/>
  <c r="CT174" i="1"/>
  <c r="CT178" i="1"/>
  <c r="CT182" i="1"/>
  <c r="CT186" i="1"/>
  <c r="CT190" i="1"/>
  <c r="CT194" i="1"/>
  <c r="CT198" i="1"/>
  <c r="CT384" i="1"/>
  <c r="CT1208" i="1"/>
  <c r="CS1209" i="1"/>
  <c r="CT1212" i="1"/>
  <c r="BY1218" i="1"/>
  <c r="CN771" i="1"/>
  <c r="BN767" i="1"/>
  <c r="CQ1228" i="1"/>
  <c r="CP1228" i="1"/>
  <c r="CT1228" i="1"/>
  <c r="CS1228" i="1"/>
  <c r="CR1228" i="1"/>
  <c r="CO1228" i="1"/>
  <c r="CT1209" i="1"/>
  <c r="CN84" i="1"/>
  <c r="BY49" i="1"/>
  <c r="CQ1164" i="1"/>
  <c r="CP1164" i="1"/>
  <c r="CS1164" i="1"/>
  <c r="CR1164" i="1"/>
  <c r="CO1164" i="1"/>
  <c r="BY1227" i="1"/>
  <c r="CQ1227" i="1"/>
  <c r="CO1207" i="1"/>
  <c r="CO1214" i="1"/>
  <c r="CO1215" i="1"/>
  <c r="CO1218" i="1"/>
  <c r="BN377" i="1"/>
  <c r="BO769" i="1"/>
  <c r="BV83" i="1"/>
  <c r="BX83" i="1" s="1"/>
  <c r="BY83" i="1" s="1"/>
  <c r="BN84" i="1"/>
  <c r="BF48" i="1" a="1"/>
  <c r="BF48" i="1" s="1"/>
  <c r="BO48" i="1"/>
  <c r="BN48" i="1"/>
  <c r="CS49" i="1"/>
  <c r="CR49" i="1"/>
  <c r="BY1238" i="1"/>
  <c r="BY1223" i="1"/>
  <c r="CT1164" i="1"/>
  <c r="CP1207" i="1"/>
  <c r="CP1214" i="1"/>
  <c r="CQ1215" i="1"/>
  <c r="CQ1218" i="1"/>
  <c r="CT1238" i="1"/>
  <c r="CQ1238" i="1"/>
  <c r="CP1238" i="1"/>
  <c r="CO1238" i="1"/>
  <c r="CR832" i="1"/>
  <c r="CP833" i="1"/>
  <c r="CR836" i="1"/>
  <c r="CP837" i="1"/>
  <c r="CR840" i="1"/>
  <c r="CP841" i="1"/>
  <c r="CR165" i="1"/>
  <c r="CP166" i="1"/>
  <c r="CR169" i="1"/>
  <c r="CP170" i="1"/>
  <c r="CR173" i="1"/>
  <c r="CV173" i="1" s="1"/>
  <c r="CP174" i="1"/>
  <c r="CR177" i="1"/>
  <c r="CP178" i="1"/>
  <c r="CR181" i="1"/>
  <c r="CV181" i="1" s="1"/>
  <c r="CP182" i="1"/>
  <c r="CR185" i="1"/>
  <c r="CP186" i="1"/>
  <c r="CR189" i="1"/>
  <c r="CV189" i="1" s="1"/>
  <c r="CP190" i="1"/>
  <c r="CR193" i="1"/>
  <c r="CV193" i="1" s="1"/>
  <c r="CP194" i="1"/>
  <c r="CR197" i="1"/>
  <c r="CP198" i="1"/>
  <c r="CR383" i="1"/>
  <c r="CP384" i="1"/>
  <c r="BU1203" i="1"/>
  <c r="CR1206" i="1"/>
  <c r="CQ1207" i="1"/>
  <c r="CP1208" i="1"/>
  <c r="CO1209" i="1"/>
  <c r="CO1212" i="1"/>
  <c r="CP1213" i="1"/>
  <c r="CR1214" i="1"/>
  <c r="CR1215" i="1"/>
  <c r="CR1218" i="1"/>
  <c r="CP49" i="1"/>
  <c r="CR1238" i="1"/>
  <c r="BY1222" i="1"/>
  <c r="BY11" i="1"/>
  <c r="BY1198" i="1"/>
  <c r="CO1211" i="1"/>
  <c r="CP1212" i="1"/>
  <c r="CQ1213" i="1"/>
  <c r="CS1214" i="1"/>
  <c r="CS1215" i="1"/>
  <c r="CS1218" i="1"/>
  <c r="BV377" i="1"/>
  <c r="BX377" i="1" s="1"/>
  <c r="BY1237" i="1"/>
  <c r="CS1238" i="1"/>
  <c r="CS1220" i="1"/>
  <c r="CR1220" i="1"/>
  <c r="CT1220" i="1"/>
  <c r="BY401" i="1"/>
  <c r="CT401" i="1"/>
  <c r="CT1241" i="1"/>
  <c r="CT10" i="1"/>
  <c r="CQ10" i="1"/>
  <c r="CP10" i="1"/>
  <c r="CS403" i="1"/>
  <c r="CR403" i="1"/>
  <c r="CQ403" i="1"/>
  <c r="CT403" i="1"/>
  <c r="CP403" i="1"/>
  <c r="CO403" i="1"/>
  <c r="CT816" i="1"/>
  <c r="BY1168" i="1"/>
  <c r="CT1168" i="1"/>
  <c r="CT1172" i="1"/>
  <c r="CS1172" i="1"/>
  <c r="CR1172" i="1"/>
  <c r="CQ1172" i="1"/>
  <c r="CP1172" i="1"/>
  <c r="CT1231" i="1"/>
  <c r="CP1231" i="1"/>
  <c r="CO1231" i="1"/>
  <c r="BY291" i="1"/>
  <c r="CT291" i="1"/>
  <c r="CS1221" i="1"/>
  <c r="CR1221" i="1"/>
  <c r="CS1222" i="1"/>
  <c r="CR1222" i="1"/>
  <c r="CS1223" i="1"/>
  <c r="CR1223" i="1"/>
  <c r="CP1241" i="1"/>
  <c r="CT1225" i="1"/>
  <c r="CQ1231" i="1"/>
  <c r="CR10" i="1"/>
  <c r="BY12" i="1"/>
  <c r="CT14" i="1"/>
  <c r="CR14" i="1"/>
  <c r="CV14" i="1" s="1"/>
  <c r="CQ14" i="1"/>
  <c r="BY335" i="1"/>
  <c r="CQ336" i="1"/>
  <c r="CR336" i="1"/>
  <c r="CP336" i="1"/>
  <c r="CO336" i="1"/>
  <c r="CT336" i="1"/>
  <c r="CS336" i="1"/>
  <c r="BV342" i="1"/>
  <c r="BX342" i="1" s="1"/>
  <c r="BY342" i="1" s="1"/>
  <c r="CS342" i="1"/>
  <c r="CV342" i="1" s="1"/>
  <c r="CQ1241" i="1"/>
  <c r="BY1226" i="1"/>
  <c r="CR1231" i="1"/>
  <c r="CT9" i="1"/>
  <c r="CS10" i="1"/>
  <c r="CS11" i="1"/>
  <c r="CR11" i="1"/>
  <c r="CT11" i="1"/>
  <c r="CQ12" i="1"/>
  <c r="CP12" i="1"/>
  <c r="BY16" i="1"/>
  <c r="BY404" i="1"/>
  <c r="CR518" i="1"/>
  <c r="CQ518" i="1"/>
  <c r="CP518" i="1"/>
  <c r="CT518" i="1"/>
  <c r="CS518" i="1"/>
  <c r="CQ1166" i="1"/>
  <c r="CP1166" i="1"/>
  <c r="CO1166" i="1"/>
  <c r="CT1166" i="1"/>
  <c r="CS373" i="1"/>
  <c r="CR373" i="1"/>
  <c r="CQ373" i="1"/>
  <c r="CT373" i="1"/>
  <c r="CP373" i="1"/>
  <c r="BY1167" i="1"/>
  <c r="CT1167" i="1"/>
  <c r="BV302" i="1"/>
  <c r="BX302" i="1" s="1"/>
  <c r="CR302" i="1"/>
  <c r="CQ1240" i="1"/>
  <c r="CP1240" i="1"/>
  <c r="CR1241" i="1"/>
  <c r="CS1230" i="1"/>
  <c r="CR1230" i="1"/>
  <c r="CP1230" i="1"/>
  <c r="CO1230" i="1"/>
  <c r="CS1231" i="1"/>
  <c r="CQ404" i="1"/>
  <c r="CP404" i="1"/>
  <c r="CO404" i="1"/>
  <c r="CT1165" i="1"/>
  <c r="CS375" i="1"/>
  <c r="CR375" i="1"/>
  <c r="CQ375" i="1"/>
  <c r="CP375" i="1"/>
  <c r="CQ517" i="1"/>
  <c r="CP517" i="1"/>
  <c r="CO517" i="1"/>
  <c r="CT517" i="1"/>
  <c r="CS517" i="1"/>
  <c r="CV517" i="1" s="1"/>
  <c r="CT1173" i="1"/>
  <c r="CS1173" i="1"/>
  <c r="CR1173" i="1"/>
  <c r="CQ1173" i="1"/>
  <c r="CP1173" i="1"/>
  <c r="CO1173" i="1"/>
  <c r="CS337" i="1"/>
  <c r="CR337" i="1"/>
  <c r="CQ337" i="1"/>
  <c r="CP337" i="1"/>
  <c r="CO337" i="1"/>
  <c r="CQ1229" i="1"/>
  <c r="CP1229" i="1"/>
  <c r="CT1229" i="1"/>
  <c r="CQ8" i="1"/>
  <c r="CP8" i="1"/>
  <c r="BY13" i="1"/>
  <c r="CS15" i="1"/>
  <c r="CR15" i="1"/>
  <c r="CT15" i="1"/>
  <c r="CS298" i="1"/>
  <c r="BV298" i="1"/>
  <c r="BX298" i="1" s="1"/>
  <c r="CS127" i="1"/>
  <c r="CR127" i="1"/>
  <c r="CQ127" i="1"/>
  <c r="CP127" i="1"/>
  <c r="CO127" i="1"/>
  <c r="BY290" i="1"/>
  <c r="CT290" i="1"/>
  <c r="CS1160" i="1"/>
  <c r="CR1160" i="1"/>
  <c r="CS1163" i="1"/>
  <c r="CR1163" i="1"/>
  <c r="CO1229" i="1"/>
  <c r="CT1230" i="1"/>
  <c r="CS295" i="1"/>
  <c r="CR295" i="1"/>
  <c r="CT295" i="1"/>
  <c r="CQ295" i="1"/>
  <c r="CO8" i="1"/>
  <c r="CQ11" i="1"/>
  <c r="CS12" i="1"/>
  <c r="CO15" i="1"/>
  <c r="CS404" i="1"/>
  <c r="CV404" i="1" s="1"/>
  <c r="CQ660" i="1"/>
  <c r="CP660" i="1"/>
  <c r="CO660" i="1"/>
  <c r="CQ661" i="1"/>
  <c r="CP661" i="1"/>
  <c r="CO661" i="1"/>
  <c r="CT661" i="1"/>
  <c r="CS661" i="1"/>
  <c r="CR661" i="1"/>
  <c r="CT375" i="1"/>
  <c r="BV301" i="1"/>
  <c r="BX301" i="1" s="1"/>
  <c r="CR305" i="1"/>
  <c r="CT305" i="1"/>
  <c r="CS305" i="1"/>
  <c r="CQ305" i="1"/>
  <c r="CP305" i="1"/>
  <c r="CO305" i="1"/>
  <c r="BV309" i="1"/>
  <c r="BX309" i="1" s="1"/>
  <c r="BY309" i="1" s="1"/>
  <c r="CR1229" i="1"/>
  <c r="CV1229" i="1" s="1"/>
  <c r="CR8" i="1"/>
  <c r="CV8" i="1" s="1"/>
  <c r="BY10" i="1"/>
  <c r="CP15" i="1"/>
  <c r="CT404" i="1"/>
  <c r="BY283" i="1"/>
  <c r="CQ283" i="1"/>
  <c r="CT374" i="1"/>
  <c r="CQ1169" i="1"/>
  <c r="CP1169" i="1"/>
  <c r="CO1169" i="1"/>
  <c r="CT1169" i="1"/>
  <c r="CS1169" i="1"/>
  <c r="CR1169" i="1"/>
  <c r="CT150" i="1"/>
  <c r="BY150" i="1"/>
  <c r="CT1174" i="1"/>
  <c r="CS1174" i="1"/>
  <c r="CO286" i="1"/>
  <c r="CT286" i="1"/>
  <c r="CS286" i="1"/>
  <c r="CR286" i="1"/>
  <c r="CQ286" i="1"/>
  <c r="CP286" i="1"/>
  <c r="BY304" i="1"/>
  <c r="CT304" i="1"/>
  <c r="CT1186" i="1"/>
  <c r="CU1186" i="1" s="1"/>
  <c r="BY1188" i="1"/>
  <c r="CT1188" i="1"/>
  <c r="CU1188" i="1" s="1"/>
  <c r="CS376" i="1"/>
  <c r="CR376" i="1"/>
  <c r="CQ376" i="1"/>
  <c r="CR1170" i="1"/>
  <c r="CQ1170" i="1"/>
  <c r="CP1170" i="1"/>
  <c r="CT815" i="1"/>
  <c r="CS815" i="1"/>
  <c r="CQ334" i="1"/>
  <c r="CP334" i="1"/>
  <c r="CO334" i="1"/>
  <c r="BY285" i="1"/>
  <c r="BV128" i="1"/>
  <c r="BX128" i="1" s="1"/>
  <c r="CO376" i="1"/>
  <c r="CO1170" i="1"/>
  <c r="CP1174" i="1"/>
  <c r="CO815" i="1"/>
  <c r="BV126" i="1"/>
  <c r="BX126" i="1" s="1"/>
  <c r="BY126" i="1" s="1"/>
  <c r="CR334" i="1"/>
  <c r="BV299" i="1"/>
  <c r="BX299" i="1" s="1"/>
  <c r="CT285" i="1"/>
  <c r="CS285" i="1"/>
  <c r="CR285" i="1"/>
  <c r="CQ285" i="1"/>
  <c r="CP285" i="1"/>
  <c r="BY287" i="1"/>
  <c r="CT287" i="1"/>
  <c r="CU287" i="1" s="1"/>
  <c r="CQ1198" i="1"/>
  <c r="CS374" i="1"/>
  <c r="CR374" i="1"/>
  <c r="CQ374" i="1"/>
  <c r="CP376" i="1"/>
  <c r="CS1170" i="1"/>
  <c r="CS1171" i="1"/>
  <c r="CR1171" i="1"/>
  <c r="CQ1171" i="1"/>
  <c r="CQ1174" i="1"/>
  <c r="CP815" i="1"/>
  <c r="CQ296" i="1"/>
  <c r="BY318" i="1"/>
  <c r="CS334" i="1"/>
  <c r="CS335" i="1"/>
  <c r="CR335" i="1"/>
  <c r="CQ335" i="1"/>
  <c r="CP335" i="1"/>
  <c r="CQ299" i="1"/>
  <c r="CO285" i="1"/>
  <c r="CS341" i="1"/>
  <c r="CP341" i="1"/>
  <c r="CR341" i="1"/>
  <c r="BY322" i="1"/>
  <c r="CT322" i="1"/>
  <c r="BY324" i="1"/>
  <c r="BY1142" i="1"/>
  <c r="CN83" i="1"/>
  <c r="BY402" i="1"/>
  <c r="CQ1165" i="1"/>
  <c r="CP1165" i="1"/>
  <c r="CO1165" i="1"/>
  <c r="CT284" i="1"/>
  <c r="CS284" i="1"/>
  <c r="CR284" i="1"/>
  <c r="CO374" i="1"/>
  <c r="CT376" i="1"/>
  <c r="CT1170" i="1"/>
  <c r="CO1171" i="1"/>
  <c r="CR1174" i="1"/>
  <c r="CQ815" i="1"/>
  <c r="CO296" i="1"/>
  <c r="CO126" i="1"/>
  <c r="CS126" i="1"/>
  <c r="BY321" i="1"/>
  <c r="CR303" i="1"/>
  <c r="CS303" i="1"/>
  <c r="CQ303" i="1"/>
  <c r="CP303" i="1"/>
  <c r="CO303" i="1"/>
  <c r="CS148" i="1"/>
  <c r="CP148" i="1"/>
  <c r="CR148" i="1"/>
  <c r="CQ148" i="1"/>
  <c r="CO148" i="1"/>
  <c r="CP324" i="1"/>
  <c r="CO324" i="1"/>
  <c r="CT324" i="1"/>
  <c r="CS324" i="1"/>
  <c r="CR324" i="1"/>
  <c r="CQ324" i="1"/>
  <c r="CS325" i="1"/>
  <c r="CR325" i="1"/>
  <c r="CP325" i="1"/>
  <c r="CO325" i="1"/>
  <c r="BY310" i="1"/>
  <c r="CT310" i="1"/>
  <c r="BF14" i="1" a="1"/>
  <c r="BF14" i="1" s="1"/>
  <c r="CQ16" i="1"/>
  <c r="CP16" i="1"/>
  <c r="CT402" i="1"/>
  <c r="CS402" i="1"/>
  <c r="CV402" i="1" s="1"/>
  <c r="CR1165" i="1"/>
  <c r="CV1165" i="1" s="1"/>
  <c r="CO284" i="1"/>
  <c r="CP374" i="1"/>
  <c r="CP1171" i="1"/>
  <c r="CR815" i="1"/>
  <c r="CQ1177" i="1"/>
  <c r="CP1177" i="1"/>
  <c r="CO1177" i="1"/>
  <c r="CP296" i="1"/>
  <c r="CP126" i="1"/>
  <c r="CT335" i="1"/>
  <c r="BY320" i="1"/>
  <c r="CT320" i="1"/>
  <c r="CS297" i="1"/>
  <c r="CQ341" i="1"/>
  <c r="BY307" i="1"/>
  <c r="CS345" i="1"/>
  <c r="CR345" i="1"/>
  <c r="CP345" i="1"/>
  <c r="CO345" i="1"/>
  <c r="CQ325" i="1"/>
  <c r="CQ300" i="1"/>
  <c r="CS306" i="1"/>
  <c r="CO294" i="1"/>
  <c r="CT294" i="1"/>
  <c r="CS294" i="1"/>
  <c r="CR294" i="1"/>
  <c r="CR307" i="1"/>
  <c r="CQ307" i="1"/>
  <c r="BY323" i="1"/>
  <c r="CR1152" i="1"/>
  <c r="CT1152" i="1"/>
  <c r="CU1152" i="1" s="1"/>
  <c r="CS1152" i="1"/>
  <c r="CT1162" i="1"/>
  <c r="CO299" i="1"/>
  <c r="CP321" i="1"/>
  <c r="CP300" i="1"/>
  <c r="CP301" i="1"/>
  <c r="CS128" i="1"/>
  <c r="CO288" i="1"/>
  <c r="CT288" i="1"/>
  <c r="CO289" i="1"/>
  <c r="BV341" i="1"/>
  <c r="BX341" i="1" s="1"/>
  <c r="BY341" i="1" s="1"/>
  <c r="CO342" i="1"/>
  <c r="CO290" i="1"/>
  <c r="CS150" i="1"/>
  <c r="CO307" i="1"/>
  <c r="CR323" i="1"/>
  <c r="CV323" i="1" s="1"/>
  <c r="CQ323" i="1"/>
  <c r="BV345" i="1"/>
  <c r="BX345" i="1" s="1"/>
  <c r="BY292" i="1"/>
  <c r="CT292" i="1"/>
  <c r="CQ294" i="1"/>
  <c r="CR1158" i="1"/>
  <c r="CS1158" i="1"/>
  <c r="CO282" i="1"/>
  <c r="CO1167" i="1"/>
  <c r="CO1168" i="1"/>
  <c r="CO1176" i="1"/>
  <c r="CP319" i="1"/>
  <c r="CP298" i="1"/>
  <c r="CP299" i="1"/>
  <c r="CQ321" i="1"/>
  <c r="CR300" i="1"/>
  <c r="CQ301" i="1"/>
  <c r="CO128" i="1"/>
  <c r="CQ297" i="1"/>
  <c r="CP288" i="1"/>
  <c r="CP289" i="1"/>
  <c r="CP342" i="1"/>
  <c r="CP290" i="1"/>
  <c r="CP307" i="1"/>
  <c r="CO323" i="1"/>
  <c r="CR291" i="1"/>
  <c r="CV291" i="1" s="1"/>
  <c r="CQ291" i="1"/>
  <c r="CT1158" i="1"/>
  <c r="CU1158" i="1" s="1"/>
  <c r="CQ319" i="1"/>
  <c r="CQ298" i="1"/>
  <c r="BV337" i="1"/>
  <c r="BX337" i="1" s="1"/>
  <c r="BY337" i="1" s="1"/>
  <c r="CS300" i="1"/>
  <c r="CR301" i="1"/>
  <c r="CP128" i="1"/>
  <c r="CO297" i="1"/>
  <c r="CQ288" i="1"/>
  <c r="CQ289" i="1"/>
  <c r="CQ304" i="1"/>
  <c r="CQ342" i="1"/>
  <c r="CQ290" i="1"/>
  <c r="CO322" i="1"/>
  <c r="BV148" i="1"/>
  <c r="BX148" i="1" s="1"/>
  <c r="BY148" i="1" s="1"/>
  <c r="CO306" i="1"/>
  <c r="CS307" i="1"/>
  <c r="CP323" i="1"/>
  <c r="CO291" i="1"/>
  <c r="CS1159" i="1"/>
  <c r="CT1159" i="1"/>
  <c r="CU1159" i="1" s="1"/>
  <c r="CR1159" i="1"/>
  <c r="CT1179" i="1"/>
  <c r="CU1179" i="1" s="1"/>
  <c r="CR1179" i="1"/>
  <c r="CV1179" i="1" s="1"/>
  <c r="CT1182" i="1"/>
  <c r="CU1182" i="1" s="1"/>
  <c r="CR1182" i="1"/>
  <c r="CV1182" i="1" s="1"/>
  <c r="CS309" i="1"/>
  <c r="BV346" i="1"/>
  <c r="BX346" i="1" s="1"/>
  <c r="CS293" i="1"/>
  <c r="CV293" i="1" s="1"/>
  <c r="BV311" i="1"/>
  <c r="BX311" i="1" s="1"/>
  <c r="CT1157" i="1"/>
  <c r="CU1157" i="1" s="1"/>
  <c r="CR1157" i="1"/>
  <c r="BY1189" i="1"/>
  <c r="CT1189" i="1"/>
  <c r="CU1189" i="1" s="1"/>
  <c r="CT1190" i="1"/>
  <c r="CU1190" i="1" s="1"/>
  <c r="CT1192" i="1"/>
  <c r="CU1192" i="1" s="1"/>
  <c r="BY1192" i="1"/>
  <c r="BY1193" i="1"/>
  <c r="CT1193" i="1"/>
  <c r="CU1193" i="1" s="1"/>
  <c r="CS350" i="1"/>
  <c r="CR350" i="1"/>
  <c r="CT350" i="1"/>
  <c r="CQ350" i="1"/>
  <c r="CP350" i="1"/>
  <c r="CO350" i="1"/>
  <c r="BV823" i="1"/>
  <c r="BX823" i="1" s="1"/>
  <c r="BU823" i="1"/>
  <c r="CR1149" i="1"/>
  <c r="CV1149" i="1" s="1"/>
  <c r="CR1151" i="1"/>
  <c r="CS1157" i="1"/>
  <c r="CR1180" i="1"/>
  <c r="CS1180" i="1"/>
  <c r="CT1183" i="1"/>
  <c r="CU1183" i="1" s="1"/>
  <c r="CR1183" i="1"/>
  <c r="CT1149" i="1"/>
  <c r="CU1149" i="1" s="1"/>
  <c r="CS1151" i="1"/>
  <c r="CT1180" i="1"/>
  <c r="CU1180" i="1" s="1"/>
  <c r="CS1183" i="1"/>
  <c r="CS346" i="1"/>
  <c r="CS311" i="1"/>
  <c r="CR1144" i="1"/>
  <c r="CV1144" i="1" s="1"/>
  <c r="CR1145" i="1"/>
  <c r="CV1145" i="1" s="1"/>
  <c r="CT1178" i="1"/>
  <c r="CU1178" i="1" s="1"/>
  <c r="CR1178" i="1"/>
  <c r="CR1181" i="1"/>
  <c r="CV1181" i="1" s="1"/>
  <c r="CO346" i="1"/>
  <c r="CQ293" i="1"/>
  <c r="CO311" i="1"/>
  <c r="CT1145" i="1"/>
  <c r="CU1145" i="1" s="1"/>
  <c r="CS1148" i="1"/>
  <c r="CV1148" i="1" s="1"/>
  <c r="CS1156" i="1"/>
  <c r="CV1156" i="1" s="1"/>
  <c r="CS1178" i="1"/>
  <c r="CT1181" i="1"/>
  <c r="CU1181" i="1" s="1"/>
  <c r="CT1195" i="1"/>
  <c r="CU1195" i="1" s="1"/>
  <c r="CO354" i="1"/>
  <c r="CR354" i="1"/>
  <c r="CQ354" i="1"/>
  <c r="CP354" i="1"/>
  <c r="BY315" i="1"/>
  <c r="CT315" i="1"/>
  <c r="CR1185" i="1"/>
  <c r="CV1185" i="1" s="1"/>
  <c r="CT1187" i="1"/>
  <c r="CU1187" i="1" s="1"/>
  <c r="CR1189" i="1"/>
  <c r="CV1189" i="1" s="1"/>
  <c r="CT1191" i="1"/>
  <c r="CU1191" i="1" s="1"/>
  <c r="CR1195" i="1"/>
  <c r="CP353" i="1"/>
  <c r="CS353" i="1"/>
  <c r="CT353" i="1"/>
  <c r="CS354" i="1"/>
  <c r="BY312" i="1"/>
  <c r="CT312" i="1"/>
  <c r="CS1184" i="1"/>
  <c r="CV1184" i="1" s="1"/>
  <c r="CR1186" i="1"/>
  <c r="CV1186" i="1" s="1"/>
  <c r="CR1187" i="1"/>
  <c r="CV1187" i="1" s="1"/>
  <c r="CS1188" i="1"/>
  <c r="CV1188" i="1" s="1"/>
  <c r="CR1190" i="1"/>
  <c r="CV1190" i="1" s="1"/>
  <c r="CR1191" i="1"/>
  <c r="CV1191" i="1" s="1"/>
  <c r="CS1192" i="1"/>
  <c r="CV1192" i="1" s="1"/>
  <c r="CR1194" i="1"/>
  <c r="CS1195" i="1"/>
  <c r="CT349" i="1"/>
  <c r="CS349" i="1"/>
  <c r="CV349" i="1" s="1"/>
  <c r="CQ352" i="1"/>
  <c r="CT352" i="1"/>
  <c r="CS352" i="1"/>
  <c r="CP352" i="1"/>
  <c r="CO353" i="1"/>
  <c r="CT354" i="1"/>
  <c r="BY355" i="1"/>
  <c r="BY313" i="1"/>
  <c r="BY81" i="1"/>
  <c r="CT81" i="1"/>
  <c r="CO352" i="1"/>
  <c r="CQ353" i="1"/>
  <c r="CT313" i="1"/>
  <c r="CR313" i="1"/>
  <c r="CO313" i="1"/>
  <c r="CS313" i="1"/>
  <c r="CP313" i="1"/>
  <c r="CP349" i="1"/>
  <c r="CR352" i="1"/>
  <c r="CR353" i="1"/>
  <c r="CT1234" i="1"/>
  <c r="CS1234" i="1"/>
  <c r="CR1234" i="1"/>
  <c r="CQ1234" i="1"/>
  <c r="CP1234" i="1"/>
  <c r="CO1234" i="1"/>
  <c r="BY80" i="1"/>
  <c r="CQ80" i="1"/>
  <c r="CQ349" i="1"/>
  <c r="CR351" i="1"/>
  <c r="CQ351" i="1"/>
  <c r="CQ314" i="1"/>
  <c r="BY314" i="1"/>
  <c r="CR315" i="1"/>
  <c r="CP315" i="1"/>
  <c r="CQ163" i="1"/>
  <c r="CT1236" i="1"/>
  <c r="CS1236" i="1"/>
  <c r="CR1236" i="1"/>
  <c r="CP1236" i="1"/>
  <c r="CO1236" i="1"/>
  <c r="CT1199" i="1"/>
  <c r="CS1199" i="1"/>
  <c r="CR1199" i="1"/>
  <c r="CP1199" i="1"/>
  <c r="BY72" i="1"/>
  <c r="BY74" i="1"/>
  <c r="CQ75" i="1"/>
  <c r="BF80" i="1" a="1"/>
  <c r="BF80" i="1" s="1"/>
  <c r="BE80" i="1" s="1" a="1"/>
  <c r="BE80" i="1" s="1"/>
  <c r="CQ157" i="1"/>
  <c r="CQ316" i="1"/>
  <c r="CO316" i="1"/>
  <c r="CT316" i="1"/>
  <c r="CO1199" i="1"/>
  <c r="CQ72" i="1"/>
  <c r="CN1235" i="1"/>
  <c r="BN1235" i="1"/>
  <c r="BO1235" i="1" s="1"/>
  <c r="BY1235" i="1" s="1"/>
  <c r="CS315" i="1"/>
  <c r="CP316" i="1"/>
  <c r="BY70" i="1"/>
  <c r="BF78" i="1" a="1"/>
  <c r="BF78" i="1" s="1"/>
  <c r="BE78" i="1" s="1" a="1"/>
  <c r="BE78" i="1" s="1"/>
  <c r="BF160" i="1" a="1"/>
  <c r="BF160" i="1" s="1"/>
  <c r="BE160" i="1" s="1" a="1"/>
  <c r="BE160" i="1" s="1"/>
  <c r="CR316" i="1"/>
  <c r="BO1232" i="1"/>
  <c r="BY1232" i="1" s="1"/>
  <c r="CN1232" i="1"/>
  <c r="BN1232" i="1"/>
  <c r="CQ161" i="1"/>
  <c r="CS316" i="1"/>
  <c r="BF82" i="1" a="1"/>
  <c r="BF82" i="1" s="1"/>
  <c r="BE82" i="1" s="1" a="1"/>
  <c r="BE82" i="1" s="1"/>
  <c r="BY82" i="1"/>
  <c r="CT82" i="1"/>
  <c r="BO823" i="1"/>
  <c r="CN823" i="1"/>
  <c r="BN823" i="1"/>
  <c r="BO1199" i="1"/>
  <c r="BY1199" i="1" s="1"/>
  <c r="BN1199" i="1"/>
  <c r="BY1234" i="1"/>
  <c r="CT71" i="1"/>
  <c r="CS71" i="1"/>
  <c r="CR71" i="1"/>
  <c r="CQ71" i="1"/>
  <c r="CP71" i="1"/>
  <c r="CO71" i="1"/>
  <c r="BF76" i="1" a="1"/>
  <c r="BF76" i="1" s="1"/>
  <c r="BE76" i="1" s="1" a="1"/>
  <c r="BE76" i="1" s="1"/>
  <c r="CQ79" i="1"/>
  <c r="BF158" i="1" a="1"/>
  <c r="BF158" i="1" s="1"/>
  <c r="BE158" i="1" s="1" a="1"/>
  <c r="BE158" i="1" s="1"/>
  <c r="BF81" i="1" a="1"/>
  <c r="BF81" i="1" s="1"/>
  <c r="BE81" i="1" s="1" a="1"/>
  <c r="BE81" i="1" s="1"/>
  <c r="BY73" i="1"/>
  <c r="CQ78" i="1"/>
  <c r="BF157" i="1" a="1"/>
  <c r="BF157" i="1" s="1"/>
  <c r="BE157" i="1" s="1" a="1"/>
  <c r="BE157" i="1" s="1"/>
  <c r="CQ160" i="1"/>
  <c r="BF163" i="1" a="1"/>
  <c r="BF163" i="1" s="1"/>
  <c r="BE163" i="1" s="1" a="1"/>
  <c r="BE163" i="1" s="1"/>
  <c r="CS317" i="1"/>
  <c r="CR81" i="1"/>
  <c r="CR70" i="1"/>
  <c r="CT72" i="1"/>
  <c r="CN821" i="1"/>
  <c r="CN1200" i="1"/>
  <c r="CN1201" i="1"/>
  <c r="CT70" i="1"/>
  <c r="CN1233" i="1"/>
  <c r="BN1200" i="1"/>
  <c r="BN1201" i="1"/>
  <c r="CO72" i="1"/>
  <c r="CQ74" i="1"/>
  <c r="CP72" i="1"/>
  <c r="CV296" i="1" l="1"/>
  <c r="BY296" i="1"/>
  <c r="BY48" i="1"/>
  <c r="CV183" i="1"/>
  <c r="CT293" i="1"/>
  <c r="BY377" i="1"/>
  <c r="CQ377" i="1"/>
  <c r="CS822" i="1"/>
  <c r="BY303" i="1"/>
  <c r="CQ769" i="1"/>
  <c r="CQ1132" i="1"/>
  <c r="CU1132" i="1" s="1"/>
  <c r="BY297" i="1"/>
  <c r="CV628" i="1"/>
  <c r="CT1198" i="1"/>
  <c r="BY127" i="1"/>
  <c r="CS1198" i="1"/>
  <c r="CV1198" i="1" s="1"/>
  <c r="CV311" i="1"/>
  <c r="CV306" i="1"/>
  <c r="CO1198" i="1"/>
  <c r="CV186" i="1"/>
  <c r="CU543" i="1"/>
  <c r="CR1198" i="1"/>
  <c r="CU534" i="1"/>
  <c r="CS766" i="1"/>
  <c r="BY822" i="1"/>
  <c r="CT766" i="1"/>
  <c r="CT308" i="1"/>
  <c r="CU360" i="1"/>
  <c r="CU385" i="1"/>
  <c r="BY306" i="1"/>
  <c r="CV1151" i="1"/>
  <c r="BY816" i="1"/>
  <c r="BY765" i="1"/>
  <c r="CO766" i="1"/>
  <c r="CQ1236" i="1"/>
  <c r="CU1236" i="1" s="1"/>
  <c r="CR766" i="1"/>
  <c r="CU283" i="1"/>
  <c r="CU75" i="1"/>
  <c r="CQ766" i="1"/>
  <c r="CU181" i="1"/>
  <c r="CP822" i="1"/>
  <c r="CQ822" i="1"/>
  <c r="CU16" i="1"/>
  <c r="CU161" i="1"/>
  <c r="BY809" i="1"/>
  <c r="CT769" i="1"/>
  <c r="CV320" i="1"/>
  <c r="CV809" i="1"/>
  <c r="CV811" i="1"/>
  <c r="CV810" i="1"/>
  <c r="CV70" i="1"/>
  <c r="CU325" i="1"/>
  <c r="CU79" i="1"/>
  <c r="CV346" i="1"/>
  <c r="CV161" i="1"/>
  <c r="CU824" i="1"/>
  <c r="CU167" i="1"/>
  <c r="CR1135" i="1"/>
  <c r="CS1138" i="1"/>
  <c r="CQ1135" i="1"/>
  <c r="CU74" i="1"/>
  <c r="CR822" i="1"/>
  <c r="CS1135" i="1"/>
  <c r="CQ810" i="1"/>
  <c r="CU810" i="1" s="1"/>
  <c r="CP769" i="1"/>
  <c r="CT1135" i="1"/>
  <c r="CU363" i="1"/>
  <c r="CU157" i="1"/>
  <c r="CS769" i="1"/>
  <c r="CV769" i="1" s="1"/>
  <c r="CO769" i="1"/>
  <c r="CQ811" i="1"/>
  <c r="CU811" i="1" s="1"/>
  <c r="CR377" i="1"/>
  <c r="CS377" i="1"/>
  <c r="CT1140" i="1"/>
  <c r="CP1138" i="1"/>
  <c r="CR1138" i="1"/>
  <c r="CV310" i="1"/>
  <c r="CU155" i="1"/>
  <c r="CU1207" i="1"/>
  <c r="CU818" i="1"/>
  <c r="CU73" i="1"/>
  <c r="CU78" i="1"/>
  <c r="CU82" i="1"/>
  <c r="CU175" i="1"/>
  <c r="CV128" i="1"/>
  <c r="CU15" i="1"/>
  <c r="CT1138" i="1"/>
  <c r="CU1138" i="1" s="1"/>
  <c r="CV1176" i="1"/>
  <c r="CU809" i="1"/>
  <c r="CV12" i="1"/>
  <c r="CV1240" i="1"/>
  <c r="CO377" i="1"/>
  <c r="CU26" i="1"/>
  <c r="BY766" i="1"/>
  <c r="CT822" i="1"/>
  <c r="CV1241" i="1"/>
  <c r="CP377" i="1"/>
  <c r="CQ1140" i="1"/>
  <c r="CU1140" i="1" s="1"/>
  <c r="CO1138" i="1"/>
  <c r="CR1140" i="1"/>
  <c r="CV1140" i="1" s="1"/>
  <c r="CO1140" i="1"/>
  <c r="CV533" i="1"/>
  <c r="CU834" i="1"/>
  <c r="CV541" i="1"/>
  <c r="CU624" i="1"/>
  <c r="CV534" i="1"/>
  <c r="CV297" i="1"/>
  <c r="CV318" i="1"/>
  <c r="CU1206" i="1"/>
  <c r="CQ1133" i="1"/>
  <c r="CU1133" i="1" s="1"/>
  <c r="CV540" i="1"/>
  <c r="CU193" i="1"/>
  <c r="CU163" i="1"/>
  <c r="CV1194" i="1"/>
  <c r="CU308" i="1"/>
  <c r="CU840" i="1"/>
  <c r="CU1223" i="1"/>
  <c r="CV179" i="1"/>
  <c r="CU1225" i="1"/>
  <c r="CV364" i="1"/>
  <c r="CU826" i="1"/>
  <c r="CU819" i="1"/>
  <c r="CU839" i="1"/>
  <c r="CU199" i="1"/>
  <c r="CU361" i="1"/>
  <c r="CU197" i="1"/>
  <c r="CU1214" i="1"/>
  <c r="CV199" i="1"/>
  <c r="CV434" i="1"/>
  <c r="CV160" i="1"/>
  <c r="CV836" i="1"/>
  <c r="CU541" i="1"/>
  <c r="CV155" i="1"/>
  <c r="CV195" i="1"/>
  <c r="CU355" i="1"/>
  <c r="CU300" i="1"/>
  <c r="CU1168" i="1"/>
  <c r="CU49" i="1"/>
  <c r="CU383" i="1"/>
  <c r="CU805" i="1"/>
  <c r="CU168" i="1"/>
  <c r="CU195" i="1"/>
  <c r="CU313" i="1"/>
  <c r="CU295" i="1"/>
  <c r="CU401" i="1"/>
  <c r="CV357" i="1"/>
  <c r="CV539" i="1"/>
  <c r="CV182" i="1"/>
  <c r="BY17" i="1"/>
  <c r="CV356" i="1"/>
  <c r="CV832" i="1"/>
  <c r="CU159" i="1"/>
  <c r="CU1134" i="1"/>
  <c r="CV359" i="1"/>
  <c r="CU284" i="1"/>
  <c r="CV73" i="1"/>
  <c r="CU1230" i="1"/>
  <c r="CT18" i="1"/>
  <c r="CV27" i="1"/>
  <c r="CU77" i="1"/>
  <c r="CV304" i="1"/>
  <c r="CU380" i="1"/>
  <c r="CU1221" i="1"/>
  <c r="CU828" i="1"/>
  <c r="CV78" i="1"/>
  <c r="CU356" i="1"/>
  <c r="CV351" i="1"/>
  <c r="CU1162" i="1"/>
  <c r="CU1218" i="1"/>
  <c r="CV317" i="1"/>
  <c r="CU315" i="1"/>
  <c r="CU334" i="1"/>
  <c r="CU1169" i="1"/>
  <c r="CU307" i="1"/>
  <c r="CV40" i="1"/>
  <c r="CV298" i="1"/>
  <c r="CV31" i="1"/>
  <c r="CU319" i="1"/>
  <c r="CU160" i="1"/>
  <c r="CU563" i="1"/>
  <c r="CU561" i="1"/>
  <c r="CU162" i="1"/>
  <c r="CU1226" i="1"/>
  <c r="CO579" i="1"/>
  <c r="CU34" i="1"/>
  <c r="CU808" i="1"/>
  <c r="CU76" i="1"/>
  <c r="CV816" i="1"/>
  <c r="CU1209" i="1"/>
  <c r="CV126" i="1"/>
  <c r="CV165" i="1"/>
  <c r="CU292" i="1"/>
  <c r="CU539" i="1"/>
  <c r="CV191" i="1"/>
  <c r="CV834" i="1"/>
  <c r="CV1161" i="1"/>
  <c r="CU1222" i="1"/>
  <c r="CU310" i="1"/>
  <c r="CV287" i="1"/>
  <c r="CU314" i="1"/>
  <c r="CU1177" i="1"/>
  <c r="CV840" i="1"/>
  <c r="CU560" i="1"/>
  <c r="CU39" i="1"/>
  <c r="CU559" i="1"/>
  <c r="CV1202" i="1"/>
  <c r="CU182" i="1"/>
  <c r="CV75" i="1"/>
  <c r="CU825" i="1"/>
  <c r="CV624" i="1"/>
  <c r="CV36" i="1"/>
  <c r="CV1174" i="1"/>
  <c r="CU433" i="1"/>
  <c r="CV819" i="1"/>
  <c r="CV187" i="1"/>
  <c r="CU402" i="1"/>
  <c r="CU186" i="1"/>
  <c r="CU562" i="1"/>
  <c r="CU351" i="1"/>
  <c r="CV163" i="1"/>
  <c r="CV1175" i="1"/>
  <c r="CV178" i="1"/>
  <c r="CV316" i="1"/>
  <c r="CV1160" i="1"/>
  <c r="CU187" i="1"/>
  <c r="CU32" i="1"/>
  <c r="CU660" i="1"/>
  <c r="CV820" i="1"/>
  <c r="CO18" i="1"/>
  <c r="CU320" i="1"/>
  <c r="CU198" i="1"/>
  <c r="CR18" i="1"/>
  <c r="CV18" i="1" s="1"/>
  <c r="CU156" i="1"/>
  <c r="CU158" i="1"/>
  <c r="CV826" i="1"/>
  <c r="CU173" i="1"/>
  <c r="CU807" i="1"/>
  <c r="CU81" i="1"/>
  <c r="CV1178" i="1"/>
  <c r="CV286" i="1"/>
  <c r="CU176" i="1"/>
  <c r="CU183" i="1"/>
  <c r="CV1227" i="1"/>
  <c r="CU12" i="1"/>
  <c r="CU1196" i="1"/>
  <c r="CU322" i="1"/>
  <c r="CV302" i="1"/>
  <c r="CV177" i="1"/>
  <c r="CU362" i="1"/>
  <c r="CU831" i="1"/>
  <c r="CV162" i="1"/>
  <c r="BY579" i="1"/>
  <c r="CU35" i="1"/>
  <c r="CV313" i="1"/>
  <c r="CV9" i="1"/>
  <c r="CU1228" i="1"/>
  <c r="CU1160" i="1"/>
  <c r="CV309" i="1"/>
  <c r="CU1227" i="1"/>
  <c r="CU191" i="1"/>
  <c r="CU1171" i="1"/>
  <c r="CV305" i="1"/>
  <c r="CU178" i="1"/>
  <c r="CP18" i="1"/>
  <c r="CV283" i="1"/>
  <c r="CU1198" i="1"/>
  <c r="CV312" i="1"/>
  <c r="CU171" i="1"/>
  <c r="CO405" i="1"/>
  <c r="CU1202" i="1"/>
  <c r="CU189" i="1"/>
  <c r="CV842" i="1"/>
  <c r="CV825" i="1"/>
  <c r="CU836" i="1"/>
  <c r="CV806" i="1"/>
  <c r="BY823" i="1"/>
  <c r="CV1224" i="1"/>
  <c r="CV41" i="1"/>
  <c r="CV824" i="1"/>
  <c r="CU127" i="1"/>
  <c r="CU838" i="1"/>
  <c r="CU1217" i="1"/>
  <c r="CV1196" i="1"/>
  <c r="CU354" i="1"/>
  <c r="CV176" i="1"/>
  <c r="CV838" i="1"/>
  <c r="CV185" i="1"/>
  <c r="CU36" i="1"/>
  <c r="CU1210" i="1"/>
  <c r="CU357" i="1"/>
  <c r="CV13" i="1"/>
  <c r="CV301" i="1"/>
  <c r="CU376" i="1"/>
  <c r="CU1167" i="1"/>
  <c r="CU190" i="1"/>
  <c r="CV1139" i="1"/>
  <c r="CU1224" i="1"/>
  <c r="CV1213" i="1"/>
  <c r="CU625" i="1"/>
  <c r="CU318" i="1"/>
  <c r="CU628" i="1"/>
  <c r="CV575" i="1"/>
  <c r="CU323" i="1"/>
  <c r="CV307" i="1"/>
  <c r="CV383" i="1"/>
  <c r="CV169" i="1"/>
  <c r="CV1209" i="1"/>
  <c r="CT579" i="1"/>
  <c r="CU317" i="1"/>
  <c r="CR579" i="1"/>
  <c r="CV579" i="1" s="1"/>
  <c r="CV629" i="1"/>
  <c r="CV337" i="1"/>
  <c r="CV294" i="1"/>
  <c r="CU9" i="1"/>
  <c r="CU1220" i="1"/>
  <c r="CU174" i="1"/>
  <c r="CV164" i="1"/>
  <c r="CV562" i="1"/>
  <c r="CQ579" i="1"/>
  <c r="CP579" i="1"/>
  <c r="CU542" i="1"/>
  <c r="CU435" i="1"/>
  <c r="CU170" i="1"/>
  <c r="CV299" i="1"/>
  <c r="CU165" i="1"/>
  <c r="CU434" i="1"/>
  <c r="CU1175" i="1"/>
  <c r="CV1195" i="1"/>
  <c r="CU188" i="1"/>
  <c r="CV150" i="1"/>
  <c r="CV1197" i="1"/>
  <c r="CU185" i="1"/>
  <c r="CU177" i="1"/>
  <c r="CV26" i="1"/>
  <c r="CU533" i="1"/>
  <c r="CU288" i="1"/>
  <c r="CV1159" i="1"/>
  <c r="CV197" i="1"/>
  <c r="CU172" i="1"/>
  <c r="CV81" i="1"/>
  <c r="CU382" i="1"/>
  <c r="CU364" i="1"/>
  <c r="CU316" i="1"/>
  <c r="CU80" i="1"/>
  <c r="CU312" i="1"/>
  <c r="CV1163" i="1"/>
  <c r="CV1223" i="1"/>
  <c r="CU841" i="1"/>
  <c r="CU1205" i="1"/>
  <c r="CV192" i="1"/>
  <c r="CV358" i="1"/>
  <c r="CU179" i="1"/>
  <c r="CV831" i="1"/>
  <c r="CU282" i="1"/>
  <c r="CV125" i="1"/>
  <c r="CV1177" i="1"/>
  <c r="CU1163" i="1"/>
  <c r="CV1211" i="1"/>
  <c r="CV542" i="1"/>
  <c r="CU629" i="1"/>
  <c r="CV807" i="1"/>
  <c r="CV37" i="1"/>
  <c r="CU630" i="1"/>
  <c r="CV28" i="1"/>
  <c r="CV288" i="1"/>
  <c r="CU1231" i="1"/>
  <c r="CU321" i="1"/>
  <c r="CU1212" i="1"/>
  <c r="CU289" i="1"/>
  <c r="CU1234" i="1"/>
  <c r="CU1237" i="1"/>
  <c r="CU70" i="1"/>
  <c r="CV300" i="1"/>
  <c r="CT342" i="1"/>
  <c r="CU342" i="1" s="1"/>
  <c r="CU1170" i="1"/>
  <c r="CV815" i="1"/>
  <c r="CU150" i="1"/>
  <c r="CU518" i="1"/>
  <c r="CU11" i="1"/>
  <c r="CV1206" i="1"/>
  <c r="CU837" i="1"/>
  <c r="CU184" i="1"/>
  <c r="CU830" i="1"/>
  <c r="CV308" i="1"/>
  <c r="CU1176" i="1"/>
  <c r="CV1155" i="1"/>
  <c r="CU13" i="1"/>
  <c r="CV171" i="1"/>
  <c r="CU1211" i="1"/>
  <c r="CV190" i="1"/>
  <c r="CU33" i="1"/>
  <c r="CU627" i="1"/>
  <c r="CV385" i="1"/>
  <c r="CQ18" i="1"/>
  <c r="CV625" i="1"/>
  <c r="CU40" i="1"/>
  <c r="CV435" i="1"/>
  <c r="CV32" i="1"/>
  <c r="CT626" i="1"/>
  <c r="CS626" i="1"/>
  <c r="CR626" i="1"/>
  <c r="CU631" i="1"/>
  <c r="CV630" i="1"/>
  <c r="CU806" i="1"/>
  <c r="CU30" i="1"/>
  <c r="CV1132" i="1"/>
  <c r="CU37" i="1"/>
  <c r="CU28" i="1"/>
  <c r="CU41" i="1"/>
  <c r="CV805" i="1"/>
  <c r="BN626" i="1"/>
  <c r="BO626" i="1" s="1"/>
  <c r="BY626" i="1" s="1"/>
  <c r="CU31" i="1"/>
  <c r="CV1133" i="1"/>
  <c r="CU38" i="1"/>
  <c r="CU29" i="1"/>
  <c r="CU27" i="1"/>
  <c r="CU350" i="1"/>
  <c r="CV15" i="1"/>
  <c r="CO19" i="1"/>
  <c r="CU1239" i="1"/>
  <c r="CV1219" i="1"/>
  <c r="CV1237" i="1"/>
  <c r="CU379" i="1"/>
  <c r="CU835" i="1"/>
  <c r="CV319" i="1"/>
  <c r="CT309" i="1"/>
  <c r="CU309" i="1" s="1"/>
  <c r="CT126" i="1"/>
  <c r="CU126" i="1" s="1"/>
  <c r="CQ19" i="1"/>
  <c r="CP19" i="1"/>
  <c r="CU358" i="1"/>
  <c r="CQ1199" i="1"/>
  <c r="CU1199" i="1" s="1"/>
  <c r="CU335" i="1"/>
  <c r="CV335" i="1"/>
  <c r="CV1169" i="1"/>
  <c r="CU404" i="1"/>
  <c r="CV1215" i="1"/>
  <c r="CV1228" i="1"/>
  <c r="CV1239" i="1"/>
  <c r="CU1219" i="1"/>
  <c r="CR405" i="1"/>
  <c r="CU1137" i="1"/>
  <c r="CV1183" i="1"/>
  <c r="CV284" i="1"/>
  <c r="CV285" i="1"/>
  <c r="CU8" i="1"/>
  <c r="CV375" i="1"/>
  <c r="CV1222" i="1"/>
  <c r="CV1214" i="1"/>
  <c r="BY578" i="1"/>
  <c r="CU817" i="1"/>
  <c r="CS405" i="1"/>
  <c r="CU326" i="1"/>
  <c r="CV381" i="1"/>
  <c r="CV43" i="1"/>
  <c r="CV1143" i="1"/>
  <c r="CU820" i="1"/>
  <c r="CV1171" i="1"/>
  <c r="CU661" i="1"/>
  <c r="CU1213" i="1"/>
  <c r="CQ405" i="1"/>
  <c r="CT578" i="1"/>
  <c r="CU578" i="1" s="1"/>
  <c r="CU381" i="1"/>
  <c r="CU43" i="1"/>
  <c r="BY769" i="1"/>
  <c r="CU72" i="1"/>
  <c r="CV324" i="1"/>
  <c r="CU293" i="1"/>
  <c r="CU1166" i="1"/>
  <c r="CV10" i="1"/>
  <c r="CU336" i="1"/>
  <c r="CV1221" i="1"/>
  <c r="CR19" i="1"/>
  <c r="CV19" i="1" s="1"/>
  <c r="CV196" i="1"/>
  <c r="CV1216" i="1"/>
  <c r="CU359" i="1"/>
  <c r="CU125" i="1"/>
  <c r="CU832" i="1"/>
  <c r="CV1226" i="1"/>
  <c r="CV1210" i="1"/>
  <c r="CU169" i="1"/>
  <c r="CV1236" i="1"/>
  <c r="CU306" i="1"/>
  <c r="CU324" i="1"/>
  <c r="CU296" i="1"/>
  <c r="CU14" i="1"/>
  <c r="CU816" i="1"/>
  <c r="CV403" i="1"/>
  <c r="CU1164" i="1"/>
  <c r="CU1208" i="1"/>
  <c r="CV561" i="1"/>
  <c r="CV168" i="1"/>
  <c r="CU1216" i="1"/>
  <c r="CU829" i="1"/>
  <c r="CV361" i="1"/>
  <c r="CV48" i="1"/>
  <c r="CU842" i="1"/>
  <c r="CV167" i="1"/>
  <c r="CV326" i="1"/>
  <c r="CU540" i="1"/>
  <c r="CV1168" i="1"/>
  <c r="CO812" i="1"/>
  <c r="CT812" i="1"/>
  <c r="CS812" i="1"/>
  <c r="CR812" i="1"/>
  <c r="CQ812" i="1"/>
  <c r="CP812" i="1"/>
  <c r="CT1235" i="1"/>
  <c r="CS1235" i="1"/>
  <c r="CR1235" i="1"/>
  <c r="CQ1235" i="1"/>
  <c r="CP1235" i="1"/>
  <c r="CO1235" i="1"/>
  <c r="CV1157" i="1"/>
  <c r="CV1218" i="1"/>
  <c r="CV345" i="1"/>
  <c r="CV325" i="1"/>
  <c r="CV295" i="1"/>
  <c r="CV1173" i="1"/>
  <c r="CU575" i="1"/>
  <c r="CR1201" i="1"/>
  <c r="CQ1201" i="1"/>
  <c r="CP1201" i="1"/>
  <c r="CO1201" i="1"/>
  <c r="CS1201" i="1"/>
  <c r="CT1201" i="1"/>
  <c r="CU71" i="1"/>
  <c r="CV1199" i="1"/>
  <c r="BY311" i="1"/>
  <c r="CT311" i="1"/>
  <c r="CU311" i="1" s="1"/>
  <c r="BY345" i="1"/>
  <c r="CT345" i="1"/>
  <c r="CU345" i="1" s="1"/>
  <c r="CV303" i="1"/>
  <c r="CT341" i="1"/>
  <c r="CU341" i="1" s="1"/>
  <c r="CV374" i="1"/>
  <c r="CV376" i="1"/>
  <c r="CU1174" i="1"/>
  <c r="CU305" i="1"/>
  <c r="CU1173" i="1"/>
  <c r="CV1231" i="1"/>
  <c r="CU1172" i="1"/>
  <c r="CU403" i="1"/>
  <c r="CU1241" i="1"/>
  <c r="CV1220" i="1"/>
  <c r="CV766" i="1"/>
  <c r="CV1164" i="1"/>
  <c r="CR84" i="1"/>
  <c r="CQ84" i="1"/>
  <c r="CT84" i="1"/>
  <c r="CS84" i="1"/>
  <c r="CP84" i="1"/>
  <c r="CO84" i="1"/>
  <c r="CV172" i="1"/>
  <c r="CS813" i="1"/>
  <c r="CP813" i="1"/>
  <c r="CR813" i="1"/>
  <c r="CQ813" i="1"/>
  <c r="CT813" i="1"/>
  <c r="CO813" i="1"/>
  <c r="BY1137" i="1"/>
  <c r="BY1136" i="1"/>
  <c r="CV578" i="1"/>
  <c r="BY1240" i="1"/>
  <c r="CT1240" i="1"/>
  <c r="CU1240" i="1" s="1"/>
  <c r="BY299" i="1"/>
  <c r="CT299" i="1"/>
  <c r="CU299" i="1" s="1"/>
  <c r="BY302" i="1"/>
  <c r="CT302" i="1"/>
  <c r="CU302" i="1" s="1"/>
  <c r="CR771" i="1"/>
  <c r="CT771" i="1"/>
  <c r="CS771" i="1"/>
  <c r="CQ771" i="1"/>
  <c r="CP771" i="1"/>
  <c r="CO771" i="1"/>
  <c r="CV661" i="1"/>
  <c r="CU833" i="1"/>
  <c r="CT765" i="1"/>
  <c r="CP765" i="1"/>
  <c r="CO765" i="1"/>
  <c r="CS765" i="1"/>
  <c r="CR765" i="1"/>
  <c r="CQ765" i="1"/>
  <c r="CU1238" i="1"/>
  <c r="BY1139" i="1"/>
  <c r="CR17" i="1"/>
  <c r="CQ17" i="1"/>
  <c r="CO17" i="1"/>
  <c r="CT17" i="1"/>
  <c r="CS17" i="1"/>
  <c r="CP17" i="1"/>
  <c r="CV363" i="1"/>
  <c r="CR1200" i="1"/>
  <c r="CQ1200" i="1"/>
  <c r="CP1200" i="1"/>
  <c r="CO1200" i="1"/>
  <c r="CT1200" i="1"/>
  <c r="CS1200" i="1"/>
  <c r="CS1232" i="1"/>
  <c r="CR1232" i="1"/>
  <c r="CQ1232" i="1"/>
  <c r="CO1232" i="1"/>
  <c r="CT1232" i="1"/>
  <c r="CP1232" i="1"/>
  <c r="CV352" i="1"/>
  <c r="CV1158" i="1"/>
  <c r="CU303" i="1"/>
  <c r="CO83" i="1"/>
  <c r="CQ83" i="1"/>
  <c r="CP83" i="1"/>
  <c r="CT83" i="1"/>
  <c r="CS83" i="1"/>
  <c r="CR83" i="1"/>
  <c r="CU297" i="1"/>
  <c r="CU1229" i="1"/>
  <c r="CT337" i="1"/>
  <c r="CU337" i="1" s="1"/>
  <c r="CU373" i="1"/>
  <c r="CV518" i="1"/>
  <c r="CU291" i="1"/>
  <c r="CV1238" i="1"/>
  <c r="CV544" i="1"/>
  <c r="CV180" i="1"/>
  <c r="CU349" i="1"/>
  <c r="CU558" i="1"/>
  <c r="CU10" i="1"/>
  <c r="CR821" i="1"/>
  <c r="CQ821" i="1"/>
  <c r="CP821" i="1"/>
  <c r="CT821" i="1"/>
  <c r="CS821" i="1"/>
  <c r="CO821" i="1"/>
  <c r="CU352" i="1"/>
  <c r="CV354" i="1"/>
  <c r="BY346" i="1"/>
  <c r="CT346" i="1"/>
  <c r="CU346" i="1" s="1"/>
  <c r="CT148" i="1"/>
  <c r="CU148" i="1" s="1"/>
  <c r="CV341" i="1"/>
  <c r="CV334" i="1"/>
  <c r="CU815" i="1"/>
  <c r="CU286" i="1"/>
  <c r="CU374" i="1"/>
  <c r="BY301" i="1"/>
  <c r="CT301" i="1"/>
  <c r="CU301" i="1" s="1"/>
  <c r="CU517" i="1"/>
  <c r="CU1165" i="1"/>
  <c r="CU384" i="1"/>
  <c r="CU164" i="1"/>
  <c r="CU196" i="1"/>
  <c r="CU1136" i="1"/>
  <c r="CV1204" i="1"/>
  <c r="CU544" i="1"/>
  <c r="CV576" i="1"/>
  <c r="CU180" i="1"/>
  <c r="CT814" i="1"/>
  <c r="CO814" i="1"/>
  <c r="CS814" i="1"/>
  <c r="CR814" i="1"/>
  <c r="CQ814" i="1"/>
  <c r="CP814" i="1"/>
  <c r="CQ767" i="1"/>
  <c r="CO767" i="1"/>
  <c r="CT767" i="1"/>
  <c r="CS767" i="1"/>
  <c r="CR767" i="1"/>
  <c r="CP767" i="1"/>
  <c r="CQ589" i="1"/>
  <c r="CP589" i="1"/>
  <c r="CT589" i="1"/>
  <c r="CS589" i="1"/>
  <c r="CR589" i="1"/>
  <c r="CO589" i="1"/>
  <c r="CV559" i="1"/>
  <c r="CT298" i="1"/>
  <c r="CU298" i="1" s="1"/>
  <c r="BY298" i="1"/>
  <c r="CU1139" i="1"/>
  <c r="CV315" i="1"/>
  <c r="CU353" i="1"/>
  <c r="BY128" i="1"/>
  <c r="CT128" i="1"/>
  <c r="CU128" i="1" s="1"/>
  <c r="CU166" i="1"/>
  <c r="CT377" i="1"/>
  <c r="CU377" i="1" s="1"/>
  <c r="CT1203" i="1"/>
  <c r="CS1203" i="1"/>
  <c r="CR1203" i="1"/>
  <c r="CQ1203" i="1"/>
  <c r="CU1204" i="1"/>
  <c r="CV835" i="1"/>
  <c r="CU576" i="1"/>
  <c r="CQ48" i="1"/>
  <c r="CU48" i="1" s="1"/>
  <c r="BY405" i="1"/>
  <c r="CT405" i="1"/>
  <c r="CP823" i="1"/>
  <c r="CO823" i="1"/>
  <c r="CT823" i="1"/>
  <c r="CS823" i="1"/>
  <c r="CR823" i="1"/>
  <c r="CQ823" i="1"/>
  <c r="CP1233" i="1"/>
  <c r="CO1233" i="1"/>
  <c r="CT1233" i="1"/>
  <c r="CS1233" i="1"/>
  <c r="CR1233" i="1"/>
  <c r="CQ1233" i="1"/>
  <c r="CU290" i="1"/>
  <c r="CV188" i="1"/>
  <c r="CV71" i="1"/>
  <c r="CV1172" i="1"/>
  <c r="CV829" i="1"/>
  <c r="CV1234" i="1"/>
  <c r="CV353" i="1"/>
  <c r="CV1180" i="1"/>
  <c r="CV350" i="1"/>
  <c r="CV1152" i="1"/>
  <c r="CU294" i="1"/>
  <c r="CV148" i="1"/>
  <c r="CV1170" i="1"/>
  <c r="CU285" i="1"/>
  <c r="CU304" i="1"/>
  <c r="CU375" i="1"/>
  <c r="CV127" i="1"/>
  <c r="CV1230" i="1"/>
  <c r="CV373" i="1"/>
  <c r="CV11" i="1"/>
  <c r="CV336" i="1"/>
  <c r="CV49" i="1"/>
  <c r="CU194" i="1"/>
  <c r="CV1205" i="1"/>
  <c r="CV382" i="1"/>
  <c r="CV828" i="1"/>
  <c r="CU192" i="1"/>
  <c r="CU1197" i="1"/>
  <c r="CV1137" i="1"/>
  <c r="BY19" i="1"/>
  <c r="CT19" i="1"/>
  <c r="CV184" i="1"/>
  <c r="CU1215" i="1"/>
  <c r="CV822" i="1" l="1"/>
  <c r="CU769" i="1"/>
  <c r="CU822" i="1"/>
  <c r="CU766" i="1"/>
  <c r="CV1135" i="1"/>
  <c r="CU1135" i="1"/>
  <c r="CV1138" i="1"/>
  <c r="CU18" i="1"/>
  <c r="CV377" i="1"/>
  <c r="CV626" i="1"/>
  <c r="CU19" i="1"/>
  <c r="CU765" i="1"/>
  <c r="CU813" i="1"/>
  <c r="CU579" i="1"/>
  <c r="CU589" i="1"/>
  <c r="CU821" i="1"/>
  <c r="CU1235" i="1"/>
  <c r="CV405" i="1"/>
  <c r="CQ626" i="1"/>
  <c r="CU626" i="1" s="1"/>
  <c r="CU771" i="1"/>
  <c r="CU405" i="1"/>
  <c r="CV767" i="1"/>
  <c r="CU814" i="1"/>
  <c r="CU767" i="1"/>
  <c r="CV821" i="1"/>
  <c r="CV823" i="1"/>
  <c r="CV765" i="1"/>
  <c r="CV1233" i="1"/>
  <c r="CV771" i="1"/>
  <c r="CV1235" i="1"/>
  <c r="CV1203" i="1"/>
  <c r="CV589" i="1"/>
  <c r="CV813" i="1"/>
  <c r="CU1203" i="1"/>
  <c r="CV1232" i="1"/>
  <c r="CV1200" i="1"/>
  <c r="CV17" i="1"/>
  <c r="CU823" i="1"/>
  <c r="CV83" i="1"/>
  <c r="CU1200" i="1"/>
  <c r="CU17" i="1"/>
  <c r="CV812" i="1"/>
  <c r="CU83" i="1"/>
  <c r="CV84" i="1"/>
  <c r="CU1201" i="1"/>
  <c r="CU812" i="1"/>
  <c r="CU1233" i="1"/>
  <c r="CV814" i="1"/>
  <c r="CU1232" i="1"/>
  <c r="CU84" i="1"/>
  <c r="CV1201" i="1"/>
  <c r="EM1109" i="1" l="1"/>
  <c r="DU1109" i="1"/>
  <c r="DT1109" i="1"/>
  <c r="DN1109" i="1"/>
  <c r="DM1109" i="1"/>
  <c r="DL1109" i="1"/>
  <c r="DK1109" i="1"/>
  <c r="DI1109" i="1"/>
  <c r="DJ1109" i="1" s="1"/>
  <c r="DB1109" i="1"/>
  <c r="DC1109" i="1" s="1"/>
  <c r="CX1109" i="1"/>
  <c r="CN1109" i="1"/>
  <c r="CO1109" i="1" s="1"/>
  <c r="BV1109" i="1"/>
  <c r="BX1109" i="1" s="1"/>
  <c r="BU1109" i="1"/>
  <c r="BN1109" i="1"/>
  <c r="BO1109" i="1" s="1"/>
  <c r="BM1109" i="1"/>
  <c r="BD1109" i="1"/>
  <c r="BC1109" i="1"/>
  <c r="BB1109" i="1"/>
  <c r="BA1109" i="1"/>
  <c r="AZ1109" i="1"/>
  <c r="AY1109" i="1"/>
  <c r="BE1109" i="1" s="1" a="1"/>
  <c r="BE1109" i="1" s="1"/>
  <c r="AX1109" i="1"/>
  <c r="M1109" i="1"/>
  <c r="EM1108" i="1"/>
  <c r="DU1108" i="1"/>
  <c r="DT1108" i="1"/>
  <c r="DN1108" i="1"/>
  <c r="DM1108" i="1"/>
  <c r="DL1108" i="1"/>
  <c r="DK1108" i="1"/>
  <c r="DI1108" i="1"/>
  <c r="DJ1108" i="1" s="1"/>
  <c r="DB1108" i="1"/>
  <c r="DC1108" i="1" s="1"/>
  <c r="CX1108" i="1"/>
  <c r="BV1108" i="1"/>
  <c r="BX1108" i="1" s="1"/>
  <c r="BU1108" i="1"/>
  <c r="BK1108" i="1"/>
  <c r="BN1108" i="1" s="1"/>
  <c r="BO1108" i="1" s="1"/>
  <c r="BD1108" i="1"/>
  <c r="BC1108" i="1"/>
  <c r="BB1108" i="1"/>
  <c r="BA1108" i="1"/>
  <c r="AZ1108" i="1"/>
  <c r="AY1108" i="1"/>
  <c r="BE1108" i="1" s="1" a="1"/>
  <c r="BE1108" i="1" s="1"/>
  <c r="AX1108" i="1"/>
  <c r="M1108" i="1"/>
  <c r="EM596" i="1"/>
  <c r="DU596" i="1"/>
  <c r="DT596" i="1"/>
  <c r="DN596" i="1"/>
  <c r="DM596" i="1"/>
  <c r="DL596" i="1"/>
  <c r="DK596" i="1"/>
  <c r="DI596" i="1"/>
  <c r="DJ596" i="1" s="1"/>
  <c r="DB596" i="1"/>
  <c r="DC596" i="1" s="1"/>
  <c r="CX596" i="1"/>
  <c r="CN596" i="1"/>
  <c r="BV596" i="1"/>
  <c r="BX596" i="1" s="1"/>
  <c r="BU596" i="1"/>
  <c r="BN596" i="1"/>
  <c r="BO596" i="1" s="1"/>
  <c r="BM596" i="1"/>
  <c r="BD596" i="1"/>
  <c r="BC596" i="1"/>
  <c r="BB596" i="1"/>
  <c r="BA596" i="1"/>
  <c r="AZ596" i="1"/>
  <c r="BF596" i="1" s="1" a="1"/>
  <c r="BF596" i="1" s="1"/>
  <c r="AY596" i="1"/>
  <c r="BE596" i="1" s="1" a="1"/>
  <c r="BE596" i="1" s="1"/>
  <c r="AX596" i="1"/>
  <c r="M596" i="1"/>
  <c r="EM595" i="1"/>
  <c r="DU595" i="1"/>
  <c r="DT595" i="1"/>
  <c r="DN595" i="1"/>
  <c r="DM595" i="1"/>
  <c r="DL595" i="1"/>
  <c r="DK595" i="1"/>
  <c r="DI595" i="1"/>
  <c r="DJ595" i="1" s="1"/>
  <c r="DB595" i="1"/>
  <c r="DC595" i="1" s="1"/>
  <c r="CX595" i="1"/>
  <c r="CN595" i="1"/>
  <c r="CO595" i="1" s="1"/>
  <c r="BV595" i="1"/>
  <c r="BX595" i="1" s="1"/>
  <c r="BU595" i="1"/>
  <c r="BN595" i="1"/>
  <c r="BO595" i="1" s="1"/>
  <c r="BM595" i="1"/>
  <c r="BD595" i="1"/>
  <c r="BC595" i="1"/>
  <c r="BB595" i="1"/>
  <c r="BA595" i="1"/>
  <c r="AZ595" i="1"/>
  <c r="BF595" i="1" s="1" a="1"/>
  <c r="BF595" i="1" s="1"/>
  <c r="AY595" i="1"/>
  <c r="BE595" i="1" s="1" a="1"/>
  <c r="BE595" i="1" s="1"/>
  <c r="AX595" i="1"/>
  <c r="M595" i="1"/>
  <c r="EM526" i="1"/>
  <c r="DU526" i="1"/>
  <c r="DT526" i="1"/>
  <c r="DN526" i="1"/>
  <c r="DM526" i="1"/>
  <c r="DL526" i="1"/>
  <c r="DK526" i="1"/>
  <c r="DI526" i="1"/>
  <c r="DJ526" i="1" s="1"/>
  <c r="DB526" i="1"/>
  <c r="DC526" i="1" s="1"/>
  <c r="CX526" i="1"/>
  <c r="CN526" i="1"/>
  <c r="BV526" i="1"/>
  <c r="BX526" i="1" s="1"/>
  <c r="BU526" i="1"/>
  <c r="BN526" i="1"/>
  <c r="BO526" i="1" s="1"/>
  <c r="BM526" i="1"/>
  <c r="BD526" i="1"/>
  <c r="BC526" i="1"/>
  <c r="BB526" i="1"/>
  <c r="BA526" i="1"/>
  <c r="AZ526" i="1"/>
  <c r="AY526" i="1"/>
  <c r="BE526" i="1" s="1" a="1"/>
  <c r="BE526" i="1" s="1"/>
  <c r="AX526" i="1"/>
  <c r="M526" i="1"/>
  <c r="EM523" i="1"/>
  <c r="DU523" i="1"/>
  <c r="DT523" i="1"/>
  <c r="DN523" i="1"/>
  <c r="DM523" i="1"/>
  <c r="DL523" i="1"/>
  <c r="DK523" i="1"/>
  <c r="DI523" i="1"/>
  <c r="DJ523" i="1" s="1"/>
  <c r="DB523" i="1"/>
  <c r="DC523" i="1" s="1"/>
  <c r="CX523" i="1"/>
  <c r="CN523" i="1"/>
  <c r="BV523" i="1"/>
  <c r="BX523" i="1" s="1"/>
  <c r="BU523" i="1"/>
  <c r="BN523" i="1"/>
  <c r="BO523" i="1" s="1"/>
  <c r="BM523" i="1"/>
  <c r="BD523" i="1"/>
  <c r="BC523" i="1"/>
  <c r="BB523" i="1"/>
  <c r="BA523" i="1"/>
  <c r="AZ523" i="1"/>
  <c r="AY523" i="1"/>
  <c r="BE523" i="1" s="1" a="1"/>
  <c r="BE523" i="1" s="1"/>
  <c r="AX523" i="1"/>
  <c r="M523" i="1"/>
  <c r="EM592" i="1"/>
  <c r="DU592" i="1"/>
  <c r="DT592" i="1"/>
  <c r="DN592" i="1"/>
  <c r="DM592" i="1"/>
  <c r="DL592" i="1"/>
  <c r="DK592" i="1"/>
  <c r="DI592" i="1"/>
  <c r="DJ592" i="1" s="1"/>
  <c r="DB592" i="1"/>
  <c r="DC592" i="1" s="1"/>
  <c r="CX592" i="1"/>
  <c r="CN592" i="1"/>
  <c r="CP592" i="1" s="1"/>
  <c r="BV592" i="1"/>
  <c r="BX592" i="1" s="1"/>
  <c r="BU592" i="1"/>
  <c r="BN592" i="1"/>
  <c r="BO592" i="1" s="1"/>
  <c r="BM592" i="1"/>
  <c r="BD592" i="1"/>
  <c r="BC592" i="1"/>
  <c r="BB592" i="1"/>
  <c r="BA592" i="1"/>
  <c r="AZ592" i="1"/>
  <c r="AY592" i="1"/>
  <c r="BE592" i="1" s="1" a="1"/>
  <c r="BE592" i="1" s="1"/>
  <c r="AX592" i="1"/>
  <c r="M592" i="1"/>
  <c r="EM591" i="1"/>
  <c r="DU591" i="1"/>
  <c r="DT591" i="1"/>
  <c r="DN591" i="1"/>
  <c r="DM591" i="1"/>
  <c r="DL591" i="1"/>
  <c r="DK591" i="1"/>
  <c r="DI591" i="1"/>
  <c r="DJ591" i="1" s="1"/>
  <c r="DB591" i="1"/>
  <c r="DC591" i="1" s="1"/>
  <c r="CX591" i="1"/>
  <c r="CN591" i="1"/>
  <c r="CO591" i="1" s="1"/>
  <c r="BV591" i="1"/>
  <c r="BX591" i="1" s="1"/>
  <c r="BU591" i="1"/>
  <c r="BN591" i="1"/>
  <c r="BO591" i="1" s="1"/>
  <c r="BM591" i="1"/>
  <c r="BD591" i="1"/>
  <c r="BC591" i="1"/>
  <c r="BB591" i="1"/>
  <c r="BA591" i="1"/>
  <c r="AZ591" i="1"/>
  <c r="AY591" i="1"/>
  <c r="BE591" i="1" s="1" a="1"/>
  <c r="BE591" i="1" s="1"/>
  <c r="AX591" i="1"/>
  <c r="M591" i="1"/>
  <c r="EM520" i="1"/>
  <c r="DU520" i="1"/>
  <c r="DT520" i="1"/>
  <c r="DN520" i="1"/>
  <c r="DM520" i="1"/>
  <c r="DL520" i="1"/>
  <c r="DK520" i="1"/>
  <c r="DI520" i="1"/>
  <c r="DJ520" i="1" s="1"/>
  <c r="DB520" i="1"/>
  <c r="DC520" i="1" s="1"/>
  <c r="CX520" i="1"/>
  <c r="CN520" i="1"/>
  <c r="CS520" i="1" s="1"/>
  <c r="BV520" i="1"/>
  <c r="BX520" i="1" s="1"/>
  <c r="BU520" i="1"/>
  <c r="BN520" i="1"/>
  <c r="BO520" i="1" s="1"/>
  <c r="BM520" i="1"/>
  <c r="BD520" i="1"/>
  <c r="BC520" i="1"/>
  <c r="BB520" i="1"/>
  <c r="BA520" i="1"/>
  <c r="AZ520" i="1"/>
  <c r="AY520" i="1"/>
  <c r="BE520" i="1" s="1" a="1"/>
  <c r="BE520" i="1" s="1"/>
  <c r="AX520" i="1"/>
  <c r="M520" i="1"/>
  <c r="EM519" i="1"/>
  <c r="DU519" i="1"/>
  <c r="DT519" i="1"/>
  <c r="DN519" i="1"/>
  <c r="DM519" i="1"/>
  <c r="DL519" i="1"/>
  <c r="DK519" i="1"/>
  <c r="DI519" i="1"/>
  <c r="DJ519" i="1" s="1"/>
  <c r="DB519" i="1"/>
  <c r="DC519" i="1" s="1"/>
  <c r="CX519" i="1"/>
  <c r="CN519" i="1"/>
  <c r="CO519" i="1" s="1"/>
  <c r="BV519" i="1"/>
  <c r="BX519" i="1" s="1"/>
  <c r="BU519" i="1"/>
  <c r="BN519" i="1"/>
  <c r="BO519" i="1" s="1"/>
  <c r="BM519" i="1"/>
  <c r="BD519" i="1"/>
  <c r="BC519" i="1"/>
  <c r="BB519" i="1"/>
  <c r="BA519" i="1"/>
  <c r="AZ519" i="1"/>
  <c r="AY519" i="1"/>
  <c r="BE519" i="1" s="1" a="1"/>
  <c r="BE519" i="1" s="1"/>
  <c r="AX519" i="1"/>
  <c r="M519" i="1"/>
  <c r="EM588" i="1"/>
  <c r="DU588" i="1"/>
  <c r="DT588" i="1"/>
  <c r="DN588" i="1"/>
  <c r="DM588" i="1"/>
  <c r="DL588" i="1"/>
  <c r="DK588" i="1"/>
  <c r="DI588" i="1"/>
  <c r="DJ588" i="1" s="1"/>
  <c r="DB588" i="1"/>
  <c r="DC588" i="1" s="1"/>
  <c r="CX588" i="1"/>
  <c r="CN588" i="1"/>
  <c r="CO588" i="1" s="1"/>
  <c r="BV588" i="1"/>
  <c r="BX588" i="1" s="1"/>
  <c r="BU588" i="1"/>
  <c r="BN588" i="1"/>
  <c r="BO588" i="1" s="1"/>
  <c r="BM588" i="1"/>
  <c r="BD588" i="1"/>
  <c r="BC588" i="1"/>
  <c r="BB588" i="1"/>
  <c r="BA588" i="1"/>
  <c r="AZ588" i="1"/>
  <c r="BF588" i="1" s="1" a="1"/>
  <c r="BF588" i="1" s="1"/>
  <c r="AY588" i="1"/>
  <c r="BE588" i="1" s="1" a="1"/>
  <c r="BE588" i="1" s="1"/>
  <c r="AX588" i="1"/>
  <c r="M588" i="1"/>
  <c r="EM604" i="1"/>
  <c r="DU604" i="1"/>
  <c r="DT604" i="1"/>
  <c r="DN604" i="1"/>
  <c r="DM604" i="1"/>
  <c r="DL604" i="1"/>
  <c r="DK604" i="1"/>
  <c r="DI604" i="1"/>
  <c r="DJ604" i="1" s="1"/>
  <c r="DB604" i="1"/>
  <c r="DC604" i="1" s="1"/>
  <c r="CX604" i="1"/>
  <c r="CN604" i="1"/>
  <c r="CO604" i="1" s="1"/>
  <c r="BV604" i="1"/>
  <c r="BX604" i="1" s="1"/>
  <c r="BU604" i="1"/>
  <c r="BN604" i="1"/>
  <c r="BO604" i="1" s="1"/>
  <c r="BM604" i="1"/>
  <c r="BD604" i="1"/>
  <c r="BC604" i="1"/>
  <c r="BB604" i="1"/>
  <c r="BA604" i="1"/>
  <c r="AZ604" i="1"/>
  <c r="BF604" i="1" s="1" a="1"/>
  <c r="BF604" i="1" s="1"/>
  <c r="AY604" i="1"/>
  <c r="BE604" i="1" s="1" a="1"/>
  <c r="BE604" i="1" s="1"/>
  <c r="AX604" i="1"/>
  <c r="M604" i="1"/>
  <c r="EM603" i="1"/>
  <c r="DU603" i="1"/>
  <c r="DT603" i="1"/>
  <c r="DN603" i="1"/>
  <c r="DM603" i="1"/>
  <c r="DL603" i="1"/>
  <c r="DK603" i="1"/>
  <c r="DI603" i="1"/>
  <c r="DJ603" i="1" s="1"/>
  <c r="DB603" i="1"/>
  <c r="DC603" i="1" s="1"/>
  <c r="CX603" i="1"/>
  <c r="CN603" i="1"/>
  <c r="CS603" i="1" s="1"/>
  <c r="BV603" i="1"/>
  <c r="BX603" i="1" s="1"/>
  <c r="BU603" i="1"/>
  <c r="BN603" i="1"/>
  <c r="BO603" i="1" s="1"/>
  <c r="BM603" i="1"/>
  <c r="BD603" i="1"/>
  <c r="BC603" i="1"/>
  <c r="BB603" i="1"/>
  <c r="BA603" i="1"/>
  <c r="AZ603" i="1"/>
  <c r="AY603" i="1"/>
  <c r="BE603" i="1" s="1" a="1"/>
  <c r="BE603" i="1" s="1"/>
  <c r="AX603" i="1"/>
  <c r="M603" i="1"/>
  <c r="EM602" i="1"/>
  <c r="DU602" i="1"/>
  <c r="DT602" i="1"/>
  <c r="DN602" i="1"/>
  <c r="DM602" i="1"/>
  <c r="DL602" i="1"/>
  <c r="DK602" i="1"/>
  <c r="DI602" i="1"/>
  <c r="DJ602" i="1" s="1"/>
  <c r="DB602" i="1"/>
  <c r="DC602" i="1" s="1"/>
  <c r="CX602" i="1"/>
  <c r="CN602" i="1"/>
  <c r="CO602" i="1" s="1"/>
  <c r="BV602" i="1"/>
  <c r="BX602" i="1" s="1"/>
  <c r="BU602" i="1"/>
  <c r="BN602" i="1"/>
  <c r="BO602" i="1" s="1"/>
  <c r="BM602" i="1"/>
  <c r="BD602" i="1"/>
  <c r="BC602" i="1"/>
  <c r="BB602" i="1"/>
  <c r="BA602" i="1"/>
  <c r="AZ602" i="1"/>
  <c r="AY602" i="1"/>
  <c r="BE602" i="1" s="1" a="1"/>
  <c r="BE602" i="1" s="1"/>
  <c r="AX602" i="1"/>
  <c r="M602" i="1"/>
  <c r="EM601" i="1"/>
  <c r="DU601" i="1"/>
  <c r="DT601" i="1"/>
  <c r="DN601" i="1"/>
  <c r="DM601" i="1"/>
  <c r="DL601" i="1"/>
  <c r="DK601" i="1"/>
  <c r="DI601" i="1"/>
  <c r="DJ601" i="1" s="1"/>
  <c r="DB601" i="1"/>
  <c r="DC601" i="1" s="1"/>
  <c r="CX601" i="1"/>
  <c r="CN601" i="1"/>
  <c r="CP601" i="1" s="1"/>
  <c r="BV601" i="1"/>
  <c r="BX601" i="1" s="1"/>
  <c r="BU601" i="1"/>
  <c r="BN601" i="1"/>
  <c r="BO601" i="1" s="1"/>
  <c r="BM601" i="1"/>
  <c r="BD601" i="1"/>
  <c r="BC601" i="1"/>
  <c r="BB601" i="1"/>
  <c r="BA601" i="1"/>
  <c r="AZ601" i="1"/>
  <c r="AY601" i="1"/>
  <c r="BE601" i="1" s="1" a="1"/>
  <c r="BE601" i="1" s="1"/>
  <c r="AX601" i="1"/>
  <c r="M601" i="1"/>
  <c r="EM448" i="1"/>
  <c r="DU448" i="1"/>
  <c r="DT448" i="1"/>
  <c r="DN448" i="1"/>
  <c r="DM448" i="1"/>
  <c r="DL448" i="1"/>
  <c r="DK448" i="1"/>
  <c r="DI448" i="1"/>
  <c r="DJ448" i="1" s="1"/>
  <c r="DB448" i="1"/>
  <c r="DC448" i="1" s="1"/>
  <c r="CX448" i="1"/>
  <c r="CN448" i="1"/>
  <c r="CO448" i="1" s="1"/>
  <c r="BV448" i="1"/>
  <c r="BX448" i="1" s="1"/>
  <c r="BU448" i="1"/>
  <c r="BN448" i="1"/>
  <c r="BO448" i="1" s="1"/>
  <c r="BM448" i="1"/>
  <c r="BD448" i="1"/>
  <c r="BC448" i="1"/>
  <c r="BB448" i="1"/>
  <c r="BA448" i="1"/>
  <c r="AZ448" i="1"/>
  <c r="AY448" i="1"/>
  <c r="AX448" i="1"/>
  <c r="M448" i="1"/>
  <c r="EM447" i="1"/>
  <c r="DU447" i="1"/>
  <c r="DT447" i="1"/>
  <c r="DN447" i="1"/>
  <c r="DM447" i="1"/>
  <c r="DL447" i="1"/>
  <c r="DK447" i="1"/>
  <c r="DI447" i="1"/>
  <c r="DJ447" i="1" s="1"/>
  <c r="DB447" i="1"/>
  <c r="DC447" i="1" s="1"/>
  <c r="CX447" i="1"/>
  <c r="CN447" i="1"/>
  <c r="CO447" i="1" s="1"/>
  <c r="BV447" i="1"/>
  <c r="BX447" i="1" s="1"/>
  <c r="BU447" i="1"/>
  <c r="BN447" i="1"/>
  <c r="BO447" i="1" s="1"/>
  <c r="BM447" i="1"/>
  <c r="BD447" i="1"/>
  <c r="BC447" i="1"/>
  <c r="BB447" i="1"/>
  <c r="BA447" i="1"/>
  <c r="AZ447" i="1"/>
  <c r="AY447" i="1"/>
  <c r="BE447" i="1" s="1" a="1"/>
  <c r="BE447" i="1" s="1"/>
  <c r="AX447" i="1"/>
  <c r="M447" i="1"/>
  <c r="EM446" i="1"/>
  <c r="DU446" i="1"/>
  <c r="DT446" i="1"/>
  <c r="DN446" i="1"/>
  <c r="DM446" i="1"/>
  <c r="DL446" i="1"/>
  <c r="DK446" i="1"/>
  <c r="DI446" i="1"/>
  <c r="DJ446" i="1" s="1"/>
  <c r="DB446" i="1"/>
  <c r="DC446" i="1" s="1"/>
  <c r="CX446" i="1"/>
  <c r="CN446" i="1"/>
  <c r="CS446" i="1" s="1"/>
  <c r="BV446" i="1"/>
  <c r="BX446" i="1" s="1"/>
  <c r="BU446" i="1"/>
  <c r="BN446" i="1"/>
  <c r="BO446" i="1" s="1"/>
  <c r="BM446" i="1"/>
  <c r="BD446" i="1"/>
  <c r="BC446" i="1"/>
  <c r="BB446" i="1"/>
  <c r="BA446" i="1"/>
  <c r="AZ446" i="1"/>
  <c r="AY446" i="1"/>
  <c r="AX446" i="1"/>
  <c r="M446" i="1"/>
  <c r="EM445" i="1"/>
  <c r="DU445" i="1"/>
  <c r="DT445" i="1"/>
  <c r="DN445" i="1"/>
  <c r="DM445" i="1"/>
  <c r="DL445" i="1"/>
  <c r="DK445" i="1"/>
  <c r="DI445" i="1"/>
  <c r="DJ445" i="1" s="1"/>
  <c r="DB445" i="1"/>
  <c r="DC445" i="1" s="1"/>
  <c r="CX445" i="1"/>
  <c r="CN445" i="1"/>
  <c r="CR445" i="1" s="1"/>
  <c r="BV445" i="1"/>
  <c r="BX445" i="1" s="1"/>
  <c r="BU445" i="1"/>
  <c r="BN445" i="1"/>
  <c r="BO445" i="1" s="1"/>
  <c r="BM445" i="1"/>
  <c r="BD445" i="1"/>
  <c r="BC445" i="1"/>
  <c r="BB445" i="1"/>
  <c r="BA445" i="1"/>
  <c r="AZ445" i="1"/>
  <c r="BF445" i="1" s="1" a="1"/>
  <c r="BF445" i="1" s="1"/>
  <c r="AY445" i="1"/>
  <c r="BE445" i="1" s="1" a="1"/>
  <c r="BE445" i="1" s="1"/>
  <c r="AX445" i="1"/>
  <c r="M445" i="1"/>
  <c r="EM608" i="1"/>
  <c r="DU608" i="1"/>
  <c r="DT608" i="1"/>
  <c r="DN608" i="1"/>
  <c r="DM608" i="1"/>
  <c r="DL608" i="1"/>
  <c r="DK608" i="1"/>
  <c r="DI608" i="1"/>
  <c r="DJ608" i="1" s="1"/>
  <c r="DB608" i="1"/>
  <c r="DC608" i="1" s="1"/>
  <c r="CX608" i="1"/>
  <c r="CN608" i="1"/>
  <c r="CO608" i="1" s="1"/>
  <c r="BV608" i="1"/>
  <c r="BX608" i="1" s="1"/>
  <c r="BU608" i="1"/>
  <c r="BN608" i="1"/>
  <c r="BO608" i="1" s="1"/>
  <c r="BM608" i="1"/>
  <c r="BD608" i="1"/>
  <c r="BC608" i="1"/>
  <c r="BB608" i="1"/>
  <c r="BA608" i="1"/>
  <c r="AZ608" i="1"/>
  <c r="AY608" i="1"/>
  <c r="AX608" i="1"/>
  <c r="M608" i="1"/>
  <c r="EM607" i="1"/>
  <c r="DU607" i="1"/>
  <c r="DT607" i="1"/>
  <c r="DN607" i="1"/>
  <c r="DM607" i="1"/>
  <c r="DL607" i="1"/>
  <c r="DK607" i="1"/>
  <c r="DI607" i="1"/>
  <c r="DJ607" i="1" s="1"/>
  <c r="DB607" i="1"/>
  <c r="DC607" i="1" s="1"/>
  <c r="CX607" i="1"/>
  <c r="CN607" i="1"/>
  <c r="BV607" i="1"/>
  <c r="BX607" i="1" s="1"/>
  <c r="BU607" i="1"/>
  <c r="BN607" i="1"/>
  <c r="BO607" i="1" s="1"/>
  <c r="BM607" i="1"/>
  <c r="BD607" i="1"/>
  <c r="BC607" i="1"/>
  <c r="BB607" i="1"/>
  <c r="BA607" i="1"/>
  <c r="AZ607" i="1"/>
  <c r="AY607" i="1"/>
  <c r="BE607" i="1" s="1" a="1"/>
  <c r="BE607" i="1" s="1"/>
  <c r="AX607" i="1"/>
  <c r="M607" i="1"/>
  <c r="EM154" i="1"/>
  <c r="DU154" i="1"/>
  <c r="DT154" i="1"/>
  <c r="DN154" i="1"/>
  <c r="DM154" i="1"/>
  <c r="DL154" i="1"/>
  <c r="DK154" i="1"/>
  <c r="DI154" i="1"/>
  <c r="DJ154" i="1" s="1"/>
  <c r="DB154" i="1"/>
  <c r="DC154" i="1" s="1"/>
  <c r="CX154" i="1"/>
  <c r="CN154" i="1"/>
  <c r="BX154" i="1"/>
  <c r="BO154" i="1"/>
  <c r="BD154" i="1"/>
  <c r="BC154" i="1"/>
  <c r="BB154" i="1"/>
  <c r="BA154" i="1"/>
  <c r="AZ154" i="1"/>
  <c r="AY154" i="1"/>
  <c r="AX154" i="1"/>
  <c r="M154" i="1"/>
  <c r="EM153" i="1"/>
  <c r="DU153" i="1"/>
  <c r="DT153" i="1"/>
  <c r="DN153" i="1"/>
  <c r="DM153" i="1"/>
  <c r="DL153" i="1"/>
  <c r="DK153" i="1"/>
  <c r="DI153" i="1"/>
  <c r="DJ153" i="1" s="1"/>
  <c r="DB153" i="1"/>
  <c r="DC153" i="1" s="1"/>
  <c r="CX153" i="1"/>
  <c r="CN153" i="1"/>
  <c r="BX153" i="1"/>
  <c r="BO153" i="1"/>
  <c r="BD153" i="1"/>
  <c r="BC153" i="1"/>
  <c r="BB153" i="1"/>
  <c r="BA153" i="1"/>
  <c r="AZ153" i="1"/>
  <c r="AY153" i="1"/>
  <c r="AX153" i="1"/>
  <c r="M153" i="1"/>
  <c r="EM759" i="1"/>
  <c r="DU759" i="1"/>
  <c r="DT759" i="1"/>
  <c r="DN759" i="1"/>
  <c r="DM759" i="1"/>
  <c r="DL759" i="1"/>
  <c r="DK759" i="1"/>
  <c r="DI759" i="1"/>
  <c r="DJ759" i="1" s="1"/>
  <c r="DC759" i="1"/>
  <c r="CX759" i="1"/>
  <c r="BX759" i="1"/>
  <c r="BL759" i="1"/>
  <c r="BM759" i="1" s="1"/>
  <c r="BD759" i="1"/>
  <c r="BC759" i="1"/>
  <c r="BB759" i="1"/>
  <c r="BA759" i="1"/>
  <c r="AZ759" i="1"/>
  <c r="AY759" i="1"/>
  <c r="BE759" i="1" s="1" a="1"/>
  <c r="BE759" i="1" s="1"/>
  <c r="AX759" i="1"/>
  <c r="M759" i="1"/>
  <c r="EM758" i="1"/>
  <c r="DU758" i="1"/>
  <c r="DT758" i="1"/>
  <c r="DN758" i="1"/>
  <c r="DM758" i="1"/>
  <c r="DL758" i="1"/>
  <c r="DK758" i="1"/>
  <c r="DI758" i="1"/>
  <c r="DJ758" i="1" s="1"/>
  <c r="DC758" i="1"/>
  <c r="CX758" i="1"/>
  <c r="BX758" i="1"/>
  <c r="BL758" i="1"/>
  <c r="CN758" i="1" s="1"/>
  <c r="BD758" i="1"/>
  <c r="BC758" i="1"/>
  <c r="BB758" i="1"/>
  <c r="BA758" i="1"/>
  <c r="AZ758" i="1"/>
  <c r="AY758" i="1"/>
  <c r="BE758" i="1" s="1" a="1"/>
  <c r="BE758" i="1" s="1"/>
  <c r="AX758" i="1"/>
  <c r="M758" i="1"/>
  <c r="EM757" i="1"/>
  <c r="DU757" i="1"/>
  <c r="DT757" i="1"/>
  <c r="DN757" i="1"/>
  <c r="DM757" i="1"/>
  <c r="DL757" i="1"/>
  <c r="DK757" i="1"/>
  <c r="DI757" i="1"/>
  <c r="DJ757" i="1" s="1"/>
  <c r="DC757" i="1"/>
  <c r="CX757" i="1"/>
  <c r="CN757" i="1"/>
  <c r="BX757" i="1"/>
  <c r="BN757" i="1"/>
  <c r="BO757" i="1" s="1"/>
  <c r="BM757" i="1"/>
  <c r="BD757" i="1"/>
  <c r="BC757" i="1"/>
  <c r="BB757" i="1"/>
  <c r="BA757" i="1"/>
  <c r="AZ757" i="1"/>
  <c r="BF757" i="1" s="1" a="1"/>
  <c r="BF757" i="1" s="1"/>
  <c r="AY757" i="1"/>
  <c r="BE757" i="1" s="1" a="1"/>
  <c r="BE757" i="1" s="1"/>
  <c r="AX757" i="1"/>
  <c r="M757" i="1"/>
  <c r="EM756" i="1"/>
  <c r="DU756" i="1"/>
  <c r="DT756" i="1"/>
  <c r="DN756" i="1"/>
  <c r="DM756" i="1"/>
  <c r="DL756" i="1"/>
  <c r="DK756" i="1"/>
  <c r="DI756" i="1"/>
  <c r="DJ756" i="1" s="1"/>
  <c r="DC756" i="1"/>
  <c r="CX756" i="1"/>
  <c r="CN756" i="1"/>
  <c r="CR756" i="1" s="1"/>
  <c r="BX756" i="1"/>
  <c r="BN756" i="1"/>
  <c r="BO756" i="1" s="1"/>
  <c r="BM756" i="1"/>
  <c r="BD756" i="1"/>
  <c r="BC756" i="1"/>
  <c r="BB756" i="1"/>
  <c r="BA756" i="1"/>
  <c r="AZ756" i="1"/>
  <c r="AY756" i="1"/>
  <c r="AX756" i="1"/>
  <c r="M756" i="1"/>
  <c r="EM755" i="1"/>
  <c r="DU755" i="1"/>
  <c r="DT755" i="1"/>
  <c r="DN755" i="1"/>
  <c r="DM755" i="1"/>
  <c r="DL755" i="1"/>
  <c r="DK755" i="1"/>
  <c r="DI755" i="1"/>
  <c r="DJ755" i="1" s="1"/>
  <c r="DC755" i="1"/>
  <c r="CX755" i="1"/>
  <c r="CN755" i="1"/>
  <c r="BX755" i="1"/>
  <c r="BN755" i="1"/>
  <c r="BO755" i="1" s="1"/>
  <c r="BM755" i="1"/>
  <c r="BD755" i="1"/>
  <c r="BC755" i="1"/>
  <c r="BB755" i="1"/>
  <c r="BA755" i="1"/>
  <c r="AZ755" i="1"/>
  <c r="AY755" i="1"/>
  <c r="AX755" i="1"/>
  <c r="M755" i="1"/>
  <c r="EM152" i="1"/>
  <c r="DU152" i="1"/>
  <c r="DT152" i="1"/>
  <c r="DN152" i="1"/>
  <c r="DM152" i="1"/>
  <c r="DL152" i="1"/>
  <c r="DK152" i="1"/>
  <c r="DI152" i="1"/>
  <c r="DJ152" i="1" s="1"/>
  <c r="DC152" i="1"/>
  <c r="CX152" i="1"/>
  <c r="BX152" i="1"/>
  <c r="BL152" i="1"/>
  <c r="BD152" i="1"/>
  <c r="BC152" i="1"/>
  <c r="BB152" i="1"/>
  <c r="BA152" i="1"/>
  <c r="AZ152" i="1"/>
  <c r="AY152" i="1"/>
  <c r="AX152" i="1"/>
  <c r="M152" i="1"/>
  <c r="EM151" i="1"/>
  <c r="DU151" i="1"/>
  <c r="DT151" i="1"/>
  <c r="DN151" i="1"/>
  <c r="DM151" i="1"/>
  <c r="DL151" i="1"/>
  <c r="DK151" i="1"/>
  <c r="DI151" i="1"/>
  <c r="DJ151" i="1" s="1"/>
  <c r="DC151" i="1"/>
  <c r="CX151" i="1"/>
  <c r="BX151" i="1"/>
  <c r="BL151" i="1"/>
  <c r="BN151" i="1" s="1"/>
  <c r="BO151" i="1" s="1"/>
  <c r="BD151" i="1"/>
  <c r="BC151" i="1"/>
  <c r="BB151" i="1"/>
  <c r="BA151" i="1"/>
  <c r="AZ151" i="1"/>
  <c r="AY151" i="1"/>
  <c r="AX151" i="1"/>
  <c r="M151" i="1"/>
  <c r="EM754" i="1"/>
  <c r="DU754" i="1"/>
  <c r="DT754" i="1"/>
  <c r="DN754" i="1"/>
  <c r="DM754" i="1"/>
  <c r="DL754" i="1"/>
  <c r="DK754" i="1"/>
  <c r="DI754" i="1"/>
  <c r="DJ754" i="1" s="1"/>
  <c r="DC754" i="1"/>
  <c r="CX754" i="1"/>
  <c r="CN754" i="1"/>
  <c r="CS754" i="1" s="1"/>
  <c r="BX754" i="1"/>
  <c r="BN754" i="1"/>
  <c r="BO754" i="1" s="1"/>
  <c r="BM754" i="1"/>
  <c r="BD754" i="1"/>
  <c r="BC754" i="1"/>
  <c r="BB754" i="1"/>
  <c r="BA754" i="1"/>
  <c r="AZ754" i="1"/>
  <c r="AY754" i="1"/>
  <c r="BE754" i="1" s="1" a="1"/>
  <c r="BE754" i="1" s="1"/>
  <c r="AX754" i="1"/>
  <c r="M754" i="1"/>
  <c r="EM584" i="1"/>
  <c r="DU584" i="1"/>
  <c r="DT584" i="1"/>
  <c r="DN584" i="1"/>
  <c r="DM584" i="1"/>
  <c r="DL584" i="1"/>
  <c r="DK584" i="1"/>
  <c r="DI584" i="1"/>
  <c r="DJ584" i="1" s="1"/>
  <c r="DC584" i="1"/>
  <c r="CX584" i="1"/>
  <c r="CN584" i="1"/>
  <c r="CR584" i="1" s="1"/>
  <c r="BX584" i="1"/>
  <c r="BN584" i="1"/>
  <c r="BO584" i="1" s="1"/>
  <c r="BM584" i="1"/>
  <c r="BD584" i="1"/>
  <c r="BC584" i="1"/>
  <c r="BB584" i="1"/>
  <c r="BA584" i="1"/>
  <c r="AZ584" i="1"/>
  <c r="BF584" i="1" s="1" a="1"/>
  <c r="BF584" i="1" s="1"/>
  <c r="AY584" i="1"/>
  <c r="BE584" i="1" s="1" a="1"/>
  <c r="BE584" i="1" s="1"/>
  <c r="AX584" i="1"/>
  <c r="M584" i="1"/>
  <c r="EM583" i="1"/>
  <c r="DU583" i="1"/>
  <c r="DT583" i="1"/>
  <c r="DN583" i="1"/>
  <c r="DM583" i="1"/>
  <c r="DL583" i="1"/>
  <c r="DK583" i="1"/>
  <c r="DI583" i="1"/>
  <c r="DJ583" i="1" s="1"/>
  <c r="DC583" i="1"/>
  <c r="CX583" i="1"/>
  <c r="CN583" i="1"/>
  <c r="CS583" i="1" s="1"/>
  <c r="BX583" i="1"/>
  <c r="BN583" i="1"/>
  <c r="BO583" i="1" s="1"/>
  <c r="BM583" i="1"/>
  <c r="BD583" i="1"/>
  <c r="BC583" i="1"/>
  <c r="BB583" i="1"/>
  <c r="BA583" i="1"/>
  <c r="AZ583" i="1"/>
  <c r="AY583" i="1"/>
  <c r="BE583" i="1" s="1" a="1"/>
  <c r="BE583" i="1" s="1"/>
  <c r="AX583" i="1"/>
  <c r="M583" i="1"/>
  <c r="EM582" i="1"/>
  <c r="DU582" i="1"/>
  <c r="DT582" i="1"/>
  <c r="DN582" i="1"/>
  <c r="DM582" i="1"/>
  <c r="DL582" i="1"/>
  <c r="DK582" i="1"/>
  <c r="DI582" i="1"/>
  <c r="DJ582" i="1" s="1"/>
  <c r="DC582" i="1"/>
  <c r="CX582" i="1"/>
  <c r="CN582" i="1"/>
  <c r="BX582" i="1"/>
  <c r="BN582" i="1"/>
  <c r="BO582" i="1" s="1"/>
  <c r="BM582" i="1"/>
  <c r="BD582" i="1"/>
  <c r="BC582" i="1"/>
  <c r="BB582" i="1"/>
  <c r="BA582" i="1"/>
  <c r="AZ582" i="1"/>
  <c r="AY582" i="1"/>
  <c r="BE582" i="1" s="1" a="1"/>
  <c r="BE582" i="1" s="1"/>
  <c r="AX582" i="1"/>
  <c r="M582" i="1"/>
  <c r="EM581" i="1"/>
  <c r="DU581" i="1"/>
  <c r="DT581" i="1"/>
  <c r="DN581" i="1"/>
  <c r="DM581" i="1"/>
  <c r="DL581" i="1"/>
  <c r="DK581" i="1"/>
  <c r="DI581" i="1"/>
  <c r="DJ581" i="1" s="1"/>
  <c r="DC581" i="1"/>
  <c r="CX581" i="1"/>
  <c r="CN581" i="1"/>
  <c r="CS581" i="1" s="1"/>
  <c r="BX581" i="1"/>
  <c r="BN581" i="1"/>
  <c r="BO581" i="1" s="1"/>
  <c r="BM581" i="1"/>
  <c r="BD581" i="1"/>
  <c r="BC581" i="1"/>
  <c r="BB581" i="1"/>
  <c r="BA581" i="1"/>
  <c r="AZ581" i="1"/>
  <c r="AY581" i="1"/>
  <c r="BE581" i="1" s="1" a="1"/>
  <c r="BE581" i="1" s="1"/>
  <c r="AX581" i="1"/>
  <c r="M581" i="1"/>
  <c r="EM762" i="1"/>
  <c r="DU762" i="1"/>
  <c r="DN762" i="1"/>
  <c r="DM762" i="1"/>
  <c r="DL762" i="1"/>
  <c r="DK762" i="1"/>
  <c r="DI762" i="1"/>
  <c r="DJ762" i="1" s="1"/>
  <c r="DB762" i="1"/>
  <c r="DC762" i="1" s="1"/>
  <c r="CX762" i="1"/>
  <c r="CN762" i="1"/>
  <c r="CR762" i="1" s="1"/>
  <c r="BV762" i="1"/>
  <c r="BX762" i="1" s="1"/>
  <c r="BN762" i="1"/>
  <c r="BO762" i="1" s="1"/>
  <c r="BM762" i="1"/>
  <c r="BD762" i="1"/>
  <c r="BC762" i="1"/>
  <c r="BB762" i="1"/>
  <c r="BA762" i="1"/>
  <c r="AZ762" i="1"/>
  <c r="AY762" i="1"/>
  <c r="BE762" i="1" s="1" a="1"/>
  <c r="BE762" i="1" s="1"/>
  <c r="AX762" i="1"/>
  <c r="M762" i="1"/>
  <c r="EM774" i="1"/>
  <c r="DU774" i="1"/>
  <c r="DN774" i="1"/>
  <c r="DM774" i="1"/>
  <c r="DL774" i="1"/>
  <c r="DK774" i="1"/>
  <c r="DI774" i="1"/>
  <c r="DJ774" i="1" s="1"/>
  <c r="DB774" i="1"/>
  <c r="DC774" i="1" s="1"/>
  <c r="CX774" i="1"/>
  <c r="CN774" i="1"/>
  <c r="CS774" i="1" s="1"/>
  <c r="BV774" i="1"/>
  <c r="BX774" i="1" s="1"/>
  <c r="BN774" i="1"/>
  <c r="BO774" i="1" s="1"/>
  <c r="BM774" i="1"/>
  <c r="BD774" i="1"/>
  <c r="BC774" i="1"/>
  <c r="BB774" i="1"/>
  <c r="BA774" i="1"/>
  <c r="AZ774" i="1"/>
  <c r="AY774" i="1"/>
  <c r="BE774" i="1" s="1" a="1"/>
  <c r="BE774" i="1" s="1"/>
  <c r="AX774" i="1"/>
  <c r="M774" i="1"/>
  <c r="EM761" i="1"/>
  <c r="DU761" i="1"/>
  <c r="DN761" i="1"/>
  <c r="DM761" i="1"/>
  <c r="DL761" i="1"/>
  <c r="DK761" i="1"/>
  <c r="DI761" i="1"/>
  <c r="DJ761" i="1" s="1"/>
  <c r="DB761" i="1"/>
  <c r="DC761" i="1" s="1"/>
  <c r="CX761" i="1"/>
  <c r="CN761" i="1"/>
  <c r="BV761" i="1"/>
  <c r="BX761" i="1" s="1"/>
  <c r="BN761" i="1"/>
  <c r="BO761" i="1" s="1"/>
  <c r="BM761" i="1"/>
  <c r="BD761" i="1"/>
  <c r="BC761" i="1"/>
  <c r="BB761" i="1"/>
  <c r="BA761" i="1"/>
  <c r="AZ761" i="1"/>
  <c r="BF761" i="1" s="1" a="1"/>
  <c r="BF761" i="1" s="1"/>
  <c r="AY761" i="1"/>
  <c r="BE761" i="1" s="1" a="1"/>
  <c r="BE761" i="1" s="1"/>
  <c r="AX761" i="1"/>
  <c r="M761" i="1"/>
  <c r="EM773" i="1"/>
  <c r="DU773" i="1"/>
  <c r="DN773" i="1"/>
  <c r="DM773" i="1"/>
  <c r="DL773" i="1"/>
  <c r="DK773" i="1"/>
  <c r="DI773" i="1"/>
  <c r="DJ773" i="1" s="1"/>
  <c r="DB773" i="1"/>
  <c r="DC773" i="1" s="1"/>
  <c r="CX773" i="1"/>
  <c r="CN773" i="1"/>
  <c r="CR773" i="1" s="1"/>
  <c r="BV773" i="1"/>
  <c r="BX773" i="1" s="1"/>
  <c r="BN773" i="1"/>
  <c r="BO773" i="1" s="1"/>
  <c r="BM773" i="1"/>
  <c r="BD773" i="1"/>
  <c r="BC773" i="1"/>
  <c r="BB773" i="1"/>
  <c r="BA773" i="1"/>
  <c r="AZ773" i="1"/>
  <c r="AY773" i="1"/>
  <c r="BE773" i="1" s="1" a="1"/>
  <c r="BE773" i="1" s="1"/>
  <c r="AX773" i="1"/>
  <c r="M773" i="1"/>
  <c r="EM760" i="1"/>
  <c r="DU760" i="1"/>
  <c r="DN760" i="1"/>
  <c r="DM760" i="1"/>
  <c r="DL760" i="1"/>
  <c r="DK760" i="1"/>
  <c r="DI760" i="1"/>
  <c r="DJ760" i="1" s="1"/>
  <c r="DB760" i="1"/>
  <c r="DC760" i="1" s="1"/>
  <c r="CX760" i="1"/>
  <c r="CN760" i="1"/>
  <c r="CS760" i="1" s="1"/>
  <c r="BV760" i="1"/>
  <c r="BX760" i="1" s="1"/>
  <c r="BN760" i="1"/>
  <c r="BO760" i="1" s="1"/>
  <c r="BM760" i="1"/>
  <c r="BD760" i="1"/>
  <c r="BC760" i="1"/>
  <c r="BB760" i="1"/>
  <c r="BA760" i="1"/>
  <c r="AZ760" i="1"/>
  <c r="AY760" i="1"/>
  <c r="BE760" i="1" s="1" a="1"/>
  <c r="BE760" i="1" s="1"/>
  <c r="AX760" i="1"/>
  <c r="M760" i="1"/>
  <c r="EM772" i="1"/>
  <c r="DU772" i="1"/>
  <c r="DN772" i="1"/>
  <c r="DM772" i="1"/>
  <c r="DL772" i="1"/>
  <c r="DK772" i="1"/>
  <c r="DI772" i="1"/>
  <c r="DJ772" i="1" s="1"/>
  <c r="DB772" i="1"/>
  <c r="DC772" i="1" s="1"/>
  <c r="CX772" i="1"/>
  <c r="CN772" i="1"/>
  <c r="CR772" i="1" s="1"/>
  <c r="BV772" i="1"/>
  <c r="BX772" i="1" s="1"/>
  <c r="BN772" i="1"/>
  <c r="BO772" i="1" s="1"/>
  <c r="BM772" i="1"/>
  <c r="BD772" i="1"/>
  <c r="BC772" i="1"/>
  <c r="BB772" i="1"/>
  <c r="BA772" i="1"/>
  <c r="AZ772" i="1"/>
  <c r="BF772" i="1" s="1" a="1"/>
  <c r="BF772" i="1" s="1"/>
  <c r="AY772" i="1"/>
  <c r="BE772" i="1" s="1" a="1"/>
  <c r="BE772" i="1" s="1"/>
  <c r="AX772" i="1"/>
  <c r="M772" i="1"/>
  <c r="EM622" i="1"/>
  <c r="DT622" i="1"/>
  <c r="DN622" i="1"/>
  <c r="DM622" i="1"/>
  <c r="DL622" i="1"/>
  <c r="DK622" i="1"/>
  <c r="DJ622" i="1"/>
  <c r="DC622" i="1"/>
  <c r="CX622" i="1"/>
  <c r="CN622" i="1"/>
  <c r="BX622" i="1"/>
  <c r="BT622" i="1"/>
  <c r="BS622" i="1"/>
  <c r="BN622" i="1"/>
  <c r="BO622" i="1" s="1"/>
  <c r="BD622" i="1"/>
  <c r="BC622" i="1"/>
  <c r="BB622" i="1"/>
  <c r="BA622" i="1"/>
  <c r="AZ622" i="1"/>
  <c r="AY622" i="1"/>
  <c r="BE622" i="1" s="1" a="1"/>
  <c r="BE622" i="1" s="1"/>
  <c r="AX622" i="1"/>
  <c r="M622" i="1"/>
  <c r="EM621" i="1"/>
  <c r="DT621" i="1"/>
  <c r="DN621" i="1"/>
  <c r="DM621" i="1"/>
  <c r="DL621" i="1"/>
  <c r="DK621" i="1"/>
  <c r="DJ621" i="1"/>
  <c r="DC621" i="1"/>
  <c r="CX621" i="1"/>
  <c r="CN621" i="1"/>
  <c r="CS621" i="1" s="1"/>
  <c r="BX621" i="1"/>
  <c r="BT621" i="1"/>
  <c r="BS621" i="1"/>
  <c r="BN621" i="1"/>
  <c r="BO621" i="1" s="1"/>
  <c r="BD621" i="1"/>
  <c r="BC621" i="1"/>
  <c r="BB621" i="1"/>
  <c r="BA621" i="1"/>
  <c r="AZ621" i="1"/>
  <c r="AY621" i="1"/>
  <c r="BE621" i="1" s="1" a="1"/>
  <c r="BE621" i="1" s="1"/>
  <c r="AX621" i="1"/>
  <c r="M621" i="1"/>
  <c r="EM620" i="1"/>
  <c r="DT620" i="1"/>
  <c r="DN620" i="1"/>
  <c r="DM620" i="1"/>
  <c r="DL620" i="1"/>
  <c r="DK620" i="1"/>
  <c r="DJ620" i="1"/>
  <c r="DC620" i="1"/>
  <c r="CX620" i="1"/>
  <c r="CN620" i="1"/>
  <c r="BX620" i="1"/>
  <c r="BT620" i="1"/>
  <c r="BS620" i="1"/>
  <c r="BN620" i="1"/>
  <c r="BO620" i="1" s="1"/>
  <c r="BD620" i="1"/>
  <c r="BC620" i="1"/>
  <c r="BB620" i="1"/>
  <c r="BA620" i="1"/>
  <c r="AZ620" i="1"/>
  <c r="AY620" i="1"/>
  <c r="BE620" i="1" s="1" a="1"/>
  <c r="BE620" i="1" s="1"/>
  <c r="AX620" i="1"/>
  <c r="M620" i="1"/>
  <c r="EM619" i="1"/>
  <c r="DT619" i="1"/>
  <c r="DN619" i="1"/>
  <c r="DM619" i="1"/>
  <c r="DL619" i="1"/>
  <c r="DK619" i="1"/>
  <c r="DJ619" i="1"/>
  <c r="DC619" i="1"/>
  <c r="CX619" i="1"/>
  <c r="CN619" i="1"/>
  <c r="CO619" i="1" s="1"/>
  <c r="BX619" i="1"/>
  <c r="BT619" i="1"/>
  <c r="BS619" i="1"/>
  <c r="BN619" i="1"/>
  <c r="BO619" i="1" s="1"/>
  <c r="BD619" i="1"/>
  <c r="BC619" i="1"/>
  <c r="BB619" i="1"/>
  <c r="BA619" i="1"/>
  <c r="AZ619" i="1"/>
  <c r="BF619" i="1" s="1" a="1"/>
  <c r="BF619" i="1" s="1"/>
  <c r="AY619" i="1"/>
  <c r="BE619" i="1" s="1" a="1"/>
  <c r="BE619" i="1" s="1"/>
  <c r="AX619" i="1"/>
  <c r="M619" i="1"/>
  <c r="EM1107" i="1"/>
  <c r="DU1107" i="1"/>
  <c r="DT1107" i="1"/>
  <c r="DN1107" i="1"/>
  <c r="DM1107" i="1"/>
  <c r="DL1107" i="1"/>
  <c r="DK1107" i="1"/>
  <c r="DI1107" i="1"/>
  <c r="DJ1107" i="1" s="1"/>
  <c r="DC1107" i="1"/>
  <c r="CX1107" i="1"/>
  <c r="CN1107" i="1"/>
  <c r="CS1107" i="1" s="1"/>
  <c r="BV1107" i="1"/>
  <c r="BX1107" i="1" s="1"/>
  <c r="BU1107" i="1"/>
  <c r="BN1107" i="1"/>
  <c r="BO1107" i="1" s="1"/>
  <c r="BD1107" i="1"/>
  <c r="BC1107" i="1"/>
  <c r="BB1107" i="1"/>
  <c r="BA1107" i="1"/>
  <c r="AZ1107" i="1"/>
  <c r="AY1107" i="1"/>
  <c r="BE1107" i="1" s="1" a="1"/>
  <c r="BE1107" i="1" s="1"/>
  <c r="AX1107" i="1"/>
  <c r="M1107" i="1"/>
  <c r="EM1106" i="1"/>
  <c r="DU1106" i="1"/>
  <c r="DT1106" i="1"/>
  <c r="DN1106" i="1"/>
  <c r="DM1106" i="1"/>
  <c r="DL1106" i="1"/>
  <c r="DK1106" i="1"/>
  <c r="DI1106" i="1"/>
  <c r="DJ1106" i="1" s="1"/>
  <c r="DC1106" i="1"/>
  <c r="CX1106" i="1"/>
  <c r="CN1106" i="1"/>
  <c r="BV1106" i="1"/>
  <c r="BX1106" i="1" s="1"/>
  <c r="BU1106" i="1"/>
  <c r="BN1106" i="1"/>
  <c r="BO1106" i="1" s="1"/>
  <c r="BD1106" i="1"/>
  <c r="BC1106" i="1"/>
  <c r="BB1106" i="1"/>
  <c r="BA1106" i="1"/>
  <c r="AZ1106" i="1"/>
  <c r="AY1106" i="1"/>
  <c r="BE1106" i="1" s="1" a="1"/>
  <c r="BE1106" i="1" s="1"/>
  <c r="AX1106" i="1"/>
  <c r="M1106" i="1"/>
  <c r="EM1105" i="1"/>
  <c r="DU1105" i="1"/>
  <c r="DT1105" i="1"/>
  <c r="DN1105" i="1"/>
  <c r="DM1105" i="1"/>
  <c r="DL1105" i="1"/>
  <c r="DK1105" i="1"/>
  <c r="DI1105" i="1"/>
  <c r="DJ1105" i="1" s="1"/>
  <c r="DC1105" i="1"/>
  <c r="CX1105" i="1"/>
  <c r="CN1105" i="1"/>
  <c r="CS1105" i="1" s="1"/>
  <c r="BV1105" i="1"/>
  <c r="BX1105" i="1" s="1"/>
  <c r="BU1105" i="1"/>
  <c r="BN1105" i="1"/>
  <c r="BO1105" i="1" s="1"/>
  <c r="BD1105" i="1"/>
  <c r="BC1105" i="1"/>
  <c r="BB1105" i="1"/>
  <c r="BA1105" i="1"/>
  <c r="AZ1105" i="1"/>
  <c r="AY1105" i="1"/>
  <c r="BE1105" i="1" s="1" a="1"/>
  <c r="BE1105" i="1" s="1"/>
  <c r="AX1105" i="1"/>
  <c r="M1105" i="1"/>
  <c r="EM1104" i="1"/>
  <c r="DU1104" i="1"/>
  <c r="DT1104" i="1"/>
  <c r="DN1104" i="1"/>
  <c r="DM1104" i="1"/>
  <c r="DL1104" i="1"/>
  <c r="DK1104" i="1"/>
  <c r="DI1104" i="1"/>
  <c r="DJ1104" i="1" s="1"/>
  <c r="DC1104" i="1"/>
  <c r="CX1104" i="1"/>
  <c r="CN1104" i="1"/>
  <c r="CS1104" i="1" s="1"/>
  <c r="BV1104" i="1"/>
  <c r="BX1104" i="1" s="1"/>
  <c r="BU1104" i="1"/>
  <c r="BN1104" i="1"/>
  <c r="BO1104" i="1" s="1"/>
  <c r="BD1104" i="1"/>
  <c r="BC1104" i="1"/>
  <c r="BB1104" i="1"/>
  <c r="BA1104" i="1"/>
  <c r="AZ1104" i="1"/>
  <c r="BF1104" i="1" s="1" a="1"/>
  <c r="BF1104" i="1" s="1"/>
  <c r="AY1104" i="1"/>
  <c r="BE1104" i="1" s="1" a="1"/>
  <c r="BE1104" i="1" s="1"/>
  <c r="AX1104" i="1"/>
  <c r="M1104" i="1"/>
  <c r="EM1103" i="1"/>
  <c r="DU1103" i="1"/>
  <c r="DT1103" i="1"/>
  <c r="DN1103" i="1"/>
  <c r="DM1103" i="1"/>
  <c r="DL1103" i="1"/>
  <c r="DK1103" i="1"/>
  <c r="DI1103" i="1"/>
  <c r="DJ1103" i="1" s="1"/>
  <c r="DC1103" i="1"/>
  <c r="CX1103" i="1"/>
  <c r="CN1103" i="1"/>
  <c r="BV1103" i="1"/>
  <c r="BX1103" i="1" s="1"/>
  <c r="BU1103" i="1"/>
  <c r="BN1103" i="1"/>
  <c r="BO1103" i="1" s="1"/>
  <c r="BD1103" i="1"/>
  <c r="BC1103" i="1"/>
  <c r="BB1103" i="1"/>
  <c r="BA1103" i="1"/>
  <c r="AZ1103" i="1"/>
  <c r="AY1103" i="1"/>
  <c r="BE1103" i="1" s="1" a="1"/>
  <c r="BE1103" i="1" s="1"/>
  <c r="AX1103" i="1"/>
  <c r="M1103" i="1"/>
  <c r="EM1102" i="1"/>
  <c r="DU1102" i="1"/>
  <c r="DT1102" i="1"/>
  <c r="DN1102" i="1"/>
  <c r="DM1102" i="1"/>
  <c r="DL1102" i="1"/>
  <c r="DK1102" i="1"/>
  <c r="DI1102" i="1"/>
  <c r="DJ1102" i="1" s="1"/>
  <c r="DC1102" i="1"/>
  <c r="CX1102" i="1"/>
  <c r="CN1102" i="1"/>
  <c r="BV1102" i="1"/>
  <c r="BX1102" i="1" s="1"/>
  <c r="BU1102" i="1"/>
  <c r="BN1102" i="1"/>
  <c r="BO1102" i="1" s="1"/>
  <c r="BD1102" i="1"/>
  <c r="BC1102" i="1"/>
  <c r="BB1102" i="1"/>
  <c r="BA1102" i="1"/>
  <c r="AZ1102" i="1"/>
  <c r="AY1102" i="1"/>
  <c r="BE1102" i="1" s="1" a="1"/>
  <c r="BE1102" i="1" s="1"/>
  <c r="AX1102" i="1"/>
  <c r="M1102" i="1"/>
  <c r="EM1101" i="1"/>
  <c r="DU1101" i="1"/>
  <c r="DT1101" i="1"/>
  <c r="DN1101" i="1"/>
  <c r="DM1101" i="1"/>
  <c r="DL1101" i="1"/>
  <c r="DK1101" i="1"/>
  <c r="DI1101" i="1"/>
  <c r="DJ1101" i="1" s="1"/>
  <c r="DC1101" i="1"/>
  <c r="CX1101" i="1"/>
  <c r="CN1101" i="1"/>
  <c r="BV1101" i="1"/>
  <c r="BX1101" i="1" s="1"/>
  <c r="BU1101" i="1"/>
  <c r="BN1101" i="1"/>
  <c r="BO1101" i="1" s="1"/>
  <c r="BD1101" i="1"/>
  <c r="BC1101" i="1"/>
  <c r="BB1101" i="1"/>
  <c r="BA1101" i="1"/>
  <c r="AZ1101" i="1"/>
  <c r="AY1101" i="1"/>
  <c r="BE1101" i="1" s="1" a="1"/>
  <c r="BE1101" i="1" s="1"/>
  <c r="AX1101" i="1"/>
  <c r="M1101" i="1"/>
  <c r="EM1100" i="1"/>
  <c r="DU1100" i="1"/>
  <c r="DT1100" i="1"/>
  <c r="DN1100" i="1"/>
  <c r="DM1100" i="1"/>
  <c r="DL1100" i="1"/>
  <c r="DK1100" i="1"/>
  <c r="DI1100" i="1"/>
  <c r="DJ1100" i="1" s="1"/>
  <c r="DC1100" i="1"/>
  <c r="CX1100" i="1"/>
  <c r="CN1100" i="1"/>
  <c r="CS1100" i="1" s="1"/>
  <c r="BV1100" i="1"/>
  <c r="BX1100" i="1" s="1"/>
  <c r="BU1100" i="1"/>
  <c r="BN1100" i="1"/>
  <c r="BO1100" i="1" s="1"/>
  <c r="BD1100" i="1"/>
  <c r="BC1100" i="1"/>
  <c r="BB1100" i="1"/>
  <c r="BA1100" i="1"/>
  <c r="AZ1100" i="1"/>
  <c r="BF1100" i="1" s="1" a="1"/>
  <c r="BF1100" i="1" s="1"/>
  <c r="AY1100" i="1"/>
  <c r="BE1100" i="1" s="1" a="1"/>
  <c r="BE1100" i="1" s="1"/>
  <c r="AX1100" i="1"/>
  <c r="M1100" i="1"/>
  <c r="EM1099" i="1"/>
  <c r="DU1099" i="1"/>
  <c r="DT1099" i="1"/>
  <c r="DN1099" i="1"/>
  <c r="DM1099" i="1"/>
  <c r="DL1099" i="1"/>
  <c r="DK1099" i="1"/>
  <c r="DI1099" i="1"/>
  <c r="DJ1099" i="1" s="1"/>
  <c r="DC1099" i="1"/>
  <c r="CX1099" i="1"/>
  <c r="CN1099" i="1"/>
  <c r="CP1099" i="1" s="1"/>
  <c r="BV1099" i="1"/>
  <c r="BX1099" i="1" s="1"/>
  <c r="BU1099" i="1"/>
  <c r="BN1099" i="1"/>
  <c r="BO1099" i="1" s="1"/>
  <c r="BD1099" i="1"/>
  <c r="BC1099" i="1"/>
  <c r="BB1099" i="1"/>
  <c r="BA1099" i="1"/>
  <c r="AZ1099" i="1"/>
  <c r="AY1099" i="1"/>
  <c r="BE1099" i="1" s="1" a="1"/>
  <c r="BE1099" i="1" s="1"/>
  <c r="AX1099" i="1"/>
  <c r="M1099" i="1"/>
  <c r="EM1098" i="1"/>
  <c r="DU1098" i="1"/>
  <c r="DT1098" i="1"/>
  <c r="DN1098" i="1"/>
  <c r="DM1098" i="1"/>
  <c r="DL1098" i="1"/>
  <c r="DK1098" i="1"/>
  <c r="DI1098" i="1"/>
  <c r="DJ1098" i="1" s="1"/>
  <c r="DC1098" i="1"/>
  <c r="CX1098" i="1"/>
  <c r="CN1098" i="1"/>
  <c r="CR1098" i="1" s="1"/>
  <c r="BV1098" i="1"/>
  <c r="BX1098" i="1" s="1"/>
  <c r="BU1098" i="1"/>
  <c r="BN1098" i="1"/>
  <c r="BO1098" i="1" s="1"/>
  <c r="BD1098" i="1"/>
  <c r="BC1098" i="1"/>
  <c r="BB1098" i="1"/>
  <c r="BA1098" i="1"/>
  <c r="AZ1098" i="1"/>
  <c r="AY1098" i="1"/>
  <c r="BE1098" i="1" s="1" a="1"/>
  <c r="BE1098" i="1" s="1"/>
  <c r="AX1098" i="1"/>
  <c r="M1098" i="1"/>
  <c r="EM1097" i="1"/>
  <c r="DU1097" i="1"/>
  <c r="DT1097" i="1"/>
  <c r="DN1097" i="1"/>
  <c r="DM1097" i="1"/>
  <c r="DL1097" i="1"/>
  <c r="DK1097" i="1"/>
  <c r="DI1097" i="1"/>
  <c r="DJ1097" i="1" s="1"/>
  <c r="DC1097" i="1"/>
  <c r="CX1097" i="1"/>
  <c r="CN1097" i="1"/>
  <c r="CR1097" i="1" s="1"/>
  <c r="BV1097" i="1"/>
  <c r="BX1097" i="1" s="1"/>
  <c r="BU1097" i="1"/>
  <c r="BN1097" i="1"/>
  <c r="BO1097" i="1" s="1"/>
  <c r="BD1097" i="1"/>
  <c r="BC1097" i="1"/>
  <c r="BB1097" i="1"/>
  <c r="BA1097" i="1"/>
  <c r="AZ1097" i="1"/>
  <c r="AY1097" i="1"/>
  <c r="BE1097" i="1" s="1" a="1"/>
  <c r="BE1097" i="1" s="1"/>
  <c r="AX1097" i="1"/>
  <c r="M1097" i="1"/>
  <c r="EM1096" i="1"/>
  <c r="DU1096" i="1"/>
  <c r="DT1096" i="1"/>
  <c r="DN1096" i="1"/>
  <c r="DM1096" i="1"/>
  <c r="DL1096" i="1"/>
  <c r="DK1096" i="1"/>
  <c r="DI1096" i="1"/>
  <c r="DJ1096" i="1" s="1"/>
  <c r="DC1096" i="1"/>
  <c r="CX1096" i="1"/>
  <c r="CN1096" i="1"/>
  <c r="BV1096" i="1"/>
  <c r="BX1096" i="1" s="1"/>
  <c r="BU1096" i="1"/>
  <c r="BN1096" i="1"/>
  <c r="BO1096" i="1" s="1"/>
  <c r="BD1096" i="1"/>
  <c r="BC1096" i="1"/>
  <c r="BB1096" i="1"/>
  <c r="BA1096" i="1"/>
  <c r="AZ1096" i="1"/>
  <c r="BF1096" i="1" s="1" a="1"/>
  <c r="BF1096" i="1" s="1"/>
  <c r="AY1096" i="1"/>
  <c r="BE1096" i="1" s="1" a="1"/>
  <c r="BE1096" i="1" s="1"/>
  <c r="AX1096" i="1"/>
  <c r="M1096" i="1"/>
  <c r="EM786" i="1"/>
  <c r="DU786" i="1"/>
  <c r="DT786" i="1"/>
  <c r="DN786" i="1"/>
  <c r="DM786" i="1"/>
  <c r="DL786" i="1"/>
  <c r="DK786" i="1"/>
  <c r="DI786" i="1"/>
  <c r="DJ786" i="1" s="1"/>
  <c r="DC786" i="1"/>
  <c r="CX786" i="1"/>
  <c r="CN786" i="1"/>
  <c r="CO786" i="1" s="1"/>
  <c r="BV786" i="1"/>
  <c r="BX786" i="1" s="1"/>
  <c r="BU786" i="1"/>
  <c r="BN786" i="1"/>
  <c r="BO786" i="1" s="1"/>
  <c r="BD786" i="1"/>
  <c r="BC786" i="1"/>
  <c r="BB786" i="1"/>
  <c r="BA786" i="1"/>
  <c r="AZ786" i="1"/>
  <c r="AY786" i="1"/>
  <c r="BE786" i="1" s="1" a="1"/>
  <c r="BE786" i="1" s="1"/>
  <c r="AX786" i="1"/>
  <c r="M786" i="1"/>
  <c r="EM785" i="1"/>
  <c r="DU785" i="1"/>
  <c r="DT785" i="1"/>
  <c r="DN785" i="1"/>
  <c r="DM785" i="1"/>
  <c r="DL785" i="1"/>
  <c r="DK785" i="1"/>
  <c r="DI785" i="1"/>
  <c r="DJ785" i="1" s="1"/>
  <c r="DC785" i="1"/>
  <c r="CX785" i="1"/>
  <c r="CN785" i="1"/>
  <c r="BV785" i="1"/>
  <c r="BX785" i="1" s="1"/>
  <c r="BU785" i="1"/>
  <c r="BN785" i="1"/>
  <c r="BO785" i="1" s="1"/>
  <c r="BD785" i="1"/>
  <c r="BC785" i="1"/>
  <c r="BB785" i="1"/>
  <c r="BA785" i="1"/>
  <c r="AZ785" i="1"/>
  <c r="AY785" i="1"/>
  <c r="BE785" i="1" s="1" a="1"/>
  <c r="BE785" i="1" s="1"/>
  <c r="AX785" i="1"/>
  <c r="M785" i="1"/>
  <c r="EM784" i="1"/>
  <c r="DU784" i="1"/>
  <c r="DT784" i="1"/>
  <c r="DN784" i="1"/>
  <c r="DM784" i="1"/>
  <c r="DL784" i="1"/>
  <c r="DK784" i="1"/>
  <c r="DI784" i="1"/>
  <c r="DJ784" i="1" s="1"/>
  <c r="DC784" i="1"/>
  <c r="CX784" i="1"/>
  <c r="CN784" i="1"/>
  <c r="CO784" i="1" s="1"/>
  <c r="BV784" i="1"/>
  <c r="BX784" i="1" s="1"/>
  <c r="BU784" i="1"/>
  <c r="BN784" i="1"/>
  <c r="BO784" i="1" s="1"/>
  <c r="BD784" i="1"/>
  <c r="BC784" i="1"/>
  <c r="BB784" i="1"/>
  <c r="BA784" i="1"/>
  <c r="AZ784" i="1"/>
  <c r="AY784" i="1"/>
  <c r="BE784" i="1" s="1" a="1"/>
  <c r="BE784" i="1" s="1"/>
  <c r="AX784" i="1"/>
  <c r="M784" i="1"/>
  <c r="EM783" i="1"/>
  <c r="DU783" i="1"/>
  <c r="DT783" i="1"/>
  <c r="DN783" i="1"/>
  <c r="DM783" i="1"/>
  <c r="DL783" i="1"/>
  <c r="DK783" i="1"/>
  <c r="DI783" i="1"/>
  <c r="DJ783" i="1" s="1"/>
  <c r="DC783" i="1"/>
  <c r="CX783" i="1"/>
  <c r="CN783" i="1"/>
  <c r="CO783" i="1" s="1"/>
  <c r="BV783" i="1"/>
  <c r="BX783" i="1" s="1"/>
  <c r="BU783" i="1"/>
  <c r="BN783" i="1"/>
  <c r="BO783" i="1" s="1"/>
  <c r="BD783" i="1"/>
  <c r="BC783" i="1"/>
  <c r="BB783" i="1"/>
  <c r="BA783" i="1"/>
  <c r="AZ783" i="1"/>
  <c r="BF783" i="1" s="1" a="1"/>
  <c r="BF783" i="1" s="1"/>
  <c r="AY783" i="1"/>
  <c r="BE783" i="1" s="1" a="1"/>
  <c r="BE783" i="1" s="1"/>
  <c r="AX783" i="1"/>
  <c r="M783" i="1"/>
  <c r="EM782" i="1"/>
  <c r="DU782" i="1"/>
  <c r="DT782" i="1"/>
  <c r="DN782" i="1"/>
  <c r="DM782" i="1"/>
  <c r="DL782" i="1"/>
  <c r="DK782" i="1"/>
  <c r="DI782" i="1"/>
  <c r="DJ782" i="1" s="1"/>
  <c r="DC782" i="1"/>
  <c r="CX782" i="1"/>
  <c r="CN782" i="1"/>
  <c r="CP782" i="1" s="1"/>
  <c r="BV782" i="1"/>
  <c r="BX782" i="1" s="1"/>
  <c r="BU782" i="1"/>
  <c r="BN782" i="1"/>
  <c r="BO782" i="1" s="1"/>
  <c r="BD782" i="1"/>
  <c r="BC782" i="1"/>
  <c r="BB782" i="1"/>
  <c r="BA782" i="1"/>
  <c r="AZ782" i="1"/>
  <c r="AY782" i="1"/>
  <c r="BE782" i="1" s="1" a="1"/>
  <c r="BE782" i="1" s="1"/>
  <c r="AX782" i="1"/>
  <c r="M782" i="1"/>
  <c r="EM781" i="1"/>
  <c r="DU781" i="1"/>
  <c r="DT781" i="1"/>
  <c r="DN781" i="1"/>
  <c r="DM781" i="1"/>
  <c r="DL781" i="1"/>
  <c r="DK781" i="1"/>
  <c r="DI781" i="1"/>
  <c r="DJ781" i="1" s="1"/>
  <c r="DC781" i="1"/>
  <c r="CX781" i="1"/>
  <c r="CN781" i="1"/>
  <c r="BV781" i="1"/>
  <c r="BX781" i="1" s="1"/>
  <c r="BU781" i="1"/>
  <c r="BN781" i="1"/>
  <c r="BO781" i="1" s="1"/>
  <c r="BD781" i="1"/>
  <c r="BC781" i="1"/>
  <c r="BB781" i="1"/>
  <c r="BA781" i="1"/>
  <c r="AZ781" i="1"/>
  <c r="AY781" i="1"/>
  <c r="BE781" i="1" s="1" a="1"/>
  <c r="BE781" i="1" s="1"/>
  <c r="AX781" i="1"/>
  <c r="M781" i="1"/>
  <c r="EM780" i="1"/>
  <c r="DU780" i="1"/>
  <c r="DT780" i="1"/>
  <c r="DN780" i="1"/>
  <c r="DM780" i="1"/>
  <c r="DL780" i="1"/>
  <c r="DK780" i="1"/>
  <c r="DI780" i="1"/>
  <c r="DJ780" i="1" s="1"/>
  <c r="DC780" i="1"/>
  <c r="CX780" i="1"/>
  <c r="CN780" i="1"/>
  <c r="CR780" i="1" s="1"/>
  <c r="BV780" i="1"/>
  <c r="BX780" i="1" s="1"/>
  <c r="BU780" i="1"/>
  <c r="BN780" i="1"/>
  <c r="BO780" i="1" s="1"/>
  <c r="BD780" i="1"/>
  <c r="BC780" i="1"/>
  <c r="BB780" i="1"/>
  <c r="BA780" i="1"/>
  <c r="AZ780" i="1"/>
  <c r="AY780" i="1"/>
  <c r="BE780" i="1" s="1" a="1"/>
  <c r="BE780" i="1" s="1"/>
  <c r="AX780" i="1"/>
  <c r="M780" i="1"/>
  <c r="EM779" i="1"/>
  <c r="DU779" i="1"/>
  <c r="DT779" i="1"/>
  <c r="DN779" i="1"/>
  <c r="DM779" i="1"/>
  <c r="DL779" i="1"/>
  <c r="DK779" i="1"/>
  <c r="DI779" i="1"/>
  <c r="DJ779" i="1" s="1"/>
  <c r="DC779" i="1"/>
  <c r="CX779" i="1"/>
  <c r="CN779" i="1"/>
  <c r="BV779" i="1"/>
  <c r="BX779" i="1" s="1"/>
  <c r="BU779" i="1"/>
  <c r="BN779" i="1"/>
  <c r="BO779" i="1" s="1"/>
  <c r="BD779" i="1"/>
  <c r="BC779" i="1"/>
  <c r="BB779" i="1"/>
  <c r="BA779" i="1"/>
  <c r="AZ779" i="1"/>
  <c r="BF779" i="1" s="1" a="1"/>
  <c r="BF779" i="1" s="1"/>
  <c r="AY779" i="1"/>
  <c r="BE779" i="1" s="1" a="1"/>
  <c r="BE779" i="1" s="1"/>
  <c r="AX779" i="1"/>
  <c r="M779" i="1"/>
  <c r="EM1095" i="1"/>
  <c r="DU1095" i="1"/>
  <c r="DT1095" i="1"/>
  <c r="DN1095" i="1"/>
  <c r="DM1095" i="1"/>
  <c r="DL1095" i="1"/>
  <c r="DK1095" i="1"/>
  <c r="DI1095" i="1"/>
  <c r="DJ1095" i="1" s="1"/>
  <c r="DC1095" i="1"/>
  <c r="CX1095" i="1"/>
  <c r="CN1095" i="1"/>
  <c r="BV1095" i="1"/>
  <c r="BX1095" i="1" s="1"/>
  <c r="BU1095" i="1"/>
  <c r="BN1095" i="1"/>
  <c r="BO1095" i="1" s="1"/>
  <c r="BM1095" i="1"/>
  <c r="BD1095" i="1"/>
  <c r="BC1095" i="1"/>
  <c r="BB1095" i="1"/>
  <c r="BA1095" i="1"/>
  <c r="AZ1095" i="1"/>
  <c r="AY1095" i="1"/>
  <c r="BE1095" i="1" s="1" a="1"/>
  <c r="BE1095" i="1" s="1"/>
  <c r="AX1095" i="1"/>
  <c r="M1095" i="1"/>
  <c r="EM1094" i="1"/>
  <c r="DU1094" i="1"/>
  <c r="DT1094" i="1"/>
  <c r="DN1094" i="1"/>
  <c r="DM1094" i="1"/>
  <c r="DL1094" i="1"/>
  <c r="DK1094" i="1"/>
  <c r="DI1094" i="1"/>
  <c r="DJ1094" i="1" s="1"/>
  <c r="DC1094" i="1"/>
  <c r="CX1094" i="1"/>
  <c r="CN1094" i="1"/>
  <c r="CS1094" i="1" s="1"/>
  <c r="BV1094" i="1"/>
  <c r="BX1094" i="1" s="1"/>
  <c r="BU1094" i="1"/>
  <c r="BN1094" i="1"/>
  <c r="BO1094" i="1" s="1"/>
  <c r="BM1094" i="1"/>
  <c r="BD1094" i="1"/>
  <c r="BC1094" i="1"/>
  <c r="BB1094" i="1"/>
  <c r="BA1094" i="1"/>
  <c r="AZ1094" i="1"/>
  <c r="AY1094" i="1"/>
  <c r="BE1094" i="1" s="1" a="1"/>
  <c r="BE1094" i="1" s="1"/>
  <c r="AX1094" i="1"/>
  <c r="M1094" i="1"/>
  <c r="EM1093" i="1"/>
  <c r="DU1093" i="1"/>
  <c r="DT1093" i="1"/>
  <c r="DN1093" i="1"/>
  <c r="DM1093" i="1"/>
  <c r="DL1093" i="1"/>
  <c r="DK1093" i="1"/>
  <c r="DI1093" i="1"/>
  <c r="DJ1093" i="1" s="1"/>
  <c r="DC1093" i="1"/>
  <c r="CX1093" i="1"/>
  <c r="CN1093" i="1"/>
  <c r="CP1093" i="1" s="1"/>
  <c r="BV1093" i="1"/>
  <c r="BX1093" i="1" s="1"/>
  <c r="BU1093" i="1"/>
  <c r="BN1093" i="1"/>
  <c r="BO1093" i="1" s="1"/>
  <c r="BD1093" i="1"/>
  <c r="BC1093" i="1"/>
  <c r="BB1093" i="1"/>
  <c r="BA1093" i="1"/>
  <c r="AZ1093" i="1"/>
  <c r="AY1093" i="1"/>
  <c r="BE1093" i="1" s="1" a="1"/>
  <c r="BE1093" i="1" s="1"/>
  <c r="AX1093" i="1"/>
  <c r="M1093" i="1"/>
  <c r="EM400" i="1"/>
  <c r="DU400" i="1"/>
  <c r="DT400" i="1"/>
  <c r="DN400" i="1"/>
  <c r="DM400" i="1"/>
  <c r="DL400" i="1"/>
  <c r="DK400" i="1"/>
  <c r="DI400" i="1"/>
  <c r="DJ400" i="1" s="1"/>
  <c r="DC400" i="1"/>
  <c r="CX400" i="1"/>
  <c r="CN400" i="1"/>
  <c r="BV400" i="1"/>
  <c r="BX400" i="1" s="1"/>
  <c r="BU400" i="1"/>
  <c r="BN400" i="1"/>
  <c r="BO400" i="1" s="1"/>
  <c r="BM400" i="1"/>
  <c r="BD400" i="1"/>
  <c r="BC400" i="1"/>
  <c r="BB400" i="1"/>
  <c r="BA400" i="1"/>
  <c r="AZ400" i="1"/>
  <c r="AY400" i="1"/>
  <c r="BE400" i="1" s="1" a="1"/>
  <c r="BE400" i="1" s="1"/>
  <c r="AX400" i="1"/>
  <c r="M400" i="1"/>
  <c r="EM399" i="1"/>
  <c r="DU399" i="1"/>
  <c r="DT399" i="1"/>
  <c r="DN399" i="1"/>
  <c r="DM399" i="1"/>
  <c r="DL399" i="1"/>
  <c r="DK399" i="1"/>
  <c r="DI399" i="1"/>
  <c r="DJ399" i="1" s="1"/>
  <c r="DC399" i="1"/>
  <c r="CX399" i="1"/>
  <c r="CN399" i="1"/>
  <c r="CP399" i="1" s="1"/>
  <c r="BV399" i="1"/>
  <c r="BX399" i="1" s="1"/>
  <c r="BU399" i="1"/>
  <c r="BN399" i="1"/>
  <c r="BO399" i="1" s="1"/>
  <c r="BM399" i="1"/>
  <c r="BD399" i="1"/>
  <c r="BC399" i="1"/>
  <c r="BB399" i="1"/>
  <c r="BA399" i="1"/>
  <c r="AZ399" i="1"/>
  <c r="AY399" i="1"/>
  <c r="BE399" i="1" s="1" a="1"/>
  <c r="BE399" i="1" s="1"/>
  <c r="AX399" i="1"/>
  <c r="M399" i="1"/>
  <c r="EM398" i="1"/>
  <c r="DU398" i="1"/>
  <c r="DT398" i="1"/>
  <c r="DN398" i="1"/>
  <c r="DM398" i="1"/>
  <c r="DL398" i="1"/>
  <c r="DK398" i="1"/>
  <c r="DI398" i="1"/>
  <c r="DJ398" i="1" s="1"/>
  <c r="DC398" i="1"/>
  <c r="CX398" i="1"/>
  <c r="CN398" i="1"/>
  <c r="CR398" i="1" s="1"/>
  <c r="BV398" i="1"/>
  <c r="BX398" i="1" s="1"/>
  <c r="BU398" i="1"/>
  <c r="BN398" i="1"/>
  <c r="BO398" i="1" s="1"/>
  <c r="BM398" i="1"/>
  <c r="BD398" i="1"/>
  <c r="BC398" i="1"/>
  <c r="BB398" i="1"/>
  <c r="BA398" i="1"/>
  <c r="AZ398" i="1"/>
  <c r="BF398" i="1" s="1" a="1"/>
  <c r="BF398" i="1" s="1"/>
  <c r="AY398" i="1"/>
  <c r="BE398" i="1" s="1" a="1"/>
  <c r="BE398" i="1" s="1"/>
  <c r="AX398" i="1"/>
  <c r="M398" i="1"/>
  <c r="EM623" i="1"/>
  <c r="DU623" i="1"/>
  <c r="DT623" i="1"/>
  <c r="DN623" i="1"/>
  <c r="DM623" i="1"/>
  <c r="DL623" i="1"/>
  <c r="DK623" i="1"/>
  <c r="DI623" i="1"/>
  <c r="DJ623" i="1" s="1"/>
  <c r="DC623" i="1"/>
  <c r="CX623" i="1"/>
  <c r="CN623" i="1"/>
  <c r="CO623" i="1" s="1"/>
  <c r="BV623" i="1"/>
  <c r="BX623" i="1" s="1"/>
  <c r="BU623" i="1"/>
  <c r="BN623" i="1"/>
  <c r="BO623" i="1" s="1"/>
  <c r="BD623" i="1"/>
  <c r="BC623" i="1"/>
  <c r="BB623" i="1"/>
  <c r="BA623" i="1"/>
  <c r="AZ623" i="1"/>
  <c r="AY623" i="1"/>
  <c r="BE623" i="1" s="1" a="1"/>
  <c r="BE623" i="1" s="1"/>
  <c r="AX623" i="1"/>
  <c r="M623" i="1"/>
  <c r="EM750" i="1"/>
  <c r="DU750" i="1"/>
  <c r="DT750" i="1"/>
  <c r="DN750" i="1"/>
  <c r="DM750" i="1"/>
  <c r="DL750" i="1"/>
  <c r="DK750" i="1"/>
  <c r="DI750" i="1"/>
  <c r="DJ750" i="1" s="1"/>
  <c r="DC750" i="1"/>
  <c r="CX750" i="1"/>
  <c r="BV750" i="1"/>
  <c r="BX750" i="1" s="1"/>
  <c r="BU750" i="1"/>
  <c r="BK750" i="1"/>
  <c r="BN750" i="1" s="1"/>
  <c r="BO750" i="1" s="1"/>
  <c r="BD750" i="1"/>
  <c r="BC750" i="1"/>
  <c r="BB750" i="1"/>
  <c r="BA750" i="1"/>
  <c r="AZ750" i="1"/>
  <c r="AY750" i="1"/>
  <c r="BE750" i="1" s="1" a="1"/>
  <c r="BE750" i="1" s="1"/>
  <c r="AX750" i="1"/>
  <c r="M750" i="1"/>
  <c r="EM749" i="1"/>
  <c r="DU749" i="1"/>
  <c r="DT749" i="1"/>
  <c r="DN749" i="1"/>
  <c r="DM749" i="1"/>
  <c r="DL749" i="1"/>
  <c r="DK749" i="1"/>
  <c r="DI749" i="1"/>
  <c r="DJ749" i="1" s="1"/>
  <c r="DC749" i="1"/>
  <c r="CX749" i="1"/>
  <c r="BV749" i="1"/>
  <c r="BX749" i="1" s="1"/>
  <c r="BU749" i="1"/>
  <c r="BK749" i="1"/>
  <c r="BM749" i="1" s="1"/>
  <c r="BD749" i="1"/>
  <c r="BC749" i="1"/>
  <c r="BB749" i="1"/>
  <c r="BA749" i="1"/>
  <c r="AZ749" i="1"/>
  <c r="AY749" i="1"/>
  <c r="BE749" i="1" s="1" a="1"/>
  <c r="BE749" i="1" s="1"/>
  <c r="AX749" i="1"/>
  <c r="M749" i="1"/>
  <c r="EM1050" i="1"/>
  <c r="DU1050" i="1"/>
  <c r="DT1050" i="1"/>
  <c r="DN1050" i="1"/>
  <c r="DM1050" i="1"/>
  <c r="DL1050" i="1"/>
  <c r="DK1050" i="1"/>
  <c r="DI1050" i="1"/>
  <c r="DJ1050" i="1" s="1"/>
  <c r="DC1050" i="1"/>
  <c r="CX1050" i="1"/>
  <c r="CN1050" i="1"/>
  <c r="CS1050" i="1" s="1"/>
  <c r="BX1050" i="1"/>
  <c r="BU1050" i="1"/>
  <c r="BN1050" i="1"/>
  <c r="BO1050" i="1" s="1"/>
  <c r="BD1050" i="1"/>
  <c r="BC1050" i="1"/>
  <c r="BB1050" i="1"/>
  <c r="BA1050" i="1"/>
  <c r="AZ1050" i="1"/>
  <c r="AY1050" i="1"/>
  <c r="BE1050" i="1" s="1" a="1"/>
  <c r="BE1050" i="1" s="1"/>
  <c r="AX1050" i="1"/>
  <c r="M1050" i="1"/>
  <c r="EM1049" i="1"/>
  <c r="DU1049" i="1"/>
  <c r="DT1049" i="1"/>
  <c r="DN1049" i="1"/>
  <c r="DM1049" i="1"/>
  <c r="DL1049" i="1"/>
  <c r="DK1049" i="1"/>
  <c r="DI1049" i="1"/>
  <c r="DJ1049" i="1" s="1"/>
  <c r="DC1049" i="1"/>
  <c r="CX1049" i="1"/>
  <c r="CN1049" i="1"/>
  <c r="CS1049" i="1" s="1"/>
  <c r="BX1049" i="1"/>
  <c r="BU1049" i="1"/>
  <c r="BN1049" i="1"/>
  <c r="BO1049" i="1" s="1"/>
  <c r="BD1049" i="1"/>
  <c r="BC1049" i="1"/>
  <c r="BB1049" i="1"/>
  <c r="BA1049" i="1"/>
  <c r="AZ1049" i="1"/>
  <c r="BF1049" i="1" s="1" a="1"/>
  <c r="BF1049" i="1" s="1"/>
  <c r="AY1049" i="1"/>
  <c r="BE1049" i="1" s="1" a="1"/>
  <c r="BE1049" i="1" s="1"/>
  <c r="AX1049" i="1"/>
  <c r="M1049" i="1"/>
  <c r="EM1048" i="1"/>
  <c r="DU1048" i="1"/>
  <c r="DT1048" i="1"/>
  <c r="DN1048" i="1"/>
  <c r="DM1048" i="1"/>
  <c r="DL1048" i="1"/>
  <c r="DK1048" i="1"/>
  <c r="DI1048" i="1"/>
  <c r="DJ1048" i="1" s="1"/>
  <c r="DC1048" i="1"/>
  <c r="CX1048" i="1"/>
  <c r="CN1048" i="1"/>
  <c r="CR1048" i="1" s="1"/>
  <c r="BX1048" i="1"/>
  <c r="BU1048" i="1"/>
  <c r="BN1048" i="1"/>
  <c r="BO1048" i="1" s="1"/>
  <c r="BD1048" i="1"/>
  <c r="BC1048" i="1"/>
  <c r="BB1048" i="1"/>
  <c r="BA1048" i="1"/>
  <c r="AZ1048" i="1"/>
  <c r="AY1048" i="1"/>
  <c r="BE1048" i="1" s="1" a="1"/>
  <c r="BE1048" i="1" s="1"/>
  <c r="AX1048" i="1"/>
  <c r="M1048" i="1"/>
  <c r="EM1053" i="1"/>
  <c r="DU1053" i="1"/>
  <c r="DT1053" i="1"/>
  <c r="DN1053" i="1"/>
  <c r="DM1053" i="1"/>
  <c r="DL1053" i="1"/>
  <c r="DK1053" i="1"/>
  <c r="DI1053" i="1"/>
  <c r="DJ1053" i="1" s="1"/>
  <c r="DC1053" i="1"/>
  <c r="CX1053" i="1"/>
  <c r="CN1053" i="1"/>
  <c r="CR1053" i="1" s="1"/>
  <c r="BX1053" i="1"/>
  <c r="BU1053" i="1"/>
  <c r="BN1053" i="1"/>
  <c r="BO1053" i="1" s="1"/>
  <c r="BD1053" i="1"/>
  <c r="BC1053" i="1"/>
  <c r="BB1053" i="1"/>
  <c r="BA1053" i="1"/>
  <c r="AZ1053" i="1"/>
  <c r="AY1053" i="1"/>
  <c r="BE1053" i="1" s="1" a="1"/>
  <c r="BE1053" i="1" s="1"/>
  <c r="AX1053" i="1"/>
  <c r="M1053" i="1"/>
  <c r="EM1047" i="1"/>
  <c r="DU1047" i="1"/>
  <c r="DT1047" i="1"/>
  <c r="DN1047" i="1"/>
  <c r="DM1047" i="1"/>
  <c r="DL1047" i="1"/>
  <c r="DK1047" i="1"/>
  <c r="DI1047" i="1"/>
  <c r="DJ1047" i="1" s="1"/>
  <c r="DC1047" i="1"/>
  <c r="CX1047" i="1"/>
  <c r="CN1047" i="1"/>
  <c r="CR1047" i="1" s="1"/>
  <c r="BX1047" i="1"/>
  <c r="BU1047" i="1"/>
  <c r="BN1047" i="1"/>
  <c r="BO1047" i="1" s="1"/>
  <c r="BD1047" i="1"/>
  <c r="BC1047" i="1"/>
  <c r="BB1047" i="1"/>
  <c r="BA1047" i="1"/>
  <c r="AZ1047" i="1"/>
  <c r="AY1047" i="1"/>
  <c r="BE1047" i="1" s="1" a="1"/>
  <c r="BE1047" i="1" s="1"/>
  <c r="AX1047" i="1"/>
  <c r="M1047" i="1"/>
  <c r="EM1052" i="1"/>
  <c r="DU1052" i="1"/>
  <c r="DT1052" i="1"/>
  <c r="DN1052" i="1"/>
  <c r="DM1052" i="1"/>
  <c r="DL1052" i="1"/>
  <c r="DK1052" i="1"/>
  <c r="DI1052" i="1"/>
  <c r="DJ1052" i="1" s="1"/>
  <c r="DC1052" i="1"/>
  <c r="CX1052" i="1"/>
  <c r="CN1052" i="1"/>
  <c r="CR1052" i="1" s="1"/>
  <c r="BX1052" i="1"/>
  <c r="BU1052" i="1"/>
  <c r="BN1052" i="1"/>
  <c r="BO1052" i="1" s="1"/>
  <c r="BD1052" i="1"/>
  <c r="BC1052" i="1"/>
  <c r="BB1052" i="1"/>
  <c r="BA1052" i="1"/>
  <c r="AZ1052" i="1"/>
  <c r="BF1052" i="1" s="1" a="1"/>
  <c r="BF1052" i="1" s="1"/>
  <c r="AY1052" i="1"/>
  <c r="BE1052" i="1" s="1" a="1"/>
  <c r="BE1052" i="1" s="1"/>
  <c r="AX1052" i="1"/>
  <c r="M1052" i="1"/>
  <c r="EM1051" i="1"/>
  <c r="DU1051" i="1"/>
  <c r="DT1051" i="1"/>
  <c r="DN1051" i="1"/>
  <c r="DM1051" i="1"/>
  <c r="DL1051" i="1"/>
  <c r="DK1051" i="1"/>
  <c r="DI1051" i="1"/>
  <c r="DJ1051" i="1" s="1"/>
  <c r="DC1051" i="1"/>
  <c r="CX1051" i="1"/>
  <c r="CN1051" i="1"/>
  <c r="CR1051" i="1" s="1"/>
  <c r="BX1051" i="1"/>
  <c r="BU1051" i="1"/>
  <c r="BN1051" i="1"/>
  <c r="BO1051" i="1" s="1"/>
  <c r="BD1051" i="1"/>
  <c r="BC1051" i="1"/>
  <c r="BB1051" i="1"/>
  <c r="BA1051" i="1"/>
  <c r="AZ1051" i="1"/>
  <c r="AY1051" i="1"/>
  <c r="BE1051" i="1" s="1" a="1"/>
  <c r="BE1051" i="1" s="1"/>
  <c r="AX1051" i="1"/>
  <c r="M1051" i="1"/>
  <c r="EM600" i="1"/>
  <c r="DU600" i="1"/>
  <c r="DT600" i="1"/>
  <c r="DN600" i="1"/>
  <c r="DM600" i="1"/>
  <c r="DL600" i="1"/>
  <c r="DK600" i="1"/>
  <c r="DI600" i="1"/>
  <c r="DJ600" i="1" s="1"/>
  <c r="DC600" i="1"/>
  <c r="CX600" i="1"/>
  <c r="CN600" i="1"/>
  <c r="CS600" i="1" s="1"/>
  <c r="BX600" i="1"/>
  <c r="BU600" i="1"/>
  <c r="BN600" i="1"/>
  <c r="BO600" i="1" s="1"/>
  <c r="BD600" i="1"/>
  <c r="BC600" i="1"/>
  <c r="BB600" i="1"/>
  <c r="BA600" i="1"/>
  <c r="AZ600" i="1"/>
  <c r="AY600" i="1"/>
  <c r="BE600" i="1" s="1" a="1"/>
  <c r="BE600" i="1" s="1"/>
  <c r="AX600" i="1"/>
  <c r="M600" i="1"/>
  <c r="EM587" i="1"/>
  <c r="DU587" i="1"/>
  <c r="DT587" i="1"/>
  <c r="DN587" i="1"/>
  <c r="DM587" i="1"/>
  <c r="DL587" i="1"/>
  <c r="DK587" i="1"/>
  <c r="DI587" i="1"/>
  <c r="DJ587" i="1" s="1"/>
  <c r="DC587" i="1"/>
  <c r="CX587" i="1"/>
  <c r="CN587" i="1"/>
  <c r="CS587" i="1" s="1"/>
  <c r="BX587" i="1"/>
  <c r="BN587" i="1"/>
  <c r="BO587" i="1" s="1"/>
  <c r="BM587" i="1"/>
  <c r="BD587" i="1"/>
  <c r="BC587" i="1"/>
  <c r="BB587" i="1"/>
  <c r="BA587" i="1"/>
  <c r="AZ587" i="1"/>
  <c r="AY587" i="1"/>
  <c r="BE587" i="1" s="1" a="1"/>
  <c r="BE587" i="1" s="1"/>
  <c r="AX587" i="1"/>
  <c r="M587" i="1"/>
  <c r="EM586" i="1"/>
  <c r="DU586" i="1"/>
  <c r="DT586" i="1"/>
  <c r="DN586" i="1"/>
  <c r="DM586" i="1"/>
  <c r="DL586" i="1"/>
  <c r="DK586" i="1"/>
  <c r="DI586" i="1"/>
  <c r="DJ586" i="1" s="1"/>
  <c r="DC586" i="1"/>
  <c r="CX586" i="1"/>
  <c r="CN586" i="1"/>
  <c r="CR586" i="1" s="1"/>
  <c r="BX586" i="1"/>
  <c r="BN586" i="1"/>
  <c r="BO586" i="1" s="1"/>
  <c r="BM586" i="1"/>
  <c r="BD586" i="1"/>
  <c r="BC586" i="1"/>
  <c r="BB586" i="1"/>
  <c r="BA586" i="1"/>
  <c r="AZ586" i="1"/>
  <c r="BF586" i="1" s="1" a="1"/>
  <c r="BF586" i="1" s="1"/>
  <c r="AY586" i="1"/>
  <c r="BE586" i="1" s="1" a="1"/>
  <c r="BE586" i="1" s="1"/>
  <c r="AX586" i="1"/>
  <c r="M586" i="1"/>
  <c r="EM599" i="1"/>
  <c r="DU599" i="1"/>
  <c r="DT599" i="1"/>
  <c r="DN599" i="1"/>
  <c r="DM599" i="1"/>
  <c r="DL599" i="1"/>
  <c r="DK599" i="1"/>
  <c r="DI599" i="1"/>
  <c r="DJ599" i="1" s="1"/>
  <c r="DC599" i="1"/>
  <c r="CX599" i="1"/>
  <c r="CN599" i="1"/>
  <c r="CS599" i="1" s="1"/>
  <c r="BX599" i="1"/>
  <c r="BN599" i="1"/>
  <c r="BO599" i="1" s="1"/>
  <c r="BD599" i="1"/>
  <c r="BC599" i="1"/>
  <c r="BB599" i="1"/>
  <c r="BA599" i="1"/>
  <c r="AZ599" i="1"/>
  <c r="AY599" i="1"/>
  <c r="BE599" i="1" s="1" a="1"/>
  <c r="BE599" i="1" s="1"/>
  <c r="AX599" i="1"/>
  <c r="M599" i="1"/>
  <c r="EM598" i="1"/>
  <c r="DU598" i="1"/>
  <c r="DT598" i="1"/>
  <c r="DN598" i="1"/>
  <c r="DM598" i="1"/>
  <c r="DL598" i="1"/>
  <c r="DK598" i="1"/>
  <c r="DI598" i="1"/>
  <c r="DJ598" i="1" s="1"/>
  <c r="DC598" i="1"/>
  <c r="CX598" i="1"/>
  <c r="CN598" i="1"/>
  <c r="BX598" i="1"/>
  <c r="BU598" i="1"/>
  <c r="BN598" i="1"/>
  <c r="BO598" i="1" s="1"/>
  <c r="BD598" i="1"/>
  <c r="BC598" i="1"/>
  <c r="BB598" i="1"/>
  <c r="BA598" i="1"/>
  <c r="AZ598" i="1"/>
  <c r="BF598" i="1" s="1" a="1"/>
  <c r="BF598" i="1" s="1"/>
  <c r="AY598" i="1"/>
  <c r="BE598" i="1" s="1" a="1"/>
  <c r="BE598" i="1" s="1"/>
  <c r="AX598" i="1"/>
  <c r="M598" i="1"/>
  <c r="EM597" i="1"/>
  <c r="DU597" i="1"/>
  <c r="DT597" i="1"/>
  <c r="DN597" i="1"/>
  <c r="DM597" i="1"/>
  <c r="DL597" i="1"/>
  <c r="DK597" i="1"/>
  <c r="DI597" i="1"/>
  <c r="DJ597" i="1" s="1"/>
  <c r="DC597" i="1"/>
  <c r="CX597" i="1"/>
  <c r="CN597" i="1"/>
  <c r="CO597" i="1" s="1"/>
  <c r="BX597" i="1"/>
  <c r="BN597" i="1"/>
  <c r="BO597" i="1" s="1"/>
  <c r="BD597" i="1"/>
  <c r="BC597" i="1"/>
  <c r="BB597" i="1"/>
  <c r="BA597" i="1"/>
  <c r="AZ597" i="1"/>
  <c r="BF597" i="1" s="1" a="1"/>
  <c r="BF597" i="1" s="1"/>
  <c r="AY597" i="1"/>
  <c r="BE597" i="1" s="1" a="1"/>
  <c r="BE597" i="1" s="1"/>
  <c r="AX597" i="1"/>
  <c r="M597" i="1"/>
  <c r="EM585" i="1"/>
  <c r="DU585" i="1"/>
  <c r="DT585" i="1"/>
  <c r="DN585" i="1"/>
  <c r="DM585" i="1"/>
  <c r="DL585" i="1"/>
  <c r="DK585" i="1"/>
  <c r="DI585" i="1"/>
  <c r="DJ585" i="1" s="1"/>
  <c r="DC585" i="1"/>
  <c r="CX585" i="1"/>
  <c r="CN585" i="1"/>
  <c r="CO585" i="1" s="1"/>
  <c r="BX585" i="1"/>
  <c r="BN585" i="1"/>
  <c r="BO585" i="1" s="1"/>
  <c r="BM585" i="1"/>
  <c r="BD585" i="1"/>
  <c r="BC585" i="1"/>
  <c r="BB585" i="1"/>
  <c r="BA585" i="1"/>
  <c r="AZ585" i="1"/>
  <c r="AY585" i="1"/>
  <c r="BE585" i="1" s="1" a="1"/>
  <c r="BE585" i="1" s="1"/>
  <c r="AX585" i="1"/>
  <c r="M585" i="1"/>
  <c r="EM1046" i="1"/>
  <c r="DU1046" i="1"/>
  <c r="DT1046" i="1"/>
  <c r="DN1046" i="1"/>
  <c r="DM1046" i="1"/>
  <c r="DL1046" i="1"/>
  <c r="DK1046" i="1"/>
  <c r="DI1046" i="1"/>
  <c r="DJ1046" i="1" s="1"/>
  <c r="DC1046" i="1"/>
  <c r="CX1046" i="1"/>
  <c r="BV1046" i="1"/>
  <c r="BX1046" i="1" s="1"/>
  <c r="BU1046" i="1"/>
  <c r="BK1046" i="1"/>
  <c r="BM1046" i="1" s="1"/>
  <c r="BD1046" i="1"/>
  <c r="BC1046" i="1"/>
  <c r="BB1046" i="1"/>
  <c r="BA1046" i="1"/>
  <c r="AZ1046" i="1"/>
  <c r="BF1046" i="1" s="1" a="1"/>
  <c r="BF1046" i="1" s="1"/>
  <c r="AY1046" i="1"/>
  <c r="BE1046" i="1" s="1" a="1"/>
  <c r="BE1046" i="1" s="1"/>
  <c r="AX1046" i="1"/>
  <c r="M1046" i="1"/>
  <c r="EM1045" i="1"/>
  <c r="DU1045" i="1"/>
  <c r="DT1045" i="1"/>
  <c r="DN1045" i="1"/>
  <c r="DM1045" i="1"/>
  <c r="DL1045" i="1"/>
  <c r="DK1045" i="1"/>
  <c r="DI1045" i="1"/>
  <c r="DJ1045" i="1" s="1"/>
  <c r="DC1045" i="1"/>
  <c r="CX1045" i="1"/>
  <c r="BV1045" i="1"/>
  <c r="BX1045" i="1" s="1"/>
  <c r="BU1045" i="1"/>
  <c r="BK1045" i="1"/>
  <c r="BM1045" i="1" s="1"/>
  <c r="BD1045" i="1"/>
  <c r="BC1045" i="1"/>
  <c r="BB1045" i="1"/>
  <c r="BA1045" i="1"/>
  <c r="AZ1045" i="1"/>
  <c r="BF1045" i="1" s="1" a="1"/>
  <c r="BF1045" i="1" s="1"/>
  <c r="AY1045" i="1"/>
  <c r="BE1045" i="1" s="1" a="1"/>
  <c r="BE1045" i="1" s="1"/>
  <c r="AX1045" i="1"/>
  <c r="M1045" i="1"/>
  <c r="EM1092" i="1"/>
  <c r="DU1092" i="1"/>
  <c r="DT1092" i="1"/>
  <c r="DN1092" i="1"/>
  <c r="DM1092" i="1"/>
  <c r="DL1092" i="1"/>
  <c r="DK1092" i="1"/>
  <c r="DI1092" i="1"/>
  <c r="DJ1092" i="1" s="1"/>
  <c r="DC1092" i="1"/>
  <c r="CX1092" i="1"/>
  <c r="BT1092" i="1"/>
  <c r="BS1092" i="1"/>
  <c r="BL1092" i="1"/>
  <c r="CN1092" i="1" s="1"/>
  <c r="BD1092" i="1"/>
  <c r="BC1092" i="1"/>
  <c r="BB1092" i="1"/>
  <c r="BA1092" i="1"/>
  <c r="AZ1092" i="1"/>
  <c r="AY1092" i="1"/>
  <c r="BE1092" i="1" s="1" a="1"/>
  <c r="BE1092" i="1" s="1"/>
  <c r="AX1092" i="1"/>
  <c r="M1092" i="1"/>
  <c r="EM1091" i="1"/>
  <c r="DU1091" i="1"/>
  <c r="DT1091" i="1"/>
  <c r="DN1091" i="1"/>
  <c r="DM1091" i="1"/>
  <c r="DL1091" i="1"/>
  <c r="DK1091" i="1"/>
  <c r="DI1091" i="1"/>
  <c r="DJ1091" i="1" s="1"/>
  <c r="DC1091" i="1"/>
  <c r="CX1091" i="1"/>
  <c r="CN1091" i="1"/>
  <c r="BT1091" i="1"/>
  <c r="BS1091" i="1"/>
  <c r="BN1091" i="1"/>
  <c r="BO1091" i="1" s="1"/>
  <c r="BD1091" i="1"/>
  <c r="BC1091" i="1"/>
  <c r="BB1091" i="1"/>
  <c r="BA1091" i="1"/>
  <c r="AZ1091" i="1"/>
  <c r="BF1091" i="1" s="1" a="1"/>
  <c r="BF1091" i="1" s="1"/>
  <c r="AY1091" i="1"/>
  <c r="BE1091" i="1" s="1" a="1"/>
  <c r="BE1091" i="1" s="1"/>
  <c r="AX1091" i="1"/>
  <c r="M1091" i="1"/>
  <c r="EM1090" i="1"/>
  <c r="DU1090" i="1"/>
  <c r="DT1090" i="1"/>
  <c r="DN1090" i="1"/>
  <c r="DM1090" i="1"/>
  <c r="DL1090" i="1"/>
  <c r="DK1090" i="1"/>
  <c r="DI1090" i="1"/>
  <c r="DJ1090" i="1" s="1"/>
  <c r="DC1090" i="1"/>
  <c r="CX1090" i="1"/>
  <c r="BT1090" i="1"/>
  <c r="BS1090" i="1"/>
  <c r="BL1090" i="1"/>
  <c r="CN1090" i="1" s="1"/>
  <c r="CP1090" i="1" s="1"/>
  <c r="BD1090" i="1"/>
  <c r="BC1090" i="1"/>
  <c r="BB1090" i="1"/>
  <c r="BA1090" i="1"/>
  <c r="AZ1090" i="1"/>
  <c r="BF1090" i="1" s="1" a="1"/>
  <c r="BF1090" i="1" s="1"/>
  <c r="AY1090" i="1"/>
  <c r="BE1090" i="1" s="1" a="1"/>
  <c r="BE1090" i="1" s="1"/>
  <c r="AX1090" i="1"/>
  <c r="M1090" i="1"/>
  <c r="EM1089" i="1"/>
  <c r="DU1089" i="1"/>
  <c r="DT1089" i="1"/>
  <c r="DN1089" i="1"/>
  <c r="DM1089" i="1"/>
  <c r="DL1089" i="1"/>
  <c r="DK1089" i="1"/>
  <c r="DI1089" i="1"/>
  <c r="DJ1089" i="1" s="1"/>
  <c r="DC1089" i="1"/>
  <c r="CX1089" i="1"/>
  <c r="CN1089" i="1"/>
  <c r="CR1089" i="1" s="1"/>
  <c r="BV1089" i="1"/>
  <c r="BX1089" i="1" s="1"/>
  <c r="BU1089" i="1"/>
  <c r="BN1089" i="1"/>
  <c r="BO1089" i="1" s="1"/>
  <c r="BD1089" i="1"/>
  <c r="BC1089" i="1"/>
  <c r="BB1089" i="1"/>
  <c r="BA1089" i="1"/>
  <c r="AZ1089" i="1"/>
  <c r="AY1089" i="1"/>
  <c r="BE1089" i="1" s="1" a="1"/>
  <c r="BE1089" i="1" s="1"/>
  <c r="AX1089" i="1"/>
  <c r="M1089" i="1"/>
  <c r="EM778" i="1"/>
  <c r="DU778" i="1"/>
  <c r="DT778" i="1"/>
  <c r="DN778" i="1"/>
  <c r="DM778" i="1"/>
  <c r="DL778" i="1"/>
  <c r="DK778" i="1"/>
  <c r="DI778" i="1"/>
  <c r="DJ778" i="1" s="1"/>
  <c r="DC778" i="1"/>
  <c r="CX778" i="1"/>
  <c r="BT778" i="1"/>
  <c r="BS778" i="1"/>
  <c r="BL778" i="1"/>
  <c r="BK778" i="1"/>
  <c r="BD778" i="1"/>
  <c r="BC778" i="1"/>
  <c r="BB778" i="1"/>
  <c r="BA778" i="1"/>
  <c r="AZ778" i="1"/>
  <c r="AY778" i="1"/>
  <c r="BE778" i="1" s="1" a="1"/>
  <c r="BE778" i="1" s="1"/>
  <c r="AX778" i="1"/>
  <c r="M778" i="1"/>
  <c r="EM617" i="1"/>
  <c r="DU617" i="1"/>
  <c r="DT617" i="1"/>
  <c r="DN617" i="1"/>
  <c r="DM617" i="1"/>
  <c r="DL617" i="1"/>
  <c r="DK617" i="1"/>
  <c r="DI617" i="1"/>
  <c r="DJ617" i="1" s="1"/>
  <c r="DC617" i="1"/>
  <c r="CX617" i="1"/>
  <c r="BV617" i="1"/>
  <c r="BX617" i="1" s="1"/>
  <c r="BU617" i="1"/>
  <c r="BO617" i="1"/>
  <c r="BK617" i="1"/>
  <c r="BD617" i="1"/>
  <c r="BC617" i="1"/>
  <c r="BB617" i="1"/>
  <c r="BA617" i="1"/>
  <c r="AZ617" i="1"/>
  <c r="AY617" i="1"/>
  <c r="AX617" i="1"/>
  <c r="M617" i="1"/>
  <c r="EM616" i="1"/>
  <c r="DU616" i="1"/>
  <c r="DT616" i="1"/>
  <c r="DN616" i="1"/>
  <c r="DM616" i="1"/>
  <c r="DL616" i="1"/>
  <c r="DK616" i="1"/>
  <c r="DI616" i="1"/>
  <c r="DJ616" i="1" s="1"/>
  <c r="DC616" i="1"/>
  <c r="CX616" i="1"/>
  <c r="BV616" i="1"/>
  <c r="BX616" i="1" s="1"/>
  <c r="BU616" i="1"/>
  <c r="BO616" i="1"/>
  <c r="BK616" i="1"/>
  <c r="CN616" i="1" s="1"/>
  <c r="BD616" i="1"/>
  <c r="BC616" i="1"/>
  <c r="BB616" i="1"/>
  <c r="BA616" i="1"/>
  <c r="AZ616" i="1"/>
  <c r="BF616" i="1" s="1" a="1"/>
  <c r="BF616" i="1" s="1"/>
  <c r="AY616" i="1"/>
  <c r="AX616" i="1"/>
  <c r="M616" i="1"/>
  <c r="EM615" i="1"/>
  <c r="DU615" i="1"/>
  <c r="DT615" i="1"/>
  <c r="DN615" i="1"/>
  <c r="DM615" i="1"/>
  <c r="DL615" i="1"/>
  <c r="DK615" i="1"/>
  <c r="DI615" i="1"/>
  <c r="DJ615" i="1" s="1"/>
  <c r="DC615" i="1"/>
  <c r="CX615" i="1"/>
  <c r="CN615" i="1"/>
  <c r="CO615" i="1" s="1"/>
  <c r="BX615" i="1"/>
  <c r="BU615" i="1"/>
  <c r="BN615" i="1"/>
  <c r="BO615" i="1" s="1"/>
  <c r="BM615" i="1"/>
  <c r="BD615" i="1"/>
  <c r="BC615" i="1"/>
  <c r="BB615" i="1"/>
  <c r="BA615" i="1"/>
  <c r="AZ615" i="1"/>
  <c r="AY615" i="1"/>
  <c r="AX615" i="1"/>
  <c r="M615" i="1"/>
  <c r="EM614" i="1"/>
  <c r="DU614" i="1"/>
  <c r="DT614" i="1"/>
  <c r="DN614" i="1"/>
  <c r="DM614" i="1"/>
  <c r="DL614" i="1"/>
  <c r="DK614" i="1"/>
  <c r="DI614" i="1"/>
  <c r="DJ614" i="1" s="1"/>
  <c r="DC614" i="1"/>
  <c r="CX614" i="1"/>
  <c r="CN614" i="1"/>
  <c r="CP614" i="1" s="1"/>
  <c r="BX614" i="1"/>
  <c r="BU614" i="1"/>
  <c r="BN614" i="1"/>
  <c r="BO614" i="1" s="1"/>
  <c r="BM614" i="1"/>
  <c r="BD614" i="1"/>
  <c r="BC614" i="1"/>
  <c r="BB614" i="1"/>
  <c r="BA614" i="1"/>
  <c r="AZ614" i="1"/>
  <c r="AY614" i="1"/>
  <c r="AX614" i="1"/>
  <c r="M614" i="1"/>
  <c r="EM580" i="1"/>
  <c r="DU580" i="1"/>
  <c r="DT580" i="1"/>
  <c r="DN580" i="1"/>
  <c r="DM580" i="1"/>
  <c r="DL580" i="1"/>
  <c r="DK580" i="1"/>
  <c r="DI580" i="1"/>
  <c r="DJ580" i="1" s="1"/>
  <c r="DC580" i="1"/>
  <c r="CX580" i="1"/>
  <c r="CN580" i="1"/>
  <c r="BX580" i="1"/>
  <c r="BN580" i="1"/>
  <c r="BO580" i="1" s="1"/>
  <c r="BM580" i="1"/>
  <c r="BD580" i="1"/>
  <c r="BC580" i="1"/>
  <c r="BB580" i="1"/>
  <c r="BA580" i="1"/>
  <c r="AZ580" i="1"/>
  <c r="AY580" i="1"/>
  <c r="BE580" i="1" s="1" a="1"/>
  <c r="BE580" i="1" s="1"/>
  <c r="AX580" i="1"/>
  <c r="M580" i="1"/>
  <c r="EM1088" i="1"/>
  <c r="DU1088" i="1"/>
  <c r="DT1088" i="1"/>
  <c r="DN1088" i="1"/>
  <c r="DM1088" i="1"/>
  <c r="DL1088" i="1"/>
  <c r="DK1088" i="1"/>
  <c r="DI1088" i="1"/>
  <c r="DJ1088" i="1" s="1"/>
  <c r="DC1088" i="1"/>
  <c r="CX1088" i="1"/>
  <c r="CN1088" i="1"/>
  <c r="CS1088" i="1" s="1"/>
  <c r="BV1088" i="1"/>
  <c r="BX1088" i="1" s="1"/>
  <c r="BN1088" i="1"/>
  <c r="BO1088" i="1" s="1"/>
  <c r="BM1088" i="1"/>
  <c r="BD1088" i="1"/>
  <c r="BC1088" i="1"/>
  <c r="BB1088" i="1"/>
  <c r="BA1088" i="1"/>
  <c r="AZ1088" i="1"/>
  <c r="AY1088" i="1"/>
  <c r="BE1088" i="1" s="1" a="1"/>
  <c r="BE1088" i="1" s="1"/>
  <c r="AX1088" i="1"/>
  <c r="M1088" i="1"/>
  <c r="EM1087" i="1"/>
  <c r="DU1087" i="1"/>
  <c r="DT1087" i="1"/>
  <c r="DN1087" i="1"/>
  <c r="DM1087" i="1"/>
  <c r="DL1087" i="1"/>
  <c r="DK1087" i="1"/>
  <c r="DI1087" i="1"/>
  <c r="DJ1087" i="1" s="1"/>
  <c r="DC1087" i="1"/>
  <c r="CX1087" i="1"/>
  <c r="CN1087" i="1"/>
  <c r="BV1087" i="1"/>
  <c r="BX1087" i="1" s="1"/>
  <c r="BN1087" i="1"/>
  <c r="BO1087" i="1" s="1"/>
  <c r="BM1087" i="1"/>
  <c r="BD1087" i="1"/>
  <c r="BC1087" i="1"/>
  <c r="BB1087" i="1"/>
  <c r="BA1087" i="1"/>
  <c r="AZ1087" i="1"/>
  <c r="BF1087" i="1" s="1" a="1"/>
  <c r="BF1087" i="1" s="1"/>
  <c r="AY1087" i="1"/>
  <c r="BE1087" i="1" s="1" a="1"/>
  <c r="BE1087" i="1" s="1"/>
  <c r="AX1087" i="1"/>
  <c r="M1087" i="1"/>
  <c r="EM1086" i="1"/>
  <c r="DU1086" i="1"/>
  <c r="DT1086" i="1"/>
  <c r="DN1086" i="1"/>
  <c r="DM1086" i="1"/>
  <c r="DL1086" i="1"/>
  <c r="DK1086" i="1"/>
  <c r="DI1086" i="1"/>
  <c r="DJ1086" i="1" s="1"/>
  <c r="DC1086" i="1"/>
  <c r="CX1086" i="1"/>
  <c r="CN1086" i="1"/>
  <c r="CO1086" i="1" s="1"/>
  <c r="BX1086" i="1"/>
  <c r="BN1086" i="1"/>
  <c r="BO1086" i="1" s="1"/>
  <c r="BM1086" i="1"/>
  <c r="BD1086" i="1"/>
  <c r="BC1086" i="1"/>
  <c r="BB1086" i="1"/>
  <c r="BA1086" i="1"/>
  <c r="AZ1086" i="1"/>
  <c r="AY1086" i="1"/>
  <c r="BE1086" i="1" s="1" a="1"/>
  <c r="BE1086" i="1" s="1"/>
  <c r="AX1086" i="1"/>
  <c r="M1086" i="1"/>
  <c r="EM1085" i="1"/>
  <c r="DU1085" i="1"/>
  <c r="DT1085" i="1"/>
  <c r="DN1085" i="1"/>
  <c r="DM1085" i="1"/>
  <c r="DL1085" i="1"/>
  <c r="DK1085" i="1"/>
  <c r="DI1085" i="1"/>
  <c r="DJ1085" i="1" s="1"/>
  <c r="DC1085" i="1"/>
  <c r="CX1085" i="1"/>
  <c r="CN1085" i="1"/>
  <c r="CS1085" i="1" s="1"/>
  <c r="BV1085" i="1"/>
  <c r="BX1085" i="1" s="1"/>
  <c r="BN1085" i="1"/>
  <c r="BO1085" i="1" s="1"/>
  <c r="BM1085" i="1"/>
  <c r="BD1085" i="1"/>
  <c r="BC1085" i="1"/>
  <c r="BB1085" i="1"/>
  <c r="BA1085" i="1"/>
  <c r="AZ1085" i="1"/>
  <c r="AY1085" i="1"/>
  <c r="BE1085" i="1" s="1" a="1"/>
  <c r="BE1085" i="1" s="1"/>
  <c r="AX1085" i="1"/>
  <c r="M1085" i="1"/>
  <c r="EM432" i="1"/>
  <c r="DU432" i="1"/>
  <c r="DT432" i="1"/>
  <c r="DN432" i="1"/>
  <c r="DM432" i="1"/>
  <c r="DL432" i="1"/>
  <c r="DK432" i="1"/>
  <c r="DI432" i="1"/>
  <c r="DJ432" i="1" s="1"/>
  <c r="DC432" i="1"/>
  <c r="CX432" i="1"/>
  <c r="CN432" i="1"/>
  <c r="CO432" i="1" s="1"/>
  <c r="BX432" i="1"/>
  <c r="BN432" i="1"/>
  <c r="BO432" i="1" s="1"/>
  <c r="BM432" i="1"/>
  <c r="BD432" i="1"/>
  <c r="BC432" i="1"/>
  <c r="BB432" i="1"/>
  <c r="BA432" i="1"/>
  <c r="AZ432" i="1"/>
  <c r="AY432" i="1"/>
  <c r="BE432" i="1" s="1" a="1"/>
  <c r="BE432" i="1" s="1"/>
  <c r="AX432" i="1"/>
  <c r="M432" i="1"/>
  <c r="EM777" i="1"/>
  <c r="DU777" i="1"/>
  <c r="DT777" i="1"/>
  <c r="DN777" i="1"/>
  <c r="DM777" i="1"/>
  <c r="DL777" i="1"/>
  <c r="DK777" i="1"/>
  <c r="DI777" i="1"/>
  <c r="DJ777" i="1" s="1"/>
  <c r="DC777" i="1"/>
  <c r="CX777" i="1"/>
  <c r="CN777" i="1"/>
  <c r="CR777" i="1" s="1"/>
  <c r="BX777" i="1"/>
  <c r="BN777" i="1"/>
  <c r="BO777" i="1" s="1"/>
  <c r="BM777" i="1"/>
  <c r="BD777" i="1"/>
  <c r="BC777" i="1"/>
  <c r="BB777" i="1"/>
  <c r="BA777" i="1"/>
  <c r="AZ777" i="1"/>
  <c r="BF777" i="1" s="1" a="1"/>
  <c r="BF777" i="1" s="1"/>
  <c r="AY777" i="1"/>
  <c r="BE777" i="1" s="1" a="1"/>
  <c r="BE777" i="1" s="1"/>
  <c r="AX777" i="1"/>
  <c r="M777" i="1"/>
  <c r="EM776" i="1"/>
  <c r="DU776" i="1"/>
  <c r="DT776" i="1"/>
  <c r="DN776" i="1"/>
  <c r="DM776" i="1"/>
  <c r="DL776" i="1"/>
  <c r="DK776" i="1"/>
  <c r="DI776" i="1"/>
  <c r="DJ776" i="1" s="1"/>
  <c r="DC776" i="1"/>
  <c r="CX776" i="1"/>
  <c r="BX776" i="1"/>
  <c r="BK776" i="1"/>
  <c r="BD776" i="1"/>
  <c r="BC776" i="1"/>
  <c r="BB776" i="1"/>
  <c r="BA776" i="1"/>
  <c r="AZ776" i="1"/>
  <c r="AY776" i="1"/>
  <c r="BE776" i="1" s="1" a="1"/>
  <c r="BE776" i="1" s="1"/>
  <c r="AX776" i="1"/>
  <c r="M776" i="1"/>
  <c r="EM775" i="1"/>
  <c r="DU775" i="1"/>
  <c r="DT775" i="1"/>
  <c r="DN775" i="1"/>
  <c r="DM775" i="1"/>
  <c r="DL775" i="1"/>
  <c r="DK775" i="1"/>
  <c r="DI775" i="1"/>
  <c r="DJ775" i="1" s="1"/>
  <c r="DC775" i="1"/>
  <c r="CX775" i="1"/>
  <c r="BX775" i="1"/>
  <c r="BK775" i="1"/>
  <c r="BM775" i="1" s="1"/>
  <c r="BD775" i="1"/>
  <c r="BC775" i="1"/>
  <c r="BB775" i="1"/>
  <c r="BA775" i="1"/>
  <c r="AZ775" i="1"/>
  <c r="BF775" i="1" s="1" a="1"/>
  <c r="BF775" i="1" s="1"/>
  <c r="AY775" i="1"/>
  <c r="BE775" i="1" s="1" a="1"/>
  <c r="BE775" i="1" s="1"/>
  <c r="AX775" i="1"/>
  <c r="M775" i="1"/>
  <c r="EM618" i="1"/>
  <c r="DU618" i="1"/>
  <c r="DT618" i="1"/>
  <c r="DN618" i="1"/>
  <c r="DM618" i="1"/>
  <c r="DL618" i="1"/>
  <c r="DK618" i="1"/>
  <c r="DI618" i="1"/>
  <c r="DJ618" i="1" s="1"/>
  <c r="DC618" i="1"/>
  <c r="CX618" i="1"/>
  <c r="CN618" i="1"/>
  <c r="CS618" i="1" s="1"/>
  <c r="BX618" i="1"/>
  <c r="BN618" i="1"/>
  <c r="BO618" i="1" s="1"/>
  <c r="BM618" i="1"/>
  <c r="BD618" i="1"/>
  <c r="BC618" i="1"/>
  <c r="BB618" i="1"/>
  <c r="BA618" i="1"/>
  <c r="AZ618" i="1"/>
  <c r="AY618" i="1"/>
  <c r="BE618" i="1" s="1" a="1"/>
  <c r="BE618" i="1" s="1"/>
  <c r="AX618" i="1"/>
  <c r="M618" i="1"/>
  <c r="EM1029" i="1"/>
  <c r="DU1029" i="1"/>
  <c r="DT1029" i="1"/>
  <c r="DN1029" i="1"/>
  <c r="DM1029" i="1"/>
  <c r="DL1029" i="1"/>
  <c r="DK1029" i="1"/>
  <c r="DI1029" i="1"/>
  <c r="DJ1029" i="1" s="1"/>
  <c r="DC1029" i="1"/>
  <c r="CX1029" i="1"/>
  <c r="BT1029" i="1"/>
  <c r="BU1029" i="1" s="1"/>
  <c r="BL1029" i="1"/>
  <c r="BD1029" i="1"/>
  <c r="BC1029" i="1"/>
  <c r="BB1029" i="1"/>
  <c r="BA1029" i="1"/>
  <c r="AZ1029" i="1"/>
  <c r="AY1029" i="1"/>
  <c r="BE1029" i="1" s="1" a="1"/>
  <c r="BE1029" i="1" s="1"/>
  <c r="AX1029" i="1"/>
  <c r="M1029" i="1"/>
  <c r="EM1028" i="1"/>
  <c r="DU1028" i="1"/>
  <c r="DT1028" i="1"/>
  <c r="DN1028" i="1"/>
  <c r="DM1028" i="1"/>
  <c r="DL1028" i="1"/>
  <c r="DK1028" i="1"/>
  <c r="DI1028" i="1"/>
  <c r="DJ1028" i="1" s="1"/>
  <c r="DC1028" i="1"/>
  <c r="CX1028" i="1"/>
  <c r="BT1028" i="1"/>
  <c r="BV1028" i="1" s="1"/>
  <c r="BX1028" i="1" s="1"/>
  <c r="BL1028" i="1"/>
  <c r="CN1028" i="1" s="1"/>
  <c r="BD1028" i="1"/>
  <c r="BC1028" i="1"/>
  <c r="BB1028" i="1"/>
  <c r="BA1028" i="1"/>
  <c r="AZ1028" i="1"/>
  <c r="AY1028" i="1"/>
  <c r="BE1028" i="1" s="1" a="1"/>
  <c r="BE1028" i="1" s="1"/>
  <c r="AX1028" i="1"/>
  <c r="M1028" i="1"/>
  <c r="EM1027" i="1"/>
  <c r="DU1027" i="1"/>
  <c r="DT1027" i="1"/>
  <c r="DN1027" i="1"/>
  <c r="DM1027" i="1"/>
  <c r="DL1027" i="1"/>
  <c r="DK1027" i="1"/>
  <c r="DI1027" i="1"/>
  <c r="DJ1027" i="1" s="1"/>
  <c r="DC1027" i="1"/>
  <c r="CX1027" i="1"/>
  <c r="BT1027" i="1"/>
  <c r="BV1027" i="1" s="1"/>
  <c r="BX1027" i="1" s="1"/>
  <c r="BN1027" i="1"/>
  <c r="BO1027" i="1" s="1"/>
  <c r="BL1027" i="1"/>
  <c r="CN1027" i="1" s="1"/>
  <c r="CR1027" i="1" s="1"/>
  <c r="BD1027" i="1"/>
  <c r="BC1027" i="1"/>
  <c r="BB1027" i="1"/>
  <c r="BA1027" i="1"/>
  <c r="AZ1027" i="1"/>
  <c r="BF1027" i="1" s="1" a="1"/>
  <c r="BF1027" i="1" s="1"/>
  <c r="AY1027" i="1"/>
  <c r="BE1027" i="1" s="1" a="1"/>
  <c r="BE1027" i="1" s="1"/>
  <c r="AX1027" i="1"/>
  <c r="M1027" i="1"/>
  <c r="EM751" i="1"/>
  <c r="DU751" i="1"/>
  <c r="DT751" i="1"/>
  <c r="DN751" i="1"/>
  <c r="DM751" i="1"/>
  <c r="DL751" i="1"/>
  <c r="DK751" i="1"/>
  <c r="DI751" i="1"/>
  <c r="DJ751" i="1" s="1"/>
  <c r="DC751" i="1"/>
  <c r="CX751" i="1"/>
  <c r="BV751" i="1"/>
  <c r="BX751" i="1" s="1"/>
  <c r="BY751" i="1" s="1"/>
  <c r="BU751" i="1"/>
  <c r="BL751" i="1"/>
  <c r="BK751" i="1"/>
  <c r="BD751" i="1"/>
  <c r="BC751" i="1"/>
  <c r="BB751" i="1"/>
  <c r="BA751" i="1"/>
  <c r="AZ751" i="1"/>
  <c r="AY751" i="1"/>
  <c r="BE751" i="1" s="1" a="1"/>
  <c r="BE751" i="1" s="1"/>
  <c r="AX751" i="1"/>
  <c r="M751" i="1"/>
  <c r="EM744" i="1"/>
  <c r="DU744" i="1"/>
  <c r="DT744" i="1"/>
  <c r="DN744" i="1"/>
  <c r="DM744" i="1"/>
  <c r="DL744" i="1"/>
  <c r="DK744" i="1"/>
  <c r="DI744" i="1"/>
  <c r="DJ744" i="1" s="1"/>
  <c r="DC744" i="1"/>
  <c r="CX744" i="1"/>
  <c r="BT744" i="1"/>
  <c r="BU744" i="1" s="1"/>
  <c r="BS744" i="1"/>
  <c r="BL744" i="1"/>
  <c r="BK744" i="1"/>
  <c r="BD744" i="1"/>
  <c r="BC744" i="1"/>
  <c r="BB744" i="1"/>
  <c r="BA744" i="1"/>
  <c r="AZ744" i="1"/>
  <c r="AY744" i="1"/>
  <c r="BE744" i="1" s="1" a="1"/>
  <c r="BE744" i="1" s="1"/>
  <c r="AX744" i="1"/>
  <c r="M744" i="1"/>
  <c r="EM390" i="1"/>
  <c r="DU390" i="1"/>
  <c r="DT390" i="1"/>
  <c r="DN390" i="1"/>
  <c r="DM390" i="1"/>
  <c r="DL390" i="1"/>
  <c r="DK390" i="1"/>
  <c r="DI390" i="1"/>
  <c r="DJ390" i="1" s="1"/>
  <c r="DC390" i="1"/>
  <c r="CX390" i="1"/>
  <c r="BT390" i="1"/>
  <c r="BS390" i="1"/>
  <c r="BL390" i="1"/>
  <c r="BK390" i="1"/>
  <c r="BD390" i="1"/>
  <c r="BC390" i="1"/>
  <c r="BB390" i="1"/>
  <c r="BA390" i="1"/>
  <c r="AZ390" i="1"/>
  <c r="AY390" i="1"/>
  <c r="BE390" i="1" s="1" a="1"/>
  <c r="BE390" i="1" s="1"/>
  <c r="AX390" i="1"/>
  <c r="M390" i="1"/>
  <c r="EM389" i="1"/>
  <c r="DU389" i="1"/>
  <c r="DT389" i="1"/>
  <c r="DN389" i="1"/>
  <c r="DM389" i="1"/>
  <c r="DL389" i="1"/>
  <c r="DK389" i="1"/>
  <c r="DI389" i="1"/>
  <c r="DJ389" i="1" s="1"/>
  <c r="DC389" i="1"/>
  <c r="CX389" i="1"/>
  <c r="BT389" i="1"/>
  <c r="BS389" i="1"/>
  <c r="BL389" i="1"/>
  <c r="BK389" i="1"/>
  <c r="BD389" i="1"/>
  <c r="BC389" i="1"/>
  <c r="BB389" i="1"/>
  <c r="BA389" i="1"/>
  <c r="AZ389" i="1"/>
  <c r="BF389" i="1" s="1" a="1"/>
  <c r="BF389" i="1" s="1"/>
  <c r="AY389" i="1"/>
  <c r="BE389" i="1" s="1" a="1"/>
  <c r="BE389" i="1" s="1"/>
  <c r="AX389" i="1"/>
  <c r="M389" i="1"/>
  <c r="EM764" i="1"/>
  <c r="DU764" i="1"/>
  <c r="DT764" i="1"/>
  <c r="DN764" i="1"/>
  <c r="DM764" i="1"/>
  <c r="DL764" i="1"/>
  <c r="DK764" i="1"/>
  <c r="DI764" i="1"/>
  <c r="DJ764" i="1" s="1"/>
  <c r="DC764" i="1"/>
  <c r="CX764" i="1"/>
  <c r="BX764" i="1"/>
  <c r="BL764" i="1"/>
  <c r="BK764" i="1"/>
  <c r="BD764" i="1"/>
  <c r="BC764" i="1"/>
  <c r="BB764" i="1"/>
  <c r="BA764" i="1"/>
  <c r="AZ764" i="1"/>
  <c r="AY764" i="1"/>
  <c r="BE764" i="1" s="1" a="1"/>
  <c r="BE764" i="1" s="1"/>
  <c r="AX764" i="1"/>
  <c r="M764" i="1"/>
  <c r="EM770" i="1"/>
  <c r="DU770" i="1"/>
  <c r="DT770" i="1"/>
  <c r="DN770" i="1"/>
  <c r="DM770" i="1"/>
  <c r="DL770" i="1"/>
  <c r="DK770" i="1"/>
  <c r="DI770" i="1"/>
  <c r="DJ770" i="1" s="1"/>
  <c r="DC770" i="1"/>
  <c r="CX770" i="1"/>
  <c r="BX770" i="1"/>
  <c r="BL770" i="1"/>
  <c r="BK770" i="1"/>
  <c r="BD770" i="1"/>
  <c r="BC770" i="1"/>
  <c r="BB770" i="1"/>
  <c r="BA770" i="1"/>
  <c r="AZ770" i="1"/>
  <c r="AY770" i="1"/>
  <c r="BE770" i="1" s="1" a="1"/>
  <c r="BE770" i="1" s="1"/>
  <c r="AX770" i="1"/>
  <c r="M770" i="1"/>
  <c r="EM753" i="1"/>
  <c r="DU753" i="1"/>
  <c r="DT753" i="1"/>
  <c r="DN753" i="1"/>
  <c r="DM753" i="1"/>
  <c r="DL753" i="1"/>
  <c r="DK753" i="1"/>
  <c r="DI753" i="1"/>
  <c r="DJ753" i="1" s="1"/>
  <c r="DC753" i="1"/>
  <c r="CX753" i="1"/>
  <c r="BX753" i="1"/>
  <c r="BL753" i="1"/>
  <c r="CN753" i="1" s="1"/>
  <c r="BK753" i="1"/>
  <c r="BD753" i="1"/>
  <c r="BC753" i="1"/>
  <c r="BB753" i="1"/>
  <c r="BA753" i="1"/>
  <c r="AZ753" i="1"/>
  <c r="AY753" i="1"/>
  <c r="BE753" i="1" s="1" a="1"/>
  <c r="BE753" i="1" s="1"/>
  <c r="AX753" i="1"/>
  <c r="M753" i="1"/>
  <c r="EM721" i="1"/>
  <c r="DU721" i="1"/>
  <c r="DT721" i="1"/>
  <c r="DN721" i="1"/>
  <c r="DM721" i="1"/>
  <c r="DL721" i="1"/>
  <c r="DK721" i="1"/>
  <c r="DI721" i="1"/>
  <c r="DJ721" i="1" s="1"/>
  <c r="DC721" i="1"/>
  <c r="CX721" i="1"/>
  <c r="CN721" i="1"/>
  <c r="BX721" i="1"/>
  <c r="BN721" i="1"/>
  <c r="BO721" i="1" s="1"/>
  <c r="BD721" i="1"/>
  <c r="BC721" i="1"/>
  <c r="BB721" i="1"/>
  <c r="BA721" i="1"/>
  <c r="AZ721" i="1"/>
  <c r="AY721" i="1"/>
  <c r="BE721" i="1" s="1" a="1"/>
  <c r="BE721" i="1" s="1"/>
  <c r="AX721" i="1"/>
  <c r="M721" i="1"/>
  <c r="EM612" i="1"/>
  <c r="DU612" i="1"/>
  <c r="DT612" i="1"/>
  <c r="DN612" i="1"/>
  <c r="DM612" i="1"/>
  <c r="DL612" i="1"/>
  <c r="DK612" i="1"/>
  <c r="DI612" i="1"/>
  <c r="DJ612" i="1" s="1"/>
  <c r="DC612" i="1"/>
  <c r="CX612" i="1"/>
  <c r="CN612" i="1"/>
  <c r="BX612" i="1"/>
  <c r="BN612" i="1"/>
  <c r="BO612" i="1" s="1"/>
  <c r="BD612" i="1"/>
  <c r="BC612" i="1"/>
  <c r="BB612" i="1"/>
  <c r="BA612" i="1"/>
  <c r="AZ612" i="1"/>
  <c r="AY612" i="1"/>
  <c r="BE612" i="1" s="1" a="1"/>
  <c r="BE612" i="1" s="1"/>
  <c r="AX612" i="1"/>
  <c r="M612" i="1"/>
  <c r="EM720" i="1"/>
  <c r="DU720" i="1"/>
  <c r="DT720" i="1"/>
  <c r="DN720" i="1"/>
  <c r="DM720" i="1"/>
  <c r="DL720" i="1"/>
  <c r="DK720" i="1"/>
  <c r="DI720" i="1"/>
  <c r="DJ720" i="1" s="1"/>
  <c r="DC720" i="1"/>
  <c r="CX720" i="1"/>
  <c r="CN720" i="1"/>
  <c r="BX720" i="1"/>
  <c r="BN720" i="1"/>
  <c r="BO720" i="1" s="1"/>
  <c r="BD720" i="1"/>
  <c r="BC720" i="1"/>
  <c r="BB720" i="1"/>
  <c r="BA720" i="1"/>
  <c r="AZ720" i="1"/>
  <c r="AY720" i="1"/>
  <c r="BE720" i="1" s="1" a="1"/>
  <c r="BE720" i="1" s="1"/>
  <c r="AX720" i="1"/>
  <c r="M720" i="1"/>
  <c r="EM768" i="1"/>
  <c r="DU768" i="1"/>
  <c r="DT768" i="1"/>
  <c r="DN768" i="1"/>
  <c r="DM768" i="1"/>
  <c r="DL768" i="1"/>
  <c r="DK768" i="1"/>
  <c r="DI768" i="1"/>
  <c r="DJ768" i="1" s="1"/>
  <c r="DC768" i="1"/>
  <c r="CX768" i="1"/>
  <c r="CN768" i="1"/>
  <c r="CS768" i="1" s="1"/>
  <c r="BX768" i="1"/>
  <c r="BN768" i="1"/>
  <c r="BO768" i="1" s="1"/>
  <c r="BD768" i="1"/>
  <c r="BC768" i="1"/>
  <c r="BB768" i="1"/>
  <c r="BA768" i="1"/>
  <c r="AZ768" i="1"/>
  <c r="AY768" i="1"/>
  <c r="BE768" i="1" s="1" a="1"/>
  <c r="BE768" i="1" s="1"/>
  <c r="AX768" i="1"/>
  <c r="M768" i="1"/>
  <c r="EM752" i="1"/>
  <c r="DU752" i="1"/>
  <c r="DT752" i="1"/>
  <c r="DN752" i="1"/>
  <c r="DM752" i="1"/>
  <c r="DL752" i="1"/>
  <c r="DK752" i="1"/>
  <c r="DI752" i="1"/>
  <c r="DJ752" i="1" s="1"/>
  <c r="DC752" i="1"/>
  <c r="CX752" i="1"/>
  <c r="CN752" i="1"/>
  <c r="BX752" i="1"/>
  <c r="BN752" i="1"/>
  <c r="BO752" i="1" s="1"/>
  <c r="BD752" i="1"/>
  <c r="BC752" i="1"/>
  <c r="BB752" i="1"/>
  <c r="BA752" i="1"/>
  <c r="AZ752" i="1"/>
  <c r="BF752" i="1" s="1" a="1"/>
  <c r="BF752" i="1" s="1"/>
  <c r="AY752" i="1"/>
  <c r="BE752" i="1" s="1" a="1"/>
  <c r="BE752" i="1" s="1"/>
  <c r="AX752" i="1"/>
  <c r="M752" i="1"/>
  <c r="EM746" i="1"/>
  <c r="DU746" i="1"/>
  <c r="DT746" i="1"/>
  <c r="DN746" i="1"/>
  <c r="DM746" i="1"/>
  <c r="DL746" i="1"/>
  <c r="DK746" i="1"/>
  <c r="DI746" i="1"/>
  <c r="DJ746" i="1" s="1"/>
  <c r="DC746" i="1"/>
  <c r="CX746" i="1"/>
  <c r="CN746" i="1"/>
  <c r="BX746" i="1"/>
  <c r="BN746" i="1"/>
  <c r="BO746" i="1" s="1"/>
  <c r="BD746" i="1"/>
  <c r="BC746" i="1"/>
  <c r="BB746" i="1"/>
  <c r="BA746" i="1"/>
  <c r="AZ746" i="1"/>
  <c r="AY746" i="1"/>
  <c r="BE746" i="1" s="1" a="1"/>
  <c r="BE746" i="1" s="1"/>
  <c r="AX746" i="1"/>
  <c r="M746" i="1"/>
  <c r="EM745" i="1"/>
  <c r="DU745" i="1"/>
  <c r="DT745" i="1"/>
  <c r="DN745" i="1"/>
  <c r="DM745" i="1"/>
  <c r="DL745" i="1"/>
  <c r="DK745" i="1"/>
  <c r="DI745" i="1"/>
  <c r="DJ745" i="1" s="1"/>
  <c r="DC745" i="1"/>
  <c r="CX745" i="1"/>
  <c r="CN745" i="1"/>
  <c r="CS745" i="1" s="1"/>
  <c r="BX745" i="1"/>
  <c r="BN745" i="1"/>
  <c r="BO745" i="1" s="1"/>
  <c r="BD745" i="1"/>
  <c r="BC745" i="1"/>
  <c r="BB745" i="1"/>
  <c r="BA745" i="1"/>
  <c r="AZ745" i="1"/>
  <c r="AY745" i="1"/>
  <c r="BE745" i="1" s="1" a="1"/>
  <c r="BE745" i="1" s="1"/>
  <c r="AX745" i="1"/>
  <c r="M745" i="1"/>
  <c r="EM743" i="1"/>
  <c r="DU743" i="1"/>
  <c r="DT743" i="1"/>
  <c r="DN743" i="1"/>
  <c r="DM743" i="1"/>
  <c r="DL743" i="1"/>
  <c r="DK743" i="1"/>
  <c r="DI743" i="1"/>
  <c r="DJ743" i="1" s="1"/>
  <c r="DC743" i="1"/>
  <c r="CX743" i="1"/>
  <c r="CN743" i="1"/>
  <c r="CS743" i="1" s="1"/>
  <c r="BX743" i="1"/>
  <c r="BN743" i="1"/>
  <c r="BO743" i="1" s="1"/>
  <c r="BD743" i="1"/>
  <c r="BC743" i="1"/>
  <c r="BB743" i="1"/>
  <c r="BA743" i="1"/>
  <c r="AZ743" i="1"/>
  <c r="AY743" i="1"/>
  <c r="BE743" i="1" s="1" a="1"/>
  <c r="BE743" i="1" s="1"/>
  <c r="AX743" i="1"/>
  <c r="M743" i="1"/>
  <c r="EM763" i="1"/>
  <c r="DU763" i="1"/>
  <c r="DT763" i="1"/>
  <c r="DN763" i="1"/>
  <c r="DM763" i="1"/>
  <c r="DL763" i="1"/>
  <c r="DK763" i="1"/>
  <c r="DI763" i="1"/>
  <c r="DJ763" i="1" s="1"/>
  <c r="DC763" i="1"/>
  <c r="CX763" i="1"/>
  <c r="CN763" i="1"/>
  <c r="CS763" i="1" s="1"/>
  <c r="BX763" i="1"/>
  <c r="BN763" i="1"/>
  <c r="BO763" i="1" s="1"/>
  <c r="BD763" i="1"/>
  <c r="BC763" i="1"/>
  <c r="BB763" i="1"/>
  <c r="BA763" i="1"/>
  <c r="AZ763" i="1"/>
  <c r="AY763" i="1"/>
  <c r="BE763" i="1" s="1" a="1"/>
  <c r="BE763" i="1" s="1"/>
  <c r="AX763" i="1"/>
  <c r="M763" i="1"/>
  <c r="EM606" i="1"/>
  <c r="DU606" i="1"/>
  <c r="DT606" i="1"/>
  <c r="DN606" i="1"/>
  <c r="DM606" i="1"/>
  <c r="DL606" i="1"/>
  <c r="DK606" i="1"/>
  <c r="DI606" i="1"/>
  <c r="DJ606" i="1" s="1"/>
  <c r="DC606" i="1"/>
  <c r="CX606" i="1"/>
  <c r="BX606" i="1"/>
  <c r="BY606" i="1" s="1"/>
  <c r="EP606" i="1" s="1"/>
  <c r="BL606" i="1"/>
  <c r="BN606" i="1" s="1"/>
  <c r="BD606" i="1"/>
  <c r="BC606" i="1"/>
  <c r="BB606" i="1"/>
  <c r="BA606" i="1"/>
  <c r="AZ606" i="1"/>
  <c r="BF606" i="1" s="1" a="1"/>
  <c r="BF606" i="1" s="1"/>
  <c r="AY606" i="1"/>
  <c r="BE606" i="1" s="1" a="1"/>
  <c r="BE606" i="1" s="1"/>
  <c r="AX606" i="1"/>
  <c r="M606" i="1"/>
  <c r="EM605" i="1"/>
  <c r="DU605" i="1"/>
  <c r="DT605" i="1"/>
  <c r="DN605" i="1"/>
  <c r="DM605" i="1"/>
  <c r="DL605" i="1"/>
  <c r="DK605" i="1"/>
  <c r="DI605" i="1"/>
  <c r="DJ605" i="1" s="1"/>
  <c r="DC605" i="1"/>
  <c r="CX605" i="1"/>
  <c r="BX605" i="1"/>
  <c r="BY605" i="1" s="1"/>
  <c r="EP605" i="1" s="1"/>
  <c r="BL605" i="1"/>
  <c r="BD605" i="1"/>
  <c r="BC605" i="1"/>
  <c r="BB605" i="1"/>
  <c r="BA605" i="1"/>
  <c r="AZ605" i="1"/>
  <c r="AY605" i="1"/>
  <c r="BE605" i="1" s="1" a="1"/>
  <c r="BE605" i="1" s="1"/>
  <c r="AX605" i="1"/>
  <c r="M605" i="1"/>
  <c r="EM391" i="1"/>
  <c r="DU391" i="1"/>
  <c r="DT391" i="1"/>
  <c r="DN391" i="1"/>
  <c r="DM391" i="1"/>
  <c r="DL391" i="1"/>
  <c r="DK391" i="1"/>
  <c r="DI391" i="1"/>
  <c r="DJ391" i="1" s="1"/>
  <c r="DC391" i="1"/>
  <c r="CX391" i="1"/>
  <c r="BX391" i="1"/>
  <c r="BY391" i="1" s="1"/>
  <c r="EP391" i="1" s="1"/>
  <c r="BL391" i="1"/>
  <c r="BN391" i="1" s="1"/>
  <c r="BD391" i="1"/>
  <c r="BC391" i="1"/>
  <c r="BB391" i="1"/>
  <c r="BA391" i="1"/>
  <c r="AZ391" i="1"/>
  <c r="BF391" i="1" s="1" a="1"/>
  <c r="BF391" i="1" s="1"/>
  <c r="AY391" i="1"/>
  <c r="BE391" i="1" s="1" a="1"/>
  <c r="BE391" i="1" s="1"/>
  <c r="AX391" i="1"/>
  <c r="M391" i="1"/>
  <c r="EM610" i="1"/>
  <c r="DU610" i="1"/>
  <c r="DT610" i="1"/>
  <c r="DN610" i="1"/>
  <c r="DM610" i="1"/>
  <c r="DL610" i="1"/>
  <c r="DK610" i="1"/>
  <c r="DI610" i="1"/>
  <c r="DJ610" i="1" s="1"/>
  <c r="DC610" i="1"/>
  <c r="CX610" i="1"/>
  <c r="BX610" i="1"/>
  <c r="BK610" i="1"/>
  <c r="BN610" i="1" s="1"/>
  <c r="BO610" i="1" s="1"/>
  <c r="BD610" i="1"/>
  <c r="BC610" i="1"/>
  <c r="BB610" i="1"/>
  <c r="BA610" i="1"/>
  <c r="AZ610" i="1"/>
  <c r="AY610" i="1"/>
  <c r="BE610" i="1" s="1" a="1"/>
  <c r="BE610" i="1" s="1"/>
  <c r="AX610" i="1"/>
  <c r="M610" i="1"/>
  <c r="EM609" i="1"/>
  <c r="DU609" i="1"/>
  <c r="DT609" i="1"/>
  <c r="DN609" i="1"/>
  <c r="DM609" i="1"/>
  <c r="DL609" i="1"/>
  <c r="DK609" i="1"/>
  <c r="DI609" i="1"/>
  <c r="DJ609" i="1" s="1"/>
  <c r="DC609" i="1"/>
  <c r="CX609" i="1"/>
  <c r="BX609" i="1"/>
  <c r="BL609" i="1"/>
  <c r="BN609" i="1" s="1"/>
  <c r="BO609" i="1" s="1"/>
  <c r="BD609" i="1"/>
  <c r="BC609" i="1"/>
  <c r="BB609" i="1"/>
  <c r="BA609" i="1"/>
  <c r="AZ609" i="1"/>
  <c r="BF609" i="1" s="1" a="1"/>
  <c r="BF609" i="1" s="1"/>
  <c r="AY609" i="1"/>
  <c r="BE609" i="1" s="1" a="1"/>
  <c r="BE609" i="1" s="1"/>
  <c r="AX609" i="1"/>
  <c r="M609" i="1"/>
  <c r="EM712" i="1"/>
  <c r="DU712" i="1"/>
  <c r="DT712" i="1"/>
  <c r="DN712" i="1"/>
  <c r="DM712" i="1"/>
  <c r="DL712" i="1"/>
  <c r="DK712" i="1"/>
  <c r="DI712" i="1"/>
  <c r="DJ712" i="1" s="1"/>
  <c r="DC712" i="1"/>
  <c r="CX712" i="1"/>
  <c r="BX712" i="1"/>
  <c r="BL712" i="1"/>
  <c r="BN712" i="1" s="1"/>
  <c r="BO712" i="1" s="1"/>
  <c r="BD712" i="1"/>
  <c r="BC712" i="1"/>
  <c r="BB712" i="1"/>
  <c r="BA712" i="1"/>
  <c r="AZ712" i="1"/>
  <c r="AY712" i="1"/>
  <c r="BE712" i="1" s="1" a="1"/>
  <c r="BE712" i="1" s="1"/>
  <c r="AX712" i="1"/>
  <c r="M712" i="1"/>
  <c r="EM710" i="1"/>
  <c r="DU710" i="1"/>
  <c r="DT710" i="1"/>
  <c r="DN710" i="1"/>
  <c r="DM710" i="1"/>
  <c r="DL710" i="1"/>
  <c r="DK710" i="1"/>
  <c r="DI710" i="1"/>
  <c r="DJ710" i="1" s="1"/>
  <c r="DC710" i="1"/>
  <c r="CX710" i="1"/>
  <c r="BX710" i="1"/>
  <c r="BK710" i="1"/>
  <c r="CN710" i="1" s="1"/>
  <c r="BD710" i="1"/>
  <c r="BC710" i="1"/>
  <c r="BB710" i="1"/>
  <c r="BA710" i="1"/>
  <c r="AZ710" i="1"/>
  <c r="BF710" i="1" s="1" a="1"/>
  <c r="BF710" i="1" s="1"/>
  <c r="AY710" i="1"/>
  <c r="BE710" i="1" s="1" a="1"/>
  <c r="BE710" i="1" s="1"/>
  <c r="AX710" i="1"/>
  <c r="M710" i="1"/>
  <c r="EM708" i="1"/>
  <c r="DU708" i="1"/>
  <c r="DT708" i="1"/>
  <c r="DN708" i="1"/>
  <c r="DM708" i="1"/>
  <c r="DL708" i="1"/>
  <c r="DK708" i="1"/>
  <c r="DI708" i="1"/>
  <c r="DJ708" i="1" s="1"/>
  <c r="DC708" i="1"/>
  <c r="CX708" i="1"/>
  <c r="BX708" i="1"/>
  <c r="BL708" i="1"/>
  <c r="CN708" i="1" s="1"/>
  <c r="BD708" i="1"/>
  <c r="BC708" i="1"/>
  <c r="BB708" i="1"/>
  <c r="BA708" i="1"/>
  <c r="AZ708" i="1"/>
  <c r="AY708" i="1"/>
  <c r="BE708" i="1" s="1" a="1"/>
  <c r="BE708" i="1" s="1"/>
  <c r="AX708" i="1"/>
  <c r="M708" i="1"/>
  <c r="EM707" i="1"/>
  <c r="DU707" i="1"/>
  <c r="DT707" i="1"/>
  <c r="DN707" i="1"/>
  <c r="DM707" i="1"/>
  <c r="DL707" i="1"/>
  <c r="DK707" i="1"/>
  <c r="DI707" i="1"/>
  <c r="DJ707" i="1" s="1"/>
  <c r="DC707" i="1"/>
  <c r="CX707" i="1"/>
  <c r="BX707" i="1"/>
  <c r="BK707" i="1"/>
  <c r="BD707" i="1"/>
  <c r="BC707" i="1"/>
  <c r="BB707" i="1"/>
  <c r="BA707" i="1"/>
  <c r="AZ707" i="1"/>
  <c r="BF707" i="1" s="1" a="1"/>
  <c r="BF707" i="1" s="1"/>
  <c r="AY707" i="1"/>
  <c r="BE707" i="1" s="1" a="1"/>
  <c r="BE707" i="1" s="1"/>
  <c r="AX707" i="1"/>
  <c r="M707" i="1"/>
  <c r="EM613" i="1"/>
  <c r="DU613" i="1"/>
  <c r="DT613" i="1"/>
  <c r="DN613" i="1"/>
  <c r="DM613" i="1"/>
  <c r="DL613" i="1"/>
  <c r="DK613" i="1"/>
  <c r="DI613" i="1"/>
  <c r="DJ613" i="1" s="1"/>
  <c r="DC613" i="1"/>
  <c r="CX613" i="1"/>
  <c r="BX613" i="1"/>
  <c r="BL613" i="1"/>
  <c r="BN613" i="1" s="1"/>
  <c r="BO613" i="1" s="1"/>
  <c r="BD613" i="1"/>
  <c r="BC613" i="1"/>
  <c r="BB613" i="1"/>
  <c r="BA613" i="1"/>
  <c r="AZ613" i="1"/>
  <c r="AY613" i="1"/>
  <c r="AX613" i="1"/>
  <c r="M613" i="1"/>
  <c r="EM452" i="1"/>
  <c r="DU452" i="1"/>
  <c r="DT452" i="1"/>
  <c r="DN452" i="1"/>
  <c r="DM452" i="1"/>
  <c r="DL452" i="1"/>
  <c r="DK452" i="1"/>
  <c r="DI452" i="1"/>
  <c r="DJ452" i="1" s="1"/>
  <c r="DC452" i="1"/>
  <c r="CX452" i="1"/>
  <c r="BX452" i="1"/>
  <c r="BL452" i="1"/>
  <c r="BD452" i="1"/>
  <c r="BC452" i="1"/>
  <c r="BB452" i="1"/>
  <c r="BA452" i="1"/>
  <c r="AZ452" i="1"/>
  <c r="BF452" i="1" s="1" a="1"/>
  <c r="BF452" i="1" s="1"/>
  <c r="AY452" i="1"/>
  <c r="AX452" i="1"/>
  <c r="M452" i="1"/>
  <c r="EM611" i="1"/>
  <c r="DU611" i="1"/>
  <c r="DT611" i="1"/>
  <c r="DN611" i="1"/>
  <c r="DM611" i="1"/>
  <c r="DL611" i="1"/>
  <c r="DK611" i="1"/>
  <c r="DI611" i="1"/>
  <c r="DJ611" i="1" s="1"/>
  <c r="DC611" i="1"/>
  <c r="CX611" i="1"/>
  <c r="BX611" i="1"/>
  <c r="BL611" i="1"/>
  <c r="BN611" i="1" s="1"/>
  <c r="BO611" i="1" s="1"/>
  <c r="BD611" i="1"/>
  <c r="BC611" i="1"/>
  <c r="BB611" i="1"/>
  <c r="BA611" i="1"/>
  <c r="AZ611" i="1"/>
  <c r="AY611" i="1"/>
  <c r="AX611" i="1"/>
  <c r="M611" i="1"/>
  <c r="EM1084" i="1"/>
  <c r="DU1084" i="1"/>
  <c r="DT1084" i="1"/>
  <c r="DN1084" i="1"/>
  <c r="DM1084" i="1"/>
  <c r="DL1084" i="1"/>
  <c r="DK1084" i="1"/>
  <c r="DI1084" i="1"/>
  <c r="DJ1084" i="1" s="1"/>
  <c r="DC1084" i="1"/>
  <c r="CX1084" i="1"/>
  <c r="BT1084" i="1"/>
  <c r="BS1084" i="1"/>
  <c r="BV1084" i="1" s="1"/>
  <c r="BX1084" i="1" s="1"/>
  <c r="BL1084" i="1"/>
  <c r="BK1084" i="1"/>
  <c r="BD1084" i="1"/>
  <c r="BC1084" i="1"/>
  <c r="BB1084" i="1"/>
  <c r="BA1084" i="1"/>
  <c r="AZ1084" i="1"/>
  <c r="AY1084" i="1"/>
  <c r="BE1084" i="1" s="1" a="1"/>
  <c r="BE1084" i="1" s="1"/>
  <c r="AX1084" i="1"/>
  <c r="M1084" i="1"/>
  <c r="EM1083" i="1"/>
  <c r="DU1083" i="1"/>
  <c r="DT1083" i="1"/>
  <c r="DN1083" i="1"/>
  <c r="DM1083" i="1"/>
  <c r="DL1083" i="1"/>
  <c r="DK1083" i="1"/>
  <c r="DI1083" i="1"/>
  <c r="DJ1083" i="1" s="1"/>
  <c r="DC1083" i="1"/>
  <c r="CX1083" i="1"/>
  <c r="BT1083" i="1"/>
  <c r="BS1083" i="1"/>
  <c r="BL1083" i="1"/>
  <c r="BK1083" i="1"/>
  <c r="BD1083" i="1"/>
  <c r="BC1083" i="1"/>
  <c r="BB1083" i="1"/>
  <c r="BA1083" i="1"/>
  <c r="AZ1083" i="1"/>
  <c r="BF1083" i="1" s="1" a="1"/>
  <c r="BF1083" i="1" s="1"/>
  <c r="AY1083" i="1"/>
  <c r="BE1083" i="1" s="1" a="1"/>
  <c r="BE1083" i="1" s="1"/>
  <c r="AX1083" i="1"/>
  <c r="M1083" i="1"/>
  <c r="EM1082" i="1"/>
  <c r="DU1082" i="1"/>
  <c r="DT1082" i="1"/>
  <c r="DN1082" i="1"/>
  <c r="DM1082" i="1"/>
  <c r="DL1082" i="1"/>
  <c r="DK1082" i="1"/>
  <c r="DI1082" i="1"/>
  <c r="DJ1082" i="1" s="1"/>
  <c r="DC1082" i="1"/>
  <c r="CX1082" i="1"/>
  <c r="BT1082" i="1"/>
  <c r="BS1082" i="1"/>
  <c r="BL1082" i="1"/>
  <c r="BK1082" i="1"/>
  <c r="BN1082" i="1" s="1"/>
  <c r="BO1082" i="1" s="1"/>
  <c r="BD1082" i="1"/>
  <c r="BC1082" i="1"/>
  <c r="BB1082" i="1"/>
  <c r="BA1082" i="1"/>
  <c r="AZ1082" i="1"/>
  <c r="AY1082" i="1"/>
  <c r="BE1082" i="1" s="1" a="1"/>
  <c r="BE1082" i="1" s="1"/>
  <c r="AX1082" i="1"/>
  <c r="M1082" i="1"/>
  <c r="EM1081" i="1"/>
  <c r="DU1081" i="1"/>
  <c r="DT1081" i="1"/>
  <c r="DN1081" i="1"/>
  <c r="DM1081" i="1"/>
  <c r="DL1081" i="1"/>
  <c r="DK1081" i="1"/>
  <c r="DI1081" i="1"/>
  <c r="DJ1081" i="1" s="1"/>
  <c r="DC1081" i="1"/>
  <c r="CX1081" i="1"/>
  <c r="BT1081" i="1"/>
  <c r="BS1081" i="1"/>
  <c r="BL1081" i="1"/>
  <c r="BK1081" i="1"/>
  <c r="BD1081" i="1"/>
  <c r="BC1081" i="1"/>
  <c r="BB1081" i="1"/>
  <c r="BA1081" i="1"/>
  <c r="AZ1081" i="1"/>
  <c r="AY1081" i="1"/>
  <c r="BE1081" i="1" s="1" a="1"/>
  <c r="BE1081" i="1" s="1"/>
  <c r="AX1081" i="1"/>
  <c r="M1081" i="1"/>
  <c r="EM1032" i="1"/>
  <c r="DU1032" i="1"/>
  <c r="DT1032" i="1"/>
  <c r="DN1032" i="1"/>
  <c r="DM1032" i="1"/>
  <c r="DL1032" i="1"/>
  <c r="DK1032" i="1"/>
  <c r="DI1032" i="1"/>
  <c r="DJ1032" i="1" s="1"/>
  <c r="DC1032" i="1"/>
  <c r="CX1032" i="1"/>
  <c r="CN1032" i="1"/>
  <c r="CP1032" i="1" s="1"/>
  <c r="BT1032" i="1"/>
  <c r="BS1032" i="1"/>
  <c r="BN1032" i="1"/>
  <c r="BO1032" i="1" s="1"/>
  <c r="BD1032" i="1"/>
  <c r="BC1032" i="1"/>
  <c r="BB1032" i="1"/>
  <c r="BA1032" i="1"/>
  <c r="AZ1032" i="1"/>
  <c r="AY1032" i="1"/>
  <c r="BE1032" i="1" s="1" a="1"/>
  <c r="BE1032" i="1" s="1"/>
  <c r="AX1032" i="1"/>
  <c r="M1032" i="1"/>
  <c r="EM1031" i="1"/>
  <c r="DU1031" i="1"/>
  <c r="DT1031" i="1"/>
  <c r="DN1031" i="1"/>
  <c r="DM1031" i="1"/>
  <c r="DL1031" i="1"/>
  <c r="DK1031" i="1"/>
  <c r="DI1031" i="1"/>
  <c r="DJ1031" i="1" s="1"/>
  <c r="DC1031" i="1"/>
  <c r="CX1031" i="1"/>
  <c r="CN1031" i="1"/>
  <c r="BT1031" i="1"/>
  <c r="BS1031" i="1"/>
  <c r="BN1031" i="1"/>
  <c r="BO1031" i="1" s="1"/>
  <c r="BD1031" i="1"/>
  <c r="BC1031" i="1"/>
  <c r="BB1031" i="1"/>
  <c r="BA1031" i="1"/>
  <c r="AZ1031" i="1"/>
  <c r="BF1031" i="1" s="1" a="1"/>
  <c r="BF1031" i="1" s="1"/>
  <c r="AY1031" i="1"/>
  <c r="BE1031" i="1" s="1" a="1"/>
  <c r="BE1031" i="1" s="1"/>
  <c r="AX1031" i="1"/>
  <c r="M1031" i="1"/>
  <c r="EM1030" i="1"/>
  <c r="DU1030" i="1"/>
  <c r="DT1030" i="1"/>
  <c r="DN1030" i="1"/>
  <c r="DM1030" i="1"/>
  <c r="DL1030" i="1"/>
  <c r="DK1030" i="1"/>
  <c r="DI1030" i="1"/>
  <c r="DJ1030" i="1" s="1"/>
  <c r="DC1030" i="1"/>
  <c r="CX1030" i="1"/>
  <c r="CN1030" i="1"/>
  <c r="BT1030" i="1"/>
  <c r="BS1030" i="1"/>
  <c r="BN1030" i="1"/>
  <c r="BO1030" i="1" s="1"/>
  <c r="BD1030" i="1"/>
  <c r="BC1030" i="1"/>
  <c r="BB1030" i="1"/>
  <c r="BA1030" i="1"/>
  <c r="AZ1030" i="1"/>
  <c r="AY1030" i="1"/>
  <c r="BE1030" i="1" s="1" a="1"/>
  <c r="BE1030" i="1" s="1"/>
  <c r="AX1030" i="1"/>
  <c r="M1030" i="1"/>
  <c r="EM1044" i="1"/>
  <c r="DU1044" i="1"/>
  <c r="DT1044" i="1"/>
  <c r="DN1044" i="1"/>
  <c r="DM1044" i="1"/>
  <c r="DL1044" i="1"/>
  <c r="DK1044" i="1"/>
  <c r="DI1044" i="1"/>
  <c r="DJ1044" i="1" s="1"/>
  <c r="DC1044" i="1"/>
  <c r="CX1044" i="1"/>
  <c r="BX1044" i="1"/>
  <c r="BK1044" i="1"/>
  <c r="CN1044" i="1" s="1"/>
  <c r="CO1044" i="1" s="1"/>
  <c r="BD1044" i="1"/>
  <c r="BC1044" i="1"/>
  <c r="BB1044" i="1"/>
  <c r="BA1044" i="1"/>
  <c r="AZ1044" i="1"/>
  <c r="AY1044" i="1"/>
  <c r="BE1044" i="1" s="1" a="1"/>
  <c r="BE1044" i="1" s="1"/>
  <c r="AX1044" i="1"/>
  <c r="M1044" i="1"/>
  <c r="EM1043" i="1"/>
  <c r="DU1043" i="1"/>
  <c r="DT1043" i="1"/>
  <c r="DN1043" i="1"/>
  <c r="DM1043" i="1"/>
  <c r="DL1043" i="1"/>
  <c r="DK1043" i="1"/>
  <c r="DI1043" i="1"/>
  <c r="DJ1043" i="1" s="1"/>
  <c r="DC1043" i="1"/>
  <c r="CX1043" i="1"/>
  <c r="BX1043" i="1"/>
  <c r="BK1043" i="1"/>
  <c r="CN1043" i="1" s="1"/>
  <c r="BD1043" i="1"/>
  <c r="BC1043" i="1"/>
  <c r="BB1043" i="1"/>
  <c r="BA1043" i="1"/>
  <c r="AZ1043" i="1"/>
  <c r="AY1043" i="1"/>
  <c r="BE1043" i="1" s="1" a="1"/>
  <c r="BE1043" i="1" s="1"/>
  <c r="AX1043" i="1"/>
  <c r="M1043" i="1"/>
  <c r="EM1042" i="1"/>
  <c r="DU1042" i="1"/>
  <c r="DT1042" i="1"/>
  <c r="DN1042" i="1"/>
  <c r="DM1042" i="1"/>
  <c r="DL1042" i="1"/>
  <c r="DK1042" i="1"/>
  <c r="DI1042" i="1"/>
  <c r="DJ1042" i="1" s="1"/>
  <c r="DC1042" i="1"/>
  <c r="CX1042" i="1"/>
  <c r="BX1042" i="1"/>
  <c r="BK1042" i="1"/>
  <c r="BN1042" i="1" s="1"/>
  <c r="BO1042" i="1" s="1"/>
  <c r="BD1042" i="1"/>
  <c r="BC1042" i="1"/>
  <c r="BB1042" i="1"/>
  <c r="BA1042" i="1"/>
  <c r="AZ1042" i="1"/>
  <c r="AY1042" i="1"/>
  <c r="BE1042" i="1" s="1" a="1"/>
  <c r="BE1042" i="1" s="1"/>
  <c r="AX1042" i="1"/>
  <c r="M1042" i="1"/>
  <c r="EM1041" i="1"/>
  <c r="DU1041" i="1"/>
  <c r="DT1041" i="1"/>
  <c r="DN1041" i="1"/>
  <c r="DM1041" i="1"/>
  <c r="DL1041" i="1"/>
  <c r="DK1041" i="1"/>
  <c r="DI1041" i="1"/>
  <c r="DJ1041" i="1" s="1"/>
  <c r="DC1041" i="1"/>
  <c r="CX1041" i="1"/>
  <c r="BX1041" i="1"/>
  <c r="BK1041" i="1"/>
  <c r="BN1041" i="1" s="1"/>
  <c r="BO1041" i="1" s="1"/>
  <c r="BD1041" i="1"/>
  <c r="BC1041" i="1"/>
  <c r="BB1041" i="1"/>
  <c r="BA1041" i="1"/>
  <c r="AZ1041" i="1"/>
  <c r="AY1041" i="1"/>
  <c r="BE1041" i="1" s="1" a="1"/>
  <c r="BE1041" i="1" s="1"/>
  <c r="AX1041" i="1"/>
  <c r="M1041" i="1"/>
  <c r="EM1040" i="1"/>
  <c r="DU1040" i="1"/>
  <c r="DT1040" i="1"/>
  <c r="DN1040" i="1"/>
  <c r="DM1040" i="1"/>
  <c r="DL1040" i="1"/>
  <c r="DK1040" i="1"/>
  <c r="DI1040" i="1"/>
  <c r="DJ1040" i="1" s="1"/>
  <c r="DC1040" i="1"/>
  <c r="CX1040" i="1"/>
  <c r="BX1040" i="1"/>
  <c r="BK1040" i="1"/>
  <c r="CN1040" i="1" s="1"/>
  <c r="CR1040" i="1" s="1"/>
  <c r="BD1040" i="1"/>
  <c r="BC1040" i="1"/>
  <c r="BB1040" i="1"/>
  <c r="BA1040" i="1"/>
  <c r="AZ1040" i="1"/>
  <c r="AY1040" i="1"/>
  <c r="BE1040" i="1" s="1" a="1"/>
  <c r="BE1040" i="1" s="1"/>
  <c r="AX1040" i="1"/>
  <c r="M1040" i="1"/>
  <c r="EM1039" i="1"/>
  <c r="DU1039" i="1"/>
  <c r="DT1039" i="1"/>
  <c r="DN1039" i="1"/>
  <c r="DM1039" i="1"/>
  <c r="DL1039" i="1"/>
  <c r="DK1039" i="1"/>
  <c r="DI1039" i="1"/>
  <c r="DJ1039" i="1" s="1"/>
  <c r="DC1039" i="1"/>
  <c r="CX1039" i="1"/>
  <c r="BX1039" i="1"/>
  <c r="BK1039" i="1"/>
  <c r="BN1039" i="1" s="1"/>
  <c r="BO1039" i="1" s="1"/>
  <c r="BD1039" i="1"/>
  <c r="BC1039" i="1"/>
  <c r="BB1039" i="1"/>
  <c r="BA1039" i="1"/>
  <c r="AZ1039" i="1"/>
  <c r="AY1039" i="1"/>
  <c r="BE1039" i="1" s="1" a="1"/>
  <c r="BE1039" i="1" s="1"/>
  <c r="AX1039" i="1"/>
  <c r="M1039" i="1"/>
  <c r="EM1038" i="1"/>
  <c r="DU1038" i="1"/>
  <c r="DT1038" i="1"/>
  <c r="DN1038" i="1"/>
  <c r="DM1038" i="1"/>
  <c r="DL1038" i="1"/>
  <c r="DK1038" i="1"/>
  <c r="DI1038" i="1"/>
  <c r="DJ1038" i="1" s="1"/>
  <c r="DC1038" i="1"/>
  <c r="CX1038" i="1"/>
  <c r="BX1038" i="1"/>
  <c r="BK1038" i="1"/>
  <c r="BN1038" i="1" s="1"/>
  <c r="BO1038" i="1" s="1"/>
  <c r="BD1038" i="1"/>
  <c r="BC1038" i="1"/>
  <c r="BB1038" i="1"/>
  <c r="BA1038" i="1"/>
  <c r="AZ1038" i="1"/>
  <c r="AY1038" i="1"/>
  <c r="BE1038" i="1" s="1" a="1"/>
  <c r="BE1038" i="1" s="1"/>
  <c r="AX1038" i="1"/>
  <c r="M1038" i="1"/>
  <c r="EM1037" i="1"/>
  <c r="DU1037" i="1"/>
  <c r="DT1037" i="1"/>
  <c r="DN1037" i="1"/>
  <c r="DM1037" i="1"/>
  <c r="DL1037" i="1"/>
  <c r="DK1037" i="1"/>
  <c r="DI1037" i="1"/>
  <c r="DJ1037" i="1" s="1"/>
  <c r="DC1037" i="1"/>
  <c r="CX1037" i="1"/>
  <c r="BX1037" i="1"/>
  <c r="BK1037" i="1"/>
  <c r="CN1037" i="1" s="1"/>
  <c r="BD1037" i="1"/>
  <c r="BC1037" i="1"/>
  <c r="BB1037" i="1"/>
  <c r="BA1037" i="1"/>
  <c r="AZ1037" i="1"/>
  <c r="AY1037" i="1"/>
  <c r="BE1037" i="1" s="1" a="1"/>
  <c r="BE1037" i="1" s="1"/>
  <c r="AX1037" i="1"/>
  <c r="M1037" i="1"/>
  <c r="EM1036" i="1"/>
  <c r="DU1036" i="1"/>
  <c r="DT1036" i="1"/>
  <c r="DN1036" i="1"/>
  <c r="DM1036" i="1"/>
  <c r="DL1036" i="1"/>
  <c r="DK1036" i="1"/>
  <c r="DI1036" i="1"/>
  <c r="DJ1036" i="1" s="1"/>
  <c r="DC1036" i="1"/>
  <c r="CX1036" i="1"/>
  <c r="BX1036" i="1"/>
  <c r="BK1036" i="1"/>
  <c r="CN1036" i="1" s="1"/>
  <c r="CS1036" i="1" s="1"/>
  <c r="BD1036" i="1"/>
  <c r="BC1036" i="1"/>
  <c r="BB1036" i="1"/>
  <c r="BA1036" i="1"/>
  <c r="AZ1036" i="1"/>
  <c r="AY1036" i="1"/>
  <c r="BE1036" i="1" s="1" a="1"/>
  <c r="BE1036" i="1" s="1"/>
  <c r="AX1036" i="1"/>
  <c r="M1036" i="1"/>
  <c r="EM1035" i="1"/>
  <c r="DU1035" i="1"/>
  <c r="DT1035" i="1"/>
  <c r="DN1035" i="1"/>
  <c r="DM1035" i="1"/>
  <c r="DL1035" i="1"/>
  <c r="DK1035" i="1"/>
  <c r="DI1035" i="1"/>
  <c r="DJ1035" i="1" s="1"/>
  <c r="DC1035" i="1"/>
  <c r="CX1035" i="1"/>
  <c r="BX1035" i="1"/>
  <c r="BK1035" i="1"/>
  <c r="CN1035" i="1" s="1"/>
  <c r="BD1035" i="1"/>
  <c r="BC1035" i="1"/>
  <c r="BB1035" i="1"/>
  <c r="BA1035" i="1"/>
  <c r="AZ1035" i="1"/>
  <c r="AY1035" i="1"/>
  <c r="BE1035" i="1" s="1" a="1"/>
  <c r="BE1035" i="1" s="1"/>
  <c r="AX1035" i="1"/>
  <c r="M1035" i="1"/>
  <c r="EM1034" i="1"/>
  <c r="DU1034" i="1"/>
  <c r="DT1034" i="1"/>
  <c r="DN1034" i="1"/>
  <c r="DM1034" i="1"/>
  <c r="DL1034" i="1"/>
  <c r="DK1034" i="1"/>
  <c r="DI1034" i="1"/>
  <c r="DJ1034" i="1" s="1"/>
  <c r="DC1034" i="1"/>
  <c r="CX1034" i="1"/>
  <c r="BX1034" i="1"/>
  <c r="BK1034" i="1"/>
  <c r="BN1034" i="1" s="1"/>
  <c r="BO1034" i="1" s="1"/>
  <c r="BD1034" i="1"/>
  <c r="BC1034" i="1"/>
  <c r="BB1034" i="1"/>
  <c r="BA1034" i="1"/>
  <c r="AZ1034" i="1"/>
  <c r="AY1034" i="1"/>
  <c r="BE1034" i="1" s="1" a="1"/>
  <c r="BE1034" i="1" s="1"/>
  <c r="AX1034" i="1"/>
  <c r="M1034" i="1"/>
  <c r="EM1033" i="1"/>
  <c r="DU1033" i="1"/>
  <c r="DT1033" i="1"/>
  <c r="DN1033" i="1"/>
  <c r="DM1033" i="1"/>
  <c r="DL1033" i="1"/>
  <c r="DK1033" i="1"/>
  <c r="DI1033" i="1"/>
  <c r="DJ1033" i="1" s="1"/>
  <c r="DC1033" i="1"/>
  <c r="CX1033" i="1"/>
  <c r="BX1033" i="1"/>
  <c r="BK1033" i="1"/>
  <c r="BN1033" i="1" s="1"/>
  <c r="BO1033" i="1" s="1"/>
  <c r="BD1033" i="1"/>
  <c r="BC1033" i="1"/>
  <c r="BB1033" i="1"/>
  <c r="BA1033" i="1"/>
  <c r="AZ1033" i="1"/>
  <c r="AY1033" i="1"/>
  <c r="BE1033" i="1" s="1" a="1"/>
  <c r="BE1033" i="1" s="1"/>
  <c r="AX1033" i="1"/>
  <c r="M1033" i="1"/>
  <c r="EM1080" i="1"/>
  <c r="DU1080" i="1"/>
  <c r="DT1080" i="1"/>
  <c r="DN1080" i="1"/>
  <c r="DM1080" i="1"/>
  <c r="DL1080" i="1"/>
  <c r="DK1080" i="1"/>
  <c r="DI1080" i="1"/>
  <c r="DJ1080" i="1" s="1"/>
  <c r="DC1080" i="1"/>
  <c r="CX1080" i="1"/>
  <c r="BV1080" i="1"/>
  <c r="BX1080" i="1" s="1"/>
  <c r="BU1080" i="1"/>
  <c r="BL1080" i="1"/>
  <c r="BK1080" i="1"/>
  <c r="BN1080" i="1" s="1"/>
  <c r="BO1080" i="1" s="1"/>
  <c r="BD1080" i="1"/>
  <c r="BC1080" i="1"/>
  <c r="BB1080" i="1"/>
  <c r="BA1080" i="1"/>
  <c r="AZ1080" i="1"/>
  <c r="AY1080" i="1"/>
  <c r="BE1080" i="1" s="1" a="1"/>
  <c r="BE1080" i="1" s="1"/>
  <c r="AX1080" i="1"/>
  <c r="M1080" i="1"/>
  <c r="EM1079" i="1"/>
  <c r="DU1079" i="1"/>
  <c r="DT1079" i="1"/>
  <c r="DN1079" i="1"/>
  <c r="DM1079" i="1"/>
  <c r="DL1079" i="1"/>
  <c r="DK1079" i="1"/>
  <c r="DI1079" i="1"/>
  <c r="DJ1079" i="1" s="1"/>
  <c r="DC1079" i="1"/>
  <c r="CX1079" i="1"/>
  <c r="BV1079" i="1"/>
  <c r="BX1079" i="1" s="1"/>
  <c r="BU1079" i="1"/>
  <c r="BL1079" i="1"/>
  <c r="BK1079" i="1"/>
  <c r="BD1079" i="1"/>
  <c r="BC1079" i="1"/>
  <c r="BB1079" i="1"/>
  <c r="BA1079" i="1"/>
  <c r="AZ1079" i="1"/>
  <c r="AY1079" i="1"/>
  <c r="BE1079" i="1" s="1" a="1"/>
  <c r="BE1079" i="1" s="1"/>
  <c r="AX1079" i="1"/>
  <c r="M1079" i="1"/>
  <c r="EM1078" i="1"/>
  <c r="DU1078" i="1"/>
  <c r="DT1078" i="1"/>
  <c r="DN1078" i="1"/>
  <c r="DM1078" i="1"/>
  <c r="DL1078" i="1"/>
  <c r="DK1078" i="1"/>
  <c r="DI1078" i="1"/>
  <c r="DJ1078" i="1" s="1"/>
  <c r="DC1078" i="1"/>
  <c r="CX1078" i="1"/>
  <c r="BT1078" i="1"/>
  <c r="BS1078" i="1"/>
  <c r="BL1078" i="1"/>
  <c r="BK1078" i="1"/>
  <c r="BD1078" i="1"/>
  <c r="BC1078" i="1"/>
  <c r="BB1078" i="1"/>
  <c r="BA1078" i="1"/>
  <c r="AZ1078" i="1"/>
  <c r="BF1078" i="1" s="1" a="1"/>
  <c r="BF1078" i="1" s="1"/>
  <c r="AY1078" i="1"/>
  <c r="BE1078" i="1" s="1" a="1"/>
  <c r="BE1078" i="1" s="1"/>
  <c r="AX1078" i="1"/>
  <c r="M1078" i="1"/>
  <c r="EM1077" i="1"/>
  <c r="DU1077" i="1"/>
  <c r="DT1077" i="1"/>
  <c r="DN1077" i="1"/>
  <c r="DM1077" i="1"/>
  <c r="DL1077" i="1"/>
  <c r="DK1077" i="1"/>
  <c r="DI1077" i="1"/>
  <c r="DJ1077" i="1" s="1"/>
  <c r="DC1077" i="1"/>
  <c r="CX1077" i="1"/>
  <c r="BT1077" i="1"/>
  <c r="BS1077" i="1"/>
  <c r="BL1077" i="1"/>
  <c r="CN1077" i="1" s="1"/>
  <c r="BK1077" i="1"/>
  <c r="BD1077" i="1"/>
  <c r="BC1077" i="1"/>
  <c r="BB1077" i="1"/>
  <c r="BA1077" i="1"/>
  <c r="AZ1077" i="1"/>
  <c r="AY1077" i="1"/>
  <c r="BE1077" i="1" s="1" a="1"/>
  <c r="BE1077" i="1" s="1"/>
  <c r="AX1077" i="1"/>
  <c r="M1077" i="1"/>
  <c r="EM1076" i="1"/>
  <c r="DU1076" i="1"/>
  <c r="DT1076" i="1"/>
  <c r="DN1076" i="1"/>
  <c r="DM1076" i="1"/>
  <c r="DL1076" i="1"/>
  <c r="DK1076" i="1"/>
  <c r="DI1076" i="1"/>
  <c r="DJ1076" i="1" s="1"/>
  <c r="DC1076" i="1"/>
  <c r="CX1076" i="1"/>
  <c r="BT1076" i="1"/>
  <c r="BS1076" i="1"/>
  <c r="BN1076" i="1"/>
  <c r="BO1076" i="1" s="1"/>
  <c r="BL1076" i="1"/>
  <c r="BK1076" i="1"/>
  <c r="BD1076" i="1"/>
  <c r="BC1076" i="1"/>
  <c r="BB1076" i="1"/>
  <c r="BA1076" i="1"/>
  <c r="AZ1076" i="1"/>
  <c r="BF1076" i="1" s="1" a="1"/>
  <c r="BF1076" i="1" s="1"/>
  <c r="AY1076" i="1"/>
  <c r="BE1076" i="1" s="1" a="1"/>
  <c r="BE1076" i="1" s="1"/>
  <c r="AX1076" i="1"/>
  <c r="M1076" i="1"/>
  <c r="EM1075" i="1"/>
  <c r="DU1075" i="1"/>
  <c r="DT1075" i="1"/>
  <c r="DN1075" i="1"/>
  <c r="DM1075" i="1"/>
  <c r="DL1075" i="1"/>
  <c r="DK1075" i="1"/>
  <c r="DI1075" i="1"/>
  <c r="DJ1075" i="1" s="1"/>
  <c r="DC1075" i="1"/>
  <c r="CX1075" i="1"/>
  <c r="BT1075" i="1"/>
  <c r="BS1075" i="1"/>
  <c r="BL1075" i="1"/>
  <c r="BK1075" i="1"/>
  <c r="BD1075" i="1"/>
  <c r="BC1075" i="1"/>
  <c r="BB1075" i="1"/>
  <c r="BA1075" i="1"/>
  <c r="AZ1075" i="1"/>
  <c r="AY1075" i="1"/>
  <c r="BE1075" i="1" s="1" a="1"/>
  <c r="BE1075" i="1" s="1"/>
  <c r="AX1075" i="1"/>
  <c r="M1075" i="1"/>
  <c r="EM1074" i="1"/>
  <c r="DU1074" i="1"/>
  <c r="DT1074" i="1"/>
  <c r="DN1074" i="1"/>
  <c r="DM1074" i="1"/>
  <c r="DL1074" i="1"/>
  <c r="DK1074" i="1"/>
  <c r="DI1074" i="1"/>
  <c r="DJ1074" i="1" s="1"/>
  <c r="DC1074" i="1"/>
  <c r="CX1074" i="1"/>
  <c r="BT1074" i="1"/>
  <c r="BS1074" i="1"/>
  <c r="BL1074" i="1"/>
  <c r="BK1074" i="1"/>
  <c r="CN1074" i="1" s="1"/>
  <c r="BD1074" i="1"/>
  <c r="BC1074" i="1"/>
  <c r="BB1074" i="1"/>
  <c r="BA1074" i="1"/>
  <c r="AZ1074" i="1"/>
  <c r="AY1074" i="1"/>
  <c r="BE1074" i="1" s="1" a="1"/>
  <c r="BE1074" i="1" s="1"/>
  <c r="AX1074" i="1"/>
  <c r="M1074" i="1"/>
  <c r="EM1073" i="1"/>
  <c r="DU1073" i="1"/>
  <c r="DT1073" i="1"/>
  <c r="DN1073" i="1"/>
  <c r="DM1073" i="1"/>
  <c r="DL1073" i="1"/>
  <c r="DK1073" i="1"/>
  <c r="DI1073" i="1"/>
  <c r="DJ1073" i="1" s="1"/>
  <c r="DC1073" i="1"/>
  <c r="CX1073" i="1"/>
  <c r="CN1073" i="1"/>
  <c r="CS1073" i="1" s="1"/>
  <c r="BX1073" i="1"/>
  <c r="BN1073" i="1"/>
  <c r="BO1073" i="1" s="1"/>
  <c r="BD1073" i="1"/>
  <c r="BC1073" i="1"/>
  <c r="BB1073" i="1"/>
  <c r="BA1073" i="1"/>
  <c r="AZ1073" i="1"/>
  <c r="AY1073" i="1"/>
  <c r="BE1073" i="1" s="1" a="1"/>
  <c r="BE1073" i="1" s="1"/>
  <c r="AX1073" i="1"/>
  <c r="M1073" i="1"/>
  <c r="EM1072" i="1"/>
  <c r="DU1072" i="1"/>
  <c r="DT1072" i="1"/>
  <c r="DN1072" i="1"/>
  <c r="DM1072" i="1"/>
  <c r="DL1072" i="1"/>
  <c r="DK1072" i="1"/>
  <c r="DI1072" i="1"/>
  <c r="DJ1072" i="1" s="1"/>
  <c r="DC1072" i="1"/>
  <c r="CX1072" i="1"/>
  <c r="CN1072" i="1"/>
  <c r="CO1072" i="1" s="1"/>
  <c r="BX1072" i="1"/>
  <c r="BN1072" i="1"/>
  <c r="BO1072" i="1" s="1"/>
  <c r="BD1072" i="1"/>
  <c r="BC1072" i="1"/>
  <c r="BB1072" i="1"/>
  <c r="BA1072" i="1"/>
  <c r="AZ1072" i="1"/>
  <c r="AY1072" i="1"/>
  <c r="BE1072" i="1" s="1" a="1"/>
  <c r="BE1072" i="1" s="1"/>
  <c r="AX1072" i="1"/>
  <c r="M1072" i="1"/>
  <c r="EM1071" i="1"/>
  <c r="DU1071" i="1"/>
  <c r="DT1071" i="1"/>
  <c r="DN1071" i="1"/>
  <c r="DM1071" i="1"/>
  <c r="DL1071" i="1"/>
  <c r="DK1071" i="1"/>
  <c r="DI1071" i="1"/>
  <c r="DJ1071" i="1" s="1"/>
  <c r="DC1071" i="1"/>
  <c r="CX1071" i="1"/>
  <c r="CN1071" i="1"/>
  <c r="CP1071" i="1" s="1"/>
  <c r="BX1071" i="1"/>
  <c r="BN1071" i="1"/>
  <c r="BO1071" i="1" s="1"/>
  <c r="BD1071" i="1"/>
  <c r="BC1071" i="1"/>
  <c r="BB1071" i="1"/>
  <c r="BA1071" i="1"/>
  <c r="AZ1071" i="1"/>
  <c r="BF1071" i="1" s="1" a="1"/>
  <c r="BF1071" i="1" s="1"/>
  <c r="AY1071" i="1"/>
  <c r="BE1071" i="1" s="1" a="1"/>
  <c r="BE1071" i="1" s="1"/>
  <c r="AX1071" i="1"/>
  <c r="M1071" i="1"/>
  <c r="EM1070" i="1"/>
  <c r="DU1070" i="1"/>
  <c r="DT1070" i="1"/>
  <c r="DN1070" i="1"/>
  <c r="DM1070" i="1"/>
  <c r="DL1070" i="1"/>
  <c r="DK1070" i="1"/>
  <c r="DI1070" i="1"/>
  <c r="DJ1070" i="1" s="1"/>
  <c r="DC1070" i="1"/>
  <c r="CX1070" i="1"/>
  <c r="CN1070" i="1"/>
  <c r="CS1070" i="1" s="1"/>
  <c r="BX1070" i="1"/>
  <c r="BN1070" i="1"/>
  <c r="BO1070" i="1" s="1"/>
  <c r="BD1070" i="1"/>
  <c r="BC1070" i="1"/>
  <c r="BB1070" i="1"/>
  <c r="BA1070" i="1"/>
  <c r="AZ1070" i="1"/>
  <c r="BF1070" i="1" s="1" a="1"/>
  <c r="BF1070" i="1" s="1"/>
  <c r="AY1070" i="1"/>
  <c r="BE1070" i="1" s="1" a="1"/>
  <c r="BE1070" i="1" s="1"/>
  <c r="AX1070" i="1"/>
  <c r="M1070" i="1"/>
  <c r="EM1068" i="1"/>
  <c r="DU1068" i="1"/>
  <c r="DT1068" i="1"/>
  <c r="DN1068" i="1"/>
  <c r="DM1068" i="1"/>
  <c r="DL1068" i="1"/>
  <c r="DK1068" i="1"/>
  <c r="DI1068" i="1"/>
  <c r="DJ1068" i="1" s="1"/>
  <c r="DC1068" i="1"/>
  <c r="CX1068" i="1"/>
  <c r="CN1068" i="1"/>
  <c r="CO1068" i="1" s="1"/>
  <c r="BX1068" i="1"/>
  <c r="BN1068" i="1"/>
  <c r="BO1068" i="1" s="1"/>
  <c r="BD1068" i="1"/>
  <c r="BC1068" i="1"/>
  <c r="BB1068" i="1"/>
  <c r="BA1068" i="1"/>
  <c r="AZ1068" i="1"/>
  <c r="AY1068" i="1"/>
  <c r="BE1068" i="1" s="1" a="1"/>
  <c r="BE1068" i="1" s="1"/>
  <c r="AX1068" i="1"/>
  <c r="M1068" i="1"/>
  <c r="EM1067" i="1"/>
  <c r="DU1067" i="1"/>
  <c r="DT1067" i="1"/>
  <c r="DN1067" i="1"/>
  <c r="DM1067" i="1"/>
  <c r="DL1067" i="1"/>
  <c r="DK1067" i="1"/>
  <c r="DI1067" i="1"/>
  <c r="DJ1067" i="1" s="1"/>
  <c r="DC1067" i="1"/>
  <c r="CX1067" i="1"/>
  <c r="CN1067" i="1"/>
  <c r="CO1067" i="1" s="1"/>
  <c r="BX1067" i="1"/>
  <c r="BN1067" i="1"/>
  <c r="BO1067" i="1" s="1"/>
  <c r="BD1067" i="1"/>
  <c r="BC1067" i="1"/>
  <c r="BB1067" i="1"/>
  <c r="BA1067" i="1"/>
  <c r="AZ1067" i="1"/>
  <c r="AY1067" i="1"/>
  <c r="BE1067" i="1" s="1" a="1"/>
  <c r="BE1067" i="1" s="1"/>
  <c r="AX1067" i="1"/>
  <c r="M1067" i="1"/>
  <c r="EM1066" i="1"/>
  <c r="DU1066" i="1"/>
  <c r="DT1066" i="1"/>
  <c r="DN1066" i="1"/>
  <c r="DM1066" i="1"/>
  <c r="DL1066" i="1"/>
  <c r="DK1066" i="1"/>
  <c r="DI1066" i="1"/>
  <c r="DJ1066" i="1" s="1"/>
  <c r="DC1066" i="1"/>
  <c r="CX1066" i="1"/>
  <c r="CN1066" i="1"/>
  <c r="CP1066" i="1" s="1"/>
  <c r="BX1066" i="1"/>
  <c r="BN1066" i="1"/>
  <c r="BO1066" i="1" s="1"/>
  <c r="BD1066" i="1"/>
  <c r="BC1066" i="1"/>
  <c r="BB1066" i="1"/>
  <c r="BA1066" i="1"/>
  <c r="AZ1066" i="1"/>
  <c r="AY1066" i="1"/>
  <c r="BE1066" i="1" s="1" a="1"/>
  <c r="BE1066" i="1" s="1"/>
  <c r="AX1066" i="1"/>
  <c r="M1066" i="1"/>
  <c r="EM1065" i="1"/>
  <c r="DU1065" i="1"/>
  <c r="DT1065" i="1"/>
  <c r="DN1065" i="1"/>
  <c r="DM1065" i="1"/>
  <c r="DL1065" i="1"/>
  <c r="DK1065" i="1"/>
  <c r="DI1065" i="1"/>
  <c r="DJ1065" i="1" s="1"/>
  <c r="DC1065" i="1"/>
  <c r="CX1065" i="1"/>
  <c r="CN1065" i="1"/>
  <c r="BX1065" i="1"/>
  <c r="BN1065" i="1"/>
  <c r="BO1065" i="1" s="1"/>
  <c r="BD1065" i="1"/>
  <c r="BC1065" i="1"/>
  <c r="BB1065" i="1"/>
  <c r="BA1065" i="1"/>
  <c r="AZ1065" i="1"/>
  <c r="AY1065" i="1"/>
  <c r="BE1065" i="1" s="1" a="1"/>
  <c r="BE1065" i="1" s="1"/>
  <c r="AX1065" i="1"/>
  <c r="M1065" i="1"/>
  <c r="EM397" i="1"/>
  <c r="DU397" i="1"/>
  <c r="DT397" i="1"/>
  <c r="DN397" i="1"/>
  <c r="DM397" i="1"/>
  <c r="DL397" i="1"/>
  <c r="DK397" i="1"/>
  <c r="DI397" i="1"/>
  <c r="DJ397" i="1" s="1"/>
  <c r="DC397" i="1"/>
  <c r="CX397" i="1"/>
  <c r="CN397" i="1"/>
  <c r="CP397" i="1" s="1"/>
  <c r="BX397" i="1"/>
  <c r="BN397" i="1"/>
  <c r="BO397" i="1" s="1"/>
  <c r="BD397" i="1"/>
  <c r="BC397" i="1"/>
  <c r="BB397" i="1"/>
  <c r="BA397" i="1"/>
  <c r="AZ397" i="1"/>
  <c r="AY397" i="1"/>
  <c r="BE397" i="1" s="1" a="1"/>
  <c r="BE397" i="1" s="1"/>
  <c r="AX397" i="1"/>
  <c r="M397" i="1"/>
  <c r="EM396" i="1"/>
  <c r="DU396" i="1"/>
  <c r="DT396" i="1"/>
  <c r="DN396" i="1"/>
  <c r="DM396" i="1"/>
  <c r="DL396" i="1"/>
  <c r="DK396" i="1"/>
  <c r="DI396" i="1"/>
  <c r="DJ396" i="1" s="1"/>
  <c r="DC396" i="1"/>
  <c r="CX396" i="1"/>
  <c r="CN396" i="1"/>
  <c r="BX396" i="1"/>
  <c r="BN396" i="1"/>
  <c r="BO396" i="1" s="1"/>
  <c r="BD396" i="1"/>
  <c r="BC396" i="1"/>
  <c r="BB396" i="1"/>
  <c r="BA396" i="1"/>
  <c r="AZ396" i="1"/>
  <c r="AY396" i="1"/>
  <c r="BE396" i="1" s="1" a="1"/>
  <c r="BE396" i="1" s="1"/>
  <c r="AX396" i="1"/>
  <c r="M396" i="1"/>
  <c r="EM395" i="1"/>
  <c r="DU395" i="1"/>
  <c r="DT395" i="1"/>
  <c r="DN395" i="1"/>
  <c r="DM395" i="1"/>
  <c r="DL395" i="1"/>
  <c r="DK395" i="1"/>
  <c r="DI395" i="1"/>
  <c r="DJ395" i="1" s="1"/>
  <c r="DC395" i="1"/>
  <c r="CX395" i="1"/>
  <c r="CN395" i="1"/>
  <c r="CP395" i="1" s="1"/>
  <c r="BX395" i="1"/>
  <c r="BN395" i="1"/>
  <c r="BO395" i="1" s="1"/>
  <c r="BD395" i="1"/>
  <c r="BC395" i="1"/>
  <c r="BB395" i="1"/>
  <c r="BA395" i="1"/>
  <c r="AZ395" i="1"/>
  <c r="BF395" i="1" s="1" a="1"/>
  <c r="BF395" i="1" s="1"/>
  <c r="AY395" i="1"/>
  <c r="BE395" i="1" s="1" a="1"/>
  <c r="BE395" i="1" s="1"/>
  <c r="AX395" i="1"/>
  <c r="M395" i="1"/>
  <c r="EM394" i="1"/>
  <c r="DU394" i="1"/>
  <c r="DT394" i="1"/>
  <c r="DN394" i="1"/>
  <c r="DM394" i="1"/>
  <c r="DL394" i="1"/>
  <c r="DK394" i="1"/>
  <c r="DI394" i="1"/>
  <c r="DJ394" i="1" s="1"/>
  <c r="DC394" i="1"/>
  <c r="CX394" i="1"/>
  <c r="CN394" i="1"/>
  <c r="CP394" i="1" s="1"/>
  <c r="BX394" i="1"/>
  <c r="BN394" i="1"/>
  <c r="BO394" i="1" s="1"/>
  <c r="BD394" i="1"/>
  <c r="BC394" i="1"/>
  <c r="BB394" i="1"/>
  <c r="BA394" i="1"/>
  <c r="AZ394" i="1"/>
  <c r="BF394" i="1" s="1" a="1"/>
  <c r="BF394" i="1" s="1"/>
  <c r="AY394" i="1"/>
  <c r="BE394" i="1" s="1" a="1"/>
  <c r="BE394" i="1" s="1"/>
  <c r="AX394" i="1"/>
  <c r="M394" i="1"/>
  <c r="EM1069" i="1"/>
  <c r="DU1069" i="1"/>
  <c r="DT1069" i="1"/>
  <c r="DN1069" i="1"/>
  <c r="DM1069" i="1"/>
  <c r="DL1069" i="1"/>
  <c r="DK1069" i="1"/>
  <c r="DI1069" i="1"/>
  <c r="DJ1069" i="1" s="1"/>
  <c r="DC1069" i="1"/>
  <c r="CX1069" i="1"/>
  <c r="CN1069" i="1"/>
  <c r="CO1069" i="1" s="1"/>
  <c r="BX1069" i="1"/>
  <c r="BN1069" i="1"/>
  <c r="BO1069" i="1" s="1"/>
  <c r="BD1069" i="1"/>
  <c r="BC1069" i="1"/>
  <c r="BB1069" i="1"/>
  <c r="BA1069" i="1"/>
  <c r="AZ1069" i="1"/>
  <c r="AY1069" i="1"/>
  <c r="BE1069" i="1" s="1" a="1"/>
  <c r="BE1069" i="1" s="1"/>
  <c r="AX1069" i="1"/>
  <c r="M1069" i="1"/>
  <c r="EM1064" i="1"/>
  <c r="DU1064" i="1"/>
  <c r="DT1064" i="1"/>
  <c r="DN1064" i="1"/>
  <c r="DM1064" i="1"/>
  <c r="DL1064" i="1"/>
  <c r="DK1064" i="1"/>
  <c r="DI1064" i="1"/>
  <c r="DJ1064" i="1" s="1"/>
  <c r="DC1064" i="1"/>
  <c r="CX1064" i="1"/>
  <c r="CN1064" i="1"/>
  <c r="BX1064" i="1"/>
  <c r="BN1064" i="1"/>
  <c r="BO1064" i="1" s="1"/>
  <c r="BD1064" i="1"/>
  <c r="BC1064" i="1"/>
  <c r="BB1064" i="1"/>
  <c r="BA1064" i="1"/>
  <c r="AZ1064" i="1"/>
  <c r="AY1064" i="1"/>
  <c r="BE1064" i="1" s="1" a="1"/>
  <c r="BE1064" i="1" s="1"/>
  <c r="AX1064" i="1"/>
  <c r="M1064" i="1"/>
  <c r="EM1063" i="1"/>
  <c r="DU1063" i="1"/>
  <c r="DT1063" i="1"/>
  <c r="DN1063" i="1"/>
  <c r="DM1063" i="1"/>
  <c r="DL1063" i="1"/>
  <c r="DK1063" i="1"/>
  <c r="DI1063" i="1"/>
  <c r="DJ1063" i="1" s="1"/>
  <c r="DC1063" i="1"/>
  <c r="CX1063" i="1"/>
  <c r="CN1063" i="1"/>
  <c r="CS1063" i="1" s="1"/>
  <c r="BX1063" i="1"/>
  <c r="BN1063" i="1"/>
  <c r="BO1063" i="1" s="1"/>
  <c r="BD1063" i="1"/>
  <c r="BC1063" i="1"/>
  <c r="BB1063" i="1"/>
  <c r="BA1063" i="1"/>
  <c r="AZ1063" i="1"/>
  <c r="AY1063" i="1"/>
  <c r="BE1063" i="1" s="1" a="1"/>
  <c r="BE1063" i="1" s="1"/>
  <c r="AX1063" i="1"/>
  <c r="M1063" i="1"/>
  <c r="EM1062" i="1"/>
  <c r="DU1062" i="1"/>
  <c r="DT1062" i="1"/>
  <c r="DN1062" i="1"/>
  <c r="DM1062" i="1"/>
  <c r="DL1062" i="1"/>
  <c r="DK1062" i="1"/>
  <c r="DI1062" i="1"/>
  <c r="DJ1062" i="1" s="1"/>
  <c r="DC1062" i="1"/>
  <c r="CX1062" i="1"/>
  <c r="CN1062" i="1"/>
  <c r="CP1062" i="1" s="1"/>
  <c r="BX1062" i="1"/>
  <c r="BN1062" i="1"/>
  <c r="BO1062" i="1" s="1"/>
  <c r="BD1062" i="1"/>
  <c r="BC1062" i="1"/>
  <c r="BB1062" i="1"/>
  <c r="BA1062" i="1"/>
  <c r="AZ1062" i="1"/>
  <c r="AY1062" i="1"/>
  <c r="BE1062" i="1" s="1" a="1"/>
  <c r="BE1062" i="1" s="1"/>
  <c r="AX1062" i="1"/>
  <c r="M1062" i="1"/>
  <c r="EM1061" i="1"/>
  <c r="DU1061" i="1"/>
  <c r="DT1061" i="1"/>
  <c r="DN1061" i="1"/>
  <c r="DM1061" i="1"/>
  <c r="DL1061" i="1"/>
  <c r="DK1061" i="1"/>
  <c r="DI1061" i="1"/>
  <c r="DJ1061" i="1" s="1"/>
  <c r="DC1061" i="1"/>
  <c r="CX1061" i="1"/>
  <c r="CN1061" i="1"/>
  <c r="CS1061" i="1" s="1"/>
  <c r="BX1061" i="1"/>
  <c r="BN1061" i="1"/>
  <c r="BO1061" i="1" s="1"/>
  <c r="BD1061" i="1"/>
  <c r="BC1061" i="1"/>
  <c r="BB1061" i="1"/>
  <c r="BA1061" i="1"/>
  <c r="AZ1061" i="1"/>
  <c r="AY1061" i="1"/>
  <c r="BE1061" i="1" s="1" a="1"/>
  <c r="BE1061" i="1" s="1"/>
  <c r="AX1061" i="1"/>
  <c r="M1061" i="1"/>
  <c r="EM1060" i="1"/>
  <c r="DU1060" i="1"/>
  <c r="DT1060" i="1"/>
  <c r="DN1060" i="1"/>
  <c r="DM1060" i="1"/>
  <c r="DL1060" i="1"/>
  <c r="DK1060" i="1"/>
  <c r="DI1060" i="1"/>
  <c r="DJ1060" i="1" s="1"/>
  <c r="DC1060" i="1"/>
  <c r="CX1060" i="1"/>
  <c r="CN1060" i="1"/>
  <c r="CS1060" i="1" s="1"/>
  <c r="BX1060" i="1"/>
  <c r="BN1060" i="1"/>
  <c r="BO1060" i="1" s="1"/>
  <c r="BD1060" i="1"/>
  <c r="BC1060" i="1"/>
  <c r="BB1060" i="1"/>
  <c r="BA1060" i="1"/>
  <c r="AZ1060" i="1"/>
  <c r="AY1060" i="1"/>
  <c r="BE1060" i="1" s="1" a="1"/>
  <c r="BE1060" i="1" s="1"/>
  <c r="AX1060" i="1"/>
  <c r="M1060" i="1"/>
  <c r="EM1059" i="1"/>
  <c r="DU1059" i="1"/>
  <c r="DT1059" i="1"/>
  <c r="DN1059" i="1"/>
  <c r="DM1059" i="1"/>
  <c r="DL1059" i="1"/>
  <c r="DK1059" i="1"/>
  <c r="DI1059" i="1"/>
  <c r="DJ1059" i="1" s="1"/>
  <c r="DC1059" i="1"/>
  <c r="CX1059" i="1"/>
  <c r="CN1059" i="1"/>
  <c r="BX1059" i="1"/>
  <c r="BN1059" i="1"/>
  <c r="BO1059" i="1" s="1"/>
  <c r="BD1059" i="1"/>
  <c r="BC1059" i="1"/>
  <c r="BB1059" i="1"/>
  <c r="BA1059" i="1"/>
  <c r="AZ1059" i="1"/>
  <c r="BF1059" i="1" s="1" a="1"/>
  <c r="BF1059" i="1" s="1"/>
  <c r="AY1059" i="1"/>
  <c r="BE1059" i="1" s="1" a="1"/>
  <c r="BE1059" i="1" s="1"/>
  <c r="AX1059" i="1"/>
  <c r="M1059" i="1"/>
  <c r="EM1058" i="1"/>
  <c r="DU1058" i="1"/>
  <c r="DT1058" i="1"/>
  <c r="DN1058" i="1"/>
  <c r="DM1058" i="1"/>
  <c r="DL1058" i="1"/>
  <c r="DK1058" i="1"/>
  <c r="DI1058" i="1"/>
  <c r="DJ1058" i="1" s="1"/>
  <c r="DC1058" i="1"/>
  <c r="CX1058" i="1"/>
  <c r="CN1058" i="1"/>
  <c r="CP1058" i="1" s="1"/>
  <c r="BX1058" i="1"/>
  <c r="BN1058" i="1"/>
  <c r="BO1058" i="1" s="1"/>
  <c r="BD1058" i="1"/>
  <c r="BC1058" i="1"/>
  <c r="BB1058" i="1"/>
  <c r="BA1058" i="1"/>
  <c r="AZ1058" i="1"/>
  <c r="BF1058" i="1" s="1" a="1"/>
  <c r="BF1058" i="1" s="1"/>
  <c r="AY1058" i="1"/>
  <c r="BE1058" i="1" s="1" a="1"/>
  <c r="BE1058" i="1" s="1"/>
  <c r="AX1058" i="1"/>
  <c r="M1058" i="1"/>
  <c r="EM748" i="1"/>
  <c r="DU748" i="1"/>
  <c r="DT748" i="1"/>
  <c r="DN748" i="1"/>
  <c r="DM748" i="1"/>
  <c r="DL748" i="1"/>
  <c r="DK748" i="1"/>
  <c r="DI748" i="1"/>
  <c r="DJ748" i="1" s="1"/>
  <c r="DB748" i="1"/>
  <c r="DC748" i="1" s="1"/>
  <c r="CX748" i="1"/>
  <c r="CN748" i="1"/>
  <c r="CO748" i="1" s="1"/>
  <c r="BV748" i="1"/>
  <c r="BX748" i="1" s="1"/>
  <c r="BU748" i="1"/>
  <c r="BN748" i="1"/>
  <c r="BO748" i="1" s="1"/>
  <c r="BM748" i="1"/>
  <c r="BD748" i="1"/>
  <c r="BC748" i="1"/>
  <c r="BB748" i="1"/>
  <c r="BA748" i="1"/>
  <c r="AZ748" i="1"/>
  <c r="AY748" i="1"/>
  <c r="BE748" i="1" s="1" a="1"/>
  <c r="BE748" i="1" s="1"/>
  <c r="AX748" i="1"/>
  <c r="M748" i="1"/>
  <c r="EM747" i="1"/>
  <c r="DU747" i="1"/>
  <c r="DT747" i="1"/>
  <c r="DN747" i="1"/>
  <c r="DM747" i="1"/>
  <c r="DL747" i="1"/>
  <c r="DK747" i="1"/>
  <c r="DI747" i="1"/>
  <c r="DJ747" i="1" s="1"/>
  <c r="DB747" i="1"/>
  <c r="DC747" i="1" s="1"/>
  <c r="CX747" i="1"/>
  <c r="CN747" i="1"/>
  <c r="BV747" i="1"/>
  <c r="BX747" i="1" s="1"/>
  <c r="BU747" i="1"/>
  <c r="BN747" i="1"/>
  <c r="BO747" i="1" s="1"/>
  <c r="BM747" i="1"/>
  <c r="BD747" i="1"/>
  <c r="BC747" i="1"/>
  <c r="BB747" i="1"/>
  <c r="BA747" i="1"/>
  <c r="AZ747" i="1"/>
  <c r="AY747" i="1"/>
  <c r="BE747" i="1" s="1" a="1"/>
  <c r="BE747" i="1" s="1"/>
  <c r="AX747" i="1"/>
  <c r="M747" i="1"/>
  <c r="EM514" i="1"/>
  <c r="DU514" i="1"/>
  <c r="DT514" i="1"/>
  <c r="DN514" i="1"/>
  <c r="DM514" i="1"/>
  <c r="DL514" i="1"/>
  <c r="DK514" i="1"/>
  <c r="DI514" i="1"/>
  <c r="DJ514" i="1" s="1"/>
  <c r="DB514" i="1"/>
  <c r="DC514" i="1" s="1"/>
  <c r="CX514" i="1"/>
  <c r="CN514" i="1"/>
  <c r="CR514" i="1" s="1"/>
  <c r="BV514" i="1"/>
  <c r="BX514" i="1" s="1"/>
  <c r="BU514" i="1"/>
  <c r="BN514" i="1"/>
  <c r="BO514" i="1" s="1"/>
  <c r="BM514" i="1"/>
  <c r="BD514" i="1"/>
  <c r="BC514" i="1"/>
  <c r="BB514" i="1"/>
  <c r="BA514" i="1"/>
  <c r="AZ514" i="1"/>
  <c r="AY514" i="1"/>
  <c r="BE514" i="1" s="1" a="1"/>
  <c r="BE514" i="1" s="1"/>
  <c r="AX514" i="1"/>
  <c r="M514" i="1"/>
  <c r="EM513" i="1"/>
  <c r="DU513" i="1"/>
  <c r="DT513" i="1"/>
  <c r="DN513" i="1"/>
  <c r="DM513" i="1"/>
  <c r="DL513" i="1"/>
  <c r="DK513" i="1"/>
  <c r="DI513" i="1"/>
  <c r="DJ513" i="1" s="1"/>
  <c r="DB513" i="1"/>
  <c r="DC513" i="1" s="1"/>
  <c r="CX513" i="1"/>
  <c r="CN513" i="1"/>
  <c r="CP513" i="1" s="1"/>
  <c r="BV513" i="1"/>
  <c r="BX513" i="1" s="1"/>
  <c r="BU513" i="1"/>
  <c r="BN513" i="1"/>
  <c r="BO513" i="1" s="1"/>
  <c r="BM513" i="1"/>
  <c r="BD513" i="1"/>
  <c r="BC513" i="1"/>
  <c r="BB513" i="1"/>
  <c r="BA513" i="1"/>
  <c r="AZ513" i="1"/>
  <c r="AY513" i="1"/>
  <c r="BE513" i="1" s="1" a="1"/>
  <c r="BE513" i="1" s="1"/>
  <c r="AX513" i="1"/>
  <c r="M513" i="1"/>
  <c r="EM516" i="1"/>
  <c r="DU516" i="1"/>
  <c r="DT516" i="1"/>
  <c r="DN516" i="1"/>
  <c r="DM516" i="1"/>
  <c r="DL516" i="1"/>
  <c r="DK516" i="1"/>
  <c r="DI516" i="1"/>
  <c r="DJ516" i="1" s="1"/>
  <c r="DB516" i="1"/>
  <c r="DC516" i="1" s="1"/>
  <c r="CX516" i="1"/>
  <c r="CN516" i="1"/>
  <c r="CP516" i="1" s="1"/>
  <c r="BV516" i="1"/>
  <c r="BX516" i="1" s="1"/>
  <c r="BU516" i="1"/>
  <c r="BN516" i="1"/>
  <c r="BO516" i="1" s="1"/>
  <c r="BM516" i="1"/>
  <c r="BD516" i="1"/>
  <c r="BC516" i="1"/>
  <c r="BB516" i="1"/>
  <c r="BA516" i="1"/>
  <c r="AZ516" i="1"/>
  <c r="BF516" i="1" s="1" a="1"/>
  <c r="BF516" i="1" s="1"/>
  <c r="AY516" i="1"/>
  <c r="BE516" i="1" s="1" a="1"/>
  <c r="BE516" i="1" s="1"/>
  <c r="AX516" i="1"/>
  <c r="M516" i="1"/>
  <c r="EM515" i="1"/>
  <c r="DU515" i="1"/>
  <c r="DT515" i="1"/>
  <c r="DN515" i="1"/>
  <c r="DM515" i="1"/>
  <c r="DL515" i="1"/>
  <c r="DK515" i="1"/>
  <c r="DI515" i="1"/>
  <c r="DJ515" i="1" s="1"/>
  <c r="DB515" i="1"/>
  <c r="DC515" i="1" s="1"/>
  <c r="CX515" i="1"/>
  <c r="CN515" i="1"/>
  <c r="CO515" i="1" s="1"/>
  <c r="BV515" i="1"/>
  <c r="BX515" i="1" s="1"/>
  <c r="BU515" i="1"/>
  <c r="BN515" i="1"/>
  <c r="BO515" i="1" s="1"/>
  <c r="BM515" i="1"/>
  <c r="BD515" i="1"/>
  <c r="BC515" i="1"/>
  <c r="BB515" i="1"/>
  <c r="BA515" i="1"/>
  <c r="AZ515" i="1"/>
  <c r="AY515" i="1"/>
  <c r="BE515" i="1" s="1" a="1"/>
  <c r="BE515" i="1" s="1"/>
  <c r="AX515" i="1"/>
  <c r="M515" i="1"/>
  <c r="EM149" i="1"/>
  <c r="DU149" i="1"/>
  <c r="DT149" i="1"/>
  <c r="DN149" i="1"/>
  <c r="DM149" i="1"/>
  <c r="DL149" i="1"/>
  <c r="DK149" i="1"/>
  <c r="DI149" i="1"/>
  <c r="DJ149" i="1" s="1"/>
  <c r="DB149" i="1"/>
  <c r="DC149" i="1" s="1"/>
  <c r="CX149" i="1"/>
  <c r="CN149" i="1"/>
  <c r="BV149" i="1"/>
  <c r="BX149" i="1" s="1"/>
  <c r="BU149" i="1"/>
  <c r="BN149" i="1"/>
  <c r="BO149" i="1" s="1"/>
  <c r="BM149" i="1"/>
  <c r="BD149" i="1"/>
  <c r="BC149" i="1"/>
  <c r="BB149" i="1"/>
  <c r="BA149" i="1"/>
  <c r="AZ149" i="1"/>
  <c r="AY149" i="1"/>
  <c r="AX149" i="1"/>
  <c r="M149" i="1"/>
  <c r="EM487" i="1"/>
  <c r="DU487" i="1"/>
  <c r="DT487" i="1"/>
  <c r="DN487" i="1"/>
  <c r="DM487" i="1"/>
  <c r="DL487" i="1"/>
  <c r="DK487" i="1"/>
  <c r="DI487" i="1"/>
  <c r="DJ487" i="1" s="1"/>
  <c r="DB487" i="1"/>
  <c r="DC487" i="1" s="1"/>
  <c r="CX487" i="1"/>
  <c r="CN487" i="1"/>
  <c r="CO487" i="1" s="1"/>
  <c r="BV487" i="1"/>
  <c r="BX487" i="1" s="1"/>
  <c r="BU487" i="1"/>
  <c r="BN487" i="1"/>
  <c r="BO487" i="1" s="1"/>
  <c r="BM487" i="1"/>
  <c r="BD487" i="1"/>
  <c r="BC487" i="1"/>
  <c r="BB487" i="1"/>
  <c r="BA487" i="1"/>
  <c r="AZ487" i="1"/>
  <c r="AY487" i="1"/>
  <c r="AX487" i="1"/>
  <c r="M487" i="1"/>
  <c r="EM488" i="1"/>
  <c r="DU488" i="1"/>
  <c r="DT488" i="1"/>
  <c r="DN488" i="1"/>
  <c r="DM488" i="1"/>
  <c r="DL488" i="1"/>
  <c r="DK488" i="1"/>
  <c r="DI488" i="1"/>
  <c r="DJ488" i="1" s="1"/>
  <c r="DB488" i="1"/>
  <c r="DC488" i="1" s="1"/>
  <c r="CX488" i="1"/>
  <c r="CN488" i="1"/>
  <c r="CS488" i="1" s="1"/>
  <c r="BV488" i="1"/>
  <c r="BX488" i="1" s="1"/>
  <c r="BU488" i="1"/>
  <c r="BN488" i="1"/>
  <c r="BO488" i="1" s="1"/>
  <c r="BM488" i="1"/>
  <c r="BD488" i="1"/>
  <c r="BC488" i="1"/>
  <c r="BB488" i="1"/>
  <c r="BA488" i="1"/>
  <c r="AZ488" i="1"/>
  <c r="AY488" i="1"/>
  <c r="AX488" i="1"/>
  <c r="M488" i="1"/>
  <c r="EM507" i="1"/>
  <c r="DU507" i="1"/>
  <c r="DT507" i="1"/>
  <c r="DN507" i="1"/>
  <c r="DM507" i="1"/>
  <c r="DL507" i="1"/>
  <c r="DK507" i="1"/>
  <c r="DI507" i="1"/>
  <c r="DJ507" i="1" s="1"/>
  <c r="DB507" i="1"/>
  <c r="DC507" i="1" s="1"/>
  <c r="CX507" i="1"/>
  <c r="CN507" i="1"/>
  <c r="CR507" i="1" s="1"/>
  <c r="BV507" i="1"/>
  <c r="BX507" i="1" s="1"/>
  <c r="BU507" i="1"/>
  <c r="BN507" i="1"/>
  <c r="BO507" i="1" s="1"/>
  <c r="BM507" i="1"/>
  <c r="BD507" i="1"/>
  <c r="BC507" i="1"/>
  <c r="BB507" i="1"/>
  <c r="BA507" i="1"/>
  <c r="AZ507" i="1"/>
  <c r="AY507" i="1"/>
  <c r="BE507" i="1" s="1" a="1"/>
  <c r="BE507" i="1" s="1"/>
  <c r="AX507" i="1"/>
  <c r="M507" i="1"/>
  <c r="EM508" i="1"/>
  <c r="DU508" i="1"/>
  <c r="DT508" i="1"/>
  <c r="DN508" i="1"/>
  <c r="DM508" i="1"/>
  <c r="DL508" i="1"/>
  <c r="DK508" i="1"/>
  <c r="DI508" i="1"/>
  <c r="DJ508" i="1" s="1"/>
  <c r="DB508" i="1"/>
  <c r="DC508" i="1" s="1"/>
  <c r="CX508" i="1"/>
  <c r="CN508" i="1"/>
  <c r="CP508" i="1" s="1"/>
  <c r="BV508" i="1"/>
  <c r="BX508" i="1" s="1"/>
  <c r="BU508" i="1"/>
  <c r="BN508" i="1"/>
  <c r="BO508" i="1" s="1"/>
  <c r="BM508" i="1"/>
  <c r="BD508" i="1"/>
  <c r="BC508" i="1"/>
  <c r="BB508" i="1"/>
  <c r="BA508" i="1"/>
  <c r="AZ508" i="1"/>
  <c r="AY508" i="1"/>
  <c r="BE508" i="1" s="1" a="1"/>
  <c r="BE508" i="1" s="1"/>
  <c r="AX508" i="1"/>
  <c r="M508" i="1"/>
  <c r="EM577" i="1"/>
  <c r="DU577" i="1"/>
  <c r="DT577" i="1"/>
  <c r="DN577" i="1"/>
  <c r="DM577" i="1"/>
  <c r="DL577" i="1"/>
  <c r="DK577" i="1"/>
  <c r="DI577" i="1"/>
  <c r="DJ577" i="1" s="1"/>
  <c r="DB577" i="1"/>
  <c r="DC577" i="1" s="1"/>
  <c r="CX577" i="1"/>
  <c r="CN577" i="1"/>
  <c r="BV577" i="1"/>
  <c r="BX577" i="1" s="1"/>
  <c r="BU577" i="1"/>
  <c r="BN577" i="1"/>
  <c r="BO577" i="1" s="1"/>
  <c r="BM577" i="1"/>
  <c r="BD577" i="1"/>
  <c r="BC577" i="1"/>
  <c r="BB577" i="1"/>
  <c r="BA577" i="1"/>
  <c r="AZ577" i="1"/>
  <c r="AY577" i="1"/>
  <c r="BE577" i="1" s="1" a="1"/>
  <c r="BE577" i="1" s="1"/>
  <c r="AX577" i="1"/>
  <c r="M577" i="1"/>
  <c r="EM1131" i="1"/>
  <c r="DU1131" i="1"/>
  <c r="DT1131" i="1"/>
  <c r="DN1131" i="1"/>
  <c r="DM1131" i="1"/>
  <c r="DL1131" i="1"/>
  <c r="DK1131" i="1"/>
  <c r="DI1131" i="1"/>
  <c r="DJ1131" i="1" s="1"/>
  <c r="DC1131" i="1"/>
  <c r="CX1131" i="1"/>
  <c r="CN1131" i="1"/>
  <c r="CP1131" i="1" s="1"/>
  <c r="BV1131" i="1"/>
  <c r="BX1131" i="1" s="1"/>
  <c r="BU1131" i="1"/>
  <c r="BN1131" i="1"/>
  <c r="BO1131" i="1" s="1"/>
  <c r="BD1131" i="1"/>
  <c r="BC1131" i="1"/>
  <c r="BB1131" i="1"/>
  <c r="BA1131" i="1"/>
  <c r="AZ1131" i="1"/>
  <c r="AY1131" i="1"/>
  <c r="BE1131" i="1" s="1" a="1"/>
  <c r="BE1131" i="1" s="1"/>
  <c r="AX1131" i="1"/>
  <c r="M1131" i="1"/>
  <c r="EM1130" i="1"/>
  <c r="DU1130" i="1"/>
  <c r="DT1130" i="1"/>
  <c r="DN1130" i="1"/>
  <c r="DM1130" i="1"/>
  <c r="DL1130" i="1"/>
  <c r="DK1130" i="1"/>
  <c r="DI1130" i="1"/>
  <c r="DJ1130" i="1" s="1"/>
  <c r="DC1130" i="1"/>
  <c r="CX1130" i="1"/>
  <c r="CN1130" i="1"/>
  <c r="CR1130" i="1" s="1"/>
  <c r="BV1130" i="1"/>
  <c r="BX1130" i="1" s="1"/>
  <c r="BU1130" i="1"/>
  <c r="BN1130" i="1"/>
  <c r="BO1130" i="1" s="1"/>
  <c r="BD1130" i="1"/>
  <c r="BC1130" i="1"/>
  <c r="BB1130" i="1"/>
  <c r="BA1130" i="1"/>
  <c r="AZ1130" i="1"/>
  <c r="BF1130" i="1" s="1" a="1"/>
  <c r="BF1130" i="1" s="1"/>
  <c r="AY1130" i="1"/>
  <c r="BE1130" i="1" s="1" a="1"/>
  <c r="BE1130" i="1" s="1"/>
  <c r="AX1130" i="1"/>
  <c r="M1130" i="1"/>
  <c r="EM1129" i="1"/>
  <c r="DU1129" i="1"/>
  <c r="DT1129" i="1"/>
  <c r="DN1129" i="1"/>
  <c r="DM1129" i="1"/>
  <c r="DL1129" i="1"/>
  <c r="DK1129" i="1"/>
  <c r="DI1129" i="1"/>
  <c r="DJ1129" i="1" s="1"/>
  <c r="DC1129" i="1"/>
  <c r="CX1129" i="1"/>
  <c r="CN1129" i="1"/>
  <c r="CP1129" i="1" s="1"/>
  <c r="BV1129" i="1"/>
  <c r="BX1129" i="1" s="1"/>
  <c r="BU1129" i="1"/>
  <c r="BN1129" i="1"/>
  <c r="BO1129" i="1" s="1"/>
  <c r="BD1129" i="1"/>
  <c r="BC1129" i="1"/>
  <c r="BB1129" i="1"/>
  <c r="BA1129" i="1"/>
  <c r="AZ1129" i="1"/>
  <c r="AY1129" i="1"/>
  <c r="BE1129" i="1" s="1" a="1"/>
  <c r="BE1129" i="1" s="1"/>
  <c r="AX1129" i="1"/>
  <c r="M1129" i="1"/>
  <c r="EM1128" i="1"/>
  <c r="DU1128" i="1"/>
  <c r="DT1128" i="1"/>
  <c r="DN1128" i="1"/>
  <c r="DM1128" i="1"/>
  <c r="DL1128" i="1"/>
  <c r="DK1128" i="1"/>
  <c r="DI1128" i="1"/>
  <c r="DJ1128" i="1" s="1"/>
  <c r="DC1128" i="1"/>
  <c r="CX1128" i="1"/>
  <c r="CN1128" i="1"/>
  <c r="CR1128" i="1" s="1"/>
  <c r="BV1128" i="1"/>
  <c r="BX1128" i="1" s="1"/>
  <c r="BU1128" i="1"/>
  <c r="BN1128" i="1"/>
  <c r="BO1128" i="1" s="1"/>
  <c r="BD1128" i="1"/>
  <c r="BC1128" i="1"/>
  <c r="BB1128" i="1"/>
  <c r="BA1128" i="1"/>
  <c r="AZ1128" i="1"/>
  <c r="AY1128" i="1"/>
  <c r="BE1128" i="1" s="1" a="1"/>
  <c r="BE1128" i="1" s="1"/>
  <c r="AX1128" i="1"/>
  <c r="M1128" i="1"/>
  <c r="EM1127" i="1"/>
  <c r="DU1127" i="1"/>
  <c r="DT1127" i="1"/>
  <c r="DN1127" i="1"/>
  <c r="DM1127" i="1"/>
  <c r="DL1127" i="1"/>
  <c r="DK1127" i="1"/>
  <c r="DI1127" i="1"/>
  <c r="DJ1127" i="1" s="1"/>
  <c r="DC1127" i="1"/>
  <c r="CX1127" i="1"/>
  <c r="CN1127" i="1"/>
  <c r="CO1127" i="1" s="1"/>
  <c r="BV1127" i="1"/>
  <c r="BX1127" i="1" s="1"/>
  <c r="BU1127" i="1"/>
  <c r="BN1127" i="1"/>
  <c r="BO1127" i="1" s="1"/>
  <c r="BD1127" i="1"/>
  <c r="BC1127" i="1"/>
  <c r="BB1127" i="1"/>
  <c r="BA1127" i="1"/>
  <c r="AZ1127" i="1"/>
  <c r="AY1127" i="1"/>
  <c r="BE1127" i="1" s="1" a="1"/>
  <c r="BE1127" i="1" s="1"/>
  <c r="AX1127" i="1"/>
  <c r="M1127" i="1"/>
  <c r="EM1126" i="1"/>
  <c r="DU1126" i="1"/>
  <c r="DT1126" i="1"/>
  <c r="DN1126" i="1"/>
  <c r="DM1126" i="1"/>
  <c r="DL1126" i="1"/>
  <c r="DK1126" i="1"/>
  <c r="DI1126" i="1"/>
  <c r="DJ1126" i="1" s="1"/>
  <c r="DC1126" i="1"/>
  <c r="CX1126" i="1"/>
  <c r="CN1126" i="1"/>
  <c r="CO1126" i="1" s="1"/>
  <c r="BV1126" i="1"/>
  <c r="BX1126" i="1" s="1"/>
  <c r="BU1126" i="1"/>
  <c r="BN1126" i="1"/>
  <c r="BO1126" i="1" s="1"/>
  <c r="BD1126" i="1"/>
  <c r="BC1126" i="1"/>
  <c r="BB1126" i="1"/>
  <c r="BA1126" i="1"/>
  <c r="AZ1126" i="1"/>
  <c r="BF1126" i="1" s="1" a="1"/>
  <c r="BF1126" i="1" s="1"/>
  <c r="AY1126" i="1"/>
  <c r="BE1126" i="1" s="1" a="1"/>
  <c r="BE1126" i="1" s="1"/>
  <c r="AX1126" i="1"/>
  <c r="M1126" i="1"/>
  <c r="EM804" i="1"/>
  <c r="DU804" i="1"/>
  <c r="DT804" i="1"/>
  <c r="DN804" i="1"/>
  <c r="DM804" i="1"/>
  <c r="DL804" i="1"/>
  <c r="DK804" i="1"/>
  <c r="DI804" i="1"/>
  <c r="DJ804" i="1" s="1"/>
  <c r="DC804" i="1"/>
  <c r="CX804" i="1"/>
  <c r="BV804" i="1"/>
  <c r="BX804" i="1" s="1"/>
  <c r="BY804" i="1" s="1"/>
  <c r="BU804" i="1"/>
  <c r="BL804" i="1"/>
  <c r="BK804" i="1"/>
  <c r="BD804" i="1"/>
  <c r="BC804" i="1"/>
  <c r="BB804" i="1"/>
  <c r="BA804" i="1"/>
  <c r="AZ804" i="1"/>
  <c r="AY804" i="1"/>
  <c r="BE804" i="1" s="1" a="1"/>
  <c r="BE804" i="1" s="1"/>
  <c r="AX804" i="1"/>
  <c r="M804" i="1"/>
  <c r="EM803" i="1"/>
  <c r="DU803" i="1"/>
  <c r="DT803" i="1"/>
  <c r="DN803" i="1"/>
  <c r="DM803" i="1"/>
  <c r="DL803" i="1"/>
  <c r="DK803" i="1"/>
  <c r="DI803" i="1"/>
  <c r="DJ803" i="1" s="1"/>
  <c r="DC803" i="1"/>
  <c r="CX803" i="1"/>
  <c r="BV803" i="1"/>
  <c r="BX803" i="1" s="1"/>
  <c r="BY803" i="1" s="1"/>
  <c r="BU803" i="1"/>
  <c r="BL803" i="1"/>
  <c r="BK803" i="1"/>
  <c r="BD803" i="1"/>
  <c r="BC803" i="1"/>
  <c r="BB803" i="1"/>
  <c r="BA803" i="1"/>
  <c r="AZ803" i="1"/>
  <c r="AY803" i="1"/>
  <c r="BE803" i="1" s="1" a="1"/>
  <c r="BE803" i="1" s="1"/>
  <c r="AX803" i="1"/>
  <c r="M803" i="1"/>
  <c r="EM802" i="1"/>
  <c r="DU802" i="1"/>
  <c r="DT802" i="1"/>
  <c r="DN802" i="1"/>
  <c r="DM802" i="1"/>
  <c r="DL802" i="1"/>
  <c r="DK802" i="1"/>
  <c r="DI802" i="1"/>
  <c r="DJ802" i="1" s="1"/>
  <c r="DC802" i="1"/>
  <c r="CX802" i="1"/>
  <c r="BV802" i="1"/>
  <c r="BX802" i="1" s="1"/>
  <c r="BY802" i="1" s="1"/>
  <c r="BU802" i="1"/>
  <c r="BL802" i="1"/>
  <c r="BK802" i="1"/>
  <c r="BD802" i="1"/>
  <c r="BC802" i="1"/>
  <c r="BB802" i="1"/>
  <c r="BA802" i="1"/>
  <c r="AZ802" i="1"/>
  <c r="AY802" i="1"/>
  <c r="BE802" i="1" s="1" a="1"/>
  <c r="BE802" i="1" s="1"/>
  <c r="AX802" i="1"/>
  <c r="M802" i="1"/>
  <c r="EM801" i="1"/>
  <c r="DU801" i="1"/>
  <c r="DT801" i="1"/>
  <c r="DN801" i="1"/>
  <c r="DM801" i="1"/>
  <c r="DL801" i="1"/>
  <c r="DK801" i="1"/>
  <c r="DI801" i="1"/>
  <c r="DJ801" i="1" s="1"/>
  <c r="DC801" i="1"/>
  <c r="CX801" i="1"/>
  <c r="BV801" i="1"/>
  <c r="BX801" i="1" s="1"/>
  <c r="BY801" i="1" s="1"/>
  <c r="BU801" i="1"/>
  <c r="EP801" i="1" s="1"/>
  <c r="BL801" i="1"/>
  <c r="BK801" i="1"/>
  <c r="BD801" i="1"/>
  <c r="BC801" i="1"/>
  <c r="BB801" i="1"/>
  <c r="BA801" i="1"/>
  <c r="AZ801" i="1"/>
  <c r="BF801" i="1" s="1" a="1"/>
  <c r="BF801" i="1" s="1"/>
  <c r="AY801" i="1"/>
  <c r="BE801" i="1" s="1" a="1"/>
  <c r="BE801" i="1" s="1"/>
  <c r="AX801" i="1"/>
  <c r="M801" i="1"/>
  <c r="EM800" i="1"/>
  <c r="DU800" i="1"/>
  <c r="DT800" i="1"/>
  <c r="DN800" i="1"/>
  <c r="DM800" i="1"/>
  <c r="DL800" i="1"/>
  <c r="DK800" i="1"/>
  <c r="DI800" i="1"/>
  <c r="DJ800" i="1" s="1"/>
  <c r="DC800" i="1"/>
  <c r="CX800" i="1"/>
  <c r="BV800" i="1"/>
  <c r="BX800" i="1" s="1"/>
  <c r="BY800" i="1" s="1"/>
  <c r="BU800" i="1"/>
  <c r="BL800" i="1"/>
  <c r="BK800" i="1"/>
  <c r="BD800" i="1"/>
  <c r="BC800" i="1"/>
  <c r="BB800" i="1"/>
  <c r="BA800" i="1"/>
  <c r="AZ800" i="1"/>
  <c r="AY800" i="1"/>
  <c r="BE800" i="1" s="1" a="1"/>
  <c r="BE800" i="1" s="1"/>
  <c r="AX800" i="1"/>
  <c r="M800" i="1"/>
  <c r="EM799" i="1"/>
  <c r="DU799" i="1"/>
  <c r="DT799" i="1"/>
  <c r="DN799" i="1"/>
  <c r="DM799" i="1"/>
  <c r="DL799" i="1"/>
  <c r="DK799" i="1"/>
  <c r="DI799" i="1"/>
  <c r="DJ799" i="1" s="1"/>
  <c r="DC799" i="1"/>
  <c r="CX799" i="1"/>
  <c r="BV799" i="1"/>
  <c r="BX799" i="1" s="1"/>
  <c r="BY799" i="1" s="1"/>
  <c r="BU799" i="1"/>
  <c r="EP799" i="1" s="1"/>
  <c r="BL799" i="1"/>
  <c r="BK799" i="1"/>
  <c r="BM799" i="1" s="1"/>
  <c r="BD799" i="1"/>
  <c r="BC799" i="1"/>
  <c r="BB799" i="1"/>
  <c r="BA799" i="1"/>
  <c r="AZ799" i="1"/>
  <c r="AY799" i="1"/>
  <c r="BE799" i="1" s="1" a="1"/>
  <c r="BE799" i="1" s="1"/>
  <c r="AX799" i="1"/>
  <c r="M799" i="1"/>
  <c r="EM798" i="1"/>
  <c r="DU798" i="1"/>
  <c r="DT798" i="1"/>
  <c r="DN798" i="1"/>
  <c r="DM798" i="1"/>
  <c r="DL798" i="1"/>
  <c r="DK798" i="1"/>
  <c r="DI798" i="1"/>
  <c r="DJ798" i="1" s="1"/>
  <c r="DC798" i="1"/>
  <c r="CX798" i="1"/>
  <c r="BV798" i="1"/>
  <c r="BX798" i="1" s="1"/>
  <c r="BY798" i="1" s="1"/>
  <c r="BU798" i="1"/>
  <c r="BL798" i="1"/>
  <c r="BK798" i="1"/>
  <c r="BM798" i="1" s="1"/>
  <c r="BD798" i="1"/>
  <c r="BC798" i="1"/>
  <c r="BB798" i="1"/>
  <c r="BA798" i="1"/>
  <c r="AZ798" i="1"/>
  <c r="AY798" i="1"/>
  <c r="BE798" i="1" s="1" a="1"/>
  <c r="BE798" i="1" s="1"/>
  <c r="AX798" i="1"/>
  <c r="M798" i="1"/>
  <c r="EM797" i="1"/>
  <c r="DU797" i="1"/>
  <c r="DT797" i="1"/>
  <c r="DN797" i="1"/>
  <c r="DM797" i="1"/>
  <c r="DL797" i="1"/>
  <c r="DK797" i="1"/>
  <c r="DI797" i="1"/>
  <c r="DJ797" i="1" s="1"/>
  <c r="DC797" i="1"/>
  <c r="CX797" i="1"/>
  <c r="BV797" i="1"/>
  <c r="BX797" i="1" s="1"/>
  <c r="BY797" i="1" s="1"/>
  <c r="BU797" i="1"/>
  <c r="EP797" i="1" s="1"/>
  <c r="BL797" i="1"/>
  <c r="BK797" i="1"/>
  <c r="BM797" i="1" s="1"/>
  <c r="BD797" i="1"/>
  <c r="BC797" i="1"/>
  <c r="BB797" i="1"/>
  <c r="BA797" i="1"/>
  <c r="AZ797" i="1"/>
  <c r="BF797" i="1" s="1" a="1"/>
  <c r="BF797" i="1" s="1"/>
  <c r="AY797" i="1"/>
  <c r="BE797" i="1" s="1" a="1"/>
  <c r="BE797" i="1" s="1"/>
  <c r="AX797" i="1"/>
  <c r="M797" i="1"/>
  <c r="EM796" i="1"/>
  <c r="DU796" i="1"/>
  <c r="DT796" i="1"/>
  <c r="DN796" i="1"/>
  <c r="DM796" i="1"/>
  <c r="DL796" i="1"/>
  <c r="DK796" i="1"/>
  <c r="DI796" i="1"/>
  <c r="DJ796" i="1" s="1"/>
  <c r="DC796" i="1"/>
  <c r="CX796" i="1"/>
  <c r="BV796" i="1"/>
  <c r="BX796" i="1" s="1"/>
  <c r="BY796" i="1" s="1"/>
  <c r="BU796" i="1"/>
  <c r="BL796" i="1"/>
  <c r="BK796" i="1"/>
  <c r="BN796" i="1" s="1"/>
  <c r="BD796" i="1"/>
  <c r="BC796" i="1"/>
  <c r="BB796" i="1"/>
  <c r="BA796" i="1"/>
  <c r="AZ796" i="1"/>
  <c r="AY796" i="1"/>
  <c r="BE796" i="1" s="1" a="1"/>
  <c r="BE796" i="1" s="1"/>
  <c r="AX796" i="1"/>
  <c r="M796" i="1"/>
  <c r="EM795" i="1"/>
  <c r="DU795" i="1"/>
  <c r="DT795" i="1"/>
  <c r="DN795" i="1"/>
  <c r="DM795" i="1"/>
  <c r="DL795" i="1"/>
  <c r="DK795" i="1"/>
  <c r="DI795" i="1"/>
  <c r="DJ795" i="1" s="1"/>
  <c r="DC795" i="1"/>
  <c r="CX795" i="1"/>
  <c r="BV795" i="1"/>
  <c r="BX795" i="1" s="1"/>
  <c r="BY795" i="1" s="1"/>
  <c r="BU795" i="1"/>
  <c r="EP795" i="1" s="1"/>
  <c r="BL795" i="1"/>
  <c r="BK795" i="1"/>
  <c r="BD795" i="1"/>
  <c r="BC795" i="1"/>
  <c r="BB795" i="1"/>
  <c r="BA795" i="1"/>
  <c r="AZ795" i="1"/>
  <c r="AY795" i="1"/>
  <c r="BE795" i="1" s="1" a="1"/>
  <c r="BE795" i="1" s="1"/>
  <c r="AX795" i="1"/>
  <c r="M795" i="1"/>
  <c r="EM794" i="1"/>
  <c r="DU794" i="1"/>
  <c r="DT794" i="1"/>
  <c r="DN794" i="1"/>
  <c r="DM794" i="1"/>
  <c r="DL794" i="1"/>
  <c r="DK794" i="1"/>
  <c r="DI794" i="1"/>
  <c r="DJ794" i="1" s="1"/>
  <c r="DC794" i="1"/>
  <c r="CX794" i="1"/>
  <c r="BV794" i="1"/>
  <c r="BX794" i="1" s="1"/>
  <c r="BY794" i="1" s="1"/>
  <c r="BU794" i="1"/>
  <c r="BL794" i="1"/>
  <c r="BK794" i="1"/>
  <c r="BD794" i="1"/>
  <c r="BC794" i="1"/>
  <c r="BB794" i="1"/>
  <c r="BA794" i="1"/>
  <c r="AZ794" i="1"/>
  <c r="AY794" i="1"/>
  <c r="BE794" i="1" s="1" a="1"/>
  <c r="BE794" i="1" s="1"/>
  <c r="AX794" i="1"/>
  <c r="M794" i="1"/>
  <c r="EM793" i="1"/>
  <c r="DU793" i="1"/>
  <c r="DT793" i="1"/>
  <c r="DN793" i="1"/>
  <c r="DM793" i="1"/>
  <c r="DL793" i="1"/>
  <c r="DK793" i="1"/>
  <c r="DI793" i="1"/>
  <c r="DJ793" i="1" s="1"/>
  <c r="DC793" i="1"/>
  <c r="CX793" i="1"/>
  <c r="BV793" i="1"/>
  <c r="BX793" i="1" s="1"/>
  <c r="BY793" i="1" s="1"/>
  <c r="BU793" i="1"/>
  <c r="EP793" i="1" s="1"/>
  <c r="BL793" i="1"/>
  <c r="BK793" i="1"/>
  <c r="BM793" i="1" s="1"/>
  <c r="BD793" i="1"/>
  <c r="BC793" i="1"/>
  <c r="BB793" i="1"/>
  <c r="BA793" i="1"/>
  <c r="AZ793" i="1"/>
  <c r="BF793" i="1" s="1" a="1"/>
  <c r="BF793" i="1" s="1"/>
  <c r="AY793" i="1"/>
  <c r="BE793" i="1" s="1" a="1"/>
  <c r="BE793" i="1" s="1"/>
  <c r="AX793" i="1"/>
  <c r="M793" i="1"/>
  <c r="EM792" i="1"/>
  <c r="DU792" i="1"/>
  <c r="DT792" i="1"/>
  <c r="DN792" i="1"/>
  <c r="DM792" i="1"/>
  <c r="DL792" i="1"/>
  <c r="DK792" i="1"/>
  <c r="DI792" i="1"/>
  <c r="DJ792" i="1" s="1"/>
  <c r="DC792" i="1"/>
  <c r="CX792" i="1"/>
  <c r="BV792" i="1"/>
  <c r="BX792" i="1" s="1"/>
  <c r="BY792" i="1" s="1"/>
  <c r="BU792" i="1"/>
  <c r="EP792" i="1" s="1"/>
  <c r="BL792" i="1"/>
  <c r="BK792" i="1"/>
  <c r="BM792" i="1" s="1"/>
  <c r="BD792" i="1"/>
  <c r="BC792" i="1"/>
  <c r="BB792" i="1"/>
  <c r="BA792" i="1"/>
  <c r="AZ792" i="1"/>
  <c r="AY792" i="1"/>
  <c r="BE792" i="1" s="1" a="1"/>
  <c r="BE792" i="1" s="1"/>
  <c r="AX792" i="1"/>
  <c r="M792" i="1"/>
  <c r="EM791" i="1"/>
  <c r="DU791" i="1"/>
  <c r="DT791" i="1"/>
  <c r="DN791" i="1"/>
  <c r="DM791" i="1"/>
  <c r="DL791" i="1"/>
  <c r="DK791" i="1"/>
  <c r="DI791" i="1"/>
  <c r="DJ791" i="1" s="1"/>
  <c r="DC791" i="1"/>
  <c r="CX791" i="1"/>
  <c r="CN791" i="1"/>
  <c r="CR791" i="1" s="1"/>
  <c r="BV791" i="1"/>
  <c r="BX791" i="1" s="1"/>
  <c r="BY791" i="1" s="1"/>
  <c r="BU791" i="1"/>
  <c r="BN791" i="1"/>
  <c r="BM791" i="1"/>
  <c r="BD791" i="1"/>
  <c r="BC791" i="1"/>
  <c r="BB791" i="1"/>
  <c r="BA791" i="1"/>
  <c r="AZ791" i="1"/>
  <c r="AY791" i="1"/>
  <c r="BE791" i="1" s="1" a="1"/>
  <c r="BE791" i="1" s="1"/>
  <c r="AX791" i="1"/>
  <c r="M791" i="1"/>
  <c r="EM790" i="1"/>
  <c r="DU790" i="1"/>
  <c r="DT790" i="1"/>
  <c r="DN790" i="1"/>
  <c r="DM790" i="1"/>
  <c r="DL790" i="1"/>
  <c r="DK790" i="1"/>
  <c r="DI790" i="1"/>
  <c r="DJ790" i="1" s="1"/>
  <c r="DC790" i="1"/>
  <c r="CX790" i="1"/>
  <c r="CN790" i="1"/>
  <c r="CO790" i="1" s="1"/>
  <c r="BV790" i="1"/>
  <c r="BX790" i="1" s="1"/>
  <c r="BU790" i="1"/>
  <c r="BN790" i="1"/>
  <c r="BO790" i="1" s="1"/>
  <c r="BM790" i="1"/>
  <c r="BD790" i="1"/>
  <c r="BC790" i="1"/>
  <c r="BB790" i="1"/>
  <c r="BA790" i="1"/>
  <c r="AZ790" i="1"/>
  <c r="AY790" i="1"/>
  <c r="BE790" i="1" s="1" a="1"/>
  <c r="BE790" i="1" s="1"/>
  <c r="AX790" i="1"/>
  <c r="M790" i="1"/>
  <c r="EM789" i="1"/>
  <c r="DU789" i="1"/>
  <c r="DT789" i="1"/>
  <c r="DN789" i="1"/>
  <c r="DM789" i="1"/>
  <c r="DL789" i="1"/>
  <c r="DK789" i="1"/>
  <c r="DI789" i="1"/>
  <c r="DJ789" i="1" s="1"/>
  <c r="DC789" i="1"/>
  <c r="CX789" i="1"/>
  <c r="CN789" i="1"/>
  <c r="CO789" i="1" s="1"/>
  <c r="BV789" i="1"/>
  <c r="BX789" i="1" s="1"/>
  <c r="BU789" i="1"/>
  <c r="BN789" i="1"/>
  <c r="BO789" i="1" s="1"/>
  <c r="BM789" i="1"/>
  <c r="BD789" i="1"/>
  <c r="BC789" i="1"/>
  <c r="BB789" i="1"/>
  <c r="BA789" i="1"/>
  <c r="AZ789" i="1"/>
  <c r="BF789" i="1" s="1" a="1"/>
  <c r="BF789" i="1" s="1"/>
  <c r="AY789" i="1"/>
  <c r="BE789" i="1" s="1" a="1"/>
  <c r="BE789" i="1" s="1"/>
  <c r="AX789" i="1"/>
  <c r="M789" i="1"/>
  <c r="EM788" i="1"/>
  <c r="DU788" i="1"/>
  <c r="DT788" i="1"/>
  <c r="DN788" i="1"/>
  <c r="DM788" i="1"/>
  <c r="DL788" i="1"/>
  <c r="DK788" i="1"/>
  <c r="DI788" i="1"/>
  <c r="DJ788" i="1" s="1"/>
  <c r="DC788" i="1"/>
  <c r="CX788" i="1"/>
  <c r="CN788" i="1"/>
  <c r="BV788" i="1"/>
  <c r="BX788" i="1" s="1"/>
  <c r="BU788" i="1"/>
  <c r="BN788" i="1"/>
  <c r="BO788" i="1" s="1"/>
  <c r="BM788" i="1"/>
  <c r="BD788" i="1"/>
  <c r="BC788" i="1"/>
  <c r="BB788" i="1"/>
  <c r="BA788" i="1"/>
  <c r="AZ788" i="1"/>
  <c r="AY788" i="1"/>
  <c r="BE788" i="1" s="1" a="1"/>
  <c r="BE788" i="1" s="1"/>
  <c r="AX788" i="1"/>
  <c r="M788" i="1"/>
  <c r="EM787" i="1"/>
  <c r="DU787" i="1"/>
  <c r="DT787" i="1"/>
  <c r="DN787" i="1"/>
  <c r="DM787" i="1"/>
  <c r="DL787" i="1"/>
  <c r="DK787" i="1"/>
  <c r="DI787" i="1"/>
  <c r="DJ787" i="1" s="1"/>
  <c r="DC787" i="1"/>
  <c r="CX787" i="1"/>
  <c r="CN787" i="1"/>
  <c r="CR787" i="1" s="1"/>
  <c r="BV787" i="1"/>
  <c r="BX787" i="1" s="1"/>
  <c r="BU787" i="1"/>
  <c r="BN787" i="1"/>
  <c r="BO787" i="1" s="1"/>
  <c r="BM787" i="1"/>
  <c r="BD787" i="1"/>
  <c r="BC787" i="1"/>
  <c r="BB787" i="1"/>
  <c r="BA787" i="1"/>
  <c r="AZ787" i="1"/>
  <c r="AY787" i="1"/>
  <c r="BE787" i="1" s="1" a="1"/>
  <c r="BE787" i="1" s="1"/>
  <c r="AX787" i="1"/>
  <c r="M787" i="1"/>
  <c r="EM1026" i="1"/>
  <c r="DU1026" i="1"/>
  <c r="DT1026" i="1"/>
  <c r="DN1026" i="1"/>
  <c r="DM1026" i="1"/>
  <c r="DL1026" i="1"/>
  <c r="DK1026" i="1"/>
  <c r="DI1026" i="1"/>
  <c r="DJ1026" i="1" s="1"/>
  <c r="DC1026" i="1"/>
  <c r="CX1026" i="1"/>
  <c r="CN1026" i="1"/>
  <c r="BV1026" i="1"/>
  <c r="BX1026" i="1" s="1"/>
  <c r="BU1026" i="1"/>
  <c r="BN1026" i="1"/>
  <c r="BO1026" i="1" s="1"/>
  <c r="BD1026" i="1"/>
  <c r="BC1026" i="1"/>
  <c r="BB1026" i="1"/>
  <c r="BA1026" i="1"/>
  <c r="AZ1026" i="1"/>
  <c r="AY1026" i="1"/>
  <c r="BE1026" i="1" s="1" a="1"/>
  <c r="BE1026" i="1" s="1"/>
  <c r="AX1026" i="1"/>
  <c r="M1026" i="1"/>
  <c r="EM1025" i="1"/>
  <c r="DU1025" i="1"/>
  <c r="DT1025" i="1"/>
  <c r="DN1025" i="1"/>
  <c r="DM1025" i="1"/>
  <c r="DL1025" i="1"/>
  <c r="DK1025" i="1"/>
  <c r="DI1025" i="1"/>
  <c r="DJ1025" i="1" s="1"/>
  <c r="DC1025" i="1"/>
  <c r="CX1025" i="1"/>
  <c r="CN1025" i="1"/>
  <c r="CO1025" i="1" s="1"/>
  <c r="BV1025" i="1"/>
  <c r="BX1025" i="1" s="1"/>
  <c r="BU1025" i="1"/>
  <c r="BN1025" i="1"/>
  <c r="BO1025" i="1" s="1"/>
  <c r="BD1025" i="1"/>
  <c r="BC1025" i="1"/>
  <c r="BB1025" i="1"/>
  <c r="BA1025" i="1"/>
  <c r="AZ1025" i="1"/>
  <c r="BF1025" i="1" s="1" a="1"/>
  <c r="BF1025" i="1" s="1"/>
  <c r="AY1025" i="1"/>
  <c r="BE1025" i="1" s="1" a="1"/>
  <c r="BE1025" i="1" s="1"/>
  <c r="AX1025" i="1"/>
  <c r="M1025" i="1"/>
  <c r="EM1024" i="1"/>
  <c r="DU1024" i="1"/>
  <c r="DT1024" i="1"/>
  <c r="DN1024" i="1"/>
  <c r="DM1024" i="1"/>
  <c r="DL1024" i="1"/>
  <c r="DK1024" i="1"/>
  <c r="DI1024" i="1"/>
  <c r="DJ1024" i="1" s="1"/>
  <c r="DC1024" i="1"/>
  <c r="CX1024" i="1"/>
  <c r="CN1024" i="1"/>
  <c r="CR1024" i="1" s="1"/>
  <c r="BV1024" i="1"/>
  <c r="BX1024" i="1" s="1"/>
  <c r="BU1024" i="1"/>
  <c r="BN1024" i="1"/>
  <c r="BO1024" i="1" s="1"/>
  <c r="BD1024" i="1"/>
  <c r="BC1024" i="1"/>
  <c r="BB1024" i="1"/>
  <c r="BA1024" i="1"/>
  <c r="AZ1024" i="1"/>
  <c r="BF1024" i="1" s="1" a="1"/>
  <c r="BF1024" i="1" s="1"/>
  <c r="AY1024" i="1"/>
  <c r="BE1024" i="1" s="1" a="1"/>
  <c r="BE1024" i="1" s="1"/>
  <c r="AX1024" i="1"/>
  <c r="M1024" i="1"/>
  <c r="EM1125" i="1"/>
  <c r="DU1125" i="1"/>
  <c r="DT1125" i="1"/>
  <c r="DN1125" i="1"/>
  <c r="DM1125" i="1"/>
  <c r="DL1125" i="1"/>
  <c r="DK1125" i="1"/>
  <c r="DI1125" i="1"/>
  <c r="DJ1125" i="1" s="1"/>
  <c r="DC1125" i="1"/>
  <c r="CX1125" i="1"/>
  <c r="BV1125" i="1"/>
  <c r="BX1125" i="1" s="1"/>
  <c r="BU1125" i="1"/>
  <c r="EP1125" i="1" s="1"/>
  <c r="BL1125" i="1"/>
  <c r="BN1125" i="1" s="1"/>
  <c r="BO1125" i="1" s="1"/>
  <c r="BD1125" i="1"/>
  <c r="BC1125" i="1"/>
  <c r="BB1125" i="1"/>
  <c r="BA1125" i="1"/>
  <c r="AZ1125" i="1"/>
  <c r="BF1125" i="1" s="1" a="1"/>
  <c r="BF1125" i="1" s="1"/>
  <c r="AY1125" i="1"/>
  <c r="BE1125" i="1" s="1" a="1"/>
  <c r="BE1125" i="1" s="1"/>
  <c r="AX1125" i="1"/>
  <c r="M1125" i="1"/>
  <c r="EM1124" i="1"/>
  <c r="DU1124" i="1"/>
  <c r="DT1124" i="1"/>
  <c r="DN1124" i="1"/>
  <c r="DM1124" i="1"/>
  <c r="DL1124" i="1"/>
  <c r="DK1124" i="1"/>
  <c r="DI1124" i="1"/>
  <c r="DJ1124" i="1" s="1"/>
  <c r="DC1124" i="1"/>
  <c r="CX1124" i="1"/>
  <c r="BV1124" i="1"/>
  <c r="BX1124" i="1" s="1"/>
  <c r="BU1124" i="1"/>
  <c r="BL1124" i="1"/>
  <c r="CN1124" i="1" s="1"/>
  <c r="CR1124" i="1" s="1"/>
  <c r="BD1124" i="1"/>
  <c r="BC1124" i="1"/>
  <c r="BB1124" i="1"/>
  <c r="BA1124" i="1"/>
  <c r="AZ1124" i="1"/>
  <c r="BF1124" i="1" s="1" a="1"/>
  <c r="BF1124" i="1" s="1"/>
  <c r="AY1124" i="1"/>
  <c r="BE1124" i="1" s="1" a="1"/>
  <c r="BE1124" i="1" s="1"/>
  <c r="AX1124" i="1"/>
  <c r="M1124" i="1"/>
  <c r="EM1123" i="1"/>
  <c r="DU1123" i="1"/>
  <c r="DT1123" i="1"/>
  <c r="DN1123" i="1"/>
  <c r="DM1123" i="1"/>
  <c r="DL1123" i="1"/>
  <c r="DK1123" i="1"/>
  <c r="DI1123" i="1"/>
  <c r="DJ1123" i="1" s="1"/>
  <c r="DC1123" i="1"/>
  <c r="CX1123" i="1"/>
  <c r="BV1123" i="1"/>
  <c r="BX1123" i="1" s="1"/>
  <c r="BU1123" i="1"/>
  <c r="EP1123" i="1" s="1"/>
  <c r="BL1123" i="1"/>
  <c r="CN1123" i="1" s="1"/>
  <c r="CO1123" i="1" s="1"/>
  <c r="BD1123" i="1"/>
  <c r="BC1123" i="1"/>
  <c r="BB1123" i="1"/>
  <c r="BA1123" i="1"/>
  <c r="AZ1123" i="1"/>
  <c r="AY1123" i="1"/>
  <c r="BE1123" i="1" s="1" a="1"/>
  <c r="BE1123" i="1" s="1"/>
  <c r="AX1123" i="1"/>
  <c r="M1123" i="1"/>
  <c r="EM1122" i="1"/>
  <c r="DU1122" i="1"/>
  <c r="DT1122" i="1"/>
  <c r="DN1122" i="1"/>
  <c r="DM1122" i="1"/>
  <c r="DL1122" i="1"/>
  <c r="DK1122" i="1"/>
  <c r="DI1122" i="1"/>
  <c r="DJ1122" i="1" s="1"/>
  <c r="DC1122" i="1"/>
  <c r="CX1122" i="1"/>
  <c r="BV1122" i="1"/>
  <c r="BX1122" i="1" s="1"/>
  <c r="BU1122" i="1"/>
  <c r="BL1122" i="1"/>
  <c r="CN1122" i="1" s="1"/>
  <c r="CO1122" i="1" s="1"/>
  <c r="BD1122" i="1"/>
  <c r="BC1122" i="1"/>
  <c r="BB1122" i="1"/>
  <c r="BA1122" i="1"/>
  <c r="AZ1122" i="1"/>
  <c r="AY1122" i="1"/>
  <c r="BE1122" i="1" s="1" a="1"/>
  <c r="BE1122" i="1" s="1"/>
  <c r="AX1122" i="1"/>
  <c r="M1122" i="1"/>
  <c r="EM1121" i="1"/>
  <c r="DU1121" i="1"/>
  <c r="DT1121" i="1"/>
  <c r="DN1121" i="1"/>
  <c r="DM1121" i="1"/>
  <c r="DL1121" i="1"/>
  <c r="DK1121" i="1"/>
  <c r="DI1121" i="1"/>
  <c r="DJ1121" i="1" s="1"/>
  <c r="DC1121" i="1"/>
  <c r="CX1121" i="1"/>
  <c r="BV1121" i="1"/>
  <c r="BX1121" i="1" s="1"/>
  <c r="BU1121" i="1"/>
  <c r="BL1121" i="1"/>
  <c r="CN1121" i="1" s="1"/>
  <c r="BD1121" i="1"/>
  <c r="BC1121" i="1"/>
  <c r="BB1121" i="1"/>
  <c r="BA1121" i="1"/>
  <c r="AZ1121" i="1"/>
  <c r="AY1121" i="1"/>
  <c r="BE1121" i="1" s="1" a="1"/>
  <c r="BE1121" i="1" s="1"/>
  <c r="AX1121" i="1"/>
  <c r="M1121" i="1"/>
  <c r="EM1120" i="1"/>
  <c r="DU1120" i="1"/>
  <c r="DT1120" i="1"/>
  <c r="DN1120" i="1"/>
  <c r="DM1120" i="1"/>
  <c r="DL1120" i="1"/>
  <c r="DK1120" i="1"/>
  <c r="DI1120" i="1"/>
  <c r="DJ1120" i="1" s="1"/>
  <c r="DC1120" i="1"/>
  <c r="CX1120" i="1"/>
  <c r="BV1120" i="1"/>
  <c r="BX1120" i="1" s="1"/>
  <c r="BU1120" i="1"/>
  <c r="BL1120" i="1"/>
  <c r="BN1120" i="1" s="1"/>
  <c r="BO1120" i="1" s="1"/>
  <c r="BD1120" i="1"/>
  <c r="BC1120" i="1"/>
  <c r="BB1120" i="1"/>
  <c r="BA1120" i="1"/>
  <c r="AZ1120" i="1"/>
  <c r="AY1120" i="1"/>
  <c r="BE1120" i="1" s="1" a="1"/>
  <c r="BE1120" i="1" s="1"/>
  <c r="AX1120" i="1"/>
  <c r="M1120" i="1"/>
  <c r="EM1023" i="1"/>
  <c r="DU1023" i="1"/>
  <c r="DT1023" i="1"/>
  <c r="DN1023" i="1"/>
  <c r="DM1023" i="1"/>
  <c r="DL1023" i="1"/>
  <c r="DK1023" i="1"/>
  <c r="DI1023" i="1"/>
  <c r="DJ1023" i="1" s="1"/>
  <c r="DC1023" i="1"/>
  <c r="CX1023" i="1"/>
  <c r="CN1023" i="1"/>
  <c r="BV1023" i="1"/>
  <c r="BX1023" i="1" s="1"/>
  <c r="BU1023" i="1"/>
  <c r="BN1023" i="1"/>
  <c r="BO1023" i="1" s="1"/>
  <c r="BD1023" i="1"/>
  <c r="BC1023" i="1"/>
  <c r="BB1023" i="1"/>
  <c r="BA1023" i="1"/>
  <c r="AZ1023" i="1"/>
  <c r="AY1023" i="1"/>
  <c r="BE1023" i="1" s="1" a="1"/>
  <c r="BE1023" i="1" s="1"/>
  <c r="AX1023" i="1"/>
  <c r="M1023" i="1"/>
  <c r="EM1119" i="1"/>
  <c r="DU1119" i="1"/>
  <c r="DT1119" i="1"/>
  <c r="DN1119" i="1"/>
  <c r="DM1119" i="1"/>
  <c r="DL1119" i="1"/>
  <c r="DK1119" i="1"/>
  <c r="DI1119" i="1"/>
  <c r="DJ1119" i="1" s="1"/>
  <c r="DC1119" i="1"/>
  <c r="CX1119" i="1"/>
  <c r="BV1119" i="1"/>
  <c r="BX1119" i="1" s="1"/>
  <c r="BU1119" i="1"/>
  <c r="BL1119" i="1"/>
  <c r="CN1119" i="1" s="1"/>
  <c r="CR1119" i="1" s="1"/>
  <c r="BD1119" i="1"/>
  <c r="BC1119" i="1"/>
  <c r="BB1119" i="1"/>
  <c r="BA1119" i="1"/>
  <c r="AZ1119" i="1"/>
  <c r="AY1119" i="1"/>
  <c r="BE1119" i="1" s="1" a="1"/>
  <c r="BE1119" i="1" s="1"/>
  <c r="AX1119" i="1"/>
  <c r="M1119" i="1"/>
  <c r="EM1118" i="1"/>
  <c r="DU1118" i="1"/>
  <c r="DT1118" i="1"/>
  <c r="DN1118" i="1"/>
  <c r="DM1118" i="1"/>
  <c r="DL1118" i="1"/>
  <c r="DK1118" i="1"/>
  <c r="DI1118" i="1"/>
  <c r="DJ1118" i="1" s="1"/>
  <c r="DC1118" i="1"/>
  <c r="CX1118" i="1"/>
  <c r="BV1118" i="1"/>
  <c r="BX1118" i="1" s="1"/>
  <c r="BU1118" i="1"/>
  <c r="BL1118" i="1"/>
  <c r="BN1118" i="1" s="1"/>
  <c r="BO1118" i="1" s="1"/>
  <c r="BD1118" i="1"/>
  <c r="BC1118" i="1"/>
  <c r="BB1118" i="1"/>
  <c r="BA1118" i="1"/>
  <c r="AZ1118" i="1"/>
  <c r="AY1118" i="1"/>
  <c r="BE1118" i="1" s="1" a="1"/>
  <c r="BE1118" i="1" s="1"/>
  <c r="AX1118" i="1"/>
  <c r="M1118" i="1"/>
  <c r="EM1117" i="1"/>
  <c r="DU1117" i="1"/>
  <c r="DT1117" i="1"/>
  <c r="DN1117" i="1"/>
  <c r="DM1117" i="1"/>
  <c r="DL1117" i="1"/>
  <c r="DK1117" i="1"/>
  <c r="DI1117" i="1"/>
  <c r="DJ1117" i="1" s="1"/>
  <c r="DC1117" i="1"/>
  <c r="CX1117" i="1"/>
  <c r="BV1117" i="1"/>
  <c r="BX1117" i="1" s="1"/>
  <c r="BU1117" i="1"/>
  <c r="BL1117" i="1"/>
  <c r="CN1117" i="1" s="1"/>
  <c r="CO1117" i="1" s="1"/>
  <c r="BD1117" i="1"/>
  <c r="BC1117" i="1"/>
  <c r="BB1117" i="1"/>
  <c r="BA1117" i="1"/>
  <c r="AZ1117" i="1"/>
  <c r="AY1117" i="1"/>
  <c r="BE1117" i="1" s="1" a="1"/>
  <c r="BE1117" i="1" s="1"/>
  <c r="AX1117" i="1"/>
  <c r="M1117" i="1"/>
  <c r="EM1116" i="1"/>
  <c r="DU1116" i="1"/>
  <c r="DT1116" i="1"/>
  <c r="DN1116" i="1"/>
  <c r="DM1116" i="1"/>
  <c r="DL1116" i="1"/>
  <c r="DK1116" i="1"/>
  <c r="DI1116" i="1"/>
  <c r="DJ1116" i="1" s="1"/>
  <c r="DC1116" i="1"/>
  <c r="CX1116" i="1"/>
  <c r="BV1116" i="1"/>
  <c r="BX1116" i="1" s="1"/>
  <c r="BU1116" i="1"/>
  <c r="BL1116" i="1"/>
  <c r="BN1116" i="1" s="1"/>
  <c r="BO1116" i="1" s="1"/>
  <c r="BD1116" i="1"/>
  <c r="BC1116" i="1"/>
  <c r="BB1116" i="1"/>
  <c r="BA1116" i="1"/>
  <c r="AZ1116" i="1"/>
  <c r="BF1116" i="1" s="1" a="1"/>
  <c r="BF1116" i="1" s="1"/>
  <c r="AY1116" i="1"/>
  <c r="BE1116" i="1" s="1" a="1"/>
  <c r="BE1116" i="1" s="1"/>
  <c r="AX1116" i="1"/>
  <c r="M1116" i="1"/>
  <c r="EM1115" i="1"/>
  <c r="DU1115" i="1"/>
  <c r="DT1115" i="1"/>
  <c r="DN1115" i="1"/>
  <c r="DM1115" i="1"/>
  <c r="DL1115" i="1"/>
  <c r="DK1115" i="1"/>
  <c r="DI1115" i="1"/>
  <c r="DJ1115" i="1" s="1"/>
  <c r="DC1115" i="1"/>
  <c r="CX1115" i="1"/>
  <c r="BV1115" i="1"/>
  <c r="BX1115" i="1" s="1"/>
  <c r="BU1115" i="1"/>
  <c r="BL1115" i="1"/>
  <c r="BM1115" i="1" s="1"/>
  <c r="BD1115" i="1"/>
  <c r="BC1115" i="1"/>
  <c r="BB1115" i="1"/>
  <c r="BA1115" i="1"/>
  <c r="AZ1115" i="1"/>
  <c r="BF1115" i="1" s="1" a="1"/>
  <c r="BF1115" i="1" s="1"/>
  <c r="AY1115" i="1"/>
  <c r="BE1115" i="1" s="1" a="1"/>
  <c r="BE1115" i="1" s="1"/>
  <c r="AX1115" i="1"/>
  <c r="M1115" i="1"/>
  <c r="EM1114" i="1"/>
  <c r="DU1114" i="1"/>
  <c r="DT1114" i="1"/>
  <c r="DN1114" i="1"/>
  <c r="DM1114" i="1"/>
  <c r="DL1114" i="1"/>
  <c r="DK1114" i="1"/>
  <c r="DI1114" i="1"/>
  <c r="DJ1114" i="1" s="1"/>
  <c r="DC1114" i="1"/>
  <c r="CX1114" i="1"/>
  <c r="BV1114" i="1"/>
  <c r="BX1114" i="1" s="1"/>
  <c r="BU1114" i="1"/>
  <c r="BL1114" i="1"/>
  <c r="BM1114" i="1" s="1"/>
  <c r="BD1114" i="1"/>
  <c r="BC1114" i="1"/>
  <c r="BB1114" i="1"/>
  <c r="BA1114" i="1"/>
  <c r="AZ1114" i="1"/>
  <c r="BF1114" i="1" s="1" a="1"/>
  <c r="BF1114" i="1" s="1"/>
  <c r="AY1114" i="1"/>
  <c r="BE1114" i="1" s="1" a="1"/>
  <c r="BE1114" i="1" s="1"/>
  <c r="AX1114" i="1"/>
  <c r="M1114" i="1"/>
  <c r="EM1113" i="1"/>
  <c r="DU1113" i="1"/>
  <c r="DT1113" i="1"/>
  <c r="DN1113" i="1"/>
  <c r="DM1113" i="1"/>
  <c r="DL1113" i="1"/>
  <c r="DK1113" i="1"/>
  <c r="DI1113" i="1"/>
  <c r="DJ1113" i="1" s="1"/>
  <c r="DC1113" i="1"/>
  <c r="CX1113" i="1"/>
  <c r="BV1113" i="1"/>
  <c r="BX1113" i="1" s="1"/>
  <c r="BU1113" i="1"/>
  <c r="BL1113" i="1"/>
  <c r="CN1113" i="1" s="1"/>
  <c r="CS1113" i="1" s="1"/>
  <c r="BD1113" i="1"/>
  <c r="BC1113" i="1"/>
  <c r="BB1113" i="1"/>
  <c r="BA1113" i="1"/>
  <c r="AZ1113" i="1"/>
  <c r="AY1113" i="1"/>
  <c r="BE1113" i="1" s="1" a="1"/>
  <c r="BE1113" i="1" s="1"/>
  <c r="AX1113" i="1"/>
  <c r="M1113" i="1"/>
  <c r="EM1112" i="1"/>
  <c r="DU1112" i="1"/>
  <c r="DT1112" i="1"/>
  <c r="DN1112" i="1"/>
  <c r="DM1112" i="1"/>
  <c r="DL1112" i="1"/>
  <c r="DK1112" i="1"/>
  <c r="DI1112" i="1"/>
  <c r="DJ1112" i="1" s="1"/>
  <c r="DC1112" i="1"/>
  <c r="CX1112" i="1"/>
  <c r="BV1112" i="1"/>
  <c r="BX1112" i="1" s="1"/>
  <c r="BU1112" i="1"/>
  <c r="BL1112" i="1"/>
  <c r="BN1112" i="1" s="1"/>
  <c r="BO1112" i="1" s="1"/>
  <c r="BD1112" i="1"/>
  <c r="BC1112" i="1"/>
  <c r="BB1112" i="1"/>
  <c r="BA1112" i="1"/>
  <c r="AZ1112" i="1"/>
  <c r="AY1112" i="1"/>
  <c r="BE1112" i="1" s="1" a="1"/>
  <c r="BE1112" i="1" s="1"/>
  <c r="AX1112" i="1"/>
  <c r="M1112" i="1"/>
  <c r="EM1111" i="1"/>
  <c r="DU1111" i="1"/>
  <c r="DT1111" i="1"/>
  <c r="DN1111" i="1"/>
  <c r="DM1111" i="1"/>
  <c r="DL1111" i="1"/>
  <c r="DK1111" i="1"/>
  <c r="DI1111" i="1"/>
  <c r="DJ1111" i="1" s="1"/>
  <c r="DC1111" i="1"/>
  <c r="CX1111" i="1"/>
  <c r="BV1111" i="1"/>
  <c r="BX1111" i="1" s="1"/>
  <c r="BU1111" i="1"/>
  <c r="BL1111" i="1"/>
  <c r="BN1111" i="1" s="1"/>
  <c r="BO1111" i="1" s="1"/>
  <c r="BD1111" i="1"/>
  <c r="BC1111" i="1"/>
  <c r="BB1111" i="1"/>
  <c r="BA1111" i="1"/>
  <c r="AZ1111" i="1"/>
  <c r="BF1111" i="1" s="1" a="1"/>
  <c r="BF1111" i="1" s="1"/>
  <c r="AY1111" i="1"/>
  <c r="BE1111" i="1" s="1" a="1"/>
  <c r="BE1111" i="1" s="1"/>
  <c r="AX1111" i="1"/>
  <c r="M1111" i="1"/>
  <c r="EM1110" i="1"/>
  <c r="DU1110" i="1"/>
  <c r="DT1110" i="1"/>
  <c r="DN1110" i="1"/>
  <c r="DM1110" i="1"/>
  <c r="DL1110" i="1"/>
  <c r="DK1110" i="1"/>
  <c r="DI1110" i="1"/>
  <c r="DJ1110" i="1" s="1"/>
  <c r="DC1110" i="1"/>
  <c r="CX1110" i="1"/>
  <c r="BV1110" i="1"/>
  <c r="BX1110" i="1" s="1"/>
  <c r="BU1110" i="1"/>
  <c r="BL1110" i="1"/>
  <c r="BN1110" i="1" s="1"/>
  <c r="BO1110" i="1" s="1"/>
  <c r="BD1110" i="1"/>
  <c r="BC1110" i="1"/>
  <c r="BB1110" i="1"/>
  <c r="BA1110" i="1"/>
  <c r="AZ1110" i="1"/>
  <c r="AY1110" i="1"/>
  <c r="BE1110" i="1" s="1" a="1"/>
  <c r="BE1110" i="1" s="1"/>
  <c r="AX1110" i="1"/>
  <c r="M1110" i="1"/>
  <c r="EM1057" i="1"/>
  <c r="DU1057" i="1"/>
  <c r="DT1057" i="1"/>
  <c r="DN1057" i="1"/>
  <c r="DM1057" i="1"/>
  <c r="DL1057" i="1"/>
  <c r="DK1057" i="1"/>
  <c r="DI1057" i="1"/>
  <c r="DJ1057" i="1" s="1"/>
  <c r="DC1057" i="1"/>
  <c r="CX1057" i="1"/>
  <c r="CN1057" i="1"/>
  <c r="BT1057" i="1"/>
  <c r="BS1057" i="1"/>
  <c r="BN1057" i="1"/>
  <c r="BO1057" i="1" s="1"/>
  <c r="BD1057" i="1"/>
  <c r="BC1057" i="1"/>
  <c r="BB1057" i="1"/>
  <c r="BA1057" i="1"/>
  <c r="AZ1057" i="1"/>
  <c r="AY1057" i="1"/>
  <c r="BE1057" i="1" s="1" a="1"/>
  <c r="BE1057" i="1" s="1"/>
  <c r="AX1057" i="1"/>
  <c r="M1057" i="1"/>
  <c r="EM1056" i="1"/>
  <c r="DU1056" i="1"/>
  <c r="DT1056" i="1"/>
  <c r="DN1056" i="1"/>
  <c r="DM1056" i="1"/>
  <c r="DL1056" i="1"/>
  <c r="DK1056" i="1"/>
  <c r="DI1056" i="1"/>
  <c r="DJ1056" i="1" s="1"/>
  <c r="DC1056" i="1"/>
  <c r="CX1056" i="1"/>
  <c r="CN1056" i="1"/>
  <c r="BT1056" i="1"/>
  <c r="BS1056" i="1"/>
  <c r="BN1056" i="1"/>
  <c r="BO1056" i="1" s="1"/>
  <c r="BD1056" i="1"/>
  <c r="BC1056" i="1"/>
  <c r="BB1056" i="1"/>
  <c r="BA1056" i="1"/>
  <c r="AZ1056" i="1"/>
  <c r="BF1056" i="1" s="1" a="1"/>
  <c r="BF1056" i="1" s="1"/>
  <c r="AY1056" i="1"/>
  <c r="BE1056" i="1" s="1" a="1"/>
  <c r="BE1056" i="1" s="1"/>
  <c r="AX1056" i="1"/>
  <c r="M1056" i="1"/>
  <c r="EM1055" i="1"/>
  <c r="DU1055" i="1"/>
  <c r="DT1055" i="1"/>
  <c r="DN1055" i="1"/>
  <c r="DM1055" i="1"/>
  <c r="DL1055" i="1"/>
  <c r="DK1055" i="1"/>
  <c r="DI1055" i="1"/>
  <c r="DJ1055" i="1" s="1"/>
  <c r="DC1055" i="1"/>
  <c r="CX1055" i="1"/>
  <c r="CN1055" i="1"/>
  <c r="BT1055" i="1"/>
  <c r="BS1055" i="1"/>
  <c r="BN1055" i="1"/>
  <c r="BO1055" i="1" s="1"/>
  <c r="BD1055" i="1"/>
  <c r="BC1055" i="1"/>
  <c r="BB1055" i="1"/>
  <c r="BA1055" i="1"/>
  <c r="AZ1055" i="1"/>
  <c r="BF1055" i="1" s="1" a="1"/>
  <c r="BF1055" i="1" s="1"/>
  <c r="AY1055" i="1"/>
  <c r="BE1055" i="1" s="1" a="1"/>
  <c r="BE1055" i="1" s="1"/>
  <c r="AX1055" i="1"/>
  <c r="M1055" i="1"/>
  <c r="EM1054" i="1"/>
  <c r="DU1054" i="1"/>
  <c r="DT1054" i="1"/>
  <c r="DN1054" i="1"/>
  <c r="DM1054" i="1"/>
  <c r="DL1054" i="1"/>
  <c r="DK1054" i="1"/>
  <c r="DI1054" i="1"/>
  <c r="DJ1054" i="1" s="1"/>
  <c r="DC1054" i="1"/>
  <c r="CX1054" i="1"/>
  <c r="CN1054" i="1"/>
  <c r="BT1054" i="1"/>
  <c r="BS1054" i="1"/>
  <c r="BN1054" i="1"/>
  <c r="BO1054" i="1" s="1"/>
  <c r="BD1054" i="1"/>
  <c r="BC1054" i="1"/>
  <c r="BB1054" i="1"/>
  <c r="BA1054" i="1"/>
  <c r="AZ1054" i="1"/>
  <c r="AY1054" i="1"/>
  <c r="BE1054" i="1" s="1" a="1"/>
  <c r="BE1054" i="1" s="1"/>
  <c r="AX1054" i="1"/>
  <c r="M1054" i="1"/>
  <c r="BF608" i="1" l="1" a="1"/>
  <c r="BF608" i="1" s="1"/>
  <c r="BF607" i="1" a="1"/>
  <c r="BF607" i="1" s="1"/>
  <c r="BF746" i="1" a="1"/>
  <c r="BF746" i="1" s="1"/>
  <c r="BF764" i="1" a="1"/>
  <c r="BF764" i="1" s="1"/>
  <c r="BF791" i="1" a="1"/>
  <c r="BF791" i="1" s="1"/>
  <c r="BF508" i="1" a="1"/>
  <c r="BF508" i="1" s="1"/>
  <c r="BF514" i="1" a="1"/>
  <c r="BF514" i="1" s="1"/>
  <c r="BF1069" i="1" a="1"/>
  <c r="BF1069" i="1" s="1"/>
  <c r="BF1068" i="1" a="1"/>
  <c r="BF1068" i="1" s="1"/>
  <c r="BF1079" i="1" a="1"/>
  <c r="BF1079" i="1" s="1"/>
  <c r="BF1119" i="1" a="1"/>
  <c r="BF1119" i="1" s="1"/>
  <c r="BF1121" i="1" a="1"/>
  <c r="BF1121" i="1" s="1"/>
  <c r="BF790" i="1" a="1"/>
  <c r="BF790" i="1" s="1"/>
  <c r="BF795" i="1" a="1"/>
  <c r="BF795" i="1" s="1"/>
  <c r="BF799" i="1" a="1"/>
  <c r="BF799" i="1" s="1"/>
  <c r="BF803" i="1" a="1"/>
  <c r="BF803" i="1" s="1"/>
  <c r="BF1128" i="1" a="1"/>
  <c r="BF1128" i="1" s="1"/>
  <c r="BF577" i="1" a="1"/>
  <c r="BF577" i="1" s="1"/>
  <c r="BF513" i="1" a="1"/>
  <c r="BF513" i="1" s="1"/>
  <c r="BF1062" i="1" a="1"/>
  <c r="BF1062" i="1" s="1"/>
  <c r="BF1065" i="1" a="1"/>
  <c r="BF1065" i="1" s="1"/>
  <c r="BF1074" i="1" a="1"/>
  <c r="BF1074" i="1" s="1"/>
  <c r="BF600" i="1" a="1"/>
  <c r="BF600" i="1" s="1"/>
  <c r="BF1053" i="1" a="1"/>
  <c r="BF1053" i="1" s="1"/>
  <c r="BF749" i="1" a="1"/>
  <c r="BF749" i="1" s="1"/>
  <c r="BF587" i="1" a="1"/>
  <c r="BF587" i="1" s="1"/>
  <c r="BF1047" i="1" a="1"/>
  <c r="BF1047" i="1" s="1"/>
  <c r="BF1050" i="1" a="1"/>
  <c r="BF1050" i="1" s="1"/>
  <c r="BF623" i="1" a="1"/>
  <c r="BF623" i="1" s="1"/>
  <c r="BF1095" i="1" a="1"/>
  <c r="BF1095" i="1" s="1"/>
  <c r="BF603" i="1" a="1"/>
  <c r="BF603" i="1" s="1"/>
  <c r="BF526" i="1" a="1"/>
  <c r="BF526" i="1" s="1"/>
  <c r="BF1080" i="1" a="1"/>
  <c r="BF1080" i="1" s="1"/>
  <c r="BF1081" i="1" a="1"/>
  <c r="BF1081" i="1" s="1"/>
  <c r="BF611" i="1" a="1"/>
  <c r="BF611" i="1" s="1"/>
  <c r="BF613" i="1" a="1"/>
  <c r="BF613" i="1" s="1"/>
  <c r="BE613" i="1" s="1" a="1"/>
  <c r="BE613" i="1" s="1"/>
  <c r="BF708" i="1" a="1"/>
  <c r="BF708" i="1" s="1"/>
  <c r="BF712" i="1" a="1"/>
  <c r="BF712" i="1" s="1"/>
  <c r="BF610" i="1" a="1"/>
  <c r="BF610" i="1" s="1"/>
  <c r="BF605" i="1" a="1"/>
  <c r="BF605" i="1" s="1"/>
  <c r="BF763" i="1" a="1"/>
  <c r="BF763" i="1" s="1"/>
  <c r="BF721" i="1" a="1"/>
  <c r="BF721" i="1" s="1"/>
  <c r="BF744" i="1" a="1"/>
  <c r="BF744" i="1" s="1"/>
  <c r="BF1034" i="1" a="1"/>
  <c r="BF1034" i="1" s="1"/>
  <c r="BF1036" i="1" a="1"/>
  <c r="BF1036" i="1" s="1"/>
  <c r="BF1038" i="1" a="1"/>
  <c r="BF1038" i="1" s="1"/>
  <c r="BF1040" i="1" a="1"/>
  <c r="BF1040" i="1" s="1"/>
  <c r="BF1042" i="1" a="1"/>
  <c r="BF1042" i="1" s="1"/>
  <c r="BF1044" i="1" a="1"/>
  <c r="BF1044" i="1" s="1"/>
  <c r="BF1032" i="1" a="1"/>
  <c r="BF1032" i="1" s="1"/>
  <c r="BF1084" i="1" a="1"/>
  <c r="BF1084" i="1" s="1"/>
  <c r="BF745" i="1" a="1"/>
  <c r="BF745" i="1" s="1"/>
  <c r="BF770" i="1" a="1"/>
  <c r="BF770" i="1" s="1"/>
  <c r="BF390" i="1" a="1"/>
  <c r="BF390" i="1" s="1"/>
  <c r="BF1092" i="1" a="1"/>
  <c r="BF1092" i="1" s="1"/>
  <c r="BF599" i="1" a="1"/>
  <c r="BF599" i="1" s="1"/>
  <c r="BF399" i="1" a="1"/>
  <c r="BF399" i="1" s="1"/>
  <c r="BF780" i="1" a="1"/>
  <c r="BF780" i="1" s="1"/>
  <c r="BF784" i="1" a="1"/>
  <c r="BF784" i="1" s="1"/>
  <c r="BF1097" i="1" a="1"/>
  <c r="BF1097" i="1" s="1"/>
  <c r="BF1101" i="1" a="1"/>
  <c r="BF1101" i="1" s="1"/>
  <c r="BF1105" i="1" a="1"/>
  <c r="BF1105" i="1" s="1"/>
  <c r="BF620" i="1" a="1"/>
  <c r="BF620" i="1" s="1"/>
  <c r="BF581" i="1" a="1"/>
  <c r="BF581" i="1" s="1"/>
  <c r="BF754" i="1" a="1"/>
  <c r="BF754" i="1" s="1"/>
  <c r="BF758" i="1" a="1"/>
  <c r="BF758" i="1" s="1"/>
  <c r="BF612" i="1" a="1"/>
  <c r="BF612" i="1" s="1"/>
  <c r="BF776" i="1" a="1"/>
  <c r="BF776" i="1" s="1"/>
  <c r="BF1085" i="1" a="1"/>
  <c r="BF1085" i="1" s="1"/>
  <c r="BF580" i="1" a="1"/>
  <c r="BF580" i="1" s="1"/>
  <c r="BF778" i="1" a="1"/>
  <c r="BF778" i="1" s="1"/>
  <c r="BF1113" i="1" a="1"/>
  <c r="BF1113" i="1" s="1"/>
  <c r="BF1123" i="1" a="1"/>
  <c r="BF1123" i="1" s="1"/>
  <c r="BF788" i="1" a="1"/>
  <c r="BF788" i="1" s="1"/>
  <c r="BF794" i="1" a="1"/>
  <c r="BF794" i="1" s="1"/>
  <c r="BF798" i="1" a="1"/>
  <c r="BF798" i="1" s="1"/>
  <c r="BF802" i="1" a="1"/>
  <c r="BF802" i="1" s="1"/>
  <c r="BF1127" i="1" a="1"/>
  <c r="BF1127" i="1" s="1"/>
  <c r="BF1131" i="1" a="1"/>
  <c r="BF1131" i="1" s="1"/>
  <c r="BF515" i="1" a="1"/>
  <c r="BF515" i="1" s="1"/>
  <c r="BF1064" i="1" a="1"/>
  <c r="BF1064" i="1" s="1"/>
  <c r="BF1067" i="1" a="1"/>
  <c r="BF1067" i="1" s="1"/>
  <c r="BF743" i="1" a="1"/>
  <c r="BF743" i="1" s="1"/>
  <c r="BF753" i="1" a="1"/>
  <c r="BF753" i="1" s="1"/>
  <c r="BF1029" i="1" a="1"/>
  <c r="BF1029" i="1" s="1"/>
  <c r="BF432" i="1" a="1"/>
  <c r="BF432" i="1" s="1"/>
  <c r="BF1088" i="1" a="1"/>
  <c r="BF1088" i="1" s="1"/>
  <c r="BF617" i="1" a="1"/>
  <c r="BF617" i="1" s="1"/>
  <c r="BF762" i="1" a="1"/>
  <c r="BF762" i="1" s="1"/>
  <c r="BF602" i="1" a="1"/>
  <c r="BF602" i="1" s="1"/>
  <c r="BF523" i="1" a="1"/>
  <c r="BF523" i="1" s="1"/>
  <c r="BF1054" i="1" a="1"/>
  <c r="BF1054" i="1" s="1"/>
  <c r="BF1110" i="1" a="1"/>
  <c r="BF1110" i="1" s="1"/>
  <c r="BF1118" i="1" a="1"/>
  <c r="BF1118" i="1" s="1"/>
  <c r="BF1120" i="1" a="1"/>
  <c r="BF1120" i="1" s="1"/>
  <c r="BF787" i="1" a="1"/>
  <c r="BF787" i="1" s="1"/>
  <c r="BF1061" i="1" a="1"/>
  <c r="BF1061" i="1" s="1"/>
  <c r="BF397" i="1" a="1"/>
  <c r="BF397" i="1" s="1"/>
  <c r="BF1073" i="1" a="1"/>
  <c r="BF1073" i="1" s="1"/>
  <c r="BF1077" i="1" a="1"/>
  <c r="BF1077" i="1" s="1"/>
  <c r="BF1033" i="1" a="1"/>
  <c r="BF1033" i="1" s="1"/>
  <c r="BF1035" i="1" a="1"/>
  <c r="BF1035" i="1" s="1"/>
  <c r="BF1037" i="1" a="1"/>
  <c r="BF1037" i="1" s="1"/>
  <c r="BF1039" i="1" a="1"/>
  <c r="BF1039" i="1" s="1"/>
  <c r="BF1041" i="1" a="1"/>
  <c r="BF1041" i="1" s="1"/>
  <c r="BF1043" i="1" a="1"/>
  <c r="BF1043" i="1" s="1"/>
  <c r="BF1030" i="1" a="1"/>
  <c r="BF1030" i="1" s="1"/>
  <c r="BF1082" i="1" a="1"/>
  <c r="BF1082" i="1" s="1"/>
  <c r="BF720" i="1" a="1"/>
  <c r="BF720" i="1" s="1"/>
  <c r="BF751" i="1" a="1"/>
  <c r="BF751" i="1" s="1"/>
  <c r="BF1094" i="1" a="1"/>
  <c r="BF1094" i="1" s="1"/>
  <c r="BF782" i="1" a="1"/>
  <c r="BF782" i="1" s="1"/>
  <c r="BF786" i="1" a="1"/>
  <c r="BF786" i="1" s="1"/>
  <c r="BF1099" i="1" a="1"/>
  <c r="BF1099" i="1" s="1"/>
  <c r="BF1103" i="1" a="1"/>
  <c r="BF1103" i="1" s="1"/>
  <c r="BF1107" i="1" a="1"/>
  <c r="BF1107" i="1" s="1"/>
  <c r="BF622" i="1" a="1"/>
  <c r="BF622" i="1" s="1"/>
  <c r="BF773" i="1" a="1"/>
  <c r="BF773" i="1" s="1"/>
  <c r="BF583" i="1" a="1"/>
  <c r="BF583" i="1" s="1"/>
  <c r="BF756" i="1" a="1"/>
  <c r="BF756" i="1" s="1"/>
  <c r="BF759" i="1" a="1"/>
  <c r="BF759" i="1" s="1"/>
  <c r="BF601" i="1" a="1"/>
  <c r="BF601" i="1" s="1"/>
  <c r="BF592" i="1" a="1"/>
  <c r="BF592" i="1" s="1"/>
  <c r="BF1109" i="1" a="1"/>
  <c r="BF1109" i="1" s="1"/>
  <c r="BF448" i="1" a="1"/>
  <c r="BF448" i="1" s="1"/>
  <c r="BF591" i="1" a="1"/>
  <c r="BF591" i="1" s="1"/>
  <c r="BF1057" i="1" a="1"/>
  <c r="BF1057" i="1" s="1"/>
  <c r="BF1023" i="1" a="1"/>
  <c r="BF1023" i="1" s="1"/>
  <c r="BF748" i="1" a="1"/>
  <c r="BF748" i="1" s="1"/>
  <c r="BF1063" i="1" a="1"/>
  <c r="BF1063" i="1" s="1"/>
  <c r="BF1066" i="1" a="1"/>
  <c r="BF1066" i="1" s="1"/>
  <c r="BF615" i="1" a="1"/>
  <c r="BF615" i="1" s="1"/>
  <c r="BE615" i="1" s="1" a="1"/>
  <c r="BE615" i="1" s="1"/>
  <c r="BF750" i="1" a="1"/>
  <c r="BF750" i="1" s="1"/>
  <c r="BF1093" i="1" a="1"/>
  <c r="BF1093" i="1" s="1"/>
  <c r="BF781" i="1" a="1"/>
  <c r="BF781" i="1" s="1"/>
  <c r="BF785" i="1" a="1"/>
  <c r="BF785" i="1" s="1"/>
  <c r="BF1098" i="1" a="1"/>
  <c r="BF1098" i="1" s="1"/>
  <c r="BF1102" i="1" a="1"/>
  <c r="BF1102" i="1" s="1"/>
  <c r="BF1106" i="1" a="1"/>
  <c r="BF1106" i="1" s="1"/>
  <c r="BF621" i="1" a="1"/>
  <c r="BF621" i="1" s="1"/>
  <c r="BF774" i="1" a="1"/>
  <c r="BF774" i="1" s="1"/>
  <c r="BF582" i="1" a="1"/>
  <c r="BF582" i="1" s="1"/>
  <c r="BF755" i="1" a="1"/>
  <c r="BF755" i="1" s="1"/>
  <c r="BF447" i="1" a="1"/>
  <c r="BF447" i="1" s="1"/>
  <c r="BF520" i="1" a="1"/>
  <c r="BF520" i="1" s="1"/>
  <c r="BF1112" i="1" a="1"/>
  <c r="BF1112" i="1" s="1"/>
  <c r="BF1122" i="1" a="1"/>
  <c r="BF1122" i="1" s="1"/>
  <c r="BF1026" i="1" a="1"/>
  <c r="BF1026" i="1" s="1"/>
  <c r="BF1117" i="1" a="1"/>
  <c r="BF1117" i="1" s="1"/>
  <c r="BF792" i="1" a="1"/>
  <c r="BF792" i="1" s="1"/>
  <c r="BF796" i="1" a="1"/>
  <c r="BF796" i="1" s="1"/>
  <c r="BF800" i="1" a="1"/>
  <c r="BF800" i="1" s="1"/>
  <c r="BF804" i="1" a="1"/>
  <c r="BF804" i="1" s="1"/>
  <c r="BF1129" i="1" a="1"/>
  <c r="BF1129" i="1" s="1"/>
  <c r="BF507" i="1" a="1"/>
  <c r="BF507" i="1" s="1"/>
  <c r="BF747" i="1" a="1"/>
  <c r="BF747" i="1" s="1"/>
  <c r="BF1060" i="1" a="1"/>
  <c r="BF1060" i="1" s="1"/>
  <c r="BF396" i="1" a="1"/>
  <c r="BF396" i="1" s="1"/>
  <c r="BF1072" i="1" a="1"/>
  <c r="BF1072" i="1" s="1"/>
  <c r="BF1075" i="1" a="1"/>
  <c r="BF1075" i="1" s="1"/>
  <c r="BF768" i="1" a="1"/>
  <c r="BF768" i="1" s="1"/>
  <c r="BF1028" i="1" a="1"/>
  <c r="BF1028" i="1" s="1"/>
  <c r="BF618" i="1" a="1"/>
  <c r="BF618" i="1" s="1"/>
  <c r="BF1086" i="1" a="1"/>
  <c r="BF1086" i="1" s="1"/>
  <c r="BF614" i="1" a="1"/>
  <c r="BF614" i="1" s="1"/>
  <c r="BE614" i="1" s="1" a="1"/>
  <c r="BE614" i="1" s="1"/>
  <c r="BF1089" i="1" a="1"/>
  <c r="BF1089" i="1" s="1"/>
  <c r="BF585" i="1" a="1"/>
  <c r="BF585" i="1" s="1"/>
  <c r="BF1051" i="1" a="1"/>
  <c r="BF1051" i="1" s="1"/>
  <c r="BF1048" i="1" a="1"/>
  <c r="BF1048" i="1" s="1"/>
  <c r="BF400" i="1" a="1"/>
  <c r="BF400" i="1" s="1"/>
  <c r="BF760" i="1" a="1"/>
  <c r="BF760" i="1" s="1"/>
  <c r="BF446" i="1" a="1"/>
  <c r="BF446" i="1" s="1"/>
  <c r="BF519" i="1" a="1"/>
  <c r="BF519" i="1" s="1"/>
  <c r="BF1108" i="1" a="1"/>
  <c r="BF1108" i="1" s="1"/>
  <c r="CQ1109" i="1"/>
  <c r="BV1032" i="1"/>
  <c r="BX1032" i="1" s="1"/>
  <c r="BN749" i="1"/>
  <c r="BO749" i="1" s="1"/>
  <c r="BY749" i="1" s="1"/>
  <c r="EP749" i="1" s="1"/>
  <c r="CN1082" i="1"/>
  <c r="CR1082" i="1" s="1"/>
  <c r="BN1081" i="1"/>
  <c r="BO1081" i="1" s="1"/>
  <c r="BN1028" i="1"/>
  <c r="BO1028" i="1" s="1"/>
  <c r="CQ1028" i="1" s="1"/>
  <c r="BV1029" i="1"/>
  <c r="BX1029" i="1" s="1"/>
  <c r="CN1083" i="1"/>
  <c r="BV1030" i="1"/>
  <c r="BX1030" i="1" s="1"/>
  <c r="CT1030" i="1" s="1"/>
  <c r="BV389" i="1"/>
  <c r="BX389" i="1" s="1"/>
  <c r="BV390" i="1"/>
  <c r="BX390" i="1" s="1"/>
  <c r="BV1076" i="1"/>
  <c r="BX1076" i="1" s="1"/>
  <c r="BY1076" i="1" s="1"/>
  <c r="BV1054" i="1"/>
  <c r="BX1054" i="1" s="1"/>
  <c r="BY1054" i="1" s="1"/>
  <c r="CN1112" i="1"/>
  <c r="CO1112" i="1" s="1"/>
  <c r="CN1114" i="1"/>
  <c r="CO1114" i="1" s="1"/>
  <c r="BN800" i="1"/>
  <c r="BM801" i="1"/>
  <c r="BN802" i="1"/>
  <c r="CN744" i="1"/>
  <c r="CR744" i="1" s="1"/>
  <c r="BU778" i="1"/>
  <c r="BM800" i="1"/>
  <c r="CN801" i="1"/>
  <c r="CS801" i="1" s="1"/>
  <c r="BU390" i="1"/>
  <c r="BN744" i="1"/>
  <c r="BV778" i="1"/>
  <c r="BX778" i="1" s="1"/>
  <c r="CN797" i="1"/>
  <c r="CS797" i="1" s="1"/>
  <c r="BV1082" i="1"/>
  <c r="BX1082" i="1" s="1"/>
  <c r="BM802" i="1"/>
  <c r="BM1112" i="1"/>
  <c r="BN1124" i="1"/>
  <c r="BO1124" i="1" s="1"/>
  <c r="BY1124" i="1" s="1"/>
  <c r="EP1124" i="1" s="1"/>
  <c r="CN1076" i="1"/>
  <c r="CQ1076" i="1" s="1"/>
  <c r="BU1027" i="1"/>
  <c r="CN796" i="1"/>
  <c r="CO796" i="1" s="1"/>
  <c r="BM1124" i="1"/>
  <c r="BM1117" i="1"/>
  <c r="CN1111" i="1"/>
  <c r="CP1111" i="1" s="1"/>
  <c r="BN1115" i="1"/>
  <c r="BO1115" i="1" s="1"/>
  <c r="BY1115" i="1" s="1"/>
  <c r="EP1115" i="1" s="1"/>
  <c r="BN1117" i="1"/>
  <c r="BO1117" i="1" s="1"/>
  <c r="CQ1117" i="1" s="1"/>
  <c r="BN1079" i="1"/>
  <c r="BO1079" i="1" s="1"/>
  <c r="BY1079" i="1" s="1"/>
  <c r="EP1079" i="1" s="1"/>
  <c r="BN764" i="1"/>
  <c r="BO764" i="1" s="1"/>
  <c r="BY764" i="1" s="1"/>
  <c r="EP764" i="1" s="1"/>
  <c r="BU1091" i="1"/>
  <c r="BY596" i="1"/>
  <c r="EP596" i="1" s="1"/>
  <c r="BN1035" i="1"/>
  <c r="BO1035" i="1" s="1"/>
  <c r="BY1035" i="1" s="1"/>
  <c r="EP1035" i="1" s="1"/>
  <c r="BN1036" i="1"/>
  <c r="BO1036" i="1" s="1"/>
  <c r="BY1036" i="1" s="1"/>
  <c r="EP1036" i="1" s="1"/>
  <c r="BN1037" i="1"/>
  <c r="BO1037" i="1" s="1"/>
  <c r="BN1040" i="1"/>
  <c r="BO1040" i="1" s="1"/>
  <c r="BY1040" i="1" s="1"/>
  <c r="EP1040" i="1" s="1"/>
  <c r="BN1043" i="1"/>
  <c r="BO1043" i="1" s="1"/>
  <c r="BY1043" i="1" s="1"/>
  <c r="EP1043" i="1" s="1"/>
  <c r="BN1044" i="1"/>
  <c r="BO1044" i="1" s="1"/>
  <c r="BY1044" i="1" s="1"/>
  <c r="EP1044" i="1" s="1"/>
  <c r="CN1084" i="1"/>
  <c r="CS1084" i="1" s="1"/>
  <c r="BN1084" i="1"/>
  <c r="BO1084" i="1" s="1"/>
  <c r="BY1084" i="1" s="1"/>
  <c r="CN1115" i="1"/>
  <c r="BN1119" i="1"/>
  <c r="BO1119" i="1" s="1"/>
  <c r="BY1119" i="1" s="1"/>
  <c r="EP1119" i="1" s="1"/>
  <c r="BM1120" i="1"/>
  <c r="BN798" i="1"/>
  <c r="CN800" i="1"/>
  <c r="CR800" i="1" s="1"/>
  <c r="CN1079" i="1"/>
  <c r="CS1079" i="1" s="1"/>
  <c r="CN1033" i="1"/>
  <c r="CS1033" i="1" s="1"/>
  <c r="CN1034" i="1"/>
  <c r="CQ1034" i="1" s="1"/>
  <c r="CN1038" i="1"/>
  <c r="CS1038" i="1" s="1"/>
  <c r="CN1039" i="1"/>
  <c r="CO1039" i="1" s="1"/>
  <c r="CN1041" i="1"/>
  <c r="CQ1041" i="1" s="1"/>
  <c r="CN1042" i="1"/>
  <c r="CQ1042" i="1" s="1"/>
  <c r="BV1031" i="1"/>
  <c r="BX1031" i="1" s="1"/>
  <c r="CT1031" i="1" s="1"/>
  <c r="BU389" i="1"/>
  <c r="BN1092" i="1"/>
  <c r="BO1092" i="1" s="1"/>
  <c r="CQ1092" i="1" s="1"/>
  <c r="CN749" i="1"/>
  <c r="CO749" i="1" s="1"/>
  <c r="BN753" i="1"/>
  <c r="BO753" i="1" s="1"/>
  <c r="BY753" i="1" s="1"/>
  <c r="EP753" i="1" s="1"/>
  <c r="BN770" i="1"/>
  <c r="BO770" i="1" s="1"/>
  <c r="BU1054" i="1"/>
  <c r="CN1118" i="1"/>
  <c r="CQ1118" i="1" s="1"/>
  <c r="BN799" i="1"/>
  <c r="BN1075" i="1"/>
  <c r="BO1075" i="1" s="1"/>
  <c r="CS1030" i="1"/>
  <c r="BU1031" i="1"/>
  <c r="BU1032" i="1"/>
  <c r="CN1081" i="1"/>
  <c r="CR1081" i="1" s="1"/>
  <c r="CN770" i="1"/>
  <c r="CR770" i="1" s="1"/>
  <c r="CR1091" i="1"/>
  <c r="BM1118" i="1"/>
  <c r="CN803" i="1"/>
  <c r="CQ803" i="1" s="1"/>
  <c r="CN1110" i="1"/>
  <c r="CQ1110" i="1" s="1"/>
  <c r="BN1114" i="1"/>
  <c r="BO1114" i="1" s="1"/>
  <c r="CQ1114" i="1" s="1"/>
  <c r="BV1074" i="1"/>
  <c r="BX1074" i="1" s="1"/>
  <c r="BU1075" i="1"/>
  <c r="BU1082" i="1"/>
  <c r="BM1119" i="1"/>
  <c r="BN797" i="1"/>
  <c r="BM803" i="1"/>
  <c r="BM804" i="1"/>
  <c r="CN804" i="1"/>
  <c r="CR1054" i="1"/>
  <c r="CN1120" i="1"/>
  <c r="CR1120" i="1" s="1"/>
  <c r="CN802" i="1"/>
  <c r="CR802" i="1" s="1"/>
  <c r="CN1075" i="1"/>
  <c r="CR1075" i="1" s="1"/>
  <c r="BN1077" i="1"/>
  <c r="BO1077" i="1" s="1"/>
  <c r="CQ1077" i="1" s="1"/>
  <c r="BV1081" i="1"/>
  <c r="BX1081" i="1" s="1"/>
  <c r="BN1083" i="1"/>
  <c r="BO1083" i="1" s="1"/>
  <c r="BV744" i="1"/>
  <c r="BX744" i="1" s="1"/>
  <c r="BY744" i="1" s="1"/>
  <c r="EP744" i="1" s="1"/>
  <c r="CR1100" i="1"/>
  <c r="CT612" i="1"/>
  <c r="BY788" i="1"/>
  <c r="EP788" i="1" s="1"/>
  <c r="BY446" i="1"/>
  <c r="EP446" i="1" s="1"/>
  <c r="BY1034" i="1"/>
  <c r="EP1034" i="1" s="1"/>
  <c r="CT721" i="1"/>
  <c r="CQ1094" i="1"/>
  <c r="BY154" i="1"/>
  <c r="EP154" i="1" s="1"/>
  <c r="CS595" i="1"/>
  <c r="BY617" i="1"/>
  <c r="EP617" i="1" s="1"/>
  <c r="BY785" i="1"/>
  <c r="CT746" i="1"/>
  <c r="BY1026" i="1"/>
  <c r="EP1026" i="1" s="1"/>
  <c r="CT1061" i="1"/>
  <c r="BY1101" i="1"/>
  <c r="EP1101" i="1" s="1"/>
  <c r="CQ1127" i="1"/>
  <c r="CT1068" i="1"/>
  <c r="BY584" i="1"/>
  <c r="EP584" i="1" s="1"/>
  <c r="BY588" i="1"/>
  <c r="EP588" i="1" s="1"/>
  <c r="CQ595" i="1"/>
  <c r="CP777" i="1"/>
  <c r="BY1087" i="1"/>
  <c r="EP1087" i="1" s="1"/>
  <c r="CS780" i="1"/>
  <c r="CV780" i="1" s="1"/>
  <c r="CS1129" i="1"/>
  <c r="CT1037" i="1"/>
  <c r="CT618" i="1"/>
  <c r="CR784" i="1"/>
  <c r="EP791" i="1"/>
  <c r="CQ395" i="1"/>
  <c r="CT772" i="1"/>
  <c r="CR592" i="1"/>
  <c r="CO772" i="1"/>
  <c r="CS592" i="1"/>
  <c r="CS787" i="1"/>
  <c r="CV787" i="1" s="1"/>
  <c r="BY1063" i="1"/>
  <c r="EP1063" i="1" s="1"/>
  <c r="CT1069" i="1"/>
  <c r="BY396" i="1"/>
  <c r="EP396" i="1" s="1"/>
  <c r="CO1088" i="1"/>
  <c r="CT580" i="1"/>
  <c r="BM616" i="1"/>
  <c r="BY400" i="1"/>
  <c r="EP400" i="1" s="1"/>
  <c r="CT1097" i="1"/>
  <c r="BY1025" i="1"/>
  <c r="EP1025" i="1" s="1"/>
  <c r="CP1069" i="1"/>
  <c r="BY394" i="1"/>
  <c r="EP394" i="1" s="1"/>
  <c r="CT1044" i="1"/>
  <c r="CQ782" i="1"/>
  <c r="BY621" i="1"/>
  <c r="EP621" i="1" s="1"/>
  <c r="CQ592" i="1"/>
  <c r="CP791" i="1"/>
  <c r="CR1127" i="1"/>
  <c r="CS507" i="1"/>
  <c r="CV507" i="1" s="1"/>
  <c r="CT1062" i="1"/>
  <c r="CO1063" i="1"/>
  <c r="CR1069" i="1"/>
  <c r="CS1039" i="1"/>
  <c r="CQ398" i="1"/>
  <c r="BY787" i="1"/>
  <c r="EP787" i="1" s="1"/>
  <c r="CS1128" i="1"/>
  <c r="CV1128" i="1" s="1"/>
  <c r="CS1069" i="1"/>
  <c r="CS1044" i="1"/>
  <c r="BY746" i="1"/>
  <c r="EP746" i="1" s="1"/>
  <c r="CO599" i="1"/>
  <c r="CR1107" i="1"/>
  <c r="CV1107" i="1" s="1"/>
  <c r="CN151" i="1"/>
  <c r="CT151" i="1" s="1"/>
  <c r="BY1120" i="1"/>
  <c r="EP1120" i="1" s="1"/>
  <c r="CQ447" i="1"/>
  <c r="CR1126" i="1"/>
  <c r="CO1071" i="1"/>
  <c r="CR768" i="1"/>
  <c r="CV768" i="1" s="1"/>
  <c r="CQ587" i="1"/>
  <c r="CO398" i="1"/>
  <c r="CR782" i="1"/>
  <c r="CS1126" i="1"/>
  <c r="CV1126" i="1" s="1"/>
  <c r="BY149" i="1"/>
  <c r="EP149" i="1" s="1"/>
  <c r="CR1071" i="1"/>
  <c r="BY1042" i="1"/>
  <c r="EP1042" i="1" s="1"/>
  <c r="BE611" i="1" a="1"/>
  <c r="BE611" i="1" s="1"/>
  <c r="CT1027" i="1"/>
  <c r="CR618" i="1"/>
  <c r="CV618" i="1" s="1"/>
  <c r="CS1052" i="1"/>
  <c r="CV1052" i="1" s="1"/>
  <c r="CR783" i="1"/>
  <c r="CS1098" i="1"/>
  <c r="CR774" i="1"/>
  <c r="CV774" i="1" s="1"/>
  <c r="CO762" i="1"/>
  <c r="BY582" i="1"/>
  <c r="EP582" i="1" s="1"/>
  <c r="BY445" i="1"/>
  <c r="EP445" i="1" s="1"/>
  <c r="CR447" i="1"/>
  <c r="CO520" i="1"/>
  <c r="EP798" i="1"/>
  <c r="BF149" i="1" a="1"/>
  <c r="BF149" i="1" s="1"/>
  <c r="CQ1065" i="1"/>
  <c r="CS1071" i="1"/>
  <c r="BY1033" i="1"/>
  <c r="EP1033" i="1" s="1"/>
  <c r="CQ763" i="1"/>
  <c r="CS783" i="1"/>
  <c r="BY1102" i="1"/>
  <c r="EP1102" i="1" s="1"/>
  <c r="CP762" i="1"/>
  <c r="CS447" i="1"/>
  <c r="CP520" i="1"/>
  <c r="CS1054" i="1"/>
  <c r="CR1117" i="1"/>
  <c r="BY1118" i="1"/>
  <c r="EP1118" i="1" s="1"/>
  <c r="CP1127" i="1"/>
  <c r="CQ1129" i="1"/>
  <c r="CQ1061" i="1"/>
  <c r="CS1072" i="1"/>
  <c r="BY1080" i="1"/>
  <c r="EP1080" i="1" s="1"/>
  <c r="CS1053" i="1"/>
  <c r="CV1053" i="1" s="1"/>
  <c r="CP784" i="1"/>
  <c r="CS762" i="1"/>
  <c r="CV762" i="1" s="1"/>
  <c r="BY397" i="1"/>
  <c r="EP397" i="1" s="1"/>
  <c r="CT1119" i="1"/>
  <c r="CS1127" i="1"/>
  <c r="CQ1071" i="1"/>
  <c r="CS1037" i="1"/>
  <c r="CS1082" i="1"/>
  <c r="CV1082" i="1" s="1"/>
  <c r="CR763" i="1"/>
  <c r="CV763" i="1" s="1"/>
  <c r="BY779" i="1"/>
  <c r="EP779" i="1" s="1"/>
  <c r="CS784" i="1"/>
  <c r="CQ608" i="1"/>
  <c r="BY789" i="1"/>
  <c r="EP789" i="1" s="1"/>
  <c r="BY487" i="1"/>
  <c r="EP487" i="1" s="1"/>
  <c r="CT1071" i="1"/>
  <c r="CT1082" i="1"/>
  <c r="CQ743" i="1"/>
  <c r="CR597" i="1"/>
  <c r="BY1097" i="1"/>
  <c r="EP1097" i="1" s="1"/>
  <c r="BY761" i="1"/>
  <c r="EP761" i="1" s="1"/>
  <c r="CR595" i="1"/>
  <c r="BY399" i="1"/>
  <c r="EP399" i="1" s="1"/>
  <c r="CT399" i="1"/>
  <c r="CN391" i="1"/>
  <c r="CR391" i="1" s="1"/>
  <c r="CN606" i="1"/>
  <c r="CR606" i="1" s="1"/>
  <c r="BY745" i="1"/>
  <c r="EP745" i="1" s="1"/>
  <c r="CQ616" i="1"/>
  <c r="CS1047" i="1"/>
  <c r="BE755" i="1" a="1"/>
  <c r="BE755" i="1" s="1"/>
  <c r="BY756" i="1"/>
  <c r="EP756" i="1" s="1"/>
  <c r="BF153" i="1" a="1"/>
  <c r="BF153" i="1" s="1"/>
  <c r="BE153" i="1" s="1" a="1"/>
  <c r="BE153" i="1" s="1"/>
  <c r="BF154" i="1" a="1"/>
  <c r="BF154" i="1" s="1"/>
  <c r="BE154" i="1" s="1" a="1"/>
  <c r="BE154" i="1" s="1"/>
  <c r="CS1131" i="1"/>
  <c r="CP488" i="1"/>
  <c r="CO514" i="1"/>
  <c r="CO1060" i="1"/>
  <c r="CR395" i="1"/>
  <c r="CO1073" i="1"/>
  <c r="CO1036" i="1"/>
  <c r="CO1038" i="1"/>
  <c r="CO1030" i="1"/>
  <c r="CS580" i="1"/>
  <c r="CO1091" i="1"/>
  <c r="BN1046" i="1"/>
  <c r="BO1046" i="1" s="1"/>
  <c r="BY1046" i="1" s="1"/>
  <c r="EP1046" i="1" s="1"/>
  <c r="CS1051" i="1"/>
  <c r="CV1051" i="1" s="1"/>
  <c r="CQ755" i="1"/>
  <c r="CO787" i="1"/>
  <c r="EP796" i="1"/>
  <c r="CQ488" i="1"/>
  <c r="CP1060" i="1"/>
  <c r="CS395" i="1"/>
  <c r="CQ397" i="1"/>
  <c r="CS1067" i="1"/>
  <c r="CP1036" i="1"/>
  <c r="CP1030" i="1"/>
  <c r="BN708" i="1"/>
  <c r="BO708" i="1" s="1"/>
  <c r="BY708" i="1" s="1"/>
  <c r="EP708" i="1" s="1"/>
  <c r="BN710" i="1"/>
  <c r="BO710" i="1" s="1"/>
  <c r="BY710" i="1" s="1"/>
  <c r="EP710" i="1" s="1"/>
  <c r="CR743" i="1"/>
  <c r="CV743" i="1" s="1"/>
  <c r="CS612" i="1"/>
  <c r="CO1085" i="1"/>
  <c r="BE617" i="1" a="1"/>
  <c r="BE617" i="1" s="1"/>
  <c r="CP1091" i="1"/>
  <c r="CS586" i="1"/>
  <c r="CV586" i="1" s="1"/>
  <c r="CO1052" i="1"/>
  <c r="CQ1047" i="1"/>
  <c r="CQ1048" i="1"/>
  <c r="CP1050" i="1"/>
  <c r="CS782" i="1"/>
  <c r="CR1099" i="1"/>
  <c r="CP1104" i="1"/>
  <c r="CP772" i="1"/>
  <c r="BY581" i="1"/>
  <c r="EP581" i="1" s="1"/>
  <c r="CR755" i="1"/>
  <c r="CP604" i="1"/>
  <c r="CR519" i="1"/>
  <c r="BY1110" i="1"/>
  <c r="EP1110" i="1" s="1"/>
  <c r="CS1119" i="1"/>
  <c r="CV1119" i="1" s="1"/>
  <c r="CP787" i="1"/>
  <c r="CP1126" i="1"/>
  <c r="CO507" i="1"/>
  <c r="BY515" i="1"/>
  <c r="EP515" i="1" s="1"/>
  <c r="CR1060" i="1"/>
  <c r="CV1060" i="1" s="1"/>
  <c r="CS397" i="1"/>
  <c r="CR1068" i="1"/>
  <c r="CR1070" i="1"/>
  <c r="CV1070" i="1" s="1"/>
  <c r="CR1036" i="1"/>
  <c r="CV1036" i="1" s="1"/>
  <c r="BY1037" i="1"/>
  <c r="EP1037" i="1" s="1"/>
  <c r="CP1044" i="1"/>
  <c r="CR745" i="1"/>
  <c r="CV745" i="1" s="1"/>
  <c r="CO618" i="1"/>
  <c r="CP1085" i="1"/>
  <c r="CQ1086" i="1"/>
  <c r="CT614" i="1"/>
  <c r="CO587" i="1"/>
  <c r="CP1052" i="1"/>
  <c r="CP1053" i="1"/>
  <c r="CR1050" i="1"/>
  <c r="CV1050" i="1" s="1"/>
  <c r="CQ784" i="1"/>
  <c r="CS1099" i="1"/>
  <c r="CT1100" i="1"/>
  <c r="CR1104" i="1"/>
  <c r="CV1104" i="1" s="1"/>
  <c r="CQ1107" i="1"/>
  <c r="CP619" i="1"/>
  <c r="CT620" i="1"/>
  <c r="CS772" i="1"/>
  <c r="CV772" i="1" s="1"/>
  <c r="CO773" i="1"/>
  <c r="CQ583" i="1"/>
  <c r="CS756" i="1"/>
  <c r="CV756" i="1" s="1"/>
  <c r="CO446" i="1"/>
  <c r="BE448" i="1" a="1"/>
  <c r="BE448" i="1" s="1"/>
  <c r="CR604" i="1"/>
  <c r="CS519" i="1"/>
  <c r="CP1109" i="1"/>
  <c r="CP1117" i="1"/>
  <c r="CT1130" i="1"/>
  <c r="CP507" i="1"/>
  <c r="CQ515" i="1"/>
  <c r="CR1044" i="1"/>
  <c r="CV1044" i="1" s="1"/>
  <c r="CQ1030" i="1"/>
  <c r="BY613" i="1"/>
  <c r="EP613" i="1" s="1"/>
  <c r="CT745" i="1"/>
  <c r="CP618" i="1"/>
  <c r="BY432" i="1"/>
  <c r="EP432" i="1" s="1"/>
  <c r="CQ1091" i="1"/>
  <c r="CN1046" i="1"/>
  <c r="CS1046" i="1" s="1"/>
  <c r="CP587" i="1"/>
  <c r="CT1047" i="1"/>
  <c r="CQ1053" i="1"/>
  <c r="CO1094" i="1"/>
  <c r="CP773" i="1"/>
  <c r="CT583" i="1"/>
  <c r="CT446" i="1"/>
  <c r="CQ601" i="1"/>
  <c r="CS604" i="1"/>
  <c r="BY1095" i="1"/>
  <c r="EP1095" i="1" s="1"/>
  <c r="CQ1106" i="1"/>
  <c r="CT1054" i="1"/>
  <c r="CQ787" i="1"/>
  <c r="CQ791" i="1"/>
  <c r="CP1130" i="1"/>
  <c r="CS487" i="1"/>
  <c r="BE149" i="1" a="1"/>
  <c r="BE149" i="1" s="1"/>
  <c r="CS515" i="1"/>
  <c r="BY1059" i="1"/>
  <c r="EP1059" i="1" s="1"/>
  <c r="CP1063" i="1"/>
  <c r="CT1072" i="1"/>
  <c r="CP1037" i="1"/>
  <c r="BY1041" i="1"/>
  <c r="EP1041" i="1" s="1"/>
  <c r="BY610" i="1"/>
  <c r="EP610" i="1" s="1"/>
  <c r="CT763" i="1"/>
  <c r="CQ1085" i="1"/>
  <c r="CS615" i="1"/>
  <c r="CR587" i="1"/>
  <c r="CV587" i="1" s="1"/>
  <c r="CQ1052" i="1"/>
  <c r="CO1047" i="1"/>
  <c r="CO1048" i="1"/>
  <c r="CQ1050" i="1"/>
  <c r="CT779" i="1"/>
  <c r="CQ1099" i="1"/>
  <c r="CQ621" i="1"/>
  <c r="CO774" i="1"/>
  <c r="CR583" i="1"/>
  <c r="CV583" i="1" s="1"/>
  <c r="BY607" i="1"/>
  <c r="EP607" i="1" s="1"/>
  <c r="CQ604" i="1"/>
  <c r="CQ1126" i="1"/>
  <c r="CQ507" i="1"/>
  <c r="BF488" i="1" a="1"/>
  <c r="BF488" i="1" s="1"/>
  <c r="BE488" i="1" s="1" a="1"/>
  <c r="BE488" i="1" s="1"/>
  <c r="CT1060" i="1"/>
  <c r="CR1037" i="1"/>
  <c r="CT743" i="1"/>
  <c r="CQ614" i="1"/>
  <c r="BY616" i="1"/>
  <c r="EP616" i="1" s="1"/>
  <c r="BY600" i="1"/>
  <c r="EP600" i="1" s="1"/>
  <c r="CP1047" i="1"/>
  <c r="CS1048" i="1"/>
  <c r="CV1048" i="1" s="1"/>
  <c r="CO780" i="1"/>
  <c r="BY781" i="1"/>
  <c r="EP781" i="1" s="1"/>
  <c r="CS1097" i="1"/>
  <c r="CV1097" i="1" s="1"/>
  <c r="CO1107" i="1"/>
  <c r="CR619" i="1"/>
  <c r="CR621" i="1"/>
  <c r="CV621" i="1" s="1"/>
  <c r="CP774" i="1"/>
  <c r="CR520" i="1"/>
  <c r="CV520" i="1" s="1"/>
  <c r="BY790" i="1"/>
  <c r="EP790" i="1" s="1"/>
  <c r="BY1128" i="1"/>
  <c r="EP1128" i="1" s="1"/>
  <c r="CT1128" i="1"/>
  <c r="BY752" i="1"/>
  <c r="EP752" i="1" s="1"/>
  <c r="CS1024" i="1"/>
  <c r="CV1024" i="1" s="1"/>
  <c r="EP794" i="1"/>
  <c r="EP802" i="1"/>
  <c r="CR1129" i="1"/>
  <c r="CR487" i="1"/>
  <c r="CR515" i="1"/>
  <c r="BY513" i="1"/>
  <c r="EP513" i="1" s="1"/>
  <c r="CS514" i="1"/>
  <c r="CV514" i="1" s="1"/>
  <c r="CT748" i="1"/>
  <c r="CR1062" i="1"/>
  <c r="CQ1069" i="1"/>
  <c r="CO395" i="1"/>
  <c r="CS1066" i="1"/>
  <c r="CP1068" i="1"/>
  <c r="CP1072" i="1"/>
  <c r="CR1077" i="1"/>
  <c r="CT1038" i="1"/>
  <c r="CR1030" i="1"/>
  <c r="CN610" i="1"/>
  <c r="CQ610" i="1" s="1"/>
  <c r="CQ745" i="1"/>
  <c r="CR612" i="1"/>
  <c r="CQ612" i="1"/>
  <c r="BY1131" i="1"/>
  <c r="EP1131" i="1" s="1"/>
  <c r="CQ1055" i="1"/>
  <c r="CS1055" i="1"/>
  <c r="CQ1111" i="1"/>
  <c r="CP1114" i="1"/>
  <c r="CS1124" i="1"/>
  <c r="CV1124" i="1" s="1"/>
  <c r="CO513" i="1"/>
  <c r="CP748" i="1"/>
  <c r="CP1067" i="1"/>
  <c r="CS1068" i="1"/>
  <c r="CR1032" i="1"/>
  <c r="BY743" i="1"/>
  <c r="EP743" i="1" s="1"/>
  <c r="BY768" i="1"/>
  <c r="EP768" i="1" s="1"/>
  <c r="CS721" i="1"/>
  <c r="CR721" i="1"/>
  <c r="CQ513" i="1"/>
  <c r="CR748" i="1"/>
  <c r="BY1062" i="1"/>
  <c r="EP1062" i="1" s="1"/>
  <c r="CT1063" i="1"/>
  <c r="BY1066" i="1"/>
  <c r="EP1066" i="1" s="1"/>
  <c r="CQ1067" i="1"/>
  <c r="BY1073" i="1"/>
  <c r="EP1073" i="1" s="1"/>
  <c r="CN712" i="1"/>
  <c r="CR712" i="1" s="1"/>
  <c r="BY1086" i="1"/>
  <c r="EP1086" i="1" s="1"/>
  <c r="CT1086" i="1"/>
  <c r="BY1125" i="1"/>
  <c r="BY1129" i="1"/>
  <c r="EP1129" i="1" s="1"/>
  <c r="BY508" i="1"/>
  <c r="EP508" i="1" s="1"/>
  <c r="CS513" i="1"/>
  <c r="CS748" i="1"/>
  <c r="CR1067" i="1"/>
  <c r="BY1072" i="1"/>
  <c r="EP1072" i="1" s="1"/>
  <c r="BY611" i="1"/>
  <c r="EP611" i="1" s="1"/>
  <c r="CN609" i="1"/>
  <c r="CS609" i="1" s="1"/>
  <c r="CQ744" i="1"/>
  <c r="CO744" i="1"/>
  <c r="BM617" i="1"/>
  <c r="CN617" i="1"/>
  <c r="CR617" i="1" s="1"/>
  <c r="EP803" i="1"/>
  <c r="CT513" i="1"/>
  <c r="BY747" i="1"/>
  <c r="EP747" i="1" s="1"/>
  <c r="CO1028" i="1"/>
  <c r="CR1028" i="1"/>
  <c r="CO1129" i="1"/>
  <c r="BY488" i="1"/>
  <c r="EP488" i="1" s="1"/>
  <c r="BF487" i="1" a="1"/>
  <c r="BF487" i="1" s="1"/>
  <c r="BE487" i="1" s="1" a="1"/>
  <c r="BE487" i="1" s="1"/>
  <c r="CP515" i="1"/>
  <c r="CP514" i="1"/>
  <c r="BY1058" i="1"/>
  <c r="EP1058" i="1" s="1"/>
  <c r="CO1062" i="1"/>
  <c r="CQ1063" i="1"/>
  <c r="CO1066" i="1"/>
  <c r="CQ1073" i="1"/>
  <c r="CR1038" i="1"/>
  <c r="CV1038" i="1" s="1"/>
  <c r="BY763" i="1"/>
  <c r="EP763" i="1" s="1"/>
  <c r="BY591" i="1"/>
  <c r="EP591" i="1" s="1"/>
  <c r="CT591" i="1"/>
  <c r="CQ1054" i="1"/>
  <c r="BY1116" i="1"/>
  <c r="EP1116" i="1" s="1"/>
  <c r="CQ1128" i="1"/>
  <c r="CT507" i="1"/>
  <c r="CR1063" i="1"/>
  <c r="CV1063" i="1" s="1"/>
  <c r="BY1071" i="1"/>
  <c r="EP1071" i="1" s="1"/>
  <c r="CT1036" i="1"/>
  <c r="BY612" i="1"/>
  <c r="EP612" i="1" s="1"/>
  <c r="BY1027" i="1"/>
  <c r="CT1085" i="1"/>
  <c r="BY1085" i="1"/>
  <c r="EP1085" i="1" s="1"/>
  <c r="CS758" i="1"/>
  <c r="CT777" i="1"/>
  <c r="CR1085" i="1"/>
  <c r="CV1085" i="1" s="1"/>
  <c r="CO580" i="1"/>
  <c r="CO614" i="1"/>
  <c r="CT615" i="1"/>
  <c r="CO1090" i="1"/>
  <c r="CS597" i="1"/>
  <c r="CQ599" i="1"/>
  <c r="CO586" i="1"/>
  <c r="CQ600" i="1"/>
  <c r="CO1051" i="1"/>
  <c r="CP1048" i="1"/>
  <c r="CQ1049" i="1"/>
  <c r="CT1098" i="1"/>
  <c r="CO1105" i="1"/>
  <c r="CR754" i="1"/>
  <c r="CV754" i="1" s="1"/>
  <c r="CS755" i="1"/>
  <c r="BN759" i="1"/>
  <c r="BO759" i="1" s="1"/>
  <c r="BY759" i="1" s="1"/>
  <c r="EP759" i="1" s="1"/>
  <c r="BY153" i="1"/>
  <c r="EP153" i="1" s="1"/>
  <c r="CR446" i="1"/>
  <c r="CV446" i="1" s="1"/>
  <c r="CP447" i="1"/>
  <c r="CR601" i="1"/>
  <c r="CO777" i="1"/>
  <c r="CP580" i="1"/>
  <c r="CR614" i="1"/>
  <c r="CT597" i="1"/>
  <c r="CT599" i="1"/>
  <c r="CP586" i="1"/>
  <c r="CP1051" i="1"/>
  <c r="CO1053" i="1"/>
  <c r="CO1050" i="1"/>
  <c r="BY750" i="1"/>
  <c r="EP750" i="1" s="1"/>
  <c r="CP783" i="1"/>
  <c r="CO1097" i="1"/>
  <c r="CO1104" i="1"/>
  <c r="CR1105" i="1"/>
  <c r="CV1105" i="1" s="1"/>
  <c r="CS620" i="1"/>
  <c r="BY760" i="1"/>
  <c r="EP760" i="1" s="1"/>
  <c r="CS773" i="1"/>
  <c r="CV773" i="1" s="1"/>
  <c r="BY774" i="1"/>
  <c r="EP774" i="1" s="1"/>
  <c r="CT581" i="1"/>
  <c r="BY151" i="1"/>
  <c r="EP151" i="1" s="1"/>
  <c r="BE608" i="1" a="1"/>
  <c r="BE608" i="1" s="1"/>
  <c r="CT608" i="1"/>
  <c r="CS601" i="1"/>
  <c r="CR580" i="1"/>
  <c r="CS614" i="1"/>
  <c r="BY585" i="1"/>
  <c r="EP585" i="1" s="1"/>
  <c r="CT1093" i="1"/>
  <c r="BY786" i="1"/>
  <c r="EP786" i="1" s="1"/>
  <c r="BF151" i="1" a="1"/>
  <c r="BF151" i="1" s="1"/>
  <c r="BE151" i="1" s="1" a="1"/>
  <c r="BE151" i="1" s="1"/>
  <c r="BE756" i="1" a="1"/>
  <c r="BE756" i="1" s="1"/>
  <c r="CQ756" i="1"/>
  <c r="BY608" i="1"/>
  <c r="EP608" i="1" s="1"/>
  <c r="BY1052" i="1"/>
  <c r="EP1052" i="1" s="1"/>
  <c r="BY772" i="1"/>
  <c r="EP772" i="1" s="1"/>
  <c r="CP1088" i="1"/>
  <c r="BY1089" i="1"/>
  <c r="EP1089" i="1" s="1"/>
  <c r="CS1091" i="1"/>
  <c r="CP599" i="1"/>
  <c r="CO600" i="1"/>
  <c r="CQ1051" i="1"/>
  <c r="CO1049" i="1"/>
  <c r="CP623" i="1"/>
  <c r="CP398" i="1"/>
  <c r="CQ1093" i="1"/>
  <c r="CP1094" i="1"/>
  <c r="CQ783" i="1"/>
  <c r="BY1098" i="1"/>
  <c r="EP1098" i="1" s="1"/>
  <c r="BY1106" i="1"/>
  <c r="EP1106" i="1" s="1"/>
  <c r="CP1107" i="1"/>
  <c r="CQ619" i="1"/>
  <c r="CO620" i="1"/>
  <c r="CQ762" i="1"/>
  <c r="CS584" i="1"/>
  <c r="CV584" i="1" s="1"/>
  <c r="BF152" i="1" a="1"/>
  <c r="BF152" i="1" s="1"/>
  <c r="BE152" i="1" s="1" a="1"/>
  <c r="BE152" i="1" s="1"/>
  <c r="BM758" i="1"/>
  <c r="CP608" i="1"/>
  <c r="BE446" i="1" a="1"/>
  <c r="BE446" i="1" s="1"/>
  <c r="BY602" i="1"/>
  <c r="EP602" i="1" s="1"/>
  <c r="CQ520" i="1"/>
  <c r="CR1088" i="1"/>
  <c r="CV1088" i="1" s="1"/>
  <c r="CR599" i="1"/>
  <c r="CV599" i="1" s="1"/>
  <c r="CQ586" i="1"/>
  <c r="CP600" i="1"/>
  <c r="CP1049" i="1"/>
  <c r="CQ623" i="1"/>
  <c r="CR1093" i="1"/>
  <c r="CR1094" i="1"/>
  <c r="CV1094" i="1" s="1"/>
  <c r="CP620" i="1"/>
  <c r="CQ754" i="1"/>
  <c r="BN758" i="1"/>
  <c r="BO758" i="1" s="1"/>
  <c r="BY758" i="1" s="1"/>
  <c r="EP758" i="1" s="1"/>
  <c r="CR608" i="1"/>
  <c r="BY601" i="1"/>
  <c r="EP601" i="1" s="1"/>
  <c r="EP751" i="1"/>
  <c r="CR615" i="1"/>
  <c r="BY586" i="1"/>
  <c r="EP586" i="1" s="1"/>
  <c r="CR600" i="1"/>
  <c r="CV600" i="1" s="1"/>
  <c r="CT1051" i="1"/>
  <c r="CR1049" i="1"/>
  <c r="CV1049" i="1" s="1"/>
  <c r="CR623" i="1"/>
  <c r="CS1093" i="1"/>
  <c r="BY1103" i="1"/>
  <c r="EP1103" i="1" s="1"/>
  <c r="CS619" i="1"/>
  <c r="CR620" i="1"/>
  <c r="BY622" i="1"/>
  <c r="EP622" i="1" s="1"/>
  <c r="BY754" i="1"/>
  <c r="EP754" i="1" s="1"/>
  <c r="CS608" i="1"/>
  <c r="BY526" i="1"/>
  <c r="EP526" i="1" s="1"/>
  <c r="CS623" i="1"/>
  <c r="CQ620" i="1"/>
  <c r="CP595" i="1"/>
  <c r="BY748" i="1"/>
  <c r="EP748" i="1" s="1"/>
  <c r="CQ748" i="1"/>
  <c r="CT1124" i="1"/>
  <c r="BY1024" i="1"/>
  <c r="EP1024" i="1" s="1"/>
  <c r="CT1024" i="1"/>
  <c r="BY514" i="1"/>
  <c r="EP514" i="1" s="1"/>
  <c r="CT514" i="1"/>
  <c r="BY1111" i="1"/>
  <c r="EP1111" i="1" s="1"/>
  <c r="BY1130" i="1"/>
  <c r="EP1130" i="1" s="1"/>
  <c r="CQ1130" i="1"/>
  <c r="BY577" i="1"/>
  <c r="EP577" i="1" s="1"/>
  <c r="CT577" i="1"/>
  <c r="CT788" i="1"/>
  <c r="CQ788" i="1"/>
  <c r="CS788" i="1"/>
  <c r="CR788" i="1"/>
  <c r="CR796" i="1"/>
  <c r="CR789" i="1"/>
  <c r="CT789" i="1"/>
  <c r="CS789" i="1"/>
  <c r="CQ789" i="1"/>
  <c r="CP790" i="1"/>
  <c r="CR790" i="1"/>
  <c r="CT790" i="1"/>
  <c r="CS790" i="1"/>
  <c r="BY395" i="1"/>
  <c r="EP395" i="1" s="1"/>
  <c r="CT395" i="1"/>
  <c r="CQ721" i="1"/>
  <c r="BY721" i="1"/>
  <c r="EP721" i="1" s="1"/>
  <c r="CP804" i="1"/>
  <c r="CS804" i="1"/>
  <c r="CT804" i="1"/>
  <c r="CT1095" i="1"/>
  <c r="CS1095" i="1"/>
  <c r="CR1095" i="1"/>
  <c r="CP1095" i="1"/>
  <c r="CQ1095" i="1"/>
  <c r="CO1095" i="1"/>
  <c r="BV1055" i="1"/>
  <c r="BX1055" i="1" s="1"/>
  <c r="BV1057" i="1"/>
  <c r="BX1057" i="1" s="1"/>
  <c r="BY1057" i="1" s="1"/>
  <c r="BY1114" i="1"/>
  <c r="EP1114" i="1" s="1"/>
  <c r="CT1114" i="1"/>
  <c r="CS1117" i="1"/>
  <c r="CT1117" i="1"/>
  <c r="CQ1025" i="1"/>
  <c r="CT1025" i="1"/>
  <c r="CS1025" i="1"/>
  <c r="CR1025" i="1"/>
  <c r="CP1025" i="1"/>
  <c r="CO788" i="1"/>
  <c r="CP789" i="1"/>
  <c r="CQ790" i="1"/>
  <c r="BN792" i="1"/>
  <c r="BN793" i="1"/>
  <c r="BM795" i="1"/>
  <c r="BN795" i="1"/>
  <c r="BN803" i="1"/>
  <c r="CO804" i="1"/>
  <c r="CO488" i="1"/>
  <c r="CR488" i="1"/>
  <c r="CV488" i="1" s="1"/>
  <c r="CT488" i="1"/>
  <c r="CS710" i="1"/>
  <c r="CR710" i="1"/>
  <c r="CT710" i="1"/>
  <c r="CQ615" i="1"/>
  <c r="BY615" i="1"/>
  <c r="EP615" i="1" s="1"/>
  <c r="CR1113" i="1"/>
  <c r="CV1113" i="1" s="1"/>
  <c r="CO1113" i="1"/>
  <c r="CP1113" i="1"/>
  <c r="CO508" i="1"/>
  <c r="CT508" i="1"/>
  <c r="CS508" i="1"/>
  <c r="CR508" i="1"/>
  <c r="CQ508" i="1"/>
  <c r="BU1055" i="1"/>
  <c r="BV1056" i="1"/>
  <c r="BX1056" i="1" s="1"/>
  <c r="BY1056" i="1" s="1"/>
  <c r="BU1056" i="1"/>
  <c r="CT1113" i="1"/>
  <c r="BY1023" i="1"/>
  <c r="EP1023" i="1" s="1"/>
  <c r="CT1122" i="1"/>
  <c r="CS1122" i="1"/>
  <c r="CP1122" i="1"/>
  <c r="CR1122" i="1"/>
  <c r="CT1123" i="1"/>
  <c r="CS1123" i="1"/>
  <c r="CP1123" i="1"/>
  <c r="CR1123" i="1"/>
  <c r="CT787" i="1"/>
  <c r="CP788" i="1"/>
  <c r="CN794" i="1"/>
  <c r="BM794" i="1"/>
  <c r="BN794" i="1"/>
  <c r="CO797" i="1"/>
  <c r="CQ804" i="1"/>
  <c r="BY516" i="1"/>
  <c r="EP516" i="1" s="1"/>
  <c r="CS1081" i="1"/>
  <c r="CQ777" i="1"/>
  <c r="BY777" i="1"/>
  <c r="EP777" i="1" s="1"/>
  <c r="BY1064" i="1"/>
  <c r="EP1064" i="1" s="1"/>
  <c r="BY712" i="1"/>
  <c r="EP712" i="1" s="1"/>
  <c r="CQ618" i="1"/>
  <c r="BY618" i="1"/>
  <c r="EP618" i="1" s="1"/>
  <c r="CQ1068" i="1"/>
  <c r="BY1068" i="1"/>
  <c r="EP1068" i="1" s="1"/>
  <c r="CT1023" i="1"/>
  <c r="CS1023" i="1"/>
  <c r="CQ1023" i="1"/>
  <c r="CR1023" i="1"/>
  <c r="CP1120" i="1"/>
  <c r="CQ1120" i="1"/>
  <c r="CO1121" i="1"/>
  <c r="CT1121" i="1"/>
  <c r="CS1121" i="1"/>
  <c r="CR1121" i="1"/>
  <c r="CQ149" i="1"/>
  <c r="CT149" i="1"/>
  <c r="CP149" i="1"/>
  <c r="CO149" i="1"/>
  <c r="CS149" i="1"/>
  <c r="CR149" i="1"/>
  <c r="CP1026" i="1"/>
  <c r="CT1026" i="1"/>
  <c r="CS1026" i="1"/>
  <c r="CQ1026" i="1"/>
  <c r="CR1026" i="1"/>
  <c r="CT797" i="1"/>
  <c r="BN804" i="1"/>
  <c r="CT1131" i="1"/>
  <c r="CR747" i="1"/>
  <c r="CP747" i="1"/>
  <c r="CT747" i="1"/>
  <c r="CS747" i="1"/>
  <c r="CQ747" i="1"/>
  <c r="CR1064" i="1"/>
  <c r="CO1064" i="1"/>
  <c r="CT1064" i="1"/>
  <c r="CQ1064" i="1"/>
  <c r="CS1064" i="1"/>
  <c r="CO1058" i="1"/>
  <c r="CQ1058" i="1"/>
  <c r="CT1058" i="1"/>
  <c r="CS1058" i="1"/>
  <c r="CR1058" i="1"/>
  <c r="CT1032" i="1"/>
  <c r="BY1032" i="1"/>
  <c r="EP1032" i="1" s="1"/>
  <c r="CR804" i="1"/>
  <c r="CS516" i="1"/>
  <c r="CR516" i="1"/>
  <c r="CO516" i="1"/>
  <c r="CT1115" i="1"/>
  <c r="CS1115" i="1"/>
  <c r="CR1115" i="1"/>
  <c r="CO1023" i="1"/>
  <c r="CO1115" i="1"/>
  <c r="CP1023" i="1"/>
  <c r="BM1123" i="1"/>
  <c r="BN1123" i="1"/>
  <c r="BO1123" i="1" s="1"/>
  <c r="CQ1123" i="1" s="1"/>
  <c r="CO1026" i="1"/>
  <c r="CO791" i="1"/>
  <c r="CS791" i="1"/>
  <c r="CV791" i="1" s="1"/>
  <c r="CT791" i="1"/>
  <c r="CN792" i="1"/>
  <c r="EP804" i="1"/>
  <c r="BY1126" i="1"/>
  <c r="EP1126" i="1" s="1"/>
  <c r="CT1126" i="1"/>
  <c r="CT1127" i="1"/>
  <c r="BY1127" i="1"/>
  <c r="EP1127" i="1" s="1"/>
  <c r="CQ516" i="1"/>
  <c r="CO747" i="1"/>
  <c r="BY1060" i="1"/>
  <c r="EP1060" i="1" s="1"/>
  <c r="CP1064" i="1"/>
  <c r="CQ396" i="1"/>
  <c r="CR396" i="1"/>
  <c r="CS396" i="1"/>
  <c r="CP396" i="1"/>
  <c r="CT396" i="1"/>
  <c r="CS1065" i="1"/>
  <c r="CO1065" i="1"/>
  <c r="CT1065" i="1"/>
  <c r="CR1065" i="1"/>
  <c r="CT1040" i="1"/>
  <c r="BN390" i="1"/>
  <c r="BO390" i="1" s="1"/>
  <c r="BY390" i="1" s="1"/>
  <c r="BM390" i="1"/>
  <c r="CN390" i="1"/>
  <c r="CS1057" i="1"/>
  <c r="BM1113" i="1"/>
  <c r="BN1113" i="1"/>
  <c r="BO1113" i="1" s="1"/>
  <c r="BY1113" i="1" s="1"/>
  <c r="EP1113" i="1" s="1"/>
  <c r="CP1059" i="1"/>
  <c r="CT1059" i="1"/>
  <c r="CQ1059" i="1"/>
  <c r="CS1059" i="1"/>
  <c r="CR1059" i="1"/>
  <c r="CO1059" i="1"/>
  <c r="CQ1056" i="1"/>
  <c r="CQ1057" i="1"/>
  <c r="CP1121" i="1"/>
  <c r="CR1055" i="1"/>
  <c r="CR1056" i="1"/>
  <c r="CR1057" i="1"/>
  <c r="CS1056" i="1"/>
  <c r="BM1110" i="1"/>
  <c r="BY1112" i="1"/>
  <c r="EP1112" i="1" s="1"/>
  <c r="CP1115" i="1"/>
  <c r="BM1121" i="1"/>
  <c r="BN1121" i="1"/>
  <c r="BO1121" i="1" s="1"/>
  <c r="BY1121" i="1" s="1"/>
  <c r="EP1121" i="1" s="1"/>
  <c r="BM1122" i="1"/>
  <c r="BN1122" i="1"/>
  <c r="BO1122" i="1" s="1"/>
  <c r="CQ1122" i="1" s="1"/>
  <c r="CN793" i="1"/>
  <c r="CN795" i="1"/>
  <c r="EP800" i="1"/>
  <c r="BY507" i="1"/>
  <c r="EP507" i="1" s="1"/>
  <c r="CT516" i="1"/>
  <c r="BY1069" i="1"/>
  <c r="EP1069" i="1" s="1"/>
  <c r="CO396" i="1"/>
  <c r="CP1065" i="1"/>
  <c r="CQ1035" i="1"/>
  <c r="CT1035" i="1"/>
  <c r="CS1035" i="1"/>
  <c r="CR1035" i="1"/>
  <c r="CP577" i="1"/>
  <c r="CO577" i="1"/>
  <c r="BM1116" i="1"/>
  <c r="CP1119" i="1"/>
  <c r="CP1124" i="1"/>
  <c r="BM1125" i="1"/>
  <c r="CO1024" i="1"/>
  <c r="BM796" i="1"/>
  <c r="CN799" i="1"/>
  <c r="CO1128" i="1"/>
  <c r="CR1131" i="1"/>
  <c r="CV1131" i="1" s="1"/>
  <c r="CO1131" i="1"/>
  <c r="CQ577" i="1"/>
  <c r="CT487" i="1"/>
  <c r="CQ487" i="1"/>
  <c r="BY1061" i="1"/>
  <c r="EP1061" i="1" s="1"/>
  <c r="BU1074" i="1"/>
  <c r="BV1075" i="1"/>
  <c r="BX1075" i="1" s="1"/>
  <c r="CN1078" i="1"/>
  <c r="BN1078" i="1"/>
  <c r="BO1078" i="1" s="1"/>
  <c r="CP1035" i="1"/>
  <c r="CN1029" i="1"/>
  <c r="BN1029" i="1"/>
  <c r="BO1029" i="1" s="1"/>
  <c r="BV1083" i="1"/>
  <c r="BX1083" i="1" s="1"/>
  <c r="BU1083" i="1"/>
  <c r="CN1116" i="1"/>
  <c r="CO1119" i="1"/>
  <c r="CN1125" i="1"/>
  <c r="CN798" i="1"/>
  <c r="CQ514" i="1"/>
  <c r="CO394" i="1"/>
  <c r="CT394" i="1"/>
  <c r="CQ394" i="1"/>
  <c r="BU1057" i="1"/>
  <c r="CP1054" i="1"/>
  <c r="BM1111" i="1"/>
  <c r="CP1024" i="1"/>
  <c r="CP1128" i="1"/>
  <c r="CR577" i="1"/>
  <c r="CT515" i="1"/>
  <c r="CR1061" i="1"/>
  <c r="CV1061" i="1" s="1"/>
  <c r="CP1061" i="1"/>
  <c r="CR394" i="1"/>
  <c r="CT1074" i="1"/>
  <c r="BY1070" i="1"/>
  <c r="EP1070" i="1" s="1"/>
  <c r="BV1077" i="1"/>
  <c r="BX1077" i="1" s="1"/>
  <c r="CS1077" i="1"/>
  <c r="BY1039" i="1"/>
  <c r="EP1039" i="1" s="1"/>
  <c r="BY1030" i="1"/>
  <c r="CO1124" i="1"/>
  <c r="BU1077" i="1"/>
  <c r="CO1035" i="1"/>
  <c r="BY1038" i="1"/>
  <c r="EP1038" i="1" s="1"/>
  <c r="CO1054" i="1"/>
  <c r="CQ1024" i="1"/>
  <c r="BN801" i="1"/>
  <c r="CS1130" i="1"/>
  <c r="CV1130" i="1" s="1"/>
  <c r="CO1130" i="1"/>
  <c r="CQ1131" i="1"/>
  <c r="CS577" i="1"/>
  <c r="CP487" i="1"/>
  <c r="CO1061" i="1"/>
  <c r="CS1062" i="1"/>
  <c r="CQ1062" i="1"/>
  <c r="CS394" i="1"/>
  <c r="BY1065" i="1"/>
  <c r="EP1065" i="1" s="1"/>
  <c r="BV1078" i="1"/>
  <c r="BX1078" i="1" s="1"/>
  <c r="BU1078" i="1"/>
  <c r="CQ752" i="1"/>
  <c r="CT752" i="1"/>
  <c r="CS752" i="1"/>
  <c r="CR752" i="1"/>
  <c r="CT1101" i="1"/>
  <c r="CS1101" i="1"/>
  <c r="CR1101" i="1"/>
  <c r="CQ1101" i="1"/>
  <c r="CP1101" i="1"/>
  <c r="CO1101" i="1"/>
  <c r="CR1103" i="1"/>
  <c r="CT1103" i="1"/>
  <c r="CS1103" i="1"/>
  <c r="CQ1103" i="1"/>
  <c r="CP1103" i="1"/>
  <c r="CO1103" i="1"/>
  <c r="CT1066" i="1"/>
  <c r="CQ1066" i="1"/>
  <c r="CT1067" i="1"/>
  <c r="CT708" i="1"/>
  <c r="CS708" i="1"/>
  <c r="CR708" i="1"/>
  <c r="CS746" i="1"/>
  <c r="CR746" i="1"/>
  <c r="CQ746" i="1"/>
  <c r="BY587" i="1"/>
  <c r="EP587" i="1" s="1"/>
  <c r="CT587" i="1"/>
  <c r="CO1070" i="1"/>
  <c r="CT1070" i="1"/>
  <c r="CS1074" i="1"/>
  <c r="CT1043" i="1"/>
  <c r="CS1043" i="1"/>
  <c r="CR1043" i="1"/>
  <c r="CS1031" i="1"/>
  <c r="CR1031" i="1"/>
  <c r="CQ1031" i="1"/>
  <c r="CP1031" i="1"/>
  <c r="BN707" i="1"/>
  <c r="BO707" i="1" s="1"/>
  <c r="BY707" i="1" s="1"/>
  <c r="EP707" i="1" s="1"/>
  <c r="CN707" i="1"/>
  <c r="CR397" i="1"/>
  <c r="CT397" i="1"/>
  <c r="CP1070" i="1"/>
  <c r="BU1076" i="1"/>
  <c r="CT1041" i="1"/>
  <c r="CS1041" i="1"/>
  <c r="CR1041" i="1"/>
  <c r="CP1041" i="1"/>
  <c r="CO1041" i="1"/>
  <c r="CO1043" i="1"/>
  <c r="CO1031" i="1"/>
  <c r="CT1129" i="1"/>
  <c r="CU1129" i="1" s="1"/>
  <c r="CR513" i="1"/>
  <c r="CQ1060" i="1"/>
  <c r="CO397" i="1"/>
  <c r="CR1066" i="1"/>
  <c r="CQ1070" i="1"/>
  <c r="CR1073" i="1"/>
  <c r="CV1073" i="1" s="1"/>
  <c r="CT1073" i="1"/>
  <c r="CP1073" i="1"/>
  <c r="BN1074" i="1"/>
  <c r="BO1074" i="1" s="1"/>
  <c r="BY1074" i="1" s="1"/>
  <c r="CR1074" i="1"/>
  <c r="CP1043" i="1"/>
  <c r="BU1081" i="1"/>
  <c r="BY1082" i="1"/>
  <c r="EP1082" i="1" s="1"/>
  <c r="BE452" i="1" a="1"/>
  <c r="BE452" i="1" s="1"/>
  <c r="CN452" i="1"/>
  <c r="BN452" i="1"/>
  <c r="BO452" i="1" s="1"/>
  <c r="BY452" i="1" s="1"/>
  <c r="EP452" i="1" s="1"/>
  <c r="CN775" i="1"/>
  <c r="BN775" i="1"/>
  <c r="BO775" i="1" s="1"/>
  <c r="BY775" i="1" s="1"/>
  <c r="EP775" i="1" s="1"/>
  <c r="CR1087" i="1"/>
  <c r="CT1087" i="1"/>
  <c r="CS1087" i="1"/>
  <c r="CQ1087" i="1"/>
  <c r="CP1087" i="1"/>
  <c r="CO1087" i="1"/>
  <c r="BU1084" i="1"/>
  <c r="CN611" i="1"/>
  <c r="CN613" i="1"/>
  <c r="BY720" i="1"/>
  <c r="EP720" i="1" s="1"/>
  <c r="BY770" i="1"/>
  <c r="EP770" i="1" s="1"/>
  <c r="CN389" i="1"/>
  <c r="BN389" i="1"/>
  <c r="BO389" i="1" s="1"/>
  <c r="BM389" i="1"/>
  <c r="BY1088" i="1"/>
  <c r="EP1088" i="1" s="1"/>
  <c r="BY1107" i="1"/>
  <c r="EP1107" i="1" s="1"/>
  <c r="CQ1072" i="1"/>
  <c r="CQ1039" i="1"/>
  <c r="CO1040" i="1"/>
  <c r="CO1032" i="1"/>
  <c r="BN605" i="1"/>
  <c r="CN605" i="1"/>
  <c r="CT720" i="1"/>
  <c r="CS720" i="1"/>
  <c r="CR720" i="1"/>
  <c r="CT770" i="1"/>
  <c r="CS770" i="1"/>
  <c r="CN751" i="1"/>
  <c r="BN751" i="1"/>
  <c r="CS1027" i="1"/>
  <c r="CV1027" i="1" s="1"/>
  <c r="CQ1027" i="1"/>
  <c r="CP1027" i="1"/>
  <c r="CO1027" i="1"/>
  <c r="CP1028" i="1"/>
  <c r="CT1028" i="1"/>
  <c r="CS1028" i="1"/>
  <c r="BM776" i="1"/>
  <c r="CN776" i="1"/>
  <c r="CT780" i="1"/>
  <c r="BY780" i="1"/>
  <c r="EP780" i="1" s="1"/>
  <c r="CN1080" i="1"/>
  <c r="CQ1038" i="1"/>
  <c r="CP1040" i="1"/>
  <c r="BU1030" i="1"/>
  <c r="CQ1032" i="1"/>
  <c r="CT768" i="1"/>
  <c r="CQ720" i="1"/>
  <c r="CQ770" i="1"/>
  <c r="CP744" i="1"/>
  <c r="CS744" i="1"/>
  <c r="BN776" i="1"/>
  <c r="BO776" i="1" s="1"/>
  <c r="BY776" i="1" s="1"/>
  <c r="EP776" i="1" s="1"/>
  <c r="CT432" i="1"/>
  <c r="CS432" i="1"/>
  <c r="CR432" i="1"/>
  <c r="CQ432" i="1"/>
  <c r="CP432" i="1"/>
  <c r="CT1089" i="1"/>
  <c r="CS1089" i="1"/>
  <c r="CV1089" i="1" s="1"/>
  <c r="CP1089" i="1"/>
  <c r="CO1089" i="1"/>
  <c r="CQ1089" i="1"/>
  <c r="CQ1037" i="1"/>
  <c r="BY1067" i="1"/>
  <c r="EP1067" i="1" s="1"/>
  <c r="CR1072" i="1"/>
  <c r="CQ1036" i="1"/>
  <c r="CO1037" i="1"/>
  <c r="CP1038" i="1"/>
  <c r="CS1040" i="1"/>
  <c r="CV1040" i="1" s="1"/>
  <c r="CS1032" i="1"/>
  <c r="CQ1082" i="1"/>
  <c r="BY609" i="1"/>
  <c r="EP609" i="1" s="1"/>
  <c r="CT753" i="1"/>
  <c r="CS753" i="1"/>
  <c r="CR753" i="1"/>
  <c r="CQ753" i="1"/>
  <c r="CN764" i="1"/>
  <c r="BU1028" i="1"/>
  <c r="BV1090" i="1"/>
  <c r="BX1090" i="1" s="1"/>
  <c r="CT1090" i="1" s="1"/>
  <c r="BU1090" i="1"/>
  <c r="CQ1088" i="1"/>
  <c r="CT585" i="1"/>
  <c r="CR585" i="1"/>
  <c r="CQ585" i="1"/>
  <c r="CP585" i="1"/>
  <c r="BY598" i="1"/>
  <c r="EP598" i="1" s="1"/>
  <c r="BY1048" i="1"/>
  <c r="EP1048" i="1" s="1"/>
  <c r="CT1048" i="1"/>
  <c r="CQ781" i="1"/>
  <c r="CP781" i="1"/>
  <c r="CO781" i="1"/>
  <c r="CT781" i="1"/>
  <c r="CS781" i="1"/>
  <c r="CR781" i="1"/>
  <c r="CT1096" i="1"/>
  <c r="BY1096" i="1"/>
  <c r="EP1096" i="1" s="1"/>
  <c r="CS1102" i="1"/>
  <c r="CT1102" i="1"/>
  <c r="CR1102" i="1"/>
  <c r="CQ1102" i="1"/>
  <c r="CP1102" i="1"/>
  <c r="CO1102" i="1"/>
  <c r="BY580" i="1"/>
  <c r="EP580" i="1" s="1"/>
  <c r="CQ598" i="1"/>
  <c r="CP598" i="1"/>
  <c r="CO598" i="1"/>
  <c r="CT598" i="1"/>
  <c r="CS598" i="1"/>
  <c r="BY1047" i="1"/>
  <c r="EP1047" i="1" s="1"/>
  <c r="CQ768" i="1"/>
  <c r="CS585" i="1"/>
  <c r="CR598" i="1"/>
  <c r="BY1053" i="1"/>
  <c r="EP1053" i="1" s="1"/>
  <c r="CT1053" i="1"/>
  <c r="CS1086" i="1"/>
  <c r="CR1086" i="1"/>
  <c r="CT616" i="1"/>
  <c r="CS616" i="1"/>
  <c r="CP616" i="1"/>
  <c r="CO616" i="1"/>
  <c r="CN778" i="1"/>
  <c r="BN778" i="1"/>
  <c r="BO778" i="1" s="1"/>
  <c r="BY778" i="1" s="1"/>
  <c r="CQ597" i="1"/>
  <c r="BY599" i="1"/>
  <c r="EP599" i="1" s="1"/>
  <c r="CT782" i="1"/>
  <c r="BY782" i="1"/>
  <c r="EP782" i="1" s="1"/>
  <c r="BY773" i="1"/>
  <c r="EP773" i="1" s="1"/>
  <c r="CT773" i="1"/>
  <c r="CS777" i="1"/>
  <c r="CV777" i="1" s="1"/>
  <c r="CP1086" i="1"/>
  <c r="CT1088" i="1"/>
  <c r="BY614" i="1"/>
  <c r="EP614" i="1" s="1"/>
  <c r="CR616" i="1"/>
  <c r="CS1090" i="1"/>
  <c r="CR1090" i="1"/>
  <c r="CR1092" i="1"/>
  <c r="CP1092" i="1"/>
  <c r="CO1092" i="1"/>
  <c r="CS1092" i="1"/>
  <c r="BY1051" i="1"/>
  <c r="EP1051" i="1" s="1"/>
  <c r="BY623" i="1"/>
  <c r="EP623" i="1" s="1"/>
  <c r="CT623" i="1"/>
  <c r="CQ1100" i="1"/>
  <c r="BY619" i="1"/>
  <c r="EP619" i="1" s="1"/>
  <c r="CT619" i="1"/>
  <c r="BV1091" i="1"/>
  <c r="BX1091" i="1" s="1"/>
  <c r="BU1092" i="1"/>
  <c r="CP597" i="1"/>
  <c r="CT600" i="1"/>
  <c r="CS399" i="1"/>
  <c r="CR399" i="1"/>
  <c r="CQ399" i="1"/>
  <c r="CS779" i="1"/>
  <c r="CR779" i="1"/>
  <c r="CQ779" i="1"/>
  <c r="CO779" i="1"/>
  <c r="CQ580" i="1"/>
  <c r="CP615" i="1"/>
  <c r="BE616" i="1" a="1"/>
  <c r="BE616" i="1" s="1"/>
  <c r="BN1090" i="1"/>
  <c r="BO1090" i="1" s="1"/>
  <c r="CQ1090" i="1" s="1"/>
  <c r="BV1092" i="1"/>
  <c r="BX1092" i="1" s="1"/>
  <c r="CV1047" i="1"/>
  <c r="CO399" i="1"/>
  <c r="CP779" i="1"/>
  <c r="EP785" i="1"/>
  <c r="BY1100" i="1"/>
  <c r="EP1100" i="1" s="1"/>
  <c r="CR526" i="1"/>
  <c r="CQ526" i="1"/>
  <c r="CP526" i="1"/>
  <c r="CO526" i="1"/>
  <c r="CT526" i="1"/>
  <c r="CS526" i="1"/>
  <c r="BY398" i="1"/>
  <c r="EP398" i="1" s="1"/>
  <c r="CQ400" i="1"/>
  <c r="CP400" i="1"/>
  <c r="CO400" i="1"/>
  <c r="BY783" i="1"/>
  <c r="EP783" i="1" s="1"/>
  <c r="BY784" i="1"/>
  <c r="EP784" i="1" s="1"/>
  <c r="CT784" i="1"/>
  <c r="CT785" i="1"/>
  <c r="CS785" i="1"/>
  <c r="CR785" i="1"/>
  <c r="CQ785" i="1"/>
  <c r="BY1099" i="1"/>
  <c r="EP1099" i="1" s="1"/>
  <c r="CT1099" i="1"/>
  <c r="CN1045" i="1"/>
  <c r="CT586" i="1"/>
  <c r="CT1052" i="1"/>
  <c r="CT398" i="1"/>
  <c r="CS398" i="1"/>
  <c r="CV398" i="1" s="1"/>
  <c r="CR400" i="1"/>
  <c r="BY1093" i="1"/>
  <c r="EP1093" i="1" s="1"/>
  <c r="BY1094" i="1"/>
  <c r="EP1094" i="1" s="1"/>
  <c r="CT1094" i="1"/>
  <c r="CU1094" i="1" s="1"/>
  <c r="CO785" i="1"/>
  <c r="CT786" i="1"/>
  <c r="CS786" i="1"/>
  <c r="CR786" i="1"/>
  <c r="CQ786" i="1"/>
  <c r="CP786" i="1"/>
  <c r="CS1096" i="1"/>
  <c r="CR1096" i="1"/>
  <c r="CQ1096" i="1"/>
  <c r="CP1096" i="1"/>
  <c r="CO1096" i="1"/>
  <c r="CQ1098" i="1"/>
  <c r="CV1100" i="1"/>
  <c r="CT760" i="1"/>
  <c r="BY597" i="1"/>
  <c r="EP597" i="1" s="1"/>
  <c r="BY1049" i="1"/>
  <c r="EP1049" i="1" s="1"/>
  <c r="CT1049" i="1"/>
  <c r="CS400" i="1"/>
  <c r="CP785" i="1"/>
  <c r="BY1104" i="1"/>
  <c r="EP1104" i="1" s="1"/>
  <c r="CT1104" i="1"/>
  <c r="BY1105" i="1"/>
  <c r="EP1105" i="1" s="1"/>
  <c r="CT1105" i="1"/>
  <c r="CQ622" i="1"/>
  <c r="CP622" i="1"/>
  <c r="CT622" i="1"/>
  <c r="CS622" i="1"/>
  <c r="CR622" i="1"/>
  <c r="BN1045" i="1"/>
  <c r="BO1045" i="1" s="1"/>
  <c r="BY1045" i="1" s="1"/>
  <c r="EP1045" i="1" s="1"/>
  <c r="BY1050" i="1"/>
  <c r="EP1050" i="1" s="1"/>
  <c r="CT400" i="1"/>
  <c r="CV1098" i="1"/>
  <c r="BY620" i="1"/>
  <c r="EP620" i="1" s="1"/>
  <c r="CO622" i="1"/>
  <c r="CT582" i="1"/>
  <c r="CR582" i="1"/>
  <c r="CQ582" i="1"/>
  <c r="CS582" i="1"/>
  <c r="CT448" i="1"/>
  <c r="BY448" i="1"/>
  <c r="EP448" i="1" s="1"/>
  <c r="BY603" i="1"/>
  <c r="EP603" i="1" s="1"/>
  <c r="CT603" i="1"/>
  <c r="CP1106" i="1"/>
  <c r="CO1106" i="1"/>
  <c r="CT1106" i="1"/>
  <c r="CT755" i="1"/>
  <c r="BY755" i="1"/>
  <c r="EP755" i="1" s="1"/>
  <c r="CT445" i="1"/>
  <c r="CS445" i="1"/>
  <c r="CV445" i="1" s="1"/>
  <c r="CQ445" i="1"/>
  <c r="CP445" i="1"/>
  <c r="CO445" i="1"/>
  <c r="BY519" i="1"/>
  <c r="EP519" i="1" s="1"/>
  <c r="CT519" i="1"/>
  <c r="CT596" i="1"/>
  <c r="CS596" i="1"/>
  <c r="CR596" i="1"/>
  <c r="CQ596" i="1"/>
  <c r="CP596" i="1"/>
  <c r="CO596" i="1"/>
  <c r="BY1108" i="1"/>
  <c r="EP1108" i="1" s="1"/>
  <c r="CT783" i="1"/>
  <c r="CT1107" i="1"/>
  <c r="CR607" i="1"/>
  <c r="CQ607" i="1"/>
  <c r="CO607" i="1"/>
  <c r="CS607" i="1"/>
  <c r="CP607" i="1"/>
  <c r="BY520" i="1"/>
  <c r="EP520" i="1" s="1"/>
  <c r="BY592" i="1"/>
  <c r="EP592" i="1" s="1"/>
  <c r="CT592" i="1"/>
  <c r="CT523" i="1"/>
  <c r="CS523" i="1"/>
  <c r="CR523" i="1"/>
  <c r="CQ523" i="1"/>
  <c r="CP523" i="1"/>
  <c r="CO523" i="1"/>
  <c r="BY595" i="1"/>
  <c r="EP595" i="1" s="1"/>
  <c r="CT595" i="1"/>
  <c r="CT1050" i="1"/>
  <c r="CN750" i="1"/>
  <c r="CP780" i="1"/>
  <c r="CP1097" i="1"/>
  <c r="CO1098" i="1"/>
  <c r="CO1100" i="1"/>
  <c r="CR1106" i="1"/>
  <c r="BY762" i="1"/>
  <c r="EP762" i="1" s="1"/>
  <c r="CT762" i="1"/>
  <c r="BY583" i="1"/>
  <c r="EP583" i="1" s="1"/>
  <c r="CN152" i="1"/>
  <c r="BN152" i="1"/>
  <c r="BO152" i="1" s="1"/>
  <c r="BY152" i="1" s="1"/>
  <c r="EP152" i="1" s="1"/>
  <c r="BM152" i="1"/>
  <c r="CT607" i="1"/>
  <c r="BM750" i="1"/>
  <c r="CO1093" i="1"/>
  <c r="CQ780" i="1"/>
  <c r="CO782" i="1"/>
  <c r="CQ1097" i="1"/>
  <c r="CU1097" i="1" s="1"/>
  <c r="CP1098" i="1"/>
  <c r="CO1099" i="1"/>
  <c r="CP1100" i="1"/>
  <c r="CS1106" i="1"/>
  <c r="CV1106" i="1" s="1"/>
  <c r="CQ760" i="1"/>
  <c r="CP760" i="1"/>
  <c r="CO760" i="1"/>
  <c r="CT761" i="1"/>
  <c r="CS761" i="1"/>
  <c r="CR761" i="1"/>
  <c r="CP761" i="1"/>
  <c r="CO761" i="1"/>
  <c r="BY757" i="1"/>
  <c r="EP757" i="1" s="1"/>
  <c r="CQ1104" i="1"/>
  <c r="CQ1105" i="1"/>
  <c r="CP1105" i="1"/>
  <c r="CP621" i="1"/>
  <c r="CO621" i="1"/>
  <c r="CT621" i="1"/>
  <c r="CR760" i="1"/>
  <c r="CV760" i="1" s="1"/>
  <c r="CQ761" i="1"/>
  <c r="CT757" i="1"/>
  <c r="CS757" i="1"/>
  <c r="CR757" i="1"/>
  <c r="CQ757" i="1"/>
  <c r="CQ774" i="1"/>
  <c r="CQ584" i="1"/>
  <c r="CT756" i="1"/>
  <c r="CT602" i="1"/>
  <c r="CS602" i="1"/>
  <c r="CR602" i="1"/>
  <c r="CT588" i="1"/>
  <c r="CS588" i="1"/>
  <c r="CR588" i="1"/>
  <c r="CQ588" i="1"/>
  <c r="BY523" i="1"/>
  <c r="EP523" i="1" s="1"/>
  <c r="CT774" i="1"/>
  <c r="CT584" i="1"/>
  <c r="CR153" i="1"/>
  <c r="CQ153" i="1"/>
  <c r="CT154" i="1"/>
  <c r="CR154" i="1"/>
  <c r="CQ446" i="1"/>
  <c r="CT601" i="1"/>
  <c r="CP602" i="1"/>
  <c r="CP588" i="1"/>
  <c r="CQ772" i="1"/>
  <c r="CU772" i="1" s="1"/>
  <c r="CQ773" i="1"/>
  <c r="CQ581" i="1"/>
  <c r="CT754" i="1"/>
  <c r="BM151" i="1"/>
  <c r="CS153" i="1"/>
  <c r="CQ154" i="1"/>
  <c r="CS448" i="1"/>
  <c r="CR448" i="1"/>
  <c r="CQ448" i="1"/>
  <c r="CP448" i="1"/>
  <c r="CQ602" i="1"/>
  <c r="CQ519" i="1"/>
  <c r="BY1109" i="1"/>
  <c r="EP1109" i="1" s="1"/>
  <c r="CR581" i="1"/>
  <c r="CV581" i="1" s="1"/>
  <c r="CN759" i="1"/>
  <c r="CT153" i="1"/>
  <c r="CS154" i="1"/>
  <c r="CS591" i="1"/>
  <c r="CR591" i="1"/>
  <c r="CQ591" i="1"/>
  <c r="CP591" i="1"/>
  <c r="CT1109" i="1"/>
  <c r="CU1109" i="1" s="1"/>
  <c r="CS1109" i="1"/>
  <c r="CR1109" i="1"/>
  <c r="CT758" i="1"/>
  <c r="CR758" i="1"/>
  <c r="BY447" i="1"/>
  <c r="EP447" i="1" s="1"/>
  <c r="CR603" i="1"/>
  <c r="CV603" i="1" s="1"/>
  <c r="CQ603" i="1"/>
  <c r="CP603" i="1"/>
  <c r="CO603" i="1"/>
  <c r="BY604" i="1"/>
  <c r="EP604" i="1" s="1"/>
  <c r="CT604" i="1"/>
  <c r="CT447" i="1"/>
  <c r="CU447" i="1" s="1"/>
  <c r="CT520" i="1"/>
  <c r="CN1108" i="1"/>
  <c r="CP446" i="1"/>
  <c r="CO601" i="1"/>
  <c r="CP519" i="1"/>
  <c r="CO592" i="1"/>
  <c r="BM1108" i="1"/>
  <c r="BY389" i="1" l="1"/>
  <c r="CV397" i="1"/>
  <c r="CT744" i="1"/>
  <c r="CO801" i="1"/>
  <c r="EP1054" i="1"/>
  <c r="CP801" i="1"/>
  <c r="CQ801" i="1"/>
  <c r="CS1112" i="1"/>
  <c r="CR1118" i="1"/>
  <c r="CV1054" i="1"/>
  <c r="CT1118" i="1"/>
  <c r="CU1118" i="1" s="1"/>
  <c r="CQ1083" i="1"/>
  <c r="CR1112" i="1"/>
  <c r="CR1083" i="1"/>
  <c r="CS1083" i="1"/>
  <c r="CS1114" i="1"/>
  <c r="CT1112" i="1"/>
  <c r="CQ1124" i="1"/>
  <c r="CR1076" i="1"/>
  <c r="EP1027" i="1"/>
  <c r="CR1039" i="1"/>
  <c r="CQ1040" i="1"/>
  <c r="CU1040" i="1" s="1"/>
  <c r="CS1042" i="1"/>
  <c r="CO1111" i="1"/>
  <c r="CS802" i="1"/>
  <c r="CV802" i="1" s="1"/>
  <c r="BY1117" i="1"/>
  <c r="EP1117" i="1" s="1"/>
  <c r="EP390" i="1"/>
  <c r="CQ1115" i="1"/>
  <c r="CU1115" i="1" s="1"/>
  <c r="CS1120" i="1"/>
  <c r="CQ1081" i="1"/>
  <c r="CO1118" i="1"/>
  <c r="CT1076" i="1"/>
  <c r="CS1111" i="1"/>
  <c r="CR1114" i="1"/>
  <c r="CS800" i="1"/>
  <c r="CV800" i="1" s="1"/>
  <c r="CU1085" i="1"/>
  <c r="CT1042" i="1"/>
  <c r="CU587" i="1"/>
  <c r="CO1120" i="1"/>
  <c r="CT1120" i="1"/>
  <c r="CS1076" i="1"/>
  <c r="CT1111" i="1"/>
  <c r="BY1028" i="1"/>
  <c r="EP1028" i="1" s="1"/>
  <c r="CP1039" i="1"/>
  <c r="CP1042" i="1"/>
  <c r="CQ1112" i="1"/>
  <c r="CP1112" i="1"/>
  <c r="CO1042" i="1"/>
  <c r="CR1042" i="1"/>
  <c r="BY1029" i="1"/>
  <c r="EP1029" i="1" s="1"/>
  <c r="CU1050" i="1"/>
  <c r="EP778" i="1"/>
  <c r="CU1060" i="1"/>
  <c r="CU595" i="1"/>
  <c r="CU592" i="1"/>
  <c r="CQ1119" i="1"/>
  <c r="CU1119" i="1" s="1"/>
  <c r="CT1039" i="1"/>
  <c r="CT1079" i="1"/>
  <c r="CT801" i="1"/>
  <c r="CU801" i="1" s="1"/>
  <c r="CR1111" i="1"/>
  <c r="CR801" i="1"/>
  <c r="CV801" i="1" s="1"/>
  <c r="CU1028" i="1"/>
  <c r="CV784" i="1"/>
  <c r="CV744" i="1"/>
  <c r="CS796" i="1"/>
  <c r="CT796" i="1"/>
  <c r="CU796" i="1" s="1"/>
  <c r="CP796" i="1"/>
  <c r="CQ796" i="1"/>
  <c r="BY1081" i="1"/>
  <c r="EP1081" i="1" s="1"/>
  <c r="CQ797" i="1"/>
  <c r="CU797" i="1" s="1"/>
  <c r="CR797" i="1"/>
  <c r="CV797" i="1" s="1"/>
  <c r="CU1100" i="1"/>
  <c r="CP797" i="1"/>
  <c r="CU614" i="1"/>
  <c r="CT617" i="1"/>
  <c r="CP617" i="1"/>
  <c r="CU783" i="1"/>
  <c r="CU1065" i="1"/>
  <c r="CP1118" i="1"/>
  <c r="CV595" i="1"/>
  <c r="CS1118" i="1"/>
  <c r="CV1118" i="1" s="1"/>
  <c r="CU1061" i="1"/>
  <c r="CV1114" i="1"/>
  <c r="CU612" i="1"/>
  <c r="CQ1043" i="1"/>
  <c r="CU1043" i="1" s="1"/>
  <c r="CO802" i="1"/>
  <c r="CP800" i="1"/>
  <c r="CU1130" i="1"/>
  <c r="CV1091" i="1"/>
  <c r="CT800" i="1"/>
  <c r="CP802" i="1"/>
  <c r="CQ800" i="1"/>
  <c r="CT802" i="1"/>
  <c r="CO800" i="1"/>
  <c r="CV1039" i="1"/>
  <c r="BY1031" i="1"/>
  <c r="EP1031" i="1" s="1"/>
  <c r="CQ802" i="1"/>
  <c r="BY1075" i="1"/>
  <c r="EP1075" i="1" s="1"/>
  <c r="CQ1079" i="1"/>
  <c r="CU1079" i="1" s="1"/>
  <c r="CR1079" i="1"/>
  <c r="CV1079" i="1" s="1"/>
  <c r="CU623" i="1"/>
  <c r="CQ1075" i="1"/>
  <c r="CS1075" i="1"/>
  <c r="CV1075" i="1" s="1"/>
  <c r="EP389" i="1"/>
  <c r="CQ1044" i="1"/>
  <c r="CU1044" i="1" s="1"/>
  <c r="CU398" i="1"/>
  <c r="CR610" i="1"/>
  <c r="CV614" i="1"/>
  <c r="CV513" i="1"/>
  <c r="CU754" i="1"/>
  <c r="CU608" i="1"/>
  <c r="CV790" i="1"/>
  <c r="CT1033" i="1"/>
  <c r="CU1038" i="1"/>
  <c r="CQ1033" i="1"/>
  <c r="BY1077" i="1"/>
  <c r="EP1077" i="1" s="1"/>
  <c r="CP1046" i="1"/>
  <c r="CR1046" i="1"/>
  <c r="CV1046" i="1" s="1"/>
  <c r="CV748" i="1"/>
  <c r="CV487" i="1"/>
  <c r="CU1054" i="1"/>
  <c r="CU520" i="1"/>
  <c r="CS610" i="1"/>
  <c r="CV610" i="1" s="1"/>
  <c r="CU1037" i="1"/>
  <c r="CO803" i="1"/>
  <c r="CU1127" i="1"/>
  <c r="CR1110" i="1"/>
  <c r="CP803" i="1"/>
  <c r="CU620" i="1"/>
  <c r="CO1110" i="1"/>
  <c r="CP1110" i="1"/>
  <c r="CT803" i="1"/>
  <c r="CU803" i="1" s="1"/>
  <c r="CV1030" i="1"/>
  <c r="CV1127" i="1"/>
  <c r="CU591" i="1"/>
  <c r="CO1033" i="1"/>
  <c r="CT1110" i="1"/>
  <c r="CU1110" i="1" s="1"/>
  <c r="CS1110" i="1"/>
  <c r="CR803" i="1"/>
  <c r="CS803" i="1"/>
  <c r="CU1051" i="1"/>
  <c r="CU515" i="1"/>
  <c r="CT749" i="1"/>
  <c r="CP1033" i="1"/>
  <c r="CV580" i="1"/>
  <c r="CV1129" i="1"/>
  <c r="CU763" i="1"/>
  <c r="CQ749" i="1"/>
  <c r="CR749" i="1"/>
  <c r="CO1034" i="1"/>
  <c r="CP1034" i="1"/>
  <c r="BY1092" i="1"/>
  <c r="EP1092" i="1" s="1"/>
  <c r="CS1034" i="1"/>
  <c r="CQ710" i="1"/>
  <c r="CU710" i="1" s="1"/>
  <c r="CR1033" i="1"/>
  <c r="CV1033" i="1" s="1"/>
  <c r="CU1068" i="1"/>
  <c r="CT1081" i="1"/>
  <c r="CU1081" i="1" s="1"/>
  <c r="CQ1084" i="1"/>
  <c r="CV1069" i="1"/>
  <c r="CU721" i="1"/>
  <c r="CS749" i="1"/>
  <c r="CR1084" i="1"/>
  <c r="CV1084" i="1" s="1"/>
  <c r="CP749" i="1"/>
  <c r="CR1034" i="1"/>
  <c r="CQ617" i="1"/>
  <c r="CU395" i="1"/>
  <c r="CU1036" i="1"/>
  <c r="CT1084" i="1"/>
  <c r="CT1034" i="1"/>
  <c r="CU1034" i="1" s="1"/>
  <c r="CO617" i="1"/>
  <c r="CU397" i="1"/>
  <c r="CQ712" i="1"/>
  <c r="CO1046" i="1"/>
  <c r="CU615" i="1"/>
  <c r="CU1114" i="1"/>
  <c r="CU1071" i="1"/>
  <c r="CV758" i="1"/>
  <c r="CR151" i="1"/>
  <c r="CQ151" i="1"/>
  <c r="CU151" i="1" s="1"/>
  <c r="CS151" i="1"/>
  <c r="CT1046" i="1"/>
  <c r="CU784" i="1"/>
  <c r="CU1048" i="1"/>
  <c r="CU746" i="1"/>
  <c r="CV1083" i="1"/>
  <c r="CU1069" i="1"/>
  <c r="CU779" i="1"/>
  <c r="CU1106" i="1"/>
  <c r="CU782" i="1"/>
  <c r="CU616" i="1"/>
  <c r="CU1062" i="1"/>
  <c r="CU618" i="1"/>
  <c r="CV615" i="1"/>
  <c r="CV612" i="1"/>
  <c r="CU1088" i="1"/>
  <c r="CV1093" i="1"/>
  <c r="CV623" i="1"/>
  <c r="CU1047" i="1"/>
  <c r="CU400" i="1"/>
  <c r="CV395" i="1"/>
  <c r="CV585" i="1"/>
  <c r="CU743" i="1"/>
  <c r="CV396" i="1"/>
  <c r="CU774" i="1"/>
  <c r="CV601" i="1"/>
  <c r="CV620" i="1"/>
  <c r="CU597" i="1"/>
  <c r="CV1028" i="1"/>
  <c r="CU523" i="1"/>
  <c r="EP1084" i="1"/>
  <c r="CU1030" i="1"/>
  <c r="CU1128" i="1"/>
  <c r="CV1071" i="1"/>
  <c r="CV394" i="1"/>
  <c r="CT1057" i="1"/>
  <c r="CU1057" i="1" s="1"/>
  <c r="CU1058" i="1"/>
  <c r="CV782" i="1"/>
  <c r="CV447" i="1"/>
  <c r="CV592" i="1"/>
  <c r="CU446" i="1"/>
  <c r="CU1052" i="1"/>
  <c r="CU1126" i="1"/>
  <c r="CU1053" i="1"/>
  <c r="CU581" i="1"/>
  <c r="CV1077" i="1"/>
  <c r="CT391" i="1"/>
  <c r="CU391" i="1" s="1"/>
  <c r="CU1072" i="1"/>
  <c r="CR609" i="1"/>
  <c r="CV609" i="1" s="1"/>
  <c r="CQ609" i="1"/>
  <c r="CV746" i="1"/>
  <c r="CS712" i="1"/>
  <c r="CV712" i="1" s="1"/>
  <c r="CV619" i="1"/>
  <c r="CV755" i="1"/>
  <c r="CV515" i="1"/>
  <c r="CU601" i="1"/>
  <c r="CU600" i="1"/>
  <c r="CU399" i="1"/>
  <c r="CQ1074" i="1"/>
  <c r="CU1074" i="1" s="1"/>
  <c r="CU488" i="1"/>
  <c r="CU748" i="1"/>
  <c r="CU756" i="1"/>
  <c r="CU1027" i="1"/>
  <c r="CU586" i="1"/>
  <c r="CT712" i="1"/>
  <c r="CV1057" i="1"/>
  <c r="CQ1113" i="1"/>
  <c r="CU1113" i="1" s="1"/>
  <c r="CV1072" i="1"/>
  <c r="CU744" i="1"/>
  <c r="CV1087" i="1"/>
  <c r="CT1077" i="1"/>
  <c r="CU1077" i="1" s="1"/>
  <c r="CT610" i="1"/>
  <c r="CU610" i="1" s="1"/>
  <c r="CQ1046" i="1"/>
  <c r="CU755" i="1"/>
  <c r="CU604" i="1"/>
  <c r="CT609" i="1"/>
  <c r="CU787" i="1"/>
  <c r="CU1111" i="1"/>
  <c r="CU1104" i="1"/>
  <c r="CU1099" i="1"/>
  <c r="CU580" i="1"/>
  <c r="CU619" i="1"/>
  <c r="CS617" i="1"/>
  <c r="CV617" i="1" s="1"/>
  <c r="CV1032" i="1"/>
  <c r="CS391" i="1"/>
  <c r="CV391" i="1" s="1"/>
  <c r="CU1087" i="1"/>
  <c r="CV1117" i="1"/>
  <c r="CV1067" i="1"/>
  <c r="CU1086" i="1"/>
  <c r="CV1068" i="1"/>
  <c r="CV604" i="1"/>
  <c r="CV1037" i="1"/>
  <c r="CV783" i="1"/>
  <c r="CU1098" i="1"/>
  <c r="CV1081" i="1"/>
  <c r="CU507" i="1"/>
  <c r="CU745" i="1"/>
  <c r="CU621" i="1"/>
  <c r="CU583" i="1"/>
  <c r="CS606" i="1"/>
  <c r="CV606" i="1" s="1"/>
  <c r="CV597" i="1"/>
  <c r="CU762" i="1"/>
  <c r="CV1062" i="1"/>
  <c r="CT606" i="1"/>
  <c r="CU606" i="1" s="1"/>
  <c r="CU603" i="1"/>
  <c r="CV598" i="1"/>
  <c r="CU1082" i="1"/>
  <c r="EP1030" i="1"/>
  <c r="CV1043" i="1"/>
  <c r="CU791" i="1"/>
  <c r="CV788" i="1"/>
  <c r="CU1063" i="1"/>
  <c r="CU1107" i="1"/>
  <c r="CQ708" i="1"/>
  <c r="CU708" i="1" s="1"/>
  <c r="EP1057" i="1"/>
  <c r="CV1042" i="1"/>
  <c r="CV1058" i="1"/>
  <c r="CV1023" i="1"/>
  <c r="CU487" i="1"/>
  <c r="CV1095" i="1"/>
  <c r="CT1075" i="1"/>
  <c r="CU153" i="1"/>
  <c r="CU752" i="1"/>
  <c r="CV1056" i="1"/>
  <c r="CV747" i="1"/>
  <c r="CV1099" i="1"/>
  <c r="CV519" i="1"/>
  <c r="CU770" i="1"/>
  <c r="CU1070" i="1"/>
  <c r="CV508" i="1"/>
  <c r="CU1064" i="1"/>
  <c r="CU1102" i="1"/>
  <c r="CV432" i="1"/>
  <c r="CV1074" i="1"/>
  <c r="CV1035" i="1"/>
  <c r="CU1059" i="1"/>
  <c r="CU1023" i="1"/>
  <c r="CV608" i="1"/>
  <c r="CU757" i="1"/>
  <c r="CU596" i="1"/>
  <c r="CU773" i="1"/>
  <c r="CU780" i="1"/>
  <c r="CV1026" i="1"/>
  <c r="CQ758" i="1"/>
  <c r="CU758" i="1" s="1"/>
  <c r="CV591" i="1"/>
  <c r="CU448" i="1"/>
  <c r="CV400" i="1"/>
  <c r="CV526" i="1"/>
  <c r="CU598" i="1"/>
  <c r="CU1073" i="1"/>
  <c r="CU1031" i="1"/>
  <c r="BY1078" i="1"/>
  <c r="EP1078" i="1" s="1"/>
  <c r="CU747" i="1"/>
  <c r="CU1093" i="1"/>
  <c r="CV596" i="1"/>
  <c r="CV1064" i="1"/>
  <c r="CU1120" i="1"/>
  <c r="CU513" i="1"/>
  <c r="CV757" i="1"/>
  <c r="CV1109" i="1"/>
  <c r="CV154" i="1"/>
  <c r="CV153" i="1"/>
  <c r="CU1049" i="1"/>
  <c r="CT1092" i="1"/>
  <c r="CU1092" i="1" s="1"/>
  <c r="CU720" i="1"/>
  <c r="CV1103" i="1"/>
  <c r="CU1101" i="1"/>
  <c r="CV1055" i="1"/>
  <c r="CQ1121" i="1"/>
  <c r="CU1121" i="1" s="1"/>
  <c r="CU1095" i="1"/>
  <c r="CV721" i="1"/>
  <c r="CV1066" i="1"/>
  <c r="CU804" i="1"/>
  <c r="CU1067" i="1"/>
  <c r="CU777" i="1"/>
  <c r="CU1112" i="1"/>
  <c r="CU599" i="1"/>
  <c r="CU786" i="1"/>
  <c r="CU1090" i="1"/>
  <c r="CV448" i="1"/>
  <c r="CV602" i="1"/>
  <c r="CV761" i="1"/>
  <c r="CV607" i="1"/>
  <c r="CV582" i="1"/>
  <c r="CO1045" i="1"/>
  <c r="CQ1045" i="1"/>
  <c r="CP1045" i="1"/>
  <c r="CT1045" i="1"/>
  <c r="CS1045" i="1"/>
  <c r="CR1045" i="1"/>
  <c r="CV1092" i="1"/>
  <c r="CV1086" i="1"/>
  <c r="CU1089" i="1"/>
  <c r="CR613" i="1"/>
  <c r="CT613" i="1"/>
  <c r="CS613" i="1"/>
  <c r="CQ613" i="1"/>
  <c r="CU1042" i="1"/>
  <c r="CV708" i="1"/>
  <c r="CU1066" i="1"/>
  <c r="CU394" i="1"/>
  <c r="CS1078" i="1"/>
  <c r="CQ1078" i="1"/>
  <c r="CR1078" i="1"/>
  <c r="CT1078" i="1"/>
  <c r="CS795" i="1"/>
  <c r="CT795" i="1"/>
  <c r="CR795" i="1"/>
  <c r="CP795" i="1"/>
  <c r="CQ795" i="1"/>
  <c r="CO795" i="1"/>
  <c r="CT1056" i="1"/>
  <c r="CU1056" i="1" s="1"/>
  <c r="CU149" i="1"/>
  <c r="CV1025" i="1"/>
  <c r="CV804" i="1"/>
  <c r="CU514" i="1"/>
  <c r="CP1108" i="1"/>
  <c r="CO1108" i="1"/>
  <c r="CS1108" i="1"/>
  <c r="CR1108" i="1"/>
  <c r="CQ1108" i="1"/>
  <c r="CT1108" i="1"/>
  <c r="CU602" i="1"/>
  <c r="CU761" i="1"/>
  <c r="CQ152" i="1"/>
  <c r="CT152" i="1"/>
  <c r="CS152" i="1"/>
  <c r="CR152" i="1"/>
  <c r="CT1091" i="1"/>
  <c r="CU1091" i="1" s="1"/>
  <c r="BY1091" i="1"/>
  <c r="EP1091" i="1" s="1"/>
  <c r="CV1102" i="1"/>
  <c r="CU585" i="1"/>
  <c r="CT611" i="1"/>
  <c r="CS611" i="1"/>
  <c r="CR611" i="1"/>
  <c r="CQ611" i="1"/>
  <c r="CV1031" i="1"/>
  <c r="CQ793" i="1"/>
  <c r="CT793" i="1"/>
  <c r="CS793" i="1"/>
  <c r="CR793" i="1"/>
  <c r="CO793" i="1"/>
  <c r="CP793" i="1"/>
  <c r="CU1026" i="1"/>
  <c r="CV1122" i="1"/>
  <c r="CU1025" i="1"/>
  <c r="CU790" i="1"/>
  <c r="CV796" i="1"/>
  <c r="BY1122" i="1"/>
  <c r="EP1122" i="1" s="1"/>
  <c r="CU1124" i="1"/>
  <c r="CQ452" i="1"/>
  <c r="CR452" i="1"/>
  <c r="CT452" i="1"/>
  <c r="CS452" i="1"/>
  <c r="CU154" i="1"/>
  <c r="CP750" i="1"/>
  <c r="CO750" i="1"/>
  <c r="CT750" i="1"/>
  <c r="CR750" i="1"/>
  <c r="CQ750" i="1"/>
  <c r="CS750" i="1"/>
  <c r="CV523" i="1"/>
  <c r="CU1105" i="1"/>
  <c r="CU760" i="1"/>
  <c r="CV1096" i="1"/>
  <c r="CV399" i="1"/>
  <c r="CS778" i="1"/>
  <c r="CR778" i="1"/>
  <c r="CQ778" i="1"/>
  <c r="CT778" i="1"/>
  <c r="CP778" i="1"/>
  <c r="CO778" i="1"/>
  <c r="CT764" i="1"/>
  <c r="CS764" i="1"/>
  <c r="CR764" i="1"/>
  <c r="CQ764" i="1"/>
  <c r="CT776" i="1"/>
  <c r="CQ776" i="1"/>
  <c r="CO776" i="1"/>
  <c r="CS776" i="1"/>
  <c r="CR776" i="1"/>
  <c r="CP776" i="1"/>
  <c r="CV720" i="1"/>
  <c r="EP1074" i="1"/>
  <c r="CV1059" i="1"/>
  <c r="CT390" i="1"/>
  <c r="CR390" i="1"/>
  <c r="CQ390" i="1"/>
  <c r="CP390" i="1"/>
  <c r="CO390" i="1"/>
  <c r="CS390" i="1"/>
  <c r="CV1065" i="1"/>
  <c r="CV1115" i="1"/>
  <c r="CU1032" i="1"/>
  <c r="CV1120" i="1"/>
  <c r="CU1122" i="1"/>
  <c r="CV1112" i="1"/>
  <c r="CU577" i="1"/>
  <c r="CU582" i="1"/>
  <c r="CU1096" i="1"/>
  <c r="CP775" i="1"/>
  <c r="CT775" i="1"/>
  <c r="CS775" i="1"/>
  <c r="CR775" i="1"/>
  <c r="CQ775" i="1"/>
  <c r="CO775" i="1"/>
  <c r="EP1076" i="1"/>
  <c r="CT707" i="1"/>
  <c r="CQ707" i="1"/>
  <c r="CR707" i="1"/>
  <c r="CS707" i="1"/>
  <c r="CV1101" i="1"/>
  <c r="CU1039" i="1"/>
  <c r="CR798" i="1"/>
  <c r="CQ798" i="1"/>
  <c r="CP798" i="1"/>
  <c r="CO798" i="1"/>
  <c r="CT798" i="1"/>
  <c r="CS798" i="1"/>
  <c r="BY1083" i="1"/>
  <c r="EP1083" i="1" s="1"/>
  <c r="CT1083" i="1"/>
  <c r="CU1083" i="1" s="1"/>
  <c r="CU1035" i="1"/>
  <c r="CU396" i="1"/>
  <c r="CT792" i="1"/>
  <c r="CR792" i="1"/>
  <c r="CS792" i="1"/>
  <c r="CO792" i="1"/>
  <c r="CP792" i="1"/>
  <c r="CQ792" i="1"/>
  <c r="CV1123" i="1"/>
  <c r="CV710" i="1"/>
  <c r="BY1123" i="1"/>
  <c r="CU1123" i="1"/>
  <c r="CS759" i="1"/>
  <c r="CQ759" i="1"/>
  <c r="CT759" i="1"/>
  <c r="CR759" i="1"/>
  <c r="CV588" i="1"/>
  <c r="CU445" i="1"/>
  <c r="CV622" i="1"/>
  <c r="CV785" i="1"/>
  <c r="CV616" i="1"/>
  <c r="CV781" i="1"/>
  <c r="BY1090" i="1"/>
  <c r="EP1090" i="1" s="1"/>
  <c r="CV753" i="1"/>
  <c r="CU432" i="1"/>
  <c r="CV1041" i="1"/>
  <c r="CU1103" i="1"/>
  <c r="CS1029" i="1"/>
  <c r="CR1029" i="1"/>
  <c r="CQ1029" i="1"/>
  <c r="CP1029" i="1"/>
  <c r="CO1029" i="1"/>
  <c r="CT1029" i="1"/>
  <c r="CU1131" i="1"/>
  <c r="CV149" i="1"/>
  <c r="CV1121" i="1"/>
  <c r="CU508" i="1"/>
  <c r="CU1117" i="1"/>
  <c r="CU1076" i="1"/>
  <c r="CV789" i="1"/>
  <c r="CQ1080" i="1"/>
  <c r="CS1080" i="1"/>
  <c r="CT1080" i="1"/>
  <c r="CR1080" i="1"/>
  <c r="CT751" i="1"/>
  <c r="CS751" i="1"/>
  <c r="CR751" i="1"/>
  <c r="CQ751" i="1"/>
  <c r="CP751" i="1"/>
  <c r="CO751" i="1"/>
  <c r="CS605" i="1"/>
  <c r="CR605" i="1"/>
  <c r="CT605" i="1"/>
  <c r="CU605" i="1" s="1"/>
  <c r="CR389" i="1"/>
  <c r="CP389" i="1"/>
  <c r="CO389" i="1"/>
  <c r="CT389" i="1"/>
  <c r="CS389" i="1"/>
  <c r="CQ389" i="1"/>
  <c r="CS1125" i="1"/>
  <c r="CQ1125" i="1"/>
  <c r="CP1125" i="1"/>
  <c r="CO1125" i="1"/>
  <c r="CR1125" i="1"/>
  <c r="CT1125" i="1"/>
  <c r="BY1055" i="1"/>
  <c r="EP1055" i="1" s="1"/>
  <c r="CT1055" i="1"/>
  <c r="CU1055" i="1" s="1"/>
  <c r="CU584" i="1"/>
  <c r="CU588" i="1"/>
  <c r="CU607" i="1"/>
  <c r="CU519" i="1"/>
  <c r="CU622" i="1"/>
  <c r="CV786" i="1"/>
  <c r="CU785" i="1"/>
  <c r="CU526" i="1"/>
  <c r="CV779" i="1"/>
  <c r="CV1090" i="1"/>
  <c r="CU781" i="1"/>
  <c r="CU753" i="1"/>
  <c r="CU768" i="1"/>
  <c r="CV770" i="1"/>
  <c r="CU1041" i="1"/>
  <c r="CV752" i="1"/>
  <c r="CV577" i="1"/>
  <c r="CQ1116" i="1"/>
  <c r="CP1116" i="1"/>
  <c r="CO1116" i="1"/>
  <c r="CR1116" i="1"/>
  <c r="CT1116" i="1"/>
  <c r="CS1116" i="1"/>
  <c r="CO799" i="1"/>
  <c r="CQ799" i="1"/>
  <c r="CP799" i="1"/>
  <c r="CS799" i="1"/>
  <c r="CT799" i="1"/>
  <c r="CR799" i="1"/>
  <c r="CU516" i="1"/>
  <c r="CV516" i="1"/>
  <c r="CT794" i="1"/>
  <c r="CS794" i="1"/>
  <c r="CR794" i="1"/>
  <c r="CQ794" i="1"/>
  <c r="CP794" i="1"/>
  <c r="CO794" i="1"/>
  <c r="EP1056" i="1"/>
  <c r="CU789" i="1"/>
  <c r="CU788" i="1"/>
  <c r="CU1024" i="1"/>
  <c r="CV1076" i="1" l="1"/>
  <c r="CV1111" i="1"/>
  <c r="CU1046" i="1"/>
  <c r="CU617" i="1"/>
  <c r="CU1075" i="1"/>
  <c r="CU800" i="1"/>
  <c r="CU802" i="1"/>
  <c r="CU1084" i="1"/>
  <c r="CV1110" i="1"/>
  <c r="CU1033" i="1"/>
  <c r="CU749" i="1"/>
  <c r="CV803" i="1"/>
  <c r="CU712" i="1"/>
  <c r="CV749" i="1"/>
  <c r="CV1034" i="1"/>
  <c r="CV151" i="1"/>
  <c r="CU609" i="1"/>
  <c r="CV152" i="1"/>
  <c r="CV1108" i="1"/>
  <c r="CV613" i="1"/>
  <c r="CV750" i="1"/>
  <c r="CU611" i="1"/>
  <c r="CU794" i="1"/>
  <c r="CV799" i="1"/>
  <c r="CU1125" i="1"/>
  <c r="CU389" i="1"/>
  <c r="CU1029" i="1"/>
  <c r="CU452" i="1"/>
  <c r="CU793" i="1"/>
  <c r="CV390" i="1"/>
  <c r="CU1045" i="1"/>
  <c r="CV1116" i="1"/>
  <c r="CU759" i="1"/>
  <c r="CU1108" i="1"/>
  <c r="CV792" i="1"/>
  <c r="CU1078" i="1"/>
  <c r="CV707" i="1"/>
  <c r="CV605" i="1"/>
  <c r="CU778" i="1"/>
  <c r="CV452" i="1"/>
  <c r="CV793" i="1"/>
  <c r="CV1078" i="1"/>
  <c r="CU707" i="1"/>
  <c r="CU795" i="1"/>
  <c r="CU751" i="1"/>
  <c r="CV759" i="1"/>
  <c r="CV798" i="1"/>
  <c r="CV764" i="1"/>
  <c r="CU750" i="1"/>
  <c r="CV795" i="1"/>
  <c r="CU613" i="1"/>
  <c r="CU1116" i="1"/>
  <c r="CV1125" i="1"/>
  <c r="CV1029" i="1"/>
  <c r="CU798" i="1"/>
  <c r="CU764" i="1"/>
  <c r="CU776" i="1"/>
  <c r="CU1080" i="1"/>
  <c r="CV775" i="1"/>
  <c r="CV776" i="1"/>
  <c r="CV751" i="1"/>
  <c r="CV778" i="1"/>
  <c r="CV1045" i="1"/>
  <c r="CV794" i="1"/>
  <c r="CU799" i="1"/>
  <c r="CV389" i="1"/>
  <c r="CV1080" i="1"/>
  <c r="CU792" i="1"/>
  <c r="CU775" i="1"/>
  <c r="CU390" i="1"/>
  <c r="CV611" i="1"/>
  <c r="CU152" i="1"/>
  <c r="EM144" i="1" l="1"/>
  <c r="DU144" i="1"/>
  <c r="DT144" i="1"/>
  <c r="DN144" i="1"/>
  <c r="DM144" i="1"/>
  <c r="DL144" i="1"/>
  <c r="DK144" i="1"/>
  <c r="DI144" i="1"/>
  <c r="DJ144" i="1" s="1"/>
  <c r="DC144" i="1"/>
  <c r="CX144" i="1"/>
  <c r="CN144" i="1"/>
  <c r="BV144" i="1"/>
  <c r="BX144" i="1" s="1"/>
  <c r="BO144" i="1"/>
  <c r="BN144" i="1"/>
  <c r="BM144" i="1"/>
  <c r="BD144" i="1"/>
  <c r="BC144" i="1"/>
  <c r="BB144" i="1"/>
  <c r="BA144" i="1"/>
  <c r="AZ144" i="1"/>
  <c r="AY144" i="1"/>
  <c r="AX144" i="1"/>
  <c r="M144" i="1"/>
  <c r="EM143" i="1"/>
  <c r="DU143" i="1"/>
  <c r="DT143" i="1"/>
  <c r="DN143" i="1"/>
  <c r="DM143" i="1"/>
  <c r="DL143" i="1"/>
  <c r="DK143" i="1"/>
  <c r="DI143" i="1"/>
  <c r="DJ143" i="1" s="1"/>
  <c r="DC143" i="1"/>
  <c r="CX143" i="1"/>
  <c r="CN143" i="1"/>
  <c r="BV143" i="1"/>
  <c r="BX143" i="1" s="1"/>
  <c r="BO143" i="1"/>
  <c r="BN143" i="1"/>
  <c r="BM143" i="1"/>
  <c r="BD143" i="1"/>
  <c r="BC143" i="1"/>
  <c r="BB143" i="1"/>
  <c r="BA143" i="1"/>
  <c r="AZ143" i="1"/>
  <c r="AY143" i="1"/>
  <c r="AX143" i="1"/>
  <c r="M143" i="1"/>
  <c r="EM54" i="1"/>
  <c r="DU54" i="1"/>
  <c r="DT54" i="1"/>
  <c r="DN54" i="1"/>
  <c r="DM54" i="1"/>
  <c r="DL54" i="1"/>
  <c r="DK54" i="1"/>
  <c r="DI54" i="1"/>
  <c r="DJ54" i="1" s="1"/>
  <c r="DC54" i="1"/>
  <c r="CX54" i="1"/>
  <c r="CN54" i="1"/>
  <c r="CR54" i="1" s="1"/>
  <c r="BV54" i="1"/>
  <c r="BX54" i="1" s="1"/>
  <c r="BU54" i="1"/>
  <c r="BN54" i="1"/>
  <c r="BO54" i="1" s="1"/>
  <c r="BM54" i="1"/>
  <c r="BD54" i="1"/>
  <c r="BC54" i="1"/>
  <c r="BB54" i="1"/>
  <c r="BA54" i="1"/>
  <c r="AZ54" i="1"/>
  <c r="AY54" i="1"/>
  <c r="AX54" i="1"/>
  <c r="M54" i="1"/>
  <c r="EM594" i="1"/>
  <c r="DU594" i="1"/>
  <c r="DT594" i="1"/>
  <c r="DN594" i="1"/>
  <c r="DM594" i="1"/>
  <c r="DL594" i="1"/>
  <c r="DK594" i="1"/>
  <c r="DI594" i="1"/>
  <c r="DJ594" i="1" s="1"/>
  <c r="DC594" i="1"/>
  <c r="CX594" i="1"/>
  <c r="CN594" i="1"/>
  <c r="CP594" i="1" s="1"/>
  <c r="BV594" i="1"/>
  <c r="BX594" i="1" s="1"/>
  <c r="BU594" i="1"/>
  <c r="BN594" i="1"/>
  <c r="BO594" i="1" s="1"/>
  <c r="BM594" i="1"/>
  <c r="BD594" i="1"/>
  <c r="BC594" i="1"/>
  <c r="BB594" i="1"/>
  <c r="BA594" i="1"/>
  <c r="AZ594" i="1"/>
  <c r="AY594" i="1"/>
  <c r="AX594" i="1"/>
  <c r="M594" i="1"/>
  <c r="EM53" i="1"/>
  <c r="DU53" i="1"/>
  <c r="DT53" i="1"/>
  <c r="DN53" i="1"/>
  <c r="DM53" i="1"/>
  <c r="DL53" i="1"/>
  <c r="DK53" i="1"/>
  <c r="DI53" i="1"/>
  <c r="DJ53" i="1" s="1"/>
  <c r="DC53" i="1"/>
  <c r="CX53" i="1"/>
  <c r="CN53" i="1"/>
  <c r="CR53" i="1" s="1"/>
  <c r="BV53" i="1"/>
  <c r="BX53" i="1" s="1"/>
  <c r="BU53" i="1"/>
  <c r="BN53" i="1"/>
  <c r="BO53" i="1" s="1"/>
  <c r="BM53" i="1"/>
  <c r="BD53" i="1"/>
  <c r="BC53" i="1"/>
  <c r="BB53" i="1"/>
  <c r="BA53" i="1"/>
  <c r="AZ53" i="1"/>
  <c r="AY53" i="1"/>
  <c r="AX53" i="1"/>
  <c r="M53" i="1"/>
  <c r="EM593" i="1"/>
  <c r="DU593" i="1"/>
  <c r="DT593" i="1"/>
  <c r="DN593" i="1"/>
  <c r="DM593" i="1"/>
  <c r="DL593" i="1"/>
  <c r="DK593" i="1"/>
  <c r="DI593" i="1"/>
  <c r="DJ593" i="1" s="1"/>
  <c r="DC593" i="1"/>
  <c r="CX593" i="1"/>
  <c r="CN593" i="1"/>
  <c r="BV593" i="1"/>
  <c r="BX593" i="1" s="1"/>
  <c r="BU593" i="1"/>
  <c r="BN593" i="1"/>
  <c r="BO593" i="1" s="1"/>
  <c r="BM593" i="1"/>
  <c r="BD593" i="1"/>
  <c r="BC593" i="1"/>
  <c r="BB593" i="1"/>
  <c r="BA593" i="1"/>
  <c r="AZ593" i="1"/>
  <c r="AY593" i="1"/>
  <c r="AX593" i="1"/>
  <c r="M593" i="1"/>
  <c r="EM52" i="1"/>
  <c r="DU52" i="1"/>
  <c r="DT52" i="1"/>
  <c r="DN52" i="1"/>
  <c r="DM52" i="1"/>
  <c r="DL52" i="1"/>
  <c r="DK52" i="1"/>
  <c r="DI52" i="1"/>
  <c r="DJ52" i="1" s="1"/>
  <c r="DC52" i="1"/>
  <c r="CX52" i="1"/>
  <c r="CN52" i="1"/>
  <c r="CS52" i="1" s="1"/>
  <c r="BV52" i="1"/>
  <c r="BX52" i="1" s="1"/>
  <c r="BU52" i="1"/>
  <c r="BN52" i="1"/>
  <c r="BO52" i="1" s="1"/>
  <c r="BM52" i="1"/>
  <c r="BD52" i="1"/>
  <c r="BC52" i="1"/>
  <c r="BB52" i="1"/>
  <c r="BA52" i="1"/>
  <c r="AZ52" i="1"/>
  <c r="AY52" i="1"/>
  <c r="AX52" i="1"/>
  <c r="M52" i="1"/>
  <c r="EM590" i="1"/>
  <c r="DU590" i="1"/>
  <c r="DT590" i="1"/>
  <c r="DN590" i="1"/>
  <c r="DM590" i="1"/>
  <c r="DL590" i="1"/>
  <c r="DK590" i="1"/>
  <c r="DI590" i="1"/>
  <c r="DJ590" i="1" s="1"/>
  <c r="DC590" i="1"/>
  <c r="CX590" i="1"/>
  <c r="CN590" i="1"/>
  <c r="CP590" i="1" s="1"/>
  <c r="BV590" i="1"/>
  <c r="BX590" i="1" s="1"/>
  <c r="BU590" i="1"/>
  <c r="BN590" i="1"/>
  <c r="BO590" i="1" s="1"/>
  <c r="BM590" i="1"/>
  <c r="BD590" i="1"/>
  <c r="BC590" i="1"/>
  <c r="BB590" i="1"/>
  <c r="BA590" i="1"/>
  <c r="AZ590" i="1"/>
  <c r="AY590" i="1"/>
  <c r="AX590" i="1"/>
  <c r="M590" i="1"/>
  <c r="EM570" i="1"/>
  <c r="DT570" i="1"/>
  <c r="DN570" i="1"/>
  <c r="DM570" i="1"/>
  <c r="DL570" i="1"/>
  <c r="DK570" i="1"/>
  <c r="DJ570" i="1"/>
  <c r="DC570" i="1"/>
  <c r="CX570" i="1"/>
  <c r="CN570" i="1"/>
  <c r="CP570" i="1" s="1"/>
  <c r="BX570" i="1"/>
  <c r="BN570" i="1"/>
  <c r="BO570" i="1" s="1"/>
  <c r="BD570" i="1"/>
  <c r="BC570" i="1"/>
  <c r="BB570" i="1"/>
  <c r="BA570" i="1"/>
  <c r="AZ570" i="1"/>
  <c r="AY570" i="1"/>
  <c r="BE570" i="1" s="1" a="1"/>
  <c r="BE570" i="1" s="1"/>
  <c r="AX570" i="1"/>
  <c r="M570" i="1"/>
  <c r="EM569" i="1"/>
  <c r="DT569" i="1"/>
  <c r="DN569" i="1"/>
  <c r="DM569" i="1"/>
  <c r="DL569" i="1"/>
  <c r="DK569" i="1"/>
  <c r="DJ569" i="1"/>
  <c r="DC569" i="1"/>
  <c r="CX569" i="1"/>
  <c r="CN569" i="1"/>
  <c r="CO569" i="1" s="1"/>
  <c r="BX569" i="1"/>
  <c r="BN569" i="1"/>
  <c r="BO569" i="1" s="1"/>
  <c r="BD569" i="1"/>
  <c r="BC569" i="1"/>
  <c r="BB569" i="1"/>
  <c r="BA569" i="1"/>
  <c r="AZ569" i="1"/>
  <c r="BF569" i="1" s="1" a="1"/>
  <c r="BF569" i="1" s="1"/>
  <c r="AY569" i="1"/>
  <c r="BE569" i="1" s="1" a="1"/>
  <c r="BE569" i="1" s="1"/>
  <c r="AX569" i="1"/>
  <c r="M569" i="1"/>
  <c r="EM568" i="1"/>
  <c r="DT568" i="1"/>
  <c r="DN568" i="1"/>
  <c r="DM568" i="1"/>
  <c r="DL568" i="1"/>
  <c r="DK568" i="1"/>
  <c r="DJ568" i="1"/>
  <c r="DC568" i="1"/>
  <c r="CX568" i="1"/>
  <c r="CN568" i="1"/>
  <c r="CR568" i="1" s="1"/>
  <c r="BX568" i="1"/>
  <c r="BN568" i="1"/>
  <c r="BO568" i="1" s="1"/>
  <c r="BD568" i="1"/>
  <c r="BC568" i="1"/>
  <c r="BB568" i="1"/>
  <c r="BA568" i="1"/>
  <c r="AZ568" i="1"/>
  <c r="AY568" i="1"/>
  <c r="BE568" i="1" s="1" a="1"/>
  <c r="BE568" i="1" s="1"/>
  <c r="AX568" i="1"/>
  <c r="M568" i="1"/>
  <c r="EM567" i="1"/>
  <c r="DT567" i="1"/>
  <c r="DN567" i="1"/>
  <c r="DM567" i="1"/>
  <c r="DL567" i="1"/>
  <c r="DK567" i="1"/>
  <c r="DJ567" i="1"/>
  <c r="DC567" i="1"/>
  <c r="CX567" i="1"/>
  <c r="CN567" i="1"/>
  <c r="CO567" i="1" s="1"/>
  <c r="BX567" i="1"/>
  <c r="BN567" i="1"/>
  <c r="BO567" i="1" s="1"/>
  <c r="BD567" i="1"/>
  <c r="BC567" i="1"/>
  <c r="BB567" i="1"/>
  <c r="BA567" i="1"/>
  <c r="AZ567" i="1"/>
  <c r="BF567" i="1" s="1" a="1"/>
  <c r="BF567" i="1" s="1"/>
  <c r="AY567" i="1"/>
  <c r="BE567" i="1" s="1" a="1"/>
  <c r="BE567" i="1" s="1"/>
  <c r="AX567" i="1"/>
  <c r="M567" i="1"/>
  <c r="EM566" i="1"/>
  <c r="DT566" i="1"/>
  <c r="DN566" i="1"/>
  <c r="DM566" i="1"/>
  <c r="DL566" i="1"/>
  <c r="DK566" i="1"/>
  <c r="DJ566" i="1"/>
  <c r="DC566" i="1"/>
  <c r="CX566" i="1"/>
  <c r="CN566" i="1"/>
  <c r="BV566" i="1"/>
  <c r="BX566" i="1" s="1"/>
  <c r="BN566" i="1"/>
  <c r="BO566" i="1" s="1"/>
  <c r="BD566" i="1"/>
  <c r="BC566" i="1"/>
  <c r="BB566" i="1"/>
  <c r="BA566" i="1"/>
  <c r="AZ566" i="1"/>
  <c r="AY566" i="1"/>
  <c r="BE566" i="1" s="1" a="1"/>
  <c r="BE566" i="1" s="1"/>
  <c r="AX566" i="1"/>
  <c r="M566" i="1"/>
  <c r="EM565" i="1"/>
  <c r="DT565" i="1"/>
  <c r="DN565" i="1"/>
  <c r="DM565" i="1"/>
  <c r="DL565" i="1"/>
  <c r="DK565" i="1"/>
  <c r="DJ565" i="1"/>
  <c r="DC565" i="1"/>
  <c r="CX565" i="1"/>
  <c r="CN565" i="1"/>
  <c r="CR565" i="1" s="1"/>
  <c r="BX565" i="1"/>
  <c r="BN565" i="1"/>
  <c r="BO565" i="1" s="1"/>
  <c r="BD565" i="1"/>
  <c r="BC565" i="1"/>
  <c r="BB565" i="1"/>
  <c r="BA565" i="1"/>
  <c r="AZ565" i="1"/>
  <c r="BF565" i="1" s="1" a="1"/>
  <c r="BF565" i="1" s="1"/>
  <c r="AY565" i="1"/>
  <c r="BE565" i="1" s="1" a="1"/>
  <c r="BE565" i="1" s="1"/>
  <c r="AX565" i="1"/>
  <c r="M565" i="1"/>
  <c r="EM993" i="1"/>
  <c r="DU993" i="1"/>
  <c r="DT993" i="1"/>
  <c r="DN993" i="1"/>
  <c r="DM993" i="1"/>
  <c r="DL993" i="1"/>
  <c r="DK993" i="1"/>
  <c r="DI993" i="1"/>
  <c r="DJ993" i="1" s="1"/>
  <c r="DC993" i="1"/>
  <c r="CX993" i="1"/>
  <c r="CN993" i="1"/>
  <c r="CR993" i="1" s="1"/>
  <c r="BV993" i="1"/>
  <c r="BX993" i="1" s="1"/>
  <c r="BU993" i="1"/>
  <c r="BN993" i="1"/>
  <c r="BO993" i="1" s="1"/>
  <c r="BD993" i="1"/>
  <c r="BC993" i="1"/>
  <c r="BB993" i="1"/>
  <c r="BA993" i="1"/>
  <c r="AZ993" i="1"/>
  <c r="AY993" i="1"/>
  <c r="BE993" i="1" s="1" a="1"/>
  <c r="BE993" i="1" s="1"/>
  <c r="AX993" i="1"/>
  <c r="M993" i="1"/>
  <c r="EM996" i="1"/>
  <c r="DU996" i="1"/>
  <c r="DT996" i="1"/>
  <c r="DN996" i="1"/>
  <c r="DM996" i="1"/>
  <c r="DL996" i="1"/>
  <c r="DK996" i="1"/>
  <c r="DI996" i="1"/>
  <c r="DJ996" i="1" s="1"/>
  <c r="DC996" i="1"/>
  <c r="CX996" i="1"/>
  <c r="CN996" i="1"/>
  <c r="CR996" i="1" s="1"/>
  <c r="BV996" i="1"/>
  <c r="BX996" i="1" s="1"/>
  <c r="BU996" i="1"/>
  <c r="BN996" i="1"/>
  <c r="BO996" i="1" s="1"/>
  <c r="BD996" i="1"/>
  <c r="BC996" i="1"/>
  <c r="BB996" i="1"/>
  <c r="BA996" i="1"/>
  <c r="AZ996" i="1"/>
  <c r="AY996" i="1"/>
  <c r="BE996" i="1" s="1" a="1"/>
  <c r="BE996" i="1" s="1"/>
  <c r="AX996" i="1"/>
  <c r="M996" i="1"/>
  <c r="EM992" i="1"/>
  <c r="DU992" i="1"/>
  <c r="DT992" i="1"/>
  <c r="DN992" i="1"/>
  <c r="DM992" i="1"/>
  <c r="DL992" i="1"/>
  <c r="DK992" i="1"/>
  <c r="DI992" i="1"/>
  <c r="DJ992" i="1" s="1"/>
  <c r="DC992" i="1"/>
  <c r="CX992" i="1"/>
  <c r="CN992" i="1"/>
  <c r="CS992" i="1" s="1"/>
  <c r="BV992" i="1"/>
  <c r="BX992" i="1" s="1"/>
  <c r="BU992" i="1"/>
  <c r="BN992" i="1"/>
  <c r="BO992" i="1" s="1"/>
  <c r="BD992" i="1"/>
  <c r="BC992" i="1"/>
  <c r="BB992" i="1"/>
  <c r="BA992" i="1"/>
  <c r="AZ992" i="1"/>
  <c r="AY992" i="1"/>
  <c r="BE992" i="1" s="1" a="1"/>
  <c r="BE992" i="1" s="1"/>
  <c r="AX992" i="1"/>
  <c r="M992" i="1"/>
  <c r="EM995" i="1"/>
  <c r="DU995" i="1"/>
  <c r="DT995" i="1"/>
  <c r="DN995" i="1"/>
  <c r="DM995" i="1"/>
  <c r="DL995" i="1"/>
  <c r="DK995" i="1"/>
  <c r="DI995" i="1"/>
  <c r="DJ995" i="1" s="1"/>
  <c r="DC995" i="1"/>
  <c r="CX995" i="1"/>
  <c r="CN995" i="1"/>
  <c r="BV995" i="1"/>
  <c r="BX995" i="1" s="1"/>
  <c r="BU995" i="1"/>
  <c r="BN995" i="1"/>
  <c r="BO995" i="1" s="1"/>
  <c r="BD995" i="1"/>
  <c r="BC995" i="1"/>
  <c r="BB995" i="1"/>
  <c r="BA995" i="1"/>
  <c r="AZ995" i="1"/>
  <c r="BF995" i="1" s="1" a="1"/>
  <c r="BF995" i="1" s="1"/>
  <c r="AY995" i="1"/>
  <c r="BE995" i="1" s="1" a="1"/>
  <c r="BE995" i="1" s="1"/>
  <c r="AX995" i="1"/>
  <c r="M995" i="1"/>
  <c r="EM987" i="1"/>
  <c r="DU987" i="1"/>
  <c r="DT987" i="1"/>
  <c r="DN987" i="1"/>
  <c r="DM987" i="1"/>
  <c r="DL987" i="1"/>
  <c r="DK987" i="1"/>
  <c r="DI987" i="1"/>
  <c r="DJ987" i="1" s="1"/>
  <c r="DC987" i="1"/>
  <c r="CX987" i="1"/>
  <c r="CN987" i="1"/>
  <c r="BV987" i="1"/>
  <c r="BX987" i="1" s="1"/>
  <c r="BU987" i="1"/>
  <c r="BN987" i="1"/>
  <c r="BO987" i="1" s="1"/>
  <c r="BD987" i="1"/>
  <c r="BC987" i="1"/>
  <c r="BB987" i="1"/>
  <c r="BA987" i="1"/>
  <c r="AZ987" i="1"/>
  <c r="AY987" i="1"/>
  <c r="BE987" i="1" s="1" a="1"/>
  <c r="BE987" i="1" s="1"/>
  <c r="AX987" i="1"/>
  <c r="M987" i="1"/>
  <c r="EM986" i="1"/>
  <c r="DU986" i="1"/>
  <c r="DT986" i="1"/>
  <c r="DN986" i="1"/>
  <c r="DM986" i="1"/>
  <c r="DL986" i="1"/>
  <c r="DK986" i="1"/>
  <c r="DI986" i="1"/>
  <c r="DJ986" i="1" s="1"/>
  <c r="DC986" i="1"/>
  <c r="CX986" i="1"/>
  <c r="CN986" i="1"/>
  <c r="CS986" i="1" s="1"/>
  <c r="BV986" i="1"/>
  <c r="BX986" i="1" s="1"/>
  <c r="BU986" i="1"/>
  <c r="BN986" i="1"/>
  <c r="BO986" i="1" s="1"/>
  <c r="BD986" i="1"/>
  <c r="BC986" i="1"/>
  <c r="BB986" i="1"/>
  <c r="BA986" i="1"/>
  <c r="AZ986" i="1"/>
  <c r="AY986" i="1"/>
  <c r="BE986" i="1" s="1" a="1"/>
  <c r="BE986" i="1" s="1"/>
  <c r="AX986" i="1"/>
  <c r="M986" i="1"/>
  <c r="EM431" i="1"/>
  <c r="DU431" i="1"/>
  <c r="DT431" i="1"/>
  <c r="DN431" i="1"/>
  <c r="DM431" i="1"/>
  <c r="DL431" i="1"/>
  <c r="DK431" i="1"/>
  <c r="DI431" i="1"/>
  <c r="DJ431" i="1" s="1"/>
  <c r="DC431" i="1"/>
  <c r="CX431" i="1"/>
  <c r="CN431" i="1"/>
  <c r="CO431" i="1" s="1"/>
  <c r="BV431" i="1"/>
  <c r="BX431" i="1" s="1"/>
  <c r="BU431" i="1"/>
  <c r="BN431" i="1"/>
  <c r="BO431" i="1" s="1"/>
  <c r="BD431" i="1"/>
  <c r="BC431" i="1"/>
  <c r="BB431" i="1"/>
  <c r="BA431" i="1"/>
  <c r="AZ431" i="1"/>
  <c r="AY431" i="1"/>
  <c r="BE431" i="1" s="1" a="1"/>
  <c r="BE431" i="1" s="1"/>
  <c r="AX431" i="1"/>
  <c r="M431" i="1"/>
  <c r="EM429" i="1"/>
  <c r="DU429" i="1"/>
  <c r="DT429" i="1"/>
  <c r="DN429" i="1"/>
  <c r="DM429" i="1"/>
  <c r="DL429" i="1"/>
  <c r="DK429" i="1"/>
  <c r="DI429" i="1"/>
  <c r="DJ429" i="1" s="1"/>
  <c r="DC429" i="1"/>
  <c r="CX429" i="1"/>
  <c r="CN429" i="1"/>
  <c r="CP429" i="1" s="1"/>
  <c r="BV429" i="1"/>
  <c r="BX429" i="1" s="1"/>
  <c r="BU429" i="1"/>
  <c r="BN429" i="1"/>
  <c r="BO429" i="1" s="1"/>
  <c r="BD429" i="1"/>
  <c r="BC429" i="1"/>
  <c r="BB429" i="1"/>
  <c r="BA429" i="1"/>
  <c r="AZ429" i="1"/>
  <c r="BF429" i="1" s="1" a="1"/>
  <c r="BF429" i="1" s="1"/>
  <c r="AY429" i="1"/>
  <c r="BE429" i="1" s="1" a="1"/>
  <c r="BE429" i="1" s="1"/>
  <c r="AX429" i="1"/>
  <c r="M429" i="1"/>
  <c r="EM430" i="1"/>
  <c r="DU430" i="1"/>
  <c r="DT430" i="1"/>
  <c r="DN430" i="1"/>
  <c r="DM430" i="1"/>
  <c r="DL430" i="1"/>
  <c r="DK430" i="1"/>
  <c r="DI430" i="1"/>
  <c r="DJ430" i="1" s="1"/>
  <c r="DC430" i="1"/>
  <c r="CX430" i="1"/>
  <c r="CN430" i="1"/>
  <c r="CR430" i="1" s="1"/>
  <c r="BV430" i="1"/>
  <c r="BX430" i="1" s="1"/>
  <c r="BU430" i="1"/>
  <c r="BN430" i="1"/>
  <c r="BO430" i="1" s="1"/>
  <c r="BD430" i="1"/>
  <c r="BC430" i="1"/>
  <c r="BB430" i="1"/>
  <c r="BA430" i="1"/>
  <c r="AZ430" i="1"/>
  <c r="AY430" i="1"/>
  <c r="BE430" i="1" s="1" a="1"/>
  <c r="BE430" i="1" s="1"/>
  <c r="AX430" i="1"/>
  <c r="M430" i="1"/>
  <c r="EM994" i="1"/>
  <c r="DU994" i="1"/>
  <c r="DT994" i="1"/>
  <c r="DN994" i="1"/>
  <c r="DM994" i="1"/>
  <c r="DL994" i="1"/>
  <c r="DK994" i="1"/>
  <c r="DI994" i="1"/>
  <c r="DJ994" i="1" s="1"/>
  <c r="DC994" i="1"/>
  <c r="CX994" i="1"/>
  <c r="CN994" i="1"/>
  <c r="BV994" i="1"/>
  <c r="BX994" i="1" s="1"/>
  <c r="BU994" i="1"/>
  <c r="BN994" i="1"/>
  <c r="BO994" i="1" s="1"/>
  <c r="BD994" i="1"/>
  <c r="BC994" i="1"/>
  <c r="BB994" i="1"/>
  <c r="BA994" i="1"/>
  <c r="AZ994" i="1"/>
  <c r="AY994" i="1"/>
  <c r="BE994" i="1" s="1" a="1"/>
  <c r="BE994" i="1" s="1"/>
  <c r="AX994" i="1"/>
  <c r="M994" i="1"/>
  <c r="EM991" i="1"/>
  <c r="DU991" i="1"/>
  <c r="DT991" i="1"/>
  <c r="DN991" i="1"/>
  <c r="DM991" i="1"/>
  <c r="DL991" i="1"/>
  <c r="DK991" i="1"/>
  <c r="DI991" i="1"/>
  <c r="DJ991" i="1" s="1"/>
  <c r="DC991" i="1"/>
  <c r="CX991" i="1"/>
  <c r="CN991" i="1"/>
  <c r="CO991" i="1" s="1"/>
  <c r="BV991" i="1"/>
  <c r="BX991" i="1" s="1"/>
  <c r="BU991" i="1"/>
  <c r="BN991" i="1"/>
  <c r="BO991" i="1" s="1"/>
  <c r="BD991" i="1"/>
  <c r="BC991" i="1"/>
  <c r="BB991" i="1"/>
  <c r="BA991" i="1"/>
  <c r="AZ991" i="1"/>
  <c r="AY991" i="1"/>
  <c r="BE991" i="1" s="1" a="1"/>
  <c r="BE991" i="1" s="1"/>
  <c r="AX991" i="1"/>
  <c r="M991" i="1"/>
  <c r="EM985" i="1"/>
  <c r="DU985" i="1"/>
  <c r="DT985" i="1"/>
  <c r="DN985" i="1"/>
  <c r="DM985" i="1"/>
  <c r="DL985" i="1"/>
  <c r="DK985" i="1"/>
  <c r="DI985" i="1"/>
  <c r="DJ985" i="1" s="1"/>
  <c r="DC985" i="1"/>
  <c r="CX985" i="1"/>
  <c r="CN985" i="1"/>
  <c r="BV985" i="1"/>
  <c r="BX985" i="1" s="1"/>
  <c r="BU985" i="1"/>
  <c r="BN985" i="1"/>
  <c r="BO985" i="1" s="1"/>
  <c r="BD985" i="1"/>
  <c r="BC985" i="1"/>
  <c r="BB985" i="1"/>
  <c r="BA985" i="1"/>
  <c r="AZ985" i="1"/>
  <c r="BF985" i="1" s="1" a="1"/>
  <c r="BF985" i="1" s="1"/>
  <c r="AY985" i="1"/>
  <c r="BE985" i="1" s="1" a="1"/>
  <c r="BE985" i="1" s="1"/>
  <c r="AX985" i="1"/>
  <c r="M985" i="1"/>
  <c r="EM1015" i="1"/>
  <c r="DU1015" i="1"/>
  <c r="DT1015" i="1"/>
  <c r="DN1015" i="1"/>
  <c r="DM1015" i="1"/>
  <c r="DL1015" i="1"/>
  <c r="DK1015" i="1"/>
  <c r="DI1015" i="1"/>
  <c r="DJ1015" i="1" s="1"/>
  <c r="DC1015" i="1"/>
  <c r="CX1015" i="1"/>
  <c r="CN1015" i="1"/>
  <c r="CR1015" i="1" s="1"/>
  <c r="BY1015" i="1"/>
  <c r="EP1015" i="1" s="1"/>
  <c r="BX1015" i="1"/>
  <c r="BO1015" i="1"/>
  <c r="BN1015" i="1"/>
  <c r="BD1015" i="1"/>
  <c r="BC1015" i="1"/>
  <c r="BB1015" i="1"/>
  <c r="BA1015" i="1"/>
  <c r="AZ1015" i="1"/>
  <c r="AY1015" i="1"/>
  <c r="BE1015" i="1" s="1" a="1"/>
  <c r="BE1015" i="1" s="1"/>
  <c r="AX1015" i="1"/>
  <c r="M1015" i="1"/>
  <c r="EM1014" i="1"/>
  <c r="DU1014" i="1"/>
  <c r="DT1014" i="1"/>
  <c r="DN1014" i="1"/>
  <c r="DM1014" i="1"/>
  <c r="DL1014" i="1"/>
  <c r="DK1014" i="1"/>
  <c r="DI1014" i="1"/>
  <c r="DJ1014" i="1" s="1"/>
  <c r="DC1014" i="1"/>
  <c r="CX1014" i="1"/>
  <c r="CN1014" i="1"/>
  <c r="BX1014" i="1"/>
  <c r="BO1014" i="1"/>
  <c r="BN1014" i="1"/>
  <c r="BD1014" i="1"/>
  <c r="BC1014" i="1"/>
  <c r="BB1014" i="1"/>
  <c r="BA1014" i="1"/>
  <c r="AZ1014" i="1"/>
  <c r="AY1014" i="1"/>
  <c r="BE1014" i="1" s="1" a="1"/>
  <c r="BE1014" i="1" s="1"/>
  <c r="AX1014" i="1"/>
  <c r="M1014" i="1"/>
  <c r="EM1013" i="1"/>
  <c r="DU1013" i="1"/>
  <c r="DT1013" i="1"/>
  <c r="DN1013" i="1"/>
  <c r="DM1013" i="1"/>
  <c r="DL1013" i="1"/>
  <c r="DK1013" i="1"/>
  <c r="DI1013" i="1"/>
  <c r="DJ1013" i="1" s="1"/>
  <c r="DC1013" i="1"/>
  <c r="CX1013" i="1"/>
  <c r="CN1013" i="1"/>
  <c r="CR1013" i="1" s="1"/>
  <c r="BX1013" i="1"/>
  <c r="BO1013" i="1"/>
  <c r="BN1013" i="1"/>
  <c r="BD1013" i="1"/>
  <c r="BC1013" i="1"/>
  <c r="BB1013" i="1"/>
  <c r="BA1013" i="1"/>
  <c r="AZ1013" i="1"/>
  <c r="BF1013" i="1" s="1" a="1"/>
  <c r="BF1013" i="1" s="1"/>
  <c r="AY1013" i="1"/>
  <c r="BE1013" i="1" s="1" a="1"/>
  <c r="BE1013" i="1" s="1"/>
  <c r="AX1013" i="1"/>
  <c r="M1013" i="1"/>
  <c r="EM1012" i="1"/>
  <c r="DU1012" i="1"/>
  <c r="DT1012" i="1"/>
  <c r="DN1012" i="1"/>
  <c r="DM1012" i="1"/>
  <c r="DL1012" i="1"/>
  <c r="DK1012" i="1"/>
  <c r="DI1012" i="1"/>
  <c r="DJ1012" i="1" s="1"/>
  <c r="DC1012" i="1"/>
  <c r="CX1012" i="1"/>
  <c r="CN1012" i="1"/>
  <c r="BX1012" i="1"/>
  <c r="BO1012" i="1"/>
  <c r="BN1012" i="1"/>
  <c r="BD1012" i="1"/>
  <c r="BC1012" i="1"/>
  <c r="BB1012" i="1"/>
  <c r="BA1012" i="1"/>
  <c r="AZ1012" i="1"/>
  <c r="AY1012" i="1"/>
  <c r="BE1012" i="1" s="1" a="1"/>
  <c r="BE1012" i="1" s="1"/>
  <c r="AX1012" i="1"/>
  <c r="M1012" i="1"/>
  <c r="EM1011" i="1"/>
  <c r="DU1011" i="1"/>
  <c r="DT1011" i="1"/>
  <c r="DN1011" i="1"/>
  <c r="DM1011" i="1"/>
  <c r="DL1011" i="1"/>
  <c r="DK1011" i="1"/>
  <c r="DI1011" i="1"/>
  <c r="DJ1011" i="1" s="1"/>
  <c r="DC1011" i="1"/>
  <c r="CX1011" i="1"/>
  <c r="CN1011" i="1"/>
  <c r="CP1011" i="1" s="1"/>
  <c r="BX1011" i="1"/>
  <c r="BO1011" i="1"/>
  <c r="BN1011" i="1"/>
  <c r="BD1011" i="1"/>
  <c r="BC1011" i="1"/>
  <c r="BB1011" i="1"/>
  <c r="BA1011" i="1"/>
  <c r="AZ1011" i="1"/>
  <c r="AY1011" i="1"/>
  <c r="BE1011" i="1" s="1" a="1"/>
  <c r="BE1011" i="1" s="1"/>
  <c r="AX1011" i="1"/>
  <c r="M1011" i="1"/>
  <c r="EM1010" i="1"/>
  <c r="DU1010" i="1"/>
  <c r="DT1010" i="1"/>
  <c r="DN1010" i="1"/>
  <c r="DM1010" i="1"/>
  <c r="DL1010" i="1"/>
  <c r="DK1010" i="1"/>
  <c r="DI1010" i="1"/>
  <c r="DJ1010" i="1" s="1"/>
  <c r="DC1010" i="1"/>
  <c r="CX1010" i="1"/>
  <c r="CN1010" i="1"/>
  <c r="CP1010" i="1" s="1"/>
  <c r="BX1010" i="1"/>
  <c r="BO1010" i="1"/>
  <c r="BN1010" i="1"/>
  <c r="BD1010" i="1"/>
  <c r="BC1010" i="1"/>
  <c r="BB1010" i="1"/>
  <c r="BA1010" i="1"/>
  <c r="AZ1010" i="1"/>
  <c r="AY1010" i="1"/>
  <c r="BE1010" i="1" s="1" a="1"/>
  <c r="BE1010" i="1" s="1"/>
  <c r="AX1010" i="1"/>
  <c r="M1010" i="1"/>
  <c r="EM1009" i="1"/>
  <c r="DU1009" i="1"/>
  <c r="DT1009" i="1"/>
  <c r="DN1009" i="1"/>
  <c r="DM1009" i="1"/>
  <c r="DL1009" i="1"/>
  <c r="DK1009" i="1"/>
  <c r="DI1009" i="1"/>
  <c r="DJ1009" i="1" s="1"/>
  <c r="DC1009" i="1"/>
  <c r="CX1009" i="1"/>
  <c r="CN1009" i="1"/>
  <c r="BX1009" i="1"/>
  <c r="BO1009" i="1"/>
  <c r="BN1009" i="1"/>
  <c r="BD1009" i="1"/>
  <c r="BC1009" i="1"/>
  <c r="BB1009" i="1"/>
  <c r="BA1009" i="1"/>
  <c r="AZ1009" i="1"/>
  <c r="BF1009" i="1" s="1" a="1"/>
  <c r="BF1009" i="1" s="1"/>
  <c r="AY1009" i="1"/>
  <c r="BE1009" i="1" s="1" a="1"/>
  <c r="BE1009" i="1" s="1"/>
  <c r="AX1009" i="1"/>
  <c r="M1009" i="1"/>
  <c r="EM1008" i="1"/>
  <c r="DU1008" i="1"/>
  <c r="DT1008" i="1"/>
  <c r="DN1008" i="1"/>
  <c r="DM1008" i="1"/>
  <c r="DL1008" i="1"/>
  <c r="DK1008" i="1"/>
  <c r="DI1008" i="1"/>
  <c r="DJ1008" i="1" s="1"/>
  <c r="DC1008" i="1"/>
  <c r="CX1008" i="1"/>
  <c r="CN1008" i="1"/>
  <c r="CR1008" i="1" s="1"/>
  <c r="BX1008" i="1"/>
  <c r="BO1008" i="1"/>
  <c r="BN1008" i="1"/>
  <c r="BD1008" i="1"/>
  <c r="BC1008" i="1"/>
  <c r="BB1008" i="1"/>
  <c r="BA1008" i="1"/>
  <c r="AZ1008" i="1"/>
  <c r="AY1008" i="1"/>
  <c r="BE1008" i="1" s="1" a="1"/>
  <c r="BE1008" i="1" s="1"/>
  <c r="AX1008" i="1"/>
  <c r="M1008" i="1"/>
  <c r="EM1007" i="1"/>
  <c r="DU1007" i="1"/>
  <c r="DT1007" i="1"/>
  <c r="DN1007" i="1"/>
  <c r="DM1007" i="1"/>
  <c r="DL1007" i="1"/>
  <c r="DK1007" i="1"/>
  <c r="DI1007" i="1"/>
  <c r="DJ1007" i="1" s="1"/>
  <c r="DC1007" i="1"/>
  <c r="CX1007" i="1"/>
  <c r="CN1007" i="1"/>
  <c r="BX1007" i="1"/>
  <c r="BO1007" i="1"/>
  <c r="BN1007" i="1"/>
  <c r="BD1007" i="1"/>
  <c r="BC1007" i="1"/>
  <c r="BB1007" i="1"/>
  <c r="BA1007" i="1"/>
  <c r="AZ1007" i="1"/>
  <c r="AY1007" i="1"/>
  <c r="BE1007" i="1" s="1" a="1"/>
  <c r="BE1007" i="1" s="1"/>
  <c r="AX1007" i="1"/>
  <c r="M1007" i="1"/>
  <c r="EM1006" i="1"/>
  <c r="DU1006" i="1"/>
  <c r="DT1006" i="1"/>
  <c r="DN1006" i="1"/>
  <c r="DM1006" i="1"/>
  <c r="DL1006" i="1"/>
  <c r="DK1006" i="1"/>
  <c r="DI1006" i="1"/>
  <c r="DJ1006" i="1" s="1"/>
  <c r="DC1006" i="1"/>
  <c r="CX1006" i="1"/>
  <c r="CN1006" i="1"/>
  <c r="CP1006" i="1" s="1"/>
  <c r="BX1006" i="1"/>
  <c r="BO1006" i="1"/>
  <c r="BN1006" i="1"/>
  <c r="BD1006" i="1"/>
  <c r="BC1006" i="1"/>
  <c r="BB1006" i="1"/>
  <c r="BA1006" i="1"/>
  <c r="AZ1006" i="1"/>
  <c r="AY1006" i="1"/>
  <c r="BE1006" i="1" s="1" a="1"/>
  <c r="BE1006" i="1" s="1"/>
  <c r="AX1006" i="1"/>
  <c r="M1006" i="1"/>
  <c r="EM1005" i="1"/>
  <c r="DU1005" i="1"/>
  <c r="DT1005" i="1"/>
  <c r="DN1005" i="1"/>
  <c r="DM1005" i="1"/>
  <c r="DL1005" i="1"/>
  <c r="DK1005" i="1"/>
  <c r="DI1005" i="1"/>
  <c r="DJ1005" i="1" s="1"/>
  <c r="DC1005" i="1"/>
  <c r="CX1005" i="1"/>
  <c r="CN1005" i="1"/>
  <c r="CS1005" i="1" s="1"/>
  <c r="BX1005" i="1"/>
  <c r="BO1005" i="1"/>
  <c r="BN1005" i="1"/>
  <c r="BD1005" i="1"/>
  <c r="BC1005" i="1"/>
  <c r="BB1005" i="1"/>
  <c r="BA1005" i="1"/>
  <c r="AZ1005" i="1"/>
  <c r="BF1005" i="1" s="1" a="1"/>
  <c r="BF1005" i="1" s="1"/>
  <c r="AY1005" i="1"/>
  <c r="BE1005" i="1" s="1" a="1"/>
  <c r="BE1005" i="1" s="1"/>
  <c r="AX1005" i="1"/>
  <c r="M1005" i="1"/>
  <c r="EM1004" i="1"/>
  <c r="DU1004" i="1"/>
  <c r="DT1004" i="1"/>
  <c r="DN1004" i="1"/>
  <c r="DM1004" i="1"/>
  <c r="DL1004" i="1"/>
  <c r="DK1004" i="1"/>
  <c r="DI1004" i="1"/>
  <c r="DJ1004" i="1" s="1"/>
  <c r="DC1004" i="1"/>
  <c r="CX1004" i="1"/>
  <c r="CN1004" i="1"/>
  <c r="CP1004" i="1" s="1"/>
  <c r="BX1004" i="1"/>
  <c r="BO1004" i="1"/>
  <c r="BN1004" i="1"/>
  <c r="BM1004" i="1"/>
  <c r="BD1004" i="1"/>
  <c r="BC1004" i="1"/>
  <c r="BB1004" i="1"/>
  <c r="BA1004" i="1"/>
  <c r="AZ1004" i="1"/>
  <c r="AY1004" i="1"/>
  <c r="BE1004" i="1" s="1" a="1"/>
  <c r="BE1004" i="1" s="1"/>
  <c r="AX1004" i="1"/>
  <c r="M1004" i="1"/>
  <c r="EM1003" i="1"/>
  <c r="DU1003" i="1"/>
  <c r="DT1003" i="1"/>
  <c r="DN1003" i="1"/>
  <c r="DM1003" i="1"/>
  <c r="DL1003" i="1"/>
  <c r="DK1003" i="1"/>
  <c r="DI1003" i="1"/>
  <c r="DJ1003" i="1" s="1"/>
  <c r="DC1003" i="1"/>
  <c r="CX1003" i="1"/>
  <c r="CN1003" i="1"/>
  <c r="BX1003" i="1"/>
  <c r="BO1003" i="1"/>
  <c r="BN1003" i="1"/>
  <c r="BD1003" i="1"/>
  <c r="BC1003" i="1"/>
  <c r="BB1003" i="1"/>
  <c r="BA1003" i="1"/>
  <c r="AZ1003" i="1"/>
  <c r="BF1003" i="1" s="1" a="1"/>
  <c r="BF1003" i="1" s="1"/>
  <c r="AY1003" i="1"/>
  <c r="BE1003" i="1" s="1" a="1"/>
  <c r="BE1003" i="1" s="1"/>
  <c r="AX1003" i="1"/>
  <c r="M1003" i="1"/>
  <c r="EM1002" i="1"/>
  <c r="DU1002" i="1"/>
  <c r="DT1002" i="1"/>
  <c r="DN1002" i="1"/>
  <c r="DM1002" i="1"/>
  <c r="DL1002" i="1"/>
  <c r="DK1002" i="1"/>
  <c r="DI1002" i="1"/>
  <c r="DJ1002" i="1" s="1"/>
  <c r="DC1002" i="1"/>
  <c r="CX1002" i="1"/>
  <c r="CN1002" i="1"/>
  <c r="CP1002" i="1" s="1"/>
  <c r="BX1002" i="1"/>
  <c r="BO1002" i="1"/>
  <c r="BN1002" i="1"/>
  <c r="BD1002" i="1"/>
  <c r="BC1002" i="1"/>
  <c r="BB1002" i="1"/>
  <c r="BA1002" i="1"/>
  <c r="AZ1002" i="1"/>
  <c r="AY1002" i="1"/>
  <c r="BE1002" i="1" s="1" a="1"/>
  <c r="BE1002" i="1" s="1"/>
  <c r="AX1002" i="1"/>
  <c r="M1002" i="1"/>
  <c r="EM1001" i="1"/>
  <c r="DU1001" i="1"/>
  <c r="DT1001" i="1"/>
  <c r="DN1001" i="1"/>
  <c r="DM1001" i="1"/>
  <c r="DL1001" i="1"/>
  <c r="DK1001" i="1"/>
  <c r="DI1001" i="1"/>
  <c r="DJ1001" i="1" s="1"/>
  <c r="DC1001" i="1"/>
  <c r="CX1001" i="1"/>
  <c r="CN1001" i="1"/>
  <c r="CP1001" i="1" s="1"/>
  <c r="BX1001" i="1"/>
  <c r="BO1001" i="1"/>
  <c r="BN1001" i="1"/>
  <c r="BD1001" i="1"/>
  <c r="BC1001" i="1"/>
  <c r="BB1001" i="1"/>
  <c r="BA1001" i="1"/>
  <c r="AZ1001" i="1"/>
  <c r="AY1001" i="1"/>
  <c r="BE1001" i="1" s="1" a="1"/>
  <c r="BE1001" i="1" s="1"/>
  <c r="AX1001" i="1"/>
  <c r="M1001" i="1"/>
  <c r="EM1000" i="1"/>
  <c r="DU1000" i="1"/>
  <c r="DT1000" i="1"/>
  <c r="DN1000" i="1"/>
  <c r="DM1000" i="1"/>
  <c r="DL1000" i="1"/>
  <c r="DK1000" i="1"/>
  <c r="DI1000" i="1"/>
  <c r="DJ1000" i="1" s="1"/>
  <c r="DC1000" i="1"/>
  <c r="CX1000" i="1"/>
  <c r="CN1000" i="1"/>
  <c r="BX1000" i="1"/>
  <c r="BO1000" i="1"/>
  <c r="BN1000" i="1"/>
  <c r="BD1000" i="1"/>
  <c r="BC1000" i="1"/>
  <c r="BB1000" i="1"/>
  <c r="BA1000" i="1"/>
  <c r="AZ1000" i="1"/>
  <c r="AY1000" i="1"/>
  <c r="BE1000" i="1" s="1" a="1"/>
  <c r="BE1000" i="1" s="1"/>
  <c r="AX1000" i="1"/>
  <c r="M1000" i="1"/>
  <c r="EM999" i="1"/>
  <c r="DU999" i="1"/>
  <c r="DT999" i="1"/>
  <c r="DN999" i="1"/>
  <c r="DM999" i="1"/>
  <c r="DL999" i="1"/>
  <c r="DK999" i="1"/>
  <c r="DI999" i="1"/>
  <c r="DJ999" i="1" s="1"/>
  <c r="DC999" i="1"/>
  <c r="CX999" i="1"/>
  <c r="CN999" i="1"/>
  <c r="CR999" i="1" s="1"/>
  <c r="BX999" i="1"/>
  <c r="BO999" i="1"/>
  <c r="BN999" i="1"/>
  <c r="BD999" i="1"/>
  <c r="BC999" i="1"/>
  <c r="BB999" i="1"/>
  <c r="BA999" i="1"/>
  <c r="AZ999" i="1"/>
  <c r="BF999" i="1" s="1" a="1"/>
  <c r="BF999" i="1" s="1"/>
  <c r="AY999" i="1"/>
  <c r="BE999" i="1" s="1" a="1"/>
  <c r="BE999" i="1" s="1"/>
  <c r="AX999" i="1"/>
  <c r="M999" i="1"/>
  <c r="EM998" i="1"/>
  <c r="DU998" i="1"/>
  <c r="DT998" i="1"/>
  <c r="DN998" i="1"/>
  <c r="DM998" i="1"/>
  <c r="DL998" i="1"/>
  <c r="DK998" i="1"/>
  <c r="DI998" i="1"/>
  <c r="DJ998" i="1" s="1"/>
  <c r="DC998" i="1"/>
  <c r="CX998" i="1"/>
  <c r="CN998" i="1"/>
  <c r="CO998" i="1" s="1"/>
  <c r="BV998" i="1"/>
  <c r="BX998" i="1" s="1"/>
  <c r="BU998" i="1"/>
  <c r="BO998" i="1"/>
  <c r="BN998" i="1"/>
  <c r="BM998" i="1"/>
  <c r="BD998" i="1"/>
  <c r="BC998" i="1"/>
  <c r="BB998" i="1"/>
  <c r="BA998" i="1"/>
  <c r="AZ998" i="1"/>
  <c r="BF998" i="1" s="1" a="1"/>
  <c r="BF998" i="1" s="1"/>
  <c r="AY998" i="1"/>
  <c r="BE998" i="1" s="1" a="1"/>
  <c r="BE998" i="1" s="1"/>
  <c r="AX998" i="1"/>
  <c r="M998" i="1"/>
  <c r="EM997" i="1"/>
  <c r="DU997" i="1"/>
  <c r="DT997" i="1"/>
  <c r="DN997" i="1"/>
  <c r="DM997" i="1"/>
  <c r="DL997" i="1"/>
  <c r="DK997" i="1"/>
  <c r="DI997" i="1"/>
  <c r="DJ997" i="1" s="1"/>
  <c r="DC997" i="1"/>
  <c r="CX997" i="1"/>
  <c r="CN997" i="1"/>
  <c r="BX997" i="1"/>
  <c r="BO997" i="1"/>
  <c r="BN997" i="1"/>
  <c r="BD997" i="1"/>
  <c r="BC997" i="1"/>
  <c r="BB997" i="1"/>
  <c r="BA997" i="1"/>
  <c r="AZ997" i="1"/>
  <c r="AY997" i="1"/>
  <c r="BE997" i="1" s="1" a="1"/>
  <c r="BE997" i="1" s="1"/>
  <c r="AX997" i="1"/>
  <c r="M997" i="1"/>
  <c r="EM124" i="1"/>
  <c r="DU124" i="1"/>
  <c r="DT124" i="1"/>
  <c r="DN124" i="1"/>
  <c r="DM124" i="1"/>
  <c r="DL124" i="1"/>
  <c r="DK124" i="1"/>
  <c r="DI124" i="1"/>
  <c r="DJ124" i="1" s="1"/>
  <c r="DB124" i="1"/>
  <c r="DC124" i="1" s="1"/>
  <c r="CX124" i="1"/>
  <c r="CN124" i="1"/>
  <c r="BV124" i="1"/>
  <c r="BX124" i="1" s="1"/>
  <c r="BU124" i="1"/>
  <c r="BN124" i="1"/>
  <c r="BO124" i="1" s="1"/>
  <c r="BD124" i="1"/>
  <c r="BC124" i="1"/>
  <c r="BB124" i="1"/>
  <c r="BA124" i="1"/>
  <c r="AZ124" i="1"/>
  <c r="AY124" i="1"/>
  <c r="BE124" i="1" s="1" a="1"/>
  <c r="BE124" i="1" s="1"/>
  <c r="AX124" i="1"/>
  <c r="M124" i="1"/>
  <c r="EM123" i="1"/>
  <c r="DU123" i="1"/>
  <c r="DT123" i="1"/>
  <c r="DN123" i="1"/>
  <c r="DM123" i="1"/>
  <c r="DL123" i="1"/>
  <c r="DK123" i="1"/>
  <c r="DI123" i="1"/>
  <c r="DJ123" i="1" s="1"/>
  <c r="DB123" i="1"/>
  <c r="DC123" i="1" s="1"/>
  <c r="CX123" i="1"/>
  <c r="CN123" i="1"/>
  <c r="CO123" i="1" s="1"/>
  <c r="BV123" i="1"/>
  <c r="BX123" i="1" s="1"/>
  <c r="BU123" i="1"/>
  <c r="BN123" i="1"/>
  <c r="BO123" i="1" s="1"/>
  <c r="BD123" i="1"/>
  <c r="BC123" i="1"/>
  <c r="BB123" i="1"/>
  <c r="BA123" i="1"/>
  <c r="AZ123" i="1"/>
  <c r="AY123" i="1"/>
  <c r="BE123" i="1" s="1" a="1"/>
  <c r="BE123" i="1" s="1"/>
  <c r="AX123" i="1"/>
  <c r="M123" i="1"/>
  <c r="EM328" i="1"/>
  <c r="DU328" i="1"/>
  <c r="DT328" i="1"/>
  <c r="DN328" i="1"/>
  <c r="DM328" i="1"/>
  <c r="DL328" i="1"/>
  <c r="DK328" i="1"/>
  <c r="DI328" i="1"/>
  <c r="DJ328" i="1" s="1"/>
  <c r="DB328" i="1"/>
  <c r="DC328" i="1" s="1"/>
  <c r="CX328" i="1"/>
  <c r="CN328" i="1"/>
  <c r="CO328" i="1" s="1"/>
  <c r="BV328" i="1"/>
  <c r="BX328" i="1" s="1"/>
  <c r="BU328" i="1"/>
  <c r="BN328" i="1"/>
  <c r="BO328" i="1" s="1"/>
  <c r="BD328" i="1"/>
  <c r="BC328" i="1"/>
  <c r="BB328" i="1"/>
  <c r="BA328" i="1"/>
  <c r="AZ328" i="1"/>
  <c r="BF328" i="1" s="1" a="1"/>
  <c r="BF328" i="1" s="1"/>
  <c r="AY328" i="1"/>
  <c r="BE328" i="1" s="1" a="1"/>
  <c r="BE328" i="1" s="1"/>
  <c r="AX328" i="1"/>
  <c r="M328" i="1"/>
  <c r="EM327" i="1"/>
  <c r="DU327" i="1"/>
  <c r="DT327" i="1"/>
  <c r="DN327" i="1"/>
  <c r="DM327" i="1"/>
  <c r="DL327" i="1"/>
  <c r="DK327" i="1"/>
  <c r="DI327" i="1"/>
  <c r="DJ327" i="1" s="1"/>
  <c r="DB327" i="1"/>
  <c r="DC327" i="1" s="1"/>
  <c r="CX327" i="1"/>
  <c r="BV327" i="1"/>
  <c r="BX327" i="1" s="1"/>
  <c r="BU327" i="1"/>
  <c r="BL327" i="1"/>
  <c r="BD327" i="1"/>
  <c r="BC327" i="1"/>
  <c r="BB327" i="1"/>
  <c r="BA327" i="1"/>
  <c r="AZ327" i="1"/>
  <c r="AY327" i="1"/>
  <c r="BE327" i="1" s="1" a="1"/>
  <c r="BE327" i="1" s="1"/>
  <c r="AX327" i="1"/>
  <c r="M327" i="1"/>
  <c r="EM330" i="1"/>
  <c r="DU330" i="1"/>
  <c r="DT330" i="1"/>
  <c r="DN330" i="1"/>
  <c r="DM330" i="1"/>
  <c r="DL330" i="1"/>
  <c r="DK330" i="1"/>
  <c r="DI330" i="1"/>
  <c r="DJ330" i="1" s="1"/>
  <c r="DB330" i="1"/>
  <c r="DC330" i="1" s="1"/>
  <c r="CX330" i="1"/>
  <c r="CN330" i="1"/>
  <c r="CS330" i="1" s="1"/>
  <c r="BV330" i="1"/>
  <c r="BX330" i="1" s="1"/>
  <c r="BU330" i="1"/>
  <c r="BN330" i="1"/>
  <c r="BO330" i="1" s="1"/>
  <c r="BD330" i="1"/>
  <c r="BC330" i="1"/>
  <c r="BB330" i="1"/>
  <c r="BA330" i="1"/>
  <c r="AZ330" i="1"/>
  <c r="BF330" i="1" s="1" a="1"/>
  <c r="BF330" i="1" s="1"/>
  <c r="AY330" i="1"/>
  <c r="BE330" i="1" s="1" a="1"/>
  <c r="BE330" i="1" s="1"/>
  <c r="AX330" i="1"/>
  <c r="M330" i="1"/>
  <c r="EM329" i="1"/>
  <c r="DU329" i="1"/>
  <c r="DT329" i="1"/>
  <c r="DN329" i="1"/>
  <c r="DM329" i="1"/>
  <c r="DL329" i="1"/>
  <c r="DK329" i="1"/>
  <c r="DI329" i="1"/>
  <c r="DJ329" i="1" s="1"/>
  <c r="DB329" i="1"/>
  <c r="DC329" i="1" s="1"/>
  <c r="CX329" i="1"/>
  <c r="CN329" i="1"/>
  <c r="CS329" i="1" s="1"/>
  <c r="BV329" i="1"/>
  <c r="BX329" i="1" s="1"/>
  <c r="BU329" i="1"/>
  <c r="BN329" i="1"/>
  <c r="BO329" i="1" s="1"/>
  <c r="BD329" i="1"/>
  <c r="BC329" i="1"/>
  <c r="BB329" i="1"/>
  <c r="BA329" i="1"/>
  <c r="AZ329" i="1"/>
  <c r="AY329" i="1"/>
  <c r="BE329" i="1" s="1" a="1"/>
  <c r="BE329" i="1" s="1"/>
  <c r="AX329" i="1"/>
  <c r="M329" i="1"/>
  <c r="EM61" i="1"/>
  <c r="DU61" i="1"/>
  <c r="DT61" i="1"/>
  <c r="DN61" i="1"/>
  <c r="DM61" i="1"/>
  <c r="DL61" i="1"/>
  <c r="DK61" i="1"/>
  <c r="DI61" i="1"/>
  <c r="DJ61" i="1" s="1"/>
  <c r="DB61" i="1"/>
  <c r="DC61" i="1" s="1"/>
  <c r="CX61" i="1"/>
  <c r="CN61" i="1"/>
  <c r="BV61" i="1"/>
  <c r="BX61" i="1" s="1"/>
  <c r="BU61" i="1"/>
  <c r="BN61" i="1"/>
  <c r="BO61" i="1" s="1"/>
  <c r="BM61" i="1"/>
  <c r="BD61" i="1"/>
  <c r="BC61" i="1"/>
  <c r="BB61" i="1"/>
  <c r="BA61" i="1"/>
  <c r="AZ61" i="1"/>
  <c r="AY61" i="1"/>
  <c r="AX61" i="1"/>
  <c r="M61" i="1"/>
  <c r="EM67" i="1"/>
  <c r="DU67" i="1"/>
  <c r="DT67" i="1"/>
  <c r="DN67" i="1"/>
  <c r="DM67" i="1"/>
  <c r="DL67" i="1"/>
  <c r="DK67" i="1"/>
  <c r="DI67" i="1"/>
  <c r="DJ67" i="1" s="1"/>
  <c r="DB67" i="1"/>
  <c r="DC67" i="1" s="1"/>
  <c r="CX67" i="1"/>
  <c r="CN67" i="1"/>
  <c r="BV67" i="1"/>
  <c r="BX67" i="1" s="1"/>
  <c r="BU67" i="1"/>
  <c r="BN67" i="1"/>
  <c r="BO67" i="1" s="1"/>
  <c r="BM67" i="1"/>
  <c r="BD67" i="1"/>
  <c r="BC67" i="1"/>
  <c r="BB67" i="1"/>
  <c r="BA67" i="1"/>
  <c r="AZ67" i="1"/>
  <c r="AY67" i="1"/>
  <c r="AX67" i="1"/>
  <c r="M67" i="1"/>
  <c r="EM532" i="1"/>
  <c r="DU532" i="1"/>
  <c r="DT532" i="1"/>
  <c r="DN532" i="1"/>
  <c r="DM532" i="1"/>
  <c r="DL532" i="1"/>
  <c r="DK532" i="1"/>
  <c r="DI532" i="1"/>
  <c r="DJ532" i="1" s="1"/>
  <c r="DB532" i="1"/>
  <c r="DC532" i="1" s="1"/>
  <c r="CX532" i="1"/>
  <c r="CN532" i="1"/>
  <c r="CR532" i="1" s="1"/>
  <c r="BV532" i="1"/>
  <c r="BX532" i="1" s="1"/>
  <c r="BU532" i="1"/>
  <c r="BN532" i="1"/>
  <c r="BO532" i="1" s="1"/>
  <c r="BM532" i="1"/>
  <c r="BD532" i="1"/>
  <c r="BC532" i="1"/>
  <c r="BB532" i="1"/>
  <c r="BA532" i="1"/>
  <c r="AZ532" i="1"/>
  <c r="AY532" i="1"/>
  <c r="AX532" i="1"/>
  <c r="M532" i="1"/>
  <c r="EM530" i="1"/>
  <c r="DU530" i="1"/>
  <c r="DT530" i="1"/>
  <c r="DN530" i="1"/>
  <c r="DM530" i="1"/>
  <c r="DL530" i="1"/>
  <c r="DK530" i="1"/>
  <c r="DI530" i="1"/>
  <c r="DJ530" i="1" s="1"/>
  <c r="DB530" i="1"/>
  <c r="DC530" i="1" s="1"/>
  <c r="CX530" i="1"/>
  <c r="CN530" i="1"/>
  <c r="CS530" i="1" s="1"/>
  <c r="BV530" i="1"/>
  <c r="BX530" i="1" s="1"/>
  <c r="BU530" i="1"/>
  <c r="BN530" i="1"/>
  <c r="BO530" i="1" s="1"/>
  <c r="BM530" i="1"/>
  <c r="BD530" i="1"/>
  <c r="BC530" i="1"/>
  <c r="BB530" i="1"/>
  <c r="BA530" i="1"/>
  <c r="AZ530" i="1"/>
  <c r="AY530" i="1"/>
  <c r="AX530" i="1"/>
  <c r="M530" i="1"/>
  <c r="EM65" i="1"/>
  <c r="DU65" i="1"/>
  <c r="DT65" i="1"/>
  <c r="DN65" i="1"/>
  <c r="DM65" i="1"/>
  <c r="DL65" i="1"/>
  <c r="DK65" i="1"/>
  <c r="DI65" i="1"/>
  <c r="DJ65" i="1" s="1"/>
  <c r="DB65" i="1"/>
  <c r="DC65" i="1" s="1"/>
  <c r="CX65" i="1"/>
  <c r="CN65" i="1"/>
  <c r="BV65" i="1"/>
  <c r="BX65" i="1" s="1"/>
  <c r="BU65" i="1"/>
  <c r="BN65" i="1"/>
  <c r="BO65" i="1" s="1"/>
  <c r="BM65" i="1"/>
  <c r="BD65" i="1"/>
  <c r="BC65" i="1"/>
  <c r="BB65" i="1"/>
  <c r="BA65" i="1"/>
  <c r="AZ65" i="1"/>
  <c r="AY65" i="1"/>
  <c r="AX65" i="1"/>
  <c r="M65" i="1"/>
  <c r="EM531" i="1"/>
  <c r="DU531" i="1"/>
  <c r="DT531" i="1"/>
  <c r="DN531" i="1"/>
  <c r="DM531" i="1"/>
  <c r="DL531" i="1"/>
  <c r="DK531" i="1"/>
  <c r="DI531" i="1"/>
  <c r="DJ531" i="1" s="1"/>
  <c r="DB531" i="1"/>
  <c r="DC531" i="1" s="1"/>
  <c r="CX531" i="1"/>
  <c r="CN531" i="1"/>
  <c r="CP531" i="1" s="1"/>
  <c r="BV531" i="1"/>
  <c r="BX531" i="1" s="1"/>
  <c r="BU531" i="1"/>
  <c r="BN531" i="1"/>
  <c r="BO531" i="1" s="1"/>
  <c r="BM531" i="1"/>
  <c r="BD531" i="1"/>
  <c r="BC531" i="1"/>
  <c r="BB531" i="1"/>
  <c r="BA531" i="1"/>
  <c r="AZ531" i="1"/>
  <c r="AY531" i="1"/>
  <c r="AX531" i="1"/>
  <c r="M531" i="1"/>
  <c r="EM59" i="1"/>
  <c r="DU59" i="1"/>
  <c r="DT59" i="1"/>
  <c r="DN59" i="1"/>
  <c r="DM59" i="1"/>
  <c r="DL59" i="1"/>
  <c r="DK59" i="1"/>
  <c r="DI59" i="1"/>
  <c r="DJ59" i="1" s="1"/>
  <c r="DB59" i="1"/>
  <c r="DC59" i="1" s="1"/>
  <c r="CX59" i="1"/>
  <c r="CN59" i="1"/>
  <c r="CR59" i="1" s="1"/>
  <c r="BV59" i="1"/>
  <c r="BX59" i="1" s="1"/>
  <c r="BU59" i="1"/>
  <c r="BN59" i="1"/>
  <c r="BO59" i="1" s="1"/>
  <c r="BM59" i="1"/>
  <c r="BD59" i="1"/>
  <c r="BC59" i="1"/>
  <c r="BB59" i="1"/>
  <c r="BA59" i="1"/>
  <c r="AZ59" i="1"/>
  <c r="AY59" i="1"/>
  <c r="AX59" i="1"/>
  <c r="M59" i="1"/>
  <c r="EM528" i="1"/>
  <c r="DU528" i="1"/>
  <c r="DT528" i="1"/>
  <c r="DN528" i="1"/>
  <c r="DM528" i="1"/>
  <c r="DL528" i="1"/>
  <c r="DK528" i="1"/>
  <c r="DI528" i="1"/>
  <c r="DJ528" i="1" s="1"/>
  <c r="DB528" i="1"/>
  <c r="DC528" i="1" s="1"/>
  <c r="CX528" i="1"/>
  <c r="CN528" i="1"/>
  <c r="BV528" i="1"/>
  <c r="BX528" i="1" s="1"/>
  <c r="BU528" i="1"/>
  <c r="BN528" i="1"/>
  <c r="BO528" i="1" s="1"/>
  <c r="BM528" i="1"/>
  <c r="BD528" i="1"/>
  <c r="BC528" i="1"/>
  <c r="BB528" i="1"/>
  <c r="BA528" i="1"/>
  <c r="AZ528" i="1"/>
  <c r="AY528" i="1"/>
  <c r="AX528" i="1"/>
  <c r="M528" i="1"/>
  <c r="EM63" i="1"/>
  <c r="DU63" i="1"/>
  <c r="DT63" i="1"/>
  <c r="DN63" i="1"/>
  <c r="DM63" i="1"/>
  <c r="DL63" i="1"/>
  <c r="DK63" i="1"/>
  <c r="DI63" i="1"/>
  <c r="DJ63" i="1" s="1"/>
  <c r="DB63" i="1"/>
  <c r="DC63" i="1" s="1"/>
  <c r="CX63" i="1"/>
  <c r="CN63" i="1"/>
  <c r="CS63" i="1" s="1"/>
  <c r="BV63" i="1"/>
  <c r="BX63" i="1" s="1"/>
  <c r="BU63" i="1"/>
  <c r="BN63" i="1"/>
  <c r="BO63" i="1" s="1"/>
  <c r="BM63" i="1"/>
  <c r="BD63" i="1"/>
  <c r="BC63" i="1"/>
  <c r="BB63" i="1"/>
  <c r="BA63" i="1"/>
  <c r="AZ63" i="1"/>
  <c r="AY63" i="1"/>
  <c r="AX63" i="1"/>
  <c r="M63" i="1"/>
  <c r="EM69" i="1"/>
  <c r="DU69" i="1"/>
  <c r="DT69" i="1"/>
  <c r="DN69" i="1"/>
  <c r="DM69" i="1"/>
  <c r="DL69" i="1"/>
  <c r="DK69" i="1"/>
  <c r="DI69" i="1"/>
  <c r="DJ69" i="1" s="1"/>
  <c r="DB69" i="1"/>
  <c r="DC69" i="1" s="1"/>
  <c r="CX69" i="1"/>
  <c r="CN69" i="1"/>
  <c r="BV69" i="1"/>
  <c r="BX69" i="1" s="1"/>
  <c r="BU69" i="1"/>
  <c r="BN69" i="1"/>
  <c r="BO69" i="1" s="1"/>
  <c r="BM69" i="1"/>
  <c r="BD69" i="1"/>
  <c r="BC69" i="1"/>
  <c r="BB69" i="1"/>
  <c r="BA69" i="1"/>
  <c r="AZ69" i="1"/>
  <c r="AY69" i="1"/>
  <c r="AX69" i="1"/>
  <c r="M69" i="1"/>
  <c r="EM68" i="1"/>
  <c r="DU68" i="1"/>
  <c r="DT68" i="1"/>
  <c r="DN68" i="1"/>
  <c r="DM68" i="1"/>
  <c r="DL68" i="1"/>
  <c r="DK68" i="1"/>
  <c r="DI68" i="1"/>
  <c r="DJ68" i="1" s="1"/>
  <c r="DB68" i="1"/>
  <c r="DC68" i="1" s="1"/>
  <c r="CX68" i="1"/>
  <c r="CN68" i="1"/>
  <c r="CS68" i="1" s="1"/>
  <c r="BV68" i="1"/>
  <c r="BX68" i="1" s="1"/>
  <c r="BU68" i="1"/>
  <c r="BN68" i="1"/>
  <c r="BO68" i="1" s="1"/>
  <c r="BM68" i="1"/>
  <c r="BD68" i="1"/>
  <c r="BC68" i="1"/>
  <c r="BB68" i="1"/>
  <c r="BA68" i="1"/>
  <c r="AZ68" i="1"/>
  <c r="AY68" i="1"/>
  <c r="AX68" i="1"/>
  <c r="M68" i="1"/>
  <c r="EM62" i="1"/>
  <c r="DU62" i="1"/>
  <c r="DT62" i="1"/>
  <c r="DN62" i="1"/>
  <c r="DM62" i="1"/>
  <c r="DL62" i="1"/>
  <c r="DK62" i="1"/>
  <c r="DI62" i="1"/>
  <c r="DJ62" i="1" s="1"/>
  <c r="DB62" i="1"/>
  <c r="DC62" i="1" s="1"/>
  <c r="CX62" i="1"/>
  <c r="CN62" i="1"/>
  <c r="CS62" i="1" s="1"/>
  <c r="BV62" i="1"/>
  <c r="BX62" i="1" s="1"/>
  <c r="BU62" i="1"/>
  <c r="BN62" i="1"/>
  <c r="BO62" i="1" s="1"/>
  <c r="BM62" i="1"/>
  <c r="BD62" i="1"/>
  <c r="BC62" i="1"/>
  <c r="BB62" i="1"/>
  <c r="BA62" i="1"/>
  <c r="AZ62" i="1"/>
  <c r="AY62" i="1"/>
  <c r="AX62" i="1"/>
  <c r="M62" i="1"/>
  <c r="EM659" i="1"/>
  <c r="DU659" i="1"/>
  <c r="DT659" i="1"/>
  <c r="DN659" i="1"/>
  <c r="DM659" i="1"/>
  <c r="DL659" i="1"/>
  <c r="DK659" i="1"/>
  <c r="DI659" i="1"/>
  <c r="DJ659" i="1" s="1"/>
  <c r="DC659" i="1"/>
  <c r="CX659" i="1"/>
  <c r="CN659" i="1"/>
  <c r="CO659" i="1" s="1"/>
  <c r="BV659" i="1"/>
  <c r="BX659" i="1" s="1"/>
  <c r="BU659" i="1"/>
  <c r="BN659" i="1"/>
  <c r="BO659" i="1" s="1"/>
  <c r="BM659" i="1"/>
  <c r="BD659" i="1"/>
  <c r="BC659" i="1"/>
  <c r="BB659" i="1"/>
  <c r="BA659" i="1"/>
  <c r="AZ659" i="1"/>
  <c r="AY659" i="1"/>
  <c r="BE659" i="1" s="1" a="1"/>
  <c r="BE659" i="1" s="1"/>
  <c r="AX659" i="1"/>
  <c r="M659" i="1"/>
  <c r="EM658" i="1"/>
  <c r="DU658" i="1"/>
  <c r="DT658" i="1"/>
  <c r="DN658" i="1"/>
  <c r="DM658" i="1"/>
  <c r="DL658" i="1"/>
  <c r="DK658" i="1"/>
  <c r="DI658" i="1"/>
  <c r="DJ658" i="1" s="1"/>
  <c r="DC658" i="1"/>
  <c r="CX658" i="1"/>
  <c r="CN658" i="1"/>
  <c r="CR658" i="1" s="1"/>
  <c r="BV658" i="1"/>
  <c r="BX658" i="1" s="1"/>
  <c r="BU658" i="1"/>
  <c r="BN658" i="1"/>
  <c r="BO658" i="1" s="1"/>
  <c r="BM658" i="1"/>
  <c r="BD658" i="1"/>
  <c r="BC658" i="1"/>
  <c r="BB658" i="1"/>
  <c r="BA658" i="1"/>
  <c r="AZ658" i="1"/>
  <c r="BF658" i="1" s="1" a="1"/>
  <c r="BF658" i="1" s="1"/>
  <c r="AY658" i="1"/>
  <c r="BE658" i="1" s="1" a="1"/>
  <c r="BE658" i="1" s="1"/>
  <c r="AX658" i="1"/>
  <c r="M658" i="1"/>
  <c r="EM990" i="1"/>
  <c r="DU990" i="1"/>
  <c r="DT990" i="1"/>
  <c r="DN990" i="1"/>
  <c r="DM990" i="1"/>
  <c r="DL990" i="1"/>
  <c r="DK990" i="1"/>
  <c r="DI990" i="1"/>
  <c r="DJ990" i="1" s="1"/>
  <c r="DC990" i="1"/>
  <c r="CX990" i="1"/>
  <c r="CN990" i="1"/>
  <c r="CO990" i="1" s="1"/>
  <c r="BV990" i="1"/>
  <c r="BX990" i="1" s="1"/>
  <c r="BU990" i="1"/>
  <c r="BN990" i="1"/>
  <c r="BO990" i="1" s="1"/>
  <c r="BM990" i="1"/>
  <c r="BD990" i="1"/>
  <c r="BC990" i="1"/>
  <c r="BB990" i="1"/>
  <c r="BA990" i="1"/>
  <c r="AZ990" i="1"/>
  <c r="AY990" i="1"/>
  <c r="BE990" i="1" s="1" a="1"/>
  <c r="BE990" i="1" s="1"/>
  <c r="AX990" i="1"/>
  <c r="M990" i="1"/>
  <c r="EM989" i="1"/>
  <c r="DU989" i="1"/>
  <c r="DT989" i="1"/>
  <c r="DN989" i="1"/>
  <c r="DM989" i="1"/>
  <c r="DL989" i="1"/>
  <c r="DK989" i="1"/>
  <c r="DI989" i="1"/>
  <c r="DJ989" i="1" s="1"/>
  <c r="DC989" i="1"/>
  <c r="CX989" i="1"/>
  <c r="CN989" i="1"/>
  <c r="BV989" i="1"/>
  <c r="BX989" i="1" s="1"/>
  <c r="BU989" i="1"/>
  <c r="BN989" i="1"/>
  <c r="BO989" i="1" s="1"/>
  <c r="BM989" i="1"/>
  <c r="BD989" i="1"/>
  <c r="BC989" i="1"/>
  <c r="BB989" i="1"/>
  <c r="BA989" i="1"/>
  <c r="AZ989" i="1"/>
  <c r="BF989" i="1" s="1" a="1"/>
  <c r="BF989" i="1" s="1"/>
  <c r="AY989" i="1"/>
  <c r="BE989" i="1" s="1" a="1"/>
  <c r="BE989" i="1" s="1"/>
  <c r="AX989" i="1"/>
  <c r="M989" i="1"/>
  <c r="EM988" i="1"/>
  <c r="DU988" i="1"/>
  <c r="DT988" i="1"/>
  <c r="DN988" i="1"/>
  <c r="DM988" i="1"/>
  <c r="DL988" i="1"/>
  <c r="DK988" i="1"/>
  <c r="DI988" i="1"/>
  <c r="DJ988" i="1" s="1"/>
  <c r="DC988" i="1"/>
  <c r="CX988" i="1"/>
  <c r="CN988" i="1"/>
  <c r="CS988" i="1" s="1"/>
  <c r="BV988" i="1"/>
  <c r="BX988" i="1" s="1"/>
  <c r="BU988" i="1"/>
  <c r="BN988" i="1"/>
  <c r="BO988" i="1" s="1"/>
  <c r="BM988" i="1"/>
  <c r="BD988" i="1"/>
  <c r="BC988" i="1"/>
  <c r="BB988" i="1"/>
  <c r="BA988" i="1"/>
  <c r="AZ988" i="1"/>
  <c r="BF988" i="1" s="1" a="1"/>
  <c r="BF988" i="1" s="1"/>
  <c r="AY988" i="1"/>
  <c r="BE988" i="1" s="1" a="1"/>
  <c r="BE988" i="1" s="1"/>
  <c r="AX988" i="1"/>
  <c r="M988" i="1"/>
  <c r="EM147" i="1"/>
  <c r="DU147" i="1"/>
  <c r="DT147" i="1"/>
  <c r="DN147" i="1"/>
  <c r="DM147" i="1"/>
  <c r="DL147" i="1"/>
  <c r="DK147" i="1"/>
  <c r="DI147" i="1"/>
  <c r="DJ147" i="1" s="1"/>
  <c r="DC147" i="1"/>
  <c r="CX147" i="1"/>
  <c r="CN147" i="1"/>
  <c r="BV147" i="1"/>
  <c r="BX147" i="1" s="1"/>
  <c r="BU147" i="1"/>
  <c r="BN147" i="1"/>
  <c r="BO147" i="1" s="1"/>
  <c r="BM147" i="1"/>
  <c r="BD147" i="1"/>
  <c r="BC147" i="1"/>
  <c r="BB147" i="1"/>
  <c r="BA147" i="1"/>
  <c r="AZ147" i="1"/>
  <c r="AY147" i="1"/>
  <c r="AX147" i="1"/>
  <c r="M147" i="1"/>
  <c r="EM146" i="1"/>
  <c r="DU146" i="1"/>
  <c r="DT146" i="1"/>
  <c r="DN146" i="1"/>
  <c r="DM146" i="1"/>
  <c r="DL146" i="1"/>
  <c r="DK146" i="1"/>
  <c r="DI146" i="1"/>
  <c r="DJ146" i="1" s="1"/>
  <c r="DC146" i="1"/>
  <c r="CX146" i="1"/>
  <c r="CN146" i="1"/>
  <c r="CO146" i="1" s="1"/>
  <c r="BV146" i="1"/>
  <c r="BX146" i="1" s="1"/>
  <c r="BU146" i="1"/>
  <c r="BN146" i="1"/>
  <c r="BO146" i="1" s="1"/>
  <c r="BM146" i="1"/>
  <c r="BD146" i="1"/>
  <c r="BC146" i="1"/>
  <c r="BB146" i="1"/>
  <c r="BA146" i="1"/>
  <c r="AZ146" i="1"/>
  <c r="AY146" i="1"/>
  <c r="AX146" i="1"/>
  <c r="M146" i="1"/>
  <c r="EM145" i="1"/>
  <c r="DU145" i="1"/>
  <c r="DT145" i="1"/>
  <c r="DN145" i="1"/>
  <c r="DM145" i="1"/>
  <c r="DL145" i="1"/>
  <c r="DK145" i="1"/>
  <c r="DI145" i="1"/>
  <c r="DJ145" i="1" s="1"/>
  <c r="DC145" i="1"/>
  <c r="CX145" i="1"/>
  <c r="CN145" i="1"/>
  <c r="CO145" i="1" s="1"/>
  <c r="BV145" i="1"/>
  <c r="BX145" i="1" s="1"/>
  <c r="BU145" i="1"/>
  <c r="BN145" i="1"/>
  <c r="BO145" i="1" s="1"/>
  <c r="BM145" i="1"/>
  <c r="BD145" i="1"/>
  <c r="BC145" i="1"/>
  <c r="BB145" i="1"/>
  <c r="BA145" i="1"/>
  <c r="AZ145" i="1"/>
  <c r="AY145" i="1"/>
  <c r="AX145" i="1"/>
  <c r="M145" i="1"/>
  <c r="EM1022" i="1"/>
  <c r="DU1022" i="1"/>
  <c r="DT1022" i="1"/>
  <c r="DN1022" i="1"/>
  <c r="DM1022" i="1"/>
  <c r="DL1022" i="1"/>
  <c r="DK1022" i="1"/>
  <c r="DI1022" i="1"/>
  <c r="DJ1022" i="1" s="1"/>
  <c r="DC1022" i="1"/>
  <c r="CX1022" i="1"/>
  <c r="BV1022" i="1"/>
  <c r="BX1022" i="1" s="1"/>
  <c r="BL1022" i="1"/>
  <c r="CN1022" i="1" s="1"/>
  <c r="BD1022" i="1"/>
  <c r="BC1022" i="1"/>
  <c r="BB1022" i="1"/>
  <c r="BA1022" i="1"/>
  <c r="AZ1022" i="1"/>
  <c r="BF1022" i="1" s="1" a="1"/>
  <c r="BF1022" i="1" s="1"/>
  <c r="AY1022" i="1"/>
  <c r="BE1022" i="1" s="1" a="1"/>
  <c r="BE1022" i="1" s="1"/>
  <c r="AX1022" i="1"/>
  <c r="M1022" i="1"/>
  <c r="EM1021" i="1"/>
  <c r="DU1021" i="1"/>
  <c r="DT1021" i="1"/>
  <c r="DN1021" i="1"/>
  <c r="DM1021" i="1"/>
  <c r="DL1021" i="1"/>
  <c r="DK1021" i="1"/>
  <c r="DI1021" i="1"/>
  <c r="DJ1021" i="1" s="1"/>
  <c r="DC1021" i="1"/>
  <c r="CX1021" i="1"/>
  <c r="BV1021" i="1"/>
  <c r="BX1021" i="1" s="1"/>
  <c r="BL1021" i="1"/>
  <c r="BN1021" i="1" s="1"/>
  <c r="BD1021" i="1"/>
  <c r="BC1021" i="1"/>
  <c r="BB1021" i="1"/>
  <c r="BA1021" i="1"/>
  <c r="AZ1021" i="1"/>
  <c r="AY1021" i="1"/>
  <c r="BE1021" i="1" s="1" a="1"/>
  <c r="BE1021" i="1" s="1"/>
  <c r="AX1021" i="1"/>
  <c r="M1021" i="1"/>
  <c r="EM1020" i="1"/>
  <c r="DU1020" i="1"/>
  <c r="DT1020" i="1"/>
  <c r="DN1020" i="1"/>
  <c r="DM1020" i="1"/>
  <c r="DL1020" i="1"/>
  <c r="DK1020" i="1"/>
  <c r="DI1020" i="1"/>
  <c r="DJ1020" i="1" s="1"/>
  <c r="DC1020" i="1"/>
  <c r="CX1020" i="1"/>
  <c r="CN1020" i="1"/>
  <c r="CS1020" i="1" s="1"/>
  <c r="BX1020" i="1"/>
  <c r="BN1020" i="1"/>
  <c r="BO1020" i="1" s="1"/>
  <c r="BD1020" i="1"/>
  <c r="BC1020" i="1"/>
  <c r="BB1020" i="1"/>
  <c r="BA1020" i="1"/>
  <c r="AZ1020" i="1"/>
  <c r="AY1020" i="1"/>
  <c r="BE1020" i="1" s="1" a="1"/>
  <c r="BE1020" i="1" s="1"/>
  <c r="AX1020" i="1"/>
  <c r="M1020" i="1"/>
  <c r="EM1019" i="1"/>
  <c r="DU1019" i="1"/>
  <c r="DT1019" i="1"/>
  <c r="DN1019" i="1"/>
  <c r="DM1019" i="1"/>
  <c r="DL1019" i="1"/>
  <c r="DK1019" i="1"/>
  <c r="DI1019" i="1"/>
  <c r="DJ1019" i="1" s="1"/>
  <c r="DC1019" i="1"/>
  <c r="CX1019" i="1"/>
  <c r="CN1019" i="1"/>
  <c r="CP1019" i="1" s="1"/>
  <c r="BX1019" i="1"/>
  <c r="BN1019" i="1"/>
  <c r="BO1019" i="1" s="1"/>
  <c r="BD1019" i="1"/>
  <c r="BC1019" i="1"/>
  <c r="BB1019" i="1"/>
  <c r="BA1019" i="1"/>
  <c r="AZ1019" i="1"/>
  <c r="BF1019" i="1" s="1" a="1"/>
  <c r="BF1019" i="1" s="1"/>
  <c r="AY1019" i="1"/>
  <c r="BE1019" i="1" s="1" a="1"/>
  <c r="BE1019" i="1" s="1"/>
  <c r="AX1019" i="1"/>
  <c r="M1019" i="1"/>
  <c r="EM1018" i="1"/>
  <c r="DU1018" i="1"/>
  <c r="DT1018" i="1"/>
  <c r="DN1018" i="1"/>
  <c r="DM1018" i="1"/>
  <c r="DL1018" i="1"/>
  <c r="DK1018" i="1"/>
  <c r="DI1018" i="1"/>
  <c r="DJ1018" i="1" s="1"/>
  <c r="DC1018" i="1"/>
  <c r="CX1018" i="1"/>
  <c r="CN1018" i="1"/>
  <c r="CO1018" i="1" s="1"/>
  <c r="BX1018" i="1"/>
  <c r="BN1018" i="1"/>
  <c r="BO1018" i="1" s="1"/>
  <c r="BD1018" i="1"/>
  <c r="BC1018" i="1"/>
  <c r="BB1018" i="1"/>
  <c r="BA1018" i="1"/>
  <c r="AZ1018" i="1"/>
  <c r="AY1018" i="1"/>
  <c r="BE1018" i="1" s="1" a="1"/>
  <c r="BE1018" i="1" s="1"/>
  <c r="AX1018" i="1"/>
  <c r="M1018" i="1"/>
  <c r="EM1017" i="1"/>
  <c r="DU1017" i="1"/>
  <c r="DT1017" i="1"/>
  <c r="DN1017" i="1"/>
  <c r="DM1017" i="1"/>
  <c r="DL1017" i="1"/>
  <c r="DK1017" i="1"/>
  <c r="DI1017" i="1"/>
  <c r="DJ1017" i="1" s="1"/>
  <c r="DC1017" i="1"/>
  <c r="CX1017" i="1"/>
  <c r="CN1017" i="1"/>
  <c r="CS1017" i="1" s="1"/>
  <c r="BX1017" i="1"/>
  <c r="BN1017" i="1"/>
  <c r="BO1017" i="1" s="1"/>
  <c r="BD1017" i="1"/>
  <c r="BC1017" i="1"/>
  <c r="BB1017" i="1"/>
  <c r="BA1017" i="1"/>
  <c r="AZ1017" i="1"/>
  <c r="BF1017" i="1" s="1" a="1"/>
  <c r="BF1017" i="1" s="1"/>
  <c r="AY1017" i="1"/>
  <c r="BE1017" i="1" s="1" a="1"/>
  <c r="BE1017" i="1" s="1"/>
  <c r="AX1017" i="1"/>
  <c r="M1017" i="1"/>
  <c r="EM1016" i="1"/>
  <c r="DU1016" i="1"/>
  <c r="DT1016" i="1"/>
  <c r="DN1016" i="1"/>
  <c r="DM1016" i="1"/>
  <c r="DL1016" i="1"/>
  <c r="DK1016" i="1"/>
  <c r="DI1016" i="1"/>
  <c r="DJ1016" i="1" s="1"/>
  <c r="DC1016" i="1"/>
  <c r="CX1016" i="1"/>
  <c r="CN1016" i="1"/>
  <c r="BT1016" i="1"/>
  <c r="BS1016" i="1"/>
  <c r="BN1016" i="1"/>
  <c r="BO1016" i="1" s="1"/>
  <c r="BD1016" i="1"/>
  <c r="BC1016" i="1"/>
  <c r="BB1016" i="1"/>
  <c r="BA1016" i="1"/>
  <c r="AZ1016" i="1"/>
  <c r="BF1016" i="1" s="1" a="1"/>
  <c r="BF1016" i="1" s="1"/>
  <c r="AY1016" i="1"/>
  <c r="BE1016" i="1" s="1" a="1"/>
  <c r="BE1016" i="1" s="1"/>
  <c r="AX1016" i="1"/>
  <c r="M1016" i="1"/>
  <c r="EM984" i="1"/>
  <c r="DU984" i="1"/>
  <c r="DT984" i="1"/>
  <c r="DN984" i="1"/>
  <c r="DM984" i="1"/>
  <c r="DL984" i="1"/>
  <c r="DK984" i="1"/>
  <c r="DI984" i="1"/>
  <c r="DJ984" i="1" s="1"/>
  <c r="DC984" i="1"/>
  <c r="CX984" i="1"/>
  <c r="CN984" i="1"/>
  <c r="CS984" i="1" s="1"/>
  <c r="BV984" i="1"/>
  <c r="BX984" i="1" s="1"/>
  <c r="BU984" i="1"/>
  <c r="BN984" i="1"/>
  <c r="BO984" i="1" s="1"/>
  <c r="BM984" i="1"/>
  <c r="BD984" i="1"/>
  <c r="BC984" i="1"/>
  <c r="BB984" i="1"/>
  <c r="BA984" i="1"/>
  <c r="AZ984" i="1"/>
  <c r="AY984" i="1"/>
  <c r="BE984" i="1" s="1" a="1"/>
  <c r="BE984" i="1" s="1"/>
  <c r="AX984" i="1"/>
  <c r="M984" i="1"/>
  <c r="EM983" i="1"/>
  <c r="DU983" i="1"/>
  <c r="DT983" i="1"/>
  <c r="DN983" i="1"/>
  <c r="DM983" i="1"/>
  <c r="DL983" i="1"/>
  <c r="DK983" i="1"/>
  <c r="DI983" i="1"/>
  <c r="DJ983" i="1" s="1"/>
  <c r="DC983" i="1"/>
  <c r="CX983" i="1"/>
  <c r="CN983" i="1"/>
  <c r="CP983" i="1" s="1"/>
  <c r="BV983" i="1"/>
  <c r="BX983" i="1" s="1"/>
  <c r="BU983" i="1"/>
  <c r="BN983" i="1"/>
  <c r="BO983" i="1" s="1"/>
  <c r="BM983" i="1"/>
  <c r="BD983" i="1"/>
  <c r="BC983" i="1"/>
  <c r="BB983" i="1"/>
  <c r="BA983" i="1"/>
  <c r="AZ983" i="1"/>
  <c r="AY983" i="1"/>
  <c r="BE983" i="1" s="1" a="1"/>
  <c r="BE983" i="1" s="1"/>
  <c r="AX983" i="1"/>
  <c r="M983" i="1"/>
  <c r="BF329" i="1" l="1" a="1"/>
  <c r="BF329" i="1" s="1"/>
  <c r="BF1008" i="1" a="1"/>
  <c r="BF1008" i="1" s="1"/>
  <c r="BF1012" i="1" a="1"/>
  <c r="BF1012" i="1" s="1"/>
  <c r="BF984" i="1" a="1"/>
  <c r="BF984" i="1" s="1"/>
  <c r="BF1020" i="1" a="1"/>
  <c r="BF1020" i="1" s="1"/>
  <c r="BF990" i="1" a="1"/>
  <c r="BF990" i="1" s="1"/>
  <c r="BF1000" i="1" a="1"/>
  <c r="BF1000" i="1" s="1"/>
  <c r="BF1004" i="1" a="1"/>
  <c r="BF1004" i="1" s="1"/>
  <c r="BF991" i="1" a="1"/>
  <c r="BF991" i="1" s="1"/>
  <c r="BF431" i="1" a="1"/>
  <c r="BF431" i="1" s="1"/>
  <c r="BF992" i="1" a="1"/>
  <c r="BF992" i="1" s="1"/>
  <c r="BF1007" i="1" a="1"/>
  <c r="BF1007" i="1" s="1"/>
  <c r="BF1011" i="1" a="1"/>
  <c r="BF1011" i="1" s="1"/>
  <c r="BF1015" i="1" a="1"/>
  <c r="BF1015" i="1" s="1"/>
  <c r="BF997" i="1" a="1"/>
  <c r="BF997" i="1" s="1"/>
  <c r="BF1002" i="1" a="1"/>
  <c r="BF1002" i="1" s="1"/>
  <c r="BF430" i="1" a="1"/>
  <c r="BF430" i="1" s="1"/>
  <c r="BF987" i="1" a="1"/>
  <c r="BF987" i="1" s="1"/>
  <c r="BF993" i="1" a="1"/>
  <c r="BF993" i="1" s="1"/>
  <c r="BF1006" i="1" a="1"/>
  <c r="BF1006" i="1" s="1"/>
  <c r="BF1010" i="1" a="1"/>
  <c r="BF1010" i="1" s="1"/>
  <c r="BF1014" i="1" a="1"/>
  <c r="BF1014" i="1" s="1"/>
  <c r="BF983" i="1" a="1"/>
  <c r="BF983" i="1" s="1"/>
  <c r="BF1021" i="1" a="1"/>
  <c r="BF1021" i="1" s="1"/>
  <c r="BF327" i="1" a="1"/>
  <c r="BF327" i="1" s="1"/>
  <c r="BF1018" i="1" a="1"/>
  <c r="BF1018" i="1" s="1"/>
  <c r="BF659" i="1" a="1"/>
  <c r="BF659" i="1" s="1"/>
  <c r="BF1001" i="1" a="1"/>
  <c r="BF1001" i="1" s="1"/>
  <c r="BF994" i="1" a="1"/>
  <c r="BF994" i="1" s="1"/>
  <c r="BF986" i="1" a="1"/>
  <c r="BF986" i="1" s="1"/>
  <c r="BF996" i="1" a="1"/>
  <c r="BF996" i="1" s="1"/>
  <c r="BF566" i="1" a="1"/>
  <c r="BF566" i="1" s="1"/>
  <c r="BF568" i="1" a="1"/>
  <c r="BF568" i="1" s="1"/>
  <c r="BF570" i="1" a="1"/>
  <c r="BF570" i="1" s="1"/>
  <c r="BV1016" i="1"/>
  <c r="BX1016" i="1" s="1"/>
  <c r="BY1016" i="1" s="1"/>
  <c r="CP54" i="1"/>
  <c r="CS54" i="1"/>
  <c r="BO1021" i="1"/>
  <c r="BY1021" i="1" s="1"/>
  <c r="EP1021" i="1" s="1"/>
  <c r="CN1021" i="1"/>
  <c r="CP1021" i="1" s="1"/>
  <c r="BY1011" i="1"/>
  <c r="EP1011" i="1" s="1"/>
  <c r="CQ431" i="1"/>
  <c r="CP430" i="1"/>
  <c r="BF594" i="1" a="1"/>
  <c r="BF594" i="1" s="1"/>
  <c r="BE594" i="1" s="1" a="1"/>
  <c r="BE594" i="1" s="1"/>
  <c r="CS570" i="1"/>
  <c r="BY144" i="1"/>
  <c r="EP144" i="1" s="1"/>
  <c r="CO1017" i="1"/>
  <c r="CS430" i="1"/>
  <c r="CV430" i="1" s="1"/>
  <c r="CQ328" i="1"/>
  <c r="CO1013" i="1"/>
  <c r="CR531" i="1"/>
  <c r="CQ532" i="1"/>
  <c r="CQ998" i="1"/>
  <c r="CR1011" i="1"/>
  <c r="BY1013" i="1"/>
  <c r="EP1013" i="1" s="1"/>
  <c r="CQ68" i="1"/>
  <c r="CP1020" i="1"/>
  <c r="CQ329" i="1"/>
  <c r="BY1014" i="1"/>
  <c r="EP1014" i="1" s="1"/>
  <c r="BY147" i="1"/>
  <c r="EP147" i="1" s="1"/>
  <c r="BY994" i="1"/>
  <c r="EP994" i="1" s="1"/>
  <c r="BY430" i="1"/>
  <c r="EP430" i="1" s="1"/>
  <c r="BY1009" i="1"/>
  <c r="EP1009" i="1" s="1"/>
  <c r="CR68" i="1"/>
  <c r="CV68" i="1" s="1"/>
  <c r="CO594" i="1"/>
  <c r="BY1019" i="1"/>
  <c r="EP1019" i="1" s="1"/>
  <c r="CQ146" i="1"/>
  <c r="CS990" i="1"/>
  <c r="CR63" i="1"/>
  <c r="CV63" i="1" s="1"/>
  <c r="CT530" i="1"/>
  <c r="BY1007" i="1"/>
  <c r="EP1007" i="1" s="1"/>
  <c r="CQ1015" i="1"/>
  <c r="CQ429" i="1"/>
  <c r="BY593" i="1"/>
  <c r="EP593" i="1" s="1"/>
  <c r="BY145" i="1"/>
  <c r="EP145" i="1" s="1"/>
  <c r="CQ1007" i="1"/>
  <c r="BY659" i="1"/>
  <c r="EP659" i="1" s="1"/>
  <c r="CS1007" i="1"/>
  <c r="BF144" i="1" a="1"/>
  <c r="BF144" i="1" s="1"/>
  <c r="BE144" i="1" s="1" a="1"/>
  <c r="BE144" i="1" s="1"/>
  <c r="BF146" i="1" a="1"/>
  <c r="BF146" i="1" s="1"/>
  <c r="BE146" i="1" s="1" a="1"/>
  <c r="BE146" i="1" s="1"/>
  <c r="CQ990" i="1"/>
  <c r="CO1002" i="1"/>
  <c r="CO1015" i="1"/>
  <c r="CR429" i="1"/>
  <c r="BY65" i="1"/>
  <c r="EP65" i="1" s="1"/>
  <c r="BY987" i="1"/>
  <c r="EP987" i="1" s="1"/>
  <c r="CT990" i="1"/>
  <c r="CR329" i="1"/>
  <c r="CV329" i="1" s="1"/>
  <c r="CQ1006" i="1"/>
  <c r="CT991" i="1"/>
  <c r="CQ59" i="1"/>
  <c r="CQ67" i="1"/>
  <c r="BY658" i="1"/>
  <c r="EP658" i="1" s="1"/>
  <c r="CR530" i="1"/>
  <c r="CV530" i="1" s="1"/>
  <c r="BF532" i="1" a="1"/>
  <c r="BF532" i="1" s="1"/>
  <c r="BE532" i="1" s="1" a="1"/>
  <c r="BE532" i="1" s="1"/>
  <c r="BY123" i="1"/>
  <c r="EP123" i="1" s="1"/>
  <c r="CP1007" i="1"/>
  <c r="CQ1008" i="1"/>
  <c r="BF143" i="1" a="1"/>
  <c r="BF143" i="1" s="1"/>
  <c r="BE143" i="1" s="1" a="1"/>
  <c r="BE143" i="1" s="1"/>
  <c r="CQ1016" i="1"/>
  <c r="BF145" i="1" a="1"/>
  <c r="BF145" i="1" s="1"/>
  <c r="BE145" i="1" s="1" a="1"/>
  <c r="BE145" i="1" s="1"/>
  <c r="CQ63" i="1"/>
  <c r="BY532" i="1"/>
  <c r="EP532" i="1" s="1"/>
  <c r="CP328" i="1"/>
  <c r="BF123" i="1" a="1"/>
  <c r="BF123" i="1" s="1"/>
  <c r="BY1000" i="1"/>
  <c r="EP1000" i="1" s="1"/>
  <c r="CQ1001" i="1"/>
  <c r="BY1005" i="1"/>
  <c r="EP1005" i="1" s="1"/>
  <c r="CR1007" i="1"/>
  <c r="CR1010" i="1"/>
  <c r="CQ986" i="1"/>
  <c r="BF590" i="1" a="1"/>
  <c r="BF590" i="1" s="1"/>
  <c r="BE590" i="1" s="1" a="1"/>
  <c r="BE590" i="1" s="1"/>
  <c r="CQ1017" i="1"/>
  <c r="CQ989" i="1"/>
  <c r="CQ659" i="1"/>
  <c r="CO532" i="1"/>
  <c r="BF124" i="1" a="1"/>
  <c r="BF124" i="1" s="1"/>
  <c r="CO1005" i="1"/>
  <c r="BY1006" i="1"/>
  <c r="EP1006" i="1" s="1"/>
  <c r="CP1008" i="1"/>
  <c r="CQ1011" i="1"/>
  <c r="CS993" i="1"/>
  <c r="CV993" i="1" s="1"/>
  <c r="CP567" i="1"/>
  <c r="BY1018" i="1"/>
  <c r="EP1018" i="1" s="1"/>
  <c r="BY1020" i="1"/>
  <c r="EP1020" i="1" s="1"/>
  <c r="CT146" i="1"/>
  <c r="BF59" i="1" a="1"/>
  <c r="BF59" i="1" s="1"/>
  <c r="BE59" i="1" s="1" a="1"/>
  <c r="BE59" i="1" s="1"/>
  <c r="CS532" i="1"/>
  <c r="CV532" i="1" s="1"/>
  <c r="BF67" i="1" a="1"/>
  <c r="BF67" i="1" s="1"/>
  <c r="BE67" i="1" s="1" a="1"/>
  <c r="BE67" i="1" s="1"/>
  <c r="BY330" i="1"/>
  <c r="EP330" i="1" s="1"/>
  <c r="CR1001" i="1"/>
  <c r="CR1005" i="1"/>
  <c r="CV1005" i="1" s="1"/>
  <c r="CS1008" i="1"/>
  <c r="CV1008" i="1" s="1"/>
  <c r="CO1011" i="1"/>
  <c r="CP431" i="1"/>
  <c r="CS565" i="1"/>
  <c r="CV565" i="1" s="1"/>
  <c r="CQ567" i="1"/>
  <c r="CQ590" i="1"/>
  <c r="BY62" i="1"/>
  <c r="EP62" i="1" s="1"/>
  <c r="BY67" i="1"/>
  <c r="EP67" i="1" s="1"/>
  <c r="CT1008" i="1"/>
  <c r="CS431" i="1"/>
  <c r="BF52" i="1" a="1"/>
  <c r="BF52" i="1" s="1"/>
  <c r="BE52" i="1" s="1" a="1"/>
  <c r="BE52" i="1" s="1"/>
  <c r="BF593" i="1" a="1"/>
  <c r="BF593" i="1" s="1"/>
  <c r="BE593" i="1" s="1" a="1"/>
  <c r="BE593" i="1" s="1"/>
  <c r="CO54" i="1"/>
  <c r="CP146" i="1"/>
  <c r="BY1004" i="1"/>
  <c r="EP1004" i="1" s="1"/>
  <c r="BF53" i="1" a="1"/>
  <c r="BF53" i="1" s="1"/>
  <c r="BE53" i="1" s="1" a="1"/>
  <c r="BE53" i="1" s="1"/>
  <c r="CQ983" i="1"/>
  <c r="CS1018" i="1"/>
  <c r="CT1019" i="1"/>
  <c r="CO1020" i="1"/>
  <c r="CR146" i="1"/>
  <c r="CR62" i="1"/>
  <c r="CV62" i="1" s="1"/>
  <c r="BF68" i="1" a="1"/>
  <c r="BF68" i="1" s="1"/>
  <c r="BE68" i="1" s="1" a="1"/>
  <c r="BE68" i="1" s="1"/>
  <c r="BF531" i="1" a="1"/>
  <c r="BF531" i="1" s="1"/>
  <c r="BE531" i="1" s="1" a="1"/>
  <c r="BE531" i="1" s="1"/>
  <c r="CP530" i="1"/>
  <c r="CO1007" i="1"/>
  <c r="CS1011" i="1"/>
  <c r="BY1012" i="1"/>
  <c r="EP1012" i="1" s="1"/>
  <c r="CT1015" i="1"/>
  <c r="CR986" i="1"/>
  <c r="CV986" i="1" s="1"/>
  <c r="BY53" i="1"/>
  <c r="EP53" i="1" s="1"/>
  <c r="BY998" i="1"/>
  <c r="EP998" i="1" s="1"/>
  <c r="CT998" i="1"/>
  <c r="CU998" i="1" s="1"/>
  <c r="CT124" i="1"/>
  <c r="BY124" i="1"/>
  <c r="EP124" i="1" s="1"/>
  <c r="CR983" i="1"/>
  <c r="CR1016" i="1"/>
  <c r="CR1020" i="1"/>
  <c r="CV1020" i="1" s="1"/>
  <c r="CS146" i="1"/>
  <c r="CP990" i="1"/>
  <c r="CR659" i="1"/>
  <c r="BY531" i="1"/>
  <c r="EP531" i="1" s="1"/>
  <c r="CO330" i="1"/>
  <c r="CR998" i="1"/>
  <c r="CS1002" i="1"/>
  <c r="CQ1010" i="1"/>
  <c r="BY995" i="1"/>
  <c r="EP995" i="1" s="1"/>
  <c r="CQ570" i="1"/>
  <c r="CS590" i="1"/>
  <c r="CT53" i="1"/>
  <c r="BF54" i="1" a="1"/>
  <c r="BF54" i="1" s="1"/>
  <c r="BE54" i="1" s="1" a="1"/>
  <c r="BE54" i="1" s="1"/>
  <c r="CT983" i="1"/>
  <c r="CP1018" i="1"/>
  <c r="CQ1019" i="1"/>
  <c r="BY989" i="1"/>
  <c r="EP989" i="1" s="1"/>
  <c r="CR990" i="1"/>
  <c r="CT659" i="1"/>
  <c r="BF69" i="1" a="1"/>
  <c r="BF69" i="1" s="1"/>
  <c r="BE69" i="1" s="1" a="1"/>
  <c r="BE69" i="1" s="1"/>
  <c r="CO63" i="1"/>
  <c r="CO530" i="1"/>
  <c r="CS998" i="1"/>
  <c r="CQ999" i="1"/>
  <c r="CO1001" i="1"/>
  <c r="BY1003" i="1"/>
  <c r="EP1003" i="1" s="1"/>
  <c r="CQ1005" i="1"/>
  <c r="CO1008" i="1"/>
  <c r="BY1010" i="1"/>
  <c r="EP1010" i="1" s="1"/>
  <c r="CS996" i="1"/>
  <c r="CV996" i="1" s="1"/>
  <c r="BY566" i="1"/>
  <c r="EP566" i="1" s="1"/>
  <c r="CR570" i="1"/>
  <c r="CQ1018" i="1"/>
  <c r="BF147" i="1" a="1"/>
  <c r="BF147" i="1" s="1"/>
  <c r="BE147" i="1" s="1" a="1"/>
  <c r="BE147" i="1" s="1"/>
  <c r="BF62" i="1" a="1"/>
  <c r="BF62" i="1" s="1"/>
  <c r="BE62" i="1" s="1" a="1"/>
  <c r="BE62" i="1" s="1"/>
  <c r="BY68" i="1"/>
  <c r="EP68" i="1" s="1"/>
  <c r="BY69" i="1"/>
  <c r="EP69" i="1" s="1"/>
  <c r="BY59" i="1"/>
  <c r="EP59" i="1" s="1"/>
  <c r="BY329" i="1"/>
  <c r="EP329" i="1" s="1"/>
  <c r="CT999" i="1"/>
  <c r="CT1013" i="1"/>
  <c r="BY986" i="1"/>
  <c r="EP986" i="1" s="1"/>
  <c r="CT1005" i="1"/>
  <c r="CO993" i="1"/>
  <c r="CO52" i="1"/>
  <c r="CO984" i="1"/>
  <c r="CP1017" i="1"/>
  <c r="CO1019" i="1"/>
  <c r="BY988" i="1"/>
  <c r="EP988" i="1" s="1"/>
  <c r="CO62" i="1"/>
  <c r="CO68" i="1"/>
  <c r="BF63" i="1" a="1"/>
  <c r="BF63" i="1" s="1"/>
  <c r="BE63" i="1" s="1" a="1"/>
  <c r="BE63" i="1" s="1"/>
  <c r="CP59" i="1"/>
  <c r="CP532" i="1"/>
  <c r="CO329" i="1"/>
  <c r="CP999" i="1"/>
  <c r="CS1001" i="1"/>
  <c r="BY1002" i="1"/>
  <c r="EP1002" i="1" s="1"/>
  <c r="CT1010" i="1"/>
  <c r="CT1011" i="1"/>
  <c r="CS1015" i="1"/>
  <c r="CV1015" i="1" s="1"/>
  <c r="CS429" i="1"/>
  <c r="BY431" i="1"/>
  <c r="EP431" i="1" s="1"/>
  <c r="CO986" i="1"/>
  <c r="CP993" i="1"/>
  <c r="CR567" i="1"/>
  <c r="CP52" i="1"/>
  <c r="CV54" i="1"/>
  <c r="BY143" i="1"/>
  <c r="EP143" i="1" s="1"/>
  <c r="CP984" i="1"/>
  <c r="CR1017" i="1"/>
  <c r="CV1017" i="1" s="1"/>
  <c r="CR1019" i="1"/>
  <c r="CQ1020" i="1"/>
  <c r="CT147" i="1"/>
  <c r="CP62" i="1"/>
  <c r="CP68" i="1"/>
  <c r="BY528" i="1"/>
  <c r="EP528" i="1" s="1"/>
  <c r="CS59" i="1"/>
  <c r="CV59" i="1" s="1"/>
  <c r="BF65" i="1" a="1"/>
  <c r="BF65" i="1" s="1"/>
  <c r="BE65" i="1" s="1" a="1"/>
  <c r="BE65" i="1" s="1"/>
  <c r="CP329" i="1"/>
  <c r="CS999" i="1"/>
  <c r="CV999" i="1" s="1"/>
  <c r="CT1006" i="1"/>
  <c r="CO430" i="1"/>
  <c r="CP986" i="1"/>
  <c r="CS567" i="1"/>
  <c r="CS568" i="1"/>
  <c r="CV568" i="1" s="1"/>
  <c r="BY569" i="1"/>
  <c r="EP569" i="1" s="1"/>
  <c r="BY570" i="1"/>
  <c r="EP570" i="1" s="1"/>
  <c r="CO590" i="1"/>
  <c r="CR52" i="1"/>
  <c r="CV52" i="1" s="1"/>
  <c r="CQ594" i="1"/>
  <c r="CQ54" i="1"/>
  <c r="BY983" i="1"/>
  <c r="EP983" i="1" s="1"/>
  <c r="CR984" i="1"/>
  <c r="CV984" i="1" s="1"/>
  <c r="CO53" i="1"/>
  <c r="CR594" i="1"/>
  <c r="BY63" i="1"/>
  <c r="EP63" i="1" s="1"/>
  <c r="BF530" i="1" a="1"/>
  <c r="BF530" i="1" s="1"/>
  <c r="BE530" i="1" s="1" a="1"/>
  <c r="BE530" i="1" s="1"/>
  <c r="CR328" i="1"/>
  <c r="BY997" i="1"/>
  <c r="EP997" i="1" s="1"/>
  <c r="CP998" i="1"/>
  <c r="BY1001" i="1"/>
  <c r="EP1001" i="1" s="1"/>
  <c r="CS1006" i="1"/>
  <c r="BY1008" i="1"/>
  <c r="EP1008" i="1" s="1"/>
  <c r="BY985" i="1"/>
  <c r="EP985" i="1" s="1"/>
  <c r="CR431" i="1"/>
  <c r="BY567" i="1"/>
  <c r="EP567" i="1" s="1"/>
  <c r="CO570" i="1"/>
  <c r="CR590" i="1"/>
  <c r="CQ52" i="1"/>
  <c r="CS53" i="1"/>
  <c r="CV53" i="1" s="1"/>
  <c r="CS594" i="1"/>
  <c r="CO1022" i="1"/>
  <c r="CT1022" i="1"/>
  <c r="CS1022" i="1"/>
  <c r="CP1022" i="1"/>
  <c r="CR1022" i="1"/>
  <c r="BY1017" i="1"/>
  <c r="EP1017" i="1" s="1"/>
  <c r="BY984" i="1"/>
  <c r="EP984" i="1" s="1"/>
  <c r="CQ984" i="1"/>
  <c r="CT1016" i="1"/>
  <c r="CS67" i="1"/>
  <c r="CP67" i="1"/>
  <c r="CO67" i="1"/>
  <c r="CR1003" i="1"/>
  <c r="CT1003" i="1"/>
  <c r="CS1003" i="1"/>
  <c r="CQ1003" i="1"/>
  <c r="CP1003" i="1"/>
  <c r="CO1003" i="1"/>
  <c r="BY990" i="1"/>
  <c r="EP990" i="1" s="1"/>
  <c r="CT68" i="1"/>
  <c r="CU68" i="1" s="1"/>
  <c r="CT65" i="1"/>
  <c r="CQ65" i="1"/>
  <c r="CP65" i="1"/>
  <c r="CT995" i="1"/>
  <c r="CS995" i="1"/>
  <c r="CR995" i="1"/>
  <c r="CQ995" i="1"/>
  <c r="CP995" i="1"/>
  <c r="CO995" i="1"/>
  <c r="BN1022" i="1"/>
  <c r="BY146" i="1"/>
  <c r="EP146" i="1" s="1"/>
  <c r="CS983" i="1"/>
  <c r="CR1018" i="1"/>
  <c r="CS1019" i="1"/>
  <c r="CT1020" i="1"/>
  <c r="BO1022" i="1"/>
  <c r="CQ1022" i="1" s="1"/>
  <c r="CP145" i="1"/>
  <c r="CO147" i="1"/>
  <c r="CO988" i="1"/>
  <c r="CO989" i="1"/>
  <c r="CO658" i="1"/>
  <c r="CT62" i="1"/>
  <c r="CO65" i="1"/>
  <c r="CR67" i="1"/>
  <c r="BY61" i="1"/>
  <c r="EP61" i="1" s="1"/>
  <c r="CT123" i="1"/>
  <c r="CS123" i="1"/>
  <c r="CR123" i="1"/>
  <c r="CQ123" i="1"/>
  <c r="CT985" i="1"/>
  <c r="CS985" i="1"/>
  <c r="CQ985" i="1"/>
  <c r="CR985" i="1"/>
  <c r="CP985" i="1"/>
  <c r="CQ145" i="1"/>
  <c r="CP147" i="1"/>
  <c r="CP988" i="1"/>
  <c r="CP989" i="1"/>
  <c r="CP658" i="1"/>
  <c r="CS69" i="1"/>
  <c r="CP69" i="1"/>
  <c r="CR528" i="1"/>
  <c r="CQ528" i="1"/>
  <c r="CR65" i="1"/>
  <c r="BY530" i="1"/>
  <c r="EP530" i="1" s="1"/>
  <c r="CT67" i="1"/>
  <c r="CP61" i="1"/>
  <c r="CT61" i="1"/>
  <c r="BN327" i="1"/>
  <c r="BO327" i="1" s="1"/>
  <c r="BY327" i="1" s="1"/>
  <c r="EP327" i="1" s="1"/>
  <c r="CN327" i="1"/>
  <c r="BY328" i="1"/>
  <c r="EP328" i="1" s="1"/>
  <c r="CS997" i="1"/>
  <c r="CR997" i="1"/>
  <c r="CQ997" i="1"/>
  <c r="CP997" i="1"/>
  <c r="CO997" i="1"/>
  <c r="BY999" i="1"/>
  <c r="EP999" i="1" s="1"/>
  <c r="CO1000" i="1"/>
  <c r="CT1000" i="1"/>
  <c r="CS1000" i="1"/>
  <c r="CR1000" i="1"/>
  <c r="CQ1000" i="1"/>
  <c r="CP1000" i="1"/>
  <c r="CT1002" i="1"/>
  <c r="CO1009" i="1"/>
  <c r="CT1009" i="1"/>
  <c r="CS1009" i="1"/>
  <c r="CR1009" i="1"/>
  <c r="CQ1009" i="1"/>
  <c r="CO985" i="1"/>
  <c r="CT1018" i="1"/>
  <c r="CR145" i="1"/>
  <c r="CQ147" i="1"/>
  <c r="CQ988" i="1"/>
  <c r="CR989" i="1"/>
  <c r="CQ658" i="1"/>
  <c r="CO69" i="1"/>
  <c r="CO528" i="1"/>
  <c r="CT59" i="1"/>
  <c r="CS65" i="1"/>
  <c r="CQ530" i="1"/>
  <c r="CO61" i="1"/>
  <c r="CP123" i="1"/>
  <c r="CS124" i="1"/>
  <c r="CR124" i="1"/>
  <c r="CQ124" i="1"/>
  <c r="CP124" i="1"/>
  <c r="CO124" i="1"/>
  <c r="CT997" i="1"/>
  <c r="CP1009" i="1"/>
  <c r="CT1017" i="1"/>
  <c r="CS145" i="1"/>
  <c r="CR147" i="1"/>
  <c r="CR988" i="1"/>
  <c r="CV988" i="1" s="1"/>
  <c r="CS989" i="1"/>
  <c r="CS658" i="1"/>
  <c r="CV658" i="1" s="1"/>
  <c r="CQ62" i="1"/>
  <c r="CQ69" i="1"/>
  <c r="CP528" i="1"/>
  <c r="CO531" i="1"/>
  <c r="CT531" i="1"/>
  <c r="CS531" i="1"/>
  <c r="CQ61" i="1"/>
  <c r="CT330" i="1"/>
  <c r="CQ330" i="1"/>
  <c r="CP330" i="1"/>
  <c r="CT992" i="1"/>
  <c r="BY992" i="1"/>
  <c r="EP992" i="1" s="1"/>
  <c r="CT984" i="1"/>
  <c r="CS1016" i="1"/>
  <c r="CO983" i="1"/>
  <c r="BU1016" i="1"/>
  <c r="CT145" i="1"/>
  <c r="CS147" i="1"/>
  <c r="CT988" i="1"/>
  <c r="CT989" i="1"/>
  <c r="CT658" i="1"/>
  <c r="CR69" i="1"/>
  <c r="BF528" i="1" a="1"/>
  <c r="BF528" i="1" s="1"/>
  <c r="BE528" i="1" s="1" a="1"/>
  <c r="BE528" i="1" s="1"/>
  <c r="CS528" i="1"/>
  <c r="CT532" i="1"/>
  <c r="CR61" i="1"/>
  <c r="CT329" i="1"/>
  <c r="CR1004" i="1"/>
  <c r="CT1004" i="1"/>
  <c r="CS1004" i="1"/>
  <c r="CQ1004" i="1"/>
  <c r="CT1014" i="1"/>
  <c r="CQ1014" i="1"/>
  <c r="CS1014" i="1"/>
  <c r="CR1014" i="1"/>
  <c r="CP1014" i="1"/>
  <c r="CO1014" i="1"/>
  <c r="BY991" i="1"/>
  <c r="EP991" i="1" s="1"/>
  <c r="CR994" i="1"/>
  <c r="CQ994" i="1"/>
  <c r="CO994" i="1"/>
  <c r="CT994" i="1"/>
  <c r="CS994" i="1"/>
  <c r="CT430" i="1"/>
  <c r="BY565" i="1"/>
  <c r="EP565" i="1" s="1"/>
  <c r="CT565" i="1"/>
  <c r="CS659" i="1"/>
  <c r="CP659" i="1"/>
  <c r="CT69" i="1"/>
  <c r="CP63" i="1"/>
  <c r="CT63" i="1"/>
  <c r="CT528" i="1"/>
  <c r="CQ531" i="1"/>
  <c r="BF61" i="1" a="1"/>
  <c r="BF61" i="1" s="1"/>
  <c r="BE61" i="1" s="1" a="1"/>
  <c r="BE61" i="1" s="1"/>
  <c r="CS61" i="1"/>
  <c r="CR330" i="1"/>
  <c r="CV330" i="1" s="1"/>
  <c r="CO1004" i="1"/>
  <c r="CP994" i="1"/>
  <c r="BY996" i="1"/>
  <c r="EP996" i="1" s="1"/>
  <c r="CT996" i="1"/>
  <c r="CT987" i="1"/>
  <c r="CS987" i="1"/>
  <c r="CR987" i="1"/>
  <c r="CQ987" i="1"/>
  <c r="CT144" i="1"/>
  <c r="CS144" i="1"/>
  <c r="CR144" i="1"/>
  <c r="CQ144" i="1"/>
  <c r="CP144" i="1"/>
  <c r="CO144" i="1"/>
  <c r="CR1012" i="1"/>
  <c r="CO1012" i="1"/>
  <c r="CO987" i="1"/>
  <c r="BY568" i="1"/>
  <c r="EP568" i="1" s="1"/>
  <c r="CS328" i="1"/>
  <c r="CP1012" i="1"/>
  <c r="CQ430" i="1"/>
  <c r="BY429" i="1"/>
  <c r="EP429" i="1" s="1"/>
  <c r="CT429" i="1"/>
  <c r="CP987" i="1"/>
  <c r="BY993" i="1"/>
  <c r="EP993" i="1" s="1"/>
  <c r="CT993" i="1"/>
  <c r="BY54" i="1"/>
  <c r="EP54" i="1" s="1"/>
  <c r="CT54" i="1"/>
  <c r="CT143" i="1"/>
  <c r="CS143" i="1"/>
  <c r="CR143" i="1"/>
  <c r="CQ143" i="1"/>
  <c r="CP143" i="1"/>
  <c r="CO59" i="1"/>
  <c r="CT328" i="1"/>
  <c r="CO999" i="1"/>
  <c r="CT1001" i="1"/>
  <c r="CQ1002" i="1"/>
  <c r="CO1006" i="1"/>
  <c r="CO1010" i="1"/>
  <c r="CQ1012" i="1"/>
  <c r="CQ993" i="1"/>
  <c r="CO143" i="1"/>
  <c r="CT1007" i="1"/>
  <c r="CS1012" i="1"/>
  <c r="CS1013" i="1"/>
  <c r="CV1013" i="1" s="1"/>
  <c r="CP1013" i="1"/>
  <c r="CS991" i="1"/>
  <c r="CR991" i="1"/>
  <c r="CP991" i="1"/>
  <c r="CT568" i="1"/>
  <c r="BY52" i="1"/>
  <c r="EP52" i="1" s="1"/>
  <c r="CT52" i="1"/>
  <c r="BY594" i="1"/>
  <c r="EP594" i="1" s="1"/>
  <c r="CT594" i="1"/>
  <c r="CT1012" i="1"/>
  <c r="CT566" i="1"/>
  <c r="CS566" i="1"/>
  <c r="CR566" i="1"/>
  <c r="CQ566" i="1"/>
  <c r="CP566" i="1"/>
  <c r="CO566" i="1"/>
  <c r="CR1002" i="1"/>
  <c r="CP1005" i="1"/>
  <c r="CR1006" i="1"/>
  <c r="CS1010" i="1"/>
  <c r="CQ1013" i="1"/>
  <c r="CP1015" i="1"/>
  <c r="CQ991" i="1"/>
  <c r="CT569" i="1"/>
  <c r="CS569" i="1"/>
  <c r="CR569" i="1"/>
  <c r="CQ569" i="1"/>
  <c r="CP569" i="1"/>
  <c r="BY590" i="1"/>
  <c r="EP590" i="1" s="1"/>
  <c r="CT590" i="1"/>
  <c r="CT593" i="1"/>
  <c r="CS593" i="1"/>
  <c r="CR593" i="1"/>
  <c r="CQ593" i="1"/>
  <c r="CP593" i="1"/>
  <c r="CO593" i="1"/>
  <c r="CO992" i="1"/>
  <c r="CT570" i="1"/>
  <c r="CT431" i="1"/>
  <c r="CP992" i="1"/>
  <c r="CO996" i="1"/>
  <c r="CO565" i="1"/>
  <c r="CT567" i="1"/>
  <c r="CO568" i="1"/>
  <c r="CT986" i="1"/>
  <c r="CQ992" i="1"/>
  <c r="CP996" i="1"/>
  <c r="CP565" i="1"/>
  <c r="CP568" i="1"/>
  <c r="CP53" i="1"/>
  <c r="CO429" i="1"/>
  <c r="CR992" i="1"/>
  <c r="CV992" i="1" s="1"/>
  <c r="CQ996" i="1"/>
  <c r="CQ565" i="1"/>
  <c r="CQ568" i="1"/>
  <c r="CQ53" i="1"/>
  <c r="CU431" i="1" l="1"/>
  <c r="CU1001" i="1"/>
  <c r="CS1021" i="1"/>
  <c r="CR1021" i="1"/>
  <c r="CT1021" i="1"/>
  <c r="CU1021" i="1" s="1"/>
  <c r="CQ1021" i="1"/>
  <c r="CO1021" i="1"/>
  <c r="CU1016" i="1"/>
  <c r="CU990" i="1"/>
  <c r="CU1017" i="1"/>
  <c r="CV1011" i="1"/>
  <c r="CU567" i="1"/>
  <c r="CU328" i="1"/>
  <c r="CV531" i="1"/>
  <c r="CV567" i="1"/>
  <c r="CU63" i="1"/>
  <c r="CV1010" i="1"/>
  <c r="CU532" i="1"/>
  <c r="CV570" i="1"/>
  <c r="CU1007" i="1"/>
  <c r="CV990" i="1"/>
  <c r="CV1016" i="1"/>
  <c r="CU1015" i="1"/>
  <c r="CU1010" i="1"/>
  <c r="CU530" i="1"/>
  <c r="CU659" i="1"/>
  <c r="CU991" i="1"/>
  <c r="CU1006" i="1"/>
  <c r="CV429" i="1"/>
  <c r="CU329" i="1"/>
  <c r="CU983" i="1"/>
  <c r="CV431" i="1"/>
  <c r="CV983" i="1"/>
  <c r="CV1007" i="1"/>
  <c r="CU1005" i="1"/>
  <c r="CV1001" i="1"/>
  <c r="CU989" i="1"/>
  <c r="CV1006" i="1"/>
  <c r="CU1011" i="1"/>
  <c r="CU1008" i="1"/>
  <c r="CU590" i="1"/>
  <c r="EP1016" i="1"/>
  <c r="CU1019" i="1"/>
  <c r="CU52" i="1"/>
  <c r="CU67" i="1"/>
  <c r="CU146" i="1"/>
  <c r="CU53" i="1"/>
  <c r="CV328" i="1"/>
  <c r="CV594" i="1"/>
  <c r="CU658" i="1"/>
  <c r="CV146" i="1"/>
  <c r="CU1013" i="1"/>
  <c r="CU566" i="1"/>
  <c r="CU429" i="1"/>
  <c r="CV1012" i="1"/>
  <c r="CU985" i="1"/>
  <c r="CU124" i="1"/>
  <c r="CU59" i="1"/>
  <c r="CV1002" i="1"/>
  <c r="CU145" i="1"/>
  <c r="CU1018" i="1"/>
  <c r="CV1018" i="1"/>
  <c r="CU570" i="1"/>
  <c r="CU986" i="1"/>
  <c r="CU594" i="1"/>
  <c r="CU54" i="1"/>
  <c r="CV528" i="1"/>
  <c r="BY1022" i="1"/>
  <c r="EP1022" i="1" s="1"/>
  <c r="CV145" i="1"/>
  <c r="CU1020" i="1"/>
  <c r="CU987" i="1"/>
  <c r="CV61" i="1"/>
  <c r="CV989" i="1"/>
  <c r="CV590" i="1"/>
  <c r="CV998" i="1"/>
  <c r="CV659" i="1"/>
  <c r="CU993" i="1"/>
  <c r="CU999" i="1"/>
  <c r="CU568" i="1"/>
  <c r="CU565" i="1"/>
  <c r="CV1004" i="1"/>
  <c r="CU984" i="1"/>
  <c r="CU997" i="1"/>
  <c r="CV1009" i="1"/>
  <c r="CV1000" i="1"/>
  <c r="CV997" i="1"/>
  <c r="CV985" i="1"/>
  <c r="CU1009" i="1"/>
  <c r="CU1000" i="1"/>
  <c r="CU988" i="1"/>
  <c r="CU992" i="1"/>
  <c r="CU147" i="1"/>
  <c r="CV987" i="1"/>
  <c r="CU69" i="1"/>
  <c r="CU994" i="1"/>
  <c r="CV1014" i="1"/>
  <c r="CV147" i="1"/>
  <c r="CV1019" i="1"/>
  <c r="CU996" i="1"/>
  <c r="CQ327" i="1"/>
  <c r="CP327" i="1"/>
  <c r="CO327" i="1"/>
  <c r="CT327" i="1"/>
  <c r="CS327" i="1"/>
  <c r="CR327" i="1"/>
  <c r="CV124" i="1"/>
  <c r="CV65" i="1"/>
  <c r="CU1012" i="1"/>
  <c r="CU1014" i="1"/>
  <c r="CU1002" i="1"/>
  <c r="CU61" i="1"/>
  <c r="CU62" i="1"/>
  <c r="CV67" i="1"/>
  <c r="CV991" i="1"/>
  <c r="CU143" i="1"/>
  <c r="CU528" i="1"/>
  <c r="CV69" i="1"/>
  <c r="CV123" i="1"/>
  <c r="CV1022" i="1"/>
  <c r="CU144" i="1"/>
  <c r="CU330" i="1"/>
  <c r="CV143" i="1"/>
  <c r="CV593" i="1"/>
  <c r="CU531" i="1"/>
  <c r="CU123" i="1"/>
  <c r="CV995" i="1"/>
  <c r="CV1003" i="1"/>
  <c r="CU1022" i="1"/>
  <c r="CV144" i="1"/>
  <c r="CV569" i="1"/>
  <c r="CU430" i="1"/>
  <c r="CU1004" i="1"/>
  <c r="CU569" i="1"/>
  <c r="CU593" i="1"/>
  <c r="CV566" i="1"/>
  <c r="CV994" i="1"/>
  <c r="CU995" i="1"/>
  <c r="CU65" i="1"/>
  <c r="CU1003" i="1"/>
  <c r="CV1021" i="1" l="1"/>
  <c r="CU327" i="1"/>
  <c r="CV327" i="1"/>
  <c r="EM510" i="1" l="1"/>
  <c r="DU510" i="1"/>
  <c r="DT510" i="1"/>
  <c r="DN510" i="1"/>
  <c r="DM510" i="1"/>
  <c r="DL510" i="1"/>
  <c r="DK510" i="1"/>
  <c r="DI510" i="1"/>
  <c r="DJ510" i="1" s="1"/>
  <c r="DB510" i="1"/>
  <c r="DC510" i="1" s="1"/>
  <c r="CX510" i="1"/>
  <c r="CN510" i="1"/>
  <c r="BV510" i="1"/>
  <c r="BX510" i="1" s="1"/>
  <c r="BU510" i="1"/>
  <c r="BN510" i="1"/>
  <c r="BO510" i="1" s="1"/>
  <c r="BM510" i="1"/>
  <c r="BD510" i="1"/>
  <c r="BC510" i="1"/>
  <c r="BB510" i="1"/>
  <c r="BA510" i="1"/>
  <c r="AZ510" i="1"/>
  <c r="AY510" i="1"/>
  <c r="BE510" i="1" s="1" a="1"/>
  <c r="BE510" i="1" s="1"/>
  <c r="AX510" i="1"/>
  <c r="M510" i="1"/>
  <c r="EM450" i="1"/>
  <c r="DU450" i="1"/>
  <c r="DT450" i="1"/>
  <c r="DN450" i="1"/>
  <c r="DM450" i="1"/>
  <c r="DL450" i="1"/>
  <c r="DK450" i="1"/>
  <c r="DI450" i="1"/>
  <c r="DJ450" i="1" s="1"/>
  <c r="DB450" i="1"/>
  <c r="DC450" i="1" s="1"/>
  <c r="CX450" i="1"/>
  <c r="CN450" i="1"/>
  <c r="CP450" i="1" s="1"/>
  <c r="BV450" i="1"/>
  <c r="BX450" i="1" s="1"/>
  <c r="BU450" i="1"/>
  <c r="BN450" i="1"/>
  <c r="BO450" i="1" s="1"/>
  <c r="BM450" i="1"/>
  <c r="BD450" i="1"/>
  <c r="BC450" i="1"/>
  <c r="BB450" i="1"/>
  <c r="BA450" i="1"/>
  <c r="AZ450" i="1"/>
  <c r="AY450" i="1"/>
  <c r="AX450" i="1"/>
  <c r="M450" i="1"/>
  <c r="EM449" i="1"/>
  <c r="DU449" i="1"/>
  <c r="DT449" i="1"/>
  <c r="DN449" i="1"/>
  <c r="DM449" i="1"/>
  <c r="DL449" i="1"/>
  <c r="DK449" i="1"/>
  <c r="DI449" i="1"/>
  <c r="DJ449" i="1" s="1"/>
  <c r="DB449" i="1"/>
  <c r="DC449" i="1" s="1"/>
  <c r="CX449" i="1"/>
  <c r="CN449" i="1"/>
  <c r="CS449" i="1" s="1"/>
  <c r="BV449" i="1"/>
  <c r="BX449" i="1" s="1"/>
  <c r="BU449" i="1"/>
  <c r="BN449" i="1"/>
  <c r="BO449" i="1" s="1"/>
  <c r="BM449" i="1"/>
  <c r="BD449" i="1"/>
  <c r="BC449" i="1"/>
  <c r="BB449" i="1"/>
  <c r="BA449" i="1"/>
  <c r="AZ449" i="1"/>
  <c r="AY449" i="1"/>
  <c r="AX449" i="1"/>
  <c r="M449" i="1"/>
  <c r="EM393" i="1"/>
  <c r="DU393" i="1"/>
  <c r="DT393" i="1"/>
  <c r="DN393" i="1"/>
  <c r="DM393" i="1"/>
  <c r="DL393" i="1"/>
  <c r="DK393" i="1"/>
  <c r="DI393" i="1"/>
  <c r="DJ393" i="1" s="1"/>
  <c r="DB393" i="1"/>
  <c r="DC393" i="1" s="1"/>
  <c r="CX393" i="1"/>
  <c r="CN393" i="1"/>
  <c r="CS393" i="1" s="1"/>
  <c r="BV393" i="1"/>
  <c r="BX393" i="1" s="1"/>
  <c r="BU393" i="1"/>
  <c r="BN393" i="1"/>
  <c r="BO393" i="1" s="1"/>
  <c r="BM393" i="1"/>
  <c r="BD393" i="1"/>
  <c r="BC393" i="1"/>
  <c r="BB393" i="1"/>
  <c r="BA393" i="1"/>
  <c r="AZ393" i="1"/>
  <c r="AY393" i="1"/>
  <c r="AX393" i="1"/>
  <c r="M393" i="1"/>
  <c r="EM392" i="1"/>
  <c r="DU392" i="1"/>
  <c r="DT392" i="1"/>
  <c r="DN392" i="1"/>
  <c r="DM392" i="1"/>
  <c r="DL392" i="1"/>
  <c r="DK392" i="1"/>
  <c r="DI392" i="1"/>
  <c r="DJ392" i="1" s="1"/>
  <c r="DB392" i="1"/>
  <c r="DC392" i="1" s="1"/>
  <c r="CX392" i="1"/>
  <c r="CN392" i="1"/>
  <c r="CR392" i="1" s="1"/>
  <c r="BV392" i="1"/>
  <c r="BX392" i="1" s="1"/>
  <c r="BU392" i="1"/>
  <c r="BN392" i="1"/>
  <c r="BO392" i="1" s="1"/>
  <c r="BM392" i="1"/>
  <c r="BD392" i="1"/>
  <c r="BC392" i="1"/>
  <c r="BB392" i="1"/>
  <c r="BA392" i="1"/>
  <c r="AZ392" i="1"/>
  <c r="AY392" i="1"/>
  <c r="AX392" i="1"/>
  <c r="M392" i="1"/>
  <c r="EM378" i="1"/>
  <c r="DU378" i="1"/>
  <c r="DT378" i="1"/>
  <c r="DN378" i="1"/>
  <c r="DM378" i="1"/>
  <c r="DL378" i="1"/>
  <c r="DK378" i="1"/>
  <c r="DI378" i="1"/>
  <c r="DJ378" i="1" s="1"/>
  <c r="DB378" i="1"/>
  <c r="DC378" i="1" s="1"/>
  <c r="CX378" i="1"/>
  <c r="CN378" i="1"/>
  <c r="CP378" i="1" s="1"/>
  <c r="BV378" i="1"/>
  <c r="BX378" i="1" s="1"/>
  <c r="BU378" i="1"/>
  <c r="BN378" i="1"/>
  <c r="BO378" i="1" s="1"/>
  <c r="BM378" i="1"/>
  <c r="BD378" i="1"/>
  <c r="BC378" i="1"/>
  <c r="BB378" i="1"/>
  <c r="BA378" i="1"/>
  <c r="AZ378" i="1"/>
  <c r="AY378" i="1"/>
  <c r="AX378" i="1"/>
  <c r="M378" i="1"/>
  <c r="EM698" i="1"/>
  <c r="DU698" i="1"/>
  <c r="DT698" i="1"/>
  <c r="DN698" i="1"/>
  <c r="DM698" i="1"/>
  <c r="DL698" i="1"/>
  <c r="DK698" i="1"/>
  <c r="DI698" i="1"/>
  <c r="DJ698" i="1" s="1"/>
  <c r="DB698" i="1"/>
  <c r="DC698" i="1" s="1"/>
  <c r="CX698" i="1"/>
  <c r="CN698" i="1"/>
  <c r="CO698" i="1" s="1"/>
  <c r="BV698" i="1"/>
  <c r="BX698" i="1" s="1"/>
  <c r="BU698" i="1"/>
  <c r="BN698" i="1"/>
  <c r="BO698" i="1" s="1"/>
  <c r="BM698" i="1"/>
  <c r="BD698" i="1"/>
  <c r="BC698" i="1"/>
  <c r="BB698" i="1"/>
  <c r="BA698" i="1"/>
  <c r="AZ698" i="1"/>
  <c r="AY698" i="1"/>
  <c r="BE698" i="1" s="1" a="1"/>
  <c r="BE698" i="1" s="1"/>
  <c r="AX698" i="1"/>
  <c r="M698" i="1"/>
  <c r="EM697" i="1"/>
  <c r="DU697" i="1"/>
  <c r="DT697" i="1"/>
  <c r="DN697" i="1"/>
  <c r="DM697" i="1"/>
  <c r="DL697" i="1"/>
  <c r="DK697" i="1"/>
  <c r="DI697" i="1"/>
  <c r="DJ697" i="1" s="1"/>
  <c r="DB697" i="1"/>
  <c r="DC697" i="1" s="1"/>
  <c r="CX697" i="1"/>
  <c r="CN697" i="1"/>
  <c r="CR697" i="1" s="1"/>
  <c r="BV697" i="1"/>
  <c r="BX697" i="1" s="1"/>
  <c r="BU697" i="1"/>
  <c r="BN697" i="1"/>
  <c r="BO697" i="1" s="1"/>
  <c r="BM697" i="1"/>
  <c r="BD697" i="1"/>
  <c r="BC697" i="1"/>
  <c r="BB697" i="1"/>
  <c r="BA697" i="1"/>
  <c r="AZ697" i="1"/>
  <c r="AY697" i="1"/>
  <c r="BE697" i="1" s="1" a="1"/>
  <c r="BE697" i="1" s="1"/>
  <c r="AX697" i="1"/>
  <c r="M697" i="1"/>
  <c r="EM486" i="1"/>
  <c r="DU486" i="1"/>
  <c r="DT486" i="1"/>
  <c r="DN486" i="1"/>
  <c r="DM486" i="1"/>
  <c r="DL486" i="1"/>
  <c r="DK486" i="1"/>
  <c r="DI486" i="1"/>
  <c r="DJ486" i="1" s="1"/>
  <c r="DB486" i="1"/>
  <c r="DC486" i="1" s="1"/>
  <c r="CX486" i="1"/>
  <c r="CN486" i="1"/>
  <c r="BV486" i="1"/>
  <c r="BX486" i="1" s="1"/>
  <c r="BY486" i="1" s="1"/>
  <c r="BU486" i="1"/>
  <c r="BD486" i="1"/>
  <c r="BC486" i="1"/>
  <c r="BB486" i="1"/>
  <c r="BA486" i="1"/>
  <c r="AZ486" i="1"/>
  <c r="AY486" i="1"/>
  <c r="AX486" i="1"/>
  <c r="M486" i="1"/>
  <c r="EM512" i="1"/>
  <c r="DU512" i="1"/>
  <c r="DT512" i="1"/>
  <c r="DN512" i="1"/>
  <c r="DM512" i="1"/>
  <c r="DL512" i="1"/>
  <c r="DK512" i="1"/>
  <c r="DI512" i="1"/>
  <c r="DJ512" i="1" s="1"/>
  <c r="DB512" i="1"/>
  <c r="DC512" i="1" s="1"/>
  <c r="CX512" i="1"/>
  <c r="CN512" i="1"/>
  <c r="CR512" i="1" s="1"/>
  <c r="BV512" i="1"/>
  <c r="BX512" i="1" s="1"/>
  <c r="BY512" i="1" s="1"/>
  <c r="BU512" i="1"/>
  <c r="BD512" i="1"/>
  <c r="BC512" i="1"/>
  <c r="BB512" i="1"/>
  <c r="BA512" i="1"/>
  <c r="AZ512" i="1"/>
  <c r="AY512" i="1"/>
  <c r="BE512" i="1" s="1" a="1"/>
  <c r="BE512" i="1" s="1"/>
  <c r="AX512" i="1"/>
  <c r="M512" i="1"/>
  <c r="EM485" i="1"/>
  <c r="DU485" i="1"/>
  <c r="DT485" i="1"/>
  <c r="DN485" i="1"/>
  <c r="DM485" i="1"/>
  <c r="DL485" i="1"/>
  <c r="DK485" i="1"/>
  <c r="DI485" i="1"/>
  <c r="DJ485" i="1" s="1"/>
  <c r="DB485" i="1"/>
  <c r="DC485" i="1" s="1"/>
  <c r="CX485" i="1"/>
  <c r="CN485" i="1"/>
  <c r="CR485" i="1" s="1"/>
  <c r="BV485" i="1"/>
  <c r="BX485" i="1" s="1"/>
  <c r="BU485" i="1"/>
  <c r="BD485" i="1"/>
  <c r="BC485" i="1"/>
  <c r="BB485" i="1"/>
  <c r="BA485" i="1"/>
  <c r="AZ485" i="1"/>
  <c r="AY485" i="1"/>
  <c r="AX485" i="1"/>
  <c r="M485" i="1"/>
  <c r="EM484" i="1"/>
  <c r="DU484" i="1"/>
  <c r="DT484" i="1"/>
  <c r="DN484" i="1"/>
  <c r="DM484" i="1"/>
  <c r="DL484" i="1"/>
  <c r="DK484" i="1"/>
  <c r="DI484" i="1"/>
  <c r="DJ484" i="1" s="1"/>
  <c r="DB484" i="1"/>
  <c r="DC484" i="1" s="1"/>
  <c r="CX484" i="1"/>
  <c r="CN484" i="1"/>
  <c r="CR484" i="1" s="1"/>
  <c r="BV484" i="1"/>
  <c r="BX484" i="1" s="1"/>
  <c r="BY484" i="1" s="1"/>
  <c r="BU484" i="1"/>
  <c r="BD484" i="1"/>
  <c r="BC484" i="1"/>
  <c r="BB484" i="1"/>
  <c r="BA484" i="1"/>
  <c r="AZ484" i="1"/>
  <c r="AY484" i="1"/>
  <c r="AX484" i="1"/>
  <c r="M484" i="1"/>
  <c r="EM483" i="1"/>
  <c r="DU483" i="1"/>
  <c r="DT483" i="1"/>
  <c r="DN483" i="1"/>
  <c r="DM483" i="1"/>
  <c r="DL483" i="1"/>
  <c r="DK483" i="1"/>
  <c r="DI483" i="1"/>
  <c r="DJ483" i="1" s="1"/>
  <c r="DB483" i="1"/>
  <c r="DC483" i="1" s="1"/>
  <c r="CX483" i="1"/>
  <c r="CN483" i="1"/>
  <c r="CR483" i="1" s="1"/>
  <c r="BV483" i="1"/>
  <c r="BX483" i="1" s="1"/>
  <c r="BY483" i="1" s="1"/>
  <c r="BU483" i="1"/>
  <c r="BD483" i="1"/>
  <c r="BC483" i="1"/>
  <c r="BB483" i="1"/>
  <c r="BA483" i="1"/>
  <c r="AZ483" i="1"/>
  <c r="AY483" i="1"/>
  <c r="AX483" i="1"/>
  <c r="M483" i="1"/>
  <c r="EM511" i="1"/>
  <c r="DU511" i="1"/>
  <c r="DT511" i="1"/>
  <c r="DN511" i="1"/>
  <c r="DM511" i="1"/>
  <c r="DL511" i="1"/>
  <c r="DK511" i="1"/>
  <c r="DI511" i="1"/>
  <c r="DJ511" i="1" s="1"/>
  <c r="DB511" i="1"/>
  <c r="DC511" i="1" s="1"/>
  <c r="CX511" i="1"/>
  <c r="CN511" i="1"/>
  <c r="CS511" i="1" s="1"/>
  <c r="BV511" i="1"/>
  <c r="BX511" i="1" s="1"/>
  <c r="BU511" i="1"/>
  <c r="BD511" i="1"/>
  <c r="BC511" i="1"/>
  <c r="BB511" i="1"/>
  <c r="BA511" i="1"/>
  <c r="AZ511" i="1"/>
  <c r="AY511" i="1"/>
  <c r="BE511" i="1" s="1" a="1"/>
  <c r="BE511" i="1" s="1"/>
  <c r="AX511" i="1"/>
  <c r="M511" i="1"/>
  <c r="EM453" i="1"/>
  <c r="DU453" i="1"/>
  <c r="DT453" i="1"/>
  <c r="DN453" i="1"/>
  <c r="DM453" i="1"/>
  <c r="DL453" i="1"/>
  <c r="DK453" i="1"/>
  <c r="DI453" i="1"/>
  <c r="DJ453" i="1" s="1"/>
  <c r="DB453" i="1"/>
  <c r="DC453" i="1" s="1"/>
  <c r="CX453" i="1"/>
  <c r="CN453" i="1"/>
  <c r="CS453" i="1" s="1"/>
  <c r="BV453" i="1"/>
  <c r="BX453" i="1" s="1"/>
  <c r="BY453" i="1" s="1"/>
  <c r="BU453" i="1"/>
  <c r="BD453" i="1"/>
  <c r="BC453" i="1"/>
  <c r="BB453" i="1"/>
  <c r="BA453" i="1"/>
  <c r="AZ453" i="1"/>
  <c r="AY453" i="1"/>
  <c r="AX453" i="1"/>
  <c r="M453" i="1"/>
  <c r="EM451" i="1"/>
  <c r="DU451" i="1"/>
  <c r="DT451" i="1"/>
  <c r="DN451" i="1"/>
  <c r="DM451" i="1"/>
  <c r="DL451" i="1"/>
  <c r="DK451" i="1"/>
  <c r="DI451" i="1"/>
  <c r="DJ451" i="1" s="1"/>
  <c r="DB451" i="1"/>
  <c r="DC451" i="1" s="1"/>
  <c r="CX451" i="1"/>
  <c r="CN451" i="1"/>
  <c r="BV451" i="1"/>
  <c r="BX451" i="1" s="1"/>
  <c r="BY451" i="1" s="1"/>
  <c r="BU451" i="1"/>
  <c r="BD451" i="1"/>
  <c r="BC451" i="1"/>
  <c r="BB451" i="1"/>
  <c r="BA451" i="1"/>
  <c r="AZ451" i="1"/>
  <c r="AY451" i="1"/>
  <c r="AX451" i="1"/>
  <c r="M451" i="1"/>
  <c r="EM97" i="1"/>
  <c r="DU97" i="1"/>
  <c r="DT97" i="1"/>
  <c r="DN97" i="1"/>
  <c r="DM97" i="1"/>
  <c r="DL97" i="1"/>
  <c r="DK97" i="1"/>
  <c r="DI97" i="1"/>
  <c r="DJ97" i="1" s="1"/>
  <c r="DB97" i="1"/>
  <c r="DC97" i="1" s="1"/>
  <c r="CX97" i="1"/>
  <c r="CN97" i="1"/>
  <c r="CS97" i="1" s="1"/>
  <c r="BV97" i="1"/>
  <c r="BX97" i="1" s="1"/>
  <c r="BU97" i="1"/>
  <c r="BN97" i="1"/>
  <c r="BO97" i="1" s="1"/>
  <c r="BM97" i="1"/>
  <c r="BD97" i="1"/>
  <c r="BC97" i="1"/>
  <c r="BB97" i="1"/>
  <c r="BA97" i="1"/>
  <c r="AZ97" i="1"/>
  <c r="AY97" i="1"/>
  <c r="AX97" i="1"/>
  <c r="M97" i="1"/>
  <c r="EM96" i="1"/>
  <c r="DU96" i="1"/>
  <c r="DT96" i="1"/>
  <c r="DN96" i="1"/>
  <c r="DM96" i="1"/>
  <c r="DL96" i="1"/>
  <c r="DK96" i="1"/>
  <c r="DI96" i="1"/>
  <c r="DJ96" i="1" s="1"/>
  <c r="DB96" i="1"/>
  <c r="DC96" i="1" s="1"/>
  <c r="CX96" i="1"/>
  <c r="CN96" i="1"/>
  <c r="BV96" i="1"/>
  <c r="BX96" i="1" s="1"/>
  <c r="BU96" i="1"/>
  <c r="BN96" i="1"/>
  <c r="BO96" i="1" s="1"/>
  <c r="BM96" i="1"/>
  <c r="BD96" i="1"/>
  <c r="BC96" i="1"/>
  <c r="BB96" i="1"/>
  <c r="BA96" i="1"/>
  <c r="AZ96" i="1"/>
  <c r="AY96" i="1"/>
  <c r="AX96" i="1"/>
  <c r="M96" i="1"/>
  <c r="EM95" i="1"/>
  <c r="DU95" i="1"/>
  <c r="DT95" i="1"/>
  <c r="DN95" i="1"/>
  <c r="DM95" i="1"/>
  <c r="DL95" i="1"/>
  <c r="DK95" i="1"/>
  <c r="DI95" i="1"/>
  <c r="DJ95" i="1" s="1"/>
  <c r="DB95" i="1"/>
  <c r="DC95" i="1" s="1"/>
  <c r="CX95" i="1"/>
  <c r="CN95" i="1"/>
  <c r="CS95" i="1" s="1"/>
  <c r="BV95" i="1"/>
  <c r="BX95" i="1" s="1"/>
  <c r="BU95" i="1"/>
  <c r="BN95" i="1"/>
  <c r="BO95" i="1" s="1"/>
  <c r="BM95" i="1"/>
  <c r="BD95" i="1"/>
  <c r="BC95" i="1"/>
  <c r="BB95" i="1"/>
  <c r="BA95" i="1"/>
  <c r="AZ95" i="1"/>
  <c r="AY95" i="1"/>
  <c r="AX95" i="1"/>
  <c r="M95" i="1"/>
  <c r="EM94" i="1"/>
  <c r="DU94" i="1"/>
  <c r="DT94" i="1"/>
  <c r="DN94" i="1"/>
  <c r="DM94" i="1"/>
  <c r="DL94" i="1"/>
  <c r="DK94" i="1"/>
  <c r="DI94" i="1"/>
  <c r="DJ94" i="1" s="1"/>
  <c r="DB94" i="1"/>
  <c r="DC94" i="1" s="1"/>
  <c r="CX94" i="1"/>
  <c r="CN94" i="1"/>
  <c r="CR94" i="1" s="1"/>
  <c r="BV94" i="1"/>
  <c r="BX94" i="1" s="1"/>
  <c r="BU94" i="1"/>
  <c r="BN94" i="1"/>
  <c r="BO94" i="1" s="1"/>
  <c r="BM94" i="1"/>
  <c r="BD94" i="1"/>
  <c r="BC94" i="1"/>
  <c r="BB94" i="1"/>
  <c r="BA94" i="1"/>
  <c r="AZ94" i="1"/>
  <c r="AY94" i="1"/>
  <c r="AX94" i="1"/>
  <c r="M94" i="1"/>
  <c r="EM93" i="1"/>
  <c r="DU93" i="1"/>
  <c r="DT93" i="1"/>
  <c r="DN93" i="1"/>
  <c r="DM93" i="1"/>
  <c r="DL93" i="1"/>
  <c r="DK93" i="1"/>
  <c r="DI93" i="1"/>
  <c r="DJ93" i="1" s="1"/>
  <c r="DB93" i="1"/>
  <c r="DC93" i="1" s="1"/>
  <c r="CX93" i="1"/>
  <c r="CN93" i="1"/>
  <c r="CR93" i="1" s="1"/>
  <c r="BV93" i="1"/>
  <c r="BX93" i="1" s="1"/>
  <c r="BU93" i="1"/>
  <c r="BN93" i="1"/>
  <c r="BO93" i="1" s="1"/>
  <c r="BM93" i="1"/>
  <c r="BD93" i="1"/>
  <c r="BC93" i="1"/>
  <c r="BB93" i="1"/>
  <c r="BA93" i="1"/>
  <c r="AZ93" i="1"/>
  <c r="AY93" i="1"/>
  <c r="AX93" i="1"/>
  <c r="M93" i="1"/>
  <c r="EM104" i="1"/>
  <c r="DU104" i="1"/>
  <c r="DT104" i="1"/>
  <c r="DN104" i="1"/>
  <c r="DM104" i="1"/>
  <c r="DL104" i="1"/>
  <c r="DK104" i="1"/>
  <c r="DI104" i="1"/>
  <c r="DJ104" i="1" s="1"/>
  <c r="DB104" i="1"/>
  <c r="DC104" i="1" s="1"/>
  <c r="CX104" i="1"/>
  <c r="CN104" i="1"/>
  <c r="BV104" i="1"/>
  <c r="BX104" i="1" s="1"/>
  <c r="BU104" i="1"/>
  <c r="BN104" i="1"/>
  <c r="BO104" i="1" s="1"/>
  <c r="BM104" i="1"/>
  <c r="BD104" i="1"/>
  <c r="BC104" i="1"/>
  <c r="BB104" i="1"/>
  <c r="BA104" i="1"/>
  <c r="AZ104" i="1"/>
  <c r="AY104" i="1"/>
  <c r="AX104" i="1"/>
  <c r="M104" i="1"/>
  <c r="EM701" i="1"/>
  <c r="DU701" i="1"/>
  <c r="DT701" i="1"/>
  <c r="DN701" i="1"/>
  <c r="DM701" i="1"/>
  <c r="DL701" i="1"/>
  <c r="DK701" i="1"/>
  <c r="DI701" i="1"/>
  <c r="DJ701" i="1" s="1"/>
  <c r="DB701" i="1"/>
  <c r="DC701" i="1" s="1"/>
  <c r="CX701" i="1"/>
  <c r="CN701" i="1"/>
  <c r="CO701" i="1" s="1"/>
  <c r="BV701" i="1"/>
  <c r="BX701" i="1" s="1"/>
  <c r="BU701" i="1"/>
  <c r="BN701" i="1"/>
  <c r="BO701" i="1" s="1"/>
  <c r="BM701" i="1"/>
  <c r="BD701" i="1"/>
  <c r="BC701" i="1"/>
  <c r="BB701" i="1"/>
  <c r="BA701" i="1"/>
  <c r="AZ701" i="1"/>
  <c r="AY701" i="1"/>
  <c r="BE701" i="1" s="1" a="1"/>
  <c r="BE701" i="1" s="1"/>
  <c r="AX701" i="1"/>
  <c r="M701" i="1"/>
  <c r="EM700" i="1"/>
  <c r="DU700" i="1"/>
  <c r="DT700" i="1"/>
  <c r="DN700" i="1"/>
  <c r="DM700" i="1"/>
  <c r="DL700" i="1"/>
  <c r="DK700" i="1"/>
  <c r="DI700" i="1"/>
  <c r="DJ700" i="1" s="1"/>
  <c r="DB700" i="1"/>
  <c r="DC700" i="1" s="1"/>
  <c r="CX700" i="1"/>
  <c r="CN700" i="1"/>
  <c r="CS700" i="1" s="1"/>
  <c r="BV700" i="1"/>
  <c r="BX700" i="1" s="1"/>
  <c r="BU700" i="1"/>
  <c r="BN700" i="1"/>
  <c r="BO700" i="1" s="1"/>
  <c r="BM700" i="1"/>
  <c r="BD700" i="1"/>
  <c r="BC700" i="1"/>
  <c r="BB700" i="1"/>
  <c r="BA700" i="1"/>
  <c r="AZ700" i="1"/>
  <c r="AY700" i="1"/>
  <c r="BE700" i="1" s="1" a="1"/>
  <c r="BE700" i="1" s="1"/>
  <c r="AX700" i="1"/>
  <c r="M700" i="1"/>
  <c r="EM103" i="1"/>
  <c r="DU103" i="1"/>
  <c r="DT103" i="1"/>
  <c r="DN103" i="1"/>
  <c r="DM103" i="1"/>
  <c r="DL103" i="1"/>
  <c r="DK103" i="1"/>
  <c r="DI103" i="1"/>
  <c r="DJ103" i="1" s="1"/>
  <c r="DB103" i="1"/>
  <c r="DC103" i="1" s="1"/>
  <c r="CX103" i="1"/>
  <c r="CN103" i="1"/>
  <c r="CR103" i="1" s="1"/>
  <c r="BV103" i="1"/>
  <c r="BX103" i="1" s="1"/>
  <c r="BU103" i="1"/>
  <c r="BN103" i="1"/>
  <c r="BO103" i="1" s="1"/>
  <c r="BM103" i="1"/>
  <c r="BD103" i="1"/>
  <c r="BC103" i="1"/>
  <c r="BB103" i="1"/>
  <c r="BA103" i="1"/>
  <c r="AZ103" i="1"/>
  <c r="AY103" i="1"/>
  <c r="AX103" i="1"/>
  <c r="M103" i="1"/>
  <c r="EM102" i="1"/>
  <c r="DU102" i="1"/>
  <c r="DT102" i="1"/>
  <c r="DN102" i="1"/>
  <c r="DM102" i="1"/>
  <c r="DL102" i="1"/>
  <c r="DK102" i="1"/>
  <c r="DI102" i="1"/>
  <c r="DJ102" i="1" s="1"/>
  <c r="DB102" i="1"/>
  <c r="DC102" i="1" s="1"/>
  <c r="CX102" i="1"/>
  <c r="CN102" i="1"/>
  <c r="BV102" i="1"/>
  <c r="BX102" i="1" s="1"/>
  <c r="BU102" i="1"/>
  <c r="BN102" i="1"/>
  <c r="BO102" i="1" s="1"/>
  <c r="BM102" i="1"/>
  <c r="BD102" i="1"/>
  <c r="BC102" i="1"/>
  <c r="BB102" i="1"/>
  <c r="BA102" i="1"/>
  <c r="AZ102" i="1"/>
  <c r="AY102" i="1"/>
  <c r="AX102" i="1"/>
  <c r="M102" i="1"/>
  <c r="EM101" i="1"/>
  <c r="DU101" i="1"/>
  <c r="DT101" i="1"/>
  <c r="DN101" i="1"/>
  <c r="DM101" i="1"/>
  <c r="DL101" i="1"/>
  <c r="DK101" i="1"/>
  <c r="DI101" i="1"/>
  <c r="DJ101" i="1" s="1"/>
  <c r="DB101" i="1"/>
  <c r="DC101" i="1" s="1"/>
  <c r="CX101" i="1"/>
  <c r="CN101" i="1"/>
  <c r="CS101" i="1" s="1"/>
  <c r="BV101" i="1"/>
  <c r="BX101" i="1" s="1"/>
  <c r="BU101" i="1"/>
  <c r="BN101" i="1"/>
  <c r="BO101" i="1" s="1"/>
  <c r="BM101" i="1"/>
  <c r="BD101" i="1"/>
  <c r="BC101" i="1"/>
  <c r="BB101" i="1"/>
  <c r="BA101" i="1"/>
  <c r="AZ101" i="1"/>
  <c r="AY101" i="1"/>
  <c r="AX101" i="1"/>
  <c r="M101" i="1"/>
  <c r="EM100" i="1"/>
  <c r="DU100" i="1"/>
  <c r="DT100" i="1"/>
  <c r="DN100" i="1"/>
  <c r="DM100" i="1"/>
  <c r="DL100" i="1"/>
  <c r="DK100" i="1"/>
  <c r="DI100" i="1"/>
  <c r="DJ100" i="1" s="1"/>
  <c r="DB100" i="1"/>
  <c r="DC100" i="1" s="1"/>
  <c r="CX100" i="1"/>
  <c r="CN100" i="1"/>
  <c r="CS100" i="1" s="1"/>
  <c r="BV100" i="1"/>
  <c r="BX100" i="1" s="1"/>
  <c r="BU100" i="1"/>
  <c r="BN100" i="1"/>
  <c r="BO100" i="1" s="1"/>
  <c r="BM100" i="1"/>
  <c r="BD100" i="1"/>
  <c r="BC100" i="1"/>
  <c r="BB100" i="1"/>
  <c r="BA100" i="1"/>
  <c r="AZ100" i="1"/>
  <c r="AY100" i="1"/>
  <c r="AX100" i="1"/>
  <c r="M100" i="1"/>
  <c r="EM99" i="1"/>
  <c r="DU99" i="1"/>
  <c r="DT99" i="1"/>
  <c r="DN99" i="1"/>
  <c r="DM99" i="1"/>
  <c r="DL99" i="1"/>
  <c r="DK99" i="1"/>
  <c r="DI99" i="1"/>
  <c r="DJ99" i="1" s="1"/>
  <c r="DB99" i="1"/>
  <c r="DC99" i="1" s="1"/>
  <c r="CX99" i="1"/>
  <c r="CN99" i="1"/>
  <c r="CP99" i="1" s="1"/>
  <c r="BV99" i="1"/>
  <c r="BX99" i="1" s="1"/>
  <c r="BU99" i="1"/>
  <c r="BN99" i="1"/>
  <c r="BO99" i="1" s="1"/>
  <c r="BM99" i="1"/>
  <c r="BD99" i="1"/>
  <c r="BC99" i="1"/>
  <c r="BB99" i="1"/>
  <c r="BA99" i="1"/>
  <c r="AZ99" i="1"/>
  <c r="AY99" i="1"/>
  <c r="AX99" i="1"/>
  <c r="M99" i="1"/>
  <c r="EM504" i="1"/>
  <c r="DU504" i="1"/>
  <c r="DT504" i="1"/>
  <c r="DN504" i="1"/>
  <c r="DM504" i="1"/>
  <c r="DL504" i="1"/>
  <c r="DK504" i="1"/>
  <c r="DI504" i="1"/>
  <c r="DJ504" i="1" s="1"/>
  <c r="DB504" i="1"/>
  <c r="DC504" i="1" s="1"/>
  <c r="CX504" i="1"/>
  <c r="CN504" i="1"/>
  <c r="CR504" i="1" s="1"/>
  <c r="BV504" i="1"/>
  <c r="BX504" i="1" s="1"/>
  <c r="BU504" i="1"/>
  <c r="BN504" i="1"/>
  <c r="BO504" i="1" s="1"/>
  <c r="BM504" i="1"/>
  <c r="BD504" i="1"/>
  <c r="BC504" i="1"/>
  <c r="BB504" i="1"/>
  <c r="BA504" i="1"/>
  <c r="AZ504" i="1"/>
  <c r="BF504" i="1" s="1" a="1"/>
  <c r="BF504" i="1" s="1"/>
  <c r="AY504" i="1"/>
  <c r="BE504" i="1" s="1" a="1"/>
  <c r="BE504" i="1" s="1"/>
  <c r="AX504" i="1"/>
  <c r="M504" i="1"/>
  <c r="EM503" i="1"/>
  <c r="DU503" i="1"/>
  <c r="DT503" i="1"/>
  <c r="DN503" i="1"/>
  <c r="DM503" i="1"/>
  <c r="DL503" i="1"/>
  <c r="DK503" i="1"/>
  <c r="DI503" i="1"/>
  <c r="DJ503" i="1" s="1"/>
  <c r="DB503" i="1"/>
  <c r="DC503" i="1" s="1"/>
  <c r="CX503" i="1"/>
  <c r="CN503" i="1"/>
  <c r="CR503" i="1" s="1"/>
  <c r="BV503" i="1"/>
  <c r="BX503" i="1" s="1"/>
  <c r="BU503" i="1"/>
  <c r="BN503" i="1"/>
  <c r="BO503" i="1" s="1"/>
  <c r="BM503" i="1"/>
  <c r="BD503" i="1"/>
  <c r="BC503" i="1"/>
  <c r="BB503" i="1"/>
  <c r="BA503" i="1"/>
  <c r="AZ503" i="1"/>
  <c r="AY503" i="1"/>
  <c r="BE503" i="1" s="1" a="1"/>
  <c r="BE503" i="1" s="1"/>
  <c r="AX503" i="1"/>
  <c r="M503" i="1"/>
  <c r="EM495" i="1"/>
  <c r="DU495" i="1"/>
  <c r="DT495" i="1"/>
  <c r="DN495" i="1"/>
  <c r="DM495" i="1"/>
  <c r="DL495" i="1"/>
  <c r="DK495" i="1"/>
  <c r="DI495" i="1"/>
  <c r="DJ495" i="1" s="1"/>
  <c r="DB495" i="1"/>
  <c r="DC495" i="1" s="1"/>
  <c r="CX495" i="1"/>
  <c r="CN495" i="1"/>
  <c r="CP495" i="1" s="1"/>
  <c r="BV495" i="1"/>
  <c r="BX495" i="1" s="1"/>
  <c r="BU495" i="1"/>
  <c r="BN495" i="1"/>
  <c r="BO495" i="1" s="1"/>
  <c r="BM495" i="1"/>
  <c r="BD495" i="1"/>
  <c r="BC495" i="1"/>
  <c r="BB495" i="1"/>
  <c r="BA495" i="1"/>
  <c r="AZ495" i="1"/>
  <c r="AY495" i="1"/>
  <c r="BE495" i="1" s="1" a="1"/>
  <c r="BE495" i="1" s="1"/>
  <c r="AX495" i="1"/>
  <c r="M495" i="1"/>
  <c r="EM122" i="1"/>
  <c r="DU122" i="1"/>
  <c r="DT122" i="1"/>
  <c r="DN122" i="1"/>
  <c r="DM122" i="1"/>
  <c r="DL122" i="1"/>
  <c r="DK122" i="1"/>
  <c r="DI122" i="1"/>
  <c r="DJ122" i="1" s="1"/>
  <c r="DB122" i="1"/>
  <c r="DC122" i="1" s="1"/>
  <c r="CX122" i="1"/>
  <c r="CN122" i="1"/>
  <c r="CR122" i="1" s="1"/>
  <c r="BV122" i="1"/>
  <c r="BX122" i="1" s="1"/>
  <c r="BY122" i="1" s="1"/>
  <c r="BU122" i="1"/>
  <c r="BD122" i="1"/>
  <c r="BC122" i="1"/>
  <c r="BB122" i="1"/>
  <c r="BA122" i="1"/>
  <c r="AZ122" i="1"/>
  <c r="AY122" i="1"/>
  <c r="AX122" i="1"/>
  <c r="M122" i="1"/>
  <c r="EM121" i="1"/>
  <c r="DU121" i="1"/>
  <c r="DT121" i="1"/>
  <c r="DN121" i="1"/>
  <c r="DM121" i="1"/>
  <c r="DL121" i="1"/>
  <c r="DK121" i="1"/>
  <c r="DI121" i="1"/>
  <c r="DJ121" i="1" s="1"/>
  <c r="DB121" i="1"/>
  <c r="DC121" i="1" s="1"/>
  <c r="CX121" i="1"/>
  <c r="CN121" i="1"/>
  <c r="CR121" i="1" s="1"/>
  <c r="BV121" i="1"/>
  <c r="BX121" i="1" s="1"/>
  <c r="BY121" i="1" s="1"/>
  <c r="BU121" i="1"/>
  <c r="BD121" i="1"/>
  <c r="BC121" i="1"/>
  <c r="BB121" i="1"/>
  <c r="BA121" i="1"/>
  <c r="AZ121" i="1"/>
  <c r="AY121" i="1"/>
  <c r="AX121" i="1"/>
  <c r="M121" i="1"/>
  <c r="EM706" i="1"/>
  <c r="DU706" i="1"/>
  <c r="DT706" i="1"/>
  <c r="DN706" i="1"/>
  <c r="DM706" i="1"/>
  <c r="DL706" i="1"/>
  <c r="DK706" i="1"/>
  <c r="DI706" i="1"/>
  <c r="DJ706" i="1" s="1"/>
  <c r="DB706" i="1"/>
  <c r="DC706" i="1" s="1"/>
  <c r="CX706" i="1"/>
  <c r="CN706" i="1"/>
  <c r="BV706" i="1"/>
  <c r="BX706" i="1" s="1"/>
  <c r="BY706" i="1" s="1"/>
  <c r="BU706" i="1"/>
  <c r="BD706" i="1"/>
  <c r="BC706" i="1"/>
  <c r="BB706" i="1"/>
  <c r="BA706" i="1"/>
  <c r="AZ706" i="1"/>
  <c r="AY706" i="1"/>
  <c r="BE706" i="1" s="1" a="1"/>
  <c r="BE706" i="1" s="1"/>
  <c r="AX706" i="1"/>
  <c r="M706" i="1"/>
  <c r="EM705" i="1"/>
  <c r="DU705" i="1"/>
  <c r="DT705" i="1"/>
  <c r="DN705" i="1"/>
  <c r="DM705" i="1"/>
  <c r="DL705" i="1"/>
  <c r="DK705" i="1"/>
  <c r="DI705" i="1"/>
  <c r="DJ705" i="1" s="1"/>
  <c r="DB705" i="1"/>
  <c r="DC705" i="1" s="1"/>
  <c r="CX705" i="1"/>
  <c r="CN705" i="1"/>
  <c r="CS705" i="1" s="1"/>
  <c r="BV705" i="1"/>
  <c r="BX705" i="1" s="1"/>
  <c r="BY705" i="1" s="1"/>
  <c r="BU705" i="1"/>
  <c r="BD705" i="1"/>
  <c r="BC705" i="1"/>
  <c r="BB705" i="1"/>
  <c r="BA705" i="1"/>
  <c r="AZ705" i="1"/>
  <c r="AY705" i="1"/>
  <c r="BE705" i="1" s="1" a="1"/>
  <c r="BE705" i="1" s="1"/>
  <c r="AX705" i="1"/>
  <c r="M705" i="1"/>
  <c r="EM120" i="1"/>
  <c r="DU120" i="1"/>
  <c r="DT120" i="1"/>
  <c r="DN120" i="1"/>
  <c r="DM120" i="1"/>
  <c r="DL120" i="1"/>
  <c r="DK120" i="1"/>
  <c r="DI120" i="1"/>
  <c r="DJ120" i="1" s="1"/>
  <c r="DB120" i="1"/>
  <c r="DC120" i="1" s="1"/>
  <c r="CX120" i="1"/>
  <c r="CN120" i="1"/>
  <c r="CS120" i="1" s="1"/>
  <c r="BV120" i="1"/>
  <c r="BX120" i="1" s="1"/>
  <c r="BU120" i="1"/>
  <c r="BD120" i="1"/>
  <c r="BC120" i="1"/>
  <c r="BB120" i="1"/>
  <c r="BA120" i="1"/>
  <c r="AZ120" i="1"/>
  <c r="AY120" i="1"/>
  <c r="AX120" i="1"/>
  <c r="M120" i="1"/>
  <c r="EM119" i="1"/>
  <c r="DU119" i="1"/>
  <c r="DT119" i="1"/>
  <c r="DN119" i="1"/>
  <c r="DM119" i="1"/>
  <c r="DL119" i="1"/>
  <c r="DK119" i="1"/>
  <c r="DI119" i="1"/>
  <c r="DJ119" i="1" s="1"/>
  <c r="DB119" i="1"/>
  <c r="DC119" i="1" s="1"/>
  <c r="CX119" i="1"/>
  <c r="CN119" i="1"/>
  <c r="BV119" i="1"/>
  <c r="BX119" i="1" s="1"/>
  <c r="BY119" i="1" s="1"/>
  <c r="BU119" i="1"/>
  <c r="BD119" i="1"/>
  <c r="BC119" i="1"/>
  <c r="BB119" i="1"/>
  <c r="BA119" i="1"/>
  <c r="AZ119" i="1"/>
  <c r="AY119" i="1"/>
  <c r="AX119" i="1"/>
  <c r="M119" i="1"/>
  <c r="EM118" i="1"/>
  <c r="DU118" i="1"/>
  <c r="DT118" i="1"/>
  <c r="DN118" i="1"/>
  <c r="DM118" i="1"/>
  <c r="DL118" i="1"/>
  <c r="DK118" i="1"/>
  <c r="DI118" i="1"/>
  <c r="DJ118" i="1" s="1"/>
  <c r="DB118" i="1"/>
  <c r="DC118" i="1" s="1"/>
  <c r="CX118" i="1"/>
  <c r="CN118" i="1"/>
  <c r="CS118" i="1" s="1"/>
  <c r="BV118" i="1"/>
  <c r="BX118" i="1" s="1"/>
  <c r="BY118" i="1" s="1"/>
  <c r="BU118" i="1"/>
  <c r="BD118" i="1"/>
  <c r="BC118" i="1"/>
  <c r="BB118" i="1"/>
  <c r="BA118" i="1"/>
  <c r="AZ118" i="1"/>
  <c r="AY118" i="1"/>
  <c r="AX118" i="1"/>
  <c r="M118" i="1"/>
  <c r="EM117" i="1"/>
  <c r="DU117" i="1"/>
  <c r="DT117" i="1"/>
  <c r="DN117" i="1"/>
  <c r="DM117" i="1"/>
  <c r="DL117" i="1"/>
  <c r="DK117" i="1"/>
  <c r="DI117" i="1"/>
  <c r="DJ117" i="1" s="1"/>
  <c r="DB117" i="1"/>
  <c r="DC117" i="1" s="1"/>
  <c r="CX117" i="1"/>
  <c r="CN117" i="1"/>
  <c r="CR117" i="1" s="1"/>
  <c r="BV117" i="1"/>
  <c r="BX117" i="1" s="1"/>
  <c r="BY117" i="1" s="1"/>
  <c r="BU117" i="1"/>
  <c r="BD117" i="1"/>
  <c r="BC117" i="1"/>
  <c r="BB117" i="1"/>
  <c r="BA117" i="1"/>
  <c r="AZ117" i="1"/>
  <c r="AY117" i="1"/>
  <c r="AX117" i="1"/>
  <c r="M117" i="1"/>
  <c r="EM116" i="1"/>
  <c r="DU116" i="1"/>
  <c r="DT116" i="1"/>
  <c r="DN116" i="1"/>
  <c r="DM116" i="1"/>
  <c r="DL116" i="1"/>
  <c r="DK116" i="1"/>
  <c r="DI116" i="1"/>
  <c r="DJ116" i="1" s="1"/>
  <c r="DB116" i="1"/>
  <c r="DC116" i="1" s="1"/>
  <c r="CX116" i="1"/>
  <c r="CN116" i="1"/>
  <c r="BV116" i="1"/>
  <c r="BX116" i="1" s="1"/>
  <c r="BY116" i="1" s="1"/>
  <c r="BU116" i="1"/>
  <c r="BD116" i="1"/>
  <c r="BC116" i="1"/>
  <c r="BB116" i="1"/>
  <c r="BA116" i="1"/>
  <c r="AZ116" i="1"/>
  <c r="AY116" i="1"/>
  <c r="AX116" i="1"/>
  <c r="M116" i="1"/>
  <c r="EM115" i="1"/>
  <c r="DU115" i="1"/>
  <c r="DT115" i="1"/>
  <c r="DN115" i="1"/>
  <c r="DM115" i="1"/>
  <c r="DL115" i="1"/>
  <c r="DK115" i="1"/>
  <c r="DI115" i="1"/>
  <c r="DJ115" i="1" s="1"/>
  <c r="DB115" i="1"/>
  <c r="DC115" i="1" s="1"/>
  <c r="CX115" i="1"/>
  <c r="CN115" i="1"/>
  <c r="BV115" i="1"/>
  <c r="BX115" i="1" s="1"/>
  <c r="BY115" i="1" s="1"/>
  <c r="BU115" i="1"/>
  <c r="BD115" i="1"/>
  <c r="BC115" i="1"/>
  <c r="BB115" i="1"/>
  <c r="BA115" i="1"/>
  <c r="AZ115" i="1"/>
  <c r="AY115" i="1"/>
  <c r="AX115" i="1"/>
  <c r="M115" i="1"/>
  <c r="EM704" i="1"/>
  <c r="DU704" i="1"/>
  <c r="DT704" i="1"/>
  <c r="DN704" i="1"/>
  <c r="DM704" i="1"/>
  <c r="DL704" i="1"/>
  <c r="DK704" i="1"/>
  <c r="DI704" i="1"/>
  <c r="DJ704" i="1" s="1"/>
  <c r="DB704" i="1"/>
  <c r="DC704" i="1" s="1"/>
  <c r="CX704" i="1"/>
  <c r="CN704" i="1"/>
  <c r="CS704" i="1" s="1"/>
  <c r="BV704" i="1"/>
  <c r="BX704" i="1" s="1"/>
  <c r="BU704" i="1"/>
  <c r="BD704" i="1"/>
  <c r="BC704" i="1"/>
  <c r="BB704" i="1"/>
  <c r="BA704" i="1"/>
  <c r="AZ704" i="1"/>
  <c r="AY704" i="1"/>
  <c r="BE704" i="1" s="1" a="1"/>
  <c r="BE704" i="1" s="1"/>
  <c r="AX704" i="1"/>
  <c r="M704" i="1"/>
  <c r="EM703" i="1"/>
  <c r="DU703" i="1"/>
  <c r="DT703" i="1"/>
  <c r="DN703" i="1"/>
  <c r="DM703" i="1"/>
  <c r="DL703" i="1"/>
  <c r="DK703" i="1"/>
  <c r="DI703" i="1"/>
  <c r="DJ703" i="1" s="1"/>
  <c r="DB703" i="1"/>
  <c r="DC703" i="1" s="1"/>
  <c r="CX703" i="1"/>
  <c r="CN703" i="1"/>
  <c r="BV703" i="1"/>
  <c r="BX703" i="1" s="1"/>
  <c r="BY703" i="1" s="1"/>
  <c r="BU703" i="1"/>
  <c r="BD703" i="1"/>
  <c r="BC703" i="1"/>
  <c r="BB703" i="1"/>
  <c r="BA703" i="1"/>
  <c r="AZ703" i="1"/>
  <c r="AY703" i="1"/>
  <c r="BE703" i="1" s="1" a="1"/>
  <c r="BE703" i="1" s="1"/>
  <c r="AX703" i="1"/>
  <c r="M703" i="1"/>
  <c r="EM114" i="1"/>
  <c r="DU114" i="1"/>
  <c r="DT114" i="1"/>
  <c r="DN114" i="1"/>
  <c r="DM114" i="1"/>
  <c r="DL114" i="1"/>
  <c r="DK114" i="1"/>
  <c r="DI114" i="1"/>
  <c r="DJ114" i="1" s="1"/>
  <c r="DB114" i="1"/>
  <c r="DC114" i="1" s="1"/>
  <c r="CX114" i="1"/>
  <c r="CN114" i="1"/>
  <c r="CR114" i="1" s="1"/>
  <c r="BV114" i="1"/>
  <c r="BX114" i="1" s="1"/>
  <c r="BY114" i="1" s="1"/>
  <c r="BU114" i="1"/>
  <c r="BD114" i="1"/>
  <c r="BC114" i="1"/>
  <c r="BB114" i="1"/>
  <c r="BA114" i="1"/>
  <c r="AZ114" i="1"/>
  <c r="AY114" i="1"/>
  <c r="AX114" i="1"/>
  <c r="M114" i="1"/>
  <c r="EM113" i="1"/>
  <c r="DU113" i="1"/>
  <c r="DT113" i="1"/>
  <c r="DN113" i="1"/>
  <c r="DM113" i="1"/>
  <c r="DL113" i="1"/>
  <c r="DK113" i="1"/>
  <c r="DI113" i="1"/>
  <c r="DJ113" i="1" s="1"/>
  <c r="DB113" i="1"/>
  <c r="DC113" i="1" s="1"/>
  <c r="CX113" i="1"/>
  <c r="CN113" i="1"/>
  <c r="BV113" i="1"/>
  <c r="BX113" i="1" s="1"/>
  <c r="BY113" i="1" s="1"/>
  <c r="BU113" i="1"/>
  <c r="BD113" i="1"/>
  <c r="BC113" i="1"/>
  <c r="BB113" i="1"/>
  <c r="BA113" i="1"/>
  <c r="AZ113" i="1"/>
  <c r="AY113" i="1"/>
  <c r="AX113" i="1"/>
  <c r="M113" i="1"/>
  <c r="EM112" i="1"/>
  <c r="DU112" i="1"/>
  <c r="DT112" i="1"/>
  <c r="DN112" i="1"/>
  <c r="DM112" i="1"/>
  <c r="DL112" i="1"/>
  <c r="DK112" i="1"/>
  <c r="DI112" i="1"/>
  <c r="DJ112" i="1" s="1"/>
  <c r="DB112" i="1"/>
  <c r="DC112" i="1" s="1"/>
  <c r="CX112" i="1"/>
  <c r="CN112" i="1"/>
  <c r="CR112" i="1" s="1"/>
  <c r="BV112" i="1"/>
  <c r="BX112" i="1" s="1"/>
  <c r="BY112" i="1" s="1"/>
  <c r="BU112" i="1"/>
  <c r="BD112" i="1"/>
  <c r="BC112" i="1"/>
  <c r="BB112" i="1"/>
  <c r="BA112" i="1"/>
  <c r="AZ112" i="1"/>
  <c r="AY112" i="1"/>
  <c r="AX112" i="1"/>
  <c r="M112" i="1"/>
  <c r="EM111" i="1"/>
  <c r="DU111" i="1"/>
  <c r="DT111" i="1"/>
  <c r="DN111" i="1"/>
  <c r="DM111" i="1"/>
  <c r="DL111" i="1"/>
  <c r="DK111" i="1"/>
  <c r="DI111" i="1"/>
  <c r="DJ111" i="1" s="1"/>
  <c r="DB111" i="1"/>
  <c r="DC111" i="1" s="1"/>
  <c r="CX111" i="1"/>
  <c r="CN111" i="1"/>
  <c r="CS111" i="1" s="1"/>
  <c r="BV111" i="1"/>
  <c r="BX111" i="1" s="1"/>
  <c r="BY111" i="1" s="1"/>
  <c r="BU111" i="1"/>
  <c r="BD111" i="1"/>
  <c r="BC111" i="1"/>
  <c r="BB111" i="1"/>
  <c r="BA111" i="1"/>
  <c r="AZ111" i="1"/>
  <c r="AY111" i="1"/>
  <c r="AX111" i="1"/>
  <c r="M111" i="1"/>
  <c r="EM489" i="1"/>
  <c r="DU489" i="1"/>
  <c r="DT489" i="1"/>
  <c r="DN489" i="1"/>
  <c r="DM489" i="1"/>
  <c r="DL489" i="1"/>
  <c r="DK489" i="1"/>
  <c r="DI489" i="1"/>
  <c r="DJ489" i="1" s="1"/>
  <c r="DB489" i="1"/>
  <c r="DC489" i="1" s="1"/>
  <c r="CX489" i="1"/>
  <c r="CN489" i="1"/>
  <c r="CS489" i="1" s="1"/>
  <c r="BV489" i="1"/>
  <c r="BX489" i="1" s="1"/>
  <c r="BU489" i="1"/>
  <c r="BN489" i="1"/>
  <c r="BO489" i="1" s="1"/>
  <c r="BM489" i="1"/>
  <c r="BD489" i="1"/>
  <c r="BC489" i="1"/>
  <c r="BB489" i="1"/>
  <c r="BA489" i="1"/>
  <c r="AZ489" i="1"/>
  <c r="AY489" i="1"/>
  <c r="BE489" i="1" s="1" a="1"/>
  <c r="BE489" i="1" s="1"/>
  <c r="AX489" i="1"/>
  <c r="M489" i="1"/>
  <c r="EM506" i="1"/>
  <c r="DU506" i="1"/>
  <c r="DT506" i="1"/>
  <c r="DN506" i="1"/>
  <c r="DM506" i="1"/>
  <c r="DL506" i="1"/>
  <c r="DK506" i="1"/>
  <c r="DI506" i="1"/>
  <c r="DJ506" i="1" s="1"/>
  <c r="DB506" i="1"/>
  <c r="DC506" i="1" s="1"/>
  <c r="CX506" i="1"/>
  <c r="CN506" i="1"/>
  <c r="CR506" i="1" s="1"/>
  <c r="BV506" i="1"/>
  <c r="BX506" i="1" s="1"/>
  <c r="BU506" i="1"/>
  <c r="BN506" i="1"/>
  <c r="BO506" i="1" s="1"/>
  <c r="BM506" i="1"/>
  <c r="BD506" i="1"/>
  <c r="BC506" i="1"/>
  <c r="BB506" i="1"/>
  <c r="BA506" i="1"/>
  <c r="AZ506" i="1"/>
  <c r="AY506" i="1"/>
  <c r="BE506" i="1" s="1" a="1"/>
  <c r="BE506" i="1" s="1"/>
  <c r="AX506" i="1"/>
  <c r="M506" i="1"/>
  <c r="EM505" i="1"/>
  <c r="DU505" i="1"/>
  <c r="DT505" i="1"/>
  <c r="DN505" i="1"/>
  <c r="DM505" i="1"/>
  <c r="DL505" i="1"/>
  <c r="DK505" i="1"/>
  <c r="DI505" i="1"/>
  <c r="DJ505" i="1" s="1"/>
  <c r="DB505" i="1"/>
  <c r="DC505" i="1" s="1"/>
  <c r="CX505" i="1"/>
  <c r="CN505" i="1"/>
  <c r="CS505" i="1" s="1"/>
  <c r="BV505" i="1"/>
  <c r="BX505" i="1" s="1"/>
  <c r="BU505" i="1"/>
  <c r="BN505" i="1"/>
  <c r="BO505" i="1" s="1"/>
  <c r="BM505" i="1"/>
  <c r="BD505" i="1"/>
  <c r="BC505" i="1"/>
  <c r="BB505" i="1"/>
  <c r="BA505" i="1"/>
  <c r="AZ505" i="1"/>
  <c r="AY505" i="1"/>
  <c r="BE505" i="1" s="1" a="1"/>
  <c r="BE505" i="1" s="1"/>
  <c r="AX505" i="1"/>
  <c r="M505" i="1"/>
  <c r="EM509" i="1"/>
  <c r="DU509" i="1"/>
  <c r="DT509" i="1"/>
  <c r="DN509" i="1"/>
  <c r="DM509" i="1"/>
  <c r="DL509" i="1"/>
  <c r="DK509" i="1"/>
  <c r="DI509" i="1"/>
  <c r="DJ509" i="1" s="1"/>
  <c r="DB509" i="1"/>
  <c r="DC509" i="1" s="1"/>
  <c r="CX509" i="1"/>
  <c r="CN509" i="1"/>
  <c r="BV509" i="1"/>
  <c r="BX509" i="1" s="1"/>
  <c r="BU509" i="1"/>
  <c r="BN509" i="1"/>
  <c r="BO509" i="1" s="1"/>
  <c r="BM509" i="1"/>
  <c r="BD509" i="1"/>
  <c r="BC509" i="1"/>
  <c r="BB509" i="1"/>
  <c r="BA509" i="1"/>
  <c r="AZ509" i="1"/>
  <c r="AY509" i="1"/>
  <c r="BE509" i="1" s="1" a="1"/>
  <c r="BE509" i="1" s="1"/>
  <c r="AX509" i="1"/>
  <c r="M509" i="1"/>
  <c r="EM496" i="1"/>
  <c r="DU496" i="1"/>
  <c r="DT496" i="1"/>
  <c r="DN496" i="1"/>
  <c r="DM496" i="1"/>
  <c r="DL496" i="1"/>
  <c r="DK496" i="1"/>
  <c r="DI496" i="1"/>
  <c r="DJ496" i="1" s="1"/>
  <c r="DB496" i="1"/>
  <c r="DC496" i="1" s="1"/>
  <c r="CX496" i="1"/>
  <c r="CN496" i="1"/>
  <c r="CR496" i="1" s="1"/>
  <c r="BV496" i="1"/>
  <c r="BX496" i="1" s="1"/>
  <c r="BU496" i="1"/>
  <c r="BN496" i="1"/>
  <c r="BO496" i="1" s="1"/>
  <c r="BM496" i="1"/>
  <c r="BD496" i="1"/>
  <c r="BC496" i="1"/>
  <c r="BB496" i="1"/>
  <c r="BA496" i="1"/>
  <c r="AZ496" i="1"/>
  <c r="BF496" i="1" s="1" a="1"/>
  <c r="BF496" i="1" s="1"/>
  <c r="AY496" i="1"/>
  <c r="BE496" i="1" s="1" a="1"/>
  <c r="BE496" i="1" s="1"/>
  <c r="AX496" i="1"/>
  <c r="M496" i="1"/>
  <c r="EM98" i="1"/>
  <c r="DU98" i="1"/>
  <c r="DT98" i="1"/>
  <c r="DN98" i="1"/>
  <c r="DM98" i="1"/>
  <c r="DL98" i="1"/>
  <c r="DK98" i="1"/>
  <c r="DI98" i="1"/>
  <c r="DJ98" i="1" s="1"/>
  <c r="DB98" i="1"/>
  <c r="DC98" i="1" s="1"/>
  <c r="CX98" i="1"/>
  <c r="CN98" i="1"/>
  <c r="BV98" i="1"/>
  <c r="BX98" i="1" s="1"/>
  <c r="BU98" i="1"/>
  <c r="BN98" i="1"/>
  <c r="BO98" i="1" s="1"/>
  <c r="BM98" i="1"/>
  <c r="BD98" i="1"/>
  <c r="BC98" i="1"/>
  <c r="BB98" i="1"/>
  <c r="BA98" i="1"/>
  <c r="AZ98" i="1"/>
  <c r="AY98" i="1"/>
  <c r="AX98" i="1"/>
  <c r="M98" i="1"/>
  <c r="EM498" i="1"/>
  <c r="DU498" i="1"/>
  <c r="DT498" i="1"/>
  <c r="DN498" i="1"/>
  <c r="DM498" i="1"/>
  <c r="DL498" i="1"/>
  <c r="DK498" i="1"/>
  <c r="DI498" i="1"/>
  <c r="DJ498" i="1" s="1"/>
  <c r="DB498" i="1"/>
  <c r="DC498" i="1" s="1"/>
  <c r="CX498" i="1"/>
  <c r="CN498" i="1"/>
  <c r="CS498" i="1" s="1"/>
  <c r="BV498" i="1"/>
  <c r="BX498" i="1" s="1"/>
  <c r="BU498" i="1"/>
  <c r="BD498" i="1"/>
  <c r="BC498" i="1"/>
  <c r="BB498" i="1"/>
  <c r="BA498" i="1"/>
  <c r="AZ498" i="1"/>
  <c r="AY498" i="1"/>
  <c r="BE498" i="1" s="1" a="1"/>
  <c r="BE498" i="1" s="1"/>
  <c r="AX498" i="1"/>
  <c r="M498" i="1"/>
  <c r="EM525" i="1"/>
  <c r="DU525" i="1"/>
  <c r="DT525" i="1"/>
  <c r="DN525" i="1"/>
  <c r="DM525" i="1"/>
  <c r="DL525" i="1"/>
  <c r="DK525" i="1"/>
  <c r="DI525" i="1"/>
  <c r="DJ525" i="1" s="1"/>
  <c r="DB525" i="1"/>
  <c r="DC525" i="1" s="1"/>
  <c r="CX525" i="1"/>
  <c r="CN525" i="1"/>
  <c r="BV525" i="1"/>
  <c r="BX525" i="1" s="1"/>
  <c r="BY525" i="1" s="1"/>
  <c r="BU525" i="1"/>
  <c r="BD525" i="1"/>
  <c r="BC525" i="1"/>
  <c r="BB525" i="1"/>
  <c r="BA525" i="1"/>
  <c r="AZ525" i="1"/>
  <c r="AY525" i="1"/>
  <c r="BE525" i="1" s="1" a="1"/>
  <c r="BE525" i="1" s="1"/>
  <c r="AX525" i="1"/>
  <c r="M525" i="1"/>
  <c r="EM524" i="1"/>
  <c r="DU524" i="1"/>
  <c r="DT524" i="1"/>
  <c r="DN524" i="1"/>
  <c r="DM524" i="1"/>
  <c r="DL524" i="1"/>
  <c r="DK524" i="1"/>
  <c r="DI524" i="1"/>
  <c r="DJ524" i="1" s="1"/>
  <c r="DB524" i="1"/>
  <c r="DC524" i="1" s="1"/>
  <c r="CX524" i="1"/>
  <c r="CN524" i="1"/>
  <c r="CS524" i="1" s="1"/>
  <c r="BV524" i="1"/>
  <c r="BX524" i="1" s="1"/>
  <c r="BY524" i="1" s="1"/>
  <c r="BU524" i="1"/>
  <c r="BD524" i="1"/>
  <c r="BC524" i="1"/>
  <c r="BB524" i="1"/>
  <c r="BA524" i="1"/>
  <c r="AZ524" i="1"/>
  <c r="AY524" i="1"/>
  <c r="BE524" i="1" s="1" a="1"/>
  <c r="BE524" i="1" s="1"/>
  <c r="AX524" i="1"/>
  <c r="M524" i="1"/>
  <c r="EM497" i="1"/>
  <c r="DU497" i="1"/>
  <c r="DT497" i="1"/>
  <c r="DN497" i="1"/>
  <c r="DM497" i="1"/>
  <c r="DL497" i="1"/>
  <c r="DK497" i="1"/>
  <c r="DI497" i="1"/>
  <c r="DJ497" i="1" s="1"/>
  <c r="DB497" i="1"/>
  <c r="DC497" i="1" s="1"/>
  <c r="CX497" i="1"/>
  <c r="CN497" i="1"/>
  <c r="BV497" i="1"/>
  <c r="BX497" i="1" s="1"/>
  <c r="BY497" i="1" s="1"/>
  <c r="BU497" i="1"/>
  <c r="BD497" i="1"/>
  <c r="BC497" i="1"/>
  <c r="BB497" i="1"/>
  <c r="BA497" i="1"/>
  <c r="AZ497" i="1"/>
  <c r="AY497" i="1"/>
  <c r="BE497" i="1" s="1" a="1"/>
  <c r="BE497" i="1" s="1"/>
  <c r="AX497" i="1"/>
  <c r="M497" i="1"/>
  <c r="EM522" i="1"/>
  <c r="DU522" i="1"/>
  <c r="DT522" i="1"/>
  <c r="DN522" i="1"/>
  <c r="DM522" i="1"/>
  <c r="DL522" i="1"/>
  <c r="DK522" i="1"/>
  <c r="DI522" i="1"/>
  <c r="DJ522" i="1" s="1"/>
  <c r="DB522" i="1"/>
  <c r="DC522" i="1" s="1"/>
  <c r="CX522" i="1"/>
  <c r="CN522" i="1"/>
  <c r="CR522" i="1" s="1"/>
  <c r="BV522" i="1"/>
  <c r="BX522" i="1" s="1"/>
  <c r="BY522" i="1" s="1"/>
  <c r="BU522" i="1"/>
  <c r="BD522" i="1"/>
  <c r="BC522" i="1"/>
  <c r="BB522" i="1"/>
  <c r="BA522" i="1"/>
  <c r="AZ522" i="1"/>
  <c r="BF522" i="1" s="1" a="1"/>
  <c r="BF522" i="1" s="1"/>
  <c r="AY522" i="1"/>
  <c r="BE522" i="1" s="1" a="1"/>
  <c r="BE522" i="1" s="1"/>
  <c r="AX522" i="1"/>
  <c r="M522" i="1"/>
  <c r="EM521" i="1"/>
  <c r="DU521" i="1"/>
  <c r="DT521" i="1"/>
  <c r="DN521" i="1"/>
  <c r="DM521" i="1"/>
  <c r="DL521" i="1"/>
  <c r="DK521" i="1"/>
  <c r="DI521" i="1"/>
  <c r="DJ521" i="1" s="1"/>
  <c r="DB521" i="1"/>
  <c r="DC521" i="1" s="1"/>
  <c r="CX521" i="1"/>
  <c r="CN521" i="1"/>
  <c r="BV521" i="1"/>
  <c r="BX521" i="1" s="1"/>
  <c r="BY521" i="1" s="1"/>
  <c r="BU521" i="1"/>
  <c r="BD521" i="1"/>
  <c r="BC521" i="1"/>
  <c r="BB521" i="1"/>
  <c r="BA521" i="1"/>
  <c r="AZ521" i="1"/>
  <c r="AY521" i="1"/>
  <c r="BE521" i="1" s="1" a="1"/>
  <c r="BE521" i="1" s="1"/>
  <c r="AX521" i="1"/>
  <c r="M521" i="1"/>
  <c r="EM458" i="1"/>
  <c r="DU458" i="1"/>
  <c r="DT458" i="1"/>
  <c r="DN458" i="1"/>
  <c r="DM458" i="1"/>
  <c r="DL458" i="1"/>
  <c r="DK458" i="1"/>
  <c r="DI458" i="1"/>
  <c r="DJ458" i="1" s="1"/>
  <c r="DB458" i="1"/>
  <c r="DC458" i="1" s="1"/>
  <c r="CX458" i="1"/>
  <c r="CN458" i="1"/>
  <c r="CR458" i="1" s="1"/>
  <c r="BV458" i="1"/>
  <c r="BX458" i="1" s="1"/>
  <c r="BU458" i="1"/>
  <c r="BN458" i="1"/>
  <c r="BO458" i="1" s="1"/>
  <c r="BM458" i="1"/>
  <c r="BD458" i="1"/>
  <c r="BC458" i="1"/>
  <c r="BB458" i="1"/>
  <c r="BA458" i="1"/>
  <c r="AZ458" i="1"/>
  <c r="AY458" i="1"/>
  <c r="AX458" i="1"/>
  <c r="M458" i="1"/>
  <c r="EM457" i="1"/>
  <c r="DU457" i="1"/>
  <c r="DT457" i="1"/>
  <c r="DN457" i="1"/>
  <c r="DM457" i="1"/>
  <c r="DL457" i="1"/>
  <c r="DK457" i="1"/>
  <c r="DI457" i="1"/>
  <c r="DJ457" i="1" s="1"/>
  <c r="DB457" i="1"/>
  <c r="DC457" i="1" s="1"/>
  <c r="CX457" i="1"/>
  <c r="CN457" i="1"/>
  <c r="CP457" i="1" s="1"/>
  <c r="BV457" i="1"/>
  <c r="BX457" i="1" s="1"/>
  <c r="BU457" i="1"/>
  <c r="BN457" i="1"/>
  <c r="BO457" i="1" s="1"/>
  <c r="BM457" i="1"/>
  <c r="BD457" i="1"/>
  <c r="BC457" i="1"/>
  <c r="BB457" i="1"/>
  <c r="BA457" i="1"/>
  <c r="AZ457" i="1"/>
  <c r="AY457" i="1"/>
  <c r="AX457" i="1"/>
  <c r="M457" i="1"/>
  <c r="EM502" i="1"/>
  <c r="DU502" i="1"/>
  <c r="DT502" i="1"/>
  <c r="DN502" i="1"/>
  <c r="DM502" i="1"/>
  <c r="DL502" i="1"/>
  <c r="DK502" i="1"/>
  <c r="DI502" i="1"/>
  <c r="DJ502" i="1" s="1"/>
  <c r="DB502" i="1"/>
  <c r="DC502" i="1" s="1"/>
  <c r="CX502" i="1"/>
  <c r="CN502" i="1"/>
  <c r="BV502" i="1"/>
  <c r="BX502" i="1" s="1"/>
  <c r="BU502" i="1"/>
  <c r="BN502" i="1"/>
  <c r="BO502" i="1" s="1"/>
  <c r="BM502" i="1"/>
  <c r="BD502" i="1"/>
  <c r="BC502" i="1"/>
  <c r="BB502" i="1"/>
  <c r="BA502" i="1"/>
  <c r="AZ502" i="1"/>
  <c r="AY502" i="1"/>
  <c r="AX502" i="1"/>
  <c r="M502" i="1"/>
  <c r="EM456" i="1"/>
  <c r="DU456" i="1"/>
  <c r="DT456" i="1"/>
  <c r="DN456" i="1"/>
  <c r="DM456" i="1"/>
  <c r="DL456" i="1"/>
  <c r="DK456" i="1"/>
  <c r="DI456" i="1"/>
  <c r="DJ456" i="1" s="1"/>
  <c r="DB456" i="1"/>
  <c r="DC456" i="1" s="1"/>
  <c r="CX456" i="1"/>
  <c r="CN456" i="1"/>
  <c r="CS456" i="1" s="1"/>
  <c r="BV456" i="1"/>
  <c r="BX456" i="1" s="1"/>
  <c r="BU456" i="1"/>
  <c r="BN456" i="1"/>
  <c r="BO456" i="1" s="1"/>
  <c r="BM456" i="1"/>
  <c r="BD456" i="1"/>
  <c r="BC456" i="1"/>
  <c r="BB456" i="1"/>
  <c r="BA456" i="1"/>
  <c r="AZ456" i="1"/>
  <c r="AY456" i="1"/>
  <c r="AX456" i="1"/>
  <c r="M456" i="1"/>
  <c r="EM501" i="1"/>
  <c r="DU501" i="1"/>
  <c r="DT501" i="1"/>
  <c r="DN501" i="1"/>
  <c r="DM501" i="1"/>
  <c r="DL501" i="1"/>
  <c r="DK501" i="1"/>
  <c r="DI501" i="1"/>
  <c r="DJ501" i="1" s="1"/>
  <c r="DB501" i="1"/>
  <c r="DC501" i="1" s="1"/>
  <c r="CX501" i="1"/>
  <c r="CN501" i="1"/>
  <c r="CR501" i="1" s="1"/>
  <c r="BV501" i="1"/>
  <c r="BX501" i="1" s="1"/>
  <c r="BU501" i="1"/>
  <c r="BN501" i="1"/>
  <c r="BO501" i="1" s="1"/>
  <c r="BM501" i="1"/>
  <c r="BD501" i="1"/>
  <c r="BC501" i="1"/>
  <c r="BB501" i="1"/>
  <c r="BA501" i="1"/>
  <c r="AZ501" i="1"/>
  <c r="BF501" i="1" s="1" a="1"/>
  <c r="BF501" i="1" s="1"/>
  <c r="AY501" i="1"/>
  <c r="AX501" i="1"/>
  <c r="M501" i="1"/>
  <c r="EM455" i="1"/>
  <c r="DU455" i="1"/>
  <c r="DT455" i="1"/>
  <c r="DN455" i="1"/>
  <c r="DM455" i="1"/>
  <c r="DL455" i="1"/>
  <c r="DK455" i="1"/>
  <c r="DI455" i="1"/>
  <c r="DJ455" i="1" s="1"/>
  <c r="DB455" i="1"/>
  <c r="DC455" i="1" s="1"/>
  <c r="CX455" i="1"/>
  <c r="CN455" i="1"/>
  <c r="CS455" i="1" s="1"/>
  <c r="BV455" i="1"/>
  <c r="BX455" i="1" s="1"/>
  <c r="BU455" i="1"/>
  <c r="BN455" i="1"/>
  <c r="BO455" i="1" s="1"/>
  <c r="BM455" i="1"/>
  <c r="BD455" i="1"/>
  <c r="BC455" i="1"/>
  <c r="BB455" i="1"/>
  <c r="BA455" i="1"/>
  <c r="AZ455" i="1"/>
  <c r="AY455" i="1"/>
  <c r="AX455" i="1"/>
  <c r="M455" i="1"/>
  <c r="EM538" i="1"/>
  <c r="DU538" i="1"/>
  <c r="DT538" i="1"/>
  <c r="DN538" i="1"/>
  <c r="DM538" i="1"/>
  <c r="DL538" i="1"/>
  <c r="DK538" i="1"/>
  <c r="DI538" i="1"/>
  <c r="DJ538" i="1" s="1"/>
  <c r="DB538" i="1"/>
  <c r="DC538" i="1" s="1"/>
  <c r="CX538" i="1"/>
  <c r="CN538" i="1"/>
  <c r="BV538" i="1"/>
  <c r="BX538" i="1" s="1"/>
  <c r="BU538" i="1"/>
  <c r="BN538" i="1"/>
  <c r="BO538" i="1" s="1"/>
  <c r="BM538" i="1"/>
  <c r="BD538" i="1"/>
  <c r="BC538" i="1"/>
  <c r="BB538" i="1"/>
  <c r="BA538" i="1"/>
  <c r="AZ538" i="1"/>
  <c r="AY538" i="1"/>
  <c r="AX538" i="1"/>
  <c r="M538" i="1"/>
  <c r="EM537" i="1"/>
  <c r="DU537" i="1"/>
  <c r="DT537" i="1"/>
  <c r="DN537" i="1"/>
  <c r="DM537" i="1"/>
  <c r="DL537" i="1"/>
  <c r="DK537" i="1"/>
  <c r="DI537" i="1"/>
  <c r="DJ537" i="1" s="1"/>
  <c r="DB537" i="1"/>
  <c r="DC537" i="1" s="1"/>
  <c r="CX537" i="1"/>
  <c r="CN537" i="1"/>
  <c r="CO537" i="1" s="1"/>
  <c r="BV537" i="1"/>
  <c r="BX537" i="1" s="1"/>
  <c r="BU537" i="1"/>
  <c r="BN537" i="1"/>
  <c r="BO537" i="1" s="1"/>
  <c r="BM537" i="1"/>
  <c r="BD537" i="1"/>
  <c r="BC537" i="1"/>
  <c r="BB537" i="1"/>
  <c r="BA537" i="1"/>
  <c r="AZ537" i="1"/>
  <c r="AY537" i="1"/>
  <c r="AX537" i="1"/>
  <c r="M537" i="1"/>
  <c r="EM536" i="1"/>
  <c r="DU536" i="1"/>
  <c r="DT536" i="1"/>
  <c r="DN536" i="1"/>
  <c r="DM536" i="1"/>
  <c r="DL536" i="1"/>
  <c r="DK536" i="1"/>
  <c r="DI536" i="1"/>
  <c r="DJ536" i="1" s="1"/>
  <c r="DB536" i="1"/>
  <c r="DC536" i="1" s="1"/>
  <c r="CX536" i="1"/>
  <c r="CN536" i="1"/>
  <c r="CR536" i="1" s="1"/>
  <c r="BV536" i="1"/>
  <c r="BX536" i="1" s="1"/>
  <c r="BU536" i="1"/>
  <c r="BN536" i="1"/>
  <c r="BO536" i="1" s="1"/>
  <c r="BM536" i="1"/>
  <c r="BD536" i="1"/>
  <c r="BC536" i="1"/>
  <c r="BB536" i="1"/>
  <c r="BA536" i="1"/>
  <c r="AZ536" i="1"/>
  <c r="AY536" i="1"/>
  <c r="AX536" i="1"/>
  <c r="M536" i="1"/>
  <c r="EM500" i="1"/>
  <c r="DU500" i="1"/>
  <c r="DT500" i="1"/>
  <c r="DN500" i="1"/>
  <c r="DM500" i="1"/>
  <c r="DL500" i="1"/>
  <c r="DK500" i="1"/>
  <c r="DI500" i="1"/>
  <c r="DJ500" i="1" s="1"/>
  <c r="DB500" i="1"/>
  <c r="DC500" i="1" s="1"/>
  <c r="CX500" i="1"/>
  <c r="CN500" i="1"/>
  <c r="BV500" i="1"/>
  <c r="BX500" i="1" s="1"/>
  <c r="BU500" i="1"/>
  <c r="BN500" i="1"/>
  <c r="BO500" i="1" s="1"/>
  <c r="BM500" i="1"/>
  <c r="BD500" i="1"/>
  <c r="BC500" i="1"/>
  <c r="BB500" i="1"/>
  <c r="BA500" i="1"/>
  <c r="AZ500" i="1"/>
  <c r="AY500" i="1"/>
  <c r="AX500" i="1"/>
  <c r="M500" i="1"/>
  <c r="EM535" i="1"/>
  <c r="DU535" i="1"/>
  <c r="DT535" i="1"/>
  <c r="DN535" i="1"/>
  <c r="DM535" i="1"/>
  <c r="DL535" i="1"/>
  <c r="DK535" i="1"/>
  <c r="DI535" i="1"/>
  <c r="DJ535" i="1" s="1"/>
  <c r="DB535" i="1"/>
  <c r="DC535" i="1" s="1"/>
  <c r="CX535" i="1"/>
  <c r="CN535" i="1"/>
  <c r="CO535" i="1" s="1"/>
  <c r="BV535" i="1"/>
  <c r="BX535" i="1" s="1"/>
  <c r="BU535" i="1"/>
  <c r="BN535" i="1"/>
  <c r="BO535" i="1" s="1"/>
  <c r="BM535" i="1"/>
  <c r="BD535" i="1"/>
  <c r="BC535" i="1"/>
  <c r="BB535" i="1"/>
  <c r="BA535" i="1"/>
  <c r="AZ535" i="1"/>
  <c r="AY535" i="1"/>
  <c r="AX535" i="1"/>
  <c r="M535" i="1"/>
  <c r="EM106" i="1"/>
  <c r="DU106" i="1"/>
  <c r="DT106" i="1"/>
  <c r="DN106" i="1"/>
  <c r="DM106" i="1"/>
  <c r="DL106" i="1"/>
  <c r="DK106" i="1"/>
  <c r="DI106" i="1"/>
  <c r="DJ106" i="1" s="1"/>
  <c r="DB106" i="1"/>
  <c r="DC106" i="1" s="1"/>
  <c r="CX106" i="1"/>
  <c r="CN106" i="1"/>
  <c r="CP106" i="1" s="1"/>
  <c r="BV106" i="1"/>
  <c r="BX106" i="1" s="1"/>
  <c r="BU106" i="1"/>
  <c r="BN106" i="1"/>
  <c r="BO106" i="1" s="1"/>
  <c r="BM106" i="1"/>
  <c r="BD106" i="1"/>
  <c r="BC106" i="1"/>
  <c r="BB106" i="1"/>
  <c r="BA106" i="1"/>
  <c r="AZ106" i="1"/>
  <c r="AY106" i="1"/>
  <c r="AX106" i="1"/>
  <c r="M106" i="1"/>
  <c r="EM105" i="1"/>
  <c r="DU105" i="1"/>
  <c r="DT105" i="1"/>
  <c r="DN105" i="1"/>
  <c r="DM105" i="1"/>
  <c r="DL105" i="1"/>
  <c r="DK105" i="1"/>
  <c r="DI105" i="1"/>
  <c r="DJ105" i="1" s="1"/>
  <c r="DB105" i="1"/>
  <c r="DC105" i="1" s="1"/>
  <c r="CX105" i="1"/>
  <c r="CN105" i="1"/>
  <c r="CP105" i="1" s="1"/>
  <c r="BV105" i="1"/>
  <c r="BX105" i="1" s="1"/>
  <c r="BU105" i="1"/>
  <c r="BN105" i="1"/>
  <c r="BO105" i="1" s="1"/>
  <c r="BM105" i="1"/>
  <c r="BD105" i="1"/>
  <c r="BC105" i="1"/>
  <c r="BB105" i="1"/>
  <c r="BA105" i="1"/>
  <c r="AZ105" i="1"/>
  <c r="BF105" i="1" s="1" a="1"/>
  <c r="BF105" i="1" s="1"/>
  <c r="AY105" i="1"/>
  <c r="AX105" i="1"/>
  <c r="M105" i="1"/>
  <c r="EM92" i="1"/>
  <c r="DU92" i="1"/>
  <c r="DT92" i="1"/>
  <c r="DN92" i="1"/>
  <c r="DM92" i="1"/>
  <c r="DL92" i="1"/>
  <c r="DK92" i="1"/>
  <c r="DI92" i="1"/>
  <c r="DJ92" i="1" s="1"/>
  <c r="DB92" i="1"/>
  <c r="DC92" i="1" s="1"/>
  <c r="CX92" i="1"/>
  <c r="CN92" i="1"/>
  <c r="CR92" i="1" s="1"/>
  <c r="BV92" i="1"/>
  <c r="BX92" i="1" s="1"/>
  <c r="BU92" i="1"/>
  <c r="BN92" i="1"/>
  <c r="BO92" i="1" s="1"/>
  <c r="BM92" i="1"/>
  <c r="BD92" i="1"/>
  <c r="BC92" i="1"/>
  <c r="BB92" i="1"/>
  <c r="BA92" i="1"/>
  <c r="AZ92" i="1"/>
  <c r="AY92" i="1"/>
  <c r="AX92" i="1"/>
  <c r="M92" i="1"/>
  <c r="EM86" i="1"/>
  <c r="DU86" i="1"/>
  <c r="DT86" i="1"/>
  <c r="DN86" i="1"/>
  <c r="DM86" i="1"/>
  <c r="DL86" i="1"/>
  <c r="DK86" i="1"/>
  <c r="DI86" i="1"/>
  <c r="DJ86" i="1" s="1"/>
  <c r="DB86" i="1"/>
  <c r="DC86" i="1" s="1"/>
  <c r="CX86" i="1"/>
  <c r="CN86" i="1"/>
  <c r="CS86" i="1" s="1"/>
  <c r="BV86" i="1"/>
  <c r="BX86" i="1" s="1"/>
  <c r="BU86" i="1"/>
  <c r="BN86" i="1"/>
  <c r="BO86" i="1" s="1"/>
  <c r="BM86" i="1"/>
  <c r="BD86" i="1"/>
  <c r="BC86" i="1"/>
  <c r="BB86" i="1"/>
  <c r="BA86" i="1"/>
  <c r="AZ86" i="1"/>
  <c r="AY86" i="1"/>
  <c r="AX86" i="1"/>
  <c r="M86" i="1"/>
  <c r="EM55" i="1"/>
  <c r="DU55" i="1"/>
  <c r="DT55" i="1"/>
  <c r="DN55" i="1"/>
  <c r="DM55" i="1"/>
  <c r="DL55" i="1"/>
  <c r="DK55" i="1"/>
  <c r="DI55" i="1"/>
  <c r="DJ55" i="1" s="1"/>
  <c r="DB55" i="1"/>
  <c r="DC55" i="1" s="1"/>
  <c r="CX55" i="1"/>
  <c r="CN55" i="1"/>
  <c r="CR55" i="1" s="1"/>
  <c r="BV55" i="1"/>
  <c r="BX55" i="1" s="1"/>
  <c r="BU55" i="1"/>
  <c r="BN55" i="1"/>
  <c r="BO55" i="1" s="1"/>
  <c r="BM55" i="1"/>
  <c r="BD55" i="1"/>
  <c r="BC55" i="1"/>
  <c r="BB55" i="1"/>
  <c r="BA55" i="1"/>
  <c r="AZ55" i="1"/>
  <c r="AY55" i="1"/>
  <c r="AX55" i="1"/>
  <c r="M55" i="1"/>
  <c r="EM51" i="1"/>
  <c r="DU51" i="1"/>
  <c r="DT51" i="1"/>
  <c r="DN51" i="1"/>
  <c r="DM51" i="1"/>
  <c r="DL51" i="1"/>
  <c r="DK51" i="1"/>
  <c r="DI51" i="1"/>
  <c r="DJ51" i="1" s="1"/>
  <c r="DB51" i="1"/>
  <c r="DC51" i="1" s="1"/>
  <c r="CX51" i="1"/>
  <c r="CN51" i="1"/>
  <c r="CR51" i="1" s="1"/>
  <c r="BV51" i="1"/>
  <c r="BX51" i="1" s="1"/>
  <c r="BU51" i="1"/>
  <c r="BN51" i="1"/>
  <c r="BO51" i="1" s="1"/>
  <c r="BM51" i="1"/>
  <c r="BD51" i="1"/>
  <c r="BC51" i="1"/>
  <c r="BB51" i="1"/>
  <c r="BA51" i="1"/>
  <c r="AZ51" i="1"/>
  <c r="AY51" i="1"/>
  <c r="AX51" i="1"/>
  <c r="M51" i="1"/>
  <c r="EM50" i="1"/>
  <c r="DU50" i="1"/>
  <c r="DT50" i="1"/>
  <c r="DN50" i="1"/>
  <c r="DM50" i="1"/>
  <c r="DL50" i="1"/>
  <c r="DK50" i="1"/>
  <c r="DI50" i="1"/>
  <c r="DJ50" i="1" s="1"/>
  <c r="DB50" i="1"/>
  <c r="DC50" i="1" s="1"/>
  <c r="CX50" i="1"/>
  <c r="CN50" i="1"/>
  <c r="CO50" i="1" s="1"/>
  <c r="BV50" i="1"/>
  <c r="BX50" i="1" s="1"/>
  <c r="BU50" i="1"/>
  <c r="BN50" i="1"/>
  <c r="BO50" i="1" s="1"/>
  <c r="BM50" i="1"/>
  <c r="BD50" i="1"/>
  <c r="BC50" i="1"/>
  <c r="BB50" i="1"/>
  <c r="BA50" i="1"/>
  <c r="AZ50" i="1"/>
  <c r="AY50" i="1"/>
  <c r="AX50" i="1"/>
  <c r="M50" i="1"/>
  <c r="EM85" i="1"/>
  <c r="DU85" i="1"/>
  <c r="DT85" i="1"/>
  <c r="DN85" i="1"/>
  <c r="DM85" i="1"/>
  <c r="DL85" i="1"/>
  <c r="DK85" i="1"/>
  <c r="DI85" i="1"/>
  <c r="DJ85" i="1" s="1"/>
  <c r="DB85" i="1"/>
  <c r="DC85" i="1" s="1"/>
  <c r="CX85" i="1"/>
  <c r="CN85" i="1"/>
  <c r="CP85" i="1" s="1"/>
  <c r="BV85" i="1"/>
  <c r="BX85" i="1" s="1"/>
  <c r="BU85" i="1"/>
  <c r="BN85" i="1"/>
  <c r="BO85" i="1" s="1"/>
  <c r="BM85" i="1"/>
  <c r="BD85" i="1"/>
  <c r="BC85" i="1"/>
  <c r="BB85" i="1"/>
  <c r="BA85" i="1"/>
  <c r="AZ85" i="1"/>
  <c r="AY85" i="1"/>
  <c r="AX85" i="1"/>
  <c r="M85" i="1"/>
  <c r="EM66" i="1"/>
  <c r="DU66" i="1"/>
  <c r="DT66" i="1"/>
  <c r="DN66" i="1"/>
  <c r="DM66" i="1"/>
  <c r="DL66" i="1"/>
  <c r="DK66" i="1"/>
  <c r="DI66" i="1"/>
  <c r="DJ66" i="1" s="1"/>
  <c r="DB66" i="1"/>
  <c r="DC66" i="1" s="1"/>
  <c r="CX66" i="1"/>
  <c r="CN66" i="1"/>
  <c r="CR66" i="1" s="1"/>
  <c r="BV66" i="1"/>
  <c r="BX66" i="1" s="1"/>
  <c r="BU66" i="1"/>
  <c r="BN66" i="1"/>
  <c r="BO66" i="1" s="1"/>
  <c r="BM66" i="1"/>
  <c r="BD66" i="1"/>
  <c r="BC66" i="1"/>
  <c r="BB66" i="1"/>
  <c r="BA66" i="1"/>
  <c r="AZ66" i="1"/>
  <c r="AY66" i="1"/>
  <c r="AX66" i="1"/>
  <c r="M66" i="1"/>
  <c r="EM47" i="1"/>
  <c r="DU47" i="1"/>
  <c r="DT47" i="1"/>
  <c r="DN47" i="1"/>
  <c r="DM47" i="1"/>
  <c r="DL47" i="1"/>
  <c r="DK47" i="1"/>
  <c r="DI47" i="1"/>
  <c r="DJ47" i="1" s="1"/>
  <c r="DB47" i="1"/>
  <c r="DC47" i="1" s="1"/>
  <c r="CX47" i="1"/>
  <c r="CN47" i="1"/>
  <c r="CR47" i="1" s="1"/>
  <c r="BV47" i="1"/>
  <c r="BX47" i="1" s="1"/>
  <c r="BU47" i="1"/>
  <c r="BN47" i="1"/>
  <c r="BO47" i="1" s="1"/>
  <c r="BM47" i="1"/>
  <c r="BD47" i="1"/>
  <c r="BC47" i="1"/>
  <c r="BB47" i="1"/>
  <c r="BA47" i="1"/>
  <c r="AZ47" i="1"/>
  <c r="BF47" i="1" s="1" a="1"/>
  <c r="BF47" i="1" s="1"/>
  <c r="AY47" i="1"/>
  <c r="AX47" i="1"/>
  <c r="M47" i="1"/>
  <c r="EM64" i="1"/>
  <c r="DU64" i="1"/>
  <c r="DT64" i="1"/>
  <c r="DN64" i="1"/>
  <c r="DM64" i="1"/>
  <c r="DL64" i="1"/>
  <c r="DK64" i="1"/>
  <c r="DI64" i="1"/>
  <c r="DJ64" i="1" s="1"/>
  <c r="DB64" i="1"/>
  <c r="DC64" i="1" s="1"/>
  <c r="CX64" i="1"/>
  <c r="CN64" i="1"/>
  <c r="CS64" i="1" s="1"/>
  <c r="BV64" i="1"/>
  <c r="BX64" i="1" s="1"/>
  <c r="BU64" i="1"/>
  <c r="BN64" i="1"/>
  <c r="BO64" i="1" s="1"/>
  <c r="BM64" i="1"/>
  <c r="BD64" i="1"/>
  <c r="BC64" i="1"/>
  <c r="BB64" i="1"/>
  <c r="BA64" i="1"/>
  <c r="AZ64" i="1"/>
  <c r="AY64" i="1"/>
  <c r="AX64" i="1"/>
  <c r="M64" i="1"/>
  <c r="EM46" i="1"/>
  <c r="DU46" i="1"/>
  <c r="DT46" i="1"/>
  <c r="DN46" i="1"/>
  <c r="DM46" i="1"/>
  <c r="DL46" i="1"/>
  <c r="DK46" i="1"/>
  <c r="DI46" i="1"/>
  <c r="DJ46" i="1" s="1"/>
  <c r="DB46" i="1"/>
  <c r="DC46" i="1" s="1"/>
  <c r="CX46" i="1"/>
  <c r="CN46" i="1"/>
  <c r="CP46" i="1" s="1"/>
  <c r="BV46" i="1"/>
  <c r="BX46" i="1" s="1"/>
  <c r="BU46" i="1"/>
  <c r="BN46" i="1"/>
  <c r="BO46" i="1" s="1"/>
  <c r="BM46" i="1"/>
  <c r="BD46" i="1"/>
  <c r="BC46" i="1"/>
  <c r="BB46" i="1"/>
  <c r="BA46" i="1"/>
  <c r="AZ46" i="1"/>
  <c r="AY46" i="1"/>
  <c r="AX46" i="1"/>
  <c r="M46" i="1"/>
  <c r="EM45" i="1"/>
  <c r="DU45" i="1"/>
  <c r="DT45" i="1"/>
  <c r="DN45" i="1"/>
  <c r="DM45" i="1"/>
  <c r="DL45" i="1"/>
  <c r="DK45" i="1"/>
  <c r="DI45" i="1"/>
  <c r="DJ45" i="1" s="1"/>
  <c r="DB45" i="1"/>
  <c r="DC45" i="1" s="1"/>
  <c r="CX45" i="1"/>
  <c r="CN45" i="1"/>
  <c r="CS45" i="1" s="1"/>
  <c r="BV45" i="1"/>
  <c r="BX45" i="1" s="1"/>
  <c r="BU45" i="1"/>
  <c r="BN45" i="1"/>
  <c r="BO45" i="1" s="1"/>
  <c r="BM45" i="1"/>
  <c r="BD45" i="1"/>
  <c r="BC45" i="1"/>
  <c r="BB45" i="1"/>
  <c r="BA45" i="1"/>
  <c r="AZ45" i="1"/>
  <c r="AY45" i="1"/>
  <c r="AX45" i="1"/>
  <c r="M45" i="1"/>
  <c r="EM60" i="1"/>
  <c r="DU60" i="1"/>
  <c r="DT60" i="1"/>
  <c r="DN60" i="1"/>
  <c r="DM60" i="1"/>
  <c r="DL60" i="1"/>
  <c r="DK60" i="1"/>
  <c r="DI60" i="1"/>
  <c r="DJ60" i="1" s="1"/>
  <c r="DB60" i="1"/>
  <c r="DC60" i="1" s="1"/>
  <c r="CX60" i="1"/>
  <c r="CN60" i="1"/>
  <c r="CR60" i="1" s="1"/>
  <c r="BV60" i="1"/>
  <c r="BX60" i="1" s="1"/>
  <c r="BU60" i="1"/>
  <c r="BN60" i="1"/>
  <c r="BO60" i="1" s="1"/>
  <c r="BM60" i="1"/>
  <c r="BD60" i="1"/>
  <c r="BC60" i="1"/>
  <c r="BB60" i="1"/>
  <c r="BA60" i="1"/>
  <c r="AZ60" i="1"/>
  <c r="AY60" i="1"/>
  <c r="AX60" i="1"/>
  <c r="M60" i="1"/>
  <c r="EM58" i="1"/>
  <c r="DU58" i="1"/>
  <c r="DT58" i="1"/>
  <c r="DN58" i="1"/>
  <c r="DM58" i="1"/>
  <c r="DL58" i="1"/>
  <c r="DK58" i="1"/>
  <c r="DI58" i="1"/>
  <c r="DJ58" i="1" s="1"/>
  <c r="DB58" i="1"/>
  <c r="DC58" i="1" s="1"/>
  <c r="CX58" i="1"/>
  <c r="CN58" i="1"/>
  <c r="CS58" i="1" s="1"/>
  <c r="BV58" i="1"/>
  <c r="BX58" i="1" s="1"/>
  <c r="BU58" i="1"/>
  <c r="BN58" i="1"/>
  <c r="BO58" i="1" s="1"/>
  <c r="BM58" i="1"/>
  <c r="BD58" i="1"/>
  <c r="BC58" i="1"/>
  <c r="BB58" i="1"/>
  <c r="BA58" i="1"/>
  <c r="AZ58" i="1"/>
  <c r="AY58" i="1"/>
  <c r="AX58" i="1"/>
  <c r="M58" i="1"/>
  <c r="EM57" i="1"/>
  <c r="DU57" i="1"/>
  <c r="DT57" i="1"/>
  <c r="DN57" i="1"/>
  <c r="DM57" i="1"/>
  <c r="DL57" i="1"/>
  <c r="DK57" i="1"/>
  <c r="DI57" i="1"/>
  <c r="DJ57" i="1" s="1"/>
  <c r="DB57" i="1"/>
  <c r="DC57" i="1" s="1"/>
  <c r="CX57" i="1"/>
  <c r="CN57" i="1"/>
  <c r="CS57" i="1" s="1"/>
  <c r="BV57" i="1"/>
  <c r="BX57" i="1" s="1"/>
  <c r="BU57" i="1"/>
  <c r="BN57" i="1"/>
  <c r="BO57" i="1" s="1"/>
  <c r="BM57" i="1"/>
  <c r="BD57" i="1"/>
  <c r="BC57" i="1"/>
  <c r="BB57" i="1"/>
  <c r="BA57" i="1"/>
  <c r="AZ57" i="1"/>
  <c r="AY57" i="1"/>
  <c r="AX57" i="1"/>
  <c r="M57" i="1"/>
  <c r="EM44" i="1"/>
  <c r="DU44" i="1"/>
  <c r="DT44" i="1"/>
  <c r="DN44" i="1"/>
  <c r="DM44" i="1"/>
  <c r="DL44" i="1"/>
  <c r="DK44" i="1"/>
  <c r="DI44" i="1"/>
  <c r="DJ44" i="1" s="1"/>
  <c r="DB44" i="1"/>
  <c r="DC44" i="1" s="1"/>
  <c r="CX44" i="1"/>
  <c r="CN44" i="1"/>
  <c r="BV44" i="1"/>
  <c r="BX44" i="1" s="1"/>
  <c r="BU44" i="1"/>
  <c r="BN44" i="1"/>
  <c r="BO44" i="1" s="1"/>
  <c r="BM44" i="1"/>
  <c r="BD44" i="1"/>
  <c r="BC44" i="1"/>
  <c r="BB44" i="1"/>
  <c r="BA44" i="1"/>
  <c r="AZ44" i="1"/>
  <c r="AY44" i="1"/>
  <c r="AX44" i="1"/>
  <c r="M44" i="1"/>
  <c r="EM110" i="1"/>
  <c r="DU110" i="1"/>
  <c r="DT110" i="1"/>
  <c r="DN110" i="1"/>
  <c r="DM110" i="1"/>
  <c r="DL110" i="1"/>
  <c r="DK110" i="1"/>
  <c r="DI110" i="1"/>
  <c r="DJ110" i="1" s="1"/>
  <c r="DB110" i="1"/>
  <c r="DC110" i="1" s="1"/>
  <c r="CX110" i="1"/>
  <c r="CN110" i="1"/>
  <c r="BV110" i="1"/>
  <c r="BX110" i="1" s="1"/>
  <c r="BU110" i="1"/>
  <c r="BN110" i="1"/>
  <c r="BO110" i="1" s="1"/>
  <c r="BM110" i="1"/>
  <c r="BD110" i="1"/>
  <c r="BC110" i="1"/>
  <c r="BB110" i="1"/>
  <c r="BA110" i="1"/>
  <c r="AZ110" i="1"/>
  <c r="BF110" i="1" s="1" a="1"/>
  <c r="BF110" i="1" s="1"/>
  <c r="AY110" i="1"/>
  <c r="AX110" i="1"/>
  <c r="M110" i="1"/>
  <c r="EM109" i="1"/>
  <c r="DU109" i="1"/>
  <c r="DT109" i="1"/>
  <c r="DN109" i="1"/>
  <c r="DM109" i="1"/>
  <c r="DL109" i="1"/>
  <c r="DK109" i="1"/>
  <c r="DI109" i="1"/>
  <c r="DJ109" i="1" s="1"/>
  <c r="DB109" i="1"/>
  <c r="DC109" i="1" s="1"/>
  <c r="CX109" i="1"/>
  <c r="CN109" i="1"/>
  <c r="CP109" i="1" s="1"/>
  <c r="BV109" i="1"/>
  <c r="BX109" i="1" s="1"/>
  <c r="BU109" i="1"/>
  <c r="BN109" i="1"/>
  <c r="BO109" i="1" s="1"/>
  <c r="BM109" i="1"/>
  <c r="BD109" i="1"/>
  <c r="BC109" i="1"/>
  <c r="BB109" i="1"/>
  <c r="BA109" i="1"/>
  <c r="AZ109" i="1"/>
  <c r="AY109" i="1"/>
  <c r="AX109" i="1"/>
  <c r="M109" i="1"/>
  <c r="EM108" i="1"/>
  <c r="DU108" i="1"/>
  <c r="DT108" i="1"/>
  <c r="DN108" i="1"/>
  <c r="DM108" i="1"/>
  <c r="DL108" i="1"/>
  <c r="DK108" i="1"/>
  <c r="DI108" i="1"/>
  <c r="DJ108" i="1" s="1"/>
  <c r="DB108" i="1"/>
  <c r="DC108" i="1" s="1"/>
  <c r="CX108" i="1"/>
  <c r="CN108" i="1"/>
  <c r="CS108" i="1" s="1"/>
  <c r="BV108" i="1"/>
  <c r="BX108" i="1" s="1"/>
  <c r="BU108" i="1"/>
  <c r="BN108" i="1"/>
  <c r="BO108" i="1" s="1"/>
  <c r="BM108" i="1"/>
  <c r="BD108" i="1"/>
  <c r="BC108" i="1"/>
  <c r="BB108" i="1"/>
  <c r="BA108" i="1"/>
  <c r="AZ108" i="1"/>
  <c r="AY108" i="1"/>
  <c r="AX108" i="1"/>
  <c r="M108" i="1"/>
  <c r="EM56" i="1"/>
  <c r="DU56" i="1"/>
  <c r="DT56" i="1"/>
  <c r="DN56" i="1"/>
  <c r="DM56" i="1"/>
  <c r="DL56" i="1"/>
  <c r="DK56" i="1"/>
  <c r="DI56" i="1"/>
  <c r="DJ56" i="1" s="1"/>
  <c r="DB56" i="1"/>
  <c r="DC56" i="1" s="1"/>
  <c r="CX56" i="1"/>
  <c r="CN56" i="1"/>
  <c r="CO56" i="1" s="1"/>
  <c r="BV56" i="1"/>
  <c r="BX56" i="1" s="1"/>
  <c r="BU56" i="1"/>
  <c r="BN56" i="1"/>
  <c r="BO56" i="1" s="1"/>
  <c r="BM56" i="1"/>
  <c r="BD56" i="1"/>
  <c r="BC56" i="1"/>
  <c r="BB56" i="1"/>
  <c r="BA56" i="1"/>
  <c r="AZ56" i="1"/>
  <c r="AY56" i="1"/>
  <c r="AX56" i="1"/>
  <c r="M56" i="1"/>
  <c r="EM107" i="1"/>
  <c r="DU107" i="1"/>
  <c r="DT107" i="1"/>
  <c r="DN107" i="1"/>
  <c r="DM107" i="1"/>
  <c r="DL107" i="1"/>
  <c r="DK107" i="1"/>
  <c r="DI107" i="1"/>
  <c r="DJ107" i="1" s="1"/>
  <c r="DB107" i="1"/>
  <c r="DC107" i="1" s="1"/>
  <c r="CX107" i="1"/>
  <c r="CN107" i="1"/>
  <c r="CR107" i="1" s="1"/>
  <c r="BV107" i="1"/>
  <c r="BX107" i="1" s="1"/>
  <c r="BU107" i="1"/>
  <c r="BN107" i="1"/>
  <c r="BO107" i="1" s="1"/>
  <c r="BM107" i="1"/>
  <c r="BD107" i="1"/>
  <c r="BC107" i="1"/>
  <c r="BB107" i="1"/>
  <c r="BA107" i="1"/>
  <c r="AZ107" i="1"/>
  <c r="AY107" i="1"/>
  <c r="AX107" i="1"/>
  <c r="M107" i="1"/>
  <c r="EM982" i="1"/>
  <c r="DU982" i="1"/>
  <c r="DT982" i="1"/>
  <c r="DN982" i="1"/>
  <c r="DM982" i="1"/>
  <c r="DL982" i="1"/>
  <c r="DK982" i="1"/>
  <c r="DI982" i="1"/>
  <c r="DJ982" i="1" s="1"/>
  <c r="DB982" i="1"/>
  <c r="DC982" i="1" s="1"/>
  <c r="CX982" i="1"/>
  <c r="CN982" i="1"/>
  <c r="CR982" i="1" s="1"/>
  <c r="BT982" i="1"/>
  <c r="BV982" i="1" s="1"/>
  <c r="BX982" i="1" s="1"/>
  <c r="BN982" i="1"/>
  <c r="BO982" i="1" s="1"/>
  <c r="BD982" i="1"/>
  <c r="BC982" i="1"/>
  <c r="BB982" i="1"/>
  <c r="BA982" i="1"/>
  <c r="AZ982" i="1"/>
  <c r="AY982" i="1"/>
  <c r="BE982" i="1" s="1" a="1"/>
  <c r="BE982" i="1" s="1"/>
  <c r="AX982" i="1"/>
  <c r="M982" i="1"/>
  <c r="EM864" i="1"/>
  <c r="DU864" i="1"/>
  <c r="DT864" i="1"/>
  <c r="DN864" i="1"/>
  <c r="DM864" i="1"/>
  <c r="DL864" i="1"/>
  <c r="DK864" i="1"/>
  <c r="DI864" i="1"/>
  <c r="DJ864" i="1" s="1"/>
  <c r="DC864" i="1"/>
  <c r="DA864" i="1"/>
  <c r="CX864" i="1"/>
  <c r="CN864" i="1"/>
  <c r="BX864" i="1"/>
  <c r="BN864" i="1"/>
  <c r="BO864" i="1" s="1"/>
  <c r="BD864" i="1"/>
  <c r="BC864" i="1"/>
  <c r="BB864" i="1"/>
  <c r="BA864" i="1"/>
  <c r="AZ864" i="1"/>
  <c r="AY864" i="1"/>
  <c r="BE864" i="1" s="1" a="1"/>
  <c r="BE864" i="1" s="1"/>
  <c r="AX864" i="1"/>
  <c r="M864" i="1"/>
  <c r="EM863" i="1"/>
  <c r="DU863" i="1"/>
  <c r="DT863" i="1"/>
  <c r="DN863" i="1"/>
  <c r="DM863" i="1"/>
  <c r="DL863" i="1"/>
  <c r="DK863" i="1"/>
  <c r="DI863" i="1"/>
  <c r="DJ863" i="1" s="1"/>
  <c r="DC863" i="1"/>
  <c r="DA863" i="1"/>
  <c r="CX863" i="1"/>
  <c r="CN863" i="1"/>
  <c r="CS863" i="1" s="1"/>
  <c r="BX863" i="1"/>
  <c r="BN863" i="1"/>
  <c r="BO863" i="1" s="1"/>
  <c r="BD863" i="1"/>
  <c r="BC863" i="1"/>
  <c r="BB863" i="1"/>
  <c r="BA863" i="1"/>
  <c r="AZ863" i="1"/>
  <c r="AY863" i="1"/>
  <c r="BE863" i="1" s="1" a="1"/>
  <c r="BE863" i="1" s="1"/>
  <c r="AX863" i="1"/>
  <c r="M863" i="1"/>
  <c r="EM862" i="1"/>
  <c r="DU862" i="1"/>
  <c r="DT862" i="1"/>
  <c r="DN862" i="1"/>
  <c r="DM862" i="1"/>
  <c r="DL862" i="1"/>
  <c r="DK862" i="1"/>
  <c r="DI862" i="1"/>
  <c r="DJ862" i="1" s="1"/>
  <c r="DC862" i="1"/>
  <c r="DA862" i="1"/>
  <c r="CX862" i="1"/>
  <c r="CN862" i="1"/>
  <c r="CO862" i="1" s="1"/>
  <c r="BX862" i="1"/>
  <c r="BN862" i="1"/>
  <c r="BO862" i="1" s="1"/>
  <c r="BD862" i="1"/>
  <c r="BC862" i="1"/>
  <c r="BB862" i="1"/>
  <c r="BA862" i="1"/>
  <c r="AZ862" i="1"/>
  <c r="AY862" i="1"/>
  <c r="BE862" i="1" s="1" a="1"/>
  <c r="BE862" i="1" s="1"/>
  <c r="AX862" i="1"/>
  <c r="M862" i="1"/>
  <c r="EM861" i="1"/>
  <c r="DU861" i="1"/>
  <c r="DT861" i="1"/>
  <c r="DN861" i="1"/>
  <c r="DM861" i="1"/>
  <c r="DL861" i="1"/>
  <c r="DK861" i="1"/>
  <c r="DI861" i="1"/>
  <c r="DJ861" i="1" s="1"/>
  <c r="DC861" i="1"/>
  <c r="DA861" i="1"/>
  <c r="CX861" i="1"/>
  <c r="CN861" i="1"/>
  <c r="BX861" i="1"/>
  <c r="BN861" i="1"/>
  <c r="BO861" i="1" s="1"/>
  <c r="BD861" i="1"/>
  <c r="BC861" i="1"/>
  <c r="BB861" i="1"/>
  <c r="BA861" i="1"/>
  <c r="AZ861" i="1"/>
  <c r="AY861" i="1"/>
  <c r="BE861" i="1" s="1" a="1"/>
  <c r="BE861" i="1" s="1"/>
  <c r="AX861" i="1"/>
  <c r="M861" i="1"/>
  <c r="EM918" i="1"/>
  <c r="DU918" i="1"/>
  <c r="DT918" i="1"/>
  <c r="DN918" i="1"/>
  <c r="DM918" i="1"/>
  <c r="DL918" i="1"/>
  <c r="DK918" i="1"/>
  <c r="DI918" i="1"/>
  <c r="DJ918" i="1" s="1"/>
  <c r="DB918" i="1"/>
  <c r="DC918" i="1" s="1"/>
  <c r="CX918" i="1"/>
  <c r="CN918" i="1"/>
  <c r="CR918" i="1" s="1"/>
  <c r="BV918" i="1"/>
  <c r="BX918" i="1" s="1"/>
  <c r="BU918" i="1"/>
  <c r="BN918" i="1"/>
  <c r="BO918" i="1" s="1"/>
  <c r="BM918" i="1"/>
  <c r="BD918" i="1"/>
  <c r="BC918" i="1"/>
  <c r="BB918" i="1"/>
  <c r="BA918" i="1"/>
  <c r="AZ918" i="1"/>
  <c r="BF918" i="1" s="1" a="1"/>
  <c r="BF918" i="1" s="1"/>
  <c r="AY918" i="1"/>
  <c r="BE918" i="1" s="1" a="1"/>
  <c r="BE918" i="1" s="1"/>
  <c r="AX918" i="1"/>
  <c r="M918" i="1"/>
  <c r="EM647" i="1"/>
  <c r="DU647" i="1"/>
  <c r="DT647" i="1"/>
  <c r="DN647" i="1"/>
  <c r="DM647" i="1"/>
  <c r="DL647" i="1"/>
  <c r="DK647" i="1"/>
  <c r="DI647" i="1"/>
  <c r="DJ647" i="1" s="1"/>
  <c r="DC647" i="1"/>
  <c r="CX647" i="1"/>
  <c r="CN647" i="1"/>
  <c r="CS647" i="1" s="1"/>
  <c r="BV647" i="1"/>
  <c r="BX647" i="1" s="1"/>
  <c r="BU647" i="1"/>
  <c r="BN647" i="1"/>
  <c r="BO647" i="1" s="1"/>
  <c r="BM647" i="1"/>
  <c r="BD647" i="1"/>
  <c r="BC647" i="1"/>
  <c r="BB647" i="1"/>
  <c r="BA647" i="1"/>
  <c r="AZ647" i="1"/>
  <c r="AY647" i="1"/>
  <c r="BE647" i="1" s="1" a="1"/>
  <c r="BE647" i="1" s="1"/>
  <c r="AX647" i="1"/>
  <c r="M647" i="1"/>
  <c r="EM652" i="1"/>
  <c r="DU652" i="1"/>
  <c r="DT652" i="1"/>
  <c r="DN652" i="1"/>
  <c r="DM652" i="1"/>
  <c r="DL652" i="1"/>
  <c r="DK652" i="1"/>
  <c r="DI652" i="1"/>
  <c r="DJ652" i="1" s="1"/>
  <c r="DC652" i="1"/>
  <c r="CX652" i="1"/>
  <c r="CN652" i="1"/>
  <c r="CR652" i="1" s="1"/>
  <c r="BV652" i="1"/>
  <c r="BX652" i="1" s="1"/>
  <c r="BU652" i="1"/>
  <c r="BN652" i="1"/>
  <c r="BO652" i="1" s="1"/>
  <c r="BM652" i="1"/>
  <c r="BD652" i="1"/>
  <c r="BC652" i="1"/>
  <c r="BB652" i="1"/>
  <c r="BA652" i="1"/>
  <c r="AZ652" i="1"/>
  <c r="AY652" i="1"/>
  <c r="BE652" i="1" s="1" a="1"/>
  <c r="BE652" i="1" s="1"/>
  <c r="AX652" i="1"/>
  <c r="M652" i="1"/>
  <c r="EM650" i="1"/>
  <c r="DU650" i="1"/>
  <c r="DT650" i="1"/>
  <c r="DN650" i="1"/>
  <c r="DM650" i="1"/>
  <c r="DL650" i="1"/>
  <c r="DK650" i="1"/>
  <c r="DI650" i="1"/>
  <c r="DJ650" i="1" s="1"/>
  <c r="DC650" i="1"/>
  <c r="CX650" i="1"/>
  <c r="CN650" i="1"/>
  <c r="CP650" i="1" s="1"/>
  <c r="BV650" i="1"/>
  <c r="BX650" i="1" s="1"/>
  <c r="BU650" i="1"/>
  <c r="BN650" i="1"/>
  <c r="BO650" i="1" s="1"/>
  <c r="BM650" i="1"/>
  <c r="BD650" i="1"/>
  <c r="BC650" i="1"/>
  <c r="BB650" i="1"/>
  <c r="BA650" i="1"/>
  <c r="AZ650" i="1"/>
  <c r="AY650" i="1"/>
  <c r="BE650" i="1" s="1" a="1"/>
  <c r="BE650" i="1" s="1"/>
  <c r="AX650" i="1"/>
  <c r="M650" i="1"/>
  <c r="EM651" i="1"/>
  <c r="DU651" i="1"/>
  <c r="DT651" i="1"/>
  <c r="DN651" i="1"/>
  <c r="DM651" i="1"/>
  <c r="DL651" i="1"/>
  <c r="DK651" i="1"/>
  <c r="DI651" i="1"/>
  <c r="DJ651" i="1" s="1"/>
  <c r="DC651" i="1"/>
  <c r="CX651" i="1"/>
  <c r="CN651" i="1"/>
  <c r="BV651" i="1"/>
  <c r="BX651" i="1" s="1"/>
  <c r="BU651" i="1"/>
  <c r="BN651" i="1"/>
  <c r="BO651" i="1" s="1"/>
  <c r="BM651" i="1"/>
  <c r="BD651" i="1"/>
  <c r="BC651" i="1"/>
  <c r="BB651" i="1"/>
  <c r="BA651" i="1"/>
  <c r="AZ651" i="1"/>
  <c r="BF651" i="1" s="1" a="1"/>
  <c r="BF651" i="1" s="1"/>
  <c r="AY651" i="1"/>
  <c r="BE651" i="1" s="1" a="1"/>
  <c r="BE651" i="1" s="1"/>
  <c r="AX651" i="1"/>
  <c r="M651" i="1"/>
  <c r="EM499" i="1"/>
  <c r="DU499" i="1"/>
  <c r="DT499" i="1"/>
  <c r="DN499" i="1"/>
  <c r="DM499" i="1"/>
  <c r="DL499" i="1"/>
  <c r="DK499" i="1"/>
  <c r="DI499" i="1"/>
  <c r="DJ499" i="1" s="1"/>
  <c r="DC499" i="1"/>
  <c r="CX499" i="1"/>
  <c r="BT499" i="1"/>
  <c r="BS499" i="1"/>
  <c r="BU499" i="1" s="1"/>
  <c r="BL499" i="1"/>
  <c r="BK499" i="1"/>
  <c r="BD499" i="1"/>
  <c r="BC499" i="1"/>
  <c r="BB499" i="1"/>
  <c r="BA499" i="1"/>
  <c r="AZ499" i="1"/>
  <c r="AY499" i="1"/>
  <c r="BE499" i="1" s="1" a="1"/>
  <c r="BE499" i="1" s="1"/>
  <c r="AX499" i="1"/>
  <c r="M499" i="1"/>
  <c r="EM340" i="1"/>
  <c r="DU340" i="1"/>
  <c r="DT340" i="1"/>
  <c r="DN340" i="1"/>
  <c r="DM340" i="1"/>
  <c r="DL340" i="1"/>
  <c r="DK340" i="1"/>
  <c r="DI340" i="1"/>
  <c r="DJ340" i="1" s="1"/>
  <c r="DC340" i="1"/>
  <c r="CX340" i="1"/>
  <c r="CN340" i="1"/>
  <c r="CR340" i="1" s="1"/>
  <c r="BX340" i="1"/>
  <c r="BV340" i="1"/>
  <c r="BN340" i="1"/>
  <c r="BO340" i="1" s="1"/>
  <c r="BD340" i="1"/>
  <c r="BC340" i="1"/>
  <c r="BB340" i="1"/>
  <c r="BA340" i="1"/>
  <c r="AZ340" i="1"/>
  <c r="BF340" i="1" s="1" a="1"/>
  <c r="BF340" i="1" s="1"/>
  <c r="AY340" i="1"/>
  <c r="BE340" i="1" s="1" a="1"/>
  <c r="BE340" i="1" s="1"/>
  <c r="AX340" i="1"/>
  <c r="M340" i="1"/>
  <c r="EM339" i="1"/>
  <c r="DU339" i="1"/>
  <c r="DT339" i="1"/>
  <c r="DN339" i="1"/>
  <c r="DM339" i="1"/>
  <c r="DL339" i="1"/>
  <c r="DK339" i="1"/>
  <c r="DI339" i="1"/>
  <c r="DJ339" i="1" s="1"/>
  <c r="DC339" i="1"/>
  <c r="CX339" i="1"/>
  <c r="CN339" i="1"/>
  <c r="CO339" i="1" s="1"/>
  <c r="BV339" i="1"/>
  <c r="BX339" i="1" s="1"/>
  <c r="BN339" i="1"/>
  <c r="BO339" i="1" s="1"/>
  <c r="BD339" i="1"/>
  <c r="BC339" i="1"/>
  <c r="BB339" i="1"/>
  <c r="BA339" i="1"/>
  <c r="AZ339" i="1"/>
  <c r="AY339" i="1"/>
  <c r="BE339" i="1" s="1" a="1"/>
  <c r="BE339" i="1" s="1"/>
  <c r="AX339" i="1"/>
  <c r="M339" i="1"/>
  <c r="EM338" i="1"/>
  <c r="DU338" i="1"/>
  <c r="DT338" i="1"/>
  <c r="DN338" i="1"/>
  <c r="DM338" i="1"/>
  <c r="DL338" i="1"/>
  <c r="DK338" i="1"/>
  <c r="DI338" i="1"/>
  <c r="DJ338" i="1" s="1"/>
  <c r="DC338" i="1"/>
  <c r="CX338" i="1"/>
  <c r="CN338" i="1"/>
  <c r="CP338" i="1" s="1"/>
  <c r="BV338" i="1"/>
  <c r="BX338" i="1" s="1"/>
  <c r="BN338" i="1"/>
  <c r="BO338" i="1" s="1"/>
  <c r="BD338" i="1"/>
  <c r="BC338" i="1"/>
  <c r="BB338" i="1"/>
  <c r="BA338" i="1"/>
  <c r="AZ338" i="1"/>
  <c r="AY338" i="1"/>
  <c r="AX338" i="1"/>
  <c r="M338" i="1"/>
  <c r="EM333" i="1"/>
  <c r="DU333" i="1"/>
  <c r="DT333" i="1"/>
  <c r="DN333" i="1"/>
  <c r="DM333" i="1"/>
  <c r="DL333" i="1"/>
  <c r="DK333" i="1"/>
  <c r="DI333" i="1"/>
  <c r="DJ333" i="1" s="1"/>
  <c r="DC333" i="1"/>
  <c r="CX333" i="1"/>
  <c r="CN333" i="1"/>
  <c r="BV333" i="1"/>
  <c r="BX333" i="1" s="1"/>
  <c r="BN333" i="1"/>
  <c r="BO333" i="1" s="1"/>
  <c r="BD333" i="1"/>
  <c r="BC333" i="1"/>
  <c r="BB333" i="1"/>
  <c r="BA333" i="1"/>
  <c r="AZ333" i="1"/>
  <c r="AY333" i="1"/>
  <c r="BE333" i="1" s="1" a="1"/>
  <c r="BE333" i="1" s="1"/>
  <c r="AX333" i="1"/>
  <c r="M333" i="1"/>
  <c r="EM331" i="1"/>
  <c r="DU331" i="1"/>
  <c r="DT331" i="1"/>
  <c r="DN331" i="1"/>
  <c r="DM331" i="1"/>
  <c r="DL331" i="1"/>
  <c r="DK331" i="1"/>
  <c r="DI331" i="1"/>
  <c r="DJ331" i="1" s="1"/>
  <c r="DC331" i="1"/>
  <c r="CX331" i="1"/>
  <c r="CN331" i="1"/>
  <c r="CR331" i="1" s="1"/>
  <c r="BV331" i="1"/>
  <c r="BX331" i="1" s="1"/>
  <c r="BN331" i="1"/>
  <c r="BO331" i="1" s="1"/>
  <c r="BD331" i="1"/>
  <c r="BC331" i="1"/>
  <c r="BB331" i="1"/>
  <c r="BA331" i="1"/>
  <c r="AZ331" i="1"/>
  <c r="AY331" i="1"/>
  <c r="AX331" i="1"/>
  <c r="M331" i="1"/>
  <c r="EM348" i="1"/>
  <c r="DU348" i="1"/>
  <c r="DT348" i="1"/>
  <c r="DN348" i="1"/>
  <c r="DM348" i="1"/>
  <c r="DL348" i="1"/>
  <c r="DK348" i="1"/>
  <c r="DI348" i="1"/>
  <c r="DJ348" i="1" s="1"/>
  <c r="DC348" i="1"/>
  <c r="CX348" i="1"/>
  <c r="CN348" i="1"/>
  <c r="CS348" i="1" s="1"/>
  <c r="BV348" i="1"/>
  <c r="BX348" i="1" s="1"/>
  <c r="BN348" i="1"/>
  <c r="BO348" i="1" s="1"/>
  <c r="BD348" i="1"/>
  <c r="BC348" i="1"/>
  <c r="BB348" i="1"/>
  <c r="BA348" i="1"/>
  <c r="AZ348" i="1"/>
  <c r="AY348" i="1"/>
  <c r="BE348" i="1" s="1" a="1"/>
  <c r="BE348" i="1" s="1"/>
  <c r="AX348" i="1"/>
  <c r="M348" i="1"/>
  <c r="EM347" i="1"/>
  <c r="DU347" i="1"/>
  <c r="DT347" i="1"/>
  <c r="DN347" i="1"/>
  <c r="DM347" i="1"/>
  <c r="DL347" i="1"/>
  <c r="DK347" i="1"/>
  <c r="DI347" i="1"/>
  <c r="DJ347" i="1" s="1"/>
  <c r="DC347" i="1"/>
  <c r="CX347" i="1"/>
  <c r="CN347" i="1"/>
  <c r="CS347" i="1" s="1"/>
  <c r="BV347" i="1"/>
  <c r="BX347" i="1" s="1"/>
  <c r="BN347" i="1"/>
  <c r="BO347" i="1" s="1"/>
  <c r="BD347" i="1"/>
  <c r="BC347" i="1"/>
  <c r="BB347" i="1"/>
  <c r="BA347" i="1"/>
  <c r="AZ347" i="1"/>
  <c r="AY347" i="1"/>
  <c r="BE347" i="1" s="1" a="1"/>
  <c r="BE347" i="1" s="1"/>
  <c r="AX347" i="1"/>
  <c r="M347" i="1"/>
  <c r="EM344" i="1"/>
  <c r="DU344" i="1"/>
  <c r="DT344" i="1"/>
  <c r="DN344" i="1"/>
  <c r="DM344" i="1"/>
  <c r="DL344" i="1"/>
  <c r="DK344" i="1"/>
  <c r="DI344" i="1"/>
  <c r="DJ344" i="1" s="1"/>
  <c r="DC344" i="1"/>
  <c r="CX344" i="1"/>
  <c r="CN344" i="1"/>
  <c r="CO344" i="1" s="1"/>
  <c r="BV344" i="1"/>
  <c r="BX344" i="1" s="1"/>
  <c r="BN344" i="1"/>
  <c r="BO344" i="1" s="1"/>
  <c r="BD344" i="1"/>
  <c r="BC344" i="1"/>
  <c r="BB344" i="1"/>
  <c r="BA344" i="1"/>
  <c r="AZ344" i="1"/>
  <c r="AY344" i="1"/>
  <c r="AX344" i="1"/>
  <c r="M344" i="1"/>
  <c r="EM343" i="1"/>
  <c r="DU343" i="1"/>
  <c r="DT343" i="1"/>
  <c r="DN343" i="1"/>
  <c r="DM343" i="1"/>
  <c r="DL343" i="1"/>
  <c r="DK343" i="1"/>
  <c r="DI343" i="1"/>
  <c r="DJ343" i="1" s="1"/>
  <c r="DC343" i="1"/>
  <c r="CX343" i="1"/>
  <c r="CN343" i="1"/>
  <c r="CO343" i="1" s="1"/>
  <c r="BV343" i="1"/>
  <c r="BX343" i="1" s="1"/>
  <c r="BN343" i="1"/>
  <c r="BO343" i="1" s="1"/>
  <c r="BD343" i="1"/>
  <c r="BC343" i="1"/>
  <c r="BB343" i="1"/>
  <c r="BA343" i="1"/>
  <c r="AZ343" i="1"/>
  <c r="BF343" i="1" s="1" a="1"/>
  <c r="BF343" i="1" s="1"/>
  <c r="AY343" i="1"/>
  <c r="BE343" i="1" s="1" a="1"/>
  <c r="BE343" i="1" s="1"/>
  <c r="AX343" i="1"/>
  <c r="M343" i="1"/>
  <c r="EM332" i="1"/>
  <c r="DU332" i="1"/>
  <c r="DT332" i="1"/>
  <c r="DN332" i="1"/>
  <c r="DM332" i="1"/>
  <c r="DL332" i="1"/>
  <c r="DK332" i="1"/>
  <c r="DI332" i="1"/>
  <c r="DJ332" i="1" s="1"/>
  <c r="DC332" i="1"/>
  <c r="CX332" i="1"/>
  <c r="CN332" i="1"/>
  <c r="CS332" i="1" s="1"/>
  <c r="BV332" i="1"/>
  <c r="BX332" i="1" s="1"/>
  <c r="BN332" i="1"/>
  <c r="BO332" i="1" s="1"/>
  <c r="BD332" i="1"/>
  <c r="BC332" i="1"/>
  <c r="BB332" i="1"/>
  <c r="BA332" i="1"/>
  <c r="AZ332" i="1"/>
  <c r="AY332" i="1"/>
  <c r="AX332" i="1"/>
  <c r="M332" i="1"/>
  <c r="EM494" i="1"/>
  <c r="DU494" i="1"/>
  <c r="DT494" i="1"/>
  <c r="DN494" i="1"/>
  <c r="DM494" i="1"/>
  <c r="DL494" i="1"/>
  <c r="DK494" i="1"/>
  <c r="DI494" i="1"/>
  <c r="DJ494" i="1" s="1"/>
  <c r="DC494" i="1"/>
  <c r="CX494" i="1"/>
  <c r="CN494" i="1"/>
  <c r="CS494" i="1" s="1"/>
  <c r="BV494" i="1"/>
  <c r="BX494" i="1" s="1"/>
  <c r="BN494" i="1"/>
  <c r="BO494" i="1" s="1"/>
  <c r="BD494" i="1"/>
  <c r="BC494" i="1"/>
  <c r="BB494" i="1"/>
  <c r="BA494" i="1"/>
  <c r="AZ494" i="1"/>
  <c r="AY494" i="1"/>
  <c r="BE494" i="1" s="1" a="1"/>
  <c r="BE494" i="1" s="1"/>
  <c r="AX494" i="1"/>
  <c r="M494" i="1"/>
  <c r="EM493" i="1"/>
  <c r="DU493" i="1"/>
  <c r="DT493" i="1"/>
  <c r="DN493" i="1"/>
  <c r="DM493" i="1"/>
  <c r="DL493" i="1"/>
  <c r="DK493" i="1"/>
  <c r="DI493" i="1"/>
  <c r="DJ493" i="1" s="1"/>
  <c r="DC493" i="1"/>
  <c r="CX493" i="1"/>
  <c r="CN493" i="1"/>
  <c r="CO493" i="1" s="1"/>
  <c r="BV493" i="1"/>
  <c r="BX493" i="1" s="1"/>
  <c r="BN493" i="1"/>
  <c r="BO493" i="1" s="1"/>
  <c r="BD493" i="1"/>
  <c r="BC493" i="1"/>
  <c r="BB493" i="1"/>
  <c r="BA493" i="1"/>
  <c r="AZ493" i="1"/>
  <c r="BF493" i="1" s="1" a="1"/>
  <c r="BF493" i="1" s="1"/>
  <c r="AY493" i="1"/>
  <c r="BE493" i="1" s="1" a="1"/>
  <c r="BE493" i="1" s="1"/>
  <c r="AX493" i="1"/>
  <c r="M493" i="1"/>
  <c r="EM492" i="1"/>
  <c r="DU492" i="1"/>
  <c r="DT492" i="1"/>
  <c r="DN492" i="1"/>
  <c r="DM492" i="1"/>
  <c r="DL492" i="1"/>
  <c r="DK492" i="1"/>
  <c r="DI492" i="1"/>
  <c r="DJ492" i="1" s="1"/>
  <c r="DC492" i="1"/>
  <c r="CX492" i="1"/>
  <c r="CN492" i="1"/>
  <c r="CP492" i="1" s="1"/>
  <c r="BV492" i="1"/>
  <c r="BX492" i="1" s="1"/>
  <c r="BN492" i="1"/>
  <c r="BO492" i="1" s="1"/>
  <c r="BD492" i="1"/>
  <c r="BC492" i="1"/>
  <c r="BB492" i="1"/>
  <c r="BA492" i="1"/>
  <c r="AZ492" i="1"/>
  <c r="AY492" i="1"/>
  <c r="AX492" i="1"/>
  <c r="M492" i="1"/>
  <c r="EM491" i="1"/>
  <c r="DU491" i="1"/>
  <c r="DT491" i="1"/>
  <c r="DN491" i="1"/>
  <c r="DM491" i="1"/>
  <c r="DL491" i="1"/>
  <c r="DK491" i="1"/>
  <c r="DI491" i="1"/>
  <c r="DJ491" i="1" s="1"/>
  <c r="DC491" i="1"/>
  <c r="CX491" i="1"/>
  <c r="CN491" i="1"/>
  <c r="BV491" i="1"/>
  <c r="BX491" i="1" s="1"/>
  <c r="BN491" i="1"/>
  <c r="BO491" i="1" s="1"/>
  <c r="BD491" i="1"/>
  <c r="BC491" i="1"/>
  <c r="BB491" i="1"/>
  <c r="BA491" i="1"/>
  <c r="AZ491" i="1"/>
  <c r="AY491" i="1"/>
  <c r="BE491" i="1" s="1" a="1"/>
  <c r="BE491" i="1" s="1"/>
  <c r="AX491" i="1"/>
  <c r="M491" i="1"/>
  <c r="EM91" i="1"/>
  <c r="DU91" i="1"/>
  <c r="DT91" i="1"/>
  <c r="DN91" i="1"/>
  <c r="DM91" i="1"/>
  <c r="DL91" i="1"/>
  <c r="DK91" i="1"/>
  <c r="DI91" i="1"/>
  <c r="DJ91" i="1" s="1"/>
  <c r="DC91" i="1"/>
  <c r="CX91" i="1"/>
  <c r="CN91" i="1"/>
  <c r="BV91" i="1"/>
  <c r="BX91" i="1" s="1"/>
  <c r="BN91" i="1"/>
  <c r="BO91" i="1" s="1"/>
  <c r="BD91" i="1"/>
  <c r="BC91" i="1"/>
  <c r="BB91" i="1"/>
  <c r="BA91" i="1"/>
  <c r="AZ91" i="1"/>
  <c r="AY91" i="1"/>
  <c r="AX91" i="1"/>
  <c r="M91" i="1"/>
  <c r="EM696" i="1"/>
  <c r="DU696" i="1"/>
  <c r="DT696" i="1"/>
  <c r="DN696" i="1"/>
  <c r="DM696" i="1"/>
  <c r="DL696" i="1"/>
  <c r="DK696" i="1"/>
  <c r="DI696" i="1"/>
  <c r="DJ696" i="1" s="1"/>
  <c r="DC696" i="1"/>
  <c r="CX696" i="1"/>
  <c r="CN696" i="1"/>
  <c r="CR696" i="1" s="1"/>
  <c r="BX696" i="1"/>
  <c r="BY696" i="1" s="1"/>
  <c r="BT696" i="1"/>
  <c r="BD696" i="1"/>
  <c r="BC696" i="1"/>
  <c r="BB696" i="1"/>
  <c r="BA696" i="1"/>
  <c r="AZ696" i="1"/>
  <c r="AY696" i="1"/>
  <c r="BE696" i="1" s="1" a="1"/>
  <c r="BE696" i="1" s="1"/>
  <c r="AX696" i="1"/>
  <c r="M696" i="1"/>
  <c r="EM695" i="1"/>
  <c r="DU695" i="1"/>
  <c r="DT695" i="1"/>
  <c r="DN695" i="1"/>
  <c r="DM695" i="1"/>
  <c r="DL695" i="1"/>
  <c r="DK695" i="1"/>
  <c r="DI695" i="1"/>
  <c r="DJ695" i="1" s="1"/>
  <c r="DC695" i="1"/>
  <c r="CX695" i="1"/>
  <c r="CN695" i="1"/>
  <c r="BX695" i="1"/>
  <c r="BY695" i="1" s="1"/>
  <c r="BT695" i="1"/>
  <c r="BU695" i="1" s="1"/>
  <c r="BD695" i="1"/>
  <c r="BC695" i="1"/>
  <c r="BB695" i="1"/>
  <c r="BA695" i="1"/>
  <c r="AZ695" i="1"/>
  <c r="BF695" i="1" s="1" a="1"/>
  <c r="BF695" i="1" s="1"/>
  <c r="AY695" i="1"/>
  <c r="BE695" i="1" s="1" a="1"/>
  <c r="BE695" i="1" s="1"/>
  <c r="AX695" i="1"/>
  <c r="M695" i="1"/>
  <c r="EM415" i="1"/>
  <c r="DU415" i="1"/>
  <c r="DT415" i="1"/>
  <c r="DN415" i="1"/>
  <c r="DM415" i="1"/>
  <c r="DL415" i="1"/>
  <c r="DK415" i="1"/>
  <c r="DI415" i="1"/>
  <c r="DJ415" i="1" s="1"/>
  <c r="DC415" i="1"/>
  <c r="CX415" i="1"/>
  <c r="CN415" i="1"/>
  <c r="BX415" i="1"/>
  <c r="BY415" i="1" s="1"/>
  <c r="BT415" i="1"/>
  <c r="BU415" i="1" s="1"/>
  <c r="BD415" i="1"/>
  <c r="BC415" i="1"/>
  <c r="BB415" i="1"/>
  <c r="BA415" i="1"/>
  <c r="AZ415" i="1"/>
  <c r="AY415" i="1"/>
  <c r="BE415" i="1" s="1" a="1"/>
  <c r="BE415" i="1" s="1"/>
  <c r="AX415" i="1"/>
  <c r="M415" i="1"/>
  <c r="EM414" i="1"/>
  <c r="DU414" i="1"/>
  <c r="DT414" i="1"/>
  <c r="DN414" i="1"/>
  <c r="DM414" i="1"/>
  <c r="DL414" i="1"/>
  <c r="DK414" i="1"/>
  <c r="DI414" i="1"/>
  <c r="DJ414" i="1" s="1"/>
  <c r="DC414" i="1"/>
  <c r="CX414" i="1"/>
  <c r="CN414" i="1"/>
  <c r="BX414" i="1"/>
  <c r="BY414" i="1" s="1"/>
  <c r="BT414" i="1"/>
  <c r="BU414" i="1" s="1"/>
  <c r="BD414" i="1"/>
  <c r="BC414" i="1"/>
  <c r="BB414" i="1"/>
  <c r="BA414" i="1"/>
  <c r="AZ414" i="1"/>
  <c r="AY414" i="1"/>
  <c r="BE414" i="1" s="1" a="1"/>
  <c r="BE414" i="1" s="1"/>
  <c r="AX414" i="1"/>
  <c r="M414" i="1"/>
  <c r="EM942" i="1"/>
  <c r="DU942" i="1"/>
  <c r="DT942" i="1"/>
  <c r="DN942" i="1"/>
  <c r="DM942" i="1"/>
  <c r="DL942" i="1"/>
  <c r="DK942" i="1"/>
  <c r="DI942" i="1"/>
  <c r="DJ942" i="1" s="1"/>
  <c r="DC942" i="1"/>
  <c r="CX942" i="1"/>
  <c r="CN942" i="1"/>
  <c r="CS942" i="1" s="1"/>
  <c r="BV942" i="1"/>
  <c r="BX942" i="1" s="1"/>
  <c r="BN942" i="1"/>
  <c r="BO942" i="1" s="1"/>
  <c r="BD942" i="1"/>
  <c r="BC942" i="1"/>
  <c r="BB942" i="1"/>
  <c r="BA942" i="1"/>
  <c r="AZ942" i="1"/>
  <c r="BF942" i="1" s="1" a="1"/>
  <c r="BF942" i="1" s="1"/>
  <c r="AY942" i="1"/>
  <c r="BE942" i="1" s="1" a="1"/>
  <c r="BE942" i="1" s="1"/>
  <c r="AX942" i="1"/>
  <c r="M942" i="1"/>
  <c r="EM439" i="1"/>
  <c r="DU439" i="1"/>
  <c r="DT439" i="1"/>
  <c r="DN439" i="1"/>
  <c r="DM439" i="1"/>
  <c r="DL439" i="1"/>
  <c r="DK439" i="1"/>
  <c r="DI439" i="1"/>
  <c r="DJ439" i="1" s="1"/>
  <c r="DC439" i="1"/>
  <c r="CX439" i="1"/>
  <c r="BV439" i="1"/>
  <c r="BX439" i="1" s="1"/>
  <c r="BU439" i="1"/>
  <c r="BL439" i="1"/>
  <c r="BK439" i="1"/>
  <c r="BD439" i="1"/>
  <c r="BC439" i="1"/>
  <c r="BB439" i="1"/>
  <c r="BA439" i="1"/>
  <c r="AZ439" i="1"/>
  <c r="AY439" i="1"/>
  <c r="AX439" i="1"/>
  <c r="M439" i="1"/>
  <c r="EM438" i="1"/>
  <c r="DU438" i="1"/>
  <c r="DT438" i="1"/>
  <c r="DN438" i="1"/>
  <c r="DM438" i="1"/>
  <c r="DL438" i="1"/>
  <c r="DK438" i="1"/>
  <c r="DI438" i="1"/>
  <c r="DJ438" i="1" s="1"/>
  <c r="DC438" i="1"/>
  <c r="CX438" i="1"/>
  <c r="BV438" i="1"/>
  <c r="BX438" i="1" s="1"/>
  <c r="BU438" i="1"/>
  <c r="BL438" i="1"/>
  <c r="BK438" i="1"/>
  <c r="BD438" i="1"/>
  <c r="BC438" i="1"/>
  <c r="BB438" i="1"/>
  <c r="BA438" i="1"/>
  <c r="AZ438" i="1"/>
  <c r="AY438" i="1"/>
  <c r="AX438" i="1"/>
  <c r="M438" i="1"/>
  <c r="EM437" i="1"/>
  <c r="DU437" i="1"/>
  <c r="DT437" i="1"/>
  <c r="DN437" i="1"/>
  <c r="DM437" i="1"/>
  <c r="DL437" i="1"/>
  <c r="DK437" i="1"/>
  <c r="DI437" i="1"/>
  <c r="DJ437" i="1" s="1"/>
  <c r="DC437" i="1"/>
  <c r="CX437" i="1"/>
  <c r="BV437" i="1"/>
  <c r="BX437" i="1" s="1"/>
  <c r="BU437" i="1"/>
  <c r="BL437" i="1"/>
  <c r="BK437" i="1"/>
  <c r="BD437" i="1"/>
  <c r="BC437" i="1"/>
  <c r="BB437" i="1"/>
  <c r="BA437" i="1"/>
  <c r="AZ437" i="1"/>
  <c r="AY437" i="1"/>
  <c r="AX437" i="1"/>
  <c r="M437" i="1"/>
  <c r="EM436" i="1"/>
  <c r="DU436" i="1"/>
  <c r="DT436" i="1"/>
  <c r="DN436" i="1"/>
  <c r="DM436" i="1"/>
  <c r="DL436" i="1"/>
  <c r="DK436" i="1"/>
  <c r="DI436" i="1"/>
  <c r="DJ436" i="1" s="1"/>
  <c r="DC436" i="1"/>
  <c r="CX436" i="1"/>
  <c r="BV436" i="1"/>
  <c r="BX436" i="1" s="1"/>
  <c r="BU436" i="1"/>
  <c r="BL436" i="1"/>
  <c r="BK436" i="1"/>
  <c r="BD436" i="1"/>
  <c r="BC436" i="1"/>
  <c r="BB436" i="1"/>
  <c r="BA436" i="1"/>
  <c r="AZ436" i="1"/>
  <c r="BF436" i="1" s="1" a="1"/>
  <c r="BF436" i="1" s="1"/>
  <c r="AY436" i="1"/>
  <c r="AX436" i="1"/>
  <c r="M436" i="1"/>
  <c r="EM686" i="1"/>
  <c r="DU686" i="1"/>
  <c r="DT686" i="1"/>
  <c r="DN686" i="1"/>
  <c r="DM686" i="1"/>
  <c r="DL686" i="1"/>
  <c r="DK686" i="1"/>
  <c r="DI686" i="1"/>
  <c r="DJ686" i="1" s="1"/>
  <c r="DB686" i="1"/>
  <c r="DC686" i="1" s="1"/>
  <c r="CX686" i="1"/>
  <c r="CV686" i="1"/>
  <c r="CN686" i="1"/>
  <c r="BN686" i="1"/>
  <c r="BO686" i="1" s="1"/>
  <c r="BY686" i="1" s="1"/>
  <c r="EP686" i="1" s="1"/>
  <c r="BD686" i="1"/>
  <c r="BC686" i="1"/>
  <c r="BB686" i="1"/>
  <c r="BA686" i="1"/>
  <c r="AZ686" i="1"/>
  <c r="BF686" i="1" s="1" a="1"/>
  <c r="BF686" i="1" s="1"/>
  <c r="AY686" i="1"/>
  <c r="BE686" i="1" s="1" a="1"/>
  <c r="BE686" i="1" s="1"/>
  <c r="AX686" i="1"/>
  <c r="M686" i="1"/>
  <c r="EM685" i="1"/>
  <c r="DU685" i="1"/>
  <c r="DT685" i="1"/>
  <c r="DN685" i="1"/>
  <c r="DM685" i="1"/>
  <c r="DL685" i="1"/>
  <c r="DK685" i="1"/>
  <c r="DI685" i="1"/>
  <c r="DJ685" i="1" s="1"/>
  <c r="DB685" i="1"/>
  <c r="DC685" i="1" s="1"/>
  <c r="CX685" i="1"/>
  <c r="CV685" i="1"/>
  <c r="CN685" i="1"/>
  <c r="BN685" i="1"/>
  <c r="BO685" i="1" s="1"/>
  <c r="BD685" i="1"/>
  <c r="BC685" i="1"/>
  <c r="BB685" i="1"/>
  <c r="BA685" i="1"/>
  <c r="AZ685" i="1"/>
  <c r="AY685" i="1"/>
  <c r="BE685" i="1" s="1" a="1"/>
  <c r="BE685" i="1" s="1"/>
  <c r="AX685" i="1"/>
  <c r="M685" i="1"/>
  <c r="EM684" i="1"/>
  <c r="DU684" i="1"/>
  <c r="DT684" i="1"/>
  <c r="DN684" i="1"/>
  <c r="DM684" i="1"/>
  <c r="DL684" i="1"/>
  <c r="DK684" i="1"/>
  <c r="DI684" i="1"/>
  <c r="DJ684" i="1" s="1"/>
  <c r="DB684" i="1"/>
  <c r="DC684" i="1" s="1"/>
  <c r="CX684" i="1"/>
  <c r="CV684" i="1"/>
  <c r="CN684" i="1"/>
  <c r="CP684" i="1" s="1"/>
  <c r="BN684" i="1"/>
  <c r="BO684" i="1" s="1"/>
  <c r="BY684" i="1" s="1"/>
  <c r="BD684" i="1"/>
  <c r="BC684" i="1"/>
  <c r="BB684" i="1"/>
  <c r="BA684" i="1"/>
  <c r="AZ684" i="1"/>
  <c r="AY684" i="1"/>
  <c r="BE684" i="1" s="1" a="1"/>
  <c r="BE684" i="1" s="1"/>
  <c r="AX684" i="1"/>
  <c r="M684" i="1"/>
  <c r="EM683" i="1"/>
  <c r="DU683" i="1"/>
  <c r="DT683" i="1"/>
  <c r="DN683" i="1"/>
  <c r="DM683" i="1"/>
  <c r="DL683" i="1"/>
  <c r="DK683" i="1"/>
  <c r="DI683" i="1"/>
  <c r="DJ683" i="1" s="1"/>
  <c r="DB683" i="1"/>
  <c r="DC683" i="1" s="1"/>
  <c r="CX683" i="1"/>
  <c r="CV683" i="1"/>
  <c r="CN683" i="1"/>
  <c r="CP683" i="1" s="1"/>
  <c r="BN683" i="1"/>
  <c r="BO683" i="1" s="1"/>
  <c r="BD683" i="1"/>
  <c r="BC683" i="1"/>
  <c r="BB683" i="1"/>
  <c r="BA683" i="1"/>
  <c r="AZ683" i="1"/>
  <c r="AY683" i="1"/>
  <c r="BE683" i="1" s="1" a="1"/>
  <c r="BE683" i="1" s="1"/>
  <c r="AX683" i="1"/>
  <c r="M683" i="1"/>
  <c r="EM443" i="1"/>
  <c r="DU443" i="1"/>
  <c r="DT443" i="1"/>
  <c r="DN443" i="1"/>
  <c r="DM443" i="1"/>
  <c r="DL443" i="1"/>
  <c r="DK443" i="1"/>
  <c r="DI443" i="1"/>
  <c r="DJ443" i="1" s="1"/>
  <c r="DC443" i="1"/>
  <c r="CX443" i="1"/>
  <c r="CN443" i="1"/>
  <c r="CP443" i="1" s="1"/>
  <c r="BV443" i="1"/>
  <c r="BX443" i="1" s="1"/>
  <c r="BU443" i="1"/>
  <c r="BN443" i="1"/>
  <c r="BO443" i="1" s="1"/>
  <c r="BD443" i="1"/>
  <c r="BC443" i="1"/>
  <c r="BB443" i="1"/>
  <c r="BA443" i="1"/>
  <c r="AZ443" i="1"/>
  <c r="AY443" i="1"/>
  <c r="AX443" i="1"/>
  <c r="M443" i="1"/>
  <c r="EM442" i="1"/>
  <c r="DU442" i="1"/>
  <c r="DT442" i="1"/>
  <c r="DN442" i="1"/>
  <c r="DM442" i="1"/>
  <c r="DL442" i="1"/>
  <c r="DK442" i="1"/>
  <c r="DI442" i="1"/>
  <c r="DJ442" i="1" s="1"/>
  <c r="DC442" i="1"/>
  <c r="CX442" i="1"/>
  <c r="CN442" i="1"/>
  <c r="CS442" i="1" s="1"/>
  <c r="BV442" i="1"/>
  <c r="BX442" i="1" s="1"/>
  <c r="BU442" i="1"/>
  <c r="BN442" i="1"/>
  <c r="BO442" i="1" s="1"/>
  <c r="BD442" i="1"/>
  <c r="BC442" i="1"/>
  <c r="BB442" i="1"/>
  <c r="BA442" i="1"/>
  <c r="AZ442" i="1"/>
  <c r="BF442" i="1" s="1" a="1"/>
  <c r="BF442" i="1" s="1"/>
  <c r="AY442" i="1"/>
  <c r="AX442" i="1"/>
  <c r="M442" i="1"/>
  <c r="EM441" i="1"/>
  <c r="DU441" i="1"/>
  <c r="DT441" i="1"/>
  <c r="DN441" i="1"/>
  <c r="DM441" i="1"/>
  <c r="DL441" i="1"/>
  <c r="DK441" i="1"/>
  <c r="DI441" i="1"/>
  <c r="DJ441" i="1" s="1"/>
  <c r="DC441" i="1"/>
  <c r="CX441" i="1"/>
  <c r="CN441" i="1"/>
  <c r="CS441" i="1" s="1"/>
  <c r="BV441" i="1"/>
  <c r="BX441" i="1" s="1"/>
  <c r="BU441" i="1"/>
  <c r="BN441" i="1"/>
  <c r="BO441" i="1" s="1"/>
  <c r="BD441" i="1"/>
  <c r="BC441" i="1"/>
  <c r="BB441" i="1"/>
  <c r="BA441" i="1"/>
  <c r="AZ441" i="1"/>
  <c r="AY441" i="1"/>
  <c r="AX441" i="1"/>
  <c r="M441" i="1"/>
  <c r="EM440" i="1"/>
  <c r="DU440" i="1"/>
  <c r="DT440" i="1"/>
  <c r="DN440" i="1"/>
  <c r="DM440" i="1"/>
  <c r="DL440" i="1"/>
  <c r="DK440" i="1"/>
  <c r="DI440" i="1"/>
  <c r="DJ440" i="1" s="1"/>
  <c r="DC440" i="1"/>
  <c r="CX440" i="1"/>
  <c r="CN440" i="1"/>
  <c r="CP440" i="1" s="1"/>
  <c r="BV440" i="1"/>
  <c r="BX440" i="1" s="1"/>
  <c r="BU440" i="1"/>
  <c r="BN440" i="1"/>
  <c r="BO440" i="1" s="1"/>
  <c r="BD440" i="1"/>
  <c r="BC440" i="1"/>
  <c r="BB440" i="1"/>
  <c r="BA440" i="1"/>
  <c r="AZ440" i="1"/>
  <c r="AY440" i="1"/>
  <c r="AX440" i="1"/>
  <c r="M440" i="1"/>
  <c r="EM372" i="1"/>
  <c r="DU372" i="1"/>
  <c r="DN372" i="1"/>
  <c r="DM372" i="1"/>
  <c r="DL372" i="1"/>
  <c r="DK372" i="1"/>
  <c r="DI372" i="1"/>
  <c r="DJ372" i="1" s="1"/>
  <c r="DC372" i="1"/>
  <c r="CX372" i="1"/>
  <c r="CN372" i="1"/>
  <c r="CO372" i="1" s="1"/>
  <c r="BT372" i="1"/>
  <c r="BS372" i="1"/>
  <c r="BN372" i="1"/>
  <c r="BO372" i="1" s="1"/>
  <c r="BM372" i="1"/>
  <c r="BD372" i="1"/>
  <c r="BC372" i="1"/>
  <c r="BB372" i="1"/>
  <c r="BA372" i="1"/>
  <c r="AZ372" i="1"/>
  <c r="AY372" i="1"/>
  <c r="BE372" i="1" s="1" a="1"/>
  <c r="BE372" i="1" s="1"/>
  <c r="AX372" i="1"/>
  <c r="M372" i="1"/>
  <c r="EM370" i="1"/>
  <c r="DU370" i="1"/>
  <c r="DN370" i="1"/>
  <c r="DM370" i="1"/>
  <c r="DL370" i="1"/>
  <c r="DK370" i="1"/>
  <c r="DI370" i="1"/>
  <c r="DJ370" i="1" s="1"/>
  <c r="DC370" i="1"/>
  <c r="CX370" i="1"/>
  <c r="CN370" i="1"/>
  <c r="CO370" i="1" s="1"/>
  <c r="BV370" i="1"/>
  <c r="BX370" i="1" s="1"/>
  <c r="BU370" i="1"/>
  <c r="BN370" i="1"/>
  <c r="BO370" i="1" s="1"/>
  <c r="BM370" i="1"/>
  <c r="BD370" i="1"/>
  <c r="BC370" i="1"/>
  <c r="BB370" i="1"/>
  <c r="BA370" i="1"/>
  <c r="AZ370" i="1"/>
  <c r="AY370" i="1"/>
  <c r="BE370" i="1" s="1" a="1"/>
  <c r="BE370" i="1" s="1"/>
  <c r="AX370" i="1"/>
  <c r="M370" i="1"/>
  <c r="EM711" i="1"/>
  <c r="DU711" i="1"/>
  <c r="DN711" i="1"/>
  <c r="DM711" i="1"/>
  <c r="DL711" i="1"/>
  <c r="DK711" i="1"/>
  <c r="DI711" i="1"/>
  <c r="DJ711" i="1" s="1"/>
  <c r="DC711" i="1"/>
  <c r="CX711" i="1"/>
  <c r="CN711" i="1"/>
  <c r="CO711" i="1" s="1"/>
  <c r="BV711" i="1"/>
  <c r="BX711" i="1" s="1"/>
  <c r="BU711" i="1"/>
  <c r="BN711" i="1"/>
  <c r="BO711" i="1" s="1"/>
  <c r="BM711" i="1"/>
  <c r="BD711" i="1"/>
  <c r="BC711" i="1"/>
  <c r="BB711" i="1"/>
  <c r="BA711" i="1"/>
  <c r="AZ711" i="1"/>
  <c r="AY711" i="1"/>
  <c r="BE711" i="1" s="1" a="1"/>
  <c r="BE711" i="1" s="1"/>
  <c r="AX711" i="1"/>
  <c r="M711" i="1"/>
  <c r="EM368" i="1"/>
  <c r="DU368" i="1"/>
  <c r="DN368" i="1"/>
  <c r="DM368" i="1"/>
  <c r="DL368" i="1"/>
  <c r="DK368" i="1"/>
  <c r="DI368" i="1"/>
  <c r="DJ368" i="1" s="1"/>
  <c r="DC368" i="1"/>
  <c r="CX368" i="1"/>
  <c r="CN368" i="1"/>
  <c r="CR368" i="1" s="1"/>
  <c r="BT368" i="1"/>
  <c r="BV368" i="1" s="1"/>
  <c r="BX368" i="1" s="1"/>
  <c r="BN368" i="1"/>
  <c r="BO368" i="1" s="1"/>
  <c r="BM368" i="1"/>
  <c r="BD368" i="1"/>
  <c r="BC368" i="1"/>
  <c r="BB368" i="1"/>
  <c r="BA368" i="1"/>
  <c r="AZ368" i="1"/>
  <c r="AY368" i="1"/>
  <c r="BE368" i="1" s="1" a="1"/>
  <c r="BE368" i="1" s="1"/>
  <c r="AX368" i="1"/>
  <c r="M368" i="1"/>
  <c r="EM366" i="1"/>
  <c r="DU366" i="1"/>
  <c r="DN366" i="1"/>
  <c r="DM366" i="1"/>
  <c r="DL366" i="1"/>
  <c r="DK366" i="1"/>
  <c r="DI366" i="1"/>
  <c r="DJ366" i="1" s="1"/>
  <c r="DC366" i="1"/>
  <c r="CX366" i="1"/>
  <c r="CN366" i="1"/>
  <c r="CR366" i="1" s="1"/>
  <c r="BV366" i="1"/>
  <c r="BX366" i="1" s="1"/>
  <c r="BU366" i="1"/>
  <c r="BN366" i="1"/>
  <c r="BO366" i="1" s="1"/>
  <c r="BM366" i="1"/>
  <c r="BD366" i="1"/>
  <c r="BC366" i="1"/>
  <c r="BB366" i="1"/>
  <c r="BA366" i="1"/>
  <c r="AZ366" i="1"/>
  <c r="BF366" i="1" s="1" a="1"/>
  <c r="BF366" i="1" s="1"/>
  <c r="AY366" i="1"/>
  <c r="BE366" i="1" s="1" a="1"/>
  <c r="BE366" i="1" s="1"/>
  <c r="AX366" i="1"/>
  <c r="M366" i="1"/>
  <c r="EM529" i="1"/>
  <c r="DU529" i="1"/>
  <c r="DN529" i="1"/>
  <c r="DM529" i="1"/>
  <c r="DL529" i="1"/>
  <c r="DK529" i="1"/>
  <c r="DI529" i="1"/>
  <c r="DJ529" i="1" s="1"/>
  <c r="DC529" i="1"/>
  <c r="CX529" i="1"/>
  <c r="CN529" i="1"/>
  <c r="CS529" i="1" s="1"/>
  <c r="BV529" i="1"/>
  <c r="BX529" i="1" s="1"/>
  <c r="BU529" i="1"/>
  <c r="BN529" i="1"/>
  <c r="BO529" i="1" s="1"/>
  <c r="BM529" i="1"/>
  <c r="BD529" i="1"/>
  <c r="BC529" i="1"/>
  <c r="BB529" i="1"/>
  <c r="BA529" i="1"/>
  <c r="AZ529" i="1"/>
  <c r="AY529" i="1"/>
  <c r="BE529" i="1" s="1" a="1"/>
  <c r="BE529" i="1" s="1"/>
  <c r="AX529" i="1"/>
  <c r="M529" i="1"/>
  <c r="EM371" i="1"/>
  <c r="DU371" i="1"/>
  <c r="DN371" i="1"/>
  <c r="DM371" i="1"/>
  <c r="DL371" i="1"/>
  <c r="DK371" i="1"/>
  <c r="DI371" i="1"/>
  <c r="DJ371" i="1" s="1"/>
  <c r="DC371" i="1"/>
  <c r="CX371" i="1"/>
  <c r="CN371" i="1"/>
  <c r="BT371" i="1"/>
  <c r="BS371" i="1"/>
  <c r="BN371" i="1"/>
  <c r="BO371" i="1" s="1"/>
  <c r="BM371" i="1"/>
  <c r="BD371" i="1"/>
  <c r="BC371" i="1"/>
  <c r="BB371" i="1"/>
  <c r="BA371" i="1"/>
  <c r="AZ371" i="1"/>
  <c r="AY371" i="1"/>
  <c r="BE371" i="1" s="1" a="1"/>
  <c r="BE371" i="1" s="1"/>
  <c r="AX371" i="1"/>
  <c r="M371" i="1"/>
  <c r="EM369" i="1"/>
  <c r="DU369" i="1"/>
  <c r="DN369" i="1"/>
  <c r="DM369" i="1"/>
  <c r="DL369" i="1"/>
  <c r="DK369" i="1"/>
  <c r="DI369" i="1"/>
  <c r="DJ369" i="1" s="1"/>
  <c r="DC369" i="1"/>
  <c r="CX369" i="1"/>
  <c r="CN369" i="1"/>
  <c r="BV369" i="1"/>
  <c r="BX369" i="1" s="1"/>
  <c r="BU369" i="1"/>
  <c r="BN369" i="1"/>
  <c r="BO369" i="1" s="1"/>
  <c r="BM369" i="1"/>
  <c r="BD369" i="1"/>
  <c r="BC369" i="1"/>
  <c r="BB369" i="1"/>
  <c r="BA369" i="1"/>
  <c r="AZ369" i="1"/>
  <c r="AY369" i="1"/>
  <c r="BE369" i="1" s="1" a="1"/>
  <c r="BE369" i="1" s="1"/>
  <c r="AX369" i="1"/>
  <c r="M369" i="1"/>
  <c r="EM709" i="1"/>
  <c r="DU709" i="1"/>
  <c r="DN709" i="1"/>
  <c r="DM709" i="1"/>
  <c r="DL709" i="1"/>
  <c r="DK709" i="1"/>
  <c r="DI709" i="1"/>
  <c r="DJ709" i="1" s="1"/>
  <c r="DC709" i="1"/>
  <c r="CX709" i="1"/>
  <c r="CN709" i="1"/>
  <c r="CR709" i="1" s="1"/>
  <c r="BV709" i="1"/>
  <c r="BX709" i="1" s="1"/>
  <c r="BU709" i="1"/>
  <c r="BN709" i="1"/>
  <c r="BO709" i="1" s="1"/>
  <c r="BM709" i="1"/>
  <c r="BD709" i="1"/>
  <c r="BC709" i="1"/>
  <c r="BB709" i="1"/>
  <c r="BA709" i="1"/>
  <c r="AZ709" i="1"/>
  <c r="BF709" i="1" s="1" a="1"/>
  <c r="BF709" i="1" s="1"/>
  <c r="AY709" i="1"/>
  <c r="BE709" i="1" s="1" a="1"/>
  <c r="BE709" i="1" s="1"/>
  <c r="AX709" i="1"/>
  <c r="M709" i="1"/>
  <c r="EM367" i="1"/>
  <c r="DU367" i="1"/>
  <c r="DN367" i="1"/>
  <c r="DM367" i="1"/>
  <c r="DL367" i="1"/>
  <c r="DK367" i="1"/>
  <c r="DI367" i="1"/>
  <c r="DJ367" i="1" s="1"/>
  <c r="DC367" i="1"/>
  <c r="CX367" i="1"/>
  <c r="CN367" i="1"/>
  <c r="CP367" i="1" s="1"/>
  <c r="BT367" i="1"/>
  <c r="BS367" i="1"/>
  <c r="BN367" i="1"/>
  <c r="BO367" i="1" s="1"/>
  <c r="BM367" i="1"/>
  <c r="BD367" i="1"/>
  <c r="BC367" i="1"/>
  <c r="BB367" i="1"/>
  <c r="BA367" i="1"/>
  <c r="AZ367" i="1"/>
  <c r="AY367" i="1"/>
  <c r="BE367" i="1" s="1" a="1"/>
  <c r="BE367" i="1" s="1"/>
  <c r="AX367" i="1"/>
  <c r="M367" i="1"/>
  <c r="EM365" i="1"/>
  <c r="DU365" i="1"/>
  <c r="DN365" i="1"/>
  <c r="DM365" i="1"/>
  <c r="DL365" i="1"/>
  <c r="DK365" i="1"/>
  <c r="DI365" i="1"/>
  <c r="DJ365" i="1" s="1"/>
  <c r="DC365" i="1"/>
  <c r="CX365" i="1"/>
  <c r="CN365" i="1"/>
  <c r="CS365" i="1" s="1"/>
  <c r="BV365" i="1"/>
  <c r="BX365" i="1" s="1"/>
  <c r="BU365" i="1"/>
  <c r="BN365" i="1"/>
  <c r="BO365" i="1" s="1"/>
  <c r="BM365" i="1"/>
  <c r="BD365" i="1"/>
  <c r="BC365" i="1"/>
  <c r="BB365" i="1"/>
  <c r="BA365" i="1"/>
  <c r="AZ365" i="1"/>
  <c r="AY365" i="1"/>
  <c r="BE365" i="1" s="1" a="1"/>
  <c r="BE365" i="1" s="1"/>
  <c r="AX365" i="1"/>
  <c r="M365" i="1"/>
  <c r="EM527" i="1"/>
  <c r="DU527" i="1"/>
  <c r="DN527" i="1"/>
  <c r="DM527" i="1"/>
  <c r="DL527" i="1"/>
  <c r="DK527" i="1"/>
  <c r="DI527" i="1"/>
  <c r="DJ527" i="1" s="1"/>
  <c r="DC527" i="1"/>
  <c r="CX527" i="1"/>
  <c r="CN527" i="1"/>
  <c r="CR527" i="1" s="1"/>
  <c r="BV527" i="1"/>
  <c r="BX527" i="1" s="1"/>
  <c r="BU527" i="1"/>
  <c r="BN527" i="1"/>
  <c r="BO527" i="1" s="1"/>
  <c r="BM527" i="1"/>
  <c r="BD527" i="1"/>
  <c r="BC527" i="1"/>
  <c r="BB527" i="1"/>
  <c r="BA527" i="1"/>
  <c r="AZ527" i="1"/>
  <c r="AY527" i="1"/>
  <c r="BE527" i="1" s="1" a="1"/>
  <c r="BE527" i="1" s="1"/>
  <c r="AX527" i="1"/>
  <c r="M527" i="1"/>
  <c r="EM888" i="1"/>
  <c r="DU888" i="1"/>
  <c r="DT888" i="1"/>
  <c r="DN888" i="1"/>
  <c r="DM888" i="1"/>
  <c r="DL888" i="1"/>
  <c r="DK888" i="1"/>
  <c r="DI888" i="1"/>
  <c r="DJ888" i="1" s="1"/>
  <c r="DC888" i="1"/>
  <c r="CX888" i="1"/>
  <c r="BT888" i="1"/>
  <c r="BS888" i="1"/>
  <c r="BL888" i="1"/>
  <c r="BK888" i="1"/>
  <c r="BD888" i="1"/>
  <c r="BC888" i="1"/>
  <c r="BB888" i="1"/>
  <c r="BA888" i="1"/>
  <c r="AZ888" i="1"/>
  <c r="BF888" i="1" s="1" a="1"/>
  <c r="BF888" i="1" s="1"/>
  <c r="AY888" i="1"/>
  <c r="BE888" i="1" s="1" a="1"/>
  <c r="BE888" i="1" s="1"/>
  <c r="AX888" i="1"/>
  <c r="M888" i="1"/>
  <c r="EM887" i="1"/>
  <c r="DU887" i="1"/>
  <c r="DT887" i="1"/>
  <c r="DN887" i="1"/>
  <c r="DM887" i="1"/>
  <c r="DL887" i="1"/>
  <c r="DK887" i="1"/>
  <c r="DI887" i="1"/>
  <c r="DJ887" i="1" s="1"/>
  <c r="DC887" i="1"/>
  <c r="CX887" i="1"/>
  <c r="BT887" i="1"/>
  <c r="BS887" i="1"/>
  <c r="BL887" i="1"/>
  <c r="BK887" i="1"/>
  <c r="BD887" i="1"/>
  <c r="BC887" i="1"/>
  <c r="BB887" i="1"/>
  <c r="BA887" i="1"/>
  <c r="AZ887" i="1"/>
  <c r="AY887" i="1"/>
  <c r="BE887" i="1" s="1" a="1"/>
  <c r="BE887" i="1" s="1"/>
  <c r="AX887" i="1"/>
  <c r="M887" i="1"/>
  <c r="EM886" i="1"/>
  <c r="DU886" i="1"/>
  <c r="DT886" i="1"/>
  <c r="DN886" i="1"/>
  <c r="DM886" i="1"/>
  <c r="DL886" i="1"/>
  <c r="DK886" i="1"/>
  <c r="DI886" i="1"/>
  <c r="DJ886" i="1" s="1"/>
  <c r="DC886" i="1"/>
  <c r="CX886" i="1"/>
  <c r="BV886" i="1"/>
  <c r="BX886" i="1" s="1"/>
  <c r="BL886" i="1"/>
  <c r="BM886" i="1" s="1"/>
  <c r="BK886" i="1"/>
  <c r="BD886" i="1"/>
  <c r="BC886" i="1"/>
  <c r="BB886" i="1"/>
  <c r="BA886" i="1"/>
  <c r="AZ886" i="1"/>
  <c r="AY886" i="1"/>
  <c r="BE886" i="1" s="1" a="1"/>
  <c r="BE886" i="1" s="1"/>
  <c r="AX886" i="1"/>
  <c r="M886" i="1"/>
  <c r="EM885" i="1"/>
  <c r="DU885" i="1"/>
  <c r="DT885" i="1"/>
  <c r="DN885" i="1"/>
  <c r="DM885" i="1"/>
  <c r="DL885" i="1"/>
  <c r="DK885" i="1"/>
  <c r="DI885" i="1"/>
  <c r="DJ885" i="1" s="1"/>
  <c r="DC885" i="1"/>
  <c r="CX885" i="1"/>
  <c r="BV885" i="1"/>
  <c r="BX885" i="1" s="1"/>
  <c r="BL885" i="1"/>
  <c r="BK885" i="1"/>
  <c r="BD885" i="1"/>
  <c r="BC885" i="1"/>
  <c r="BB885" i="1"/>
  <c r="BA885" i="1"/>
  <c r="AZ885" i="1"/>
  <c r="BF885" i="1" s="1" a="1"/>
  <c r="BF885" i="1" s="1"/>
  <c r="AY885" i="1"/>
  <c r="BE885" i="1" s="1" a="1"/>
  <c r="BE885" i="1" s="1"/>
  <c r="AX885" i="1"/>
  <c r="M885" i="1"/>
  <c r="EM884" i="1"/>
  <c r="DU884" i="1"/>
  <c r="DT884" i="1"/>
  <c r="DN884" i="1"/>
  <c r="DM884" i="1"/>
  <c r="DL884" i="1"/>
  <c r="DK884" i="1"/>
  <c r="DI884" i="1"/>
  <c r="DJ884" i="1" s="1"/>
  <c r="DC884" i="1"/>
  <c r="CX884" i="1"/>
  <c r="BV884" i="1"/>
  <c r="BX884" i="1" s="1"/>
  <c r="BL884" i="1"/>
  <c r="BK884" i="1"/>
  <c r="BD884" i="1"/>
  <c r="BC884" i="1"/>
  <c r="BB884" i="1"/>
  <c r="BA884" i="1"/>
  <c r="AZ884" i="1"/>
  <c r="AY884" i="1"/>
  <c r="BE884" i="1" s="1" a="1"/>
  <c r="BE884" i="1" s="1"/>
  <c r="AX884" i="1"/>
  <c r="M884" i="1"/>
  <c r="EM646" i="1"/>
  <c r="DU646" i="1"/>
  <c r="DT646" i="1"/>
  <c r="DN646" i="1"/>
  <c r="DM646" i="1"/>
  <c r="DL646" i="1"/>
  <c r="DK646" i="1"/>
  <c r="DI646" i="1"/>
  <c r="DJ646" i="1" s="1"/>
  <c r="DC646" i="1"/>
  <c r="CX646" i="1"/>
  <c r="BV646" i="1"/>
  <c r="BX646" i="1" s="1"/>
  <c r="BL646" i="1"/>
  <c r="BK646" i="1"/>
  <c r="BD646" i="1"/>
  <c r="BC646" i="1"/>
  <c r="BB646" i="1"/>
  <c r="BA646" i="1"/>
  <c r="AZ646" i="1"/>
  <c r="AY646" i="1"/>
  <c r="BE646" i="1" s="1" a="1"/>
  <c r="BE646" i="1" s="1"/>
  <c r="AX646" i="1"/>
  <c r="M646" i="1"/>
  <c r="EM645" i="1"/>
  <c r="DU645" i="1"/>
  <c r="DT645" i="1"/>
  <c r="DN645" i="1"/>
  <c r="DM645" i="1"/>
  <c r="DL645" i="1"/>
  <c r="DK645" i="1"/>
  <c r="DI645" i="1"/>
  <c r="DJ645" i="1" s="1"/>
  <c r="DC645" i="1"/>
  <c r="CX645" i="1"/>
  <c r="BV645" i="1"/>
  <c r="BX645" i="1" s="1"/>
  <c r="BL645" i="1"/>
  <c r="BK645" i="1"/>
  <c r="BD645" i="1"/>
  <c r="BC645" i="1"/>
  <c r="BB645" i="1"/>
  <c r="BA645" i="1"/>
  <c r="AZ645" i="1"/>
  <c r="BF645" i="1" s="1" a="1"/>
  <c r="BF645" i="1" s="1"/>
  <c r="AY645" i="1"/>
  <c r="BE645" i="1" s="1" a="1"/>
  <c r="BE645" i="1" s="1"/>
  <c r="AX645" i="1"/>
  <c r="M645" i="1"/>
  <c r="EM644" i="1"/>
  <c r="DU644" i="1"/>
  <c r="DT644" i="1"/>
  <c r="DN644" i="1"/>
  <c r="DM644" i="1"/>
  <c r="DL644" i="1"/>
  <c r="DK644" i="1"/>
  <c r="DI644" i="1"/>
  <c r="DJ644" i="1" s="1"/>
  <c r="DC644" i="1"/>
  <c r="CX644" i="1"/>
  <c r="BV644" i="1"/>
  <c r="BX644" i="1" s="1"/>
  <c r="BL644" i="1"/>
  <c r="BK644" i="1"/>
  <c r="BD644" i="1"/>
  <c r="BC644" i="1"/>
  <c r="BB644" i="1"/>
  <c r="BA644" i="1"/>
  <c r="AZ644" i="1"/>
  <c r="AY644" i="1"/>
  <c r="BE644" i="1" s="1" a="1"/>
  <c r="BE644" i="1" s="1"/>
  <c r="AX644" i="1"/>
  <c r="M644" i="1"/>
  <c r="EM917" i="1"/>
  <c r="DU917" i="1"/>
  <c r="DT917" i="1"/>
  <c r="DN917" i="1"/>
  <c r="DM917" i="1"/>
  <c r="DL917" i="1"/>
  <c r="DK917" i="1"/>
  <c r="DI917" i="1"/>
  <c r="DJ917" i="1" s="1"/>
  <c r="DC917" i="1"/>
  <c r="CX917" i="1"/>
  <c r="CN917" i="1"/>
  <c r="CO917" i="1" s="1"/>
  <c r="BX917" i="1"/>
  <c r="BY917" i="1" s="1"/>
  <c r="BN917" i="1"/>
  <c r="BM917" i="1"/>
  <c r="BD917" i="1"/>
  <c r="BC917" i="1"/>
  <c r="BB917" i="1"/>
  <c r="BA917" i="1"/>
  <c r="AZ917" i="1"/>
  <c r="AY917" i="1"/>
  <c r="BE917" i="1" s="1" a="1"/>
  <c r="BE917" i="1" s="1"/>
  <c r="AX917" i="1"/>
  <c r="M917" i="1"/>
  <c r="EM916" i="1"/>
  <c r="DU916" i="1"/>
  <c r="DT916" i="1"/>
  <c r="DN916" i="1"/>
  <c r="DM916" i="1"/>
  <c r="DL916" i="1"/>
  <c r="DK916" i="1"/>
  <c r="DI916" i="1"/>
  <c r="DJ916" i="1" s="1"/>
  <c r="DC916" i="1"/>
  <c r="CX916" i="1"/>
  <c r="CN916" i="1"/>
  <c r="CO916" i="1" s="1"/>
  <c r="BX916" i="1"/>
  <c r="BY916" i="1" s="1"/>
  <c r="BN916" i="1"/>
  <c r="BM916" i="1"/>
  <c r="BD916" i="1"/>
  <c r="BC916" i="1"/>
  <c r="BB916" i="1"/>
  <c r="BA916" i="1"/>
  <c r="AZ916" i="1"/>
  <c r="BF916" i="1" s="1" a="1"/>
  <c r="BF916" i="1" s="1"/>
  <c r="AY916" i="1"/>
  <c r="BE916" i="1" s="1" a="1"/>
  <c r="BE916" i="1" s="1"/>
  <c r="AX916" i="1"/>
  <c r="M916" i="1"/>
  <c r="EM915" i="1"/>
  <c r="DU915" i="1"/>
  <c r="DT915" i="1"/>
  <c r="DN915" i="1"/>
  <c r="DM915" i="1"/>
  <c r="DL915" i="1"/>
  <c r="DK915" i="1"/>
  <c r="DI915" i="1"/>
  <c r="DJ915" i="1" s="1"/>
  <c r="DC915" i="1"/>
  <c r="CX915" i="1"/>
  <c r="CN915" i="1"/>
  <c r="CP915" i="1" s="1"/>
  <c r="BX915" i="1"/>
  <c r="BY915" i="1" s="1"/>
  <c r="BN915" i="1"/>
  <c r="BM915" i="1"/>
  <c r="BD915" i="1"/>
  <c r="BC915" i="1"/>
  <c r="BB915" i="1"/>
  <c r="BA915" i="1"/>
  <c r="AZ915" i="1"/>
  <c r="AY915" i="1"/>
  <c r="BE915" i="1" s="1" a="1"/>
  <c r="BE915" i="1" s="1"/>
  <c r="AX915" i="1"/>
  <c r="M915" i="1"/>
  <c r="EM914" i="1"/>
  <c r="DU914" i="1"/>
  <c r="DT914" i="1"/>
  <c r="DN914" i="1"/>
  <c r="DM914" i="1"/>
  <c r="DL914" i="1"/>
  <c r="DK914" i="1"/>
  <c r="DI914" i="1"/>
  <c r="DJ914" i="1" s="1"/>
  <c r="DC914" i="1"/>
  <c r="CX914" i="1"/>
  <c r="CN914" i="1"/>
  <c r="CR914" i="1" s="1"/>
  <c r="BX914" i="1"/>
  <c r="BY914" i="1" s="1"/>
  <c r="BN914" i="1"/>
  <c r="BM914" i="1"/>
  <c r="BD914" i="1"/>
  <c r="BC914" i="1"/>
  <c r="BB914" i="1"/>
  <c r="BA914" i="1"/>
  <c r="AZ914" i="1"/>
  <c r="AY914" i="1"/>
  <c r="BE914" i="1" s="1" a="1"/>
  <c r="BE914" i="1" s="1"/>
  <c r="AX914" i="1"/>
  <c r="M914" i="1"/>
  <c r="EM913" i="1"/>
  <c r="DU913" i="1"/>
  <c r="DT913" i="1"/>
  <c r="DN913" i="1"/>
  <c r="DM913" i="1"/>
  <c r="DL913" i="1"/>
  <c r="DK913" i="1"/>
  <c r="DI913" i="1"/>
  <c r="DJ913" i="1" s="1"/>
  <c r="DC913" i="1"/>
  <c r="CX913" i="1"/>
  <c r="CN913" i="1"/>
  <c r="CO913" i="1" s="1"/>
  <c r="BX913" i="1"/>
  <c r="BY913" i="1" s="1"/>
  <c r="BN913" i="1"/>
  <c r="BM913" i="1"/>
  <c r="BD913" i="1"/>
  <c r="BC913" i="1"/>
  <c r="BB913" i="1"/>
  <c r="BA913" i="1"/>
  <c r="AZ913" i="1"/>
  <c r="AY913" i="1"/>
  <c r="BE913" i="1" s="1" a="1"/>
  <c r="BE913" i="1" s="1"/>
  <c r="AX913" i="1"/>
  <c r="M913" i="1"/>
  <c r="EM912" i="1"/>
  <c r="DU912" i="1"/>
  <c r="DT912" i="1"/>
  <c r="DN912" i="1"/>
  <c r="DM912" i="1"/>
  <c r="DL912" i="1"/>
  <c r="DK912" i="1"/>
  <c r="DI912" i="1"/>
  <c r="DJ912" i="1" s="1"/>
  <c r="DC912" i="1"/>
  <c r="CX912" i="1"/>
  <c r="CN912" i="1"/>
  <c r="BX912" i="1"/>
  <c r="BY912" i="1" s="1"/>
  <c r="BN912" i="1"/>
  <c r="BM912" i="1"/>
  <c r="BD912" i="1"/>
  <c r="BC912" i="1"/>
  <c r="BB912" i="1"/>
  <c r="BA912" i="1"/>
  <c r="AZ912" i="1"/>
  <c r="BF912" i="1" s="1" a="1"/>
  <c r="BF912" i="1" s="1"/>
  <c r="AY912" i="1"/>
  <c r="BE912" i="1" s="1" a="1"/>
  <c r="BE912" i="1" s="1"/>
  <c r="AX912" i="1"/>
  <c r="M912" i="1"/>
  <c r="EM911" i="1"/>
  <c r="DU911" i="1"/>
  <c r="DT911" i="1"/>
  <c r="DN911" i="1"/>
  <c r="DM911" i="1"/>
  <c r="DL911" i="1"/>
  <c r="DK911" i="1"/>
  <c r="DI911" i="1"/>
  <c r="DJ911" i="1" s="1"/>
  <c r="DC911" i="1"/>
  <c r="CX911" i="1"/>
  <c r="CN911" i="1"/>
  <c r="CO911" i="1" s="1"/>
  <c r="BX911" i="1"/>
  <c r="BY911" i="1" s="1"/>
  <c r="BN911" i="1"/>
  <c r="BM911" i="1"/>
  <c r="BD911" i="1"/>
  <c r="BC911" i="1"/>
  <c r="BB911" i="1"/>
  <c r="BA911" i="1"/>
  <c r="AZ911" i="1"/>
  <c r="AY911" i="1"/>
  <c r="BE911" i="1" s="1" a="1"/>
  <c r="BE911" i="1" s="1"/>
  <c r="AX911" i="1"/>
  <c r="M911" i="1"/>
  <c r="EM910" i="1"/>
  <c r="DU910" i="1"/>
  <c r="DT910" i="1"/>
  <c r="DN910" i="1"/>
  <c r="DM910" i="1"/>
  <c r="DL910" i="1"/>
  <c r="DK910" i="1"/>
  <c r="DI910" i="1"/>
  <c r="DJ910" i="1" s="1"/>
  <c r="DC910" i="1"/>
  <c r="CX910" i="1"/>
  <c r="CN910" i="1"/>
  <c r="CS910" i="1" s="1"/>
  <c r="BX910" i="1"/>
  <c r="BN910" i="1"/>
  <c r="BM910" i="1"/>
  <c r="BD910" i="1"/>
  <c r="BC910" i="1"/>
  <c r="BB910" i="1"/>
  <c r="BA910" i="1"/>
  <c r="AZ910" i="1"/>
  <c r="AY910" i="1"/>
  <c r="BE910" i="1" s="1" a="1"/>
  <c r="BE910" i="1" s="1"/>
  <c r="AX910" i="1"/>
  <c r="M910" i="1"/>
  <c r="EM909" i="1"/>
  <c r="DU909" i="1"/>
  <c r="DT909" i="1"/>
  <c r="DN909" i="1"/>
  <c r="DM909" i="1"/>
  <c r="DL909" i="1"/>
  <c r="DK909" i="1"/>
  <c r="DI909" i="1"/>
  <c r="DJ909" i="1" s="1"/>
  <c r="DC909" i="1"/>
  <c r="CX909" i="1"/>
  <c r="CN909" i="1"/>
  <c r="CS909" i="1" s="1"/>
  <c r="BX909" i="1"/>
  <c r="BN909" i="1"/>
  <c r="BM909" i="1"/>
  <c r="BD909" i="1"/>
  <c r="BC909" i="1"/>
  <c r="BB909" i="1"/>
  <c r="BA909" i="1"/>
  <c r="AZ909" i="1"/>
  <c r="AY909" i="1"/>
  <c r="BE909" i="1" s="1" a="1"/>
  <c r="BE909" i="1" s="1"/>
  <c r="AX909" i="1"/>
  <c r="M909" i="1"/>
  <c r="EM908" i="1"/>
  <c r="DU908" i="1"/>
  <c r="DT908" i="1"/>
  <c r="DN908" i="1"/>
  <c r="DM908" i="1"/>
  <c r="DL908" i="1"/>
  <c r="DK908" i="1"/>
  <c r="DI908" i="1"/>
  <c r="DJ908" i="1" s="1"/>
  <c r="DC908" i="1"/>
  <c r="CX908" i="1"/>
  <c r="CN908" i="1"/>
  <c r="CS908" i="1" s="1"/>
  <c r="BX908" i="1"/>
  <c r="BY908" i="1" s="1"/>
  <c r="BN908" i="1"/>
  <c r="BM908" i="1"/>
  <c r="BD908" i="1"/>
  <c r="BC908" i="1"/>
  <c r="BB908" i="1"/>
  <c r="BA908" i="1"/>
  <c r="AZ908" i="1"/>
  <c r="BF908" i="1" s="1" a="1"/>
  <c r="BF908" i="1" s="1"/>
  <c r="AY908" i="1"/>
  <c r="BE908" i="1" s="1" a="1"/>
  <c r="BE908" i="1" s="1"/>
  <c r="AX908" i="1"/>
  <c r="M908" i="1"/>
  <c r="EM907" i="1"/>
  <c r="DU907" i="1"/>
  <c r="DT907" i="1"/>
  <c r="DN907" i="1"/>
  <c r="DM907" i="1"/>
  <c r="DL907" i="1"/>
  <c r="DK907" i="1"/>
  <c r="DI907" i="1"/>
  <c r="DJ907" i="1" s="1"/>
  <c r="DC907" i="1"/>
  <c r="CX907" i="1"/>
  <c r="CN907" i="1"/>
  <c r="CS907" i="1" s="1"/>
  <c r="BX907" i="1"/>
  <c r="BY907" i="1" s="1"/>
  <c r="BN907" i="1"/>
  <c r="BM907" i="1"/>
  <c r="BD907" i="1"/>
  <c r="BC907" i="1"/>
  <c r="BB907" i="1"/>
  <c r="BA907" i="1"/>
  <c r="AZ907" i="1"/>
  <c r="AY907" i="1"/>
  <c r="BE907" i="1" s="1" a="1"/>
  <c r="BE907" i="1" s="1"/>
  <c r="AX907" i="1"/>
  <c r="M907" i="1"/>
  <c r="EM906" i="1"/>
  <c r="DU906" i="1"/>
  <c r="DT906" i="1"/>
  <c r="DN906" i="1"/>
  <c r="DM906" i="1"/>
  <c r="DL906" i="1"/>
  <c r="DK906" i="1"/>
  <c r="DI906" i="1"/>
  <c r="DJ906" i="1" s="1"/>
  <c r="DC906" i="1"/>
  <c r="CX906" i="1"/>
  <c r="CN906" i="1"/>
  <c r="CR906" i="1" s="1"/>
  <c r="BX906" i="1"/>
  <c r="BY906" i="1" s="1"/>
  <c r="BN906" i="1"/>
  <c r="BM906" i="1"/>
  <c r="BD906" i="1"/>
  <c r="BC906" i="1"/>
  <c r="BB906" i="1"/>
  <c r="BA906" i="1"/>
  <c r="AZ906" i="1"/>
  <c r="AY906" i="1"/>
  <c r="BE906" i="1" s="1" a="1"/>
  <c r="BE906" i="1" s="1"/>
  <c r="AX906" i="1"/>
  <c r="M906" i="1"/>
  <c r="EM905" i="1"/>
  <c r="DU905" i="1"/>
  <c r="DT905" i="1"/>
  <c r="DN905" i="1"/>
  <c r="DM905" i="1"/>
  <c r="DL905" i="1"/>
  <c r="DK905" i="1"/>
  <c r="DI905" i="1"/>
  <c r="DJ905" i="1" s="1"/>
  <c r="DC905" i="1"/>
  <c r="CX905" i="1"/>
  <c r="CN905" i="1"/>
  <c r="CQ905" i="1" s="1"/>
  <c r="BX905" i="1"/>
  <c r="BN905" i="1"/>
  <c r="BM905" i="1"/>
  <c r="BD905" i="1"/>
  <c r="BC905" i="1"/>
  <c r="BB905" i="1"/>
  <c r="BA905" i="1"/>
  <c r="AZ905" i="1"/>
  <c r="AY905" i="1"/>
  <c r="BE905" i="1" s="1" a="1"/>
  <c r="BE905" i="1" s="1"/>
  <c r="AX905" i="1"/>
  <c r="M905" i="1"/>
  <c r="EM702" i="1"/>
  <c r="DU702" i="1"/>
  <c r="DN702" i="1"/>
  <c r="DM702" i="1"/>
  <c r="DL702" i="1"/>
  <c r="DK702" i="1"/>
  <c r="DI702" i="1"/>
  <c r="DJ702" i="1" s="1"/>
  <c r="CX702" i="1"/>
  <c r="CN702" i="1"/>
  <c r="BX702" i="1"/>
  <c r="BN702" i="1"/>
  <c r="BO702" i="1" s="1"/>
  <c r="BM702" i="1"/>
  <c r="BD702" i="1"/>
  <c r="BC702" i="1"/>
  <c r="BB702" i="1"/>
  <c r="BA702" i="1"/>
  <c r="AZ702" i="1"/>
  <c r="AY702" i="1"/>
  <c r="BE702" i="1" s="1" a="1"/>
  <c r="BE702" i="1" s="1"/>
  <c r="AX702" i="1"/>
  <c r="M702" i="1"/>
  <c r="EM699" i="1"/>
  <c r="DU699" i="1"/>
  <c r="DN699" i="1"/>
  <c r="DM699" i="1"/>
  <c r="DL699" i="1"/>
  <c r="DK699" i="1"/>
  <c r="DI699" i="1"/>
  <c r="DJ699" i="1" s="1"/>
  <c r="CX699" i="1"/>
  <c r="CN699" i="1"/>
  <c r="BX699" i="1"/>
  <c r="BN699" i="1"/>
  <c r="BO699" i="1" s="1"/>
  <c r="BM699" i="1"/>
  <c r="BD699" i="1"/>
  <c r="BC699" i="1"/>
  <c r="BB699" i="1"/>
  <c r="BA699" i="1"/>
  <c r="AZ699" i="1"/>
  <c r="AY699" i="1"/>
  <c r="BE699" i="1" s="1" a="1"/>
  <c r="BE699" i="1" s="1"/>
  <c r="AX699" i="1"/>
  <c r="M699" i="1"/>
  <c r="EM140" i="1"/>
  <c r="DU140" i="1"/>
  <c r="DN140" i="1"/>
  <c r="DM140" i="1"/>
  <c r="DL140" i="1"/>
  <c r="DK140" i="1"/>
  <c r="DI140" i="1"/>
  <c r="DJ140" i="1" s="1"/>
  <c r="DB140" i="1"/>
  <c r="DC140" i="1" s="1"/>
  <c r="CX140" i="1"/>
  <c r="CN140" i="1"/>
  <c r="CR140" i="1" s="1"/>
  <c r="BX140" i="1"/>
  <c r="BN140" i="1"/>
  <c r="BO140" i="1" s="1"/>
  <c r="BM140" i="1"/>
  <c r="BD140" i="1"/>
  <c r="BC140" i="1"/>
  <c r="BB140" i="1"/>
  <c r="BA140" i="1"/>
  <c r="AZ140" i="1"/>
  <c r="AY140" i="1"/>
  <c r="AX140" i="1"/>
  <c r="M140" i="1"/>
  <c r="EM139" i="1"/>
  <c r="DU139" i="1"/>
  <c r="DN139" i="1"/>
  <c r="DM139" i="1"/>
  <c r="DL139" i="1"/>
  <c r="DK139" i="1"/>
  <c r="DI139" i="1"/>
  <c r="DJ139" i="1" s="1"/>
  <c r="DB139" i="1"/>
  <c r="DC139" i="1" s="1"/>
  <c r="CX139" i="1"/>
  <c r="CN139" i="1"/>
  <c r="BX139" i="1"/>
  <c r="BN139" i="1"/>
  <c r="BO139" i="1" s="1"/>
  <c r="BM139" i="1"/>
  <c r="BD139" i="1"/>
  <c r="BC139" i="1"/>
  <c r="BB139" i="1"/>
  <c r="BA139" i="1"/>
  <c r="AZ139" i="1"/>
  <c r="AY139" i="1"/>
  <c r="AX139" i="1"/>
  <c r="M139" i="1"/>
  <c r="EM138" i="1"/>
  <c r="DU138" i="1"/>
  <c r="DN138" i="1"/>
  <c r="DM138" i="1"/>
  <c r="DL138" i="1"/>
  <c r="DK138" i="1"/>
  <c r="DI138" i="1"/>
  <c r="DJ138" i="1" s="1"/>
  <c r="DB138" i="1"/>
  <c r="DC138" i="1" s="1"/>
  <c r="CX138" i="1"/>
  <c r="CN138" i="1"/>
  <c r="BX138" i="1"/>
  <c r="BN138" i="1"/>
  <c r="BO138" i="1" s="1"/>
  <c r="BM138" i="1"/>
  <c r="BD138" i="1"/>
  <c r="BC138" i="1"/>
  <c r="BB138" i="1"/>
  <c r="BA138" i="1"/>
  <c r="AZ138" i="1"/>
  <c r="AY138" i="1"/>
  <c r="AX138" i="1"/>
  <c r="M138" i="1"/>
  <c r="EM137" i="1"/>
  <c r="DU137" i="1"/>
  <c r="DN137" i="1"/>
  <c r="DM137" i="1"/>
  <c r="DL137" i="1"/>
  <c r="DK137" i="1"/>
  <c r="DI137" i="1"/>
  <c r="DJ137" i="1" s="1"/>
  <c r="DB137" i="1"/>
  <c r="DC137" i="1" s="1"/>
  <c r="CX137" i="1"/>
  <c r="CN137" i="1"/>
  <c r="BX137" i="1"/>
  <c r="BN137" i="1"/>
  <c r="BO137" i="1" s="1"/>
  <c r="BM137" i="1"/>
  <c r="BD137" i="1"/>
  <c r="BC137" i="1"/>
  <c r="BB137" i="1"/>
  <c r="BA137" i="1"/>
  <c r="AZ137" i="1"/>
  <c r="AY137" i="1"/>
  <c r="AX137" i="1"/>
  <c r="M137" i="1"/>
  <c r="EM427" i="1"/>
  <c r="DU427" i="1"/>
  <c r="DN427" i="1"/>
  <c r="DM427" i="1"/>
  <c r="DL427" i="1"/>
  <c r="DK427" i="1"/>
  <c r="DI427" i="1"/>
  <c r="DJ427" i="1" s="1"/>
  <c r="DB427" i="1"/>
  <c r="DC427" i="1" s="1"/>
  <c r="CX427" i="1"/>
  <c r="CN427" i="1"/>
  <c r="CS427" i="1" s="1"/>
  <c r="BX427" i="1"/>
  <c r="BN427" i="1"/>
  <c r="BO427" i="1" s="1"/>
  <c r="BM427" i="1"/>
  <c r="BD427" i="1"/>
  <c r="BC427" i="1"/>
  <c r="BB427" i="1"/>
  <c r="BA427" i="1"/>
  <c r="AZ427" i="1"/>
  <c r="AY427" i="1"/>
  <c r="BE427" i="1" s="1" a="1"/>
  <c r="BE427" i="1" s="1"/>
  <c r="AX427" i="1"/>
  <c r="M427" i="1"/>
  <c r="EM426" i="1"/>
  <c r="DU426" i="1"/>
  <c r="DN426" i="1"/>
  <c r="DM426" i="1"/>
  <c r="DL426" i="1"/>
  <c r="DK426" i="1"/>
  <c r="DI426" i="1"/>
  <c r="DJ426" i="1" s="1"/>
  <c r="DB426" i="1"/>
  <c r="DC426" i="1" s="1"/>
  <c r="CX426" i="1"/>
  <c r="CN426" i="1"/>
  <c r="BX426" i="1"/>
  <c r="BN426" i="1"/>
  <c r="BO426" i="1" s="1"/>
  <c r="BM426" i="1"/>
  <c r="BD426" i="1"/>
  <c r="BC426" i="1"/>
  <c r="BB426" i="1"/>
  <c r="BA426" i="1"/>
  <c r="AZ426" i="1"/>
  <c r="BF426" i="1" s="1" a="1"/>
  <c r="BF426" i="1" s="1"/>
  <c r="AY426" i="1"/>
  <c r="BE426" i="1" s="1" a="1"/>
  <c r="BE426" i="1" s="1"/>
  <c r="AX426" i="1"/>
  <c r="M426" i="1"/>
  <c r="EM425" i="1"/>
  <c r="DU425" i="1"/>
  <c r="DN425" i="1"/>
  <c r="DM425" i="1"/>
  <c r="DL425" i="1"/>
  <c r="DK425" i="1"/>
  <c r="DI425" i="1"/>
  <c r="DJ425" i="1" s="1"/>
  <c r="DB425" i="1"/>
  <c r="DC425" i="1" s="1"/>
  <c r="CX425" i="1"/>
  <c r="CN425" i="1"/>
  <c r="CO425" i="1" s="1"/>
  <c r="BX425" i="1"/>
  <c r="BN425" i="1"/>
  <c r="BO425" i="1" s="1"/>
  <c r="BM425" i="1"/>
  <c r="BD425" i="1"/>
  <c r="BC425" i="1"/>
  <c r="BB425" i="1"/>
  <c r="BA425" i="1"/>
  <c r="AZ425" i="1"/>
  <c r="AY425" i="1"/>
  <c r="BE425" i="1" s="1" a="1"/>
  <c r="BE425" i="1" s="1"/>
  <c r="AX425" i="1"/>
  <c r="M425" i="1"/>
  <c r="EM424" i="1"/>
  <c r="DU424" i="1"/>
  <c r="DN424" i="1"/>
  <c r="DM424" i="1"/>
  <c r="DL424" i="1"/>
  <c r="DK424" i="1"/>
  <c r="DI424" i="1"/>
  <c r="DJ424" i="1" s="1"/>
  <c r="DB424" i="1"/>
  <c r="DC424" i="1" s="1"/>
  <c r="CX424" i="1"/>
  <c r="CN424" i="1"/>
  <c r="CP424" i="1" s="1"/>
  <c r="BX424" i="1"/>
  <c r="BN424" i="1"/>
  <c r="BO424" i="1" s="1"/>
  <c r="BM424" i="1"/>
  <c r="BD424" i="1"/>
  <c r="BC424" i="1"/>
  <c r="BB424" i="1"/>
  <c r="BA424" i="1"/>
  <c r="AZ424" i="1"/>
  <c r="AY424" i="1"/>
  <c r="BE424" i="1" s="1" a="1"/>
  <c r="BE424" i="1" s="1"/>
  <c r="AX424" i="1"/>
  <c r="M424" i="1"/>
  <c r="EM136" i="1"/>
  <c r="DU136" i="1"/>
  <c r="DN136" i="1"/>
  <c r="DM136" i="1"/>
  <c r="DL136" i="1"/>
  <c r="DK136" i="1"/>
  <c r="DI136" i="1"/>
  <c r="DJ136" i="1" s="1"/>
  <c r="DB136" i="1"/>
  <c r="DC136" i="1" s="1"/>
  <c r="CX136" i="1"/>
  <c r="CN136" i="1"/>
  <c r="BX136" i="1"/>
  <c r="BN136" i="1"/>
  <c r="BO136" i="1" s="1"/>
  <c r="BM136" i="1"/>
  <c r="BD136" i="1"/>
  <c r="BC136" i="1"/>
  <c r="BB136" i="1"/>
  <c r="BA136" i="1"/>
  <c r="AZ136" i="1"/>
  <c r="AY136" i="1"/>
  <c r="AX136" i="1"/>
  <c r="M136" i="1"/>
  <c r="EM135" i="1"/>
  <c r="DU135" i="1"/>
  <c r="DN135" i="1"/>
  <c r="DM135" i="1"/>
  <c r="DL135" i="1"/>
  <c r="DK135" i="1"/>
  <c r="DI135" i="1"/>
  <c r="DJ135" i="1" s="1"/>
  <c r="DB135" i="1"/>
  <c r="DC135" i="1" s="1"/>
  <c r="CX135" i="1"/>
  <c r="CN135" i="1"/>
  <c r="CO135" i="1" s="1"/>
  <c r="BX135" i="1"/>
  <c r="BN135" i="1"/>
  <c r="BO135" i="1" s="1"/>
  <c r="BM135" i="1"/>
  <c r="BD135" i="1"/>
  <c r="BC135" i="1"/>
  <c r="BB135" i="1"/>
  <c r="BA135" i="1"/>
  <c r="AZ135" i="1"/>
  <c r="AY135" i="1"/>
  <c r="AX135" i="1"/>
  <c r="M135" i="1"/>
  <c r="EM134" i="1"/>
  <c r="DU134" i="1"/>
  <c r="DN134" i="1"/>
  <c r="DM134" i="1"/>
  <c r="DL134" i="1"/>
  <c r="DK134" i="1"/>
  <c r="DI134" i="1"/>
  <c r="DJ134" i="1" s="1"/>
  <c r="DB134" i="1"/>
  <c r="DC134" i="1" s="1"/>
  <c r="CX134" i="1"/>
  <c r="CN134" i="1"/>
  <c r="CS134" i="1" s="1"/>
  <c r="BX134" i="1"/>
  <c r="BN134" i="1"/>
  <c r="BO134" i="1" s="1"/>
  <c r="BM134" i="1"/>
  <c r="BD134" i="1"/>
  <c r="BC134" i="1"/>
  <c r="BB134" i="1"/>
  <c r="BA134" i="1"/>
  <c r="AZ134" i="1"/>
  <c r="AY134" i="1"/>
  <c r="AX134" i="1"/>
  <c r="M134" i="1"/>
  <c r="EM423" i="1"/>
  <c r="DU423" i="1"/>
  <c r="DN423" i="1"/>
  <c r="DM423" i="1"/>
  <c r="DL423" i="1"/>
  <c r="DK423" i="1"/>
  <c r="DI423" i="1"/>
  <c r="DJ423" i="1" s="1"/>
  <c r="DB423" i="1"/>
  <c r="DC423" i="1" s="1"/>
  <c r="CX423" i="1"/>
  <c r="CN423" i="1"/>
  <c r="CO423" i="1" s="1"/>
  <c r="BX423" i="1"/>
  <c r="BN423" i="1"/>
  <c r="BO423" i="1" s="1"/>
  <c r="BM423" i="1"/>
  <c r="BD423" i="1"/>
  <c r="BC423" i="1"/>
  <c r="BB423" i="1"/>
  <c r="BA423" i="1"/>
  <c r="AZ423" i="1"/>
  <c r="AY423" i="1"/>
  <c r="BE423" i="1" s="1" a="1"/>
  <c r="BE423" i="1" s="1"/>
  <c r="AX423" i="1"/>
  <c r="M423" i="1"/>
  <c r="EM422" i="1"/>
  <c r="DU422" i="1"/>
  <c r="DN422" i="1"/>
  <c r="DM422" i="1"/>
  <c r="DL422" i="1"/>
  <c r="DK422" i="1"/>
  <c r="DI422" i="1"/>
  <c r="DJ422" i="1" s="1"/>
  <c r="DB422" i="1"/>
  <c r="DC422" i="1" s="1"/>
  <c r="CX422" i="1"/>
  <c r="CN422" i="1"/>
  <c r="CS422" i="1" s="1"/>
  <c r="BX422" i="1"/>
  <c r="BN422" i="1"/>
  <c r="BO422" i="1" s="1"/>
  <c r="BM422" i="1"/>
  <c r="BD422" i="1"/>
  <c r="BC422" i="1"/>
  <c r="BB422" i="1"/>
  <c r="BA422" i="1"/>
  <c r="AZ422" i="1"/>
  <c r="AY422" i="1"/>
  <c r="BE422" i="1" s="1" a="1"/>
  <c r="BE422" i="1" s="1"/>
  <c r="AX422" i="1"/>
  <c r="M422" i="1"/>
  <c r="EM421" i="1"/>
  <c r="DU421" i="1"/>
  <c r="DN421" i="1"/>
  <c r="DM421" i="1"/>
  <c r="DL421" i="1"/>
  <c r="DK421" i="1"/>
  <c r="DI421" i="1"/>
  <c r="DJ421" i="1" s="1"/>
  <c r="DB421" i="1"/>
  <c r="DC421" i="1" s="1"/>
  <c r="CX421" i="1"/>
  <c r="CN421" i="1"/>
  <c r="CR421" i="1" s="1"/>
  <c r="BX421" i="1"/>
  <c r="BN421" i="1"/>
  <c r="BO421" i="1" s="1"/>
  <c r="BM421" i="1"/>
  <c r="BD421" i="1"/>
  <c r="BC421" i="1"/>
  <c r="BB421" i="1"/>
  <c r="BA421" i="1"/>
  <c r="AZ421" i="1"/>
  <c r="BF421" i="1" s="1" a="1"/>
  <c r="BF421" i="1" s="1"/>
  <c r="AY421" i="1"/>
  <c r="BE421" i="1" s="1" a="1"/>
  <c r="BE421" i="1" s="1"/>
  <c r="AX421" i="1"/>
  <c r="M421" i="1"/>
  <c r="EM420" i="1"/>
  <c r="DU420" i="1"/>
  <c r="DN420" i="1"/>
  <c r="DM420" i="1"/>
  <c r="DL420" i="1"/>
  <c r="DK420" i="1"/>
  <c r="DI420" i="1"/>
  <c r="DJ420" i="1" s="1"/>
  <c r="DB420" i="1"/>
  <c r="DC420" i="1" s="1"/>
  <c r="CX420" i="1"/>
  <c r="CN420" i="1"/>
  <c r="BX420" i="1"/>
  <c r="BN420" i="1"/>
  <c r="BO420" i="1" s="1"/>
  <c r="BM420" i="1"/>
  <c r="BD420" i="1"/>
  <c r="BC420" i="1"/>
  <c r="BB420" i="1"/>
  <c r="BA420" i="1"/>
  <c r="AZ420" i="1"/>
  <c r="AY420" i="1"/>
  <c r="BE420" i="1" s="1" a="1"/>
  <c r="BE420" i="1" s="1"/>
  <c r="AX420" i="1"/>
  <c r="M420" i="1"/>
  <c r="EM133" i="1"/>
  <c r="DU133" i="1"/>
  <c r="DN133" i="1"/>
  <c r="DM133" i="1"/>
  <c r="DL133" i="1"/>
  <c r="DK133" i="1"/>
  <c r="DI133" i="1"/>
  <c r="DJ133" i="1" s="1"/>
  <c r="DB133" i="1"/>
  <c r="DC133" i="1" s="1"/>
  <c r="CX133" i="1"/>
  <c r="CN133" i="1"/>
  <c r="CO133" i="1" s="1"/>
  <c r="BX133" i="1"/>
  <c r="BN133" i="1"/>
  <c r="BO133" i="1" s="1"/>
  <c r="BM133" i="1"/>
  <c r="BD133" i="1"/>
  <c r="BC133" i="1"/>
  <c r="BB133" i="1"/>
  <c r="BA133" i="1"/>
  <c r="AZ133" i="1"/>
  <c r="AY133" i="1"/>
  <c r="AX133" i="1"/>
  <c r="M133" i="1"/>
  <c r="EM132" i="1"/>
  <c r="DU132" i="1"/>
  <c r="DN132" i="1"/>
  <c r="DM132" i="1"/>
  <c r="DL132" i="1"/>
  <c r="DK132" i="1"/>
  <c r="DI132" i="1"/>
  <c r="DJ132" i="1" s="1"/>
  <c r="DB132" i="1"/>
  <c r="DC132" i="1" s="1"/>
  <c r="CX132" i="1"/>
  <c r="CN132" i="1"/>
  <c r="BX132" i="1"/>
  <c r="BN132" i="1"/>
  <c r="BO132" i="1" s="1"/>
  <c r="BM132" i="1"/>
  <c r="BD132" i="1"/>
  <c r="BC132" i="1"/>
  <c r="BB132" i="1"/>
  <c r="BA132" i="1"/>
  <c r="AZ132" i="1"/>
  <c r="AY132" i="1"/>
  <c r="AX132" i="1"/>
  <c r="M132" i="1"/>
  <c r="EM131" i="1"/>
  <c r="DU131" i="1"/>
  <c r="DN131" i="1"/>
  <c r="DM131" i="1"/>
  <c r="DL131" i="1"/>
  <c r="DK131" i="1"/>
  <c r="DI131" i="1"/>
  <c r="DJ131" i="1" s="1"/>
  <c r="DB131" i="1"/>
  <c r="DC131" i="1" s="1"/>
  <c r="CX131" i="1"/>
  <c r="CN131" i="1"/>
  <c r="BX131" i="1"/>
  <c r="BN131" i="1"/>
  <c r="BO131" i="1" s="1"/>
  <c r="BM131" i="1"/>
  <c r="BD131" i="1"/>
  <c r="BC131" i="1"/>
  <c r="BB131" i="1"/>
  <c r="BA131" i="1"/>
  <c r="AZ131" i="1"/>
  <c r="AY131" i="1"/>
  <c r="AX131" i="1"/>
  <c r="M131" i="1"/>
  <c r="EM130" i="1"/>
  <c r="DU130" i="1"/>
  <c r="DN130" i="1"/>
  <c r="DM130" i="1"/>
  <c r="DL130" i="1"/>
  <c r="DK130" i="1"/>
  <c r="DI130" i="1"/>
  <c r="DJ130" i="1" s="1"/>
  <c r="DB130" i="1"/>
  <c r="DC130" i="1" s="1"/>
  <c r="CX130" i="1"/>
  <c r="CN130" i="1"/>
  <c r="BX130" i="1"/>
  <c r="BN130" i="1"/>
  <c r="BO130" i="1" s="1"/>
  <c r="BM130" i="1"/>
  <c r="BD130" i="1"/>
  <c r="BC130" i="1"/>
  <c r="BB130" i="1"/>
  <c r="BA130" i="1"/>
  <c r="AZ130" i="1"/>
  <c r="AY130" i="1"/>
  <c r="AX130" i="1"/>
  <c r="M130" i="1"/>
  <c r="EM129" i="1"/>
  <c r="DU129" i="1"/>
  <c r="DN129" i="1"/>
  <c r="DM129" i="1"/>
  <c r="DL129" i="1"/>
  <c r="DK129" i="1"/>
  <c r="DI129" i="1"/>
  <c r="DJ129" i="1" s="1"/>
  <c r="DB129" i="1"/>
  <c r="DC129" i="1" s="1"/>
  <c r="CX129" i="1"/>
  <c r="CN129" i="1"/>
  <c r="CP129" i="1" s="1"/>
  <c r="BX129" i="1"/>
  <c r="BN129" i="1"/>
  <c r="BO129" i="1" s="1"/>
  <c r="BM129" i="1"/>
  <c r="BD129" i="1"/>
  <c r="BC129" i="1"/>
  <c r="BB129" i="1"/>
  <c r="BA129" i="1"/>
  <c r="AZ129" i="1"/>
  <c r="AY129" i="1"/>
  <c r="AX129" i="1"/>
  <c r="M129" i="1"/>
  <c r="EM419" i="1"/>
  <c r="DU419" i="1"/>
  <c r="DN419" i="1"/>
  <c r="DM419" i="1"/>
  <c r="DL419" i="1"/>
  <c r="DK419" i="1"/>
  <c r="DI419" i="1"/>
  <c r="DJ419" i="1" s="1"/>
  <c r="DB419" i="1"/>
  <c r="DC419" i="1" s="1"/>
  <c r="CX419" i="1"/>
  <c r="CN419" i="1"/>
  <c r="CR419" i="1" s="1"/>
  <c r="BX419" i="1"/>
  <c r="BN419" i="1"/>
  <c r="BO419" i="1" s="1"/>
  <c r="BM419" i="1"/>
  <c r="BD419" i="1"/>
  <c r="BC419" i="1"/>
  <c r="BB419" i="1"/>
  <c r="BA419" i="1"/>
  <c r="AZ419" i="1"/>
  <c r="AY419" i="1"/>
  <c r="BE419" i="1" s="1" a="1"/>
  <c r="BE419" i="1" s="1"/>
  <c r="AX419" i="1"/>
  <c r="M419" i="1"/>
  <c r="EM418" i="1"/>
  <c r="DU418" i="1"/>
  <c r="DN418" i="1"/>
  <c r="DM418" i="1"/>
  <c r="DL418" i="1"/>
  <c r="DK418" i="1"/>
  <c r="DI418" i="1"/>
  <c r="DJ418" i="1" s="1"/>
  <c r="DB418" i="1"/>
  <c r="DC418" i="1" s="1"/>
  <c r="CX418" i="1"/>
  <c r="CN418" i="1"/>
  <c r="BX418" i="1"/>
  <c r="BN418" i="1"/>
  <c r="BO418" i="1" s="1"/>
  <c r="BM418" i="1"/>
  <c r="BD418" i="1"/>
  <c r="BC418" i="1"/>
  <c r="BB418" i="1"/>
  <c r="BA418" i="1"/>
  <c r="AZ418" i="1"/>
  <c r="BF418" i="1" s="1" a="1"/>
  <c r="BF418" i="1" s="1"/>
  <c r="AY418" i="1"/>
  <c r="BE418" i="1" s="1" a="1"/>
  <c r="BE418" i="1" s="1"/>
  <c r="AX418" i="1"/>
  <c r="M418" i="1"/>
  <c r="EM417" i="1"/>
  <c r="DU417" i="1"/>
  <c r="DN417" i="1"/>
  <c r="DM417" i="1"/>
  <c r="DL417" i="1"/>
  <c r="DK417" i="1"/>
  <c r="DI417" i="1"/>
  <c r="DJ417" i="1" s="1"/>
  <c r="DB417" i="1"/>
  <c r="DC417" i="1" s="1"/>
  <c r="CX417" i="1"/>
  <c r="CN417" i="1"/>
  <c r="CP417" i="1" s="1"/>
  <c r="BX417" i="1"/>
  <c r="BN417" i="1"/>
  <c r="BO417" i="1" s="1"/>
  <c r="BM417" i="1"/>
  <c r="BD417" i="1"/>
  <c r="BC417" i="1"/>
  <c r="BB417" i="1"/>
  <c r="BA417" i="1"/>
  <c r="AZ417" i="1"/>
  <c r="BF417" i="1" s="1" a="1"/>
  <c r="BF417" i="1" s="1"/>
  <c r="AY417" i="1"/>
  <c r="BE417" i="1" s="1" a="1"/>
  <c r="BE417" i="1" s="1"/>
  <c r="AX417" i="1"/>
  <c r="M417" i="1"/>
  <c r="EM416" i="1"/>
  <c r="DU416" i="1"/>
  <c r="DN416" i="1"/>
  <c r="DM416" i="1"/>
  <c r="DL416" i="1"/>
  <c r="DK416" i="1"/>
  <c r="DI416" i="1"/>
  <c r="DJ416" i="1" s="1"/>
  <c r="DB416" i="1"/>
  <c r="DC416" i="1" s="1"/>
  <c r="CX416" i="1"/>
  <c r="CN416" i="1"/>
  <c r="CS416" i="1" s="1"/>
  <c r="BX416" i="1"/>
  <c r="BN416" i="1"/>
  <c r="BO416" i="1" s="1"/>
  <c r="BM416" i="1"/>
  <c r="BD416" i="1"/>
  <c r="BC416" i="1"/>
  <c r="BB416" i="1"/>
  <c r="BA416" i="1"/>
  <c r="AZ416" i="1"/>
  <c r="AY416" i="1"/>
  <c r="BE416" i="1" s="1" a="1"/>
  <c r="BE416" i="1" s="1"/>
  <c r="AX416" i="1"/>
  <c r="M416" i="1"/>
  <c r="EM574" i="1"/>
  <c r="DU574" i="1"/>
  <c r="DN574" i="1"/>
  <c r="DM574" i="1"/>
  <c r="DL574" i="1"/>
  <c r="DK574" i="1"/>
  <c r="DI574" i="1"/>
  <c r="DJ574" i="1" s="1"/>
  <c r="DC574" i="1"/>
  <c r="CX574" i="1"/>
  <c r="CN574" i="1"/>
  <c r="CP574" i="1" s="1"/>
  <c r="BV574" i="1"/>
  <c r="BX574" i="1" s="1"/>
  <c r="BU574" i="1"/>
  <c r="BN574" i="1"/>
  <c r="BO574" i="1" s="1"/>
  <c r="BM574" i="1"/>
  <c r="BD574" i="1"/>
  <c r="BC574" i="1"/>
  <c r="BB574" i="1"/>
  <c r="BA574" i="1"/>
  <c r="AZ574" i="1"/>
  <c r="BF574" i="1" s="1" a="1"/>
  <c r="BF574" i="1" s="1"/>
  <c r="AY574" i="1"/>
  <c r="BE574" i="1" s="1" a="1"/>
  <c r="BE574" i="1" s="1"/>
  <c r="AX574" i="1"/>
  <c r="M574" i="1"/>
  <c r="EM573" i="1"/>
  <c r="DU573" i="1"/>
  <c r="DN573" i="1"/>
  <c r="DM573" i="1"/>
  <c r="DL573" i="1"/>
  <c r="DK573" i="1"/>
  <c r="DI573" i="1"/>
  <c r="DJ573" i="1" s="1"/>
  <c r="DC573" i="1"/>
  <c r="CX573" i="1"/>
  <c r="CN573" i="1"/>
  <c r="CS573" i="1" s="1"/>
  <c r="BV573" i="1"/>
  <c r="BX573" i="1" s="1"/>
  <c r="BU573" i="1"/>
  <c r="BN573" i="1"/>
  <c r="BO573" i="1" s="1"/>
  <c r="BM573" i="1"/>
  <c r="BD573" i="1"/>
  <c r="BC573" i="1"/>
  <c r="BB573" i="1"/>
  <c r="BA573" i="1"/>
  <c r="AZ573" i="1"/>
  <c r="AY573" i="1"/>
  <c r="BE573" i="1" s="1" a="1"/>
  <c r="BE573" i="1" s="1"/>
  <c r="AX573" i="1"/>
  <c r="M573" i="1"/>
  <c r="EM572" i="1"/>
  <c r="DU572" i="1"/>
  <c r="DN572" i="1"/>
  <c r="DM572" i="1"/>
  <c r="DL572" i="1"/>
  <c r="DK572" i="1"/>
  <c r="DI572" i="1"/>
  <c r="DJ572" i="1" s="1"/>
  <c r="DC572" i="1"/>
  <c r="CX572" i="1"/>
  <c r="CN572" i="1"/>
  <c r="CS572" i="1" s="1"/>
  <c r="BV572" i="1"/>
  <c r="BX572" i="1" s="1"/>
  <c r="BU572" i="1"/>
  <c r="BN572" i="1"/>
  <c r="BO572" i="1" s="1"/>
  <c r="BM572" i="1"/>
  <c r="BD572" i="1"/>
  <c r="BC572" i="1"/>
  <c r="BB572" i="1"/>
  <c r="BA572" i="1"/>
  <c r="AZ572" i="1"/>
  <c r="AY572" i="1"/>
  <c r="BE572" i="1" s="1" a="1"/>
  <c r="BE572" i="1" s="1"/>
  <c r="AX572" i="1"/>
  <c r="M572" i="1"/>
  <c r="EM571" i="1"/>
  <c r="DU571" i="1"/>
  <c r="DN571" i="1"/>
  <c r="DM571" i="1"/>
  <c r="DL571" i="1"/>
  <c r="DK571" i="1"/>
  <c r="DI571" i="1"/>
  <c r="DJ571" i="1" s="1"/>
  <c r="DC571" i="1"/>
  <c r="CX571" i="1"/>
  <c r="CN571" i="1"/>
  <c r="BV571" i="1"/>
  <c r="BX571" i="1" s="1"/>
  <c r="BU571" i="1"/>
  <c r="BN571" i="1"/>
  <c r="BO571" i="1" s="1"/>
  <c r="BM571" i="1"/>
  <c r="BD571" i="1"/>
  <c r="BC571" i="1"/>
  <c r="BB571" i="1"/>
  <c r="BA571" i="1"/>
  <c r="AZ571" i="1"/>
  <c r="AY571" i="1"/>
  <c r="BE571" i="1" s="1" a="1"/>
  <c r="BE571" i="1" s="1"/>
  <c r="AX571" i="1"/>
  <c r="M571" i="1"/>
  <c r="EM715" i="1"/>
  <c r="DT715" i="1"/>
  <c r="DN715" i="1"/>
  <c r="DM715" i="1"/>
  <c r="DL715" i="1"/>
  <c r="DK715" i="1"/>
  <c r="DJ715" i="1"/>
  <c r="DC715" i="1"/>
  <c r="CX715" i="1"/>
  <c r="CN715" i="1"/>
  <c r="BT715" i="1"/>
  <c r="BS715" i="1"/>
  <c r="BN715" i="1"/>
  <c r="BO715" i="1" s="1"/>
  <c r="BD715" i="1"/>
  <c r="BC715" i="1"/>
  <c r="BB715" i="1"/>
  <c r="BA715" i="1"/>
  <c r="AZ715" i="1"/>
  <c r="AY715" i="1"/>
  <c r="BE715" i="1" s="1" a="1"/>
  <c r="BE715" i="1" s="1"/>
  <c r="AX715" i="1"/>
  <c r="M715" i="1"/>
  <c r="EM714" i="1"/>
  <c r="DT714" i="1"/>
  <c r="DN714" i="1"/>
  <c r="DM714" i="1"/>
  <c r="DL714" i="1"/>
  <c r="DK714" i="1"/>
  <c r="DJ714" i="1"/>
  <c r="DC714" i="1"/>
  <c r="CX714" i="1"/>
  <c r="CN714" i="1"/>
  <c r="BT714" i="1"/>
  <c r="BS714" i="1"/>
  <c r="BN714" i="1"/>
  <c r="BO714" i="1" s="1"/>
  <c r="BD714" i="1"/>
  <c r="BC714" i="1"/>
  <c r="BB714" i="1"/>
  <c r="BA714" i="1"/>
  <c r="AZ714" i="1"/>
  <c r="AY714" i="1"/>
  <c r="BE714" i="1" s="1" a="1"/>
  <c r="BE714" i="1" s="1"/>
  <c r="AX714" i="1"/>
  <c r="M714" i="1"/>
  <c r="EM713" i="1"/>
  <c r="DT713" i="1"/>
  <c r="DN713" i="1"/>
  <c r="DM713" i="1"/>
  <c r="DL713" i="1"/>
  <c r="DK713" i="1"/>
  <c r="DJ713" i="1"/>
  <c r="DC713" i="1"/>
  <c r="CX713" i="1"/>
  <c r="CN713" i="1"/>
  <c r="BT713" i="1"/>
  <c r="BS713" i="1"/>
  <c r="BN713" i="1"/>
  <c r="BO713" i="1" s="1"/>
  <c r="BD713" i="1"/>
  <c r="BC713" i="1"/>
  <c r="BB713" i="1"/>
  <c r="BA713" i="1"/>
  <c r="AZ713" i="1"/>
  <c r="AY713" i="1"/>
  <c r="BE713" i="1" s="1" a="1"/>
  <c r="BE713" i="1" s="1"/>
  <c r="AX713" i="1"/>
  <c r="M713" i="1"/>
  <c r="EM548" i="1"/>
  <c r="DT548" i="1"/>
  <c r="DN548" i="1"/>
  <c r="DM548" i="1"/>
  <c r="DL548" i="1"/>
  <c r="DK548" i="1"/>
  <c r="DJ548" i="1"/>
  <c r="DC548" i="1"/>
  <c r="CX548" i="1"/>
  <c r="CN548" i="1"/>
  <c r="CS548" i="1" s="1"/>
  <c r="BV548" i="1"/>
  <c r="BN548" i="1"/>
  <c r="BO548" i="1" s="1"/>
  <c r="BD548" i="1"/>
  <c r="BC548" i="1"/>
  <c r="BB548" i="1"/>
  <c r="BA548" i="1"/>
  <c r="AZ548" i="1"/>
  <c r="AY548" i="1"/>
  <c r="BE548" i="1" s="1" a="1"/>
  <c r="BE548" i="1" s="1"/>
  <c r="AX548" i="1"/>
  <c r="M548" i="1"/>
  <c r="EM547" i="1"/>
  <c r="DT547" i="1"/>
  <c r="DN547" i="1"/>
  <c r="DM547" i="1"/>
  <c r="DL547" i="1"/>
  <c r="DK547" i="1"/>
  <c r="DJ547" i="1"/>
  <c r="DC547" i="1"/>
  <c r="CX547" i="1"/>
  <c r="CN547" i="1"/>
  <c r="CT547" i="1" s="1"/>
  <c r="BV547" i="1"/>
  <c r="BN547" i="1"/>
  <c r="BO547" i="1" s="1"/>
  <c r="BD547" i="1"/>
  <c r="BC547" i="1"/>
  <c r="BB547" i="1"/>
  <c r="BA547" i="1"/>
  <c r="AZ547" i="1"/>
  <c r="AY547" i="1"/>
  <c r="BE547" i="1" s="1" a="1"/>
  <c r="BE547" i="1" s="1"/>
  <c r="AX547" i="1"/>
  <c r="M547" i="1"/>
  <c r="EM546" i="1"/>
  <c r="DT546" i="1"/>
  <c r="DN546" i="1"/>
  <c r="DM546" i="1"/>
  <c r="DL546" i="1"/>
  <c r="DK546" i="1"/>
  <c r="DJ546" i="1"/>
  <c r="DC546" i="1"/>
  <c r="CX546" i="1"/>
  <c r="CN546" i="1"/>
  <c r="CT546" i="1" s="1"/>
  <c r="BV546" i="1"/>
  <c r="BN546" i="1"/>
  <c r="BO546" i="1" s="1"/>
  <c r="BY546" i="1" s="1"/>
  <c r="BD546" i="1"/>
  <c r="BC546" i="1"/>
  <c r="BB546" i="1"/>
  <c r="BA546" i="1"/>
  <c r="AZ546" i="1"/>
  <c r="BF546" i="1" s="1" a="1"/>
  <c r="BF546" i="1" s="1"/>
  <c r="AY546" i="1"/>
  <c r="BE546" i="1" s="1" a="1"/>
  <c r="BE546" i="1" s="1"/>
  <c r="AX546" i="1"/>
  <c r="M546" i="1"/>
  <c r="EM545" i="1"/>
  <c r="DT545" i="1"/>
  <c r="DN545" i="1"/>
  <c r="DM545" i="1"/>
  <c r="DL545" i="1"/>
  <c r="DK545" i="1"/>
  <c r="DJ545" i="1"/>
  <c r="DC545" i="1"/>
  <c r="CX545" i="1"/>
  <c r="CN545" i="1"/>
  <c r="CR545" i="1" s="1"/>
  <c r="BV545" i="1"/>
  <c r="BN545" i="1"/>
  <c r="BO545" i="1" s="1"/>
  <c r="BD545" i="1"/>
  <c r="BC545" i="1"/>
  <c r="BB545" i="1"/>
  <c r="BA545" i="1"/>
  <c r="AZ545" i="1"/>
  <c r="AY545" i="1"/>
  <c r="BE545" i="1" s="1" a="1"/>
  <c r="BE545" i="1" s="1"/>
  <c r="AX545" i="1"/>
  <c r="M545" i="1"/>
  <c r="EM388" i="1"/>
  <c r="DT388" i="1"/>
  <c r="DN388" i="1"/>
  <c r="DM388" i="1"/>
  <c r="DL388" i="1"/>
  <c r="DK388" i="1"/>
  <c r="DJ388" i="1"/>
  <c r="DC388" i="1"/>
  <c r="CX388" i="1"/>
  <c r="CN388" i="1"/>
  <c r="BV388" i="1"/>
  <c r="BX388" i="1" s="1"/>
  <c r="BN388" i="1"/>
  <c r="BO388" i="1" s="1"/>
  <c r="BD388" i="1"/>
  <c r="BC388" i="1"/>
  <c r="BB388" i="1"/>
  <c r="BA388" i="1"/>
  <c r="AZ388" i="1"/>
  <c r="BF388" i="1" s="1" a="1"/>
  <c r="BF388" i="1" s="1"/>
  <c r="AY388" i="1"/>
  <c r="BE388" i="1" s="1" a="1"/>
  <c r="BE388" i="1" s="1"/>
  <c r="AX388" i="1"/>
  <c r="M388" i="1"/>
  <c r="EM387" i="1"/>
  <c r="DT387" i="1"/>
  <c r="DN387" i="1"/>
  <c r="DM387" i="1"/>
  <c r="DL387" i="1"/>
  <c r="DK387" i="1"/>
  <c r="DJ387" i="1"/>
  <c r="DC387" i="1"/>
  <c r="CX387" i="1"/>
  <c r="CN387" i="1"/>
  <c r="CS387" i="1" s="1"/>
  <c r="BV387" i="1"/>
  <c r="BX387" i="1" s="1"/>
  <c r="BN387" i="1"/>
  <c r="BO387" i="1" s="1"/>
  <c r="BD387" i="1"/>
  <c r="BC387" i="1"/>
  <c r="BB387" i="1"/>
  <c r="BA387" i="1"/>
  <c r="AZ387" i="1"/>
  <c r="AY387" i="1"/>
  <c r="BE387" i="1" s="1" a="1"/>
  <c r="BE387" i="1" s="1"/>
  <c r="AX387" i="1"/>
  <c r="M387" i="1"/>
  <c r="EM386" i="1"/>
  <c r="DT386" i="1"/>
  <c r="DN386" i="1"/>
  <c r="DM386" i="1"/>
  <c r="DL386" i="1"/>
  <c r="DK386" i="1"/>
  <c r="DJ386" i="1"/>
  <c r="DC386" i="1"/>
  <c r="CX386" i="1"/>
  <c r="CN386" i="1"/>
  <c r="CR386" i="1" s="1"/>
  <c r="BV386" i="1"/>
  <c r="BX386" i="1" s="1"/>
  <c r="BN386" i="1"/>
  <c r="BO386" i="1" s="1"/>
  <c r="BD386" i="1"/>
  <c r="BC386" i="1"/>
  <c r="BB386" i="1"/>
  <c r="BA386" i="1"/>
  <c r="AZ386" i="1"/>
  <c r="BF386" i="1" s="1" a="1"/>
  <c r="BF386" i="1" s="1"/>
  <c r="AY386" i="1"/>
  <c r="BE386" i="1" s="1" a="1"/>
  <c r="BE386" i="1" s="1"/>
  <c r="AX386" i="1"/>
  <c r="M386" i="1"/>
  <c r="EM564" i="1"/>
  <c r="DU564" i="1"/>
  <c r="DT564" i="1"/>
  <c r="DN564" i="1"/>
  <c r="DM564" i="1"/>
  <c r="DL564" i="1"/>
  <c r="DK564" i="1"/>
  <c r="DI564" i="1"/>
  <c r="DJ564" i="1" s="1"/>
  <c r="DC564" i="1"/>
  <c r="CX564" i="1"/>
  <c r="CN564" i="1"/>
  <c r="CS564" i="1" s="1"/>
  <c r="BV564" i="1"/>
  <c r="BX564" i="1" s="1"/>
  <c r="BN564" i="1"/>
  <c r="BO564" i="1" s="1"/>
  <c r="BD564" i="1"/>
  <c r="BC564" i="1"/>
  <c r="BB564" i="1"/>
  <c r="BA564" i="1"/>
  <c r="AZ564" i="1"/>
  <c r="AY564" i="1"/>
  <c r="BE564" i="1" s="1" a="1"/>
  <c r="BE564" i="1" s="1"/>
  <c r="AX564" i="1"/>
  <c r="M564" i="1"/>
  <c r="EM21" i="1"/>
  <c r="DU21" i="1"/>
  <c r="DT21" i="1"/>
  <c r="DN21" i="1"/>
  <c r="DM21" i="1"/>
  <c r="DL21" i="1"/>
  <c r="DK21" i="1"/>
  <c r="DI21" i="1"/>
  <c r="DJ21" i="1" s="1"/>
  <c r="DC21" i="1"/>
  <c r="CX21" i="1"/>
  <c r="CN21" i="1"/>
  <c r="BV21" i="1"/>
  <c r="BX21" i="1" s="1"/>
  <c r="BU21" i="1"/>
  <c r="BN21" i="1"/>
  <c r="BO21" i="1" s="1"/>
  <c r="BM21" i="1"/>
  <c r="BD21" i="1"/>
  <c r="BC21" i="1"/>
  <c r="BB21" i="1"/>
  <c r="BA21" i="1"/>
  <c r="AZ21" i="1"/>
  <c r="AY21" i="1"/>
  <c r="BE21" i="1" s="1" a="1"/>
  <c r="BE21" i="1" s="1"/>
  <c r="AX21" i="1"/>
  <c r="M21" i="1"/>
  <c r="EM20" i="1"/>
  <c r="DU20" i="1"/>
  <c r="DT20" i="1"/>
  <c r="DN20" i="1"/>
  <c r="DM20" i="1"/>
  <c r="DL20" i="1"/>
  <c r="DK20" i="1"/>
  <c r="DI20" i="1"/>
  <c r="DJ20" i="1" s="1"/>
  <c r="DC20" i="1"/>
  <c r="CX20" i="1"/>
  <c r="CN20" i="1"/>
  <c r="CP20" i="1" s="1"/>
  <c r="BV20" i="1"/>
  <c r="BX20" i="1" s="1"/>
  <c r="BU20" i="1"/>
  <c r="BN20" i="1"/>
  <c r="BO20" i="1" s="1"/>
  <c r="BM20" i="1"/>
  <c r="BD20" i="1"/>
  <c r="BC20" i="1"/>
  <c r="BB20" i="1"/>
  <c r="BA20" i="1"/>
  <c r="AZ20" i="1"/>
  <c r="AY20" i="1"/>
  <c r="BE20" i="1" s="1" a="1"/>
  <c r="BE20" i="1" s="1"/>
  <c r="AX20" i="1"/>
  <c r="M20" i="1"/>
  <c r="EM454" i="1"/>
  <c r="DU454" i="1"/>
  <c r="DT454" i="1"/>
  <c r="DN454" i="1"/>
  <c r="DM454" i="1"/>
  <c r="DL454" i="1"/>
  <c r="DK454" i="1"/>
  <c r="DI454" i="1"/>
  <c r="DJ454" i="1" s="1"/>
  <c r="DC454" i="1"/>
  <c r="CX454" i="1"/>
  <c r="CN454" i="1"/>
  <c r="BV454" i="1"/>
  <c r="BX454" i="1" s="1"/>
  <c r="BU454" i="1"/>
  <c r="BN454" i="1"/>
  <c r="BO454" i="1" s="1"/>
  <c r="BM454" i="1"/>
  <c r="BD454" i="1"/>
  <c r="BC454" i="1"/>
  <c r="BB454" i="1"/>
  <c r="BA454" i="1"/>
  <c r="AZ454" i="1"/>
  <c r="AY454" i="1"/>
  <c r="BE454" i="1" s="1" a="1"/>
  <c r="BE454" i="1" s="1"/>
  <c r="AX454" i="1"/>
  <c r="M454" i="1"/>
  <c r="EM482" i="1"/>
  <c r="DU482" i="1"/>
  <c r="DT482" i="1"/>
  <c r="DN482" i="1"/>
  <c r="DM482" i="1"/>
  <c r="DL482" i="1"/>
  <c r="DK482" i="1"/>
  <c r="DI482" i="1"/>
  <c r="DJ482" i="1" s="1"/>
  <c r="DB482" i="1"/>
  <c r="DC482" i="1" s="1"/>
  <c r="CX482" i="1"/>
  <c r="CN482" i="1"/>
  <c r="CO482" i="1" s="1"/>
  <c r="BV482" i="1"/>
  <c r="BX482" i="1" s="1"/>
  <c r="BY482" i="1" s="1"/>
  <c r="BU482" i="1"/>
  <c r="BD482" i="1"/>
  <c r="BC482" i="1"/>
  <c r="BB482" i="1"/>
  <c r="BA482" i="1"/>
  <c r="AZ482" i="1"/>
  <c r="AY482" i="1"/>
  <c r="BE482" i="1" s="1" a="1"/>
  <c r="BE482" i="1" s="1"/>
  <c r="AX482" i="1"/>
  <c r="M482" i="1"/>
  <c r="EM481" i="1"/>
  <c r="DU481" i="1"/>
  <c r="DT481" i="1"/>
  <c r="DN481" i="1"/>
  <c r="DM481" i="1"/>
  <c r="DL481" i="1"/>
  <c r="DK481" i="1"/>
  <c r="DI481" i="1"/>
  <c r="DJ481" i="1" s="1"/>
  <c r="DB481" i="1"/>
  <c r="DC481" i="1" s="1"/>
  <c r="CX481" i="1"/>
  <c r="CN481" i="1"/>
  <c r="CO481" i="1" s="1"/>
  <c r="BV481" i="1"/>
  <c r="BX481" i="1" s="1"/>
  <c r="BU481" i="1"/>
  <c r="BD481" i="1"/>
  <c r="BC481" i="1"/>
  <c r="BB481" i="1"/>
  <c r="BA481" i="1"/>
  <c r="AZ481" i="1"/>
  <c r="AY481" i="1"/>
  <c r="BE481" i="1" s="1" a="1"/>
  <c r="BE481" i="1" s="1"/>
  <c r="AX481" i="1"/>
  <c r="M481" i="1"/>
  <c r="EM480" i="1"/>
  <c r="DU480" i="1"/>
  <c r="DT480" i="1"/>
  <c r="DN480" i="1"/>
  <c r="DM480" i="1"/>
  <c r="DL480" i="1"/>
  <c r="DK480" i="1"/>
  <c r="DI480" i="1"/>
  <c r="DJ480" i="1" s="1"/>
  <c r="DB480" i="1"/>
  <c r="DC480" i="1" s="1"/>
  <c r="CX480" i="1"/>
  <c r="CN480" i="1"/>
  <c r="CO480" i="1" s="1"/>
  <c r="BV480" i="1"/>
  <c r="BX480" i="1" s="1"/>
  <c r="BU480" i="1"/>
  <c r="BD480" i="1"/>
  <c r="BC480" i="1"/>
  <c r="BB480" i="1"/>
  <c r="BA480" i="1"/>
  <c r="AZ480" i="1"/>
  <c r="AY480" i="1"/>
  <c r="BE480" i="1" s="1" a="1"/>
  <c r="BE480" i="1" s="1"/>
  <c r="AX480" i="1"/>
  <c r="M480" i="1"/>
  <c r="EM479" i="1"/>
  <c r="DU479" i="1"/>
  <c r="DT479" i="1"/>
  <c r="DN479" i="1"/>
  <c r="DM479" i="1"/>
  <c r="DL479" i="1"/>
  <c r="DK479" i="1"/>
  <c r="DI479" i="1"/>
  <c r="DJ479" i="1" s="1"/>
  <c r="DB479" i="1"/>
  <c r="DC479" i="1" s="1"/>
  <c r="CX479" i="1"/>
  <c r="CN479" i="1"/>
  <c r="CS479" i="1" s="1"/>
  <c r="BV479" i="1"/>
  <c r="BX479" i="1" s="1"/>
  <c r="BU479" i="1"/>
  <c r="BD479" i="1"/>
  <c r="BC479" i="1"/>
  <c r="BB479" i="1"/>
  <c r="BA479" i="1"/>
  <c r="AZ479" i="1"/>
  <c r="AY479" i="1"/>
  <c r="BE479" i="1" s="1" a="1"/>
  <c r="BE479" i="1" s="1"/>
  <c r="AX479" i="1"/>
  <c r="M479" i="1"/>
  <c r="EM478" i="1"/>
  <c r="DU478" i="1"/>
  <c r="DT478" i="1"/>
  <c r="DN478" i="1"/>
  <c r="DM478" i="1"/>
  <c r="DL478" i="1"/>
  <c r="DK478" i="1"/>
  <c r="DI478" i="1"/>
  <c r="DJ478" i="1" s="1"/>
  <c r="DB478" i="1"/>
  <c r="DC478" i="1" s="1"/>
  <c r="CX478" i="1"/>
  <c r="CN478" i="1"/>
  <c r="BV478" i="1"/>
  <c r="BX478" i="1" s="1"/>
  <c r="BY478" i="1" s="1"/>
  <c r="BU478" i="1"/>
  <c r="BD478" i="1"/>
  <c r="BC478" i="1"/>
  <c r="BB478" i="1"/>
  <c r="BA478" i="1"/>
  <c r="AZ478" i="1"/>
  <c r="BF478" i="1" s="1" a="1"/>
  <c r="BF478" i="1" s="1"/>
  <c r="AY478" i="1"/>
  <c r="BE478" i="1" s="1" a="1"/>
  <c r="BE478" i="1" s="1"/>
  <c r="AX478" i="1"/>
  <c r="M478" i="1"/>
  <c r="EM477" i="1"/>
  <c r="DU477" i="1"/>
  <c r="DT477" i="1"/>
  <c r="DN477" i="1"/>
  <c r="DM477" i="1"/>
  <c r="DL477" i="1"/>
  <c r="DK477" i="1"/>
  <c r="DI477" i="1"/>
  <c r="DJ477" i="1" s="1"/>
  <c r="DB477" i="1"/>
  <c r="DC477" i="1" s="1"/>
  <c r="CX477" i="1"/>
  <c r="CN477" i="1"/>
  <c r="CO477" i="1" s="1"/>
  <c r="BV477" i="1"/>
  <c r="BX477" i="1" s="1"/>
  <c r="BU477" i="1"/>
  <c r="BD477" i="1"/>
  <c r="BC477" i="1"/>
  <c r="BB477" i="1"/>
  <c r="BA477" i="1"/>
  <c r="AZ477" i="1"/>
  <c r="BF477" i="1" s="1" a="1"/>
  <c r="BF477" i="1" s="1"/>
  <c r="AY477" i="1"/>
  <c r="BE477" i="1" s="1" a="1"/>
  <c r="BE477" i="1" s="1"/>
  <c r="AX477" i="1"/>
  <c r="M477" i="1"/>
  <c r="EM23" i="1"/>
  <c r="DU23" i="1"/>
  <c r="DT23" i="1"/>
  <c r="DN23" i="1"/>
  <c r="DM23" i="1"/>
  <c r="DL23" i="1"/>
  <c r="DK23" i="1"/>
  <c r="DI23" i="1"/>
  <c r="DJ23" i="1" s="1"/>
  <c r="DB23" i="1"/>
  <c r="DC23" i="1" s="1"/>
  <c r="CX23" i="1"/>
  <c r="BT23" i="1"/>
  <c r="BV23" i="1" s="1"/>
  <c r="BX23" i="1" s="1"/>
  <c r="BL23" i="1"/>
  <c r="BK23" i="1"/>
  <c r="BD23" i="1"/>
  <c r="BC23" i="1"/>
  <c r="BB23" i="1"/>
  <c r="BA23" i="1"/>
  <c r="AZ23" i="1"/>
  <c r="AY23" i="1"/>
  <c r="BE23" i="1" s="1" a="1"/>
  <c r="BE23" i="1" s="1"/>
  <c r="AX23" i="1"/>
  <c r="M23" i="1"/>
  <c r="EM413" i="1"/>
  <c r="DU413" i="1"/>
  <c r="DT413" i="1"/>
  <c r="DN413" i="1"/>
  <c r="DM413" i="1"/>
  <c r="DL413" i="1"/>
  <c r="DK413" i="1"/>
  <c r="DI413" i="1"/>
  <c r="DJ413" i="1" s="1"/>
  <c r="DB413" i="1"/>
  <c r="DC413" i="1" s="1"/>
  <c r="CX413" i="1"/>
  <c r="BS413" i="1"/>
  <c r="BV413" i="1" s="1"/>
  <c r="BX413" i="1" s="1"/>
  <c r="BL413" i="1"/>
  <c r="BK413" i="1"/>
  <c r="BD413" i="1"/>
  <c r="BC413" i="1"/>
  <c r="BB413" i="1"/>
  <c r="BA413" i="1"/>
  <c r="AZ413" i="1"/>
  <c r="AY413" i="1"/>
  <c r="BE413" i="1" s="1" a="1"/>
  <c r="BE413" i="1" s="1"/>
  <c r="AX413" i="1"/>
  <c r="M413" i="1"/>
  <c r="EM412" i="1"/>
  <c r="DU412" i="1"/>
  <c r="DT412" i="1"/>
  <c r="DN412" i="1"/>
  <c r="DM412" i="1"/>
  <c r="DL412" i="1"/>
  <c r="DK412" i="1"/>
  <c r="DI412" i="1"/>
  <c r="DJ412" i="1" s="1"/>
  <c r="DB412" i="1"/>
  <c r="DC412" i="1" s="1"/>
  <c r="CX412" i="1"/>
  <c r="BV412" i="1"/>
  <c r="BX412" i="1" s="1"/>
  <c r="BU412" i="1"/>
  <c r="BL412" i="1"/>
  <c r="CN412" i="1" s="1"/>
  <c r="CP412" i="1" s="1"/>
  <c r="BD412" i="1"/>
  <c r="BC412" i="1"/>
  <c r="BB412" i="1"/>
  <c r="BA412" i="1"/>
  <c r="AZ412" i="1"/>
  <c r="AY412" i="1"/>
  <c r="BE412" i="1" s="1" a="1"/>
  <c r="BE412" i="1" s="1"/>
  <c r="AX412" i="1"/>
  <c r="M412" i="1"/>
  <c r="EM22" i="1"/>
  <c r="DU22" i="1"/>
  <c r="DT22" i="1"/>
  <c r="DN22" i="1"/>
  <c r="DM22" i="1"/>
  <c r="DL22" i="1"/>
  <c r="DK22" i="1"/>
  <c r="DI22" i="1"/>
  <c r="DJ22" i="1" s="1"/>
  <c r="DB22" i="1"/>
  <c r="DC22" i="1" s="1"/>
  <c r="CX22" i="1"/>
  <c r="BV22" i="1"/>
  <c r="BX22" i="1" s="1"/>
  <c r="BU22" i="1"/>
  <c r="BL22" i="1"/>
  <c r="BK22" i="1"/>
  <c r="CN22" i="1" s="1"/>
  <c r="BD22" i="1"/>
  <c r="BC22" i="1"/>
  <c r="BB22" i="1"/>
  <c r="BA22" i="1"/>
  <c r="AZ22" i="1"/>
  <c r="AY22" i="1"/>
  <c r="BE22" i="1" s="1" a="1"/>
  <c r="BE22" i="1" s="1"/>
  <c r="AX22" i="1"/>
  <c r="M22" i="1"/>
  <c r="EM411" i="1"/>
  <c r="DU411" i="1"/>
  <c r="DT411" i="1"/>
  <c r="DN411" i="1"/>
  <c r="DM411" i="1"/>
  <c r="DL411" i="1"/>
  <c r="DK411" i="1"/>
  <c r="DI411" i="1"/>
  <c r="DJ411" i="1" s="1"/>
  <c r="DB411" i="1"/>
  <c r="DC411" i="1" s="1"/>
  <c r="CX411" i="1"/>
  <c r="BV411" i="1"/>
  <c r="BX411" i="1" s="1"/>
  <c r="BU411" i="1"/>
  <c r="BL411" i="1"/>
  <c r="BK411" i="1"/>
  <c r="BD411" i="1"/>
  <c r="BC411" i="1"/>
  <c r="BB411" i="1"/>
  <c r="BA411" i="1"/>
  <c r="AZ411" i="1"/>
  <c r="BF411" i="1" s="1" a="1"/>
  <c r="BF411" i="1" s="1"/>
  <c r="AY411" i="1"/>
  <c r="BE411" i="1" s="1" a="1"/>
  <c r="BE411" i="1" s="1"/>
  <c r="AX411" i="1"/>
  <c r="M411" i="1"/>
  <c r="EM410" i="1"/>
  <c r="DU410" i="1"/>
  <c r="DT410" i="1"/>
  <c r="DN410" i="1"/>
  <c r="DM410" i="1"/>
  <c r="DL410" i="1"/>
  <c r="DK410" i="1"/>
  <c r="DI410" i="1"/>
  <c r="DJ410" i="1" s="1"/>
  <c r="DB410" i="1"/>
  <c r="DC410" i="1" s="1"/>
  <c r="CX410" i="1"/>
  <c r="BV410" i="1"/>
  <c r="BX410" i="1" s="1"/>
  <c r="BU410" i="1"/>
  <c r="BL410" i="1"/>
  <c r="BN410" i="1" s="1"/>
  <c r="BO410" i="1" s="1"/>
  <c r="BD410" i="1"/>
  <c r="BC410" i="1"/>
  <c r="BB410" i="1"/>
  <c r="BA410" i="1"/>
  <c r="AZ410" i="1"/>
  <c r="BF410" i="1" s="1" a="1"/>
  <c r="BF410" i="1" s="1"/>
  <c r="AY410" i="1"/>
  <c r="BE410" i="1" s="1" a="1"/>
  <c r="BE410" i="1" s="1"/>
  <c r="AX410" i="1"/>
  <c r="M410" i="1"/>
  <c r="EM476" i="1"/>
  <c r="DU476" i="1"/>
  <c r="DT476" i="1"/>
  <c r="DN476" i="1"/>
  <c r="DM476" i="1"/>
  <c r="DL476" i="1"/>
  <c r="DK476" i="1"/>
  <c r="DI476" i="1"/>
  <c r="DJ476" i="1" s="1"/>
  <c r="DB476" i="1"/>
  <c r="DC476" i="1" s="1"/>
  <c r="CX476" i="1"/>
  <c r="BV476" i="1"/>
  <c r="BX476" i="1" s="1"/>
  <c r="BS476" i="1"/>
  <c r="BL476" i="1"/>
  <c r="BK476" i="1"/>
  <c r="BD476" i="1"/>
  <c r="BC476" i="1"/>
  <c r="BB476" i="1"/>
  <c r="BA476" i="1"/>
  <c r="AZ476" i="1"/>
  <c r="AY476" i="1"/>
  <c r="BE476" i="1" s="1" a="1"/>
  <c r="BE476" i="1" s="1"/>
  <c r="AX476" i="1"/>
  <c r="M476" i="1"/>
  <c r="EM475" i="1"/>
  <c r="DU475" i="1"/>
  <c r="DT475" i="1"/>
  <c r="DN475" i="1"/>
  <c r="DM475" i="1"/>
  <c r="DL475" i="1"/>
  <c r="DK475" i="1"/>
  <c r="DI475" i="1"/>
  <c r="DJ475" i="1" s="1"/>
  <c r="DB475" i="1"/>
  <c r="DC475" i="1" s="1"/>
  <c r="CX475" i="1"/>
  <c r="BS475" i="1"/>
  <c r="BV475" i="1" s="1"/>
  <c r="BX475" i="1" s="1"/>
  <c r="BL475" i="1"/>
  <c r="BK475" i="1"/>
  <c r="BD475" i="1"/>
  <c r="BC475" i="1"/>
  <c r="BB475" i="1"/>
  <c r="BA475" i="1"/>
  <c r="AZ475" i="1"/>
  <c r="BF475" i="1" s="1" a="1"/>
  <c r="BF475" i="1" s="1"/>
  <c r="AY475" i="1"/>
  <c r="BE475" i="1" s="1" a="1"/>
  <c r="BE475" i="1" s="1"/>
  <c r="AX475" i="1"/>
  <c r="M475" i="1"/>
  <c r="EM474" i="1"/>
  <c r="DU474" i="1"/>
  <c r="DT474" i="1"/>
  <c r="DN474" i="1"/>
  <c r="DM474" i="1"/>
  <c r="DL474" i="1"/>
  <c r="DK474" i="1"/>
  <c r="DI474" i="1"/>
  <c r="DJ474" i="1" s="1"/>
  <c r="DB474" i="1"/>
  <c r="DC474" i="1" s="1"/>
  <c r="CX474" i="1"/>
  <c r="BT474" i="1"/>
  <c r="BL474" i="1"/>
  <c r="BK474" i="1"/>
  <c r="BD474" i="1"/>
  <c r="BC474" i="1"/>
  <c r="BB474" i="1"/>
  <c r="BA474" i="1"/>
  <c r="AZ474" i="1"/>
  <c r="BF474" i="1" s="1" a="1"/>
  <c r="BF474" i="1" s="1"/>
  <c r="AY474" i="1"/>
  <c r="BE474" i="1" s="1" a="1"/>
  <c r="BE474" i="1" s="1"/>
  <c r="AX474" i="1"/>
  <c r="M474" i="1"/>
  <c r="EM473" i="1"/>
  <c r="DU473" i="1"/>
  <c r="DT473" i="1"/>
  <c r="DN473" i="1"/>
  <c r="DM473" i="1"/>
  <c r="DL473" i="1"/>
  <c r="DK473" i="1"/>
  <c r="DI473" i="1"/>
  <c r="DJ473" i="1" s="1"/>
  <c r="DB473" i="1"/>
  <c r="DC473" i="1" s="1"/>
  <c r="CX473" i="1"/>
  <c r="BS473" i="1"/>
  <c r="BV473" i="1" s="1"/>
  <c r="BX473" i="1" s="1"/>
  <c r="BL473" i="1"/>
  <c r="BK473" i="1"/>
  <c r="BD473" i="1"/>
  <c r="BC473" i="1"/>
  <c r="BB473" i="1"/>
  <c r="BA473" i="1"/>
  <c r="AZ473" i="1"/>
  <c r="AY473" i="1"/>
  <c r="BE473" i="1" s="1" a="1"/>
  <c r="BE473" i="1" s="1"/>
  <c r="AX473" i="1"/>
  <c r="M473" i="1"/>
  <c r="EM472" i="1"/>
  <c r="DU472" i="1"/>
  <c r="DT472" i="1"/>
  <c r="DN472" i="1"/>
  <c r="DM472" i="1"/>
  <c r="DL472" i="1"/>
  <c r="DK472" i="1"/>
  <c r="DI472" i="1"/>
  <c r="DJ472" i="1" s="1"/>
  <c r="DB472" i="1"/>
  <c r="DC472" i="1" s="1"/>
  <c r="CX472" i="1"/>
  <c r="BV472" i="1"/>
  <c r="BX472" i="1" s="1"/>
  <c r="BU472" i="1"/>
  <c r="BL472" i="1"/>
  <c r="BK472" i="1"/>
  <c r="BN472" i="1" s="1"/>
  <c r="BO472" i="1" s="1"/>
  <c r="BD472" i="1"/>
  <c r="BC472" i="1"/>
  <c r="BB472" i="1"/>
  <c r="BA472" i="1"/>
  <c r="AZ472" i="1"/>
  <c r="BF472" i="1" s="1" a="1"/>
  <c r="BF472" i="1" s="1"/>
  <c r="AY472" i="1"/>
  <c r="BE472" i="1" s="1" a="1"/>
  <c r="BE472" i="1" s="1"/>
  <c r="AX472" i="1"/>
  <c r="M472" i="1"/>
  <c r="EM471" i="1"/>
  <c r="DU471" i="1"/>
  <c r="DT471" i="1"/>
  <c r="DN471" i="1"/>
  <c r="DM471" i="1"/>
  <c r="DL471" i="1"/>
  <c r="DK471" i="1"/>
  <c r="DI471" i="1"/>
  <c r="DJ471" i="1" s="1"/>
  <c r="DB471" i="1"/>
  <c r="DC471" i="1" s="1"/>
  <c r="CX471" i="1"/>
  <c r="BV471" i="1"/>
  <c r="BX471" i="1" s="1"/>
  <c r="BU471" i="1"/>
  <c r="BL471" i="1"/>
  <c r="BK471" i="1"/>
  <c r="BD471" i="1"/>
  <c r="BC471" i="1"/>
  <c r="BB471" i="1"/>
  <c r="BA471" i="1"/>
  <c r="AZ471" i="1"/>
  <c r="AY471" i="1"/>
  <c r="BE471" i="1" s="1" a="1"/>
  <c r="BE471" i="1" s="1"/>
  <c r="AX471" i="1"/>
  <c r="M471" i="1"/>
  <c r="EM470" i="1"/>
  <c r="DU470" i="1"/>
  <c r="DT470" i="1"/>
  <c r="DN470" i="1"/>
  <c r="DM470" i="1"/>
  <c r="DL470" i="1"/>
  <c r="DK470" i="1"/>
  <c r="DI470" i="1"/>
  <c r="DJ470" i="1" s="1"/>
  <c r="DB470" i="1"/>
  <c r="DC470" i="1" s="1"/>
  <c r="CX470" i="1"/>
  <c r="BV470" i="1"/>
  <c r="BX470" i="1" s="1"/>
  <c r="BU470" i="1"/>
  <c r="BL470" i="1"/>
  <c r="CN470" i="1" s="1"/>
  <c r="CR470" i="1" s="1"/>
  <c r="BK470" i="1"/>
  <c r="BD470" i="1"/>
  <c r="BC470" i="1"/>
  <c r="BB470" i="1"/>
  <c r="BA470" i="1"/>
  <c r="AZ470" i="1"/>
  <c r="AY470" i="1"/>
  <c r="BE470" i="1" s="1" a="1"/>
  <c r="BE470" i="1" s="1"/>
  <c r="AX470" i="1"/>
  <c r="M470" i="1"/>
  <c r="EM469" i="1"/>
  <c r="DU469" i="1"/>
  <c r="DT469" i="1"/>
  <c r="DN469" i="1"/>
  <c r="DM469" i="1"/>
  <c r="DL469" i="1"/>
  <c r="DK469" i="1"/>
  <c r="DI469" i="1"/>
  <c r="DJ469" i="1" s="1"/>
  <c r="DB469" i="1"/>
  <c r="DC469" i="1" s="1"/>
  <c r="CX469" i="1"/>
  <c r="BS469" i="1"/>
  <c r="BL469" i="1"/>
  <c r="BK469" i="1"/>
  <c r="BD469" i="1"/>
  <c r="BC469" i="1"/>
  <c r="BB469" i="1"/>
  <c r="BA469" i="1"/>
  <c r="AZ469" i="1"/>
  <c r="AY469" i="1"/>
  <c r="BE469" i="1" s="1" a="1"/>
  <c r="BE469" i="1" s="1"/>
  <c r="AX469" i="1"/>
  <c r="M469" i="1"/>
  <c r="EM42" i="1"/>
  <c r="DU42" i="1"/>
  <c r="DT42" i="1"/>
  <c r="DN42" i="1"/>
  <c r="DM42" i="1"/>
  <c r="DL42" i="1"/>
  <c r="DK42" i="1"/>
  <c r="DI42" i="1"/>
  <c r="DJ42" i="1" s="1"/>
  <c r="DC42" i="1"/>
  <c r="CX42" i="1"/>
  <c r="BT42" i="1"/>
  <c r="BS42" i="1"/>
  <c r="BL42" i="1"/>
  <c r="BK42" i="1"/>
  <c r="BD42" i="1"/>
  <c r="BC42" i="1"/>
  <c r="BB42" i="1"/>
  <c r="BA42" i="1"/>
  <c r="AZ42" i="1"/>
  <c r="AY42" i="1"/>
  <c r="BE42" i="1" s="1" a="1"/>
  <c r="BE42" i="1" s="1"/>
  <c r="AX42" i="1"/>
  <c r="M42" i="1"/>
  <c r="EM25" i="1"/>
  <c r="DU25" i="1"/>
  <c r="DT25" i="1"/>
  <c r="DN25" i="1"/>
  <c r="DM25" i="1"/>
  <c r="DL25" i="1"/>
  <c r="DK25" i="1"/>
  <c r="DI25" i="1"/>
  <c r="DJ25" i="1" s="1"/>
  <c r="DC25" i="1"/>
  <c r="CX25" i="1"/>
  <c r="BT25" i="1"/>
  <c r="BL25" i="1"/>
  <c r="CN25" i="1" s="1"/>
  <c r="BD25" i="1"/>
  <c r="BC25" i="1"/>
  <c r="BB25" i="1"/>
  <c r="BA25" i="1"/>
  <c r="AZ25" i="1"/>
  <c r="AY25" i="1"/>
  <c r="BE25" i="1" s="1" a="1"/>
  <c r="BE25" i="1" s="1"/>
  <c r="AX25" i="1"/>
  <c r="M25" i="1"/>
  <c r="EM24" i="1"/>
  <c r="DU24" i="1"/>
  <c r="DT24" i="1"/>
  <c r="DN24" i="1"/>
  <c r="DM24" i="1"/>
  <c r="DL24" i="1"/>
  <c r="DK24" i="1"/>
  <c r="DI24" i="1"/>
  <c r="DJ24" i="1" s="1"/>
  <c r="DC24" i="1"/>
  <c r="CX24" i="1"/>
  <c r="BT24" i="1"/>
  <c r="BL24" i="1"/>
  <c r="BN24" i="1" s="1"/>
  <c r="BO24" i="1" s="1"/>
  <c r="BD24" i="1"/>
  <c r="BC24" i="1"/>
  <c r="BB24" i="1"/>
  <c r="BA24" i="1"/>
  <c r="AZ24" i="1"/>
  <c r="AY24" i="1"/>
  <c r="BE24" i="1" s="1" a="1"/>
  <c r="BE24" i="1" s="1"/>
  <c r="AX24" i="1"/>
  <c r="M24" i="1"/>
  <c r="EM944" i="1"/>
  <c r="DU944" i="1"/>
  <c r="DT944" i="1"/>
  <c r="DN944" i="1"/>
  <c r="DM944" i="1"/>
  <c r="DL944" i="1"/>
  <c r="DK944" i="1"/>
  <c r="DI944" i="1"/>
  <c r="DJ944" i="1" s="1"/>
  <c r="DC944" i="1"/>
  <c r="CX944" i="1"/>
  <c r="CN944" i="1"/>
  <c r="BV944" i="1"/>
  <c r="BX944" i="1" s="1"/>
  <c r="BU944" i="1"/>
  <c r="BN944" i="1"/>
  <c r="BO944" i="1" s="1"/>
  <c r="BD944" i="1"/>
  <c r="BC944" i="1"/>
  <c r="BB944" i="1"/>
  <c r="BA944" i="1"/>
  <c r="AZ944" i="1"/>
  <c r="AY944" i="1"/>
  <c r="BE944" i="1" s="1" a="1"/>
  <c r="BE944" i="1" s="1"/>
  <c r="AX944" i="1"/>
  <c r="M944" i="1"/>
  <c r="EM943" i="1"/>
  <c r="DU943" i="1"/>
  <c r="DT943" i="1"/>
  <c r="DN943" i="1"/>
  <c r="DM943" i="1"/>
  <c r="DL943" i="1"/>
  <c r="DK943" i="1"/>
  <c r="DI943" i="1"/>
  <c r="DJ943" i="1" s="1"/>
  <c r="DC943" i="1"/>
  <c r="CX943" i="1"/>
  <c r="BV943" i="1"/>
  <c r="BX943" i="1" s="1"/>
  <c r="BU943" i="1"/>
  <c r="BL943" i="1"/>
  <c r="CN943" i="1" s="1"/>
  <c r="CO943" i="1" s="1"/>
  <c r="BD943" i="1"/>
  <c r="BC943" i="1"/>
  <c r="BB943" i="1"/>
  <c r="BA943" i="1"/>
  <c r="AZ943" i="1"/>
  <c r="AY943" i="1"/>
  <c r="BE943" i="1" s="1" a="1"/>
  <c r="BE943" i="1" s="1"/>
  <c r="AX943" i="1"/>
  <c r="M943" i="1"/>
  <c r="EM669" i="1"/>
  <c r="DU669" i="1"/>
  <c r="DT669" i="1"/>
  <c r="DN669" i="1"/>
  <c r="DM669" i="1"/>
  <c r="DL669" i="1"/>
  <c r="DK669" i="1"/>
  <c r="DI669" i="1"/>
  <c r="DJ669" i="1" s="1"/>
  <c r="DC669" i="1"/>
  <c r="CX669" i="1"/>
  <c r="CN669" i="1"/>
  <c r="CS669" i="1" s="1"/>
  <c r="BV669" i="1"/>
  <c r="BX669" i="1" s="1"/>
  <c r="BY669" i="1" s="1"/>
  <c r="BU669" i="1"/>
  <c r="BD669" i="1"/>
  <c r="BC669" i="1"/>
  <c r="BB669" i="1"/>
  <c r="BA669" i="1"/>
  <c r="AZ669" i="1"/>
  <c r="AY669" i="1"/>
  <c r="BE669" i="1" s="1" a="1"/>
  <c r="BE669" i="1" s="1"/>
  <c r="AX669" i="1"/>
  <c r="M669" i="1"/>
  <c r="EM668" i="1"/>
  <c r="DU668" i="1"/>
  <c r="DT668" i="1"/>
  <c r="DN668" i="1"/>
  <c r="DM668" i="1"/>
  <c r="DL668" i="1"/>
  <c r="DK668" i="1"/>
  <c r="DI668" i="1"/>
  <c r="DJ668" i="1" s="1"/>
  <c r="DC668" i="1"/>
  <c r="CX668" i="1"/>
  <c r="CN668" i="1"/>
  <c r="CR668" i="1" s="1"/>
  <c r="BV668" i="1"/>
  <c r="BX668" i="1" s="1"/>
  <c r="BY668" i="1" s="1"/>
  <c r="BU668" i="1"/>
  <c r="BD668" i="1"/>
  <c r="BC668" i="1"/>
  <c r="BB668" i="1"/>
  <c r="BA668" i="1"/>
  <c r="AZ668" i="1"/>
  <c r="AY668" i="1"/>
  <c r="BE668" i="1" s="1" a="1"/>
  <c r="BE668" i="1" s="1"/>
  <c r="AX668" i="1"/>
  <c r="M668" i="1"/>
  <c r="EM667" i="1"/>
  <c r="DU667" i="1"/>
  <c r="DT667" i="1"/>
  <c r="DN667" i="1"/>
  <c r="DM667" i="1"/>
  <c r="DL667" i="1"/>
  <c r="DK667" i="1"/>
  <c r="DI667" i="1"/>
  <c r="DJ667" i="1" s="1"/>
  <c r="DC667" i="1"/>
  <c r="CX667" i="1"/>
  <c r="CN667" i="1"/>
  <c r="CS667" i="1" s="1"/>
  <c r="BV667" i="1"/>
  <c r="BX667" i="1" s="1"/>
  <c r="BY667" i="1" s="1"/>
  <c r="BU667" i="1"/>
  <c r="BD667" i="1"/>
  <c r="BC667" i="1"/>
  <c r="BB667" i="1"/>
  <c r="BA667" i="1"/>
  <c r="AZ667" i="1"/>
  <c r="AY667" i="1"/>
  <c r="BE667" i="1" s="1" a="1"/>
  <c r="BE667" i="1" s="1"/>
  <c r="AX667" i="1"/>
  <c r="M667" i="1"/>
  <c r="EM666" i="1"/>
  <c r="DU666" i="1"/>
  <c r="DT666" i="1"/>
  <c r="DN666" i="1"/>
  <c r="DM666" i="1"/>
  <c r="DL666" i="1"/>
  <c r="DK666" i="1"/>
  <c r="DI666" i="1"/>
  <c r="DJ666" i="1" s="1"/>
  <c r="DC666" i="1"/>
  <c r="CX666" i="1"/>
  <c r="CN666" i="1"/>
  <c r="BV666" i="1"/>
  <c r="BX666" i="1" s="1"/>
  <c r="BY666" i="1" s="1"/>
  <c r="BU666" i="1"/>
  <c r="BD666" i="1"/>
  <c r="BC666" i="1"/>
  <c r="BB666" i="1"/>
  <c r="BA666" i="1"/>
  <c r="AZ666" i="1"/>
  <c r="BF666" i="1" s="1" a="1"/>
  <c r="BF666" i="1" s="1"/>
  <c r="AY666" i="1"/>
  <c r="BE666" i="1" s="1" a="1"/>
  <c r="BE666" i="1" s="1"/>
  <c r="AX666" i="1"/>
  <c r="M666" i="1"/>
  <c r="EM409" i="1"/>
  <c r="DU409" i="1"/>
  <c r="DT409" i="1"/>
  <c r="DN409" i="1"/>
  <c r="DM409" i="1"/>
  <c r="DL409" i="1"/>
  <c r="DK409" i="1"/>
  <c r="DI409" i="1"/>
  <c r="DJ409" i="1" s="1"/>
  <c r="DC409" i="1"/>
  <c r="CX409" i="1"/>
  <c r="BV409" i="1"/>
  <c r="BX409" i="1" s="1"/>
  <c r="BU409" i="1"/>
  <c r="BL409" i="1"/>
  <c r="BK409" i="1"/>
  <c r="BD409" i="1"/>
  <c r="BC409" i="1"/>
  <c r="BB409" i="1"/>
  <c r="BA409" i="1"/>
  <c r="AZ409" i="1"/>
  <c r="AY409" i="1"/>
  <c r="BE409" i="1" s="1" a="1"/>
  <c r="BE409" i="1" s="1"/>
  <c r="AX409" i="1"/>
  <c r="M409" i="1"/>
  <c r="EM408" i="1"/>
  <c r="DU408" i="1"/>
  <c r="DT408" i="1"/>
  <c r="DN408" i="1"/>
  <c r="DM408" i="1"/>
  <c r="DL408" i="1"/>
  <c r="DK408" i="1"/>
  <c r="DI408" i="1"/>
  <c r="DJ408" i="1" s="1"/>
  <c r="DC408" i="1"/>
  <c r="CX408" i="1"/>
  <c r="BV408" i="1"/>
  <c r="BX408" i="1" s="1"/>
  <c r="BU408" i="1"/>
  <c r="BL408" i="1"/>
  <c r="BK408" i="1"/>
  <c r="CN408" i="1" s="1"/>
  <c r="CS408" i="1" s="1"/>
  <c r="BD408" i="1"/>
  <c r="BC408" i="1"/>
  <c r="BB408" i="1"/>
  <c r="BA408" i="1"/>
  <c r="AZ408" i="1"/>
  <c r="AY408" i="1"/>
  <c r="BE408" i="1" s="1" a="1"/>
  <c r="BE408" i="1" s="1"/>
  <c r="AX408" i="1"/>
  <c r="M408" i="1"/>
  <c r="EM407" i="1"/>
  <c r="DU407" i="1"/>
  <c r="DT407" i="1"/>
  <c r="DN407" i="1"/>
  <c r="DM407" i="1"/>
  <c r="DL407" i="1"/>
  <c r="DK407" i="1"/>
  <c r="DI407" i="1"/>
  <c r="DJ407" i="1" s="1"/>
  <c r="DC407" i="1"/>
  <c r="CX407" i="1"/>
  <c r="BV407" i="1"/>
  <c r="BX407" i="1" s="1"/>
  <c r="BU407" i="1"/>
  <c r="BL407" i="1"/>
  <c r="BK407" i="1"/>
  <c r="BD407" i="1"/>
  <c r="BC407" i="1"/>
  <c r="BB407" i="1"/>
  <c r="BA407" i="1"/>
  <c r="AZ407" i="1"/>
  <c r="AY407" i="1"/>
  <c r="BE407" i="1" s="1" a="1"/>
  <c r="BE407" i="1" s="1"/>
  <c r="AX407" i="1"/>
  <c r="M407" i="1"/>
  <c r="EM406" i="1"/>
  <c r="DU406" i="1"/>
  <c r="DT406" i="1"/>
  <c r="DN406" i="1"/>
  <c r="DM406" i="1"/>
  <c r="DL406" i="1"/>
  <c r="DK406" i="1"/>
  <c r="DI406" i="1"/>
  <c r="DJ406" i="1" s="1"/>
  <c r="DC406" i="1"/>
  <c r="CX406" i="1"/>
  <c r="BV406" i="1"/>
  <c r="BX406" i="1" s="1"/>
  <c r="BU406" i="1"/>
  <c r="BL406" i="1"/>
  <c r="BK406" i="1"/>
  <c r="BD406" i="1"/>
  <c r="BC406" i="1"/>
  <c r="BB406" i="1"/>
  <c r="BA406" i="1"/>
  <c r="AZ406" i="1"/>
  <c r="BF406" i="1" s="1" a="1"/>
  <c r="BF406" i="1" s="1"/>
  <c r="AY406" i="1"/>
  <c r="BE406" i="1" s="1" a="1"/>
  <c r="BE406" i="1" s="1"/>
  <c r="AX406" i="1"/>
  <c r="M406" i="1"/>
  <c r="EM665" i="1"/>
  <c r="DU665" i="1"/>
  <c r="DT665" i="1"/>
  <c r="DN665" i="1"/>
  <c r="DM665" i="1"/>
  <c r="DL665" i="1"/>
  <c r="DK665" i="1"/>
  <c r="DI665" i="1"/>
  <c r="DJ665" i="1" s="1"/>
  <c r="DC665" i="1"/>
  <c r="CX665" i="1"/>
  <c r="CN665" i="1"/>
  <c r="BV665" i="1"/>
  <c r="BX665" i="1" s="1"/>
  <c r="BU665" i="1"/>
  <c r="BD665" i="1"/>
  <c r="BC665" i="1"/>
  <c r="BB665" i="1"/>
  <c r="BA665" i="1"/>
  <c r="AZ665" i="1"/>
  <c r="BF665" i="1" s="1" a="1"/>
  <c r="BF665" i="1" s="1"/>
  <c r="AY665" i="1"/>
  <c r="BE665" i="1" s="1" a="1"/>
  <c r="BE665" i="1" s="1"/>
  <c r="AX665" i="1"/>
  <c r="M665" i="1"/>
  <c r="EM664" i="1"/>
  <c r="DU664" i="1"/>
  <c r="DT664" i="1"/>
  <c r="DN664" i="1"/>
  <c r="DM664" i="1"/>
  <c r="DL664" i="1"/>
  <c r="DK664" i="1"/>
  <c r="DI664" i="1"/>
  <c r="DJ664" i="1" s="1"/>
  <c r="DC664" i="1"/>
  <c r="CX664" i="1"/>
  <c r="CN664" i="1"/>
  <c r="CS664" i="1" s="1"/>
  <c r="BV664" i="1"/>
  <c r="BX664" i="1" s="1"/>
  <c r="BY664" i="1" s="1"/>
  <c r="BU664" i="1"/>
  <c r="BD664" i="1"/>
  <c r="BC664" i="1"/>
  <c r="BB664" i="1"/>
  <c r="BA664" i="1"/>
  <c r="AZ664" i="1"/>
  <c r="AY664" i="1"/>
  <c r="BE664" i="1" s="1" a="1"/>
  <c r="BE664" i="1" s="1"/>
  <c r="AX664" i="1"/>
  <c r="M664" i="1"/>
  <c r="EM663" i="1"/>
  <c r="DU663" i="1"/>
  <c r="DT663" i="1"/>
  <c r="DN663" i="1"/>
  <c r="DM663" i="1"/>
  <c r="DL663" i="1"/>
  <c r="DK663" i="1"/>
  <c r="DI663" i="1"/>
  <c r="DJ663" i="1" s="1"/>
  <c r="DC663" i="1"/>
  <c r="CX663" i="1"/>
  <c r="CN663" i="1"/>
  <c r="CR663" i="1" s="1"/>
  <c r="BV663" i="1"/>
  <c r="BX663" i="1" s="1"/>
  <c r="BY663" i="1" s="1"/>
  <c r="BU663" i="1"/>
  <c r="BD663" i="1"/>
  <c r="BC663" i="1"/>
  <c r="BB663" i="1"/>
  <c r="BA663" i="1"/>
  <c r="AZ663" i="1"/>
  <c r="AY663" i="1"/>
  <c r="BE663" i="1" s="1" a="1"/>
  <c r="BE663" i="1" s="1"/>
  <c r="AX663" i="1"/>
  <c r="M663" i="1"/>
  <c r="EM662" i="1"/>
  <c r="DU662" i="1"/>
  <c r="DT662" i="1"/>
  <c r="DN662" i="1"/>
  <c r="DM662" i="1"/>
  <c r="DL662" i="1"/>
  <c r="DK662" i="1"/>
  <c r="DI662" i="1"/>
  <c r="DJ662" i="1" s="1"/>
  <c r="DC662" i="1"/>
  <c r="CX662" i="1"/>
  <c r="CN662" i="1"/>
  <c r="BV662" i="1"/>
  <c r="BX662" i="1" s="1"/>
  <c r="BY662" i="1" s="1"/>
  <c r="BU662" i="1"/>
  <c r="BD662" i="1"/>
  <c r="BC662" i="1"/>
  <c r="BB662" i="1"/>
  <c r="BA662" i="1"/>
  <c r="AZ662" i="1"/>
  <c r="AY662" i="1"/>
  <c r="BE662" i="1" s="1" a="1"/>
  <c r="BE662" i="1" s="1"/>
  <c r="AX662" i="1"/>
  <c r="M662" i="1"/>
  <c r="EM730" i="1"/>
  <c r="DT730" i="1"/>
  <c r="DN730" i="1"/>
  <c r="DM730" i="1"/>
  <c r="DL730" i="1"/>
  <c r="DK730" i="1"/>
  <c r="DJ730" i="1"/>
  <c r="DC730" i="1"/>
  <c r="CX730" i="1"/>
  <c r="CN730" i="1"/>
  <c r="BV730" i="1"/>
  <c r="BX730" i="1" s="1"/>
  <c r="BN730" i="1"/>
  <c r="BO730" i="1" s="1"/>
  <c r="BD730" i="1"/>
  <c r="BC730" i="1"/>
  <c r="BB730" i="1"/>
  <c r="BA730" i="1"/>
  <c r="AZ730" i="1"/>
  <c r="BF730" i="1" s="1" a="1"/>
  <c r="BF730" i="1" s="1"/>
  <c r="AY730" i="1"/>
  <c r="BE730" i="1" s="1" a="1"/>
  <c r="BE730" i="1" s="1"/>
  <c r="AX730" i="1"/>
  <c r="M730" i="1"/>
  <c r="EM729" i="1"/>
  <c r="DT729" i="1"/>
  <c r="DN729" i="1"/>
  <c r="DM729" i="1"/>
  <c r="DL729" i="1"/>
  <c r="DK729" i="1"/>
  <c r="DJ729" i="1"/>
  <c r="DC729" i="1"/>
  <c r="CX729" i="1"/>
  <c r="CN729" i="1"/>
  <c r="BV729" i="1"/>
  <c r="BX729" i="1" s="1"/>
  <c r="BN729" i="1"/>
  <c r="BO729" i="1" s="1"/>
  <c r="BD729" i="1"/>
  <c r="BC729" i="1"/>
  <c r="BB729" i="1"/>
  <c r="BA729" i="1"/>
  <c r="AZ729" i="1"/>
  <c r="AY729" i="1"/>
  <c r="BE729" i="1" s="1" a="1"/>
  <c r="BE729" i="1" s="1"/>
  <c r="AX729" i="1"/>
  <c r="M729" i="1"/>
  <c r="EM728" i="1"/>
  <c r="DT728" i="1"/>
  <c r="DN728" i="1"/>
  <c r="DM728" i="1"/>
  <c r="DL728" i="1"/>
  <c r="DK728" i="1"/>
  <c r="DJ728" i="1"/>
  <c r="DC728" i="1"/>
  <c r="CX728" i="1"/>
  <c r="CN728" i="1"/>
  <c r="CO728" i="1" s="1"/>
  <c r="BV728" i="1"/>
  <c r="BX728" i="1" s="1"/>
  <c r="BN728" i="1"/>
  <c r="BO728" i="1" s="1"/>
  <c r="BD728" i="1"/>
  <c r="BC728" i="1"/>
  <c r="BB728" i="1"/>
  <c r="BA728" i="1"/>
  <c r="AZ728" i="1"/>
  <c r="BF728" i="1" s="1" a="1"/>
  <c r="BF728" i="1" s="1"/>
  <c r="AY728" i="1"/>
  <c r="BE728" i="1" s="1" a="1"/>
  <c r="BE728" i="1" s="1"/>
  <c r="AX728" i="1"/>
  <c r="M728" i="1"/>
  <c r="EM557" i="1"/>
  <c r="DT557" i="1"/>
  <c r="DN557" i="1"/>
  <c r="DM557" i="1"/>
  <c r="DL557" i="1"/>
  <c r="DK557" i="1"/>
  <c r="DJ557" i="1"/>
  <c r="DC557" i="1"/>
  <c r="CX557" i="1"/>
  <c r="CN557" i="1"/>
  <c r="BV557" i="1"/>
  <c r="BX557" i="1" s="1"/>
  <c r="BN557" i="1"/>
  <c r="BO557" i="1" s="1"/>
  <c r="BD557" i="1"/>
  <c r="BC557" i="1"/>
  <c r="BB557" i="1"/>
  <c r="BA557" i="1"/>
  <c r="AZ557" i="1"/>
  <c r="AY557" i="1"/>
  <c r="BE557" i="1" s="1" a="1"/>
  <c r="BE557" i="1" s="1"/>
  <c r="AX557" i="1"/>
  <c r="M557" i="1"/>
  <c r="EM727" i="1"/>
  <c r="DT727" i="1"/>
  <c r="DN727" i="1"/>
  <c r="DM727" i="1"/>
  <c r="DL727" i="1"/>
  <c r="DK727" i="1"/>
  <c r="DJ727" i="1"/>
  <c r="DC727" i="1"/>
  <c r="CX727" i="1"/>
  <c r="CN727" i="1"/>
  <c r="CR727" i="1" s="1"/>
  <c r="BV727" i="1"/>
  <c r="BX727" i="1" s="1"/>
  <c r="BN727" i="1"/>
  <c r="BO727" i="1" s="1"/>
  <c r="BD727" i="1"/>
  <c r="BC727" i="1"/>
  <c r="BB727" i="1"/>
  <c r="BA727" i="1"/>
  <c r="AZ727" i="1"/>
  <c r="BF727" i="1" s="1" a="1"/>
  <c r="BF727" i="1" s="1"/>
  <c r="AY727" i="1"/>
  <c r="BE727" i="1" s="1" a="1"/>
  <c r="BE727" i="1" s="1"/>
  <c r="AX727" i="1"/>
  <c r="M727" i="1"/>
  <c r="EM556" i="1"/>
  <c r="DT556" i="1"/>
  <c r="DN556" i="1"/>
  <c r="DM556" i="1"/>
  <c r="DL556" i="1"/>
  <c r="DK556" i="1"/>
  <c r="DJ556" i="1"/>
  <c r="DC556" i="1"/>
  <c r="CX556" i="1"/>
  <c r="CN556" i="1"/>
  <c r="CS556" i="1" s="1"/>
  <c r="BV556" i="1"/>
  <c r="BX556" i="1" s="1"/>
  <c r="BN556" i="1"/>
  <c r="BO556" i="1" s="1"/>
  <c r="BD556" i="1"/>
  <c r="BC556" i="1"/>
  <c r="BB556" i="1"/>
  <c r="BA556" i="1"/>
  <c r="AZ556" i="1"/>
  <c r="AY556" i="1"/>
  <c r="BE556" i="1" s="1" a="1"/>
  <c r="BE556" i="1" s="1"/>
  <c r="AX556" i="1"/>
  <c r="M556" i="1"/>
  <c r="EM555" i="1"/>
  <c r="DT555" i="1"/>
  <c r="DN555" i="1"/>
  <c r="DM555" i="1"/>
  <c r="DL555" i="1"/>
  <c r="DK555" i="1"/>
  <c r="DJ555" i="1"/>
  <c r="DC555" i="1"/>
  <c r="CX555" i="1"/>
  <c r="CN555" i="1"/>
  <c r="CP555" i="1" s="1"/>
  <c r="BV555" i="1"/>
  <c r="BX555" i="1" s="1"/>
  <c r="BN555" i="1"/>
  <c r="BO555" i="1" s="1"/>
  <c r="BD555" i="1"/>
  <c r="BC555" i="1"/>
  <c r="BB555" i="1"/>
  <c r="BA555" i="1"/>
  <c r="AZ555" i="1"/>
  <c r="BF555" i="1" s="1" a="1"/>
  <c r="BF555" i="1" s="1"/>
  <c r="AY555" i="1"/>
  <c r="BE555" i="1" s="1" a="1"/>
  <c r="BE555" i="1" s="1"/>
  <c r="AX555" i="1"/>
  <c r="M555" i="1"/>
  <c r="EM554" i="1"/>
  <c r="DT554" i="1"/>
  <c r="DN554" i="1"/>
  <c r="DM554" i="1"/>
  <c r="DL554" i="1"/>
  <c r="DK554" i="1"/>
  <c r="DJ554" i="1"/>
  <c r="DC554" i="1"/>
  <c r="CX554" i="1"/>
  <c r="CN554" i="1"/>
  <c r="BV554" i="1"/>
  <c r="BX554" i="1" s="1"/>
  <c r="BN554" i="1"/>
  <c r="BO554" i="1" s="1"/>
  <c r="BD554" i="1"/>
  <c r="BC554" i="1"/>
  <c r="BB554" i="1"/>
  <c r="BA554" i="1"/>
  <c r="AZ554" i="1"/>
  <c r="AY554" i="1"/>
  <c r="BE554" i="1" s="1" a="1"/>
  <c r="BE554" i="1" s="1"/>
  <c r="AX554" i="1"/>
  <c r="M554" i="1"/>
  <c r="EM553" i="1"/>
  <c r="DT553" i="1"/>
  <c r="DN553" i="1"/>
  <c r="DM553" i="1"/>
  <c r="DL553" i="1"/>
  <c r="DK553" i="1"/>
  <c r="DJ553" i="1"/>
  <c r="DC553" i="1"/>
  <c r="CX553" i="1"/>
  <c r="CN553" i="1"/>
  <c r="CR553" i="1" s="1"/>
  <c r="BV553" i="1"/>
  <c r="BX553" i="1" s="1"/>
  <c r="BN553" i="1"/>
  <c r="BO553" i="1" s="1"/>
  <c r="BD553" i="1"/>
  <c r="BC553" i="1"/>
  <c r="BB553" i="1"/>
  <c r="BA553" i="1"/>
  <c r="AZ553" i="1"/>
  <c r="BF553" i="1" s="1" a="1"/>
  <c r="BF553" i="1" s="1"/>
  <c r="AY553" i="1"/>
  <c r="BE553" i="1" s="1" a="1"/>
  <c r="BE553" i="1" s="1"/>
  <c r="AX553" i="1"/>
  <c r="M553" i="1"/>
  <c r="EM552" i="1"/>
  <c r="DT552" i="1"/>
  <c r="DN552" i="1"/>
  <c r="DM552" i="1"/>
  <c r="DL552" i="1"/>
  <c r="DK552" i="1"/>
  <c r="DJ552" i="1"/>
  <c r="DC552" i="1"/>
  <c r="CX552" i="1"/>
  <c r="CN552" i="1"/>
  <c r="CP552" i="1" s="1"/>
  <c r="BV552" i="1"/>
  <c r="BX552" i="1" s="1"/>
  <c r="BN552" i="1"/>
  <c r="BO552" i="1" s="1"/>
  <c r="BD552" i="1"/>
  <c r="BC552" i="1"/>
  <c r="BB552" i="1"/>
  <c r="BA552" i="1"/>
  <c r="AZ552" i="1"/>
  <c r="AY552" i="1"/>
  <c r="BE552" i="1" s="1" a="1"/>
  <c r="BE552" i="1" s="1"/>
  <c r="AX552" i="1"/>
  <c r="M552" i="1"/>
  <c r="EM726" i="1"/>
  <c r="DT726" i="1"/>
  <c r="DN726" i="1"/>
  <c r="DM726" i="1"/>
  <c r="DL726" i="1"/>
  <c r="DK726" i="1"/>
  <c r="DJ726" i="1"/>
  <c r="DC726" i="1"/>
  <c r="CX726" i="1"/>
  <c r="CN726" i="1"/>
  <c r="CP726" i="1" s="1"/>
  <c r="BV726" i="1"/>
  <c r="BX726" i="1" s="1"/>
  <c r="BN726" i="1"/>
  <c r="BO726" i="1" s="1"/>
  <c r="BD726" i="1"/>
  <c r="BC726" i="1"/>
  <c r="BB726" i="1"/>
  <c r="BA726" i="1"/>
  <c r="AZ726" i="1"/>
  <c r="BF726" i="1" s="1" a="1"/>
  <c r="BF726" i="1" s="1"/>
  <c r="AY726" i="1"/>
  <c r="BE726" i="1" s="1" a="1"/>
  <c r="BE726" i="1" s="1"/>
  <c r="AX726" i="1"/>
  <c r="M726" i="1"/>
  <c r="EM725" i="1"/>
  <c r="DT725" i="1"/>
  <c r="DN725" i="1"/>
  <c r="DM725" i="1"/>
  <c r="DL725" i="1"/>
  <c r="DK725" i="1"/>
  <c r="DJ725" i="1"/>
  <c r="DC725" i="1"/>
  <c r="CX725" i="1"/>
  <c r="CN725" i="1"/>
  <c r="CS725" i="1" s="1"/>
  <c r="BV725" i="1"/>
  <c r="BX725" i="1" s="1"/>
  <c r="BN725" i="1"/>
  <c r="BO725" i="1" s="1"/>
  <c r="BD725" i="1"/>
  <c r="BC725" i="1"/>
  <c r="BB725" i="1"/>
  <c r="BA725" i="1"/>
  <c r="AZ725" i="1"/>
  <c r="AY725" i="1"/>
  <c r="BE725" i="1" s="1" a="1"/>
  <c r="BE725" i="1" s="1"/>
  <c r="AX725" i="1"/>
  <c r="M725" i="1"/>
  <c r="EM724" i="1"/>
  <c r="DT724" i="1"/>
  <c r="DN724" i="1"/>
  <c r="DM724" i="1"/>
  <c r="DL724" i="1"/>
  <c r="DK724" i="1"/>
  <c r="DJ724" i="1"/>
  <c r="DC724" i="1"/>
  <c r="CX724" i="1"/>
  <c r="CN724" i="1"/>
  <c r="CS724" i="1" s="1"/>
  <c r="BV724" i="1"/>
  <c r="BX724" i="1" s="1"/>
  <c r="BN724" i="1"/>
  <c r="BO724" i="1" s="1"/>
  <c r="BD724" i="1"/>
  <c r="BC724" i="1"/>
  <c r="BB724" i="1"/>
  <c r="BA724" i="1"/>
  <c r="AZ724" i="1"/>
  <c r="BF724" i="1" s="1" a="1"/>
  <c r="BF724" i="1" s="1"/>
  <c r="AY724" i="1"/>
  <c r="BE724" i="1" s="1" a="1"/>
  <c r="BE724" i="1" s="1"/>
  <c r="AX724" i="1"/>
  <c r="M724" i="1"/>
  <c r="EM551" i="1"/>
  <c r="DT551" i="1"/>
  <c r="DN551" i="1"/>
  <c r="DM551" i="1"/>
  <c r="DL551" i="1"/>
  <c r="DK551" i="1"/>
  <c r="DJ551" i="1"/>
  <c r="DC551" i="1"/>
  <c r="CX551" i="1"/>
  <c r="CN551" i="1"/>
  <c r="BV551" i="1"/>
  <c r="BX551" i="1" s="1"/>
  <c r="BN551" i="1"/>
  <c r="BO551" i="1" s="1"/>
  <c r="BD551" i="1"/>
  <c r="BC551" i="1"/>
  <c r="BB551" i="1"/>
  <c r="BA551" i="1"/>
  <c r="AZ551" i="1"/>
  <c r="AY551" i="1"/>
  <c r="BE551" i="1" s="1" a="1"/>
  <c r="BE551" i="1" s="1"/>
  <c r="AX551" i="1"/>
  <c r="M551" i="1"/>
  <c r="EM723" i="1"/>
  <c r="DT723" i="1"/>
  <c r="DN723" i="1"/>
  <c r="DM723" i="1"/>
  <c r="DL723" i="1"/>
  <c r="DK723" i="1"/>
  <c r="DJ723" i="1"/>
  <c r="DC723" i="1"/>
  <c r="CX723" i="1"/>
  <c r="CN723" i="1"/>
  <c r="BV723" i="1"/>
  <c r="BX723" i="1" s="1"/>
  <c r="BN723" i="1"/>
  <c r="BO723" i="1" s="1"/>
  <c r="BD723" i="1"/>
  <c r="BC723" i="1"/>
  <c r="BB723" i="1"/>
  <c r="BA723" i="1"/>
  <c r="AZ723" i="1"/>
  <c r="BF723" i="1" s="1" a="1"/>
  <c r="BF723" i="1" s="1"/>
  <c r="AY723" i="1"/>
  <c r="BE723" i="1" s="1" a="1"/>
  <c r="BE723" i="1" s="1"/>
  <c r="AX723" i="1"/>
  <c r="M723" i="1"/>
  <c r="EM722" i="1"/>
  <c r="DT722" i="1"/>
  <c r="DN722" i="1"/>
  <c r="DM722" i="1"/>
  <c r="DL722" i="1"/>
  <c r="DK722" i="1"/>
  <c r="DJ722" i="1"/>
  <c r="DC722" i="1"/>
  <c r="CX722" i="1"/>
  <c r="CN722" i="1"/>
  <c r="BV722" i="1"/>
  <c r="BX722" i="1" s="1"/>
  <c r="BN722" i="1"/>
  <c r="BO722" i="1" s="1"/>
  <c r="BD722" i="1"/>
  <c r="BC722" i="1"/>
  <c r="BB722" i="1"/>
  <c r="BA722" i="1"/>
  <c r="AZ722" i="1"/>
  <c r="AY722" i="1"/>
  <c r="BE722" i="1" s="1" a="1"/>
  <c r="BE722" i="1" s="1"/>
  <c r="AX722" i="1"/>
  <c r="M722" i="1"/>
  <c r="EM550" i="1"/>
  <c r="DT550" i="1"/>
  <c r="DN550" i="1"/>
  <c r="DM550" i="1"/>
  <c r="DL550" i="1"/>
  <c r="DK550" i="1"/>
  <c r="DJ550" i="1"/>
  <c r="DC550" i="1"/>
  <c r="CX550" i="1"/>
  <c r="CN550" i="1"/>
  <c r="CS550" i="1" s="1"/>
  <c r="BV550" i="1"/>
  <c r="BX550" i="1" s="1"/>
  <c r="BN550" i="1"/>
  <c r="BO550" i="1" s="1"/>
  <c r="BD550" i="1"/>
  <c r="BC550" i="1"/>
  <c r="BB550" i="1"/>
  <c r="BA550" i="1"/>
  <c r="AZ550" i="1"/>
  <c r="BF550" i="1" s="1" a="1"/>
  <c r="BF550" i="1" s="1"/>
  <c r="AY550" i="1"/>
  <c r="BE550" i="1" s="1" a="1"/>
  <c r="BE550" i="1" s="1"/>
  <c r="AX550" i="1"/>
  <c r="M550" i="1"/>
  <c r="EM549" i="1"/>
  <c r="DT549" i="1"/>
  <c r="DN549" i="1"/>
  <c r="DM549" i="1"/>
  <c r="DL549" i="1"/>
  <c r="DK549" i="1"/>
  <c r="DJ549" i="1"/>
  <c r="DC549" i="1"/>
  <c r="CX549" i="1"/>
  <c r="CN549" i="1"/>
  <c r="CR549" i="1" s="1"/>
  <c r="BV549" i="1"/>
  <c r="BX549" i="1" s="1"/>
  <c r="BN549" i="1"/>
  <c r="BO549" i="1" s="1"/>
  <c r="BD549" i="1"/>
  <c r="BC549" i="1"/>
  <c r="BB549" i="1"/>
  <c r="BA549" i="1"/>
  <c r="AZ549" i="1"/>
  <c r="AY549" i="1"/>
  <c r="BE549" i="1" s="1" a="1"/>
  <c r="BE549" i="1" s="1"/>
  <c r="AX549" i="1"/>
  <c r="M549" i="1"/>
  <c r="EM719" i="1"/>
  <c r="DT719" i="1"/>
  <c r="DN719" i="1"/>
  <c r="DM719" i="1"/>
  <c r="DL719" i="1"/>
  <c r="DK719" i="1"/>
  <c r="DJ719" i="1"/>
  <c r="DC719" i="1"/>
  <c r="CX719" i="1"/>
  <c r="CN719" i="1"/>
  <c r="BV719" i="1"/>
  <c r="BX719" i="1" s="1"/>
  <c r="BN719" i="1"/>
  <c r="BO719" i="1" s="1"/>
  <c r="BD719" i="1"/>
  <c r="BC719" i="1"/>
  <c r="BB719" i="1"/>
  <c r="BA719" i="1"/>
  <c r="AZ719" i="1"/>
  <c r="BF719" i="1" s="1" a="1"/>
  <c r="BF719" i="1" s="1"/>
  <c r="AY719" i="1"/>
  <c r="BE719" i="1" s="1" a="1"/>
  <c r="BE719" i="1" s="1"/>
  <c r="AX719" i="1"/>
  <c r="M719" i="1"/>
  <c r="EM718" i="1"/>
  <c r="DT718" i="1"/>
  <c r="DN718" i="1"/>
  <c r="DM718" i="1"/>
  <c r="DL718" i="1"/>
  <c r="DK718" i="1"/>
  <c r="DJ718" i="1"/>
  <c r="DC718" i="1"/>
  <c r="CX718" i="1"/>
  <c r="CN718" i="1"/>
  <c r="CS718" i="1" s="1"/>
  <c r="BV718" i="1"/>
  <c r="BX718" i="1" s="1"/>
  <c r="BN718" i="1"/>
  <c r="BO718" i="1" s="1"/>
  <c r="BD718" i="1"/>
  <c r="BC718" i="1"/>
  <c r="BB718" i="1"/>
  <c r="BA718" i="1"/>
  <c r="AZ718" i="1"/>
  <c r="AY718" i="1"/>
  <c r="BE718" i="1" s="1" a="1"/>
  <c r="BE718" i="1" s="1"/>
  <c r="AX718" i="1"/>
  <c r="M718" i="1"/>
  <c r="EM717" i="1"/>
  <c r="DT717" i="1"/>
  <c r="DN717" i="1"/>
  <c r="DM717" i="1"/>
  <c r="DL717" i="1"/>
  <c r="DK717" i="1"/>
  <c r="DJ717" i="1"/>
  <c r="DC717" i="1"/>
  <c r="CX717" i="1"/>
  <c r="CN717" i="1"/>
  <c r="CS717" i="1" s="1"/>
  <c r="BV717" i="1"/>
  <c r="BX717" i="1" s="1"/>
  <c r="BN717" i="1"/>
  <c r="BO717" i="1" s="1"/>
  <c r="BD717" i="1"/>
  <c r="BC717" i="1"/>
  <c r="BB717" i="1"/>
  <c r="BA717" i="1"/>
  <c r="AZ717" i="1"/>
  <c r="BF717" i="1" s="1" a="1"/>
  <c r="BF717" i="1" s="1"/>
  <c r="AY717" i="1"/>
  <c r="BE717" i="1" s="1" a="1"/>
  <c r="BE717" i="1" s="1"/>
  <c r="AX717" i="1"/>
  <c r="M717" i="1"/>
  <c r="EM716" i="1"/>
  <c r="DT716" i="1"/>
  <c r="DN716" i="1"/>
  <c r="DM716" i="1"/>
  <c r="DL716" i="1"/>
  <c r="DK716" i="1"/>
  <c r="DI716" i="1"/>
  <c r="DJ716" i="1" s="1"/>
  <c r="DC716" i="1"/>
  <c r="CX716" i="1"/>
  <c r="CN716" i="1"/>
  <c r="CS716" i="1" s="1"/>
  <c r="BV716" i="1"/>
  <c r="BX716" i="1" s="1"/>
  <c r="BN716" i="1"/>
  <c r="BO716" i="1" s="1"/>
  <c r="BD716" i="1"/>
  <c r="BC716" i="1"/>
  <c r="BB716" i="1"/>
  <c r="BA716" i="1"/>
  <c r="AZ716" i="1"/>
  <c r="AY716" i="1"/>
  <c r="BE716" i="1" s="1" a="1"/>
  <c r="BE716" i="1" s="1"/>
  <c r="AX716" i="1"/>
  <c r="M716" i="1"/>
  <c r="EM941" i="1"/>
  <c r="DU941" i="1"/>
  <c r="DT941" i="1"/>
  <c r="DN941" i="1"/>
  <c r="DM941" i="1"/>
  <c r="DL941" i="1"/>
  <c r="DK941" i="1"/>
  <c r="DI941" i="1"/>
  <c r="DJ941" i="1" s="1"/>
  <c r="DC941" i="1"/>
  <c r="CX941" i="1"/>
  <c r="CN941" i="1"/>
  <c r="CS941" i="1" s="1"/>
  <c r="BV941" i="1"/>
  <c r="BX941" i="1" s="1"/>
  <c r="BU941" i="1"/>
  <c r="BN941" i="1"/>
  <c r="BO941" i="1" s="1"/>
  <c r="BD941" i="1"/>
  <c r="BC941" i="1"/>
  <c r="BB941" i="1"/>
  <c r="BA941" i="1"/>
  <c r="AZ941" i="1"/>
  <c r="AY941" i="1"/>
  <c r="BE941" i="1" s="1" a="1"/>
  <c r="BE941" i="1" s="1"/>
  <c r="AX941" i="1"/>
  <c r="M941" i="1"/>
  <c r="EM731" i="1"/>
  <c r="DU731" i="1"/>
  <c r="DT731" i="1"/>
  <c r="DN731" i="1"/>
  <c r="DM731" i="1"/>
  <c r="DL731" i="1"/>
  <c r="DK731" i="1"/>
  <c r="DI731" i="1"/>
  <c r="DJ731" i="1" s="1"/>
  <c r="DC731" i="1"/>
  <c r="CX731" i="1"/>
  <c r="CN731" i="1"/>
  <c r="CS731" i="1" s="1"/>
  <c r="BV731" i="1"/>
  <c r="BX731" i="1" s="1"/>
  <c r="BU731" i="1"/>
  <c r="BN731" i="1"/>
  <c r="BO731" i="1" s="1"/>
  <c r="BD731" i="1"/>
  <c r="BC731" i="1"/>
  <c r="BB731" i="1"/>
  <c r="BA731" i="1"/>
  <c r="AZ731" i="1"/>
  <c r="BF731" i="1" s="1" a="1"/>
  <c r="BF731" i="1" s="1"/>
  <c r="AY731" i="1"/>
  <c r="BE731" i="1" s="1" a="1"/>
  <c r="BE731" i="1" s="1"/>
  <c r="AX731" i="1"/>
  <c r="M731" i="1"/>
  <c r="EM649" i="1"/>
  <c r="DU649" i="1"/>
  <c r="DT649" i="1"/>
  <c r="DN649" i="1"/>
  <c r="DM649" i="1"/>
  <c r="DL649" i="1"/>
  <c r="DK649" i="1"/>
  <c r="DI649" i="1"/>
  <c r="DJ649" i="1" s="1"/>
  <c r="DC649" i="1"/>
  <c r="CX649" i="1"/>
  <c r="CN649" i="1"/>
  <c r="BT649" i="1"/>
  <c r="BV649" i="1" s="1"/>
  <c r="BX649" i="1" s="1"/>
  <c r="BN649" i="1"/>
  <c r="BO649" i="1" s="1"/>
  <c r="BD649" i="1"/>
  <c r="BC649" i="1"/>
  <c r="BB649" i="1"/>
  <c r="BA649" i="1"/>
  <c r="AZ649" i="1"/>
  <c r="AY649" i="1"/>
  <c r="BE649" i="1" s="1" a="1"/>
  <c r="BE649" i="1" s="1"/>
  <c r="AX649" i="1"/>
  <c r="M649" i="1"/>
  <c r="EM648" i="1"/>
  <c r="DU648" i="1"/>
  <c r="DT648" i="1"/>
  <c r="DN648" i="1"/>
  <c r="DM648" i="1"/>
  <c r="DL648" i="1"/>
  <c r="DK648" i="1"/>
  <c r="DI648" i="1"/>
  <c r="DJ648" i="1" s="1"/>
  <c r="DC648" i="1"/>
  <c r="CX648" i="1"/>
  <c r="CN648" i="1"/>
  <c r="BT648" i="1"/>
  <c r="BV648" i="1" s="1"/>
  <c r="BX648" i="1" s="1"/>
  <c r="BN648" i="1"/>
  <c r="BO648" i="1" s="1"/>
  <c r="BD648" i="1"/>
  <c r="BC648" i="1"/>
  <c r="BB648" i="1"/>
  <c r="BA648" i="1"/>
  <c r="AZ648" i="1"/>
  <c r="AY648" i="1"/>
  <c r="BE648" i="1" s="1" a="1"/>
  <c r="BE648" i="1" s="1"/>
  <c r="AX648" i="1"/>
  <c r="M648" i="1"/>
  <c r="EM940" i="1"/>
  <c r="DU940" i="1"/>
  <c r="DT940" i="1"/>
  <c r="DN940" i="1"/>
  <c r="DM940" i="1"/>
  <c r="DL940" i="1"/>
  <c r="DK940" i="1"/>
  <c r="DI940" i="1"/>
  <c r="DJ940" i="1" s="1"/>
  <c r="DC940" i="1"/>
  <c r="CX940" i="1"/>
  <c r="BV940" i="1"/>
  <c r="BX940" i="1" s="1"/>
  <c r="BU940" i="1"/>
  <c r="BL940" i="1"/>
  <c r="CN940" i="1" s="1"/>
  <c r="CO940" i="1" s="1"/>
  <c r="BD940" i="1"/>
  <c r="BC940" i="1"/>
  <c r="BB940" i="1"/>
  <c r="BA940" i="1"/>
  <c r="AZ940" i="1"/>
  <c r="AY940" i="1"/>
  <c r="BE940" i="1" s="1" a="1"/>
  <c r="BE940" i="1" s="1"/>
  <c r="AX940" i="1"/>
  <c r="M940" i="1"/>
  <c r="EM657" i="1"/>
  <c r="DU657" i="1"/>
  <c r="DT657" i="1"/>
  <c r="DN657" i="1"/>
  <c r="DM657" i="1"/>
  <c r="DL657" i="1"/>
  <c r="DK657" i="1"/>
  <c r="DI657" i="1"/>
  <c r="DJ657" i="1" s="1"/>
  <c r="DC657" i="1"/>
  <c r="CX657" i="1"/>
  <c r="BV657" i="1"/>
  <c r="BX657" i="1" s="1"/>
  <c r="BL657" i="1"/>
  <c r="CN657" i="1" s="1"/>
  <c r="BD657" i="1"/>
  <c r="BC657" i="1"/>
  <c r="BB657" i="1"/>
  <c r="BA657" i="1"/>
  <c r="AZ657" i="1"/>
  <c r="AY657" i="1"/>
  <c r="BE657" i="1" s="1" a="1"/>
  <c r="BE657" i="1" s="1"/>
  <c r="AX657" i="1"/>
  <c r="M657" i="1"/>
  <c r="EM656" i="1"/>
  <c r="DU656" i="1"/>
  <c r="DT656" i="1"/>
  <c r="DN656" i="1"/>
  <c r="DM656" i="1"/>
  <c r="DL656" i="1"/>
  <c r="DK656" i="1"/>
  <c r="DI656" i="1"/>
  <c r="DJ656" i="1" s="1"/>
  <c r="DC656" i="1"/>
  <c r="CX656" i="1"/>
  <c r="BV656" i="1"/>
  <c r="BX656" i="1" s="1"/>
  <c r="BL656" i="1"/>
  <c r="CN656" i="1" s="1"/>
  <c r="CS656" i="1" s="1"/>
  <c r="BD656" i="1"/>
  <c r="BC656" i="1"/>
  <c r="BB656" i="1"/>
  <c r="BA656" i="1"/>
  <c r="AZ656" i="1"/>
  <c r="AY656" i="1"/>
  <c r="BE656" i="1" s="1" a="1"/>
  <c r="BE656" i="1" s="1"/>
  <c r="AX656" i="1"/>
  <c r="M656" i="1"/>
  <c r="EM643" i="1"/>
  <c r="DU643" i="1"/>
  <c r="DT643" i="1"/>
  <c r="DN643" i="1"/>
  <c r="DM643" i="1"/>
  <c r="DL643" i="1"/>
  <c r="DK643" i="1"/>
  <c r="DI643" i="1"/>
  <c r="DJ643" i="1" s="1"/>
  <c r="DC643" i="1"/>
  <c r="CX643" i="1"/>
  <c r="BV643" i="1"/>
  <c r="BX643" i="1" s="1"/>
  <c r="BL643" i="1"/>
  <c r="CN643" i="1" s="1"/>
  <c r="BD643" i="1"/>
  <c r="BC643" i="1"/>
  <c r="BB643" i="1"/>
  <c r="BA643" i="1"/>
  <c r="AZ643" i="1"/>
  <c r="AY643" i="1"/>
  <c r="BE643" i="1" s="1" a="1"/>
  <c r="BE643" i="1" s="1"/>
  <c r="AX643" i="1"/>
  <c r="M643" i="1"/>
  <c r="EM642" i="1"/>
  <c r="DU642" i="1"/>
  <c r="DT642" i="1"/>
  <c r="DN642" i="1"/>
  <c r="DM642" i="1"/>
  <c r="DL642" i="1"/>
  <c r="DK642" i="1"/>
  <c r="DI642" i="1"/>
  <c r="DJ642" i="1" s="1"/>
  <c r="DC642" i="1"/>
  <c r="CX642" i="1"/>
  <c r="BV642" i="1"/>
  <c r="BX642" i="1" s="1"/>
  <c r="BL642" i="1"/>
  <c r="CN642" i="1" s="1"/>
  <c r="BD642" i="1"/>
  <c r="BC642" i="1"/>
  <c r="BB642" i="1"/>
  <c r="BA642" i="1"/>
  <c r="AZ642" i="1"/>
  <c r="AY642" i="1"/>
  <c r="BE642" i="1" s="1" a="1"/>
  <c r="BE642" i="1" s="1"/>
  <c r="AX642" i="1"/>
  <c r="M642" i="1"/>
  <c r="EM641" i="1"/>
  <c r="DU641" i="1"/>
  <c r="DT641" i="1"/>
  <c r="DN641" i="1"/>
  <c r="DM641" i="1"/>
  <c r="DL641" i="1"/>
  <c r="DK641" i="1"/>
  <c r="DI641" i="1"/>
  <c r="DJ641" i="1" s="1"/>
  <c r="DC641" i="1"/>
  <c r="CX641" i="1"/>
  <c r="BV641" i="1"/>
  <c r="BX641" i="1" s="1"/>
  <c r="BL641" i="1"/>
  <c r="BN641" i="1" s="1"/>
  <c r="BO641" i="1" s="1"/>
  <c r="BD641" i="1"/>
  <c r="BC641" i="1"/>
  <c r="BB641" i="1"/>
  <c r="BA641" i="1"/>
  <c r="AZ641" i="1"/>
  <c r="AY641" i="1"/>
  <c r="BE641" i="1" s="1" a="1"/>
  <c r="BE641" i="1" s="1"/>
  <c r="AX641" i="1"/>
  <c r="M641" i="1"/>
  <c r="EM655" i="1"/>
  <c r="DU655" i="1"/>
  <c r="DT655" i="1"/>
  <c r="DN655" i="1"/>
  <c r="DM655" i="1"/>
  <c r="DL655" i="1"/>
  <c r="DK655" i="1"/>
  <c r="DI655" i="1"/>
  <c r="DJ655" i="1" s="1"/>
  <c r="DC655" i="1"/>
  <c r="CX655" i="1"/>
  <c r="BV655" i="1"/>
  <c r="BX655" i="1" s="1"/>
  <c r="BL655" i="1"/>
  <c r="BN655" i="1" s="1"/>
  <c r="BO655" i="1" s="1"/>
  <c r="BD655" i="1"/>
  <c r="BC655" i="1"/>
  <c r="BB655" i="1"/>
  <c r="BA655" i="1"/>
  <c r="AZ655" i="1"/>
  <c r="AY655" i="1"/>
  <c r="BE655" i="1" s="1" a="1"/>
  <c r="BE655" i="1" s="1"/>
  <c r="AX655" i="1"/>
  <c r="M655" i="1"/>
  <c r="EM640" i="1"/>
  <c r="DU640" i="1"/>
  <c r="DT640" i="1"/>
  <c r="DN640" i="1"/>
  <c r="DM640" i="1"/>
  <c r="DL640" i="1"/>
  <c r="DK640" i="1"/>
  <c r="DI640" i="1"/>
  <c r="DJ640" i="1" s="1"/>
  <c r="DC640" i="1"/>
  <c r="CX640" i="1"/>
  <c r="BV640" i="1"/>
  <c r="BX640" i="1" s="1"/>
  <c r="BL640" i="1"/>
  <c r="CN640" i="1" s="1"/>
  <c r="CO640" i="1" s="1"/>
  <c r="BD640" i="1"/>
  <c r="BC640" i="1"/>
  <c r="BB640" i="1"/>
  <c r="BA640" i="1"/>
  <c r="AZ640" i="1"/>
  <c r="AY640" i="1"/>
  <c r="BE640" i="1" s="1" a="1"/>
  <c r="BE640" i="1" s="1"/>
  <c r="AX640" i="1"/>
  <c r="M640" i="1"/>
  <c r="EM639" i="1"/>
  <c r="DU639" i="1"/>
  <c r="DT639" i="1"/>
  <c r="DN639" i="1"/>
  <c r="DM639" i="1"/>
  <c r="DL639" i="1"/>
  <c r="DK639" i="1"/>
  <c r="DI639" i="1"/>
  <c r="DJ639" i="1" s="1"/>
  <c r="DC639" i="1"/>
  <c r="CX639" i="1"/>
  <c r="BV639" i="1"/>
  <c r="BX639" i="1" s="1"/>
  <c r="BL639" i="1"/>
  <c r="BN639" i="1" s="1"/>
  <c r="BO639" i="1" s="1"/>
  <c r="BD639" i="1"/>
  <c r="BC639" i="1"/>
  <c r="BB639" i="1"/>
  <c r="BA639" i="1"/>
  <c r="AZ639" i="1"/>
  <c r="AY639" i="1"/>
  <c r="BE639" i="1" s="1" a="1"/>
  <c r="BE639" i="1" s="1"/>
  <c r="AX639" i="1"/>
  <c r="M639" i="1"/>
  <c r="EM654" i="1"/>
  <c r="DU654" i="1"/>
  <c r="DT654" i="1"/>
  <c r="DN654" i="1"/>
  <c r="DM654" i="1"/>
  <c r="DL654" i="1"/>
  <c r="DK654" i="1"/>
  <c r="DI654" i="1"/>
  <c r="DJ654" i="1" s="1"/>
  <c r="DC654" i="1"/>
  <c r="CX654" i="1"/>
  <c r="BV654" i="1"/>
  <c r="BX654" i="1" s="1"/>
  <c r="BL654" i="1"/>
  <c r="CN654" i="1" s="1"/>
  <c r="CS654" i="1" s="1"/>
  <c r="BD654" i="1"/>
  <c r="BC654" i="1"/>
  <c r="BB654" i="1"/>
  <c r="BA654" i="1"/>
  <c r="AZ654" i="1"/>
  <c r="AY654" i="1"/>
  <c r="BE654" i="1" s="1" a="1"/>
  <c r="BE654" i="1" s="1"/>
  <c r="AX654" i="1"/>
  <c r="M654" i="1"/>
  <c r="EM653" i="1"/>
  <c r="DU653" i="1"/>
  <c r="DT653" i="1"/>
  <c r="DN653" i="1"/>
  <c r="DM653" i="1"/>
  <c r="DL653" i="1"/>
  <c r="DK653" i="1"/>
  <c r="DI653" i="1"/>
  <c r="DJ653" i="1" s="1"/>
  <c r="DC653" i="1"/>
  <c r="CX653" i="1"/>
  <c r="BV653" i="1"/>
  <c r="BX653" i="1" s="1"/>
  <c r="BL653" i="1"/>
  <c r="CN653" i="1" s="1"/>
  <c r="CO653" i="1" s="1"/>
  <c r="BD653" i="1"/>
  <c r="BC653" i="1"/>
  <c r="BB653" i="1"/>
  <c r="BA653" i="1"/>
  <c r="AZ653" i="1"/>
  <c r="AY653" i="1"/>
  <c r="BE653" i="1" s="1" a="1"/>
  <c r="BE653" i="1" s="1"/>
  <c r="AX653" i="1"/>
  <c r="M653" i="1"/>
  <c r="EM638" i="1"/>
  <c r="DU638" i="1"/>
  <c r="DT638" i="1"/>
  <c r="DN638" i="1"/>
  <c r="DM638" i="1"/>
  <c r="DL638" i="1"/>
  <c r="DK638" i="1"/>
  <c r="DI638" i="1"/>
  <c r="DJ638" i="1" s="1"/>
  <c r="DC638" i="1"/>
  <c r="CX638" i="1"/>
  <c r="BX638" i="1"/>
  <c r="BL638" i="1"/>
  <c r="CN638" i="1" s="1"/>
  <c r="CS638" i="1" s="1"/>
  <c r="BD638" i="1"/>
  <c r="BC638" i="1"/>
  <c r="BB638" i="1"/>
  <c r="BA638" i="1"/>
  <c r="AZ638" i="1"/>
  <c r="AY638" i="1"/>
  <c r="BE638" i="1" s="1" a="1"/>
  <c r="BE638" i="1" s="1"/>
  <c r="AX638" i="1"/>
  <c r="M638" i="1"/>
  <c r="EM637" i="1"/>
  <c r="DU637" i="1"/>
  <c r="DT637" i="1"/>
  <c r="DN637" i="1"/>
  <c r="DM637" i="1"/>
  <c r="DL637" i="1"/>
  <c r="DK637" i="1"/>
  <c r="DI637" i="1"/>
  <c r="DJ637" i="1" s="1"/>
  <c r="DC637" i="1"/>
  <c r="CX637" i="1"/>
  <c r="BV637" i="1"/>
  <c r="BX637" i="1" s="1"/>
  <c r="BL637" i="1"/>
  <c r="CN637" i="1" s="1"/>
  <c r="BD637" i="1"/>
  <c r="BC637" i="1"/>
  <c r="BB637" i="1"/>
  <c r="BA637" i="1"/>
  <c r="AZ637" i="1"/>
  <c r="AY637" i="1"/>
  <c r="BE637" i="1" s="1" a="1"/>
  <c r="BE637" i="1" s="1"/>
  <c r="AX637" i="1"/>
  <c r="M637" i="1"/>
  <c r="EM636" i="1"/>
  <c r="DU636" i="1"/>
  <c r="DT636" i="1"/>
  <c r="DN636" i="1"/>
  <c r="DM636" i="1"/>
  <c r="DL636" i="1"/>
  <c r="DK636" i="1"/>
  <c r="DI636" i="1"/>
  <c r="DJ636" i="1" s="1"/>
  <c r="DC636" i="1"/>
  <c r="CX636" i="1"/>
  <c r="BV636" i="1"/>
  <c r="BX636" i="1" s="1"/>
  <c r="BL636" i="1"/>
  <c r="BN636" i="1" s="1"/>
  <c r="BO636" i="1" s="1"/>
  <c r="BD636" i="1"/>
  <c r="BC636" i="1"/>
  <c r="BB636" i="1"/>
  <c r="BA636" i="1"/>
  <c r="AZ636" i="1"/>
  <c r="AY636" i="1"/>
  <c r="BE636" i="1" s="1" a="1"/>
  <c r="BE636" i="1" s="1"/>
  <c r="AX636" i="1"/>
  <c r="M636" i="1"/>
  <c r="EM742" i="1"/>
  <c r="DU742" i="1"/>
  <c r="DT742" i="1"/>
  <c r="DN742" i="1"/>
  <c r="DM742" i="1"/>
  <c r="DL742" i="1"/>
  <c r="DK742" i="1"/>
  <c r="DI742" i="1"/>
  <c r="DJ742" i="1" s="1"/>
  <c r="DC742" i="1"/>
  <c r="CX742" i="1"/>
  <c r="CN742" i="1"/>
  <c r="CS742" i="1" s="1"/>
  <c r="BS742" i="1"/>
  <c r="BV742" i="1" s="1"/>
  <c r="BX742" i="1" s="1"/>
  <c r="BN742" i="1"/>
  <c r="BO742" i="1" s="1"/>
  <c r="BD742" i="1"/>
  <c r="BC742" i="1"/>
  <c r="BB742" i="1"/>
  <c r="BA742" i="1"/>
  <c r="AZ742" i="1"/>
  <c r="BF742" i="1" s="1" a="1"/>
  <c r="BF742" i="1" s="1"/>
  <c r="AY742" i="1"/>
  <c r="BE742" i="1" s="1" a="1"/>
  <c r="BE742" i="1" s="1"/>
  <c r="AX742" i="1"/>
  <c r="M742" i="1"/>
  <c r="EM741" i="1"/>
  <c r="DU741" i="1"/>
  <c r="DT741" i="1"/>
  <c r="DN741" i="1"/>
  <c r="DM741" i="1"/>
  <c r="DL741" i="1"/>
  <c r="DK741" i="1"/>
  <c r="DI741" i="1"/>
  <c r="DJ741" i="1" s="1"/>
  <c r="DC741" i="1"/>
  <c r="CX741" i="1"/>
  <c r="CN741" i="1"/>
  <c r="BV741" i="1"/>
  <c r="BX741" i="1" s="1"/>
  <c r="BN741" i="1"/>
  <c r="BO741" i="1" s="1"/>
  <c r="BD741" i="1"/>
  <c r="BC741" i="1"/>
  <c r="BB741" i="1"/>
  <c r="BA741" i="1"/>
  <c r="AZ741" i="1"/>
  <c r="AY741" i="1"/>
  <c r="BE741" i="1" s="1" a="1"/>
  <c r="BE741" i="1" s="1"/>
  <c r="AX741" i="1"/>
  <c r="M741" i="1"/>
  <c r="EM682" i="1"/>
  <c r="DU682" i="1"/>
  <c r="DT682" i="1"/>
  <c r="DN682" i="1"/>
  <c r="DM682" i="1"/>
  <c r="DL682" i="1"/>
  <c r="DK682" i="1"/>
  <c r="DI682" i="1"/>
  <c r="DJ682" i="1" s="1"/>
  <c r="DC682" i="1"/>
  <c r="CX682" i="1"/>
  <c r="CN682" i="1"/>
  <c r="BV682" i="1"/>
  <c r="BX682" i="1" s="1"/>
  <c r="BN682" i="1"/>
  <c r="BO682" i="1" s="1"/>
  <c r="BD682" i="1"/>
  <c r="BC682" i="1"/>
  <c r="BB682" i="1"/>
  <c r="BA682" i="1"/>
  <c r="AZ682" i="1"/>
  <c r="AY682" i="1"/>
  <c r="BE682" i="1" s="1" a="1"/>
  <c r="BE682" i="1" s="1"/>
  <c r="AX682" i="1"/>
  <c r="M682" i="1"/>
  <c r="EM681" i="1"/>
  <c r="DU681" i="1"/>
  <c r="DT681" i="1"/>
  <c r="DN681" i="1"/>
  <c r="DM681" i="1"/>
  <c r="DL681" i="1"/>
  <c r="DK681" i="1"/>
  <c r="DI681" i="1"/>
  <c r="DJ681" i="1" s="1"/>
  <c r="DC681" i="1"/>
  <c r="CX681" i="1"/>
  <c r="CN681" i="1"/>
  <c r="BV681" i="1"/>
  <c r="BX681" i="1" s="1"/>
  <c r="BN681" i="1"/>
  <c r="BO681" i="1" s="1"/>
  <c r="BD681" i="1"/>
  <c r="BC681" i="1"/>
  <c r="BB681" i="1"/>
  <c r="BA681" i="1"/>
  <c r="AZ681" i="1"/>
  <c r="AY681" i="1"/>
  <c r="BE681" i="1" s="1" a="1"/>
  <c r="BE681" i="1" s="1"/>
  <c r="AX681" i="1"/>
  <c r="M681" i="1"/>
  <c r="EM962" i="1"/>
  <c r="DU962" i="1"/>
  <c r="DT962" i="1"/>
  <c r="DN962" i="1"/>
  <c r="DM962" i="1"/>
  <c r="DL962" i="1"/>
  <c r="DK962" i="1"/>
  <c r="DI962" i="1"/>
  <c r="DJ962" i="1" s="1"/>
  <c r="DC962" i="1"/>
  <c r="CX962" i="1"/>
  <c r="CN962" i="1"/>
  <c r="CP962" i="1" s="1"/>
  <c r="BV962" i="1"/>
  <c r="BX962" i="1" s="1"/>
  <c r="BN962" i="1"/>
  <c r="BO962" i="1" s="1"/>
  <c r="BD962" i="1"/>
  <c r="BC962" i="1"/>
  <c r="BB962" i="1"/>
  <c r="BA962" i="1"/>
  <c r="AZ962" i="1"/>
  <c r="AY962" i="1"/>
  <c r="BE962" i="1" s="1" a="1"/>
  <c r="BE962" i="1" s="1"/>
  <c r="AX962" i="1"/>
  <c r="M962" i="1"/>
  <c r="EM961" i="1"/>
  <c r="DU961" i="1"/>
  <c r="DT961" i="1"/>
  <c r="DN961" i="1"/>
  <c r="DM961" i="1"/>
  <c r="DL961" i="1"/>
  <c r="DK961" i="1"/>
  <c r="DI961" i="1"/>
  <c r="DJ961" i="1" s="1"/>
  <c r="DC961" i="1"/>
  <c r="CX961" i="1"/>
  <c r="CN961" i="1"/>
  <c r="CO961" i="1" s="1"/>
  <c r="BV961" i="1"/>
  <c r="BX961" i="1" s="1"/>
  <c r="BN961" i="1"/>
  <c r="BO961" i="1" s="1"/>
  <c r="BD961" i="1"/>
  <c r="BC961" i="1"/>
  <c r="BB961" i="1"/>
  <c r="BA961" i="1"/>
  <c r="AZ961" i="1"/>
  <c r="AY961" i="1"/>
  <c r="BE961" i="1" s="1" a="1"/>
  <c r="BE961" i="1" s="1"/>
  <c r="AX961" i="1"/>
  <c r="M961" i="1"/>
  <c r="EM860" i="1"/>
  <c r="DU860" i="1"/>
  <c r="DT860" i="1"/>
  <c r="DN860" i="1"/>
  <c r="DM860" i="1"/>
  <c r="DL860" i="1"/>
  <c r="DK860" i="1"/>
  <c r="DI860" i="1"/>
  <c r="DJ860" i="1" s="1"/>
  <c r="DC860" i="1"/>
  <c r="CX860" i="1"/>
  <c r="CN860" i="1"/>
  <c r="BV860" i="1"/>
  <c r="BX860" i="1" s="1"/>
  <c r="BN860" i="1"/>
  <c r="BO860" i="1" s="1"/>
  <c r="BD860" i="1"/>
  <c r="BC860" i="1"/>
  <c r="BB860" i="1"/>
  <c r="BA860" i="1"/>
  <c r="AZ860" i="1"/>
  <c r="AY860" i="1"/>
  <c r="BE860" i="1" s="1" a="1"/>
  <c r="BE860" i="1" s="1"/>
  <c r="AX860" i="1"/>
  <c r="M860" i="1"/>
  <c r="EM859" i="1"/>
  <c r="DU859" i="1"/>
  <c r="DT859" i="1"/>
  <c r="DN859" i="1"/>
  <c r="DM859" i="1"/>
  <c r="DL859" i="1"/>
  <c r="DK859" i="1"/>
  <c r="DI859" i="1"/>
  <c r="DJ859" i="1" s="1"/>
  <c r="DC859" i="1"/>
  <c r="CX859" i="1"/>
  <c r="CN859" i="1"/>
  <c r="BV859" i="1"/>
  <c r="BX859" i="1" s="1"/>
  <c r="BN859" i="1"/>
  <c r="BO859" i="1" s="1"/>
  <c r="BD859" i="1"/>
  <c r="BC859" i="1"/>
  <c r="BB859" i="1"/>
  <c r="BA859" i="1"/>
  <c r="AZ859" i="1"/>
  <c r="AY859" i="1"/>
  <c r="BE859" i="1" s="1" a="1"/>
  <c r="BE859" i="1" s="1"/>
  <c r="AX859" i="1"/>
  <c r="M859" i="1"/>
  <c r="EM688" i="1"/>
  <c r="DU688" i="1"/>
  <c r="DT688" i="1"/>
  <c r="DN688" i="1"/>
  <c r="DM688" i="1"/>
  <c r="DL688" i="1"/>
  <c r="DK688" i="1"/>
  <c r="DI688" i="1"/>
  <c r="DJ688" i="1" s="1"/>
  <c r="DC688" i="1"/>
  <c r="CX688" i="1"/>
  <c r="CN688" i="1"/>
  <c r="BV688" i="1"/>
  <c r="BX688" i="1" s="1"/>
  <c r="BN688" i="1"/>
  <c r="BO688" i="1" s="1"/>
  <c r="BM688" i="1"/>
  <c r="BD688" i="1"/>
  <c r="BC688" i="1"/>
  <c r="BB688" i="1"/>
  <c r="BA688" i="1"/>
  <c r="AZ688" i="1"/>
  <c r="AY688" i="1"/>
  <c r="BE688" i="1" s="1" a="1"/>
  <c r="BE688" i="1" s="1"/>
  <c r="AX688" i="1"/>
  <c r="M688" i="1"/>
  <c r="EM687" i="1"/>
  <c r="DU687" i="1"/>
  <c r="DT687" i="1"/>
  <c r="DN687" i="1"/>
  <c r="DM687" i="1"/>
  <c r="DL687" i="1"/>
  <c r="DK687" i="1"/>
  <c r="DI687" i="1"/>
  <c r="DJ687" i="1" s="1"/>
  <c r="DC687" i="1"/>
  <c r="CX687" i="1"/>
  <c r="CN687" i="1"/>
  <c r="CR687" i="1" s="1"/>
  <c r="BV687" i="1"/>
  <c r="BX687" i="1" s="1"/>
  <c r="BN687" i="1"/>
  <c r="BO687" i="1" s="1"/>
  <c r="BD687" i="1"/>
  <c r="BC687" i="1"/>
  <c r="BB687" i="1"/>
  <c r="BA687" i="1"/>
  <c r="AZ687" i="1"/>
  <c r="AY687" i="1"/>
  <c r="BE687" i="1" s="1" a="1"/>
  <c r="BE687" i="1" s="1"/>
  <c r="AX687" i="1"/>
  <c r="M687" i="1"/>
  <c r="EM680" i="1"/>
  <c r="DU680" i="1"/>
  <c r="DT680" i="1"/>
  <c r="DN680" i="1"/>
  <c r="DM680" i="1"/>
  <c r="DL680" i="1"/>
  <c r="DK680" i="1"/>
  <c r="DI680" i="1"/>
  <c r="DJ680" i="1" s="1"/>
  <c r="DC680" i="1"/>
  <c r="CX680" i="1"/>
  <c r="CN680" i="1"/>
  <c r="BV680" i="1"/>
  <c r="BX680" i="1" s="1"/>
  <c r="BN680" i="1"/>
  <c r="BO680" i="1" s="1"/>
  <c r="BD680" i="1"/>
  <c r="BC680" i="1"/>
  <c r="BB680" i="1"/>
  <c r="BA680" i="1"/>
  <c r="AZ680" i="1"/>
  <c r="AY680" i="1"/>
  <c r="BE680" i="1" s="1" a="1"/>
  <c r="BE680" i="1" s="1"/>
  <c r="AX680" i="1"/>
  <c r="M680" i="1"/>
  <c r="EM679" i="1"/>
  <c r="DU679" i="1"/>
  <c r="DT679" i="1"/>
  <c r="DN679" i="1"/>
  <c r="DM679" i="1"/>
  <c r="DL679" i="1"/>
  <c r="DK679" i="1"/>
  <c r="DI679" i="1"/>
  <c r="DJ679" i="1" s="1"/>
  <c r="DC679" i="1"/>
  <c r="CX679" i="1"/>
  <c r="CN679" i="1"/>
  <c r="BV679" i="1"/>
  <c r="BX679" i="1" s="1"/>
  <c r="BN679" i="1"/>
  <c r="BO679" i="1" s="1"/>
  <c r="BM679" i="1"/>
  <c r="BD679" i="1"/>
  <c r="BC679" i="1"/>
  <c r="BB679" i="1"/>
  <c r="BA679" i="1"/>
  <c r="AZ679" i="1"/>
  <c r="AY679" i="1"/>
  <c r="BE679" i="1" s="1" a="1"/>
  <c r="BE679" i="1" s="1"/>
  <c r="AX679" i="1"/>
  <c r="M679" i="1"/>
  <c r="EM740" i="1"/>
  <c r="DU740" i="1"/>
  <c r="DT740" i="1"/>
  <c r="DN740" i="1"/>
  <c r="DM740" i="1"/>
  <c r="DL740" i="1"/>
  <c r="DK740" i="1"/>
  <c r="DI740" i="1"/>
  <c r="DJ740" i="1" s="1"/>
  <c r="DC740" i="1"/>
  <c r="CX740" i="1"/>
  <c r="CN740" i="1"/>
  <c r="CP740" i="1" s="1"/>
  <c r="BV740" i="1"/>
  <c r="BX740" i="1" s="1"/>
  <c r="BU740" i="1"/>
  <c r="BN740" i="1"/>
  <c r="BO740" i="1" s="1"/>
  <c r="BM740" i="1"/>
  <c r="BD740" i="1"/>
  <c r="BC740" i="1"/>
  <c r="BB740" i="1"/>
  <c r="BA740" i="1"/>
  <c r="AZ740" i="1"/>
  <c r="BF740" i="1" s="1" a="1"/>
  <c r="BF740" i="1" s="1"/>
  <c r="AY740" i="1"/>
  <c r="BE740" i="1" s="1" a="1"/>
  <c r="BE740" i="1" s="1"/>
  <c r="AX740" i="1"/>
  <c r="M740" i="1"/>
  <c r="EM678" i="1"/>
  <c r="DU678" i="1"/>
  <c r="DT678" i="1"/>
  <c r="DN678" i="1"/>
  <c r="DM678" i="1"/>
  <c r="DL678" i="1"/>
  <c r="DK678" i="1"/>
  <c r="DI678" i="1"/>
  <c r="DJ678" i="1" s="1"/>
  <c r="DC678" i="1"/>
  <c r="CX678" i="1"/>
  <c r="CN678" i="1"/>
  <c r="CS678" i="1" s="1"/>
  <c r="BV678" i="1"/>
  <c r="BX678" i="1" s="1"/>
  <c r="BN678" i="1"/>
  <c r="BO678" i="1" s="1"/>
  <c r="BD678" i="1"/>
  <c r="BC678" i="1"/>
  <c r="BB678" i="1"/>
  <c r="BA678" i="1"/>
  <c r="AZ678" i="1"/>
  <c r="AY678" i="1"/>
  <c r="BE678" i="1" s="1" a="1"/>
  <c r="BE678" i="1" s="1"/>
  <c r="AX678" i="1"/>
  <c r="M678" i="1"/>
  <c r="EM739" i="1"/>
  <c r="DU739" i="1"/>
  <c r="DT739" i="1"/>
  <c r="DN739" i="1"/>
  <c r="DM739" i="1"/>
  <c r="DL739" i="1"/>
  <c r="DK739" i="1"/>
  <c r="DI739" i="1"/>
  <c r="DJ739" i="1" s="1"/>
  <c r="DC739" i="1"/>
  <c r="CX739" i="1"/>
  <c r="CN739" i="1"/>
  <c r="CS739" i="1" s="1"/>
  <c r="BV739" i="1"/>
  <c r="BX739" i="1" s="1"/>
  <c r="BN739" i="1"/>
  <c r="BO739" i="1" s="1"/>
  <c r="BD739" i="1"/>
  <c r="BC739" i="1"/>
  <c r="BB739" i="1"/>
  <c r="BA739" i="1"/>
  <c r="AZ739" i="1"/>
  <c r="AY739" i="1"/>
  <c r="BE739" i="1" s="1" a="1"/>
  <c r="BE739" i="1" s="1"/>
  <c r="AX739" i="1"/>
  <c r="M739" i="1"/>
  <c r="EM738" i="1"/>
  <c r="DU738" i="1"/>
  <c r="DT738" i="1"/>
  <c r="DN738" i="1"/>
  <c r="DM738" i="1"/>
  <c r="DL738" i="1"/>
  <c r="DK738" i="1"/>
  <c r="DI738" i="1"/>
  <c r="DJ738" i="1" s="1"/>
  <c r="DC738" i="1"/>
  <c r="CX738" i="1"/>
  <c r="CN738" i="1"/>
  <c r="BV738" i="1"/>
  <c r="BX738" i="1" s="1"/>
  <c r="BN738" i="1"/>
  <c r="BO738" i="1" s="1"/>
  <c r="BM738" i="1"/>
  <c r="BD738" i="1"/>
  <c r="BC738" i="1"/>
  <c r="BB738" i="1"/>
  <c r="BA738" i="1"/>
  <c r="AZ738" i="1"/>
  <c r="BF738" i="1" s="1" a="1"/>
  <c r="BF738" i="1" s="1"/>
  <c r="AY738" i="1"/>
  <c r="BE738" i="1" s="1" a="1"/>
  <c r="BE738" i="1" s="1"/>
  <c r="AX738" i="1"/>
  <c r="M738" i="1"/>
  <c r="EM677" i="1"/>
  <c r="DU677" i="1"/>
  <c r="DT677" i="1"/>
  <c r="DN677" i="1"/>
  <c r="DM677" i="1"/>
  <c r="DL677" i="1"/>
  <c r="DK677" i="1"/>
  <c r="DI677" i="1"/>
  <c r="DJ677" i="1" s="1"/>
  <c r="DC677" i="1"/>
  <c r="CX677" i="1"/>
  <c r="CN677" i="1"/>
  <c r="CS677" i="1" s="1"/>
  <c r="BV677" i="1"/>
  <c r="BX677" i="1" s="1"/>
  <c r="BN677" i="1"/>
  <c r="BO677" i="1" s="1"/>
  <c r="BD677" i="1"/>
  <c r="BC677" i="1"/>
  <c r="BB677" i="1"/>
  <c r="BA677" i="1"/>
  <c r="AZ677" i="1"/>
  <c r="AY677" i="1"/>
  <c r="BE677" i="1" s="1" a="1"/>
  <c r="BE677" i="1" s="1"/>
  <c r="AX677" i="1"/>
  <c r="M677" i="1"/>
  <c r="EM676" i="1"/>
  <c r="DU676" i="1"/>
  <c r="DT676" i="1"/>
  <c r="DN676" i="1"/>
  <c r="DM676" i="1"/>
  <c r="DL676" i="1"/>
  <c r="DK676" i="1"/>
  <c r="DI676" i="1"/>
  <c r="DJ676" i="1" s="1"/>
  <c r="DC676" i="1"/>
  <c r="CX676" i="1"/>
  <c r="CN676" i="1"/>
  <c r="BV676" i="1"/>
  <c r="BX676" i="1" s="1"/>
  <c r="BU676" i="1"/>
  <c r="BN676" i="1"/>
  <c r="BO676" i="1" s="1"/>
  <c r="BM676" i="1"/>
  <c r="BD676" i="1"/>
  <c r="BC676" i="1"/>
  <c r="BB676" i="1"/>
  <c r="BA676" i="1"/>
  <c r="AZ676" i="1"/>
  <c r="AY676" i="1"/>
  <c r="BE676" i="1" s="1" a="1"/>
  <c r="BE676" i="1" s="1"/>
  <c r="AX676" i="1"/>
  <c r="M676" i="1"/>
  <c r="EM939" i="1"/>
  <c r="DU939" i="1"/>
  <c r="DT939" i="1"/>
  <c r="DN939" i="1"/>
  <c r="DM939" i="1"/>
  <c r="DL939" i="1"/>
  <c r="DK939" i="1"/>
  <c r="DI939" i="1"/>
  <c r="DJ939" i="1" s="1"/>
  <c r="DC939" i="1"/>
  <c r="CX939" i="1"/>
  <c r="CN939" i="1"/>
  <c r="BV939" i="1"/>
  <c r="BX939" i="1" s="1"/>
  <c r="BU939" i="1"/>
  <c r="BN939" i="1"/>
  <c r="BO939" i="1" s="1"/>
  <c r="BD939" i="1"/>
  <c r="BC939" i="1"/>
  <c r="BB939" i="1"/>
  <c r="BA939" i="1"/>
  <c r="AZ939" i="1"/>
  <c r="AY939" i="1"/>
  <c r="BE939" i="1" s="1" a="1"/>
  <c r="BE939" i="1" s="1"/>
  <c r="AX939" i="1"/>
  <c r="M939" i="1"/>
  <c r="EM938" i="1"/>
  <c r="DU938" i="1"/>
  <c r="DT938" i="1"/>
  <c r="DN938" i="1"/>
  <c r="DM938" i="1"/>
  <c r="DL938" i="1"/>
  <c r="DK938" i="1"/>
  <c r="DI938" i="1"/>
  <c r="DJ938" i="1" s="1"/>
  <c r="DC938" i="1"/>
  <c r="CX938" i="1"/>
  <c r="CN938" i="1"/>
  <c r="BV938" i="1"/>
  <c r="BX938" i="1" s="1"/>
  <c r="BU938" i="1"/>
  <c r="BN938" i="1"/>
  <c r="BO938" i="1" s="1"/>
  <c r="BD938" i="1"/>
  <c r="BC938" i="1"/>
  <c r="BB938" i="1"/>
  <c r="BA938" i="1"/>
  <c r="AZ938" i="1"/>
  <c r="BF938" i="1" s="1" a="1"/>
  <c r="BF938" i="1" s="1"/>
  <c r="AY938" i="1"/>
  <c r="BE938" i="1" s="1" a="1"/>
  <c r="BE938" i="1" s="1"/>
  <c r="AX938" i="1"/>
  <c r="M938" i="1"/>
  <c r="EM444" i="1"/>
  <c r="DN444" i="1"/>
  <c r="DM444" i="1"/>
  <c r="DL444" i="1"/>
  <c r="DK444" i="1"/>
  <c r="DI444" i="1"/>
  <c r="DJ444" i="1" s="1"/>
  <c r="DB444" i="1"/>
  <c r="DC444" i="1" s="1"/>
  <c r="CX444" i="1"/>
  <c r="CN444" i="1"/>
  <c r="BV444" i="1"/>
  <c r="BX444" i="1" s="1"/>
  <c r="BU444" i="1"/>
  <c r="BN444" i="1"/>
  <c r="BO444" i="1" s="1"/>
  <c r="BM444" i="1"/>
  <c r="BD444" i="1"/>
  <c r="BC444" i="1"/>
  <c r="BB444" i="1"/>
  <c r="BA444" i="1"/>
  <c r="AZ444" i="1"/>
  <c r="AY444" i="1"/>
  <c r="BE444" i="1" s="1" a="1"/>
  <c r="BE444" i="1" s="1"/>
  <c r="AX444" i="1"/>
  <c r="M444" i="1"/>
  <c r="EM981" i="1"/>
  <c r="DU981" i="1"/>
  <c r="DT981" i="1"/>
  <c r="DN981" i="1"/>
  <c r="DM981" i="1"/>
  <c r="DL981" i="1"/>
  <c r="DK981" i="1"/>
  <c r="DI981" i="1"/>
  <c r="DJ981" i="1" s="1"/>
  <c r="DC981" i="1"/>
  <c r="CX981" i="1"/>
  <c r="CN981" i="1"/>
  <c r="CO981" i="1" s="1"/>
  <c r="BX981" i="1"/>
  <c r="BN981" i="1"/>
  <c r="BO981" i="1" s="1"/>
  <c r="BD981" i="1"/>
  <c r="BC981" i="1"/>
  <c r="BB981" i="1"/>
  <c r="BA981" i="1"/>
  <c r="AZ981" i="1"/>
  <c r="AY981" i="1"/>
  <c r="BE981" i="1" s="1" a="1"/>
  <c r="BE981" i="1" s="1"/>
  <c r="AX981" i="1"/>
  <c r="M981" i="1"/>
  <c r="EM883" i="1"/>
  <c r="DU883" i="1"/>
  <c r="DT883" i="1"/>
  <c r="DN883" i="1"/>
  <c r="DM883" i="1"/>
  <c r="DL883" i="1"/>
  <c r="DK883" i="1"/>
  <c r="DI883" i="1"/>
  <c r="DJ883" i="1" s="1"/>
  <c r="DC883" i="1"/>
  <c r="CX883" i="1"/>
  <c r="CN883" i="1"/>
  <c r="CR883" i="1" s="1"/>
  <c r="BX883" i="1"/>
  <c r="BN883" i="1"/>
  <c r="BO883" i="1" s="1"/>
  <c r="BD883" i="1"/>
  <c r="BC883" i="1"/>
  <c r="BB883" i="1"/>
  <c r="BA883" i="1"/>
  <c r="AZ883" i="1"/>
  <c r="AY883" i="1"/>
  <c r="BE883" i="1" s="1" a="1"/>
  <c r="BE883" i="1" s="1"/>
  <c r="AX883" i="1"/>
  <c r="M883" i="1"/>
  <c r="EM937" i="1"/>
  <c r="DU937" i="1"/>
  <c r="DT937" i="1"/>
  <c r="DN937" i="1"/>
  <c r="DM937" i="1"/>
  <c r="DL937" i="1"/>
  <c r="DK937" i="1"/>
  <c r="DI937" i="1"/>
  <c r="DJ937" i="1" s="1"/>
  <c r="DC937" i="1"/>
  <c r="CX937" i="1"/>
  <c r="CN937" i="1"/>
  <c r="BX937" i="1"/>
  <c r="BN937" i="1"/>
  <c r="BO937" i="1" s="1"/>
  <c r="BD937" i="1"/>
  <c r="BC937" i="1"/>
  <c r="BB937" i="1"/>
  <c r="BA937" i="1"/>
  <c r="AZ937" i="1"/>
  <c r="AY937" i="1"/>
  <c r="BE937" i="1" s="1" a="1"/>
  <c r="BE937" i="1" s="1"/>
  <c r="AX937" i="1"/>
  <c r="M937" i="1"/>
  <c r="EM980" i="1"/>
  <c r="DU980" i="1"/>
  <c r="DT980" i="1"/>
  <c r="DN980" i="1"/>
  <c r="DM980" i="1"/>
  <c r="DL980" i="1"/>
  <c r="DK980" i="1"/>
  <c r="DI980" i="1"/>
  <c r="DJ980" i="1" s="1"/>
  <c r="DC980" i="1"/>
  <c r="CX980" i="1"/>
  <c r="CN980" i="1"/>
  <c r="BX980" i="1"/>
  <c r="BN980" i="1"/>
  <c r="BO980" i="1" s="1"/>
  <c r="BD980" i="1"/>
  <c r="BC980" i="1"/>
  <c r="BB980" i="1"/>
  <c r="BA980" i="1"/>
  <c r="AZ980" i="1"/>
  <c r="AY980" i="1"/>
  <c r="BE980" i="1" s="1" a="1"/>
  <c r="BE980" i="1" s="1"/>
  <c r="AX980" i="1"/>
  <c r="M980" i="1"/>
  <c r="EM882" i="1"/>
  <c r="DU882" i="1"/>
  <c r="DT882" i="1"/>
  <c r="DN882" i="1"/>
  <c r="DM882" i="1"/>
  <c r="DL882" i="1"/>
  <c r="DK882" i="1"/>
  <c r="DI882" i="1"/>
  <c r="DJ882" i="1" s="1"/>
  <c r="DC882" i="1"/>
  <c r="CX882" i="1"/>
  <c r="CN882" i="1"/>
  <c r="BX882" i="1"/>
  <c r="BN882" i="1"/>
  <c r="BO882" i="1" s="1"/>
  <c r="BD882" i="1"/>
  <c r="BC882" i="1"/>
  <c r="BB882" i="1"/>
  <c r="BA882" i="1"/>
  <c r="AZ882" i="1"/>
  <c r="AY882" i="1"/>
  <c r="BE882" i="1" s="1" a="1"/>
  <c r="BE882" i="1" s="1"/>
  <c r="AX882" i="1"/>
  <c r="M882" i="1"/>
  <c r="EM936" i="1"/>
  <c r="DU936" i="1"/>
  <c r="DT936" i="1"/>
  <c r="DN936" i="1"/>
  <c r="DM936" i="1"/>
  <c r="DL936" i="1"/>
  <c r="DK936" i="1"/>
  <c r="DI936" i="1"/>
  <c r="DJ936" i="1" s="1"/>
  <c r="DC936" i="1"/>
  <c r="CX936" i="1"/>
  <c r="CN936" i="1"/>
  <c r="CR936" i="1" s="1"/>
  <c r="BX936" i="1"/>
  <c r="BN936" i="1"/>
  <c r="BO936" i="1" s="1"/>
  <c r="BD936" i="1"/>
  <c r="BC936" i="1"/>
  <c r="BB936" i="1"/>
  <c r="BA936" i="1"/>
  <c r="AZ936" i="1"/>
  <c r="AY936" i="1"/>
  <c r="BE936" i="1" s="1" a="1"/>
  <c r="BE936" i="1" s="1"/>
  <c r="AX936" i="1"/>
  <c r="M936" i="1"/>
  <c r="EM979" i="1"/>
  <c r="DU979" i="1"/>
  <c r="DT979" i="1"/>
  <c r="DN979" i="1"/>
  <c r="DM979" i="1"/>
  <c r="DL979" i="1"/>
  <c r="DK979" i="1"/>
  <c r="DI979" i="1"/>
  <c r="DJ979" i="1" s="1"/>
  <c r="DC979" i="1"/>
  <c r="CX979" i="1"/>
  <c r="CN979" i="1"/>
  <c r="BX979" i="1"/>
  <c r="BN979" i="1"/>
  <c r="BO979" i="1" s="1"/>
  <c r="BD979" i="1"/>
  <c r="BC979" i="1"/>
  <c r="BB979" i="1"/>
  <c r="BA979" i="1"/>
  <c r="AZ979" i="1"/>
  <c r="BF979" i="1" s="1" a="1"/>
  <c r="BF979" i="1" s="1"/>
  <c r="AY979" i="1"/>
  <c r="BE979" i="1" s="1" a="1"/>
  <c r="BE979" i="1" s="1"/>
  <c r="AX979" i="1"/>
  <c r="M979" i="1"/>
  <c r="EM881" i="1"/>
  <c r="DU881" i="1"/>
  <c r="DT881" i="1"/>
  <c r="DN881" i="1"/>
  <c r="DM881" i="1"/>
  <c r="DL881" i="1"/>
  <c r="DK881" i="1"/>
  <c r="DI881" i="1"/>
  <c r="DJ881" i="1" s="1"/>
  <c r="DC881" i="1"/>
  <c r="CX881" i="1"/>
  <c r="CN881" i="1"/>
  <c r="CR881" i="1" s="1"/>
  <c r="BX881" i="1"/>
  <c r="BN881" i="1"/>
  <c r="BO881" i="1" s="1"/>
  <c r="BD881" i="1"/>
  <c r="BC881" i="1"/>
  <c r="BB881" i="1"/>
  <c r="BA881" i="1"/>
  <c r="AZ881" i="1"/>
  <c r="AY881" i="1"/>
  <c r="BE881" i="1" s="1" a="1"/>
  <c r="BE881" i="1" s="1"/>
  <c r="AX881" i="1"/>
  <c r="M881" i="1"/>
  <c r="EM935" i="1"/>
  <c r="DU935" i="1"/>
  <c r="DT935" i="1"/>
  <c r="DN935" i="1"/>
  <c r="DM935" i="1"/>
  <c r="DL935" i="1"/>
  <c r="DK935" i="1"/>
  <c r="DI935" i="1"/>
  <c r="DJ935" i="1" s="1"/>
  <c r="DC935" i="1"/>
  <c r="CX935" i="1"/>
  <c r="CN935" i="1"/>
  <c r="CP935" i="1" s="1"/>
  <c r="BX935" i="1"/>
  <c r="BN935" i="1"/>
  <c r="BO935" i="1" s="1"/>
  <c r="BD935" i="1"/>
  <c r="BC935" i="1"/>
  <c r="BB935" i="1"/>
  <c r="BA935" i="1"/>
  <c r="AZ935" i="1"/>
  <c r="AY935" i="1"/>
  <c r="BE935" i="1" s="1" a="1"/>
  <c r="BE935" i="1" s="1"/>
  <c r="AX935" i="1"/>
  <c r="M935" i="1"/>
  <c r="EM978" i="1"/>
  <c r="DU978" i="1"/>
  <c r="DT978" i="1"/>
  <c r="DN978" i="1"/>
  <c r="DM978" i="1"/>
  <c r="DL978" i="1"/>
  <c r="DK978" i="1"/>
  <c r="DI978" i="1"/>
  <c r="DJ978" i="1" s="1"/>
  <c r="DC978" i="1"/>
  <c r="CX978" i="1"/>
  <c r="CN978" i="1"/>
  <c r="CO978" i="1" s="1"/>
  <c r="BX978" i="1"/>
  <c r="BN978" i="1"/>
  <c r="BO978" i="1" s="1"/>
  <c r="BD978" i="1"/>
  <c r="BC978" i="1"/>
  <c r="BB978" i="1"/>
  <c r="BA978" i="1"/>
  <c r="AZ978" i="1"/>
  <c r="AY978" i="1"/>
  <c r="BE978" i="1" s="1" a="1"/>
  <c r="BE978" i="1" s="1"/>
  <c r="AX978" i="1"/>
  <c r="M978" i="1"/>
  <c r="EM880" i="1"/>
  <c r="DU880" i="1"/>
  <c r="DT880" i="1"/>
  <c r="DN880" i="1"/>
  <c r="DM880" i="1"/>
  <c r="DL880" i="1"/>
  <c r="DK880" i="1"/>
  <c r="DI880" i="1"/>
  <c r="DJ880" i="1" s="1"/>
  <c r="DC880" i="1"/>
  <c r="CX880" i="1"/>
  <c r="CN880" i="1"/>
  <c r="BX880" i="1"/>
  <c r="BN880" i="1"/>
  <c r="BO880" i="1" s="1"/>
  <c r="BD880" i="1"/>
  <c r="BC880" i="1"/>
  <c r="BB880" i="1"/>
  <c r="BA880" i="1"/>
  <c r="AZ880" i="1"/>
  <c r="AY880" i="1"/>
  <c r="BE880" i="1" s="1" a="1"/>
  <c r="BE880" i="1" s="1"/>
  <c r="AX880" i="1"/>
  <c r="M880" i="1"/>
  <c r="EM934" i="1"/>
  <c r="DU934" i="1"/>
  <c r="DT934" i="1"/>
  <c r="DN934" i="1"/>
  <c r="DM934" i="1"/>
  <c r="DL934" i="1"/>
  <c r="DK934" i="1"/>
  <c r="DI934" i="1"/>
  <c r="DJ934" i="1" s="1"/>
  <c r="DC934" i="1"/>
  <c r="CX934" i="1"/>
  <c r="CN934" i="1"/>
  <c r="BX934" i="1"/>
  <c r="BN934" i="1"/>
  <c r="BO934" i="1" s="1"/>
  <c r="BD934" i="1"/>
  <c r="BC934" i="1"/>
  <c r="BB934" i="1"/>
  <c r="BA934" i="1"/>
  <c r="AZ934" i="1"/>
  <c r="AY934" i="1"/>
  <c r="BE934" i="1" s="1" a="1"/>
  <c r="BE934" i="1" s="1"/>
  <c r="AX934" i="1"/>
  <c r="M934" i="1"/>
  <c r="EM977" i="1"/>
  <c r="DU977" i="1"/>
  <c r="DT977" i="1"/>
  <c r="DN977" i="1"/>
  <c r="DM977" i="1"/>
  <c r="DL977" i="1"/>
  <c r="DK977" i="1"/>
  <c r="DI977" i="1"/>
  <c r="DJ977" i="1" s="1"/>
  <c r="DC977" i="1"/>
  <c r="CX977" i="1"/>
  <c r="CN977" i="1"/>
  <c r="CR977" i="1" s="1"/>
  <c r="BX977" i="1"/>
  <c r="BN977" i="1"/>
  <c r="BO977" i="1" s="1"/>
  <c r="BD977" i="1"/>
  <c r="BC977" i="1"/>
  <c r="BB977" i="1"/>
  <c r="BA977" i="1"/>
  <c r="AZ977" i="1"/>
  <c r="AY977" i="1"/>
  <c r="BE977" i="1" s="1" a="1"/>
  <c r="BE977" i="1" s="1"/>
  <c r="AX977" i="1"/>
  <c r="M977" i="1"/>
  <c r="EM879" i="1"/>
  <c r="DU879" i="1"/>
  <c r="DT879" i="1"/>
  <c r="DN879" i="1"/>
  <c r="DM879" i="1"/>
  <c r="DL879" i="1"/>
  <c r="DK879" i="1"/>
  <c r="DI879" i="1"/>
  <c r="DJ879" i="1" s="1"/>
  <c r="DC879" i="1"/>
  <c r="CX879" i="1"/>
  <c r="CN879" i="1"/>
  <c r="BX879" i="1"/>
  <c r="BN879" i="1"/>
  <c r="BO879" i="1" s="1"/>
  <c r="BD879" i="1"/>
  <c r="BC879" i="1"/>
  <c r="BB879" i="1"/>
  <c r="BA879" i="1"/>
  <c r="AZ879" i="1"/>
  <c r="AY879" i="1"/>
  <c r="BE879" i="1" s="1" a="1"/>
  <c r="BE879" i="1" s="1"/>
  <c r="AX879" i="1"/>
  <c r="M879" i="1"/>
  <c r="EM933" i="1"/>
  <c r="DU933" i="1"/>
  <c r="DT933" i="1"/>
  <c r="DN933" i="1"/>
  <c r="DM933" i="1"/>
  <c r="DL933" i="1"/>
  <c r="DK933" i="1"/>
  <c r="DI933" i="1"/>
  <c r="DJ933" i="1" s="1"/>
  <c r="DC933" i="1"/>
  <c r="CX933" i="1"/>
  <c r="CN933" i="1"/>
  <c r="CS933" i="1" s="1"/>
  <c r="BX933" i="1"/>
  <c r="BN933" i="1"/>
  <c r="BO933" i="1" s="1"/>
  <c r="BD933" i="1"/>
  <c r="BC933" i="1"/>
  <c r="BB933" i="1"/>
  <c r="BA933" i="1"/>
  <c r="AZ933" i="1"/>
  <c r="BF933" i="1" s="1" a="1"/>
  <c r="BF933" i="1" s="1"/>
  <c r="AY933" i="1"/>
  <c r="BE933" i="1" s="1" a="1"/>
  <c r="BE933" i="1" s="1"/>
  <c r="AX933" i="1"/>
  <c r="M933" i="1"/>
  <c r="EM976" i="1"/>
  <c r="DU976" i="1"/>
  <c r="DT976" i="1"/>
  <c r="DN976" i="1"/>
  <c r="DM976" i="1"/>
  <c r="DL976" i="1"/>
  <c r="DK976" i="1"/>
  <c r="DI976" i="1"/>
  <c r="DJ976" i="1" s="1"/>
  <c r="DC976" i="1"/>
  <c r="CX976" i="1"/>
  <c r="CN976" i="1"/>
  <c r="CS976" i="1" s="1"/>
  <c r="BX976" i="1"/>
  <c r="BN976" i="1"/>
  <c r="BO976" i="1" s="1"/>
  <c r="BD976" i="1"/>
  <c r="BC976" i="1"/>
  <c r="BB976" i="1"/>
  <c r="BA976" i="1"/>
  <c r="AZ976" i="1"/>
  <c r="AY976" i="1"/>
  <c r="BE976" i="1" s="1" a="1"/>
  <c r="BE976" i="1" s="1"/>
  <c r="AX976" i="1"/>
  <c r="M976" i="1"/>
  <c r="EM878" i="1"/>
  <c r="DU878" i="1"/>
  <c r="DT878" i="1"/>
  <c r="DN878" i="1"/>
  <c r="DM878" i="1"/>
  <c r="DL878" i="1"/>
  <c r="DK878" i="1"/>
  <c r="DI878" i="1"/>
  <c r="DJ878" i="1" s="1"/>
  <c r="DC878" i="1"/>
  <c r="CX878" i="1"/>
  <c r="CN878" i="1"/>
  <c r="CR878" i="1" s="1"/>
  <c r="BX878" i="1"/>
  <c r="BN878" i="1"/>
  <c r="BO878" i="1" s="1"/>
  <c r="BD878" i="1"/>
  <c r="BC878" i="1"/>
  <c r="BB878" i="1"/>
  <c r="BA878" i="1"/>
  <c r="AZ878" i="1"/>
  <c r="AY878" i="1"/>
  <c r="BE878" i="1" s="1" a="1"/>
  <c r="BE878" i="1" s="1"/>
  <c r="AX878" i="1"/>
  <c r="M878" i="1"/>
  <c r="EM932" i="1"/>
  <c r="DU932" i="1"/>
  <c r="DT932" i="1"/>
  <c r="DN932" i="1"/>
  <c r="DM932" i="1"/>
  <c r="DL932" i="1"/>
  <c r="DK932" i="1"/>
  <c r="DI932" i="1"/>
  <c r="DJ932" i="1" s="1"/>
  <c r="DC932" i="1"/>
  <c r="CX932" i="1"/>
  <c r="CN932" i="1"/>
  <c r="BX932" i="1"/>
  <c r="BN932" i="1"/>
  <c r="BO932" i="1" s="1"/>
  <c r="BD932" i="1"/>
  <c r="BC932" i="1"/>
  <c r="BB932" i="1"/>
  <c r="BA932" i="1"/>
  <c r="AZ932" i="1"/>
  <c r="AY932" i="1"/>
  <c r="BE932" i="1" s="1" a="1"/>
  <c r="BE932" i="1" s="1"/>
  <c r="AX932" i="1"/>
  <c r="M932" i="1"/>
  <c r="EM975" i="1"/>
  <c r="DU975" i="1"/>
  <c r="DT975" i="1"/>
  <c r="DN975" i="1"/>
  <c r="DM975" i="1"/>
  <c r="DL975" i="1"/>
  <c r="DK975" i="1"/>
  <c r="DI975" i="1"/>
  <c r="DJ975" i="1" s="1"/>
  <c r="DC975" i="1"/>
  <c r="CX975" i="1"/>
  <c r="CN975" i="1"/>
  <c r="CR975" i="1" s="1"/>
  <c r="BX975" i="1"/>
  <c r="BN975" i="1"/>
  <c r="BO975" i="1" s="1"/>
  <c r="BD975" i="1"/>
  <c r="BC975" i="1"/>
  <c r="BB975" i="1"/>
  <c r="BA975" i="1"/>
  <c r="AZ975" i="1"/>
  <c r="AY975" i="1"/>
  <c r="BE975" i="1" s="1" a="1"/>
  <c r="BE975" i="1" s="1"/>
  <c r="AX975" i="1"/>
  <c r="M975" i="1"/>
  <c r="EM877" i="1"/>
  <c r="DU877" i="1"/>
  <c r="DT877" i="1"/>
  <c r="DN877" i="1"/>
  <c r="DM877" i="1"/>
  <c r="DL877" i="1"/>
  <c r="DK877" i="1"/>
  <c r="DI877" i="1"/>
  <c r="DJ877" i="1" s="1"/>
  <c r="DC877" i="1"/>
  <c r="CX877" i="1"/>
  <c r="CN877" i="1"/>
  <c r="BX877" i="1"/>
  <c r="BN877" i="1"/>
  <c r="BO877" i="1" s="1"/>
  <c r="BD877" i="1"/>
  <c r="BC877" i="1"/>
  <c r="BB877" i="1"/>
  <c r="BA877" i="1"/>
  <c r="AZ877" i="1"/>
  <c r="AY877" i="1"/>
  <c r="BE877" i="1" s="1" a="1"/>
  <c r="BE877" i="1" s="1"/>
  <c r="AX877" i="1"/>
  <c r="M877" i="1"/>
  <c r="EM931" i="1"/>
  <c r="DU931" i="1"/>
  <c r="DT931" i="1"/>
  <c r="DN931" i="1"/>
  <c r="DM931" i="1"/>
  <c r="DL931" i="1"/>
  <c r="DK931" i="1"/>
  <c r="DI931" i="1"/>
  <c r="DJ931" i="1" s="1"/>
  <c r="DC931" i="1"/>
  <c r="CX931" i="1"/>
  <c r="CN931" i="1"/>
  <c r="BX931" i="1"/>
  <c r="BN931" i="1"/>
  <c r="BO931" i="1" s="1"/>
  <c r="BD931" i="1"/>
  <c r="BC931" i="1"/>
  <c r="BB931" i="1"/>
  <c r="BA931" i="1"/>
  <c r="AZ931" i="1"/>
  <c r="AY931" i="1"/>
  <c r="BE931" i="1" s="1" a="1"/>
  <c r="BE931" i="1" s="1"/>
  <c r="AX931" i="1"/>
  <c r="M931" i="1"/>
  <c r="EM974" i="1"/>
  <c r="DU974" i="1"/>
  <c r="DT974" i="1"/>
  <c r="DN974" i="1"/>
  <c r="DM974" i="1"/>
  <c r="DL974" i="1"/>
  <c r="DK974" i="1"/>
  <c r="DI974" i="1"/>
  <c r="DJ974" i="1" s="1"/>
  <c r="DC974" i="1"/>
  <c r="CX974" i="1"/>
  <c r="CN974" i="1"/>
  <c r="BX974" i="1"/>
  <c r="BN974" i="1"/>
  <c r="BO974" i="1" s="1"/>
  <c r="BD974" i="1"/>
  <c r="BC974" i="1"/>
  <c r="BB974" i="1"/>
  <c r="BA974" i="1"/>
  <c r="AZ974" i="1"/>
  <c r="AY974" i="1"/>
  <c r="BE974" i="1" s="1" a="1"/>
  <c r="BE974" i="1" s="1"/>
  <c r="AX974" i="1"/>
  <c r="M974" i="1"/>
  <c r="EM876" i="1"/>
  <c r="DU876" i="1"/>
  <c r="DT876" i="1"/>
  <c r="DN876" i="1"/>
  <c r="DM876" i="1"/>
  <c r="DL876" i="1"/>
  <c r="DK876" i="1"/>
  <c r="DI876" i="1"/>
  <c r="DJ876" i="1" s="1"/>
  <c r="DC876" i="1"/>
  <c r="CX876" i="1"/>
  <c r="CN876" i="1"/>
  <c r="BX876" i="1"/>
  <c r="BN876" i="1"/>
  <c r="BO876" i="1" s="1"/>
  <c r="BD876" i="1"/>
  <c r="BC876" i="1"/>
  <c r="BB876" i="1"/>
  <c r="BA876" i="1"/>
  <c r="AZ876" i="1"/>
  <c r="BF876" i="1" s="1" a="1"/>
  <c r="BF876" i="1" s="1"/>
  <c r="AY876" i="1"/>
  <c r="BE876" i="1" s="1" a="1"/>
  <c r="BE876" i="1" s="1"/>
  <c r="AX876" i="1"/>
  <c r="M876" i="1"/>
  <c r="EM930" i="1"/>
  <c r="DU930" i="1"/>
  <c r="DT930" i="1"/>
  <c r="DN930" i="1"/>
  <c r="DM930" i="1"/>
  <c r="DL930" i="1"/>
  <c r="DK930" i="1"/>
  <c r="DI930" i="1"/>
  <c r="DJ930" i="1" s="1"/>
  <c r="DC930" i="1"/>
  <c r="CX930" i="1"/>
  <c r="CN930" i="1"/>
  <c r="CR930" i="1" s="1"/>
  <c r="BX930" i="1"/>
  <c r="BN930" i="1"/>
  <c r="BO930" i="1" s="1"/>
  <c r="BD930" i="1"/>
  <c r="BC930" i="1"/>
  <c r="BB930" i="1"/>
  <c r="BA930" i="1"/>
  <c r="AZ930" i="1"/>
  <c r="AY930" i="1"/>
  <c r="BE930" i="1" s="1" a="1"/>
  <c r="BE930" i="1" s="1"/>
  <c r="AX930" i="1"/>
  <c r="M930" i="1"/>
  <c r="EM973" i="1"/>
  <c r="DU973" i="1"/>
  <c r="DT973" i="1"/>
  <c r="DN973" i="1"/>
  <c r="DM973" i="1"/>
  <c r="DL973" i="1"/>
  <c r="DK973" i="1"/>
  <c r="DI973" i="1"/>
  <c r="DJ973" i="1" s="1"/>
  <c r="DC973" i="1"/>
  <c r="CX973" i="1"/>
  <c r="CN973" i="1"/>
  <c r="BX973" i="1"/>
  <c r="BN973" i="1"/>
  <c r="BO973" i="1" s="1"/>
  <c r="BD973" i="1"/>
  <c r="BC973" i="1"/>
  <c r="BB973" i="1"/>
  <c r="BA973" i="1"/>
  <c r="AZ973" i="1"/>
  <c r="AY973" i="1"/>
  <c r="BE973" i="1" s="1" a="1"/>
  <c r="BE973" i="1" s="1"/>
  <c r="AX973" i="1"/>
  <c r="M973" i="1"/>
  <c r="EM875" i="1"/>
  <c r="DU875" i="1"/>
  <c r="DT875" i="1"/>
  <c r="DN875" i="1"/>
  <c r="DM875" i="1"/>
  <c r="DL875" i="1"/>
  <c r="DK875" i="1"/>
  <c r="DI875" i="1"/>
  <c r="DJ875" i="1" s="1"/>
  <c r="DC875" i="1"/>
  <c r="CX875" i="1"/>
  <c r="CN875" i="1"/>
  <c r="BX875" i="1"/>
  <c r="BN875" i="1"/>
  <c r="BO875" i="1" s="1"/>
  <c r="BD875" i="1"/>
  <c r="BC875" i="1"/>
  <c r="BB875" i="1"/>
  <c r="BA875" i="1"/>
  <c r="AZ875" i="1"/>
  <c r="AY875" i="1"/>
  <c r="BE875" i="1" s="1" a="1"/>
  <c r="BE875" i="1" s="1"/>
  <c r="AX875" i="1"/>
  <c r="M875" i="1"/>
  <c r="EM929" i="1"/>
  <c r="DU929" i="1"/>
  <c r="DT929" i="1"/>
  <c r="DN929" i="1"/>
  <c r="DM929" i="1"/>
  <c r="DL929" i="1"/>
  <c r="DK929" i="1"/>
  <c r="DI929" i="1"/>
  <c r="DJ929" i="1" s="1"/>
  <c r="DC929" i="1"/>
  <c r="CX929" i="1"/>
  <c r="CN929" i="1"/>
  <c r="CR929" i="1" s="1"/>
  <c r="BX929" i="1"/>
  <c r="BN929" i="1"/>
  <c r="BO929" i="1" s="1"/>
  <c r="BD929" i="1"/>
  <c r="BC929" i="1"/>
  <c r="BB929" i="1"/>
  <c r="BA929" i="1"/>
  <c r="AZ929" i="1"/>
  <c r="AY929" i="1"/>
  <c r="BE929" i="1" s="1" a="1"/>
  <c r="BE929" i="1" s="1"/>
  <c r="AX929" i="1"/>
  <c r="M929" i="1"/>
  <c r="EM972" i="1"/>
  <c r="DU972" i="1"/>
  <c r="DT972" i="1"/>
  <c r="DN972" i="1"/>
  <c r="DM972" i="1"/>
  <c r="DL972" i="1"/>
  <c r="DK972" i="1"/>
  <c r="DI972" i="1"/>
  <c r="DJ972" i="1" s="1"/>
  <c r="DC972" i="1"/>
  <c r="CX972" i="1"/>
  <c r="CN972" i="1"/>
  <c r="CS972" i="1" s="1"/>
  <c r="BX972" i="1"/>
  <c r="BN972" i="1"/>
  <c r="BO972" i="1" s="1"/>
  <c r="BD972" i="1"/>
  <c r="BC972" i="1"/>
  <c r="BB972" i="1"/>
  <c r="BA972" i="1"/>
  <c r="AZ972" i="1"/>
  <c r="AY972" i="1"/>
  <c r="BE972" i="1" s="1" a="1"/>
  <c r="BE972" i="1" s="1"/>
  <c r="AX972" i="1"/>
  <c r="M972" i="1"/>
  <c r="EM874" i="1"/>
  <c r="DU874" i="1"/>
  <c r="DT874" i="1"/>
  <c r="DN874" i="1"/>
  <c r="DM874" i="1"/>
  <c r="DL874" i="1"/>
  <c r="DK874" i="1"/>
  <c r="DI874" i="1"/>
  <c r="DJ874" i="1" s="1"/>
  <c r="DC874" i="1"/>
  <c r="CX874" i="1"/>
  <c r="CN874" i="1"/>
  <c r="BX874" i="1"/>
  <c r="BN874" i="1"/>
  <c r="BO874" i="1" s="1"/>
  <c r="BD874" i="1"/>
  <c r="BC874" i="1"/>
  <c r="BB874" i="1"/>
  <c r="BA874" i="1"/>
  <c r="AZ874" i="1"/>
  <c r="AY874" i="1"/>
  <c r="BE874" i="1" s="1" a="1"/>
  <c r="BE874" i="1" s="1"/>
  <c r="AX874" i="1"/>
  <c r="M874" i="1"/>
  <c r="EM928" i="1"/>
  <c r="DU928" i="1"/>
  <c r="DT928" i="1"/>
  <c r="DN928" i="1"/>
  <c r="DM928" i="1"/>
  <c r="DL928" i="1"/>
  <c r="DK928" i="1"/>
  <c r="DI928" i="1"/>
  <c r="DJ928" i="1" s="1"/>
  <c r="DC928" i="1"/>
  <c r="CX928" i="1"/>
  <c r="CN928" i="1"/>
  <c r="CO928" i="1" s="1"/>
  <c r="BX928" i="1"/>
  <c r="BN928" i="1"/>
  <c r="BO928" i="1" s="1"/>
  <c r="BD928" i="1"/>
  <c r="BC928" i="1"/>
  <c r="BB928" i="1"/>
  <c r="BA928" i="1"/>
  <c r="AZ928" i="1"/>
  <c r="AY928" i="1"/>
  <c r="BE928" i="1" s="1" a="1"/>
  <c r="BE928" i="1" s="1"/>
  <c r="AX928" i="1"/>
  <c r="M928" i="1"/>
  <c r="EM971" i="1"/>
  <c r="DU971" i="1"/>
  <c r="DT971" i="1"/>
  <c r="DN971" i="1"/>
  <c r="DM971" i="1"/>
  <c r="DL971" i="1"/>
  <c r="DK971" i="1"/>
  <c r="DI971" i="1"/>
  <c r="DJ971" i="1" s="1"/>
  <c r="DC971" i="1"/>
  <c r="CX971" i="1"/>
  <c r="CN971" i="1"/>
  <c r="CP971" i="1" s="1"/>
  <c r="BV971" i="1"/>
  <c r="BX971" i="1" s="1"/>
  <c r="BN971" i="1"/>
  <c r="BO971" i="1" s="1"/>
  <c r="BD971" i="1"/>
  <c r="BC971" i="1"/>
  <c r="BB971" i="1"/>
  <c r="BA971" i="1"/>
  <c r="AZ971" i="1"/>
  <c r="BF971" i="1" s="1" a="1"/>
  <c r="BF971" i="1" s="1"/>
  <c r="AY971" i="1"/>
  <c r="BE971" i="1" s="1" a="1"/>
  <c r="BE971" i="1" s="1"/>
  <c r="AX971" i="1"/>
  <c r="M971" i="1"/>
  <c r="EM970" i="1"/>
  <c r="DU970" i="1"/>
  <c r="DT970" i="1"/>
  <c r="DN970" i="1"/>
  <c r="DM970" i="1"/>
  <c r="DL970" i="1"/>
  <c r="DK970" i="1"/>
  <c r="DI970" i="1"/>
  <c r="DJ970" i="1" s="1"/>
  <c r="DC970" i="1"/>
  <c r="CX970" i="1"/>
  <c r="CN970" i="1"/>
  <c r="BV970" i="1"/>
  <c r="BX970" i="1" s="1"/>
  <c r="BN970" i="1"/>
  <c r="BO970" i="1" s="1"/>
  <c r="BD970" i="1"/>
  <c r="BC970" i="1"/>
  <c r="BB970" i="1"/>
  <c r="BA970" i="1"/>
  <c r="AZ970" i="1"/>
  <c r="AY970" i="1"/>
  <c r="BE970" i="1" s="1" a="1"/>
  <c r="BE970" i="1" s="1"/>
  <c r="AX970" i="1"/>
  <c r="M970" i="1"/>
  <c r="EM969" i="1"/>
  <c r="DU969" i="1"/>
  <c r="DT969" i="1"/>
  <c r="DN969" i="1"/>
  <c r="DM969" i="1"/>
  <c r="DL969" i="1"/>
  <c r="DK969" i="1"/>
  <c r="DI969" i="1"/>
  <c r="DJ969" i="1" s="1"/>
  <c r="DC969" i="1"/>
  <c r="CX969" i="1"/>
  <c r="CN969" i="1"/>
  <c r="CP969" i="1" s="1"/>
  <c r="BV969" i="1"/>
  <c r="BX969" i="1" s="1"/>
  <c r="BN969" i="1"/>
  <c r="BO969" i="1" s="1"/>
  <c r="BD969" i="1"/>
  <c r="BC969" i="1"/>
  <c r="BB969" i="1"/>
  <c r="BA969" i="1"/>
  <c r="AZ969" i="1"/>
  <c r="AY969" i="1"/>
  <c r="BE969" i="1" s="1" a="1"/>
  <c r="BE969" i="1" s="1"/>
  <c r="AX969" i="1"/>
  <c r="M969" i="1"/>
  <c r="EM968" i="1"/>
  <c r="DU968" i="1"/>
  <c r="DT968" i="1"/>
  <c r="DN968" i="1"/>
  <c r="DM968" i="1"/>
  <c r="DL968" i="1"/>
  <c r="DK968" i="1"/>
  <c r="DI968" i="1"/>
  <c r="DJ968" i="1" s="1"/>
  <c r="DC968" i="1"/>
  <c r="CX968" i="1"/>
  <c r="CN968" i="1"/>
  <c r="BV968" i="1"/>
  <c r="BX968" i="1" s="1"/>
  <c r="BN968" i="1"/>
  <c r="BO968" i="1" s="1"/>
  <c r="BD968" i="1"/>
  <c r="BC968" i="1"/>
  <c r="BB968" i="1"/>
  <c r="BA968" i="1"/>
  <c r="AZ968" i="1"/>
  <c r="AY968" i="1"/>
  <c r="BE968" i="1" s="1" a="1"/>
  <c r="BE968" i="1" s="1"/>
  <c r="AX968" i="1"/>
  <c r="M968" i="1"/>
  <c r="EM967" i="1"/>
  <c r="DU967" i="1"/>
  <c r="DT967" i="1"/>
  <c r="DN967" i="1"/>
  <c r="DM967" i="1"/>
  <c r="DL967" i="1"/>
  <c r="DK967" i="1"/>
  <c r="DI967" i="1"/>
  <c r="DJ967" i="1" s="1"/>
  <c r="DC967" i="1"/>
  <c r="CX967" i="1"/>
  <c r="CN967" i="1"/>
  <c r="CP967" i="1" s="1"/>
  <c r="BV967" i="1"/>
  <c r="BX967" i="1" s="1"/>
  <c r="BN967" i="1"/>
  <c r="BO967" i="1" s="1"/>
  <c r="BD967" i="1"/>
  <c r="BC967" i="1"/>
  <c r="BB967" i="1"/>
  <c r="BA967" i="1"/>
  <c r="AZ967" i="1"/>
  <c r="AY967" i="1"/>
  <c r="BE967" i="1" s="1" a="1"/>
  <c r="BE967" i="1" s="1"/>
  <c r="AX967" i="1"/>
  <c r="M967" i="1"/>
  <c r="EM966" i="1"/>
  <c r="DU966" i="1"/>
  <c r="DT966" i="1"/>
  <c r="DN966" i="1"/>
  <c r="DM966" i="1"/>
  <c r="DL966" i="1"/>
  <c r="DK966" i="1"/>
  <c r="DI966" i="1"/>
  <c r="DJ966" i="1" s="1"/>
  <c r="DC966" i="1"/>
  <c r="CX966" i="1"/>
  <c r="CN966" i="1"/>
  <c r="BV966" i="1"/>
  <c r="BX966" i="1" s="1"/>
  <c r="BN966" i="1"/>
  <c r="BO966" i="1" s="1"/>
  <c r="BD966" i="1"/>
  <c r="BC966" i="1"/>
  <c r="BB966" i="1"/>
  <c r="BA966" i="1"/>
  <c r="AZ966" i="1"/>
  <c r="AY966" i="1"/>
  <c r="BE966" i="1" s="1" a="1"/>
  <c r="BE966" i="1" s="1"/>
  <c r="AX966" i="1"/>
  <c r="M966" i="1"/>
  <c r="EM965" i="1"/>
  <c r="DU965" i="1"/>
  <c r="DT965" i="1"/>
  <c r="DN965" i="1"/>
  <c r="DM965" i="1"/>
  <c r="DL965" i="1"/>
  <c r="DK965" i="1"/>
  <c r="DI965" i="1"/>
  <c r="DJ965" i="1" s="1"/>
  <c r="DC965" i="1"/>
  <c r="CX965" i="1"/>
  <c r="CN965" i="1"/>
  <c r="CO965" i="1" s="1"/>
  <c r="BV965" i="1"/>
  <c r="BX965" i="1" s="1"/>
  <c r="BN965" i="1"/>
  <c r="BO965" i="1" s="1"/>
  <c r="BD965" i="1"/>
  <c r="BC965" i="1"/>
  <c r="BB965" i="1"/>
  <c r="BA965" i="1"/>
  <c r="AZ965" i="1"/>
  <c r="AY965" i="1"/>
  <c r="BE965" i="1" s="1" a="1"/>
  <c r="BE965" i="1" s="1"/>
  <c r="AX965" i="1"/>
  <c r="M965" i="1"/>
  <c r="EM964" i="1"/>
  <c r="DU964" i="1"/>
  <c r="DT964" i="1"/>
  <c r="DN964" i="1"/>
  <c r="DM964" i="1"/>
  <c r="DL964" i="1"/>
  <c r="DK964" i="1"/>
  <c r="DI964" i="1"/>
  <c r="DJ964" i="1" s="1"/>
  <c r="DC964" i="1"/>
  <c r="CX964" i="1"/>
  <c r="CN964" i="1"/>
  <c r="BV964" i="1"/>
  <c r="BX964" i="1" s="1"/>
  <c r="BN964" i="1"/>
  <c r="BO964" i="1" s="1"/>
  <c r="BD964" i="1"/>
  <c r="BC964" i="1"/>
  <c r="BB964" i="1"/>
  <c r="BA964" i="1"/>
  <c r="AZ964" i="1"/>
  <c r="AY964" i="1"/>
  <c r="BE964" i="1" s="1" a="1"/>
  <c r="BE964" i="1" s="1"/>
  <c r="AX964" i="1"/>
  <c r="M964" i="1"/>
  <c r="EM963" i="1"/>
  <c r="DU963" i="1"/>
  <c r="DT963" i="1"/>
  <c r="DN963" i="1"/>
  <c r="DM963" i="1"/>
  <c r="DL963" i="1"/>
  <c r="DK963" i="1"/>
  <c r="DI963" i="1"/>
  <c r="DJ963" i="1" s="1"/>
  <c r="DC963" i="1"/>
  <c r="CX963" i="1"/>
  <c r="CN963" i="1"/>
  <c r="BV963" i="1"/>
  <c r="BX963" i="1" s="1"/>
  <c r="BN963" i="1"/>
  <c r="BO963" i="1" s="1"/>
  <c r="BD963" i="1"/>
  <c r="BC963" i="1"/>
  <c r="BB963" i="1"/>
  <c r="BA963" i="1"/>
  <c r="AZ963" i="1"/>
  <c r="BF963" i="1" s="1" a="1"/>
  <c r="BF963" i="1" s="1"/>
  <c r="AY963" i="1"/>
  <c r="BE963" i="1" s="1" a="1"/>
  <c r="BE963" i="1" s="1"/>
  <c r="AX963" i="1"/>
  <c r="M963" i="1"/>
  <c r="EM873" i="1"/>
  <c r="DU873" i="1"/>
  <c r="DT873" i="1"/>
  <c r="DN873" i="1"/>
  <c r="DM873" i="1"/>
  <c r="DL873" i="1"/>
  <c r="DK873" i="1"/>
  <c r="DI873" i="1"/>
  <c r="DJ873" i="1" s="1"/>
  <c r="DC873" i="1"/>
  <c r="CX873" i="1"/>
  <c r="CN873" i="1"/>
  <c r="BV873" i="1"/>
  <c r="BX873" i="1" s="1"/>
  <c r="BN873" i="1"/>
  <c r="BO873" i="1" s="1"/>
  <c r="BD873" i="1"/>
  <c r="BC873" i="1"/>
  <c r="BB873" i="1"/>
  <c r="BA873" i="1"/>
  <c r="AZ873" i="1"/>
  <c r="AY873" i="1"/>
  <c r="BE873" i="1" s="1" a="1"/>
  <c r="BE873" i="1" s="1"/>
  <c r="AX873" i="1"/>
  <c r="M873" i="1"/>
  <c r="EM872" i="1"/>
  <c r="DU872" i="1"/>
  <c r="DT872" i="1"/>
  <c r="DN872" i="1"/>
  <c r="DM872" i="1"/>
  <c r="DL872" i="1"/>
  <c r="DK872" i="1"/>
  <c r="DI872" i="1"/>
  <c r="DJ872" i="1" s="1"/>
  <c r="DC872" i="1"/>
  <c r="CX872" i="1"/>
  <c r="CN872" i="1"/>
  <c r="CO872" i="1" s="1"/>
  <c r="BV872" i="1"/>
  <c r="BX872" i="1" s="1"/>
  <c r="BN872" i="1"/>
  <c r="BO872" i="1" s="1"/>
  <c r="BD872" i="1"/>
  <c r="BC872" i="1"/>
  <c r="BB872" i="1"/>
  <c r="BA872" i="1"/>
  <c r="AZ872" i="1"/>
  <c r="AY872" i="1"/>
  <c r="BE872" i="1" s="1" a="1"/>
  <c r="BE872" i="1" s="1"/>
  <c r="AX872" i="1"/>
  <c r="M872" i="1"/>
  <c r="EM871" i="1"/>
  <c r="DU871" i="1"/>
  <c r="DT871" i="1"/>
  <c r="DN871" i="1"/>
  <c r="DM871" i="1"/>
  <c r="DL871" i="1"/>
  <c r="DK871" i="1"/>
  <c r="DI871" i="1"/>
  <c r="DJ871" i="1" s="1"/>
  <c r="DC871" i="1"/>
  <c r="CX871" i="1"/>
  <c r="CN871" i="1"/>
  <c r="BV871" i="1"/>
  <c r="BX871" i="1" s="1"/>
  <c r="BN871" i="1"/>
  <c r="BO871" i="1" s="1"/>
  <c r="BD871" i="1"/>
  <c r="BC871" i="1"/>
  <c r="BB871" i="1"/>
  <c r="BA871" i="1"/>
  <c r="AZ871" i="1"/>
  <c r="AY871" i="1"/>
  <c r="BE871" i="1" s="1" a="1"/>
  <c r="BE871" i="1" s="1"/>
  <c r="AX871" i="1"/>
  <c r="M871" i="1"/>
  <c r="EM870" i="1"/>
  <c r="DU870" i="1"/>
  <c r="DT870" i="1"/>
  <c r="DN870" i="1"/>
  <c r="DM870" i="1"/>
  <c r="DL870" i="1"/>
  <c r="DK870" i="1"/>
  <c r="DI870" i="1"/>
  <c r="DJ870" i="1" s="1"/>
  <c r="DC870" i="1"/>
  <c r="CX870" i="1"/>
  <c r="CN870" i="1"/>
  <c r="CP870" i="1" s="1"/>
  <c r="BV870" i="1"/>
  <c r="BX870" i="1" s="1"/>
  <c r="BN870" i="1"/>
  <c r="BO870" i="1" s="1"/>
  <c r="BD870" i="1"/>
  <c r="BC870" i="1"/>
  <c r="BB870" i="1"/>
  <c r="BA870" i="1"/>
  <c r="AZ870" i="1"/>
  <c r="AY870" i="1"/>
  <c r="BE870" i="1" s="1" a="1"/>
  <c r="BE870" i="1" s="1"/>
  <c r="AX870" i="1"/>
  <c r="M870" i="1"/>
  <c r="EM869" i="1"/>
  <c r="DU869" i="1"/>
  <c r="DT869" i="1"/>
  <c r="DN869" i="1"/>
  <c r="DM869" i="1"/>
  <c r="DL869" i="1"/>
  <c r="DK869" i="1"/>
  <c r="DI869" i="1"/>
  <c r="DJ869" i="1" s="1"/>
  <c r="DC869" i="1"/>
  <c r="CX869" i="1"/>
  <c r="CN869" i="1"/>
  <c r="BV869" i="1"/>
  <c r="BX869" i="1" s="1"/>
  <c r="BN869" i="1"/>
  <c r="BO869" i="1" s="1"/>
  <c r="BD869" i="1"/>
  <c r="BC869" i="1"/>
  <c r="BB869" i="1"/>
  <c r="BA869" i="1"/>
  <c r="AZ869" i="1"/>
  <c r="AY869" i="1"/>
  <c r="BE869" i="1" s="1" a="1"/>
  <c r="BE869" i="1" s="1"/>
  <c r="AX869" i="1"/>
  <c r="M869" i="1"/>
  <c r="EM868" i="1"/>
  <c r="DU868" i="1"/>
  <c r="DT868" i="1"/>
  <c r="DN868" i="1"/>
  <c r="DM868" i="1"/>
  <c r="DL868" i="1"/>
  <c r="DK868" i="1"/>
  <c r="DI868" i="1"/>
  <c r="DJ868" i="1" s="1"/>
  <c r="DC868" i="1"/>
  <c r="CX868" i="1"/>
  <c r="CN868" i="1"/>
  <c r="BV868" i="1"/>
  <c r="BX868" i="1" s="1"/>
  <c r="BN868" i="1"/>
  <c r="BO868" i="1" s="1"/>
  <c r="BD868" i="1"/>
  <c r="BC868" i="1"/>
  <c r="BB868" i="1"/>
  <c r="BA868" i="1"/>
  <c r="AZ868" i="1"/>
  <c r="AY868" i="1"/>
  <c r="BE868" i="1" s="1" a="1"/>
  <c r="BE868" i="1" s="1"/>
  <c r="AX868" i="1"/>
  <c r="M868" i="1"/>
  <c r="EM867" i="1"/>
  <c r="DU867" i="1"/>
  <c r="DT867" i="1"/>
  <c r="DN867" i="1"/>
  <c r="DM867" i="1"/>
  <c r="DL867" i="1"/>
  <c r="DK867" i="1"/>
  <c r="DI867" i="1"/>
  <c r="DJ867" i="1" s="1"/>
  <c r="DC867" i="1"/>
  <c r="CX867" i="1"/>
  <c r="CN867" i="1"/>
  <c r="BV867" i="1"/>
  <c r="BX867" i="1" s="1"/>
  <c r="BN867" i="1"/>
  <c r="BO867" i="1" s="1"/>
  <c r="BD867" i="1"/>
  <c r="BC867" i="1"/>
  <c r="BB867" i="1"/>
  <c r="BA867" i="1"/>
  <c r="AZ867" i="1"/>
  <c r="AY867" i="1"/>
  <c r="BE867" i="1" s="1" a="1"/>
  <c r="BE867" i="1" s="1"/>
  <c r="AX867" i="1"/>
  <c r="M867" i="1"/>
  <c r="EM866" i="1"/>
  <c r="DU866" i="1"/>
  <c r="DT866" i="1"/>
  <c r="DN866" i="1"/>
  <c r="DM866" i="1"/>
  <c r="DL866" i="1"/>
  <c r="DK866" i="1"/>
  <c r="DI866" i="1"/>
  <c r="DJ866" i="1" s="1"/>
  <c r="DC866" i="1"/>
  <c r="CX866" i="1"/>
  <c r="CN866" i="1"/>
  <c r="BV866" i="1"/>
  <c r="BX866" i="1" s="1"/>
  <c r="BN866" i="1"/>
  <c r="BO866" i="1" s="1"/>
  <c r="BD866" i="1"/>
  <c r="BC866" i="1"/>
  <c r="BB866" i="1"/>
  <c r="BA866" i="1"/>
  <c r="AZ866" i="1"/>
  <c r="BF866" i="1" s="1" a="1"/>
  <c r="BF866" i="1" s="1"/>
  <c r="AY866" i="1"/>
  <c r="BE866" i="1" s="1" a="1"/>
  <c r="BE866" i="1" s="1"/>
  <c r="AX866" i="1"/>
  <c r="M866" i="1"/>
  <c r="EM865" i="1"/>
  <c r="DU865" i="1"/>
  <c r="DT865" i="1"/>
  <c r="DN865" i="1"/>
  <c r="DM865" i="1"/>
  <c r="DL865" i="1"/>
  <c r="DK865" i="1"/>
  <c r="DI865" i="1"/>
  <c r="DJ865" i="1" s="1"/>
  <c r="DC865" i="1"/>
  <c r="CX865" i="1"/>
  <c r="CN865" i="1"/>
  <c r="BV865" i="1"/>
  <c r="BX865" i="1" s="1"/>
  <c r="BN865" i="1"/>
  <c r="BO865" i="1" s="1"/>
  <c r="BD865" i="1"/>
  <c r="BC865" i="1"/>
  <c r="BB865" i="1"/>
  <c r="BA865" i="1"/>
  <c r="AZ865" i="1"/>
  <c r="AY865" i="1"/>
  <c r="BE865" i="1" s="1" a="1"/>
  <c r="BE865" i="1" s="1"/>
  <c r="AX865" i="1"/>
  <c r="M865" i="1"/>
  <c r="EM927" i="1"/>
  <c r="DU927" i="1"/>
  <c r="DT927" i="1"/>
  <c r="DN927" i="1"/>
  <c r="DM927" i="1"/>
  <c r="DL927" i="1"/>
  <c r="DK927" i="1"/>
  <c r="DI927" i="1"/>
  <c r="DJ927" i="1" s="1"/>
  <c r="DC927" i="1"/>
  <c r="CX927" i="1"/>
  <c r="CN927" i="1"/>
  <c r="BV927" i="1"/>
  <c r="BX927" i="1" s="1"/>
  <c r="BN927" i="1"/>
  <c r="BO927" i="1" s="1"/>
  <c r="BD927" i="1"/>
  <c r="BC927" i="1"/>
  <c r="BB927" i="1"/>
  <c r="BA927" i="1"/>
  <c r="AZ927" i="1"/>
  <c r="AY927" i="1"/>
  <c r="BE927" i="1" s="1" a="1"/>
  <c r="BE927" i="1" s="1"/>
  <c r="AX927" i="1"/>
  <c r="M927" i="1"/>
  <c r="EM926" i="1"/>
  <c r="DU926" i="1"/>
  <c r="DT926" i="1"/>
  <c r="DN926" i="1"/>
  <c r="DM926" i="1"/>
  <c r="DL926" i="1"/>
  <c r="DK926" i="1"/>
  <c r="DI926" i="1"/>
  <c r="DJ926" i="1" s="1"/>
  <c r="DC926" i="1"/>
  <c r="CX926" i="1"/>
  <c r="CN926" i="1"/>
  <c r="BV926" i="1"/>
  <c r="BX926" i="1" s="1"/>
  <c r="BN926" i="1"/>
  <c r="BO926" i="1" s="1"/>
  <c r="BD926" i="1"/>
  <c r="BC926" i="1"/>
  <c r="BB926" i="1"/>
  <c r="BA926" i="1"/>
  <c r="AZ926" i="1"/>
  <c r="AY926" i="1"/>
  <c r="BE926" i="1" s="1" a="1"/>
  <c r="BE926" i="1" s="1"/>
  <c r="AX926" i="1"/>
  <c r="M926" i="1"/>
  <c r="EM925" i="1"/>
  <c r="DU925" i="1"/>
  <c r="DT925" i="1"/>
  <c r="DN925" i="1"/>
  <c r="DM925" i="1"/>
  <c r="DL925" i="1"/>
  <c r="DK925" i="1"/>
  <c r="DI925" i="1"/>
  <c r="DJ925" i="1" s="1"/>
  <c r="DC925" i="1"/>
  <c r="CX925" i="1"/>
  <c r="CN925" i="1"/>
  <c r="BV925" i="1"/>
  <c r="BX925" i="1" s="1"/>
  <c r="BN925" i="1"/>
  <c r="BO925" i="1" s="1"/>
  <c r="BD925" i="1"/>
  <c r="BC925" i="1"/>
  <c r="BB925" i="1"/>
  <c r="BA925" i="1"/>
  <c r="AZ925" i="1"/>
  <c r="AY925" i="1"/>
  <c r="BE925" i="1" s="1" a="1"/>
  <c r="BE925" i="1" s="1"/>
  <c r="AX925" i="1"/>
  <c r="M925" i="1"/>
  <c r="EM924" i="1"/>
  <c r="DU924" i="1"/>
  <c r="DT924" i="1"/>
  <c r="DN924" i="1"/>
  <c r="DM924" i="1"/>
  <c r="DL924" i="1"/>
  <c r="DK924" i="1"/>
  <c r="DI924" i="1"/>
  <c r="DJ924" i="1" s="1"/>
  <c r="DC924" i="1"/>
  <c r="CX924" i="1"/>
  <c r="CN924" i="1"/>
  <c r="BV924" i="1"/>
  <c r="BX924" i="1" s="1"/>
  <c r="BN924" i="1"/>
  <c r="BO924" i="1" s="1"/>
  <c r="BD924" i="1"/>
  <c r="BC924" i="1"/>
  <c r="BB924" i="1"/>
  <c r="BA924" i="1"/>
  <c r="AZ924" i="1"/>
  <c r="AY924" i="1"/>
  <c r="BE924" i="1" s="1" a="1"/>
  <c r="BE924" i="1" s="1"/>
  <c r="AX924" i="1"/>
  <c r="M924" i="1"/>
  <c r="EM923" i="1"/>
  <c r="DU923" i="1"/>
  <c r="DT923" i="1"/>
  <c r="DN923" i="1"/>
  <c r="DM923" i="1"/>
  <c r="DL923" i="1"/>
  <c r="DK923" i="1"/>
  <c r="DI923" i="1"/>
  <c r="DJ923" i="1" s="1"/>
  <c r="DC923" i="1"/>
  <c r="CX923" i="1"/>
  <c r="CN923" i="1"/>
  <c r="CP923" i="1" s="1"/>
  <c r="BV923" i="1"/>
  <c r="BX923" i="1" s="1"/>
  <c r="BN923" i="1"/>
  <c r="BO923" i="1" s="1"/>
  <c r="BD923" i="1"/>
  <c r="BC923" i="1"/>
  <c r="BB923" i="1"/>
  <c r="BA923" i="1"/>
  <c r="AZ923" i="1"/>
  <c r="AY923" i="1"/>
  <c r="BE923" i="1" s="1" a="1"/>
  <c r="BE923" i="1" s="1"/>
  <c r="AX923" i="1"/>
  <c r="M923" i="1"/>
  <c r="EM922" i="1"/>
  <c r="DU922" i="1"/>
  <c r="DT922" i="1"/>
  <c r="DN922" i="1"/>
  <c r="DM922" i="1"/>
  <c r="DL922" i="1"/>
  <c r="DK922" i="1"/>
  <c r="DI922" i="1"/>
  <c r="DJ922" i="1" s="1"/>
  <c r="DC922" i="1"/>
  <c r="CX922" i="1"/>
  <c r="CN922" i="1"/>
  <c r="BV922" i="1"/>
  <c r="BX922" i="1" s="1"/>
  <c r="BN922" i="1"/>
  <c r="BO922" i="1" s="1"/>
  <c r="BD922" i="1"/>
  <c r="BC922" i="1"/>
  <c r="BB922" i="1"/>
  <c r="BA922" i="1"/>
  <c r="AZ922" i="1"/>
  <c r="AY922" i="1"/>
  <c r="BE922" i="1" s="1" a="1"/>
  <c r="BE922" i="1" s="1"/>
  <c r="AX922" i="1"/>
  <c r="M922" i="1"/>
  <c r="EM921" i="1"/>
  <c r="DU921" i="1"/>
  <c r="DT921" i="1"/>
  <c r="DN921" i="1"/>
  <c r="DM921" i="1"/>
  <c r="DL921" i="1"/>
  <c r="DK921" i="1"/>
  <c r="DI921" i="1"/>
  <c r="DJ921" i="1" s="1"/>
  <c r="DC921" i="1"/>
  <c r="CX921" i="1"/>
  <c r="CN921" i="1"/>
  <c r="BV921" i="1"/>
  <c r="BX921" i="1" s="1"/>
  <c r="BN921" i="1"/>
  <c r="BO921" i="1" s="1"/>
  <c r="BD921" i="1"/>
  <c r="BC921" i="1"/>
  <c r="BB921" i="1"/>
  <c r="BA921" i="1"/>
  <c r="AZ921" i="1"/>
  <c r="BF921" i="1" s="1" a="1"/>
  <c r="BF921" i="1" s="1"/>
  <c r="AY921" i="1"/>
  <c r="BE921" i="1" s="1" a="1"/>
  <c r="BE921" i="1" s="1"/>
  <c r="AX921" i="1"/>
  <c r="M921" i="1"/>
  <c r="EM920" i="1"/>
  <c r="DU920" i="1"/>
  <c r="DT920" i="1"/>
  <c r="DN920" i="1"/>
  <c r="DM920" i="1"/>
  <c r="DL920" i="1"/>
  <c r="DK920" i="1"/>
  <c r="DI920" i="1"/>
  <c r="DJ920" i="1" s="1"/>
  <c r="DC920" i="1"/>
  <c r="CX920" i="1"/>
  <c r="CN920" i="1"/>
  <c r="BV920" i="1"/>
  <c r="BX920" i="1" s="1"/>
  <c r="BN920" i="1"/>
  <c r="BO920" i="1" s="1"/>
  <c r="BD920" i="1"/>
  <c r="BC920" i="1"/>
  <c r="BB920" i="1"/>
  <c r="BA920" i="1"/>
  <c r="AZ920" i="1"/>
  <c r="AY920" i="1"/>
  <c r="BE920" i="1" s="1" a="1"/>
  <c r="BE920" i="1" s="1"/>
  <c r="AX920" i="1"/>
  <c r="M920" i="1"/>
  <c r="EM919" i="1"/>
  <c r="DU919" i="1"/>
  <c r="DT919" i="1"/>
  <c r="DN919" i="1"/>
  <c r="DM919" i="1"/>
  <c r="DL919" i="1"/>
  <c r="DK919" i="1"/>
  <c r="DI919" i="1"/>
  <c r="DJ919" i="1" s="1"/>
  <c r="DC919" i="1"/>
  <c r="CX919" i="1"/>
  <c r="CN919" i="1"/>
  <c r="CP919" i="1" s="1"/>
  <c r="BV919" i="1"/>
  <c r="BX919" i="1" s="1"/>
  <c r="BN919" i="1"/>
  <c r="BO919" i="1" s="1"/>
  <c r="BD919" i="1"/>
  <c r="BC919" i="1"/>
  <c r="BB919" i="1"/>
  <c r="BA919" i="1"/>
  <c r="AZ919" i="1"/>
  <c r="AY919" i="1"/>
  <c r="BE919" i="1" s="1" a="1"/>
  <c r="BE919" i="1" s="1"/>
  <c r="AX919" i="1"/>
  <c r="M919" i="1"/>
  <c r="EM468" i="1"/>
  <c r="DU468" i="1"/>
  <c r="DT468" i="1"/>
  <c r="DN468" i="1"/>
  <c r="DM468" i="1"/>
  <c r="DL468" i="1"/>
  <c r="DK468" i="1"/>
  <c r="DI468" i="1"/>
  <c r="DJ468" i="1" s="1"/>
  <c r="DC468" i="1"/>
  <c r="CX468" i="1"/>
  <c r="CN468" i="1"/>
  <c r="BV468" i="1"/>
  <c r="BX468" i="1" s="1"/>
  <c r="BU468" i="1"/>
  <c r="BN468" i="1"/>
  <c r="BO468" i="1" s="1"/>
  <c r="BD468" i="1"/>
  <c r="BC468" i="1"/>
  <c r="BB468" i="1"/>
  <c r="BA468" i="1"/>
  <c r="AZ468" i="1"/>
  <c r="BF468" i="1" s="1" a="1"/>
  <c r="BF468" i="1" s="1"/>
  <c r="AY468" i="1"/>
  <c r="BE468" i="1" s="1" a="1"/>
  <c r="BE468" i="1" s="1"/>
  <c r="AX468" i="1"/>
  <c r="M468" i="1"/>
  <c r="EM467" i="1"/>
  <c r="DU467" i="1"/>
  <c r="DT467" i="1"/>
  <c r="DN467" i="1"/>
  <c r="DM467" i="1"/>
  <c r="DL467" i="1"/>
  <c r="DK467" i="1"/>
  <c r="DI467" i="1"/>
  <c r="DJ467" i="1" s="1"/>
  <c r="DC467" i="1"/>
  <c r="CX467" i="1"/>
  <c r="CN467" i="1"/>
  <c r="CR467" i="1" s="1"/>
  <c r="BV467" i="1"/>
  <c r="BX467" i="1" s="1"/>
  <c r="BU467" i="1"/>
  <c r="BN467" i="1"/>
  <c r="BO467" i="1" s="1"/>
  <c r="BD467" i="1"/>
  <c r="BC467" i="1"/>
  <c r="BB467" i="1"/>
  <c r="BA467" i="1"/>
  <c r="AZ467" i="1"/>
  <c r="AY467" i="1"/>
  <c r="BE467" i="1" s="1" a="1"/>
  <c r="BE467" i="1" s="1"/>
  <c r="AX467" i="1"/>
  <c r="M467" i="1"/>
  <c r="EM466" i="1"/>
  <c r="DU466" i="1"/>
  <c r="DT466" i="1"/>
  <c r="DN466" i="1"/>
  <c r="DM466" i="1"/>
  <c r="DL466" i="1"/>
  <c r="DK466" i="1"/>
  <c r="DI466" i="1"/>
  <c r="DJ466" i="1" s="1"/>
  <c r="DC466" i="1"/>
  <c r="CX466" i="1"/>
  <c r="CN466" i="1"/>
  <c r="BV466" i="1"/>
  <c r="BX466" i="1" s="1"/>
  <c r="BU466" i="1"/>
  <c r="BN466" i="1"/>
  <c r="BO466" i="1" s="1"/>
  <c r="BM466" i="1"/>
  <c r="BD466" i="1"/>
  <c r="BC466" i="1"/>
  <c r="BB466" i="1"/>
  <c r="BA466" i="1"/>
  <c r="AZ466" i="1"/>
  <c r="AY466" i="1"/>
  <c r="BE466" i="1" s="1" a="1"/>
  <c r="BE466" i="1" s="1"/>
  <c r="AX466" i="1"/>
  <c r="M466" i="1"/>
  <c r="EM465" i="1"/>
  <c r="DU465" i="1"/>
  <c r="DT465" i="1"/>
  <c r="DN465" i="1"/>
  <c r="DM465" i="1"/>
  <c r="DL465" i="1"/>
  <c r="DK465" i="1"/>
  <c r="DI465" i="1"/>
  <c r="DJ465" i="1" s="1"/>
  <c r="DC465" i="1"/>
  <c r="CX465" i="1"/>
  <c r="CN465" i="1"/>
  <c r="CR465" i="1" s="1"/>
  <c r="BV465" i="1"/>
  <c r="BX465" i="1" s="1"/>
  <c r="BU465" i="1"/>
  <c r="BN465" i="1"/>
  <c r="BO465" i="1" s="1"/>
  <c r="BM465" i="1"/>
  <c r="BD465" i="1"/>
  <c r="BC465" i="1"/>
  <c r="BB465" i="1"/>
  <c r="BA465" i="1"/>
  <c r="AZ465" i="1"/>
  <c r="AY465" i="1"/>
  <c r="BE465" i="1" s="1" a="1"/>
  <c r="BE465" i="1" s="1"/>
  <c r="AX465" i="1"/>
  <c r="M465" i="1"/>
  <c r="EM464" i="1"/>
  <c r="DU464" i="1"/>
  <c r="DT464" i="1"/>
  <c r="DN464" i="1"/>
  <c r="DM464" i="1"/>
  <c r="DL464" i="1"/>
  <c r="DK464" i="1"/>
  <c r="DI464" i="1"/>
  <c r="DJ464" i="1" s="1"/>
  <c r="DC464" i="1"/>
  <c r="CX464" i="1"/>
  <c r="CN464" i="1"/>
  <c r="BV464" i="1"/>
  <c r="BX464" i="1" s="1"/>
  <c r="BU464" i="1"/>
  <c r="BN464" i="1"/>
  <c r="BO464" i="1" s="1"/>
  <c r="BM464" i="1"/>
  <c r="BD464" i="1"/>
  <c r="BC464" i="1"/>
  <c r="BB464" i="1"/>
  <c r="BA464" i="1"/>
  <c r="AZ464" i="1"/>
  <c r="AY464" i="1"/>
  <c r="BE464" i="1" s="1" a="1"/>
  <c r="BE464" i="1" s="1"/>
  <c r="AX464" i="1"/>
  <c r="M464" i="1"/>
  <c r="EM463" i="1"/>
  <c r="DU463" i="1"/>
  <c r="DT463" i="1"/>
  <c r="DN463" i="1"/>
  <c r="DM463" i="1"/>
  <c r="DL463" i="1"/>
  <c r="DK463" i="1"/>
  <c r="DI463" i="1"/>
  <c r="DJ463" i="1" s="1"/>
  <c r="DC463" i="1"/>
  <c r="CX463" i="1"/>
  <c r="CN463" i="1"/>
  <c r="BV463" i="1"/>
  <c r="BX463" i="1" s="1"/>
  <c r="BU463" i="1"/>
  <c r="BN463" i="1"/>
  <c r="BO463" i="1" s="1"/>
  <c r="BM463" i="1"/>
  <c r="BD463" i="1"/>
  <c r="BC463" i="1"/>
  <c r="BB463" i="1"/>
  <c r="BA463" i="1"/>
  <c r="AZ463" i="1"/>
  <c r="AY463" i="1"/>
  <c r="BE463" i="1" s="1" a="1"/>
  <c r="BE463" i="1" s="1"/>
  <c r="AX463" i="1"/>
  <c r="M463" i="1"/>
  <c r="EM462" i="1"/>
  <c r="DU462" i="1"/>
  <c r="DT462" i="1"/>
  <c r="DN462" i="1"/>
  <c r="DM462" i="1"/>
  <c r="DL462" i="1"/>
  <c r="DK462" i="1"/>
  <c r="DI462" i="1"/>
  <c r="DJ462" i="1" s="1"/>
  <c r="DC462" i="1"/>
  <c r="CX462" i="1"/>
  <c r="CN462" i="1"/>
  <c r="BV462" i="1"/>
  <c r="BX462" i="1" s="1"/>
  <c r="BU462" i="1"/>
  <c r="BN462" i="1"/>
  <c r="BO462" i="1" s="1"/>
  <c r="BM462" i="1"/>
  <c r="BD462" i="1"/>
  <c r="BC462" i="1"/>
  <c r="BB462" i="1"/>
  <c r="BA462" i="1"/>
  <c r="AZ462" i="1"/>
  <c r="AY462" i="1"/>
  <c r="BE462" i="1" s="1" a="1"/>
  <c r="BE462" i="1" s="1"/>
  <c r="AX462" i="1"/>
  <c r="M462" i="1"/>
  <c r="EM461" i="1"/>
  <c r="DU461" i="1"/>
  <c r="DT461" i="1"/>
  <c r="DN461" i="1"/>
  <c r="DM461" i="1"/>
  <c r="DL461" i="1"/>
  <c r="DK461" i="1"/>
  <c r="DI461" i="1"/>
  <c r="DJ461" i="1" s="1"/>
  <c r="DC461" i="1"/>
  <c r="CX461" i="1"/>
  <c r="CN461" i="1"/>
  <c r="CR461" i="1" s="1"/>
  <c r="BV461" i="1"/>
  <c r="BX461" i="1" s="1"/>
  <c r="BU461" i="1"/>
  <c r="BN461" i="1"/>
  <c r="BO461" i="1" s="1"/>
  <c r="BM461" i="1"/>
  <c r="BD461" i="1"/>
  <c r="BC461" i="1"/>
  <c r="BB461" i="1"/>
  <c r="BA461" i="1"/>
  <c r="AZ461" i="1"/>
  <c r="BF461" i="1" s="1" a="1"/>
  <c r="BF461" i="1" s="1"/>
  <c r="AY461" i="1"/>
  <c r="BE461" i="1" s="1" a="1"/>
  <c r="BE461" i="1" s="1"/>
  <c r="AX461" i="1"/>
  <c r="M461" i="1"/>
  <c r="EM460" i="1"/>
  <c r="DU460" i="1"/>
  <c r="DT460" i="1"/>
  <c r="DN460" i="1"/>
  <c r="DM460" i="1"/>
  <c r="DL460" i="1"/>
  <c r="DK460" i="1"/>
  <c r="DI460" i="1"/>
  <c r="DJ460" i="1" s="1"/>
  <c r="DC460" i="1"/>
  <c r="CX460" i="1"/>
  <c r="CN460" i="1"/>
  <c r="BV460" i="1"/>
  <c r="BX460" i="1" s="1"/>
  <c r="BU460" i="1"/>
  <c r="BN460" i="1"/>
  <c r="BO460" i="1" s="1"/>
  <c r="BM460" i="1"/>
  <c r="BD460" i="1"/>
  <c r="BC460" i="1"/>
  <c r="BB460" i="1"/>
  <c r="BA460" i="1"/>
  <c r="AZ460" i="1"/>
  <c r="AY460" i="1"/>
  <c r="BE460" i="1" s="1" a="1"/>
  <c r="BE460" i="1" s="1"/>
  <c r="AX460" i="1"/>
  <c r="M460" i="1"/>
  <c r="EM459" i="1"/>
  <c r="DU459" i="1"/>
  <c r="DT459" i="1"/>
  <c r="DN459" i="1"/>
  <c r="DM459" i="1"/>
  <c r="DL459" i="1"/>
  <c r="DK459" i="1"/>
  <c r="DI459" i="1"/>
  <c r="DJ459" i="1" s="1"/>
  <c r="DC459" i="1"/>
  <c r="CX459" i="1"/>
  <c r="CN459" i="1"/>
  <c r="CS459" i="1" s="1"/>
  <c r="BV459" i="1"/>
  <c r="BX459" i="1" s="1"/>
  <c r="BU459" i="1"/>
  <c r="BN459" i="1"/>
  <c r="BO459" i="1" s="1"/>
  <c r="BM459" i="1"/>
  <c r="BD459" i="1"/>
  <c r="BC459" i="1"/>
  <c r="BB459" i="1"/>
  <c r="BA459" i="1"/>
  <c r="AZ459" i="1"/>
  <c r="AY459" i="1"/>
  <c r="BE459" i="1" s="1" a="1"/>
  <c r="BE459" i="1" s="1"/>
  <c r="AX459" i="1"/>
  <c r="M459" i="1"/>
  <c r="EM904" i="1"/>
  <c r="DU904" i="1"/>
  <c r="DT904" i="1"/>
  <c r="DN904" i="1"/>
  <c r="DM904" i="1"/>
  <c r="DL904" i="1"/>
  <c r="DK904" i="1"/>
  <c r="DI904" i="1"/>
  <c r="DJ904" i="1" s="1"/>
  <c r="DC904" i="1"/>
  <c r="CX904" i="1"/>
  <c r="CN904" i="1"/>
  <c r="CR904" i="1" s="1"/>
  <c r="BV904" i="1"/>
  <c r="BX904" i="1" s="1"/>
  <c r="BU904" i="1"/>
  <c r="BN904" i="1"/>
  <c r="BO904" i="1" s="1"/>
  <c r="BD904" i="1"/>
  <c r="BC904" i="1"/>
  <c r="BB904" i="1"/>
  <c r="BA904" i="1"/>
  <c r="AZ904" i="1"/>
  <c r="AY904" i="1"/>
  <c r="BE904" i="1" s="1" a="1"/>
  <c r="BE904" i="1" s="1"/>
  <c r="AX904" i="1"/>
  <c r="M904" i="1"/>
  <c r="EM737" i="1"/>
  <c r="DU737" i="1"/>
  <c r="DT737" i="1"/>
  <c r="DN737" i="1"/>
  <c r="DM737" i="1"/>
  <c r="DL737" i="1"/>
  <c r="DK737" i="1"/>
  <c r="DI737" i="1"/>
  <c r="DJ737" i="1" s="1"/>
  <c r="DC737" i="1"/>
  <c r="CX737" i="1"/>
  <c r="CN737" i="1"/>
  <c r="CS737" i="1" s="1"/>
  <c r="BV737" i="1"/>
  <c r="BX737" i="1" s="1"/>
  <c r="BU737" i="1"/>
  <c r="BN737" i="1"/>
  <c r="BO737" i="1" s="1"/>
  <c r="BM737" i="1"/>
  <c r="BD737" i="1"/>
  <c r="BC737" i="1"/>
  <c r="BB737" i="1"/>
  <c r="BA737" i="1"/>
  <c r="AZ737" i="1"/>
  <c r="AY737" i="1"/>
  <c r="BE737" i="1" s="1" a="1"/>
  <c r="BE737" i="1" s="1"/>
  <c r="AX737" i="1"/>
  <c r="M737" i="1"/>
  <c r="EM675" i="1"/>
  <c r="DU675" i="1"/>
  <c r="DT675" i="1"/>
  <c r="DN675" i="1"/>
  <c r="DM675" i="1"/>
  <c r="DL675" i="1"/>
  <c r="DK675" i="1"/>
  <c r="DI675" i="1"/>
  <c r="DJ675" i="1" s="1"/>
  <c r="DC675" i="1"/>
  <c r="CX675" i="1"/>
  <c r="CN675" i="1"/>
  <c r="CO675" i="1" s="1"/>
  <c r="BV675" i="1"/>
  <c r="BX675" i="1" s="1"/>
  <c r="BU675" i="1"/>
  <c r="BN675" i="1"/>
  <c r="BO675" i="1" s="1"/>
  <c r="BM675" i="1"/>
  <c r="BD675" i="1"/>
  <c r="BC675" i="1"/>
  <c r="BB675" i="1"/>
  <c r="BA675" i="1"/>
  <c r="AZ675" i="1"/>
  <c r="AY675" i="1"/>
  <c r="BE675" i="1" s="1" a="1"/>
  <c r="BE675" i="1" s="1"/>
  <c r="AX675" i="1"/>
  <c r="M675" i="1"/>
  <c r="EM694" i="1"/>
  <c r="DU694" i="1"/>
  <c r="DT694" i="1"/>
  <c r="DN694" i="1"/>
  <c r="DM694" i="1"/>
  <c r="DL694" i="1"/>
  <c r="DK694" i="1"/>
  <c r="DI694" i="1"/>
  <c r="DJ694" i="1" s="1"/>
  <c r="DC694" i="1"/>
  <c r="CX694" i="1"/>
  <c r="CN694" i="1"/>
  <c r="CP694" i="1" s="1"/>
  <c r="BV694" i="1"/>
  <c r="BX694" i="1" s="1"/>
  <c r="BU694" i="1"/>
  <c r="BN694" i="1"/>
  <c r="BO694" i="1" s="1"/>
  <c r="BM694" i="1"/>
  <c r="BD694" i="1"/>
  <c r="BC694" i="1"/>
  <c r="BB694" i="1"/>
  <c r="BA694" i="1"/>
  <c r="AZ694" i="1"/>
  <c r="AY694" i="1"/>
  <c r="BE694" i="1" s="1" a="1"/>
  <c r="BE694" i="1" s="1"/>
  <c r="AX694" i="1"/>
  <c r="M694" i="1"/>
  <c r="EM858" i="1"/>
  <c r="DU858" i="1"/>
  <c r="DT858" i="1"/>
  <c r="DN858" i="1"/>
  <c r="DM858" i="1"/>
  <c r="DL858" i="1"/>
  <c r="DK858" i="1"/>
  <c r="DI858" i="1"/>
  <c r="DJ858" i="1" s="1"/>
  <c r="DC858" i="1"/>
  <c r="CX858" i="1"/>
  <c r="CN858" i="1"/>
  <c r="CP858" i="1" s="1"/>
  <c r="BV858" i="1"/>
  <c r="BX858" i="1" s="1"/>
  <c r="BU858" i="1"/>
  <c r="BN858" i="1"/>
  <c r="BO858" i="1" s="1"/>
  <c r="BD858" i="1"/>
  <c r="BC858" i="1"/>
  <c r="BB858" i="1"/>
  <c r="BA858" i="1"/>
  <c r="AZ858" i="1"/>
  <c r="AY858" i="1"/>
  <c r="BE858" i="1" s="1" a="1"/>
  <c r="BE858" i="1" s="1"/>
  <c r="AX858" i="1"/>
  <c r="M858" i="1"/>
  <c r="EM960" i="1"/>
  <c r="DU960" i="1"/>
  <c r="DT960" i="1"/>
  <c r="DN960" i="1"/>
  <c r="DM960" i="1"/>
  <c r="DL960" i="1"/>
  <c r="DK960" i="1"/>
  <c r="DI960" i="1"/>
  <c r="DJ960" i="1" s="1"/>
  <c r="DC960" i="1"/>
  <c r="CX960" i="1"/>
  <c r="CN960" i="1"/>
  <c r="BV960" i="1"/>
  <c r="BX960" i="1" s="1"/>
  <c r="BU960" i="1"/>
  <c r="BN960" i="1"/>
  <c r="BO960" i="1" s="1"/>
  <c r="BD960" i="1"/>
  <c r="BC960" i="1"/>
  <c r="BB960" i="1"/>
  <c r="BA960" i="1"/>
  <c r="AZ960" i="1"/>
  <c r="AY960" i="1"/>
  <c r="BE960" i="1" s="1" a="1"/>
  <c r="BE960" i="1" s="1"/>
  <c r="AX960" i="1"/>
  <c r="M960" i="1"/>
  <c r="EM903" i="1"/>
  <c r="DU903" i="1"/>
  <c r="DT903" i="1"/>
  <c r="DN903" i="1"/>
  <c r="DM903" i="1"/>
  <c r="DL903" i="1"/>
  <c r="DK903" i="1"/>
  <c r="DI903" i="1"/>
  <c r="DJ903" i="1" s="1"/>
  <c r="DC903" i="1"/>
  <c r="CX903" i="1"/>
  <c r="CN903" i="1"/>
  <c r="CO903" i="1" s="1"/>
  <c r="BV903" i="1"/>
  <c r="BX903" i="1" s="1"/>
  <c r="BU903" i="1"/>
  <c r="BN903" i="1"/>
  <c r="BO903" i="1" s="1"/>
  <c r="BD903" i="1"/>
  <c r="BC903" i="1"/>
  <c r="BB903" i="1"/>
  <c r="BA903" i="1"/>
  <c r="AZ903" i="1"/>
  <c r="AY903" i="1"/>
  <c r="BE903" i="1" s="1" a="1"/>
  <c r="BE903" i="1" s="1"/>
  <c r="AX903" i="1"/>
  <c r="M903" i="1"/>
  <c r="EM959" i="1"/>
  <c r="DU959" i="1"/>
  <c r="DT959" i="1"/>
  <c r="DN959" i="1"/>
  <c r="DM959" i="1"/>
  <c r="DL959" i="1"/>
  <c r="DK959" i="1"/>
  <c r="DI959" i="1"/>
  <c r="DJ959" i="1" s="1"/>
  <c r="DC959" i="1"/>
  <c r="CX959" i="1"/>
  <c r="CN959" i="1"/>
  <c r="CO959" i="1" s="1"/>
  <c r="BV959" i="1"/>
  <c r="BX959" i="1" s="1"/>
  <c r="BU959" i="1"/>
  <c r="BN959" i="1"/>
  <c r="BO959" i="1" s="1"/>
  <c r="BD959" i="1"/>
  <c r="BC959" i="1"/>
  <c r="BB959" i="1"/>
  <c r="BA959" i="1"/>
  <c r="AZ959" i="1"/>
  <c r="AY959" i="1"/>
  <c r="BE959" i="1" s="1" a="1"/>
  <c r="BE959" i="1" s="1"/>
  <c r="AX959" i="1"/>
  <c r="M959" i="1"/>
  <c r="EM857" i="1"/>
  <c r="DU857" i="1"/>
  <c r="DT857" i="1"/>
  <c r="DN857" i="1"/>
  <c r="DM857" i="1"/>
  <c r="DL857" i="1"/>
  <c r="DK857" i="1"/>
  <c r="DI857" i="1"/>
  <c r="DJ857" i="1" s="1"/>
  <c r="DC857" i="1"/>
  <c r="CX857" i="1"/>
  <c r="CN857" i="1"/>
  <c r="BV857" i="1"/>
  <c r="BX857" i="1" s="1"/>
  <c r="BU857" i="1"/>
  <c r="BN857" i="1"/>
  <c r="BO857" i="1" s="1"/>
  <c r="BD857" i="1"/>
  <c r="BC857" i="1"/>
  <c r="BB857" i="1"/>
  <c r="BA857" i="1"/>
  <c r="AZ857" i="1"/>
  <c r="AY857" i="1"/>
  <c r="BE857" i="1" s="1" a="1"/>
  <c r="BE857" i="1" s="1"/>
  <c r="AX857" i="1"/>
  <c r="M857" i="1"/>
  <c r="EM902" i="1"/>
  <c r="DU902" i="1"/>
  <c r="DT902" i="1"/>
  <c r="DN902" i="1"/>
  <c r="DM902" i="1"/>
  <c r="DL902" i="1"/>
  <c r="DK902" i="1"/>
  <c r="DI902" i="1"/>
  <c r="DJ902" i="1" s="1"/>
  <c r="DC902" i="1"/>
  <c r="CX902" i="1"/>
  <c r="CN902" i="1"/>
  <c r="CS902" i="1" s="1"/>
  <c r="BV902" i="1"/>
  <c r="BX902" i="1" s="1"/>
  <c r="BU902" i="1"/>
  <c r="BN902" i="1"/>
  <c r="BO902" i="1" s="1"/>
  <c r="BD902" i="1"/>
  <c r="BC902" i="1"/>
  <c r="BB902" i="1"/>
  <c r="BA902" i="1"/>
  <c r="AZ902" i="1"/>
  <c r="AY902" i="1"/>
  <c r="BE902" i="1" s="1" a="1"/>
  <c r="BE902" i="1" s="1"/>
  <c r="AX902" i="1"/>
  <c r="M902" i="1"/>
  <c r="EM856" i="1"/>
  <c r="DU856" i="1"/>
  <c r="DT856" i="1"/>
  <c r="DN856" i="1"/>
  <c r="DM856" i="1"/>
  <c r="DL856" i="1"/>
  <c r="DK856" i="1"/>
  <c r="DI856" i="1"/>
  <c r="DJ856" i="1" s="1"/>
  <c r="DC856" i="1"/>
  <c r="CX856" i="1"/>
  <c r="CN856" i="1"/>
  <c r="CO856" i="1" s="1"/>
  <c r="BV856" i="1"/>
  <c r="BX856" i="1" s="1"/>
  <c r="BU856" i="1"/>
  <c r="BN856" i="1"/>
  <c r="BO856" i="1" s="1"/>
  <c r="BD856" i="1"/>
  <c r="BC856" i="1"/>
  <c r="BB856" i="1"/>
  <c r="BA856" i="1"/>
  <c r="AZ856" i="1"/>
  <c r="AY856" i="1"/>
  <c r="BE856" i="1" s="1" a="1"/>
  <c r="BE856" i="1" s="1"/>
  <c r="AX856" i="1"/>
  <c r="M856" i="1"/>
  <c r="EM901" i="1"/>
  <c r="DU901" i="1"/>
  <c r="DT901" i="1"/>
  <c r="DN901" i="1"/>
  <c r="DM901" i="1"/>
  <c r="DL901" i="1"/>
  <c r="DK901" i="1"/>
  <c r="DI901" i="1"/>
  <c r="DJ901" i="1" s="1"/>
  <c r="DC901" i="1"/>
  <c r="CX901" i="1"/>
  <c r="CN901" i="1"/>
  <c r="BV901" i="1"/>
  <c r="BX901" i="1" s="1"/>
  <c r="BU901" i="1"/>
  <c r="BN901" i="1"/>
  <c r="BO901" i="1" s="1"/>
  <c r="BD901" i="1"/>
  <c r="BC901" i="1"/>
  <c r="BB901" i="1"/>
  <c r="BA901" i="1"/>
  <c r="AZ901" i="1"/>
  <c r="AY901" i="1"/>
  <c r="BE901" i="1" s="1" a="1"/>
  <c r="BE901" i="1" s="1"/>
  <c r="AX901" i="1"/>
  <c r="M901" i="1"/>
  <c r="EM958" i="1"/>
  <c r="DU958" i="1"/>
  <c r="DT958" i="1"/>
  <c r="DN958" i="1"/>
  <c r="DM958" i="1"/>
  <c r="DL958" i="1"/>
  <c r="DK958" i="1"/>
  <c r="DI958" i="1"/>
  <c r="DJ958" i="1" s="1"/>
  <c r="DC958" i="1"/>
  <c r="CX958" i="1"/>
  <c r="CN958" i="1"/>
  <c r="CO958" i="1" s="1"/>
  <c r="BV958" i="1"/>
  <c r="BX958" i="1" s="1"/>
  <c r="BU958" i="1"/>
  <c r="BN958" i="1"/>
  <c r="BO958" i="1" s="1"/>
  <c r="BD958" i="1"/>
  <c r="BC958" i="1"/>
  <c r="BB958" i="1"/>
  <c r="BA958" i="1"/>
  <c r="AZ958" i="1"/>
  <c r="AY958" i="1"/>
  <c r="BE958" i="1" s="1" a="1"/>
  <c r="BE958" i="1" s="1"/>
  <c r="AX958" i="1"/>
  <c r="M958" i="1"/>
  <c r="EM855" i="1"/>
  <c r="DU855" i="1"/>
  <c r="DT855" i="1"/>
  <c r="DN855" i="1"/>
  <c r="DM855" i="1"/>
  <c r="DL855" i="1"/>
  <c r="DK855" i="1"/>
  <c r="DI855" i="1"/>
  <c r="DJ855" i="1" s="1"/>
  <c r="DC855" i="1"/>
  <c r="CX855" i="1"/>
  <c r="CN855" i="1"/>
  <c r="BV855" i="1"/>
  <c r="BX855" i="1" s="1"/>
  <c r="BU855" i="1"/>
  <c r="BN855" i="1"/>
  <c r="BO855" i="1" s="1"/>
  <c r="BD855" i="1"/>
  <c r="BC855" i="1"/>
  <c r="BB855" i="1"/>
  <c r="BA855" i="1"/>
  <c r="AZ855" i="1"/>
  <c r="AY855" i="1"/>
  <c r="BE855" i="1" s="1" a="1"/>
  <c r="BE855" i="1" s="1"/>
  <c r="AX855" i="1"/>
  <c r="M855" i="1"/>
  <c r="EM900" i="1"/>
  <c r="DU900" i="1"/>
  <c r="DT900" i="1"/>
  <c r="DN900" i="1"/>
  <c r="DM900" i="1"/>
  <c r="DL900" i="1"/>
  <c r="DK900" i="1"/>
  <c r="DI900" i="1"/>
  <c r="DJ900" i="1" s="1"/>
  <c r="DC900" i="1"/>
  <c r="CX900" i="1"/>
  <c r="CN900" i="1"/>
  <c r="CS900" i="1" s="1"/>
  <c r="BV900" i="1"/>
  <c r="BX900" i="1" s="1"/>
  <c r="BU900" i="1"/>
  <c r="BN900" i="1"/>
  <c r="BO900" i="1" s="1"/>
  <c r="BD900" i="1"/>
  <c r="BC900" i="1"/>
  <c r="BB900" i="1"/>
  <c r="BA900" i="1"/>
  <c r="AZ900" i="1"/>
  <c r="AY900" i="1"/>
  <c r="BE900" i="1" s="1" a="1"/>
  <c r="BE900" i="1" s="1"/>
  <c r="AX900" i="1"/>
  <c r="M900" i="1"/>
  <c r="EM899" i="1"/>
  <c r="DU899" i="1"/>
  <c r="DT899" i="1"/>
  <c r="DN899" i="1"/>
  <c r="DM899" i="1"/>
  <c r="DL899" i="1"/>
  <c r="DK899" i="1"/>
  <c r="DI899" i="1"/>
  <c r="DJ899" i="1" s="1"/>
  <c r="DC899" i="1"/>
  <c r="CX899" i="1"/>
  <c r="CN899" i="1"/>
  <c r="BV899" i="1"/>
  <c r="BX899" i="1" s="1"/>
  <c r="BU899" i="1"/>
  <c r="BN899" i="1"/>
  <c r="BO899" i="1" s="1"/>
  <c r="BD899" i="1"/>
  <c r="BC899" i="1"/>
  <c r="BB899" i="1"/>
  <c r="BA899" i="1"/>
  <c r="AZ899" i="1"/>
  <c r="AY899" i="1"/>
  <c r="BE899" i="1" s="1" a="1"/>
  <c r="BE899" i="1" s="1"/>
  <c r="AX899" i="1"/>
  <c r="M899" i="1"/>
  <c r="EM957" i="1"/>
  <c r="DU957" i="1"/>
  <c r="DT957" i="1"/>
  <c r="DN957" i="1"/>
  <c r="DM957" i="1"/>
  <c r="DL957" i="1"/>
  <c r="DK957" i="1"/>
  <c r="DI957" i="1"/>
  <c r="DJ957" i="1" s="1"/>
  <c r="DC957" i="1"/>
  <c r="CX957" i="1"/>
  <c r="CN957" i="1"/>
  <c r="CR957" i="1" s="1"/>
  <c r="BV957" i="1"/>
  <c r="BX957" i="1" s="1"/>
  <c r="BU957" i="1"/>
  <c r="BN957" i="1"/>
  <c r="BO957" i="1" s="1"/>
  <c r="BD957" i="1"/>
  <c r="BC957" i="1"/>
  <c r="BB957" i="1"/>
  <c r="BA957" i="1"/>
  <c r="AZ957" i="1"/>
  <c r="AY957" i="1"/>
  <c r="BE957" i="1" s="1" a="1"/>
  <c r="BE957" i="1" s="1"/>
  <c r="AX957" i="1"/>
  <c r="M957" i="1"/>
  <c r="EM854" i="1"/>
  <c r="DU854" i="1"/>
  <c r="DT854" i="1"/>
  <c r="DN854" i="1"/>
  <c r="DM854" i="1"/>
  <c r="DL854" i="1"/>
  <c r="DK854" i="1"/>
  <c r="DI854" i="1"/>
  <c r="DJ854" i="1" s="1"/>
  <c r="DC854" i="1"/>
  <c r="CX854" i="1"/>
  <c r="CN854" i="1"/>
  <c r="CR854" i="1" s="1"/>
  <c r="BV854" i="1"/>
  <c r="BX854" i="1" s="1"/>
  <c r="BU854" i="1"/>
  <c r="BN854" i="1"/>
  <c r="BO854" i="1" s="1"/>
  <c r="BD854" i="1"/>
  <c r="BC854" i="1"/>
  <c r="BB854" i="1"/>
  <c r="BA854" i="1"/>
  <c r="AZ854" i="1"/>
  <c r="AY854" i="1"/>
  <c r="BE854" i="1" s="1" a="1"/>
  <c r="BE854" i="1" s="1"/>
  <c r="AX854" i="1"/>
  <c r="M854" i="1"/>
  <c r="EM956" i="1"/>
  <c r="DU956" i="1"/>
  <c r="DT956" i="1"/>
  <c r="DN956" i="1"/>
  <c r="DM956" i="1"/>
  <c r="DL956" i="1"/>
  <c r="DK956" i="1"/>
  <c r="DI956" i="1"/>
  <c r="DJ956" i="1" s="1"/>
  <c r="DC956" i="1"/>
  <c r="CX956" i="1"/>
  <c r="CN956" i="1"/>
  <c r="BV956" i="1"/>
  <c r="BX956" i="1" s="1"/>
  <c r="BU956" i="1"/>
  <c r="BN956" i="1"/>
  <c r="BO956" i="1" s="1"/>
  <c r="BD956" i="1"/>
  <c r="BC956" i="1"/>
  <c r="BB956" i="1"/>
  <c r="BA956" i="1"/>
  <c r="AZ956" i="1"/>
  <c r="AY956" i="1"/>
  <c r="BE956" i="1" s="1" a="1"/>
  <c r="BE956" i="1" s="1"/>
  <c r="AX956" i="1"/>
  <c r="M956" i="1"/>
  <c r="EM853" i="1"/>
  <c r="DU853" i="1"/>
  <c r="DT853" i="1"/>
  <c r="DN853" i="1"/>
  <c r="DM853" i="1"/>
  <c r="DL853" i="1"/>
  <c r="DK853" i="1"/>
  <c r="DI853" i="1"/>
  <c r="DJ853" i="1" s="1"/>
  <c r="DC853" i="1"/>
  <c r="CX853" i="1"/>
  <c r="CN853" i="1"/>
  <c r="BV853" i="1"/>
  <c r="BX853" i="1" s="1"/>
  <c r="BU853" i="1"/>
  <c r="BN853" i="1"/>
  <c r="BO853" i="1" s="1"/>
  <c r="BD853" i="1"/>
  <c r="BC853" i="1"/>
  <c r="BB853" i="1"/>
  <c r="BA853" i="1"/>
  <c r="AZ853" i="1"/>
  <c r="AY853" i="1"/>
  <c r="BE853" i="1" s="1" a="1"/>
  <c r="BE853" i="1" s="1"/>
  <c r="AX853" i="1"/>
  <c r="M853" i="1"/>
  <c r="EM955" i="1"/>
  <c r="DU955" i="1"/>
  <c r="DT955" i="1"/>
  <c r="DN955" i="1"/>
  <c r="DM955" i="1"/>
  <c r="DL955" i="1"/>
  <c r="DK955" i="1"/>
  <c r="DI955" i="1"/>
  <c r="DJ955" i="1" s="1"/>
  <c r="DC955" i="1"/>
  <c r="CX955" i="1"/>
  <c r="CN955" i="1"/>
  <c r="CS955" i="1" s="1"/>
  <c r="BV955" i="1"/>
  <c r="BX955" i="1" s="1"/>
  <c r="BU955" i="1"/>
  <c r="BN955" i="1"/>
  <c r="BO955" i="1" s="1"/>
  <c r="BD955" i="1"/>
  <c r="BC955" i="1"/>
  <c r="BB955" i="1"/>
  <c r="BA955" i="1"/>
  <c r="AZ955" i="1"/>
  <c r="AY955" i="1"/>
  <c r="BE955" i="1" s="1" a="1"/>
  <c r="BE955" i="1" s="1"/>
  <c r="AX955" i="1"/>
  <c r="M955" i="1"/>
  <c r="EM852" i="1"/>
  <c r="DU852" i="1"/>
  <c r="DT852" i="1"/>
  <c r="DN852" i="1"/>
  <c r="DM852" i="1"/>
  <c r="DL852" i="1"/>
  <c r="DK852" i="1"/>
  <c r="DI852" i="1"/>
  <c r="DJ852" i="1" s="1"/>
  <c r="DC852" i="1"/>
  <c r="CX852" i="1"/>
  <c r="CN852" i="1"/>
  <c r="CP852" i="1" s="1"/>
  <c r="BV852" i="1"/>
  <c r="BX852" i="1" s="1"/>
  <c r="BU852" i="1"/>
  <c r="BN852" i="1"/>
  <c r="BO852" i="1" s="1"/>
  <c r="BD852" i="1"/>
  <c r="BC852" i="1"/>
  <c r="BB852" i="1"/>
  <c r="BA852" i="1"/>
  <c r="AZ852" i="1"/>
  <c r="AY852" i="1"/>
  <c r="BE852" i="1" s="1" a="1"/>
  <c r="BE852" i="1" s="1"/>
  <c r="AX852" i="1"/>
  <c r="M852" i="1"/>
  <c r="EM954" i="1"/>
  <c r="DU954" i="1"/>
  <c r="DT954" i="1"/>
  <c r="DN954" i="1"/>
  <c r="DM954" i="1"/>
  <c r="DL954" i="1"/>
  <c r="DK954" i="1"/>
  <c r="DI954" i="1"/>
  <c r="DJ954" i="1" s="1"/>
  <c r="DC954" i="1"/>
  <c r="CX954" i="1"/>
  <c r="CN954" i="1"/>
  <c r="BV954" i="1"/>
  <c r="BX954" i="1" s="1"/>
  <c r="BU954" i="1"/>
  <c r="BN954" i="1"/>
  <c r="BO954" i="1" s="1"/>
  <c r="BD954" i="1"/>
  <c r="BC954" i="1"/>
  <c r="BB954" i="1"/>
  <c r="BA954" i="1"/>
  <c r="AZ954" i="1"/>
  <c r="AY954" i="1"/>
  <c r="BE954" i="1" s="1" a="1"/>
  <c r="BE954" i="1" s="1"/>
  <c r="AX954" i="1"/>
  <c r="M954" i="1"/>
  <c r="EM898" i="1"/>
  <c r="DU898" i="1"/>
  <c r="DT898" i="1"/>
  <c r="DN898" i="1"/>
  <c r="DM898" i="1"/>
  <c r="DL898" i="1"/>
  <c r="DK898" i="1"/>
  <c r="DI898" i="1"/>
  <c r="DJ898" i="1" s="1"/>
  <c r="DC898" i="1"/>
  <c r="CX898" i="1"/>
  <c r="CN898" i="1"/>
  <c r="CP898" i="1" s="1"/>
  <c r="BV898" i="1"/>
  <c r="BX898" i="1" s="1"/>
  <c r="BU898" i="1"/>
  <c r="BN898" i="1"/>
  <c r="BO898" i="1" s="1"/>
  <c r="BD898" i="1"/>
  <c r="BC898" i="1"/>
  <c r="BB898" i="1"/>
  <c r="BA898" i="1"/>
  <c r="AZ898" i="1"/>
  <c r="AY898" i="1"/>
  <c r="BE898" i="1" s="1" a="1"/>
  <c r="BE898" i="1" s="1"/>
  <c r="AX898" i="1"/>
  <c r="M898" i="1"/>
  <c r="EM953" i="1"/>
  <c r="DU953" i="1"/>
  <c r="DT953" i="1"/>
  <c r="DN953" i="1"/>
  <c r="DM953" i="1"/>
  <c r="DL953" i="1"/>
  <c r="DK953" i="1"/>
  <c r="DI953" i="1"/>
  <c r="DJ953" i="1" s="1"/>
  <c r="DC953" i="1"/>
  <c r="CX953" i="1"/>
  <c r="CN953" i="1"/>
  <c r="BV953" i="1"/>
  <c r="BX953" i="1" s="1"/>
  <c r="BU953" i="1"/>
  <c r="BN953" i="1"/>
  <c r="BO953" i="1" s="1"/>
  <c r="BD953" i="1"/>
  <c r="BC953" i="1"/>
  <c r="BB953" i="1"/>
  <c r="BA953" i="1"/>
  <c r="AZ953" i="1"/>
  <c r="AY953" i="1"/>
  <c r="BE953" i="1" s="1" a="1"/>
  <c r="BE953" i="1" s="1"/>
  <c r="AX953" i="1"/>
  <c r="M953" i="1"/>
  <c r="EM952" i="1"/>
  <c r="DU952" i="1"/>
  <c r="DT952" i="1"/>
  <c r="DN952" i="1"/>
  <c r="DM952" i="1"/>
  <c r="DL952" i="1"/>
  <c r="DK952" i="1"/>
  <c r="DI952" i="1"/>
  <c r="DJ952" i="1" s="1"/>
  <c r="DC952" i="1"/>
  <c r="CX952" i="1"/>
  <c r="CN952" i="1"/>
  <c r="CP952" i="1" s="1"/>
  <c r="BV952" i="1"/>
  <c r="BX952" i="1" s="1"/>
  <c r="BU952" i="1"/>
  <c r="BN952" i="1"/>
  <c r="BO952" i="1" s="1"/>
  <c r="BD952" i="1"/>
  <c r="BC952" i="1"/>
  <c r="BB952" i="1"/>
  <c r="BA952" i="1"/>
  <c r="AZ952" i="1"/>
  <c r="AY952" i="1"/>
  <c r="BE952" i="1" s="1" a="1"/>
  <c r="BE952" i="1" s="1"/>
  <c r="AX952" i="1"/>
  <c r="M952" i="1"/>
  <c r="EM851" i="1"/>
  <c r="DU851" i="1"/>
  <c r="DT851" i="1"/>
  <c r="DN851" i="1"/>
  <c r="DM851" i="1"/>
  <c r="DL851" i="1"/>
  <c r="DK851" i="1"/>
  <c r="DI851" i="1"/>
  <c r="DJ851" i="1" s="1"/>
  <c r="DC851" i="1"/>
  <c r="CX851" i="1"/>
  <c r="CN851" i="1"/>
  <c r="BV851" i="1"/>
  <c r="BX851" i="1" s="1"/>
  <c r="BU851" i="1"/>
  <c r="BN851" i="1"/>
  <c r="BO851" i="1" s="1"/>
  <c r="BD851" i="1"/>
  <c r="BC851" i="1"/>
  <c r="BB851" i="1"/>
  <c r="BA851" i="1"/>
  <c r="AZ851" i="1"/>
  <c r="AY851" i="1"/>
  <c r="BE851" i="1" s="1" a="1"/>
  <c r="BE851" i="1" s="1"/>
  <c r="AX851" i="1"/>
  <c r="M851" i="1"/>
  <c r="EM850" i="1"/>
  <c r="DU850" i="1"/>
  <c r="DT850" i="1"/>
  <c r="DN850" i="1"/>
  <c r="DM850" i="1"/>
  <c r="DL850" i="1"/>
  <c r="DK850" i="1"/>
  <c r="DI850" i="1"/>
  <c r="DJ850" i="1" s="1"/>
  <c r="DC850" i="1"/>
  <c r="CX850" i="1"/>
  <c r="CN850" i="1"/>
  <c r="BV850" i="1"/>
  <c r="BX850" i="1" s="1"/>
  <c r="BU850" i="1"/>
  <c r="BN850" i="1"/>
  <c r="BO850" i="1" s="1"/>
  <c r="BD850" i="1"/>
  <c r="BC850" i="1"/>
  <c r="BB850" i="1"/>
  <c r="BA850" i="1"/>
  <c r="AZ850" i="1"/>
  <c r="AY850" i="1"/>
  <c r="BE850" i="1" s="1" a="1"/>
  <c r="BE850" i="1" s="1"/>
  <c r="AX850" i="1"/>
  <c r="M850" i="1"/>
  <c r="EM897" i="1"/>
  <c r="DU897" i="1"/>
  <c r="DT897" i="1"/>
  <c r="DN897" i="1"/>
  <c r="DM897" i="1"/>
  <c r="DL897" i="1"/>
  <c r="DK897" i="1"/>
  <c r="DI897" i="1"/>
  <c r="DJ897" i="1" s="1"/>
  <c r="DC897" i="1"/>
  <c r="CX897" i="1"/>
  <c r="CN897" i="1"/>
  <c r="CP897" i="1" s="1"/>
  <c r="BV897" i="1"/>
  <c r="BX897" i="1" s="1"/>
  <c r="BU897" i="1"/>
  <c r="BN897" i="1"/>
  <c r="BO897" i="1" s="1"/>
  <c r="BD897" i="1"/>
  <c r="BC897" i="1"/>
  <c r="BB897" i="1"/>
  <c r="BA897" i="1"/>
  <c r="AZ897" i="1"/>
  <c r="AY897" i="1"/>
  <c r="BE897" i="1" s="1" a="1"/>
  <c r="BE897" i="1" s="1"/>
  <c r="AX897" i="1"/>
  <c r="M897" i="1"/>
  <c r="EM896" i="1"/>
  <c r="DU896" i="1"/>
  <c r="DT896" i="1"/>
  <c r="DN896" i="1"/>
  <c r="DM896" i="1"/>
  <c r="DL896" i="1"/>
  <c r="DK896" i="1"/>
  <c r="DI896" i="1"/>
  <c r="DJ896" i="1" s="1"/>
  <c r="DC896" i="1"/>
  <c r="CX896" i="1"/>
  <c r="CN896" i="1"/>
  <c r="CP896" i="1" s="1"/>
  <c r="BV896" i="1"/>
  <c r="BX896" i="1" s="1"/>
  <c r="BU896" i="1"/>
  <c r="BN896" i="1"/>
  <c r="BO896" i="1" s="1"/>
  <c r="BD896" i="1"/>
  <c r="BC896" i="1"/>
  <c r="BB896" i="1"/>
  <c r="BA896" i="1"/>
  <c r="AZ896" i="1"/>
  <c r="AY896" i="1"/>
  <c r="BE896" i="1" s="1" a="1"/>
  <c r="BE896" i="1" s="1"/>
  <c r="AX896" i="1"/>
  <c r="M896" i="1"/>
  <c r="EM895" i="1"/>
  <c r="DU895" i="1"/>
  <c r="DT895" i="1"/>
  <c r="DN895" i="1"/>
  <c r="DM895" i="1"/>
  <c r="DL895" i="1"/>
  <c r="DK895" i="1"/>
  <c r="DI895" i="1"/>
  <c r="DJ895" i="1" s="1"/>
  <c r="DC895" i="1"/>
  <c r="CX895" i="1"/>
  <c r="CN895" i="1"/>
  <c r="CO895" i="1" s="1"/>
  <c r="BV895" i="1"/>
  <c r="BX895" i="1" s="1"/>
  <c r="BU895" i="1"/>
  <c r="BN895" i="1"/>
  <c r="BO895" i="1" s="1"/>
  <c r="BD895" i="1"/>
  <c r="BC895" i="1"/>
  <c r="BB895" i="1"/>
  <c r="BA895" i="1"/>
  <c r="AZ895" i="1"/>
  <c r="AY895" i="1"/>
  <c r="BE895" i="1" s="1" a="1"/>
  <c r="BE895" i="1" s="1"/>
  <c r="AX895" i="1"/>
  <c r="M895" i="1"/>
  <c r="EM951" i="1"/>
  <c r="DU951" i="1"/>
  <c r="DT951" i="1"/>
  <c r="DN951" i="1"/>
  <c r="DM951" i="1"/>
  <c r="DL951" i="1"/>
  <c r="DK951" i="1"/>
  <c r="DI951" i="1"/>
  <c r="DJ951" i="1" s="1"/>
  <c r="DC951" i="1"/>
  <c r="CX951" i="1"/>
  <c r="CN951" i="1"/>
  <c r="BV951" i="1"/>
  <c r="BX951" i="1" s="1"/>
  <c r="BU951" i="1"/>
  <c r="BN951" i="1"/>
  <c r="BO951" i="1" s="1"/>
  <c r="BD951" i="1"/>
  <c r="BC951" i="1"/>
  <c r="BB951" i="1"/>
  <c r="BA951" i="1"/>
  <c r="AZ951" i="1"/>
  <c r="AY951" i="1"/>
  <c r="BE951" i="1" s="1" a="1"/>
  <c r="BE951" i="1" s="1"/>
  <c r="AX951" i="1"/>
  <c r="M951" i="1"/>
  <c r="EM849" i="1"/>
  <c r="DU849" i="1"/>
  <c r="DT849" i="1"/>
  <c r="DN849" i="1"/>
  <c r="DM849" i="1"/>
  <c r="DL849" i="1"/>
  <c r="DK849" i="1"/>
  <c r="DI849" i="1"/>
  <c r="DJ849" i="1" s="1"/>
  <c r="DC849" i="1"/>
  <c r="CX849" i="1"/>
  <c r="CN849" i="1"/>
  <c r="CO849" i="1" s="1"/>
  <c r="BV849" i="1"/>
  <c r="BX849" i="1" s="1"/>
  <c r="BU849" i="1"/>
  <c r="BN849" i="1"/>
  <c r="BO849" i="1" s="1"/>
  <c r="BD849" i="1"/>
  <c r="BC849" i="1"/>
  <c r="BB849" i="1"/>
  <c r="BA849" i="1"/>
  <c r="AZ849" i="1"/>
  <c r="AY849" i="1"/>
  <c r="BE849" i="1" s="1" a="1"/>
  <c r="BE849" i="1" s="1"/>
  <c r="AX849" i="1"/>
  <c r="M849" i="1"/>
  <c r="EM894" i="1"/>
  <c r="DU894" i="1"/>
  <c r="DT894" i="1"/>
  <c r="DN894" i="1"/>
  <c r="DM894" i="1"/>
  <c r="DL894" i="1"/>
  <c r="DK894" i="1"/>
  <c r="DI894" i="1"/>
  <c r="DJ894" i="1" s="1"/>
  <c r="DC894" i="1"/>
  <c r="CX894" i="1"/>
  <c r="CN894" i="1"/>
  <c r="CO894" i="1" s="1"/>
  <c r="BV894" i="1"/>
  <c r="BX894" i="1" s="1"/>
  <c r="BU894" i="1"/>
  <c r="BN894" i="1"/>
  <c r="BO894" i="1" s="1"/>
  <c r="BD894" i="1"/>
  <c r="BC894" i="1"/>
  <c r="BB894" i="1"/>
  <c r="BA894" i="1"/>
  <c r="AZ894" i="1"/>
  <c r="AY894" i="1"/>
  <c r="BE894" i="1" s="1" a="1"/>
  <c r="BE894" i="1" s="1"/>
  <c r="AX894" i="1"/>
  <c r="M894" i="1"/>
  <c r="EM893" i="1"/>
  <c r="DU893" i="1"/>
  <c r="DT893" i="1"/>
  <c r="DN893" i="1"/>
  <c r="DM893" i="1"/>
  <c r="DL893" i="1"/>
  <c r="DK893" i="1"/>
  <c r="DI893" i="1"/>
  <c r="DJ893" i="1" s="1"/>
  <c r="DC893" i="1"/>
  <c r="CX893" i="1"/>
  <c r="CN893" i="1"/>
  <c r="CR893" i="1" s="1"/>
  <c r="BV893" i="1"/>
  <c r="BX893" i="1" s="1"/>
  <c r="BU893" i="1"/>
  <c r="BN893" i="1"/>
  <c r="BO893" i="1" s="1"/>
  <c r="BD893" i="1"/>
  <c r="BC893" i="1"/>
  <c r="BB893" i="1"/>
  <c r="BA893" i="1"/>
  <c r="AZ893" i="1"/>
  <c r="AY893" i="1"/>
  <c r="BE893" i="1" s="1" a="1"/>
  <c r="BE893" i="1" s="1"/>
  <c r="AX893" i="1"/>
  <c r="M893" i="1"/>
  <c r="EM848" i="1"/>
  <c r="DU848" i="1"/>
  <c r="DT848" i="1"/>
  <c r="DN848" i="1"/>
  <c r="DM848" i="1"/>
  <c r="DL848" i="1"/>
  <c r="DK848" i="1"/>
  <c r="DI848" i="1"/>
  <c r="DJ848" i="1" s="1"/>
  <c r="DC848" i="1"/>
  <c r="CX848" i="1"/>
  <c r="CN848" i="1"/>
  <c r="BV848" i="1"/>
  <c r="BX848" i="1" s="1"/>
  <c r="BU848" i="1"/>
  <c r="BN848" i="1"/>
  <c r="BO848" i="1" s="1"/>
  <c r="BD848" i="1"/>
  <c r="BC848" i="1"/>
  <c r="BB848" i="1"/>
  <c r="BA848" i="1"/>
  <c r="AZ848" i="1"/>
  <c r="AY848" i="1"/>
  <c r="BE848" i="1" s="1" a="1"/>
  <c r="BE848" i="1" s="1"/>
  <c r="AX848" i="1"/>
  <c r="M848" i="1"/>
  <c r="EM847" i="1"/>
  <c r="DU847" i="1"/>
  <c r="DT847" i="1"/>
  <c r="DN847" i="1"/>
  <c r="DM847" i="1"/>
  <c r="DL847" i="1"/>
  <c r="DK847" i="1"/>
  <c r="DI847" i="1"/>
  <c r="DJ847" i="1" s="1"/>
  <c r="DC847" i="1"/>
  <c r="CX847" i="1"/>
  <c r="CN847" i="1"/>
  <c r="CR847" i="1" s="1"/>
  <c r="BV847" i="1"/>
  <c r="BX847" i="1" s="1"/>
  <c r="BU847" i="1"/>
  <c r="BN847" i="1"/>
  <c r="BO847" i="1" s="1"/>
  <c r="BD847" i="1"/>
  <c r="BC847" i="1"/>
  <c r="BB847" i="1"/>
  <c r="BA847" i="1"/>
  <c r="AZ847" i="1"/>
  <c r="AY847" i="1"/>
  <c r="BE847" i="1" s="1" a="1"/>
  <c r="BE847" i="1" s="1"/>
  <c r="AX847" i="1"/>
  <c r="M847" i="1"/>
  <c r="EM950" i="1"/>
  <c r="DU950" i="1"/>
  <c r="DT950" i="1"/>
  <c r="DN950" i="1"/>
  <c r="DM950" i="1"/>
  <c r="DL950" i="1"/>
  <c r="DK950" i="1"/>
  <c r="DI950" i="1"/>
  <c r="DJ950" i="1" s="1"/>
  <c r="DC950" i="1"/>
  <c r="CX950" i="1"/>
  <c r="CN950" i="1"/>
  <c r="CR950" i="1" s="1"/>
  <c r="BV950" i="1"/>
  <c r="BX950" i="1" s="1"/>
  <c r="BU950" i="1"/>
  <c r="BN950" i="1"/>
  <c r="BO950" i="1" s="1"/>
  <c r="BD950" i="1"/>
  <c r="BC950" i="1"/>
  <c r="BB950" i="1"/>
  <c r="BA950" i="1"/>
  <c r="AZ950" i="1"/>
  <c r="AY950" i="1"/>
  <c r="BE950" i="1" s="1" a="1"/>
  <c r="BE950" i="1" s="1"/>
  <c r="AX950" i="1"/>
  <c r="M950" i="1"/>
  <c r="EM949" i="1"/>
  <c r="DU949" i="1"/>
  <c r="DT949" i="1"/>
  <c r="DN949" i="1"/>
  <c r="DM949" i="1"/>
  <c r="DL949" i="1"/>
  <c r="DK949" i="1"/>
  <c r="DI949" i="1"/>
  <c r="DJ949" i="1" s="1"/>
  <c r="DC949" i="1"/>
  <c r="CX949" i="1"/>
  <c r="CN949" i="1"/>
  <c r="CS949" i="1" s="1"/>
  <c r="BV949" i="1"/>
  <c r="BX949" i="1" s="1"/>
  <c r="BU949" i="1"/>
  <c r="BN949" i="1"/>
  <c r="BO949" i="1" s="1"/>
  <c r="BD949" i="1"/>
  <c r="BC949" i="1"/>
  <c r="BB949" i="1"/>
  <c r="BA949" i="1"/>
  <c r="AZ949" i="1"/>
  <c r="AY949" i="1"/>
  <c r="BE949" i="1" s="1" a="1"/>
  <c r="BE949" i="1" s="1"/>
  <c r="AX949" i="1"/>
  <c r="M949" i="1"/>
  <c r="EM428" i="1"/>
  <c r="DC428" i="1"/>
  <c r="CX428" i="1"/>
  <c r="CN428" i="1"/>
  <c r="CS428" i="1" s="1"/>
  <c r="BV428" i="1"/>
  <c r="BX428" i="1" s="1"/>
  <c r="BU428" i="1"/>
  <c r="BN428" i="1"/>
  <c r="BO428" i="1" s="1"/>
  <c r="BD428" i="1"/>
  <c r="BC428" i="1"/>
  <c r="BB428" i="1"/>
  <c r="BA428" i="1"/>
  <c r="AZ428" i="1"/>
  <c r="AY428" i="1"/>
  <c r="BE428" i="1" s="1" a="1"/>
  <c r="BE428" i="1" s="1"/>
  <c r="AX428" i="1"/>
  <c r="EM490" i="1"/>
  <c r="DC490" i="1"/>
  <c r="CX490" i="1"/>
  <c r="CN490" i="1"/>
  <c r="CS490" i="1" s="1"/>
  <c r="BV490" i="1"/>
  <c r="BX490" i="1" s="1"/>
  <c r="BU490" i="1"/>
  <c r="BN490" i="1"/>
  <c r="BO490" i="1" s="1"/>
  <c r="BD490" i="1"/>
  <c r="BC490" i="1"/>
  <c r="BB490" i="1"/>
  <c r="BA490" i="1"/>
  <c r="AZ490" i="1"/>
  <c r="BF490" i="1" s="1" a="1"/>
  <c r="BF490" i="1" s="1"/>
  <c r="AY490" i="1"/>
  <c r="BE490" i="1" s="1" a="1"/>
  <c r="BE490" i="1" s="1"/>
  <c r="AX490" i="1"/>
  <c r="EM142" i="1"/>
  <c r="DU142" i="1"/>
  <c r="DT142" i="1"/>
  <c r="DN142" i="1"/>
  <c r="DM142" i="1"/>
  <c r="DL142" i="1"/>
  <c r="DK142" i="1"/>
  <c r="DI142" i="1"/>
  <c r="DJ142" i="1" s="1"/>
  <c r="DC142" i="1"/>
  <c r="CX142" i="1"/>
  <c r="CN142" i="1"/>
  <c r="CP142" i="1" s="1"/>
  <c r="BV142" i="1"/>
  <c r="BX142" i="1" s="1"/>
  <c r="BU142" i="1"/>
  <c r="BN142" i="1"/>
  <c r="BO142" i="1" s="1"/>
  <c r="BM142" i="1"/>
  <c r="BD142" i="1"/>
  <c r="BC142" i="1"/>
  <c r="BB142" i="1"/>
  <c r="BA142" i="1"/>
  <c r="AZ142" i="1"/>
  <c r="AY142" i="1"/>
  <c r="AX142" i="1"/>
  <c r="M142" i="1"/>
  <c r="EM141" i="1"/>
  <c r="DU141" i="1"/>
  <c r="DT141" i="1"/>
  <c r="DN141" i="1"/>
  <c r="DM141" i="1"/>
  <c r="DL141" i="1"/>
  <c r="DK141" i="1"/>
  <c r="DI141" i="1"/>
  <c r="DJ141" i="1" s="1"/>
  <c r="DC141" i="1"/>
  <c r="CX141" i="1"/>
  <c r="CN141" i="1"/>
  <c r="CP141" i="1" s="1"/>
  <c r="BV141" i="1"/>
  <c r="BX141" i="1" s="1"/>
  <c r="BU141" i="1"/>
  <c r="BN141" i="1"/>
  <c r="BO141" i="1" s="1"/>
  <c r="BM141" i="1"/>
  <c r="BD141" i="1"/>
  <c r="BC141" i="1"/>
  <c r="BB141" i="1"/>
  <c r="BA141" i="1"/>
  <c r="AZ141" i="1"/>
  <c r="AY141" i="1"/>
  <c r="AX141" i="1"/>
  <c r="M141" i="1"/>
  <c r="EM88" i="1"/>
  <c r="DU88" i="1"/>
  <c r="DT88" i="1"/>
  <c r="DN88" i="1"/>
  <c r="DM88" i="1"/>
  <c r="DL88" i="1"/>
  <c r="DK88" i="1"/>
  <c r="DI88" i="1"/>
  <c r="DJ88" i="1" s="1"/>
  <c r="DC88" i="1"/>
  <c r="CX88" i="1"/>
  <c r="CN88" i="1"/>
  <c r="CP88" i="1" s="1"/>
  <c r="BV88" i="1"/>
  <c r="BX88" i="1" s="1"/>
  <c r="BU88" i="1"/>
  <c r="BN88" i="1"/>
  <c r="BO88" i="1" s="1"/>
  <c r="BM88" i="1"/>
  <c r="BD88" i="1"/>
  <c r="BC88" i="1"/>
  <c r="BB88" i="1"/>
  <c r="BA88" i="1"/>
  <c r="AZ88" i="1"/>
  <c r="AY88" i="1"/>
  <c r="AX88" i="1"/>
  <c r="M88" i="1"/>
  <c r="EM90" i="1"/>
  <c r="DU90" i="1"/>
  <c r="DT90" i="1"/>
  <c r="DN90" i="1"/>
  <c r="DM90" i="1"/>
  <c r="DL90" i="1"/>
  <c r="DK90" i="1"/>
  <c r="DI90" i="1"/>
  <c r="DJ90" i="1" s="1"/>
  <c r="DC90" i="1"/>
  <c r="CX90" i="1"/>
  <c r="CN90" i="1"/>
  <c r="BV90" i="1"/>
  <c r="BX90" i="1" s="1"/>
  <c r="BU90" i="1"/>
  <c r="BN90" i="1"/>
  <c r="BO90" i="1" s="1"/>
  <c r="BM90" i="1"/>
  <c r="BD90" i="1"/>
  <c r="BC90" i="1"/>
  <c r="BB90" i="1"/>
  <c r="BA90" i="1"/>
  <c r="AZ90" i="1"/>
  <c r="AY90" i="1"/>
  <c r="AX90" i="1"/>
  <c r="M90" i="1"/>
  <c r="EM87" i="1"/>
  <c r="DU87" i="1"/>
  <c r="DT87" i="1"/>
  <c r="DN87" i="1"/>
  <c r="DM87" i="1"/>
  <c r="DL87" i="1"/>
  <c r="DK87" i="1"/>
  <c r="DI87" i="1"/>
  <c r="DJ87" i="1" s="1"/>
  <c r="DC87" i="1"/>
  <c r="CX87" i="1"/>
  <c r="CN87" i="1"/>
  <c r="BV87" i="1"/>
  <c r="BX87" i="1" s="1"/>
  <c r="BU87" i="1"/>
  <c r="BN87" i="1"/>
  <c r="BO87" i="1" s="1"/>
  <c r="BM87" i="1"/>
  <c r="BD87" i="1"/>
  <c r="BC87" i="1"/>
  <c r="BB87" i="1"/>
  <c r="BA87" i="1"/>
  <c r="AZ87" i="1"/>
  <c r="AY87" i="1"/>
  <c r="AX87" i="1"/>
  <c r="M87" i="1"/>
  <c r="EM89" i="1"/>
  <c r="DU89" i="1"/>
  <c r="DT89" i="1"/>
  <c r="DN89" i="1"/>
  <c r="DM89" i="1"/>
  <c r="DL89" i="1"/>
  <c r="DK89" i="1"/>
  <c r="DI89" i="1"/>
  <c r="DJ89" i="1" s="1"/>
  <c r="DC89" i="1"/>
  <c r="CX89" i="1"/>
  <c r="CN89" i="1"/>
  <c r="BV89" i="1"/>
  <c r="BX89" i="1" s="1"/>
  <c r="BU89" i="1"/>
  <c r="BN89" i="1"/>
  <c r="BO89" i="1" s="1"/>
  <c r="BM89" i="1"/>
  <c r="BD89" i="1"/>
  <c r="BC89" i="1"/>
  <c r="BB89" i="1"/>
  <c r="BA89" i="1"/>
  <c r="AZ89" i="1"/>
  <c r="AY89" i="1"/>
  <c r="AX89" i="1"/>
  <c r="M89" i="1"/>
  <c r="EM736" i="1"/>
  <c r="DU736" i="1"/>
  <c r="DT736" i="1"/>
  <c r="DN736" i="1"/>
  <c r="DM736" i="1"/>
  <c r="DL736" i="1"/>
  <c r="DK736" i="1"/>
  <c r="DI736" i="1"/>
  <c r="DJ736" i="1" s="1"/>
  <c r="DC736" i="1"/>
  <c r="CX736" i="1"/>
  <c r="CN736" i="1"/>
  <c r="CP736" i="1" s="1"/>
  <c r="BV736" i="1"/>
  <c r="BX736" i="1" s="1"/>
  <c r="BU736" i="1"/>
  <c r="BN736" i="1"/>
  <c r="BO736" i="1" s="1"/>
  <c r="BM736" i="1"/>
  <c r="BD736" i="1"/>
  <c r="BC736" i="1"/>
  <c r="BB736" i="1"/>
  <c r="BA736" i="1"/>
  <c r="AZ736" i="1"/>
  <c r="BF736" i="1" s="1" a="1"/>
  <c r="BF736" i="1" s="1"/>
  <c r="AY736" i="1"/>
  <c r="BE736" i="1" s="1" a="1"/>
  <c r="BE736" i="1" s="1"/>
  <c r="AX736" i="1"/>
  <c r="M736" i="1"/>
  <c r="EM735" i="1"/>
  <c r="DU735" i="1"/>
  <c r="DT735" i="1"/>
  <c r="DN735" i="1"/>
  <c r="DM735" i="1"/>
  <c r="DL735" i="1"/>
  <c r="DK735" i="1"/>
  <c r="DI735" i="1"/>
  <c r="DJ735" i="1" s="1"/>
  <c r="DC735" i="1"/>
  <c r="CX735" i="1"/>
  <c r="CN735" i="1"/>
  <c r="CP735" i="1" s="1"/>
  <c r="BV735" i="1"/>
  <c r="BX735" i="1" s="1"/>
  <c r="BU735" i="1"/>
  <c r="BN735" i="1"/>
  <c r="BO735" i="1" s="1"/>
  <c r="BM735" i="1"/>
  <c r="BD735" i="1"/>
  <c r="BC735" i="1"/>
  <c r="BB735" i="1"/>
  <c r="BA735" i="1"/>
  <c r="AZ735" i="1"/>
  <c r="AY735" i="1"/>
  <c r="BE735" i="1" s="1" a="1"/>
  <c r="BE735" i="1" s="1"/>
  <c r="AX735" i="1"/>
  <c r="M735" i="1"/>
  <c r="EM734" i="1"/>
  <c r="DU734" i="1"/>
  <c r="DT734" i="1"/>
  <c r="DN734" i="1"/>
  <c r="DM734" i="1"/>
  <c r="DL734" i="1"/>
  <c r="DK734" i="1"/>
  <c r="DI734" i="1"/>
  <c r="DJ734" i="1" s="1"/>
  <c r="DC734" i="1"/>
  <c r="CX734" i="1"/>
  <c r="CN734" i="1"/>
  <c r="BV734" i="1"/>
  <c r="BX734" i="1" s="1"/>
  <c r="BU734" i="1"/>
  <c r="BN734" i="1"/>
  <c r="BO734" i="1" s="1"/>
  <c r="BM734" i="1"/>
  <c r="BD734" i="1"/>
  <c r="BC734" i="1"/>
  <c r="BB734" i="1"/>
  <c r="BA734" i="1"/>
  <c r="AZ734" i="1"/>
  <c r="AY734" i="1"/>
  <c r="BE734" i="1" s="1" a="1"/>
  <c r="BE734" i="1" s="1"/>
  <c r="AX734" i="1"/>
  <c r="M734" i="1"/>
  <c r="EM674" i="1"/>
  <c r="DU674" i="1"/>
  <c r="DT674" i="1"/>
  <c r="DN674" i="1"/>
  <c r="DM674" i="1"/>
  <c r="DL674" i="1"/>
  <c r="DK674" i="1"/>
  <c r="DI674" i="1"/>
  <c r="DJ674" i="1" s="1"/>
  <c r="DC674" i="1"/>
  <c r="CX674" i="1"/>
  <c r="CN674" i="1"/>
  <c r="BV674" i="1"/>
  <c r="BX674" i="1" s="1"/>
  <c r="BU674" i="1"/>
  <c r="BN674" i="1"/>
  <c r="BO674" i="1" s="1"/>
  <c r="BM674" i="1"/>
  <c r="BD674" i="1"/>
  <c r="BC674" i="1"/>
  <c r="BB674" i="1"/>
  <c r="BA674" i="1"/>
  <c r="AZ674" i="1"/>
  <c r="AY674" i="1"/>
  <c r="BE674" i="1" s="1" a="1"/>
  <c r="BE674" i="1" s="1"/>
  <c r="AX674" i="1"/>
  <c r="M674" i="1"/>
  <c r="EM733" i="1"/>
  <c r="DU733" i="1"/>
  <c r="DT733" i="1"/>
  <c r="DN733" i="1"/>
  <c r="DM733" i="1"/>
  <c r="DL733" i="1"/>
  <c r="DK733" i="1"/>
  <c r="DI733" i="1"/>
  <c r="DJ733" i="1" s="1"/>
  <c r="DC733" i="1"/>
  <c r="CX733" i="1"/>
  <c r="CN733" i="1"/>
  <c r="BV733" i="1"/>
  <c r="BX733" i="1" s="1"/>
  <c r="BU733" i="1"/>
  <c r="BN733" i="1"/>
  <c r="BO733" i="1" s="1"/>
  <c r="BM733" i="1"/>
  <c r="BD733" i="1"/>
  <c r="BC733" i="1"/>
  <c r="BB733" i="1"/>
  <c r="BA733" i="1"/>
  <c r="AZ733" i="1"/>
  <c r="AY733" i="1"/>
  <c r="BE733" i="1" s="1" a="1"/>
  <c r="BE733" i="1" s="1"/>
  <c r="AX733" i="1"/>
  <c r="M733" i="1"/>
  <c r="EM673" i="1"/>
  <c r="DU673" i="1"/>
  <c r="DT673" i="1"/>
  <c r="DN673" i="1"/>
  <c r="DM673" i="1"/>
  <c r="DL673" i="1"/>
  <c r="DK673" i="1"/>
  <c r="DI673" i="1"/>
  <c r="DJ673" i="1" s="1"/>
  <c r="DC673" i="1"/>
  <c r="CX673" i="1"/>
  <c r="CN673" i="1"/>
  <c r="BV673" i="1"/>
  <c r="BX673" i="1" s="1"/>
  <c r="BU673" i="1"/>
  <c r="BN673" i="1"/>
  <c r="BO673" i="1" s="1"/>
  <c r="BM673" i="1"/>
  <c r="BD673" i="1"/>
  <c r="BC673" i="1"/>
  <c r="BB673" i="1"/>
  <c r="BA673" i="1"/>
  <c r="AZ673" i="1"/>
  <c r="AY673" i="1"/>
  <c r="BE673" i="1" s="1" a="1"/>
  <c r="BE673" i="1" s="1"/>
  <c r="AX673" i="1"/>
  <c r="M673" i="1"/>
  <c r="EM693" i="1"/>
  <c r="DU693" i="1"/>
  <c r="DT693" i="1"/>
  <c r="DN693" i="1"/>
  <c r="DM693" i="1"/>
  <c r="DL693" i="1"/>
  <c r="DK693" i="1"/>
  <c r="DI693" i="1"/>
  <c r="DJ693" i="1" s="1"/>
  <c r="DC693" i="1"/>
  <c r="CX693" i="1"/>
  <c r="CN693" i="1"/>
  <c r="CP693" i="1" s="1"/>
  <c r="BV693" i="1"/>
  <c r="BX693" i="1" s="1"/>
  <c r="BU693" i="1"/>
  <c r="BN693" i="1"/>
  <c r="BO693" i="1" s="1"/>
  <c r="BM693" i="1"/>
  <c r="BD693" i="1"/>
  <c r="BC693" i="1"/>
  <c r="BB693" i="1"/>
  <c r="BA693" i="1"/>
  <c r="AZ693" i="1"/>
  <c r="AY693" i="1"/>
  <c r="BE693" i="1" s="1" a="1"/>
  <c r="BE693" i="1" s="1"/>
  <c r="AX693" i="1"/>
  <c r="M693" i="1"/>
  <c r="EM672" i="1"/>
  <c r="DU672" i="1"/>
  <c r="DT672" i="1"/>
  <c r="DN672" i="1"/>
  <c r="DM672" i="1"/>
  <c r="DL672" i="1"/>
  <c r="DK672" i="1"/>
  <c r="DI672" i="1"/>
  <c r="DJ672" i="1" s="1"/>
  <c r="DC672" i="1"/>
  <c r="CX672" i="1"/>
  <c r="CN672" i="1"/>
  <c r="CP672" i="1" s="1"/>
  <c r="BV672" i="1"/>
  <c r="BX672" i="1" s="1"/>
  <c r="BU672" i="1"/>
  <c r="BN672" i="1"/>
  <c r="BO672" i="1" s="1"/>
  <c r="BM672" i="1"/>
  <c r="BD672" i="1"/>
  <c r="BC672" i="1"/>
  <c r="BB672" i="1"/>
  <c r="BA672" i="1"/>
  <c r="AZ672" i="1"/>
  <c r="AY672" i="1"/>
  <c r="BE672" i="1" s="1" a="1"/>
  <c r="BE672" i="1" s="1"/>
  <c r="AX672" i="1"/>
  <c r="M672" i="1"/>
  <c r="EM671" i="1"/>
  <c r="DU671" i="1"/>
  <c r="DT671" i="1"/>
  <c r="DN671" i="1"/>
  <c r="DM671" i="1"/>
  <c r="DL671" i="1"/>
  <c r="DK671" i="1"/>
  <c r="DI671" i="1"/>
  <c r="DJ671" i="1" s="1"/>
  <c r="DC671" i="1"/>
  <c r="CX671" i="1"/>
  <c r="CN671" i="1"/>
  <c r="CO671" i="1" s="1"/>
  <c r="BV671" i="1"/>
  <c r="BX671" i="1" s="1"/>
  <c r="BU671" i="1"/>
  <c r="BN671" i="1"/>
  <c r="BO671" i="1" s="1"/>
  <c r="BM671" i="1"/>
  <c r="BD671" i="1"/>
  <c r="BC671" i="1"/>
  <c r="BB671" i="1"/>
  <c r="BA671" i="1"/>
  <c r="AZ671" i="1"/>
  <c r="BF671" i="1" s="1" a="1"/>
  <c r="BF671" i="1" s="1"/>
  <c r="AY671" i="1"/>
  <c r="BE671" i="1" s="1" a="1"/>
  <c r="BE671" i="1" s="1"/>
  <c r="AX671" i="1"/>
  <c r="M671" i="1"/>
  <c r="EM692" i="1"/>
  <c r="DU692" i="1"/>
  <c r="DT692" i="1"/>
  <c r="DN692" i="1"/>
  <c r="DM692" i="1"/>
  <c r="DL692" i="1"/>
  <c r="DK692" i="1"/>
  <c r="DI692" i="1"/>
  <c r="DJ692" i="1" s="1"/>
  <c r="DC692" i="1"/>
  <c r="CX692" i="1"/>
  <c r="CN692" i="1"/>
  <c r="BV692" i="1"/>
  <c r="BX692" i="1" s="1"/>
  <c r="BU692" i="1"/>
  <c r="BN692" i="1"/>
  <c r="BO692" i="1" s="1"/>
  <c r="BM692" i="1"/>
  <c r="BD692" i="1"/>
  <c r="BC692" i="1"/>
  <c r="BB692" i="1"/>
  <c r="BA692" i="1"/>
  <c r="AZ692" i="1"/>
  <c r="AY692" i="1"/>
  <c r="BE692" i="1" s="1" a="1"/>
  <c r="BE692" i="1" s="1"/>
  <c r="AX692" i="1"/>
  <c r="M692" i="1"/>
  <c r="EM691" i="1"/>
  <c r="DU691" i="1"/>
  <c r="DT691" i="1"/>
  <c r="DN691" i="1"/>
  <c r="DM691" i="1"/>
  <c r="DL691" i="1"/>
  <c r="DK691" i="1"/>
  <c r="DI691" i="1"/>
  <c r="DJ691" i="1" s="1"/>
  <c r="DC691" i="1"/>
  <c r="CX691" i="1"/>
  <c r="CN691" i="1"/>
  <c r="CP691" i="1" s="1"/>
  <c r="BV691" i="1"/>
  <c r="BX691" i="1" s="1"/>
  <c r="BU691" i="1"/>
  <c r="BN691" i="1"/>
  <c r="BO691" i="1" s="1"/>
  <c r="BM691" i="1"/>
  <c r="BD691" i="1"/>
  <c r="BC691" i="1"/>
  <c r="BB691" i="1"/>
  <c r="BA691" i="1"/>
  <c r="AZ691" i="1"/>
  <c r="AY691" i="1"/>
  <c r="BE691" i="1" s="1" a="1"/>
  <c r="BE691" i="1" s="1"/>
  <c r="AX691" i="1"/>
  <c r="M691" i="1"/>
  <c r="EM690" i="1"/>
  <c r="DU690" i="1"/>
  <c r="DT690" i="1"/>
  <c r="DN690" i="1"/>
  <c r="DM690" i="1"/>
  <c r="DL690" i="1"/>
  <c r="DK690" i="1"/>
  <c r="DI690" i="1"/>
  <c r="DJ690" i="1" s="1"/>
  <c r="DC690" i="1"/>
  <c r="CX690" i="1"/>
  <c r="CN690" i="1"/>
  <c r="CP690" i="1" s="1"/>
  <c r="BV690" i="1"/>
  <c r="BX690" i="1" s="1"/>
  <c r="BU690" i="1"/>
  <c r="BN690" i="1"/>
  <c r="BO690" i="1" s="1"/>
  <c r="BM690" i="1"/>
  <c r="BD690" i="1"/>
  <c r="BC690" i="1"/>
  <c r="BB690" i="1"/>
  <c r="BA690" i="1"/>
  <c r="AZ690" i="1"/>
  <c r="AY690" i="1"/>
  <c r="BE690" i="1" s="1" a="1"/>
  <c r="BE690" i="1" s="1"/>
  <c r="AX690" i="1"/>
  <c r="M690" i="1"/>
  <c r="EM732" i="1"/>
  <c r="DU732" i="1"/>
  <c r="DT732" i="1"/>
  <c r="DN732" i="1"/>
  <c r="DM732" i="1"/>
  <c r="DL732" i="1"/>
  <c r="DK732" i="1"/>
  <c r="DI732" i="1"/>
  <c r="DJ732" i="1" s="1"/>
  <c r="DC732" i="1"/>
  <c r="CX732" i="1"/>
  <c r="CN732" i="1"/>
  <c r="CO732" i="1" s="1"/>
  <c r="BV732" i="1"/>
  <c r="BX732" i="1" s="1"/>
  <c r="BU732" i="1"/>
  <c r="BN732" i="1"/>
  <c r="BO732" i="1" s="1"/>
  <c r="BM732" i="1"/>
  <c r="BD732" i="1"/>
  <c r="BC732" i="1"/>
  <c r="BB732" i="1"/>
  <c r="BA732" i="1"/>
  <c r="AZ732" i="1"/>
  <c r="AY732" i="1"/>
  <c r="BE732" i="1" s="1" a="1"/>
  <c r="BE732" i="1" s="1"/>
  <c r="AX732" i="1"/>
  <c r="M732" i="1"/>
  <c r="EM670" i="1"/>
  <c r="DU670" i="1"/>
  <c r="DT670" i="1"/>
  <c r="DN670" i="1"/>
  <c r="DM670" i="1"/>
  <c r="DL670" i="1"/>
  <c r="DK670" i="1"/>
  <c r="DI670" i="1"/>
  <c r="DJ670" i="1" s="1"/>
  <c r="DC670" i="1"/>
  <c r="CX670" i="1"/>
  <c r="CN670" i="1"/>
  <c r="CP670" i="1" s="1"/>
  <c r="BV670" i="1"/>
  <c r="BX670" i="1" s="1"/>
  <c r="BU670" i="1"/>
  <c r="BN670" i="1"/>
  <c r="BO670" i="1" s="1"/>
  <c r="BM670" i="1"/>
  <c r="BD670" i="1"/>
  <c r="BC670" i="1"/>
  <c r="BB670" i="1"/>
  <c r="BA670" i="1"/>
  <c r="AZ670" i="1"/>
  <c r="AY670" i="1"/>
  <c r="BE670" i="1" s="1" a="1"/>
  <c r="BE670" i="1" s="1"/>
  <c r="AX670" i="1"/>
  <c r="M670" i="1"/>
  <c r="EM689" i="1"/>
  <c r="DU689" i="1"/>
  <c r="DT689" i="1"/>
  <c r="DN689" i="1"/>
  <c r="DM689" i="1"/>
  <c r="DL689" i="1"/>
  <c r="DK689" i="1"/>
  <c r="DI689" i="1"/>
  <c r="DJ689" i="1" s="1"/>
  <c r="DC689" i="1"/>
  <c r="CX689" i="1"/>
  <c r="CN689" i="1"/>
  <c r="CO689" i="1" s="1"/>
  <c r="BV689" i="1"/>
  <c r="BX689" i="1" s="1"/>
  <c r="BU689" i="1"/>
  <c r="BN689" i="1"/>
  <c r="BO689" i="1" s="1"/>
  <c r="BM689" i="1"/>
  <c r="BD689" i="1"/>
  <c r="BC689" i="1"/>
  <c r="BB689" i="1"/>
  <c r="BA689" i="1"/>
  <c r="AZ689" i="1"/>
  <c r="AY689" i="1"/>
  <c r="BE689" i="1" s="1" a="1"/>
  <c r="BE689" i="1" s="1"/>
  <c r="AX689" i="1"/>
  <c r="M689" i="1"/>
  <c r="EM892" i="1"/>
  <c r="DU892" i="1"/>
  <c r="DT892" i="1"/>
  <c r="DN892" i="1"/>
  <c r="DM892" i="1"/>
  <c r="DL892" i="1"/>
  <c r="DK892" i="1"/>
  <c r="DI892" i="1"/>
  <c r="DJ892" i="1" s="1"/>
  <c r="DC892" i="1"/>
  <c r="CX892" i="1"/>
  <c r="CN892" i="1"/>
  <c r="BV892" i="1"/>
  <c r="BX892" i="1" s="1"/>
  <c r="BU892" i="1"/>
  <c r="BN892" i="1"/>
  <c r="BO892" i="1" s="1"/>
  <c r="BD892" i="1"/>
  <c r="BC892" i="1"/>
  <c r="BB892" i="1"/>
  <c r="BA892" i="1"/>
  <c r="AZ892" i="1"/>
  <c r="BF892" i="1" s="1" a="1"/>
  <c r="BF892" i="1" s="1"/>
  <c r="AY892" i="1"/>
  <c r="BE892" i="1" s="1" a="1"/>
  <c r="BE892" i="1" s="1"/>
  <c r="AX892" i="1"/>
  <c r="M892" i="1"/>
  <c r="EM846" i="1"/>
  <c r="DU846" i="1"/>
  <c r="DT846" i="1"/>
  <c r="DN846" i="1"/>
  <c r="DM846" i="1"/>
  <c r="DL846" i="1"/>
  <c r="DK846" i="1"/>
  <c r="DI846" i="1"/>
  <c r="DJ846" i="1" s="1"/>
  <c r="DC846" i="1"/>
  <c r="CX846" i="1"/>
  <c r="CN846" i="1"/>
  <c r="BV846" i="1"/>
  <c r="BX846" i="1" s="1"/>
  <c r="BU846" i="1"/>
  <c r="BN846" i="1"/>
  <c r="BO846" i="1" s="1"/>
  <c r="BD846" i="1"/>
  <c r="BC846" i="1"/>
  <c r="BB846" i="1"/>
  <c r="BA846" i="1"/>
  <c r="AZ846" i="1"/>
  <c r="AY846" i="1"/>
  <c r="BE846" i="1" s="1" a="1"/>
  <c r="BE846" i="1" s="1"/>
  <c r="AX846" i="1"/>
  <c r="M846" i="1"/>
  <c r="EM948" i="1"/>
  <c r="DU948" i="1"/>
  <c r="DT948" i="1"/>
  <c r="DN948" i="1"/>
  <c r="DM948" i="1"/>
  <c r="DL948" i="1"/>
  <c r="DK948" i="1"/>
  <c r="DI948" i="1"/>
  <c r="DJ948" i="1" s="1"/>
  <c r="DC948" i="1"/>
  <c r="CX948" i="1"/>
  <c r="CN948" i="1"/>
  <c r="CO948" i="1" s="1"/>
  <c r="BV948" i="1"/>
  <c r="BX948" i="1" s="1"/>
  <c r="BU948" i="1"/>
  <c r="BN948" i="1"/>
  <c r="BO948" i="1" s="1"/>
  <c r="BD948" i="1"/>
  <c r="BC948" i="1"/>
  <c r="BB948" i="1"/>
  <c r="BA948" i="1"/>
  <c r="AZ948" i="1"/>
  <c r="AY948" i="1"/>
  <c r="BE948" i="1" s="1" a="1"/>
  <c r="BE948" i="1" s="1"/>
  <c r="AX948" i="1"/>
  <c r="M948" i="1"/>
  <c r="EM947" i="1"/>
  <c r="DU947" i="1"/>
  <c r="DT947" i="1"/>
  <c r="DN947" i="1"/>
  <c r="DM947" i="1"/>
  <c r="DL947" i="1"/>
  <c r="DK947" i="1"/>
  <c r="DI947" i="1"/>
  <c r="DJ947" i="1" s="1"/>
  <c r="DC947" i="1"/>
  <c r="CX947" i="1"/>
  <c r="CN947" i="1"/>
  <c r="BV947" i="1"/>
  <c r="BX947" i="1" s="1"/>
  <c r="BU947" i="1"/>
  <c r="BN947" i="1"/>
  <c r="BO947" i="1" s="1"/>
  <c r="BD947" i="1"/>
  <c r="BC947" i="1"/>
  <c r="BB947" i="1"/>
  <c r="BA947" i="1"/>
  <c r="AZ947" i="1"/>
  <c r="AY947" i="1"/>
  <c r="BE947" i="1" s="1" a="1"/>
  <c r="BE947" i="1" s="1"/>
  <c r="AX947" i="1"/>
  <c r="M947" i="1"/>
  <c r="EM845" i="1"/>
  <c r="DU845" i="1"/>
  <c r="DT845" i="1"/>
  <c r="DN845" i="1"/>
  <c r="DM845" i="1"/>
  <c r="DL845" i="1"/>
  <c r="DK845" i="1"/>
  <c r="DI845" i="1"/>
  <c r="DJ845" i="1" s="1"/>
  <c r="DC845" i="1"/>
  <c r="CX845" i="1"/>
  <c r="CN845" i="1"/>
  <c r="CS845" i="1" s="1"/>
  <c r="BV845" i="1"/>
  <c r="BX845" i="1" s="1"/>
  <c r="BU845" i="1"/>
  <c r="BN845" i="1"/>
  <c r="BO845" i="1" s="1"/>
  <c r="BD845" i="1"/>
  <c r="BC845" i="1"/>
  <c r="BB845" i="1"/>
  <c r="BA845" i="1"/>
  <c r="AZ845" i="1"/>
  <c r="BF845" i="1" s="1" a="1"/>
  <c r="BF845" i="1" s="1"/>
  <c r="AY845" i="1"/>
  <c r="BE845" i="1" s="1" a="1"/>
  <c r="BE845" i="1" s="1"/>
  <c r="AX845" i="1"/>
  <c r="M845" i="1"/>
  <c r="EM891" i="1"/>
  <c r="DU891" i="1"/>
  <c r="DT891" i="1"/>
  <c r="DN891" i="1"/>
  <c r="DM891" i="1"/>
  <c r="DL891" i="1"/>
  <c r="DK891" i="1"/>
  <c r="DI891" i="1"/>
  <c r="DJ891" i="1" s="1"/>
  <c r="DC891" i="1"/>
  <c r="CX891" i="1"/>
  <c r="CN891" i="1"/>
  <c r="CR891" i="1" s="1"/>
  <c r="BV891" i="1"/>
  <c r="BX891" i="1" s="1"/>
  <c r="BU891" i="1"/>
  <c r="BN891" i="1"/>
  <c r="BO891" i="1" s="1"/>
  <c r="BD891" i="1"/>
  <c r="BC891" i="1"/>
  <c r="BB891" i="1"/>
  <c r="BA891" i="1"/>
  <c r="AZ891" i="1"/>
  <c r="AY891" i="1"/>
  <c r="BE891" i="1" s="1" a="1"/>
  <c r="BE891" i="1" s="1"/>
  <c r="AX891" i="1"/>
  <c r="M891" i="1"/>
  <c r="EM890" i="1"/>
  <c r="DU890" i="1"/>
  <c r="DT890" i="1"/>
  <c r="DN890" i="1"/>
  <c r="DM890" i="1"/>
  <c r="DL890" i="1"/>
  <c r="DK890" i="1"/>
  <c r="DI890" i="1"/>
  <c r="DJ890" i="1" s="1"/>
  <c r="DC890" i="1"/>
  <c r="CX890" i="1"/>
  <c r="CN890" i="1"/>
  <c r="CR890" i="1" s="1"/>
  <c r="BV890" i="1"/>
  <c r="BX890" i="1" s="1"/>
  <c r="BU890" i="1"/>
  <c r="BN890" i="1"/>
  <c r="BO890" i="1" s="1"/>
  <c r="BD890" i="1"/>
  <c r="BC890" i="1"/>
  <c r="BB890" i="1"/>
  <c r="BA890" i="1"/>
  <c r="AZ890" i="1"/>
  <c r="AY890" i="1"/>
  <c r="BE890" i="1" s="1" a="1"/>
  <c r="BE890" i="1" s="1"/>
  <c r="AX890" i="1"/>
  <c r="M890" i="1"/>
  <c r="EM844" i="1"/>
  <c r="DU844" i="1"/>
  <c r="DT844" i="1"/>
  <c r="DN844" i="1"/>
  <c r="DM844" i="1"/>
  <c r="DL844" i="1"/>
  <c r="DK844" i="1"/>
  <c r="DI844" i="1"/>
  <c r="DJ844" i="1" s="1"/>
  <c r="DC844" i="1"/>
  <c r="CX844" i="1"/>
  <c r="CN844" i="1"/>
  <c r="CR844" i="1" s="1"/>
  <c r="BV844" i="1"/>
  <c r="BX844" i="1" s="1"/>
  <c r="BU844" i="1"/>
  <c r="BN844" i="1"/>
  <c r="BO844" i="1" s="1"/>
  <c r="BD844" i="1"/>
  <c r="BC844" i="1"/>
  <c r="BB844" i="1"/>
  <c r="BA844" i="1"/>
  <c r="AZ844" i="1"/>
  <c r="AY844" i="1"/>
  <c r="BE844" i="1" s="1" a="1"/>
  <c r="BE844" i="1" s="1"/>
  <c r="AX844" i="1"/>
  <c r="M844" i="1"/>
  <c r="EM946" i="1"/>
  <c r="DU946" i="1"/>
  <c r="DT946" i="1"/>
  <c r="DN946" i="1"/>
  <c r="DM946" i="1"/>
  <c r="DL946" i="1"/>
  <c r="DK946" i="1"/>
  <c r="DI946" i="1"/>
  <c r="DJ946" i="1" s="1"/>
  <c r="DC946" i="1"/>
  <c r="CX946" i="1"/>
  <c r="CN946" i="1"/>
  <c r="CP946" i="1" s="1"/>
  <c r="BV946" i="1"/>
  <c r="BX946" i="1" s="1"/>
  <c r="BU946" i="1"/>
  <c r="BN946" i="1"/>
  <c r="BO946" i="1" s="1"/>
  <c r="BD946" i="1"/>
  <c r="BC946" i="1"/>
  <c r="BB946" i="1"/>
  <c r="BA946" i="1"/>
  <c r="AZ946" i="1"/>
  <c r="BF946" i="1" s="1" a="1"/>
  <c r="BF946" i="1" s="1"/>
  <c r="AY946" i="1"/>
  <c r="BE946" i="1" s="1" a="1"/>
  <c r="BE946" i="1" s="1"/>
  <c r="AX946" i="1"/>
  <c r="M946" i="1"/>
  <c r="EM889" i="1"/>
  <c r="DU889" i="1"/>
  <c r="DT889" i="1"/>
  <c r="DN889" i="1"/>
  <c r="DM889" i="1"/>
  <c r="DL889" i="1"/>
  <c r="DK889" i="1"/>
  <c r="DI889" i="1"/>
  <c r="DJ889" i="1" s="1"/>
  <c r="DC889" i="1"/>
  <c r="CX889" i="1"/>
  <c r="CN889" i="1"/>
  <c r="BV889" i="1"/>
  <c r="BX889" i="1" s="1"/>
  <c r="BU889" i="1"/>
  <c r="BN889" i="1"/>
  <c r="BO889" i="1" s="1"/>
  <c r="BD889" i="1"/>
  <c r="BC889" i="1"/>
  <c r="BB889" i="1"/>
  <c r="BA889" i="1"/>
  <c r="AZ889" i="1"/>
  <c r="AY889" i="1"/>
  <c r="BE889" i="1" s="1" a="1"/>
  <c r="BE889" i="1" s="1"/>
  <c r="AX889" i="1"/>
  <c r="M889" i="1"/>
  <c r="EM843" i="1"/>
  <c r="DU843" i="1"/>
  <c r="DT843" i="1"/>
  <c r="DN843" i="1"/>
  <c r="DM843" i="1"/>
  <c r="DL843" i="1"/>
  <c r="DK843" i="1"/>
  <c r="DI843" i="1"/>
  <c r="DJ843" i="1" s="1"/>
  <c r="DC843" i="1"/>
  <c r="CX843" i="1"/>
  <c r="CN843" i="1"/>
  <c r="BV843" i="1"/>
  <c r="BX843" i="1" s="1"/>
  <c r="BU843" i="1"/>
  <c r="BN843" i="1"/>
  <c r="BO843" i="1" s="1"/>
  <c r="BD843" i="1"/>
  <c r="BC843" i="1"/>
  <c r="BB843" i="1"/>
  <c r="BA843" i="1"/>
  <c r="AZ843" i="1"/>
  <c r="AY843" i="1"/>
  <c r="BE843" i="1" s="1" a="1"/>
  <c r="BE843" i="1" s="1"/>
  <c r="AX843" i="1"/>
  <c r="M843" i="1"/>
  <c r="EM945" i="1"/>
  <c r="DU945" i="1"/>
  <c r="DT945" i="1"/>
  <c r="DN945" i="1"/>
  <c r="DM945" i="1"/>
  <c r="DL945" i="1"/>
  <c r="DK945" i="1"/>
  <c r="DI945" i="1"/>
  <c r="DJ945" i="1" s="1"/>
  <c r="DC945" i="1"/>
  <c r="CX945" i="1"/>
  <c r="CN945" i="1"/>
  <c r="CR945" i="1" s="1"/>
  <c r="BV945" i="1"/>
  <c r="BX945" i="1" s="1"/>
  <c r="BU945" i="1"/>
  <c r="BN945" i="1"/>
  <c r="BO945" i="1" s="1"/>
  <c r="BD945" i="1"/>
  <c r="BC945" i="1"/>
  <c r="BB945" i="1"/>
  <c r="BA945" i="1"/>
  <c r="AZ945" i="1"/>
  <c r="AY945" i="1"/>
  <c r="BE945" i="1" s="1" a="1"/>
  <c r="BE945" i="1" s="1"/>
  <c r="AX945" i="1"/>
  <c r="M945" i="1"/>
  <c r="BF370" i="1" l="1" a="1"/>
  <c r="BF370" i="1" s="1"/>
  <c r="BF333" i="1" a="1"/>
  <c r="BF333" i="1" s="1"/>
  <c r="BF64" i="1" a="1"/>
  <c r="BF64" i="1" s="1"/>
  <c r="BF92" i="1" a="1"/>
  <c r="BF92" i="1" s="1"/>
  <c r="BF365" i="1" a="1"/>
  <c r="BF365" i="1" s="1"/>
  <c r="BF371" i="1" a="1"/>
  <c r="BF371" i="1" s="1"/>
  <c r="BF107" i="1" a="1"/>
  <c r="BF107" i="1" s="1"/>
  <c r="BF60" i="1" a="1"/>
  <c r="BF60" i="1" s="1"/>
  <c r="BF51" i="1" a="1"/>
  <c r="BF51" i="1" s="1"/>
  <c r="BF511" i="1" a="1"/>
  <c r="BF511" i="1" s="1"/>
  <c r="BF420" i="1" a="1"/>
  <c r="BF420" i="1" s="1"/>
  <c r="BF647" i="1" a="1"/>
  <c r="BF647" i="1" s="1"/>
  <c r="BF864" i="1" a="1"/>
  <c r="BF864" i="1" s="1"/>
  <c r="BF109" i="1" a="1"/>
  <c r="BF109" i="1" s="1"/>
  <c r="BF698" i="1" a="1"/>
  <c r="BF698" i="1" s="1"/>
  <c r="BF843" i="1" a="1"/>
  <c r="BF843" i="1" s="1"/>
  <c r="BF890" i="1" a="1"/>
  <c r="BF890" i="1" s="1"/>
  <c r="BF948" i="1" a="1"/>
  <c r="BF948" i="1" s="1"/>
  <c r="BF732" i="1" a="1"/>
  <c r="BF732" i="1" s="1"/>
  <c r="BF733" i="1" a="1"/>
  <c r="BF733" i="1" s="1"/>
  <c r="BF904" i="1" a="1"/>
  <c r="BF904" i="1" s="1"/>
  <c r="BF465" i="1" a="1"/>
  <c r="BF465" i="1" s="1"/>
  <c r="BF925" i="1" a="1"/>
  <c r="BF925" i="1" s="1"/>
  <c r="BF870" i="1" a="1"/>
  <c r="BF870" i="1" s="1"/>
  <c r="BF967" i="1" a="1"/>
  <c r="BF967" i="1" s="1"/>
  <c r="BF929" i="1" a="1"/>
  <c r="BF929" i="1" s="1"/>
  <c r="BF975" i="1" a="1"/>
  <c r="BF975" i="1" s="1"/>
  <c r="BF880" i="1" a="1"/>
  <c r="BF880" i="1" s="1"/>
  <c r="BF937" i="1" a="1"/>
  <c r="BF937" i="1" s="1"/>
  <c r="BF676" i="1" a="1"/>
  <c r="BF676" i="1" s="1"/>
  <c r="BF962" i="1" a="1"/>
  <c r="BF962" i="1" s="1"/>
  <c r="BF716" i="1" a="1"/>
  <c r="BF716" i="1" s="1"/>
  <c r="BF718" i="1" a="1"/>
  <c r="BF718" i="1" s="1"/>
  <c r="BF549" i="1" a="1"/>
  <c r="BF549" i="1" s="1"/>
  <c r="BF722" i="1" a="1"/>
  <c r="BF722" i="1" s="1"/>
  <c r="BF551" i="1" a="1"/>
  <c r="BF551" i="1" s="1"/>
  <c r="BF725" i="1" a="1"/>
  <c r="BF725" i="1" s="1"/>
  <c r="BF552" i="1" a="1"/>
  <c r="BF552" i="1" s="1"/>
  <c r="BF554" i="1" a="1"/>
  <c r="BF554" i="1" s="1"/>
  <c r="BF556" i="1" a="1"/>
  <c r="BF556" i="1" s="1"/>
  <c r="BF557" i="1" a="1"/>
  <c r="BF557" i="1" s="1"/>
  <c r="BF729" i="1" a="1"/>
  <c r="BF729" i="1" s="1"/>
  <c r="BF662" i="1" a="1"/>
  <c r="BF662" i="1" s="1"/>
  <c r="BF408" i="1" a="1"/>
  <c r="BF408" i="1" s="1"/>
  <c r="BF943" i="1" a="1"/>
  <c r="BF943" i="1" s="1"/>
  <c r="BF25" i="1" a="1"/>
  <c r="BF25" i="1" s="1"/>
  <c r="BF470" i="1" a="1"/>
  <c r="BF470" i="1" s="1"/>
  <c r="BF714" i="1" a="1"/>
  <c r="BF714" i="1" s="1"/>
  <c r="BF572" i="1" a="1"/>
  <c r="BF572" i="1" s="1"/>
  <c r="BF906" i="1" a="1"/>
  <c r="BF906" i="1" s="1"/>
  <c r="BF910" i="1" a="1"/>
  <c r="BF910" i="1" s="1"/>
  <c r="BF914" i="1" a="1"/>
  <c r="BF914" i="1" s="1"/>
  <c r="BF492" i="1" a="1"/>
  <c r="BF492" i="1" s="1"/>
  <c r="BF536" i="1" a="1"/>
  <c r="BF536" i="1" s="1"/>
  <c r="BF458" i="1" a="1"/>
  <c r="BF458" i="1" s="1"/>
  <c r="BF498" i="1" a="1"/>
  <c r="BF498" i="1" s="1"/>
  <c r="BF489" i="1" a="1"/>
  <c r="BF489" i="1" s="1"/>
  <c r="BF704" i="1" a="1"/>
  <c r="BF704" i="1" s="1"/>
  <c r="BF706" i="1" a="1"/>
  <c r="BF706" i="1" s="1"/>
  <c r="BF510" i="1" a="1"/>
  <c r="BF510" i="1" s="1"/>
  <c r="BF692" i="1" a="1"/>
  <c r="BF692" i="1" s="1"/>
  <c r="BF735" i="1" a="1"/>
  <c r="BF735" i="1" s="1"/>
  <c r="BF847" i="1" a="1"/>
  <c r="BF847" i="1" s="1"/>
  <c r="BF849" i="1" a="1"/>
  <c r="BF849" i="1" s="1"/>
  <c r="BF897" i="1" a="1"/>
  <c r="BF897" i="1" s="1"/>
  <c r="BF953" i="1" a="1"/>
  <c r="BF953" i="1" s="1"/>
  <c r="BF955" i="1" a="1"/>
  <c r="BF955" i="1" s="1"/>
  <c r="BF957" i="1" a="1"/>
  <c r="BF957" i="1" s="1"/>
  <c r="BF958" i="1" a="1"/>
  <c r="BF958" i="1" s="1"/>
  <c r="BF857" i="1" a="1"/>
  <c r="BF857" i="1" s="1"/>
  <c r="BF858" i="1" a="1"/>
  <c r="BF858" i="1" s="1"/>
  <c r="BF460" i="1" a="1"/>
  <c r="BF460" i="1" s="1"/>
  <c r="BF926" i="1" a="1"/>
  <c r="BF926" i="1" s="1"/>
  <c r="BF871" i="1" a="1"/>
  <c r="BF871" i="1" s="1"/>
  <c r="BF968" i="1" a="1"/>
  <c r="BF968" i="1" s="1"/>
  <c r="BF875" i="1" a="1"/>
  <c r="BF875" i="1" s="1"/>
  <c r="BF932" i="1" a="1"/>
  <c r="BF932" i="1" s="1"/>
  <c r="BF978" i="1" a="1"/>
  <c r="BF978" i="1" s="1"/>
  <c r="BF883" i="1" a="1"/>
  <c r="BF883" i="1" s="1"/>
  <c r="BF681" i="1" a="1"/>
  <c r="BF681" i="1" s="1"/>
  <c r="BF637" i="1" a="1"/>
  <c r="BF637" i="1" s="1"/>
  <c r="BF653" i="1" a="1"/>
  <c r="BF653" i="1" s="1"/>
  <c r="BF639" i="1" a="1"/>
  <c r="BF639" i="1" s="1"/>
  <c r="BF655" i="1" a="1"/>
  <c r="BF655" i="1" s="1"/>
  <c r="BF642" i="1" a="1"/>
  <c r="BF642" i="1" s="1"/>
  <c r="BF656" i="1" a="1"/>
  <c r="BF656" i="1" s="1"/>
  <c r="BF940" i="1" a="1"/>
  <c r="BF940" i="1" s="1"/>
  <c r="BF663" i="1" a="1"/>
  <c r="BF663" i="1" s="1"/>
  <c r="BF944" i="1" a="1"/>
  <c r="BF944" i="1" s="1"/>
  <c r="BF42" i="1" a="1"/>
  <c r="BF42" i="1" s="1"/>
  <c r="BF413" i="1" a="1"/>
  <c r="BF413" i="1" s="1"/>
  <c r="BF454" i="1" a="1"/>
  <c r="BF454" i="1" s="1"/>
  <c r="BF715" i="1" a="1"/>
  <c r="BF715" i="1" s="1"/>
  <c r="BF455" i="1" a="1"/>
  <c r="BF455" i="1" s="1"/>
  <c r="BF512" i="1" a="1"/>
  <c r="BF512" i="1" s="1"/>
  <c r="BF889" i="1" a="1"/>
  <c r="BF889" i="1" s="1"/>
  <c r="BF891" i="1" a="1"/>
  <c r="BF891" i="1" s="1"/>
  <c r="BF846" i="1" a="1"/>
  <c r="BF846" i="1" s="1"/>
  <c r="BF691" i="1" a="1"/>
  <c r="BF691" i="1" s="1"/>
  <c r="BF734" i="1" a="1"/>
  <c r="BF734" i="1" s="1"/>
  <c r="BF459" i="1" a="1"/>
  <c r="BF459" i="1" s="1"/>
  <c r="BF467" i="1" a="1"/>
  <c r="BF467" i="1" s="1"/>
  <c r="BF923" i="1" a="1"/>
  <c r="BF923" i="1" s="1"/>
  <c r="BF868" i="1" a="1"/>
  <c r="BF868" i="1" s="1"/>
  <c r="BF965" i="1" a="1"/>
  <c r="BF965" i="1" s="1"/>
  <c r="BF874" i="1" a="1"/>
  <c r="BF874" i="1" s="1"/>
  <c r="BF931" i="1" a="1"/>
  <c r="BF931" i="1" s="1"/>
  <c r="BF977" i="1" a="1"/>
  <c r="BF977" i="1" s="1"/>
  <c r="BF882" i="1" a="1"/>
  <c r="BF882" i="1" s="1"/>
  <c r="BF687" i="1" a="1"/>
  <c r="BF687" i="1" s="1"/>
  <c r="BF860" i="1" a="1"/>
  <c r="BF860" i="1" s="1"/>
  <c r="BF409" i="1" a="1"/>
  <c r="BF409" i="1" s="1"/>
  <c r="BF668" i="1" a="1"/>
  <c r="BF668" i="1" s="1"/>
  <c r="BF471" i="1" a="1"/>
  <c r="BF471" i="1" s="1"/>
  <c r="BF480" i="1" a="1"/>
  <c r="BF480" i="1" s="1"/>
  <c r="BF573" i="1" a="1"/>
  <c r="BF573" i="1" s="1"/>
  <c r="BF423" i="1" a="1"/>
  <c r="BF423" i="1" s="1"/>
  <c r="BF702" i="1" a="1"/>
  <c r="BF702" i="1" s="1"/>
  <c r="BF907" i="1" a="1"/>
  <c r="BF907" i="1" s="1"/>
  <c r="BF911" i="1" a="1"/>
  <c r="BF911" i="1" s="1"/>
  <c r="BF915" i="1" a="1"/>
  <c r="BF915" i="1" s="1"/>
  <c r="BF887" i="1" a="1"/>
  <c r="BF887" i="1" s="1"/>
  <c r="BF367" i="1" a="1"/>
  <c r="BF367" i="1" s="1"/>
  <c r="BF529" i="1" a="1"/>
  <c r="BF529" i="1" s="1"/>
  <c r="BF684" i="1" a="1"/>
  <c r="BF684" i="1" s="1"/>
  <c r="BF347" i="1" a="1"/>
  <c r="BF347" i="1" s="1"/>
  <c r="BF652" i="1" a="1"/>
  <c r="BF652" i="1" s="1"/>
  <c r="BF108" i="1" a="1"/>
  <c r="BF108" i="1" s="1"/>
  <c r="BE108" i="1" s="1" a="1"/>
  <c r="BE108" i="1" s="1"/>
  <c r="BF46" i="1" a="1"/>
  <c r="BF46" i="1" s="1"/>
  <c r="BF86" i="1" a="1"/>
  <c r="BF86" i="1" s="1"/>
  <c r="BF538" i="1" a="1"/>
  <c r="BF538" i="1" s="1"/>
  <c r="BF524" i="1" a="1"/>
  <c r="BF524" i="1" s="1"/>
  <c r="BF503" i="1" a="1"/>
  <c r="BF503" i="1" s="1"/>
  <c r="BF701" i="1" a="1"/>
  <c r="BF701" i="1" s="1"/>
  <c r="BF690" i="1" a="1"/>
  <c r="BF690" i="1" s="1"/>
  <c r="BF674" i="1" a="1"/>
  <c r="BF674" i="1" s="1"/>
  <c r="BF950" i="1" a="1"/>
  <c r="BF950" i="1" s="1"/>
  <c r="BF894" i="1" a="1"/>
  <c r="BF894" i="1" s="1"/>
  <c r="BF896" i="1" a="1"/>
  <c r="BF896" i="1" s="1"/>
  <c r="BF952" i="1" a="1"/>
  <c r="BF952" i="1" s="1"/>
  <c r="BF852" i="1" a="1"/>
  <c r="BF852" i="1" s="1"/>
  <c r="BF854" i="1" a="1"/>
  <c r="BF854" i="1" s="1"/>
  <c r="BF855" i="1" a="1"/>
  <c r="BF855" i="1" s="1"/>
  <c r="BF902" i="1" a="1"/>
  <c r="BF902" i="1" s="1"/>
  <c r="BF960" i="1" a="1"/>
  <c r="BF960" i="1" s="1"/>
  <c r="BF466" i="1" a="1"/>
  <c r="BF466" i="1" s="1"/>
  <c r="BF920" i="1" a="1"/>
  <c r="BF920" i="1" s="1"/>
  <c r="BF865" i="1" a="1"/>
  <c r="BF865" i="1" s="1"/>
  <c r="BF873" i="1" a="1"/>
  <c r="BF873" i="1" s="1"/>
  <c r="BF970" i="1" a="1"/>
  <c r="BF970" i="1" s="1"/>
  <c r="BF930" i="1" a="1"/>
  <c r="BF930" i="1" s="1"/>
  <c r="BF976" i="1" a="1"/>
  <c r="BF976" i="1" s="1"/>
  <c r="BF881" i="1" a="1"/>
  <c r="BF881" i="1" s="1"/>
  <c r="BF444" i="1" a="1"/>
  <c r="BF444" i="1" s="1"/>
  <c r="BF677" i="1" a="1"/>
  <c r="BF677" i="1" s="1"/>
  <c r="BF678" i="1" a="1"/>
  <c r="BF678" i="1" s="1"/>
  <c r="BF741" i="1" a="1"/>
  <c r="BF741" i="1" s="1"/>
  <c r="BF649" i="1" a="1"/>
  <c r="BF649" i="1" s="1"/>
  <c r="BF548" i="1" a="1"/>
  <c r="BF548" i="1" s="1"/>
  <c r="BF425" i="1" a="1"/>
  <c r="BF425" i="1" s="1"/>
  <c r="BF884" i="1" a="1"/>
  <c r="BF884" i="1" s="1"/>
  <c r="BF711" i="1" a="1"/>
  <c r="BF711" i="1" s="1"/>
  <c r="BF441" i="1" a="1"/>
  <c r="BF441" i="1" s="1"/>
  <c r="BF439" i="1" a="1"/>
  <c r="BF439" i="1" s="1"/>
  <c r="BF415" i="1" a="1"/>
  <c r="BF415" i="1" s="1"/>
  <c r="BF339" i="1" a="1"/>
  <c r="BF339" i="1" s="1"/>
  <c r="BF650" i="1" a="1"/>
  <c r="BF650" i="1" s="1"/>
  <c r="BF863" i="1" a="1"/>
  <c r="BF863" i="1" s="1"/>
  <c r="BF56" i="1" a="1"/>
  <c r="BF56" i="1" s="1"/>
  <c r="BF45" i="1" a="1"/>
  <c r="BF45" i="1" s="1"/>
  <c r="BF55" i="1" a="1"/>
  <c r="BF55" i="1" s="1"/>
  <c r="BE55" i="1" s="1" a="1"/>
  <c r="BE55" i="1" s="1"/>
  <c r="BF537" i="1" a="1"/>
  <c r="BF537" i="1" s="1"/>
  <c r="BE537" i="1" s="1" a="1"/>
  <c r="BE537" i="1" s="1"/>
  <c r="BF521" i="1" a="1"/>
  <c r="BF521" i="1" s="1"/>
  <c r="BF495" i="1" a="1"/>
  <c r="BF495" i="1" s="1"/>
  <c r="BF700" i="1" a="1"/>
  <c r="BF700" i="1" s="1"/>
  <c r="BF697" i="1" a="1"/>
  <c r="BF697" i="1" s="1"/>
  <c r="BF412" i="1" a="1"/>
  <c r="BF412" i="1" s="1"/>
  <c r="BF482" i="1" a="1"/>
  <c r="BF482" i="1" s="1"/>
  <c r="BF644" i="1" a="1"/>
  <c r="BF644" i="1" s="1"/>
  <c r="BF670" i="1" a="1"/>
  <c r="BF670" i="1" s="1"/>
  <c r="BF673" i="1" a="1"/>
  <c r="BF673" i="1" s="1"/>
  <c r="BF949" i="1" a="1"/>
  <c r="BF949" i="1" s="1"/>
  <c r="BF893" i="1" a="1"/>
  <c r="BF893" i="1" s="1"/>
  <c r="BF895" i="1" a="1"/>
  <c r="BF895" i="1" s="1"/>
  <c r="BF851" i="1" a="1"/>
  <c r="BF851" i="1" s="1"/>
  <c r="BF954" i="1" a="1"/>
  <c r="BF954" i="1" s="1"/>
  <c r="BF956" i="1" a="1"/>
  <c r="BF956" i="1" s="1"/>
  <c r="BF900" i="1" a="1"/>
  <c r="BF900" i="1" s="1"/>
  <c r="BF856" i="1" a="1"/>
  <c r="BF856" i="1" s="1"/>
  <c r="BF903" i="1" a="1"/>
  <c r="BF903" i="1" s="1"/>
  <c r="BF737" i="1" a="1"/>
  <c r="BF737" i="1" s="1"/>
  <c r="BF464" i="1" a="1"/>
  <c r="BF464" i="1" s="1"/>
  <c r="BF922" i="1" a="1"/>
  <c r="BF922" i="1" s="1"/>
  <c r="BF867" i="1" a="1"/>
  <c r="BF867" i="1" s="1"/>
  <c r="BF964" i="1" a="1"/>
  <c r="BF964" i="1" s="1"/>
  <c r="BF928" i="1" a="1"/>
  <c r="BF928" i="1" s="1"/>
  <c r="BF974" i="1" a="1"/>
  <c r="BF974" i="1" s="1"/>
  <c r="BF879" i="1" a="1"/>
  <c r="BF879" i="1" s="1"/>
  <c r="BF936" i="1" a="1"/>
  <c r="BF936" i="1" s="1"/>
  <c r="BF680" i="1" a="1"/>
  <c r="BF680" i="1" s="1"/>
  <c r="BF859" i="1" a="1"/>
  <c r="BF859" i="1" s="1"/>
  <c r="BF636" i="1" a="1"/>
  <c r="BF636" i="1" s="1"/>
  <c r="BF638" i="1" a="1"/>
  <c r="BF638" i="1" s="1"/>
  <c r="BF654" i="1" a="1"/>
  <c r="BF654" i="1" s="1"/>
  <c r="BF640" i="1" a="1"/>
  <c r="BF640" i="1" s="1"/>
  <c r="BF641" i="1" a="1"/>
  <c r="BF641" i="1" s="1"/>
  <c r="BF643" i="1" a="1"/>
  <c r="BF643" i="1" s="1"/>
  <c r="BF657" i="1" a="1"/>
  <c r="BF657" i="1" s="1"/>
  <c r="BF667" i="1" a="1"/>
  <c r="BF667" i="1" s="1"/>
  <c r="BF476" i="1" a="1"/>
  <c r="BF476" i="1" s="1"/>
  <c r="BF479" i="1" a="1"/>
  <c r="BF479" i="1" s="1"/>
  <c r="BF419" i="1" a="1"/>
  <c r="BF419" i="1" s="1"/>
  <c r="BF422" i="1" a="1"/>
  <c r="BF422" i="1" s="1"/>
  <c r="BF427" i="1" a="1"/>
  <c r="BF427" i="1" s="1"/>
  <c r="BF886" i="1" a="1"/>
  <c r="BF886" i="1" s="1"/>
  <c r="BF440" i="1" a="1"/>
  <c r="BF440" i="1" s="1"/>
  <c r="BF683" i="1" a="1"/>
  <c r="BF683" i="1" s="1"/>
  <c r="BF438" i="1" a="1"/>
  <c r="BF438" i="1" s="1"/>
  <c r="BF696" i="1" a="1"/>
  <c r="BF696" i="1" s="1"/>
  <c r="BF344" i="1" a="1"/>
  <c r="BF344" i="1" s="1"/>
  <c r="BE344" i="1" s="1" a="1"/>
  <c r="BE344" i="1" s="1"/>
  <c r="BF862" i="1" a="1"/>
  <c r="BF862" i="1" s="1"/>
  <c r="BF58" i="1" a="1"/>
  <c r="BF58" i="1" s="1"/>
  <c r="BF50" i="1" a="1"/>
  <c r="BF50" i="1" s="1"/>
  <c r="BF500" i="1" a="1"/>
  <c r="BF500" i="1" s="1"/>
  <c r="BF457" i="1" a="1"/>
  <c r="BF457" i="1" s="1"/>
  <c r="BE457" i="1" s="1" a="1"/>
  <c r="BE457" i="1" s="1"/>
  <c r="BF497" i="1" a="1"/>
  <c r="BF497" i="1" s="1"/>
  <c r="BF506" i="1" a="1"/>
  <c r="BF506" i="1" s="1"/>
  <c r="BF945" i="1" a="1"/>
  <c r="BF945" i="1" s="1"/>
  <c r="BF844" i="1" a="1"/>
  <c r="BF844" i="1" s="1"/>
  <c r="BF947" i="1" a="1"/>
  <c r="BF947" i="1" s="1"/>
  <c r="BF689" i="1" a="1"/>
  <c r="BF689" i="1" s="1"/>
  <c r="BF693" i="1" a="1"/>
  <c r="BF693" i="1" s="1"/>
  <c r="BF428" i="1" a="1"/>
  <c r="BF428" i="1" s="1"/>
  <c r="BF675" i="1" a="1"/>
  <c r="BF675" i="1" s="1"/>
  <c r="BF463" i="1" a="1"/>
  <c r="BF463" i="1" s="1"/>
  <c r="BF919" i="1" a="1"/>
  <c r="BF919" i="1" s="1"/>
  <c r="BF927" i="1" a="1"/>
  <c r="BF927" i="1" s="1"/>
  <c r="BF872" i="1" a="1"/>
  <c r="BF872" i="1" s="1"/>
  <c r="BF969" i="1" a="1"/>
  <c r="BF969" i="1" s="1"/>
  <c r="BF973" i="1" a="1"/>
  <c r="BF973" i="1" s="1"/>
  <c r="BF878" i="1" a="1"/>
  <c r="BF878" i="1" s="1"/>
  <c r="BF935" i="1" a="1"/>
  <c r="BF935" i="1" s="1"/>
  <c r="BF981" i="1" a="1"/>
  <c r="BF981" i="1" s="1"/>
  <c r="BF939" i="1" a="1"/>
  <c r="BF939" i="1" s="1"/>
  <c r="BF739" i="1" a="1"/>
  <c r="BF739" i="1" s="1"/>
  <c r="BF682" i="1" a="1"/>
  <c r="BF682" i="1" s="1"/>
  <c r="BF648" i="1" a="1"/>
  <c r="BF648" i="1" s="1"/>
  <c r="BF941" i="1" a="1"/>
  <c r="BF941" i="1" s="1"/>
  <c r="BF664" i="1" a="1"/>
  <c r="BF664" i="1" s="1"/>
  <c r="BF407" i="1" a="1"/>
  <c r="BF407" i="1" s="1"/>
  <c r="BF473" i="1" a="1"/>
  <c r="BF473" i="1" s="1"/>
  <c r="BF564" i="1" a="1"/>
  <c r="BF564" i="1" s="1"/>
  <c r="BF571" i="1" a="1"/>
  <c r="BF571" i="1" s="1"/>
  <c r="BF416" i="1" a="1"/>
  <c r="BF416" i="1" s="1"/>
  <c r="BF424" i="1" a="1"/>
  <c r="BF424" i="1" s="1"/>
  <c r="BF699" i="1" a="1"/>
  <c r="BF699" i="1" s="1"/>
  <c r="BF905" i="1" a="1"/>
  <c r="BF905" i="1" s="1"/>
  <c r="BF909" i="1" a="1"/>
  <c r="BF909" i="1" s="1"/>
  <c r="BF913" i="1" a="1"/>
  <c r="BF913" i="1" s="1"/>
  <c r="BF917" i="1" a="1"/>
  <c r="BF917" i="1" s="1"/>
  <c r="BF646" i="1" a="1"/>
  <c r="BF646" i="1" s="1"/>
  <c r="BF527" i="1" a="1"/>
  <c r="BF527" i="1" s="1"/>
  <c r="BF369" i="1" a="1"/>
  <c r="BF369" i="1" s="1"/>
  <c r="BF368" i="1" a="1"/>
  <c r="BF368" i="1" s="1"/>
  <c r="BF414" i="1" a="1"/>
  <c r="BF414" i="1" s="1"/>
  <c r="BF494" i="1" a="1"/>
  <c r="BF494" i="1" s="1"/>
  <c r="BF338" i="1" a="1"/>
  <c r="BF338" i="1" s="1"/>
  <c r="BE338" i="1" s="1" a="1"/>
  <c r="BE338" i="1" s="1"/>
  <c r="BF499" i="1" a="1"/>
  <c r="BF499" i="1" s="1"/>
  <c r="BF57" i="1" a="1"/>
  <c r="BF57" i="1" s="1"/>
  <c r="BF85" i="1" a="1"/>
  <c r="BF85" i="1" s="1"/>
  <c r="BF535" i="1" a="1"/>
  <c r="BF535" i="1" s="1"/>
  <c r="BF502" i="1" a="1"/>
  <c r="BF502" i="1" s="1"/>
  <c r="BE502" i="1" s="1" a="1"/>
  <c r="BE502" i="1" s="1"/>
  <c r="BF505" i="1" a="1"/>
  <c r="BF505" i="1" s="1"/>
  <c r="BF672" i="1" a="1"/>
  <c r="BF672" i="1" s="1"/>
  <c r="BF848" i="1" a="1"/>
  <c r="BF848" i="1" s="1"/>
  <c r="BF951" i="1" a="1"/>
  <c r="BF951" i="1" s="1"/>
  <c r="BF850" i="1" a="1"/>
  <c r="BF850" i="1" s="1"/>
  <c r="BF898" i="1" a="1"/>
  <c r="BF898" i="1" s="1"/>
  <c r="BF853" i="1" a="1"/>
  <c r="BF853" i="1" s="1"/>
  <c r="BF899" i="1" a="1"/>
  <c r="BF899" i="1" s="1"/>
  <c r="BF901" i="1" a="1"/>
  <c r="BF901" i="1" s="1"/>
  <c r="BF959" i="1" a="1"/>
  <c r="BF959" i="1" s="1"/>
  <c r="BF694" i="1" a="1"/>
  <c r="BF694" i="1" s="1"/>
  <c r="BF462" i="1" a="1"/>
  <c r="BF462" i="1" s="1"/>
  <c r="BF924" i="1" a="1"/>
  <c r="BF924" i="1" s="1"/>
  <c r="BF869" i="1" a="1"/>
  <c r="BF869" i="1" s="1"/>
  <c r="BF966" i="1" a="1"/>
  <c r="BF966" i="1" s="1"/>
  <c r="BF972" i="1" a="1"/>
  <c r="BF972" i="1" s="1"/>
  <c r="BF877" i="1" a="1"/>
  <c r="BF877" i="1" s="1"/>
  <c r="BF934" i="1" a="1"/>
  <c r="BF934" i="1" s="1"/>
  <c r="BF980" i="1" a="1"/>
  <c r="BF980" i="1" s="1"/>
  <c r="BF679" i="1" a="1"/>
  <c r="BF679" i="1" s="1"/>
  <c r="BF688" i="1" a="1"/>
  <c r="BF688" i="1" s="1"/>
  <c r="BF961" i="1" a="1"/>
  <c r="BF961" i="1" s="1"/>
  <c r="BF669" i="1" a="1"/>
  <c r="BF669" i="1" s="1"/>
  <c r="BF24" i="1" a="1"/>
  <c r="BF24" i="1" s="1"/>
  <c r="BF469" i="1" a="1"/>
  <c r="BF469" i="1" s="1"/>
  <c r="BF481" i="1" a="1"/>
  <c r="BF481" i="1" s="1"/>
  <c r="BF387" i="1" a="1"/>
  <c r="BF387" i="1" s="1"/>
  <c r="BF545" i="1" a="1"/>
  <c r="BF545" i="1" s="1"/>
  <c r="BF547" i="1" a="1"/>
  <c r="BF547" i="1" s="1"/>
  <c r="BF713" i="1" a="1"/>
  <c r="BF713" i="1" s="1"/>
  <c r="BF372" i="1" a="1"/>
  <c r="BF372" i="1" s="1"/>
  <c r="BF443" i="1" a="1"/>
  <c r="BF443" i="1" s="1"/>
  <c r="BF685" i="1" a="1"/>
  <c r="BF685" i="1" s="1"/>
  <c r="BF437" i="1" a="1"/>
  <c r="BF437" i="1" s="1"/>
  <c r="BF491" i="1" a="1"/>
  <c r="BF491" i="1" s="1"/>
  <c r="BF348" i="1" a="1"/>
  <c r="BF348" i="1" s="1"/>
  <c r="BF861" i="1" a="1"/>
  <c r="BF861" i="1" s="1"/>
  <c r="BF982" i="1" a="1"/>
  <c r="BF982" i="1" s="1"/>
  <c r="BF44" i="1" a="1"/>
  <c r="BF44" i="1" s="1"/>
  <c r="BF66" i="1" a="1"/>
  <c r="BF66" i="1" s="1"/>
  <c r="BE66" i="1" s="1" a="1"/>
  <c r="BE66" i="1" s="1"/>
  <c r="BF106" i="1" a="1"/>
  <c r="BF106" i="1" s="1"/>
  <c r="BF456" i="1" a="1"/>
  <c r="BF456" i="1" s="1"/>
  <c r="BF525" i="1" a="1"/>
  <c r="BF525" i="1" s="1"/>
  <c r="BF509" i="1" a="1"/>
  <c r="BF509" i="1" s="1"/>
  <c r="BF703" i="1" a="1"/>
  <c r="BF703" i="1" s="1"/>
  <c r="BF705" i="1" a="1"/>
  <c r="BF705" i="1" s="1"/>
  <c r="BM42" i="1"/>
  <c r="CN469" i="1"/>
  <c r="CP469" i="1" s="1"/>
  <c r="CS715" i="1"/>
  <c r="CN24" i="1"/>
  <c r="CP24" i="1" s="1"/>
  <c r="BN23" i="1"/>
  <c r="BO23" i="1" s="1"/>
  <c r="BY23" i="1" s="1"/>
  <c r="CN655" i="1"/>
  <c r="CQ655" i="1" s="1"/>
  <c r="BM646" i="1"/>
  <c r="BN406" i="1"/>
  <c r="BO406" i="1" s="1"/>
  <c r="BY406" i="1" s="1"/>
  <c r="BN408" i="1"/>
  <c r="BO408" i="1" s="1"/>
  <c r="BN411" i="1"/>
  <c r="BO411" i="1" s="1"/>
  <c r="BN642" i="1"/>
  <c r="BO642" i="1" s="1"/>
  <c r="BU372" i="1"/>
  <c r="CN471" i="1"/>
  <c r="CP471" i="1" s="1"/>
  <c r="CN646" i="1"/>
  <c r="CP646" i="1" s="1"/>
  <c r="BN438" i="1"/>
  <c r="BO438" i="1" s="1"/>
  <c r="BY438" i="1" s="1"/>
  <c r="CN439" i="1"/>
  <c r="CO439" i="1" s="1"/>
  <c r="BN644" i="1"/>
  <c r="BO644" i="1" s="1"/>
  <c r="CQ928" i="1"/>
  <c r="CQ94" i="1"/>
  <c r="BY981" i="1"/>
  <c r="CP449" i="1"/>
  <c r="BN643" i="1"/>
  <c r="BO643" i="1" s="1"/>
  <c r="BY643" i="1" s="1"/>
  <c r="BN656" i="1"/>
  <c r="BO656" i="1" s="1"/>
  <c r="BY656" i="1" s="1"/>
  <c r="BV24" i="1"/>
  <c r="BX24" i="1" s="1"/>
  <c r="CN472" i="1"/>
  <c r="CO472" i="1" s="1"/>
  <c r="BN886" i="1"/>
  <c r="BO886" i="1" s="1"/>
  <c r="BY886" i="1" s="1"/>
  <c r="CN636" i="1"/>
  <c r="CS636" i="1" s="1"/>
  <c r="BV499" i="1"/>
  <c r="BX499" i="1" s="1"/>
  <c r="BM408" i="1"/>
  <c r="BV715" i="1"/>
  <c r="BX715" i="1" s="1"/>
  <c r="BY715" i="1" s="1"/>
  <c r="BV887" i="1"/>
  <c r="BX887" i="1" s="1"/>
  <c r="BV371" i="1"/>
  <c r="BX371" i="1" s="1"/>
  <c r="BY371" i="1" s="1"/>
  <c r="CN409" i="1"/>
  <c r="CR409" i="1" s="1"/>
  <c r="CN645" i="1"/>
  <c r="CR645" i="1" s="1"/>
  <c r="BN884" i="1"/>
  <c r="BO884" i="1" s="1"/>
  <c r="BY884" i="1" s="1"/>
  <c r="BU371" i="1"/>
  <c r="CN436" i="1"/>
  <c r="CR436" i="1" s="1"/>
  <c r="BN940" i="1"/>
  <c r="BO940" i="1" s="1"/>
  <c r="BY940" i="1" s="1"/>
  <c r="BN475" i="1"/>
  <c r="BO475" i="1" s="1"/>
  <c r="BY475" i="1" s="1"/>
  <c r="CN476" i="1"/>
  <c r="CO476" i="1" s="1"/>
  <c r="BN412" i="1"/>
  <c r="BO412" i="1" s="1"/>
  <c r="BY412" i="1" s="1"/>
  <c r="BN413" i="1"/>
  <c r="BO413" i="1" s="1"/>
  <c r="BY413" i="1" s="1"/>
  <c r="CN23" i="1"/>
  <c r="CR23" i="1" s="1"/>
  <c r="CT423" i="1"/>
  <c r="BY709" i="1"/>
  <c r="CO424" i="1"/>
  <c r="CS423" i="1"/>
  <c r="CQ96" i="1"/>
  <c r="BY651" i="1"/>
  <c r="BY932" i="1"/>
  <c r="CQ140" i="1"/>
  <c r="BY956" i="1"/>
  <c r="CQ861" i="1"/>
  <c r="CR482" i="1"/>
  <c r="CQ727" i="1"/>
  <c r="BF88" i="1" a="1"/>
  <c r="BF88" i="1" s="1"/>
  <c r="BE88" i="1" s="1" a="1"/>
  <c r="BE88" i="1" s="1"/>
  <c r="BF21" i="1" a="1"/>
  <c r="BF21" i="1" s="1"/>
  <c r="CS140" i="1"/>
  <c r="CV140" i="1" s="1"/>
  <c r="CO441" i="1"/>
  <c r="CT481" i="1"/>
  <c r="CR717" i="1"/>
  <c r="CV717" i="1" s="1"/>
  <c r="BY60" i="1"/>
  <c r="BY730" i="1"/>
  <c r="CQ388" i="1"/>
  <c r="CP441" i="1"/>
  <c r="CS92" i="1"/>
  <c r="CV92" i="1" s="1"/>
  <c r="CP872" i="1"/>
  <c r="CQ852" i="1"/>
  <c r="BF91" i="1" a="1"/>
  <c r="BF91" i="1" s="1"/>
  <c r="BE91" i="1" s="1" a="1"/>
  <c r="BE91" i="1" s="1"/>
  <c r="CP50" i="1"/>
  <c r="BY86" i="1"/>
  <c r="CQ465" i="1"/>
  <c r="BY555" i="1"/>
  <c r="CQ564" i="1"/>
  <c r="CQ421" i="1"/>
  <c r="CQ422" i="1"/>
  <c r="CT101" i="1"/>
  <c r="BY937" i="1"/>
  <c r="BY883" i="1"/>
  <c r="CQ98" i="1"/>
  <c r="BY693" i="1"/>
  <c r="BY89" i="1"/>
  <c r="CQ919" i="1"/>
  <c r="CQ739" i="1"/>
  <c r="CQ717" i="1"/>
  <c r="CQ545" i="1"/>
  <c r="CQ92" i="1"/>
  <c r="CT459" i="1"/>
  <c r="CS421" i="1"/>
  <c r="CV421" i="1" s="1"/>
  <c r="CQ427" i="1"/>
  <c r="BY700" i="1"/>
  <c r="CS458" i="1"/>
  <c r="BF100" i="1" a="1"/>
  <c r="BF100" i="1" s="1"/>
  <c r="BE100" i="1" s="1" a="1"/>
  <c r="BE100" i="1" s="1"/>
  <c r="CS697" i="1"/>
  <c r="CV697" i="1" s="1"/>
  <c r="CT921" i="1"/>
  <c r="BY865" i="1"/>
  <c r="CQ965" i="1"/>
  <c r="CQ681" i="1"/>
  <c r="CQ716" i="1"/>
  <c r="CT718" i="1"/>
  <c r="CO727" i="1"/>
  <c r="CO387" i="1"/>
  <c r="CT114" i="1"/>
  <c r="CU114" i="1" s="1"/>
  <c r="BF378" i="1" a="1"/>
  <c r="BF378" i="1" s="1"/>
  <c r="BE378" i="1" s="1" a="1"/>
  <c r="BE378" i="1" s="1"/>
  <c r="CQ549" i="1"/>
  <c r="CP425" i="1"/>
  <c r="CR896" i="1"/>
  <c r="CQ872" i="1"/>
  <c r="CT965" i="1"/>
  <c r="CT929" i="1"/>
  <c r="BY933" i="1"/>
  <c r="CQ678" i="1"/>
  <c r="CP727" i="1"/>
  <c r="CP482" i="1"/>
  <c r="CR564" i="1"/>
  <c r="CV564" i="1" s="1"/>
  <c r="CT548" i="1"/>
  <c r="CR574" i="1"/>
  <c r="CO416" i="1"/>
  <c r="CR417" i="1"/>
  <c r="CP421" i="1"/>
  <c r="BY50" i="1"/>
  <c r="CP917" i="1"/>
  <c r="CS897" i="1"/>
  <c r="CS727" i="1"/>
  <c r="CV727" i="1" s="1"/>
  <c r="CS103" i="1"/>
  <c r="CV103" i="1" s="1"/>
  <c r="CQ719" i="1"/>
  <c r="CP844" i="1"/>
  <c r="CP461" i="1"/>
  <c r="CQ971" i="1"/>
  <c r="CQ975" i="1"/>
  <c r="CQ909" i="1"/>
  <c r="CQ709" i="1"/>
  <c r="CQ441" i="1"/>
  <c r="BY864" i="1"/>
  <c r="BY701" i="1"/>
  <c r="BY920" i="1"/>
  <c r="BY681" i="1"/>
  <c r="CR917" i="1"/>
  <c r="CP671" i="1"/>
  <c r="CQ923" i="1"/>
  <c r="BY924" i="1"/>
  <c r="CQ925" i="1"/>
  <c r="CT976" i="1"/>
  <c r="CP477" i="1"/>
  <c r="CQ715" i="1"/>
  <c r="CR423" i="1"/>
  <c r="CT137" i="1"/>
  <c r="CT138" i="1"/>
  <c r="CQ529" i="1"/>
  <c r="CQ56" i="1"/>
  <c r="BF121" i="1" a="1"/>
  <c r="BF121" i="1" s="1"/>
  <c r="BE121" i="1" s="1" a="1"/>
  <c r="BE121" i="1" s="1"/>
  <c r="BY99" i="1"/>
  <c r="CQ101" i="1"/>
  <c r="CP916" i="1"/>
  <c r="CQ64" i="1"/>
  <c r="BE85" i="1" a="1"/>
  <c r="BE85" i="1" s="1"/>
  <c r="CQ455" i="1"/>
  <c r="BY378" i="1"/>
  <c r="BY450" i="1"/>
  <c r="CS844" i="1"/>
  <c r="CV844" i="1" s="1"/>
  <c r="CS891" i="1"/>
  <c r="CV891" i="1" s="1"/>
  <c r="CR671" i="1"/>
  <c r="BY734" i="1"/>
  <c r="CQ896" i="1"/>
  <c r="CQ957" i="1"/>
  <c r="CQ921" i="1"/>
  <c r="BY926" i="1"/>
  <c r="CQ927" i="1"/>
  <c r="CO977" i="1"/>
  <c r="CS881" i="1"/>
  <c r="CV881" i="1" s="1"/>
  <c r="CT677" i="1"/>
  <c r="CT738" i="1"/>
  <c r="CT549" i="1"/>
  <c r="CQ477" i="1"/>
  <c r="CR481" i="1"/>
  <c r="CP423" i="1"/>
  <c r="CQ916" i="1"/>
  <c r="CQ365" i="1"/>
  <c r="CQ442" i="1"/>
  <c r="BY443" i="1"/>
  <c r="CT332" i="1"/>
  <c r="CO650" i="1"/>
  <c r="CQ103" i="1"/>
  <c r="CQ844" i="1"/>
  <c r="CT844" i="1"/>
  <c r="CR845" i="1"/>
  <c r="CV845" i="1" s="1"/>
  <c r="BY894" i="1"/>
  <c r="BY849" i="1"/>
  <c r="CQ900" i="1"/>
  <c r="BY856" i="1"/>
  <c r="CT870" i="1"/>
  <c r="BY877" i="1"/>
  <c r="CT934" i="1"/>
  <c r="CP549" i="1"/>
  <c r="CT724" i="1"/>
  <c r="CT662" i="1"/>
  <c r="CU662" i="1" s="1"/>
  <c r="CR477" i="1"/>
  <c r="CQ129" i="1"/>
  <c r="CT133" i="1"/>
  <c r="BF134" i="1" a="1"/>
  <c r="BF134" i="1" s="1"/>
  <c r="BE134" i="1" s="1" a="1"/>
  <c r="BE134" i="1" s="1"/>
  <c r="CR916" i="1"/>
  <c r="CO332" i="1"/>
  <c r="BY340" i="1"/>
  <c r="CT647" i="1"/>
  <c r="BY862" i="1"/>
  <c r="CQ110" i="1"/>
  <c r="BE51" i="1" a="1"/>
  <c r="BE51" i="1" s="1"/>
  <c r="CT536" i="1"/>
  <c r="CR378" i="1"/>
  <c r="CS378" i="1"/>
  <c r="CO844" i="1"/>
  <c r="CQ891" i="1"/>
  <c r="CQ959" i="1"/>
  <c r="CQ737" i="1"/>
  <c r="CO921" i="1"/>
  <c r="CT923" i="1"/>
  <c r="BY874" i="1"/>
  <c r="CT132" i="1"/>
  <c r="CP133" i="1"/>
  <c r="CP861" i="1"/>
  <c r="BY45" i="1"/>
  <c r="CO536" i="1"/>
  <c r="CT497" i="1"/>
  <c r="CU497" i="1" s="1"/>
  <c r="CT706" i="1"/>
  <c r="CU706" i="1" s="1"/>
  <c r="CT104" i="1"/>
  <c r="CQ459" i="1"/>
  <c r="CP921" i="1"/>
  <c r="CQ866" i="1"/>
  <c r="CS549" i="1"/>
  <c r="CV549" i="1" s="1"/>
  <c r="CQ416" i="1"/>
  <c r="CT418" i="1"/>
  <c r="CR129" i="1"/>
  <c r="CT130" i="1"/>
  <c r="CR133" i="1"/>
  <c r="CP135" i="1"/>
  <c r="CO906" i="1"/>
  <c r="CT912" i="1"/>
  <c r="CQ368" i="1"/>
  <c r="CO443" i="1"/>
  <c r="BY333" i="1"/>
  <c r="CT863" i="1"/>
  <c r="CQ107" i="1"/>
  <c r="CP536" i="1"/>
  <c r="CT537" i="1"/>
  <c r="BE501" i="1" a="1"/>
  <c r="BE501" i="1" s="1"/>
  <c r="CO392" i="1"/>
  <c r="BY671" i="1"/>
  <c r="BY87" i="1"/>
  <c r="CS896" i="1"/>
  <c r="CP902" i="1"/>
  <c r="CT959" i="1"/>
  <c r="CQ967" i="1"/>
  <c r="CT980" i="1"/>
  <c r="CT937" i="1"/>
  <c r="CQ883" i="1"/>
  <c r="CQ962" i="1"/>
  <c r="BY723" i="1"/>
  <c r="CQ423" i="1"/>
  <c r="CR135" i="1"/>
  <c r="BF138" i="1" a="1"/>
  <c r="BF138" i="1" s="1"/>
  <c r="BE138" i="1" s="1" a="1"/>
  <c r="BE138" i="1" s="1"/>
  <c r="CP906" i="1"/>
  <c r="BE443" i="1" a="1"/>
  <c r="BE443" i="1" s="1"/>
  <c r="BY494" i="1"/>
  <c r="BF331" i="1" a="1"/>
  <c r="BF331" i="1" s="1"/>
  <c r="BE331" i="1" s="1" a="1"/>
  <c r="BE331" i="1" s="1"/>
  <c r="CQ651" i="1"/>
  <c r="CO863" i="1"/>
  <c r="BY500" i="1"/>
  <c r="BY952" i="1"/>
  <c r="BY878" i="1"/>
  <c r="BY880" i="1"/>
  <c r="CT938" i="1"/>
  <c r="CQ906" i="1"/>
  <c r="CR537" i="1"/>
  <c r="CT502" i="1"/>
  <c r="CP489" i="1"/>
  <c r="CS114" i="1"/>
  <c r="CV114" i="1" s="1"/>
  <c r="BY100" i="1"/>
  <c r="BF486" i="1" a="1"/>
  <c r="BF486" i="1" s="1"/>
  <c r="BE486" i="1" s="1" a="1"/>
  <c r="BE486" i="1" s="1"/>
  <c r="CO740" i="1"/>
  <c r="BY673" i="1"/>
  <c r="CP903" i="1"/>
  <c r="CR903" i="1"/>
  <c r="CS903" i="1"/>
  <c r="CV903" i="1" s="1"/>
  <c r="CO904" i="1"/>
  <c r="BY966" i="1"/>
  <c r="BY967" i="1"/>
  <c r="CP679" i="1"/>
  <c r="CR679" i="1"/>
  <c r="CQ679" i="1"/>
  <c r="CS950" i="1"/>
  <c r="CV950" i="1" s="1"/>
  <c r="CS944" i="1"/>
  <c r="CR944" i="1"/>
  <c r="CP944" i="1"/>
  <c r="CO944" i="1"/>
  <c r="BY464" i="1"/>
  <c r="BY676" i="1"/>
  <c r="CT682" i="1"/>
  <c r="CQ682" i="1"/>
  <c r="CP682" i="1"/>
  <c r="CS722" i="1"/>
  <c r="CR722" i="1"/>
  <c r="CO974" i="1"/>
  <c r="CT974" i="1"/>
  <c r="CS974" i="1"/>
  <c r="CR974" i="1"/>
  <c r="CQ478" i="1"/>
  <c r="CS478" i="1"/>
  <c r="CR478" i="1"/>
  <c r="CO478" i="1"/>
  <c r="CQ974" i="1"/>
  <c r="CO722" i="1"/>
  <c r="BY922" i="1"/>
  <c r="BY873" i="1"/>
  <c r="CQ963" i="1"/>
  <c r="CO963" i="1"/>
  <c r="CO738" i="1"/>
  <c r="CS738" i="1"/>
  <c r="CR738" i="1"/>
  <c r="CP466" i="1"/>
  <c r="CO466" i="1"/>
  <c r="CR954" i="1"/>
  <c r="CP954" i="1"/>
  <c r="CS954" i="1"/>
  <c r="BY867" i="1"/>
  <c r="CP974" i="1"/>
  <c r="CS935" i="1"/>
  <c r="CR935" i="1"/>
  <c r="BY732" i="1"/>
  <c r="CQ693" i="1"/>
  <c r="CO954" i="1"/>
  <c r="CP857" i="1"/>
  <c r="CR857" i="1"/>
  <c r="CO857" i="1"/>
  <c r="CO935" i="1"/>
  <c r="BY428" i="1"/>
  <c r="CQ951" i="1"/>
  <c r="CQ947" i="1"/>
  <c r="BY735" i="1"/>
  <c r="CO142" i="1"/>
  <c r="BY90" i="1"/>
  <c r="BY88" i="1"/>
  <c r="BY951" i="1"/>
  <c r="CQ857" i="1"/>
  <c r="CP738" i="1"/>
  <c r="CQ713" i="1"/>
  <c r="BY741" i="1"/>
  <c r="CR418" i="1"/>
  <c r="CT134" i="1"/>
  <c r="CR134" i="1"/>
  <c r="CV134" i="1" s="1"/>
  <c r="CP134" i="1"/>
  <c r="CO134" i="1"/>
  <c r="CT866" i="1"/>
  <c r="BY964" i="1"/>
  <c r="BY968" i="1"/>
  <c r="BY969" i="1"/>
  <c r="BY970" i="1"/>
  <c r="BY971" i="1"/>
  <c r="BY972" i="1"/>
  <c r="CO742" i="1"/>
  <c r="CO941" i="1"/>
  <c r="CQ724" i="1"/>
  <c r="BY726" i="1"/>
  <c r="CO553" i="1"/>
  <c r="BF22" i="1" a="1"/>
  <c r="BF22" i="1" s="1"/>
  <c r="BY572" i="1"/>
  <c r="BY736" i="1"/>
  <c r="CP965" i="1"/>
  <c r="CP742" i="1"/>
  <c r="CP941" i="1"/>
  <c r="CS553" i="1"/>
  <c r="CV553" i="1" s="1"/>
  <c r="CO545" i="1"/>
  <c r="BF130" i="1" a="1"/>
  <c r="BF130" i="1" s="1"/>
  <c r="BE130" i="1" s="1" a="1"/>
  <c r="BE130" i="1" s="1"/>
  <c r="CR130" i="1"/>
  <c r="CT131" i="1"/>
  <c r="CR131" i="1"/>
  <c r="CO131" i="1"/>
  <c r="BY692" i="1"/>
  <c r="CT868" i="1"/>
  <c r="CO891" i="1"/>
  <c r="BY892" i="1"/>
  <c r="CQ689" i="1"/>
  <c r="CP900" i="1"/>
  <c r="CO868" i="1"/>
  <c r="BY869" i="1"/>
  <c r="CT967" i="1"/>
  <c r="CQ969" i="1"/>
  <c r="CR971" i="1"/>
  <c r="CO883" i="1"/>
  <c r="CQ938" i="1"/>
  <c r="CO678" i="1"/>
  <c r="CQ740" i="1"/>
  <c r="BY962" i="1"/>
  <c r="CR941" i="1"/>
  <c r="CV941" i="1" s="1"/>
  <c r="CO725" i="1"/>
  <c r="CQ944" i="1"/>
  <c r="CQ479" i="1"/>
  <c r="CP387" i="1"/>
  <c r="CP545" i="1"/>
  <c r="CR572" i="1"/>
  <c r="CV572" i="1" s="1"/>
  <c r="CS131" i="1"/>
  <c r="CP420" i="1"/>
  <c r="CR420" i="1"/>
  <c r="CQ136" i="1"/>
  <c r="CR136" i="1"/>
  <c r="CP136" i="1"/>
  <c r="CO136" i="1"/>
  <c r="BY848" i="1"/>
  <c r="CO900" i="1"/>
  <c r="BY468" i="1"/>
  <c r="CQ690" i="1"/>
  <c r="CQ691" i="1"/>
  <c r="CQ950" i="1"/>
  <c r="CO952" i="1"/>
  <c r="BY960" i="1"/>
  <c r="CP737" i="1"/>
  <c r="CQ945" i="1"/>
  <c r="CP891" i="1"/>
  <c r="CQ672" i="1"/>
  <c r="CO736" i="1"/>
  <c r="CO896" i="1"/>
  <c r="CQ954" i="1"/>
  <c r="BY853" i="1"/>
  <c r="CP854" i="1"/>
  <c r="CR900" i="1"/>
  <c r="CV900" i="1" s="1"/>
  <c r="CR959" i="1"/>
  <c r="CQ903" i="1"/>
  <c r="BY675" i="1"/>
  <c r="CR737" i="1"/>
  <c r="CV737" i="1" s="1"/>
  <c r="CO919" i="1"/>
  <c r="CP868" i="1"/>
  <c r="CO870" i="1"/>
  <c r="BY871" i="1"/>
  <c r="CS971" i="1"/>
  <c r="CR972" i="1"/>
  <c r="CV972" i="1" s="1"/>
  <c r="BY875" i="1"/>
  <c r="CQ930" i="1"/>
  <c r="CT931" i="1"/>
  <c r="CT977" i="1"/>
  <c r="BY934" i="1"/>
  <c r="CP883" i="1"/>
  <c r="CR677" i="1"/>
  <c r="CV677" i="1" s="1"/>
  <c r="CR678" i="1"/>
  <c r="CV678" i="1" s="1"/>
  <c r="BY859" i="1"/>
  <c r="EP859" i="1" s="1"/>
  <c r="BY961" i="1"/>
  <c r="EP961" i="1" s="1"/>
  <c r="CQ941" i="1"/>
  <c r="CO717" i="1"/>
  <c r="CR725" i="1"/>
  <c r="CV725" i="1" s="1"/>
  <c r="CP481" i="1"/>
  <c r="CS545" i="1"/>
  <c r="CV545" i="1" s="1"/>
  <c r="CP547" i="1"/>
  <c r="CR548" i="1"/>
  <c r="CV548" i="1" s="1"/>
  <c r="CT416" i="1"/>
  <c r="CR426" i="1"/>
  <c r="CS426" i="1"/>
  <c r="CO426" i="1"/>
  <c r="CR139" i="1"/>
  <c r="CS139" i="1"/>
  <c r="CO139" i="1"/>
  <c r="CS702" i="1"/>
  <c r="CR702" i="1"/>
  <c r="CO737" i="1"/>
  <c r="CO854" i="1"/>
  <c r="CP959" i="1"/>
  <c r="CQ845" i="1"/>
  <c r="BY690" i="1"/>
  <c r="BY674" i="1"/>
  <c r="BF141" i="1" a="1"/>
  <c r="BF141" i="1" s="1"/>
  <c r="BE141" i="1" s="1" a="1"/>
  <c r="BE141" i="1" s="1"/>
  <c r="BY141" i="1"/>
  <c r="BY955" i="1"/>
  <c r="CO902" i="1"/>
  <c r="CS959" i="1"/>
  <c r="CS929" i="1"/>
  <c r="CV929" i="1" s="1"/>
  <c r="BY973" i="1"/>
  <c r="BY876" i="1"/>
  <c r="BY978" i="1"/>
  <c r="CQ738" i="1"/>
  <c r="CP640" i="1"/>
  <c r="CP717" i="1"/>
  <c r="BY557" i="1"/>
  <c r="BF23" i="1" a="1"/>
  <c r="BF23" i="1" s="1"/>
  <c r="CQ481" i="1"/>
  <c r="CS547" i="1"/>
  <c r="CP416" i="1"/>
  <c r="CR416" i="1"/>
  <c r="CV416" i="1" s="1"/>
  <c r="CQ418" i="1"/>
  <c r="CP699" i="1"/>
  <c r="CQ699" i="1"/>
  <c r="BY369" i="1"/>
  <c r="BY108" i="1"/>
  <c r="CP697" i="1"/>
  <c r="BF449" i="1" a="1"/>
  <c r="BF449" i="1" s="1"/>
  <c r="BE449" i="1" s="1" a="1"/>
  <c r="BE449" i="1" s="1"/>
  <c r="CQ130" i="1"/>
  <c r="CS425" i="1"/>
  <c r="CQ907" i="1"/>
  <c r="CO914" i="1"/>
  <c r="CO368" i="1"/>
  <c r="BE60" i="1" a="1"/>
  <c r="BE60" i="1" s="1"/>
  <c r="CQ47" i="1"/>
  <c r="CO55" i="1"/>
  <c r="BE536" i="1" a="1"/>
  <c r="BE536" i="1" s="1"/>
  <c r="CP501" i="1"/>
  <c r="CR498" i="1"/>
  <c r="CV498" i="1" s="1"/>
  <c r="BF112" i="1" a="1"/>
  <c r="BF112" i="1" s="1"/>
  <c r="BE112" i="1" s="1" a="1"/>
  <c r="BE112" i="1" s="1"/>
  <c r="CR100" i="1"/>
  <c r="CV100" i="1" s="1"/>
  <c r="CQ104" i="1"/>
  <c r="CO94" i="1"/>
  <c r="CO449" i="1"/>
  <c r="CQ131" i="1"/>
  <c r="CO421" i="1"/>
  <c r="CT424" i="1"/>
  <c r="CR907" i="1"/>
  <c r="CV907" i="1" s="1"/>
  <c r="CP914" i="1"/>
  <c r="CS916" i="1"/>
  <c r="CP368" i="1"/>
  <c r="CR441" i="1"/>
  <c r="CV441" i="1" s="1"/>
  <c r="BE439" i="1" a="1"/>
  <c r="BE439" i="1" s="1"/>
  <c r="CT942" i="1"/>
  <c r="BY91" i="1"/>
  <c r="BY491" i="1"/>
  <c r="BE44" i="1" a="1"/>
  <c r="BE44" i="1" s="1"/>
  <c r="BY44" i="1"/>
  <c r="CO64" i="1"/>
  <c r="BY98" i="1"/>
  <c r="CT503" i="1"/>
  <c r="CS701" i="1"/>
  <c r="CS94" i="1"/>
  <c r="CV94" i="1" s="1"/>
  <c r="CR911" i="1"/>
  <c r="CQ914" i="1"/>
  <c r="CT916" i="1"/>
  <c r="CT711" i="1"/>
  <c r="CT440" i="1"/>
  <c r="CT696" i="1"/>
  <c r="CU696" i="1" s="1"/>
  <c r="CQ91" i="1"/>
  <c r="CT491" i="1"/>
  <c r="CQ650" i="1"/>
  <c r="CO861" i="1"/>
  <c r="CT44" i="1"/>
  <c r="BY58" i="1"/>
  <c r="CP64" i="1"/>
  <c r="BE458" i="1" a="1"/>
  <c r="BE458" i="1" s="1"/>
  <c r="CQ496" i="1"/>
  <c r="CO489" i="1"/>
  <c r="BY393" i="1"/>
  <c r="CR449" i="1"/>
  <c r="CV449" i="1" s="1"/>
  <c r="CQ501" i="1"/>
  <c r="BY102" i="1"/>
  <c r="BF131" i="1" a="1"/>
  <c r="BF131" i="1" s="1"/>
  <c r="BE131" i="1" s="1" a="1"/>
  <c r="BE131" i="1" s="1"/>
  <c r="CR424" i="1"/>
  <c r="CO138" i="1"/>
  <c r="CO140" i="1"/>
  <c r="CQ908" i="1"/>
  <c r="CQ915" i="1"/>
  <c r="CP529" i="1"/>
  <c r="CO442" i="1"/>
  <c r="CT494" i="1"/>
  <c r="CO109" i="1"/>
  <c r="BE57" i="1" a="1"/>
  <c r="BE57" i="1" s="1"/>
  <c r="BE58" i="1" a="1"/>
  <c r="BE58" i="1" s="1"/>
  <c r="CS60" i="1"/>
  <c r="CO46" i="1"/>
  <c r="CQ535" i="1"/>
  <c r="CS536" i="1"/>
  <c r="CV536" i="1" s="1"/>
  <c r="CP456" i="1"/>
  <c r="CQ502" i="1"/>
  <c r="CT521" i="1"/>
  <c r="CU521" i="1" s="1"/>
  <c r="CR505" i="1"/>
  <c r="CV505" i="1" s="1"/>
  <c r="BY506" i="1"/>
  <c r="CR489" i="1"/>
  <c r="CV489" i="1" s="1"/>
  <c r="CT111" i="1"/>
  <c r="CU111" i="1" s="1"/>
  <c r="CT118" i="1"/>
  <c r="CU118" i="1" s="1"/>
  <c r="CR706" i="1"/>
  <c r="BF99" i="1" a="1"/>
  <c r="BF99" i="1" s="1"/>
  <c r="BE99" i="1" s="1" a="1"/>
  <c r="BE99" i="1" s="1"/>
  <c r="BF104" i="1" a="1"/>
  <c r="BF104" i="1" s="1"/>
  <c r="BE104" i="1" s="1" a="1"/>
  <c r="BE104" i="1" s="1"/>
  <c r="CP104" i="1"/>
  <c r="CO95" i="1"/>
  <c r="BF453" i="1" a="1"/>
  <c r="BF453" i="1" s="1"/>
  <c r="BE453" i="1" s="1" a="1"/>
  <c r="BE453" i="1" s="1"/>
  <c r="CR511" i="1"/>
  <c r="CV511" i="1" s="1"/>
  <c r="CT486" i="1"/>
  <c r="CU486" i="1" s="1"/>
  <c r="CO393" i="1"/>
  <c r="CQ449" i="1"/>
  <c r="BF133" i="1" a="1"/>
  <c r="BF133" i="1" s="1"/>
  <c r="BE133" i="1" s="1" a="1"/>
  <c r="BE133" i="1" s="1"/>
  <c r="CQ420" i="1"/>
  <c r="CQ134" i="1"/>
  <c r="CS424" i="1"/>
  <c r="CR138" i="1"/>
  <c r="CQ139" i="1"/>
  <c r="CP140" i="1"/>
  <c r="CQ702" i="1"/>
  <c r="CT908" i="1"/>
  <c r="CT909" i="1"/>
  <c r="CR529" i="1"/>
  <c r="CV529" i="1" s="1"/>
  <c r="CR372" i="1"/>
  <c r="BF332" i="1" a="1"/>
  <c r="BF332" i="1" s="1"/>
  <c r="BE332" i="1" s="1" a="1"/>
  <c r="BE332" i="1" s="1"/>
  <c r="CO647" i="1"/>
  <c r="CT862" i="1"/>
  <c r="BE110" i="1" a="1"/>
  <c r="BE110" i="1" s="1"/>
  <c r="CQ46" i="1"/>
  <c r="BE500" i="1" a="1"/>
  <c r="BE500" i="1" s="1"/>
  <c r="CR455" i="1"/>
  <c r="CV455" i="1" s="1"/>
  <c r="CR521" i="1"/>
  <c r="CR111" i="1"/>
  <c r="CV111" i="1" s="1"/>
  <c r="CT113" i="1"/>
  <c r="CU113" i="1" s="1"/>
  <c r="BF116" i="1" a="1"/>
  <c r="BF116" i="1" s="1"/>
  <c r="BF119" i="1" a="1"/>
  <c r="BF119" i="1" s="1"/>
  <c r="BE119" i="1" s="1" a="1"/>
  <c r="BE119" i="1" s="1"/>
  <c r="CT119" i="1"/>
  <c r="CU119" i="1" s="1"/>
  <c r="CS121" i="1"/>
  <c r="CV121" i="1" s="1"/>
  <c r="BF122" i="1" a="1"/>
  <c r="BF122" i="1" s="1"/>
  <c r="BE122" i="1" s="1" a="1"/>
  <c r="BE122" i="1" s="1"/>
  <c r="BF103" i="1" a="1"/>
  <c r="BF103" i="1" s="1"/>
  <c r="BE103" i="1" s="1" a="1"/>
  <c r="BE103" i="1" s="1"/>
  <c r="BF93" i="1" a="1"/>
  <c r="BF93" i="1" s="1"/>
  <c r="BE93" i="1" s="1" a="1"/>
  <c r="BE93" i="1" s="1"/>
  <c r="CP95" i="1"/>
  <c r="CS483" i="1"/>
  <c r="CV483" i="1" s="1"/>
  <c r="CS485" i="1"/>
  <c r="CV485" i="1" s="1"/>
  <c r="CS512" i="1"/>
  <c r="CV512" i="1" s="1"/>
  <c r="CP393" i="1"/>
  <c r="CT426" i="1"/>
  <c r="CS138" i="1"/>
  <c r="BY711" i="1"/>
  <c r="CT701" i="1"/>
  <c r="BF96" i="1" a="1"/>
  <c r="BF96" i="1" s="1"/>
  <c r="BE96" i="1" s="1" a="1"/>
  <c r="BE96" i="1" s="1"/>
  <c r="CR393" i="1"/>
  <c r="CV393" i="1" s="1"/>
  <c r="BY945" i="1"/>
  <c r="BY845" i="1"/>
  <c r="CT845" i="1"/>
  <c r="BY889" i="1"/>
  <c r="CO949" i="1"/>
  <c r="CS848" i="1"/>
  <c r="CT848" i="1"/>
  <c r="CS855" i="1"/>
  <c r="CR855" i="1"/>
  <c r="CT963" i="1"/>
  <c r="CT876" i="1"/>
  <c r="CS876" i="1"/>
  <c r="CR876" i="1"/>
  <c r="CP876" i="1"/>
  <c r="CO876" i="1"/>
  <c r="CQ860" i="1"/>
  <c r="CP860" i="1"/>
  <c r="CR848" i="1"/>
  <c r="CO899" i="1"/>
  <c r="CS899" i="1"/>
  <c r="CP899" i="1"/>
  <c r="CS460" i="1"/>
  <c r="CR460" i="1"/>
  <c r="CP460" i="1"/>
  <c r="CO460" i="1"/>
  <c r="CS462" i="1"/>
  <c r="CR462" i="1"/>
  <c r="CQ462" i="1"/>
  <c r="CO462" i="1"/>
  <c r="CQ463" i="1"/>
  <c r="BY919" i="1"/>
  <c r="CT919" i="1"/>
  <c r="CT464" i="1"/>
  <c r="CS464" i="1"/>
  <c r="CO464" i="1"/>
  <c r="CO735" i="1"/>
  <c r="CS895" i="1"/>
  <c r="CR895" i="1"/>
  <c r="CP895" i="1"/>
  <c r="CT850" i="1"/>
  <c r="CR464" i="1"/>
  <c r="CP945" i="1"/>
  <c r="CO670" i="1"/>
  <c r="CP949" i="1"/>
  <c r="CS945" i="1"/>
  <c r="CV945" i="1" s="1"/>
  <c r="BY733" i="1"/>
  <c r="CO490" i="1"/>
  <c r="CO428" i="1"/>
  <c r="CR949" i="1"/>
  <c r="CV949" i="1" s="1"/>
  <c r="CR947" i="1"/>
  <c r="CS947" i="1"/>
  <c r="CP490" i="1"/>
  <c r="CP428" i="1"/>
  <c r="CO847" i="1"/>
  <c r="CS847" i="1"/>
  <c r="CV847" i="1" s="1"/>
  <c r="BY953" i="1"/>
  <c r="CR899" i="1"/>
  <c r="CP462" i="1"/>
  <c r="CO465" i="1"/>
  <c r="CS465" i="1"/>
  <c r="CV465" i="1" s="1"/>
  <c r="CP465" i="1"/>
  <c r="CQ979" i="1"/>
  <c r="BY979" i="1"/>
  <c r="BY939" i="1"/>
  <c r="CS893" i="1"/>
  <c r="CV893" i="1" s="1"/>
  <c r="BY687" i="1"/>
  <c r="CQ673" i="1"/>
  <c r="CO693" i="1"/>
  <c r="CT893" i="1"/>
  <c r="CQ675" i="1"/>
  <c r="CT737" i="1"/>
  <c r="BY737" i="1"/>
  <c r="CS463" i="1"/>
  <c r="CT463" i="1"/>
  <c r="CR463" i="1"/>
  <c r="CP463" i="1"/>
  <c r="CO463" i="1"/>
  <c r="BY872" i="1"/>
  <c r="CT872" i="1"/>
  <c r="CS979" i="1"/>
  <c r="CR979" i="1"/>
  <c r="CP979" i="1"/>
  <c r="CO979" i="1"/>
  <c r="CO945" i="1"/>
  <c r="CT960" i="1"/>
  <c r="BY925" i="1"/>
  <c r="CT925" i="1"/>
  <c r="CT875" i="1"/>
  <c r="CP875" i="1"/>
  <c r="CO875" i="1"/>
  <c r="CT688" i="1"/>
  <c r="CQ490" i="1"/>
  <c r="CQ428" i="1"/>
  <c r="CR428" i="1"/>
  <c r="CV428" i="1" s="1"/>
  <c r="BF90" i="1" a="1"/>
  <c r="BF90" i="1" s="1"/>
  <c r="BE90" i="1" s="1" a="1"/>
  <c r="BE90" i="1" s="1"/>
  <c r="CR490" i="1"/>
  <c r="CV490" i="1" s="1"/>
  <c r="BY891" i="1"/>
  <c r="BY846" i="1"/>
  <c r="CP689" i="1"/>
  <c r="CR733" i="1"/>
  <c r="CP733" i="1"/>
  <c r="BF89" i="1" a="1"/>
  <c r="BF89" i="1" s="1"/>
  <c r="BE89" i="1" s="1" a="1"/>
  <c r="BE89" i="1" s="1"/>
  <c r="BY893" i="1"/>
  <c r="CR898" i="1"/>
  <c r="CT969" i="1"/>
  <c r="CQ687" i="1"/>
  <c r="BY855" i="1"/>
  <c r="CP963" i="1"/>
  <c r="CT933" i="1"/>
  <c r="CQ881" i="1"/>
  <c r="CP678" i="1"/>
  <c r="BY679" i="1"/>
  <c r="CO731" i="1"/>
  <c r="CP553" i="1"/>
  <c r="CS666" i="1"/>
  <c r="CR666" i="1"/>
  <c r="BY927" i="1"/>
  <c r="BY866" i="1"/>
  <c r="CO654" i="1"/>
  <c r="CP731" i="1"/>
  <c r="BY551" i="1"/>
  <c r="CR554" i="1"/>
  <c r="CO554" i="1"/>
  <c r="BY897" i="1"/>
  <c r="BY851" i="1"/>
  <c r="BY467" i="1"/>
  <c r="CP928" i="1"/>
  <c r="CO975" i="1"/>
  <c r="CO933" i="1"/>
  <c r="CO980" i="1"/>
  <c r="CQ676" i="1"/>
  <c r="CO739" i="1"/>
  <c r="CP688" i="1"/>
  <c r="CR731" i="1"/>
  <c r="CV731" i="1" s="1"/>
  <c r="CO716" i="1"/>
  <c r="CO550" i="1"/>
  <c r="CT730" i="1"/>
  <c r="CS730" i="1"/>
  <c r="CP730" i="1"/>
  <c r="CO730" i="1"/>
  <c r="BF87" i="1" a="1"/>
  <c r="BF87" i="1" s="1"/>
  <c r="BE87" i="1" s="1" a="1"/>
  <c r="BE87" i="1" s="1"/>
  <c r="BF142" i="1" a="1"/>
  <c r="BF142" i="1" s="1"/>
  <c r="BE142" i="1" s="1" a="1"/>
  <c r="BE142" i="1" s="1"/>
  <c r="CO950" i="1"/>
  <c r="CR852" i="1"/>
  <c r="BY854" i="1"/>
  <c r="BY958" i="1"/>
  <c r="CR902" i="1"/>
  <c r="CV902" i="1" s="1"/>
  <c r="CS857" i="1"/>
  <c r="CO459" i="1"/>
  <c r="CO925" i="1"/>
  <c r="CO927" i="1"/>
  <c r="CO866" i="1"/>
  <c r="CQ870" i="1"/>
  <c r="CR928" i="1"/>
  <c r="CO929" i="1"/>
  <c r="CO931" i="1"/>
  <c r="CP975" i="1"/>
  <c r="CP933" i="1"/>
  <c r="CS977" i="1"/>
  <c r="CV977" i="1" s="1"/>
  <c r="CO881" i="1"/>
  <c r="BY936" i="1"/>
  <c r="CP980" i="1"/>
  <c r="CO937" i="1"/>
  <c r="CS676" i="1"/>
  <c r="BY738" i="1"/>
  <c r="CP739" i="1"/>
  <c r="CQ688" i="1"/>
  <c r="CP940" i="1"/>
  <c r="CP716" i="1"/>
  <c r="BY717" i="1"/>
  <c r="BY718" i="1"/>
  <c r="BY719" i="1"/>
  <c r="CP550" i="1"/>
  <c r="CO724" i="1"/>
  <c r="CT728" i="1"/>
  <c r="CR730" i="1"/>
  <c r="BY672" i="1"/>
  <c r="CQ734" i="1"/>
  <c r="CP950" i="1"/>
  <c r="CR897" i="1"/>
  <c r="CQ898" i="1"/>
  <c r="CS852" i="1"/>
  <c r="CQ899" i="1"/>
  <c r="BY858" i="1"/>
  <c r="CQ904" i="1"/>
  <c r="CP459" i="1"/>
  <c r="CQ467" i="1"/>
  <c r="CO923" i="1"/>
  <c r="CP925" i="1"/>
  <c r="CP927" i="1"/>
  <c r="CP866" i="1"/>
  <c r="CO967" i="1"/>
  <c r="CO969" i="1"/>
  <c r="CO971" i="1"/>
  <c r="CS928" i="1"/>
  <c r="CP929" i="1"/>
  <c r="CS931" i="1"/>
  <c r="CS975" i="1"/>
  <c r="CV975" i="1" s="1"/>
  <c r="CQ933" i="1"/>
  <c r="CP881" i="1"/>
  <c r="CS980" i="1"/>
  <c r="CR739" i="1"/>
  <c r="CV739" i="1" s="1"/>
  <c r="CO679" i="1"/>
  <c r="CP687" i="1"/>
  <c r="CQ961" i="1"/>
  <c r="CT649" i="1"/>
  <c r="CQ731" i="1"/>
  <c r="CR716" i="1"/>
  <c r="CV716" i="1" s="1"/>
  <c r="CR550" i="1"/>
  <c r="CV550" i="1" s="1"/>
  <c r="CP724" i="1"/>
  <c r="CQ553" i="1"/>
  <c r="CT428" i="1"/>
  <c r="CT949" i="1"/>
  <c r="CQ847" i="1"/>
  <c r="CQ895" i="1"/>
  <c r="BY850" i="1"/>
  <c r="CT852" i="1"/>
  <c r="CR459" i="1"/>
  <c r="CV459" i="1" s="1"/>
  <c r="CQ461" i="1"/>
  <c r="BY466" i="1"/>
  <c r="CQ868" i="1"/>
  <c r="CQ929" i="1"/>
  <c r="CQ876" i="1"/>
  <c r="CR933" i="1"/>
  <c r="CV933" i="1" s="1"/>
  <c r="CT935" i="1"/>
  <c r="CT979" i="1"/>
  <c r="CT936" i="1"/>
  <c r="BY882" i="1"/>
  <c r="BY682" i="1"/>
  <c r="BY941" i="1"/>
  <c r="CT717" i="1"/>
  <c r="CR724" i="1"/>
  <c r="CV724" i="1" s="1"/>
  <c r="CS665" i="1"/>
  <c r="CR665" i="1"/>
  <c r="BY901" i="1"/>
  <c r="BY694" i="1"/>
  <c r="CT927" i="1"/>
  <c r="BY879" i="1"/>
  <c r="BY680" i="1"/>
  <c r="CT860" i="1"/>
  <c r="CQ550" i="1"/>
  <c r="BY139" i="1"/>
  <c r="CT663" i="1"/>
  <c r="CU663" i="1" s="1"/>
  <c r="CP480" i="1"/>
  <c r="CQ482" i="1"/>
  <c r="CT545" i="1"/>
  <c r="CR547" i="1"/>
  <c r="CO573" i="1"/>
  <c r="CS574" i="1"/>
  <c r="CS417" i="1"/>
  <c r="CS129" i="1"/>
  <c r="CV129" i="1" s="1"/>
  <c r="CO132" i="1"/>
  <c r="CQ133" i="1"/>
  <c r="CS420" i="1"/>
  <c r="CQ135" i="1"/>
  <c r="CS136" i="1"/>
  <c r="CR425" i="1"/>
  <c r="CO137" i="1"/>
  <c r="BF139" i="1" a="1"/>
  <c r="BF139" i="1" s="1"/>
  <c r="BE139" i="1" s="1" a="1"/>
  <c r="BE139" i="1" s="1"/>
  <c r="CR699" i="1"/>
  <c r="BY909" i="1"/>
  <c r="CQ910" i="1"/>
  <c r="CS911" i="1"/>
  <c r="CQ917" i="1"/>
  <c r="CQ366" i="1"/>
  <c r="CQ480" i="1"/>
  <c r="CP573" i="1"/>
  <c r="CQ574" i="1"/>
  <c r="CT417" i="1"/>
  <c r="CP132" i="1"/>
  <c r="CP137" i="1"/>
  <c r="CS699" i="1"/>
  <c r="CR910" i="1"/>
  <c r="CV910" i="1" s="1"/>
  <c r="CT911" i="1"/>
  <c r="BY365" i="1"/>
  <c r="CS663" i="1"/>
  <c r="CV663" i="1" s="1"/>
  <c r="CS477" i="1"/>
  <c r="CO479" i="1"/>
  <c r="CR480" i="1"/>
  <c r="CS481" i="1"/>
  <c r="CV481" i="1" s="1"/>
  <c r="CS482" i="1"/>
  <c r="CO20" i="1"/>
  <c r="CO388" i="1"/>
  <c r="CO546" i="1"/>
  <c r="CO572" i="1"/>
  <c r="CR573" i="1"/>
  <c r="CV573" i="1" s="1"/>
  <c r="CQ417" i="1"/>
  <c r="CO418" i="1"/>
  <c r="CP419" i="1"/>
  <c r="CO130" i="1"/>
  <c r="CP131" i="1"/>
  <c r="CR132" i="1"/>
  <c r="CS133" i="1"/>
  <c r="CO422" i="1"/>
  <c r="CS135" i="1"/>
  <c r="CP426" i="1"/>
  <c r="CO427" i="1"/>
  <c r="CR137" i="1"/>
  <c r="CP138" i="1"/>
  <c r="CP139" i="1"/>
  <c r="CO908" i="1"/>
  <c r="CO909" i="1"/>
  <c r="CO915" i="1"/>
  <c r="CS917" i="1"/>
  <c r="BY644" i="1"/>
  <c r="EP644" i="1" s="1"/>
  <c r="CQ372" i="1"/>
  <c r="CP372" i="1"/>
  <c r="BY440" i="1"/>
  <c r="CP479" i="1"/>
  <c r="CS480" i="1"/>
  <c r="CT482" i="1"/>
  <c r="BY386" i="1"/>
  <c r="CP388" i="1"/>
  <c r="CP546" i="1"/>
  <c r="CP572" i="1"/>
  <c r="CP418" i="1"/>
  <c r="CS419" i="1"/>
  <c r="CV419" i="1" s="1"/>
  <c r="BF129" i="1" a="1"/>
  <c r="BF129" i="1" s="1"/>
  <c r="BE129" i="1" s="1" a="1"/>
  <c r="BE129" i="1" s="1"/>
  <c r="CP130" i="1"/>
  <c r="CS132" i="1"/>
  <c r="CP422" i="1"/>
  <c r="CQ425" i="1"/>
  <c r="CP427" i="1"/>
  <c r="CS137" i="1"/>
  <c r="CQ138" i="1"/>
  <c r="CT699" i="1"/>
  <c r="CP908" i="1"/>
  <c r="CP909" i="1"/>
  <c r="CT917" i="1"/>
  <c r="BY527" i="1"/>
  <c r="CP366" i="1"/>
  <c r="CO366" i="1"/>
  <c r="CT370" i="1"/>
  <c r="CS370" i="1"/>
  <c r="CQ686" i="1"/>
  <c r="CU686" i="1" s="1"/>
  <c r="CP686" i="1"/>
  <c r="CO686" i="1"/>
  <c r="CS546" i="1"/>
  <c r="CQ573" i="1"/>
  <c r="BY552" i="1"/>
  <c r="CQ730" i="1"/>
  <c r="CP478" i="1"/>
  <c r="CR479" i="1"/>
  <c r="CV479" i="1" s="1"/>
  <c r="BY481" i="1"/>
  <c r="CQ386" i="1"/>
  <c r="CR713" i="1"/>
  <c r="CQ572" i="1"/>
  <c r="CO574" i="1"/>
  <c r="CO417" i="1"/>
  <c r="CS418" i="1"/>
  <c r="CO129" i="1"/>
  <c r="CS130" i="1"/>
  <c r="CQ132" i="1"/>
  <c r="CO420" i="1"/>
  <c r="CR422" i="1"/>
  <c r="CV422" i="1" s="1"/>
  <c r="CR427" i="1"/>
  <c r="CV427" i="1" s="1"/>
  <c r="CQ137" i="1"/>
  <c r="BY140" i="1"/>
  <c r="CO699" i="1"/>
  <c r="CT905" i="1"/>
  <c r="CU905" i="1" s="1"/>
  <c r="CR908" i="1"/>
  <c r="CV908" i="1" s="1"/>
  <c r="CR909" i="1"/>
  <c r="CV909" i="1" s="1"/>
  <c r="CS912" i="1"/>
  <c r="CO527" i="1"/>
  <c r="CS366" i="1"/>
  <c r="CV366" i="1" s="1"/>
  <c r="CP370" i="1"/>
  <c r="CS440" i="1"/>
  <c r="CR440" i="1"/>
  <c r="BY728" i="1"/>
  <c r="CR412" i="1"/>
  <c r="BY20" i="1"/>
  <c r="BY21" i="1"/>
  <c r="BY388" i="1"/>
  <c r="CO547" i="1"/>
  <c r="CS713" i="1"/>
  <c r="BY571" i="1"/>
  <c r="BF132" i="1" a="1"/>
  <c r="BF132" i="1" s="1"/>
  <c r="BE132" i="1" s="1" a="1"/>
  <c r="BE132" i="1" s="1"/>
  <c r="BF135" i="1" a="1"/>
  <c r="BF135" i="1" s="1"/>
  <c r="BE135" i="1" s="1" a="1"/>
  <c r="BE135" i="1" s="1"/>
  <c r="CQ424" i="1"/>
  <c r="CQ426" i="1"/>
  <c r="BY905" i="1"/>
  <c r="CO440" i="1"/>
  <c r="BE442" i="1" a="1"/>
  <c r="BE442" i="1" s="1"/>
  <c r="CR442" i="1"/>
  <c r="CV442" i="1" s="1"/>
  <c r="CP442" i="1"/>
  <c r="BY55" i="1"/>
  <c r="CS107" i="1"/>
  <c r="CV107" i="1" s="1"/>
  <c r="CT47" i="1"/>
  <c r="CT50" i="1"/>
  <c r="CQ51" i="1"/>
  <c r="CS51" i="1"/>
  <c r="CV51" i="1" s="1"/>
  <c r="CS502" i="1"/>
  <c r="BF484" i="1" a="1"/>
  <c r="BF484" i="1" s="1"/>
  <c r="BE484" i="1" s="1" a="1"/>
  <c r="BE484" i="1" s="1"/>
  <c r="BF485" i="1" a="1"/>
  <c r="BF485" i="1" s="1"/>
  <c r="BE485" i="1" s="1" a="1"/>
  <c r="BE485" i="1" s="1"/>
  <c r="CT414" i="1"/>
  <c r="CU414" i="1" s="1"/>
  <c r="CO494" i="1"/>
  <c r="BY348" i="1"/>
  <c r="CO340" i="1"/>
  <c r="CO651" i="1"/>
  <c r="CP863" i="1"/>
  <c r="CT107" i="1"/>
  <c r="BY56" i="1"/>
  <c r="BE109" i="1" a="1"/>
  <c r="BE109" i="1" s="1"/>
  <c r="CO57" i="1"/>
  <c r="CO60" i="1"/>
  <c r="CO45" i="1"/>
  <c r="CR46" i="1"/>
  <c r="CR64" i="1"/>
  <c r="CV64" i="1" s="1"/>
  <c r="CO85" i="1"/>
  <c r="BE86" i="1" a="1"/>
  <c r="BE86" i="1" s="1"/>
  <c r="CO92" i="1"/>
  <c r="CO105" i="1"/>
  <c r="CP535" i="1"/>
  <c r="CS501" i="1"/>
  <c r="CV501" i="1" s="1"/>
  <c r="BY457" i="1"/>
  <c r="CO458" i="1"/>
  <c r="CS521" i="1"/>
  <c r="CP496" i="1"/>
  <c r="CT505" i="1"/>
  <c r="CO506" i="1"/>
  <c r="CS117" i="1"/>
  <c r="CV117" i="1" s="1"/>
  <c r="CR119" i="1"/>
  <c r="CS706" i="1"/>
  <c r="BY510" i="1"/>
  <c r="CQ367" i="1"/>
  <c r="CO529" i="1"/>
  <c r="BE440" i="1" a="1"/>
  <c r="BE440" i="1" s="1"/>
  <c r="CT415" i="1"/>
  <c r="CU415" i="1" s="1"/>
  <c r="CR494" i="1"/>
  <c r="CV494" i="1" s="1"/>
  <c r="BY343" i="1"/>
  <c r="CP340" i="1"/>
  <c r="CP651" i="1"/>
  <c r="CR863" i="1"/>
  <c r="CV863" i="1" s="1"/>
  <c r="BE56" i="1" a="1"/>
  <c r="BE56" i="1" s="1"/>
  <c r="CR57" i="1"/>
  <c r="CV57" i="1" s="1"/>
  <c r="CP60" i="1"/>
  <c r="CP45" i="1"/>
  <c r="CS46" i="1"/>
  <c r="CP92" i="1"/>
  <c r="CP458" i="1"/>
  <c r="CS496" i="1"/>
  <c r="CV496" i="1" s="1"/>
  <c r="CP505" i="1"/>
  <c r="CP506" i="1"/>
  <c r="CR704" i="1"/>
  <c r="CV704" i="1" s="1"/>
  <c r="CT117" i="1"/>
  <c r="CU117" i="1" s="1"/>
  <c r="CS119" i="1"/>
  <c r="CR120" i="1"/>
  <c r="CV120" i="1" s="1"/>
  <c r="CS122" i="1"/>
  <c r="CV122" i="1" s="1"/>
  <c r="CO100" i="1"/>
  <c r="CO101" i="1"/>
  <c r="CR104" i="1"/>
  <c r="CP94" i="1"/>
  <c r="CQ95" i="1"/>
  <c r="BF97" i="1" a="1"/>
  <c r="BF97" i="1" s="1"/>
  <c r="BE97" i="1" s="1" a="1"/>
  <c r="BE97" i="1" s="1"/>
  <c r="CT453" i="1"/>
  <c r="CU453" i="1" s="1"/>
  <c r="CS486" i="1"/>
  <c r="BF392" i="1" a="1"/>
  <c r="BF392" i="1" s="1"/>
  <c r="BE392" i="1" s="1" a="1"/>
  <c r="BE392" i="1" s="1"/>
  <c r="BF450" i="1" a="1"/>
  <c r="BF450" i="1" s="1"/>
  <c r="BE450" i="1" s="1" a="1"/>
  <c r="BE450" i="1" s="1"/>
  <c r="CS415" i="1"/>
  <c r="BE492" i="1" a="1"/>
  <c r="BE492" i="1" s="1"/>
  <c r="CT493" i="1"/>
  <c r="BY338" i="1"/>
  <c r="BY861" i="1"/>
  <c r="BE107" i="1" a="1"/>
  <c r="BE107" i="1" s="1"/>
  <c r="CQ60" i="1"/>
  <c r="CR45" i="1"/>
  <c r="CV45" i="1" s="1"/>
  <c r="BY51" i="1"/>
  <c r="BE106" i="1" a="1"/>
  <c r="BE106" i="1" s="1"/>
  <c r="BE538" i="1" a="1"/>
  <c r="BE538" i="1" s="1"/>
  <c r="BF111" i="1" a="1"/>
  <c r="BF111" i="1" s="1"/>
  <c r="BE111" i="1" s="1" a="1"/>
  <c r="BE111" i="1" s="1"/>
  <c r="BF114" i="1" a="1"/>
  <c r="BF114" i="1" s="1"/>
  <c r="BE114" i="1" s="1" a="1"/>
  <c r="BE114" i="1" s="1"/>
  <c r="CR118" i="1"/>
  <c r="CV118" i="1" s="1"/>
  <c r="CT122" i="1"/>
  <c r="CU122" i="1" s="1"/>
  <c r="CQ504" i="1"/>
  <c r="CP100" i="1"/>
  <c r="CP101" i="1"/>
  <c r="CP701" i="1"/>
  <c r="CS104" i="1"/>
  <c r="CR95" i="1"/>
  <c r="CV95" i="1" s="1"/>
  <c r="CP698" i="1"/>
  <c r="CQ378" i="1"/>
  <c r="CQ393" i="1"/>
  <c r="BY109" i="1"/>
  <c r="BY110" i="1"/>
  <c r="BY368" i="1"/>
  <c r="CT347" i="1"/>
  <c r="CT338" i="1"/>
  <c r="BY339" i="1"/>
  <c r="CP647" i="1"/>
  <c r="CP862" i="1"/>
  <c r="CQ863" i="1"/>
  <c r="CO107" i="1"/>
  <c r="CO108" i="1"/>
  <c r="CO47" i="1"/>
  <c r="BY85" i="1"/>
  <c r="CO51" i="1"/>
  <c r="CO502" i="1"/>
  <c r="CO457" i="1"/>
  <c r="CQ458" i="1"/>
  <c r="CT489" i="1"/>
  <c r="CR705" i="1"/>
  <c r="CV705" i="1" s="1"/>
  <c r="CO495" i="1"/>
  <c r="CO99" i="1"/>
  <c r="CR101" i="1"/>
  <c r="CV101" i="1" s="1"/>
  <c r="CO93" i="1"/>
  <c r="BF95" i="1" a="1"/>
  <c r="BF95" i="1" s="1"/>
  <c r="BE95" i="1" s="1" a="1"/>
  <c r="BE95" i="1" s="1"/>
  <c r="BY97" i="1"/>
  <c r="CR647" i="1"/>
  <c r="CV647" i="1" s="1"/>
  <c r="CR862" i="1"/>
  <c r="CP107" i="1"/>
  <c r="CR108" i="1"/>
  <c r="CV108" i="1" s="1"/>
  <c r="CT60" i="1"/>
  <c r="BE45" i="1" a="1"/>
  <c r="BE45" i="1" s="1"/>
  <c r="CP47" i="1"/>
  <c r="CP51" i="1"/>
  <c r="BE105" i="1" a="1"/>
  <c r="BE105" i="1" s="1"/>
  <c r="CP502" i="1"/>
  <c r="BY509" i="1"/>
  <c r="CQ505" i="1"/>
  <c r="CQ100" i="1"/>
  <c r="BF102" i="1" a="1"/>
  <c r="BF102" i="1" s="1"/>
  <c r="BE102" i="1" s="1" a="1"/>
  <c r="BE102" i="1" s="1"/>
  <c r="BF483" i="1" a="1"/>
  <c r="BF483" i="1" s="1"/>
  <c r="BE483" i="1" s="1" a="1"/>
  <c r="BE483" i="1" s="1"/>
  <c r="BF393" i="1" a="1"/>
  <c r="BF393" i="1" s="1"/>
  <c r="BE393" i="1" s="1" a="1"/>
  <c r="BE393" i="1" s="1"/>
  <c r="CQ450" i="1"/>
  <c r="CQ647" i="1"/>
  <c r="CS862" i="1"/>
  <c r="CQ108" i="1"/>
  <c r="BY57" i="1"/>
  <c r="CT45" i="1"/>
  <c r="CS47" i="1"/>
  <c r="CV47" i="1" s="1"/>
  <c r="BY105" i="1"/>
  <c r="CR502" i="1"/>
  <c r="CT121" i="1"/>
  <c r="CU121" i="1" s="1"/>
  <c r="BY503" i="1"/>
  <c r="BY104" i="1"/>
  <c r="BF94" i="1" a="1"/>
  <c r="BF94" i="1" s="1"/>
  <c r="BE94" i="1" s="1" a="1"/>
  <c r="BE94" i="1" s="1"/>
  <c r="CT378" i="1"/>
  <c r="CT642" i="1"/>
  <c r="CS642" i="1"/>
  <c r="CR642" i="1"/>
  <c r="CO642" i="1"/>
  <c r="CT982" i="1"/>
  <c r="CT669" i="1"/>
  <c r="CU669" i="1" s="1"/>
  <c r="CO25" i="1"/>
  <c r="CR25" i="1"/>
  <c r="CP25" i="1"/>
  <c r="CS904" i="1"/>
  <c r="CV904" i="1" s="1"/>
  <c r="CS653" i="1"/>
  <c r="CR669" i="1"/>
  <c r="CV669" i="1" s="1"/>
  <c r="CT470" i="1"/>
  <c r="BN476" i="1"/>
  <c r="BO476" i="1" s="1"/>
  <c r="BY476" i="1" s="1"/>
  <c r="CN410" i="1"/>
  <c r="CP410" i="1" s="1"/>
  <c r="CN411" i="1"/>
  <c r="CP411" i="1" s="1"/>
  <c r="CS412" i="1"/>
  <c r="BY454" i="1"/>
  <c r="BV714" i="1"/>
  <c r="BX714" i="1" s="1"/>
  <c r="BY714" i="1" s="1"/>
  <c r="CO419" i="1"/>
  <c r="CN884" i="1"/>
  <c r="CO884" i="1" s="1"/>
  <c r="BY942" i="1"/>
  <c r="CS492" i="1"/>
  <c r="CR332" i="1"/>
  <c r="CV332" i="1" s="1"/>
  <c r="CS331" i="1"/>
  <c r="CV331" i="1" s="1"/>
  <c r="CN475" i="1"/>
  <c r="CO475" i="1" s="1"/>
  <c r="BY648" i="1"/>
  <c r="CP654" i="1"/>
  <c r="CN406" i="1"/>
  <c r="BN943" i="1"/>
  <c r="BO943" i="1" s="1"/>
  <c r="CQ943" i="1" s="1"/>
  <c r="BN25" i="1"/>
  <c r="BO25" i="1" s="1"/>
  <c r="CQ25" i="1" s="1"/>
  <c r="BN469" i="1"/>
  <c r="BO469" i="1" s="1"/>
  <c r="CQ469" i="1" s="1"/>
  <c r="BN470" i="1"/>
  <c r="BO470" i="1" s="1"/>
  <c r="BY470" i="1" s="1"/>
  <c r="CQ419" i="1"/>
  <c r="BY702" i="1"/>
  <c r="BN646" i="1"/>
  <c r="BO646" i="1" s="1"/>
  <c r="BM884" i="1"/>
  <c r="CN886" i="1"/>
  <c r="CS886" i="1" s="1"/>
  <c r="CN887" i="1"/>
  <c r="CS887" i="1" s="1"/>
  <c r="CO683" i="1"/>
  <c r="CN438" i="1"/>
  <c r="CR438" i="1" s="1"/>
  <c r="CP942" i="1"/>
  <c r="CO91" i="1"/>
  <c r="BY493" i="1"/>
  <c r="CR348" i="1"/>
  <c r="CV348" i="1" s="1"/>
  <c r="CO338" i="1"/>
  <c r="CO982" i="1"/>
  <c r="BN637" i="1"/>
  <c r="BO637" i="1" s="1"/>
  <c r="BY637" i="1" s="1"/>
  <c r="CR654" i="1"/>
  <c r="CV654" i="1" s="1"/>
  <c r="CN639" i="1"/>
  <c r="CP639" i="1" s="1"/>
  <c r="BN474" i="1"/>
  <c r="BO474" i="1" s="1"/>
  <c r="CQ492" i="1"/>
  <c r="BY918" i="1"/>
  <c r="CP982" i="1"/>
  <c r="BY456" i="1"/>
  <c r="CP904" i="1"/>
  <c r="BN653" i="1"/>
  <c r="BO653" i="1" s="1"/>
  <c r="CQ653" i="1" s="1"/>
  <c r="BM406" i="1"/>
  <c r="CR408" i="1"/>
  <c r="CV408" i="1" s="1"/>
  <c r="CN644" i="1"/>
  <c r="CT644" i="1" s="1"/>
  <c r="CS982" i="1"/>
  <c r="CV982" i="1" s="1"/>
  <c r="CT638" i="1"/>
  <c r="BY655" i="1"/>
  <c r="BY641" i="1"/>
  <c r="BU648" i="1"/>
  <c r="CR667" i="1"/>
  <c r="CV667" i="1" s="1"/>
  <c r="CR943" i="1"/>
  <c r="BU24" i="1"/>
  <c r="BN42" i="1"/>
  <c r="BO42" i="1" s="1"/>
  <c r="BV713" i="1"/>
  <c r="BX713" i="1" s="1"/>
  <c r="CT713" i="1" s="1"/>
  <c r="CR715" i="1"/>
  <c r="CV715" i="1" s="1"/>
  <c r="BM644" i="1"/>
  <c r="BV888" i="1"/>
  <c r="BX888" i="1" s="1"/>
  <c r="CO684" i="1"/>
  <c r="CO492" i="1"/>
  <c r="CO331" i="1"/>
  <c r="BU982" i="1"/>
  <c r="BY444" i="1"/>
  <c r="CP653" i="1"/>
  <c r="CN641" i="1"/>
  <c r="CP641" i="1" s="1"/>
  <c r="CS943" i="1"/>
  <c r="BY410" i="1"/>
  <c r="CR492" i="1"/>
  <c r="BY455" i="1"/>
  <c r="CT947" i="1"/>
  <c r="BY947" i="1"/>
  <c r="BY903" i="1"/>
  <c r="CT903" i="1"/>
  <c r="BY948" i="1"/>
  <c r="CT948" i="1"/>
  <c r="CT843" i="1"/>
  <c r="BY843" i="1"/>
  <c r="BY946" i="1"/>
  <c r="CT946" i="1"/>
  <c r="CQ670" i="1"/>
  <c r="BY670" i="1"/>
  <c r="CP889" i="1"/>
  <c r="CR889" i="1"/>
  <c r="CQ889" i="1"/>
  <c r="CO889" i="1"/>
  <c r="CO892" i="1"/>
  <c r="CT892" i="1"/>
  <c r="CS892" i="1"/>
  <c r="CR892" i="1"/>
  <c r="BY689" i="1"/>
  <c r="CO946" i="1"/>
  <c r="CS946" i="1"/>
  <c r="CR946" i="1"/>
  <c r="CQ946" i="1"/>
  <c r="CQ890" i="1"/>
  <c r="CQ892" i="1"/>
  <c r="CR732" i="1"/>
  <c r="CO690" i="1"/>
  <c r="CT690" i="1"/>
  <c r="CS690" i="1"/>
  <c r="CR690" i="1"/>
  <c r="BY691" i="1"/>
  <c r="CP673" i="1"/>
  <c r="CS735" i="1"/>
  <c r="CT735" i="1"/>
  <c r="CR735" i="1"/>
  <c r="CO141" i="1"/>
  <c r="CT141" i="1"/>
  <c r="CR141" i="1"/>
  <c r="CS141" i="1"/>
  <c r="CQ141" i="1"/>
  <c r="CT142" i="1"/>
  <c r="CR142" i="1"/>
  <c r="CQ142" i="1"/>
  <c r="CS142" i="1"/>
  <c r="CT855" i="1"/>
  <c r="BY904" i="1"/>
  <c r="EP904" i="1" s="1"/>
  <c r="CT904" i="1"/>
  <c r="BY465" i="1"/>
  <c r="CT465" i="1"/>
  <c r="CT727" i="1"/>
  <c r="BY727" i="1"/>
  <c r="CQ843" i="1"/>
  <c r="CR843" i="1"/>
  <c r="CO843" i="1"/>
  <c r="CP843" i="1"/>
  <c r="BY844" i="1"/>
  <c r="CT691" i="1"/>
  <c r="CS691" i="1"/>
  <c r="CR691" i="1"/>
  <c r="CQ733" i="1"/>
  <c r="CS733" i="1"/>
  <c r="CT733" i="1"/>
  <c r="CO951" i="1"/>
  <c r="CT951" i="1"/>
  <c r="CS951" i="1"/>
  <c r="CR951" i="1"/>
  <c r="CR851" i="1"/>
  <c r="CS851" i="1"/>
  <c r="CP851" i="1"/>
  <c r="CO851" i="1"/>
  <c r="CQ851" i="1"/>
  <c r="BY898" i="1"/>
  <c r="CT954" i="1"/>
  <c r="BY954" i="1"/>
  <c r="CP957" i="1"/>
  <c r="CT957" i="1"/>
  <c r="CS957" i="1"/>
  <c r="CV957" i="1" s="1"/>
  <c r="CR960" i="1"/>
  <c r="CO960" i="1"/>
  <c r="CQ960" i="1"/>
  <c r="CP960" i="1"/>
  <c r="CT858" i="1"/>
  <c r="CS858" i="1"/>
  <c r="CR858" i="1"/>
  <c r="CQ858" i="1"/>
  <c r="CR694" i="1"/>
  <c r="CS694" i="1"/>
  <c r="CT694" i="1"/>
  <c r="CQ694" i="1"/>
  <c r="BY678" i="1"/>
  <c r="CT678" i="1"/>
  <c r="CP846" i="1"/>
  <c r="CS846" i="1"/>
  <c r="CR846" i="1"/>
  <c r="CQ846" i="1"/>
  <c r="CT945" i="1"/>
  <c r="CS843" i="1"/>
  <c r="CS670" i="1"/>
  <c r="CT670" i="1"/>
  <c r="CR670" i="1"/>
  <c r="CO691" i="1"/>
  <c r="CO672" i="1"/>
  <c r="CT672" i="1"/>
  <c r="CS672" i="1"/>
  <c r="CR672" i="1"/>
  <c r="CO733" i="1"/>
  <c r="BY490" i="1"/>
  <c r="CT490" i="1"/>
  <c r="CP849" i="1"/>
  <c r="CT849" i="1"/>
  <c r="CQ849" i="1"/>
  <c r="CS849" i="1"/>
  <c r="CR849" i="1"/>
  <c r="CP951" i="1"/>
  <c r="CT851" i="1"/>
  <c r="CQ952" i="1"/>
  <c r="CR952" i="1"/>
  <c r="CT952" i="1"/>
  <c r="CS952" i="1"/>
  <c r="CO898" i="1"/>
  <c r="CT898" i="1"/>
  <c r="CS898" i="1"/>
  <c r="CQ854" i="1"/>
  <c r="CT854" i="1"/>
  <c r="CS854" i="1"/>
  <c r="CV854" i="1" s="1"/>
  <c r="CO957" i="1"/>
  <c r="CS960" i="1"/>
  <c r="CO858" i="1"/>
  <c r="CO694" i="1"/>
  <c r="CP675" i="1"/>
  <c r="CS675" i="1"/>
  <c r="CT675" i="1"/>
  <c r="CR675" i="1"/>
  <c r="BY564" i="1"/>
  <c r="CT564" i="1"/>
  <c r="CT693" i="1"/>
  <c r="CS693" i="1"/>
  <c r="CR693" i="1"/>
  <c r="CQ735" i="1"/>
  <c r="CQ736" i="1"/>
  <c r="CS736" i="1"/>
  <c r="CT736" i="1"/>
  <c r="CR736" i="1"/>
  <c r="CT955" i="1"/>
  <c r="CR955" i="1"/>
  <c r="CV955" i="1" s="1"/>
  <c r="CP955" i="1"/>
  <c r="CO955" i="1"/>
  <c r="CQ955" i="1"/>
  <c r="CR856" i="1"/>
  <c r="CS856" i="1"/>
  <c r="CT856" i="1"/>
  <c r="CQ856" i="1"/>
  <c r="CS692" i="1"/>
  <c r="CT692" i="1"/>
  <c r="CR692" i="1"/>
  <c r="CO674" i="1"/>
  <c r="CT674" i="1"/>
  <c r="CS674" i="1"/>
  <c r="CR674" i="1"/>
  <c r="CQ949" i="1"/>
  <c r="BY949" i="1"/>
  <c r="CP953" i="1"/>
  <c r="CR953" i="1"/>
  <c r="CT953" i="1"/>
  <c r="CS953" i="1"/>
  <c r="CS853" i="1"/>
  <c r="CT853" i="1"/>
  <c r="CR853" i="1"/>
  <c r="CQ853" i="1"/>
  <c r="CP853" i="1"/>
  <c r="BY900" i="1"/>
  <c r="CT900" i="1"/>
  <c r="CS901" i="1"/>
  <c r="CT901" i="1"/>
  <c r="CR901" i="1"/>
  <c r="CQ901" i="1"/>
  <c r="CO846" i="1"/>
  <c r="CP674" i="1"/>
  <c r="CT734" i="1"/>
  <c r="CS734" i="1"/>
  <c r="CR734" i="1"/>
  <c r="CO89" i="1"/>
  <c r="CT89" i="1"/>
  <c r="CS89" i="1"/>
  <c r="CR89" i="1"/>
  <c r="CQ89" i="1"/>
  <c r="CT87" i="1"/>
  <c r="CR87" i="1"/>
  <c r="CS87" i="1"/>
  <c r="CQ87" i="1"/>
  <c r="CS90" i="1"/>
  <c r="CR90" i="1"/>
  <c r="CT90" i="1"/>
  <c r="CQ90" i="1"/>
  <c r="CO953" i="1"/>
  <c r="CO853" i="1"/>
  <c r="CR956" i="1"/>
  <c r="CT956" i="1"/>
  <c r="CS956" i="1"/>
  <c r="CQ956" i="1"/>
  <c r="CP956" i="1"/>
  <c r="CT958" i="1"/>
  <c r="CS958" i="1"/>
  <c r="CP958" i="1"/>
  <c r="CR958" i="1"/>
  <c r="CQ958" i="1"/>
  <c r="CO901" i="1"/>
  <c r="CP856" i="1"/>
  <c r="BY959" i="1"/>
  <c r="CS890" i="1"/>
  <c r="CV890" i="1" s="1"/>
  <c r="CT890" i="1"/>
  <c r="CO890" i="1"/>
  <c r="CT846" i="1"/>
  <c r="CP692" i="1"/>
  <c r="CS673" i="1"/>
  <c r="CT673" i="1"/>
  <c r="CR673" i="1"/>
  <c r="CQ674" i="1"/>
  <c r="CO734" i="1"/>
  <c r="CP89" i="1"/>
  <c r="CO87" i="1"/>
  <c r="CO90" i="1"/>
  <c r="CQ88" i="1"/>
  <c r="CS88" i="1"/>
  <c r="CR88" i="1"/>
  <c r="CT88" i="1"/>
  <c r="BY895" i="1"/>
  <c r="CT895" i="1"/>
  <c r="BY896" i="1"/>
  <c r="CT896" i="1"/>
  <c r="CQ953" i="1"/>
  <c r="CO956" i="1"/>
  <c r="BY899" i="1"/>
  <c r="CT899" i="1"/>
  <c r="CP901" i="1"/>
  <c r="CS926" i="1"/>
  <c r="CR926" i="1"/>
  <c r="CT926" i="1"/>
  <c r="CQ926" i="1"/>
  <c r="CP926" i="1"/>
  <c r="CO926" i="1"/>
  <c r="CR22" i="1"/>
  <c r="CT22" i="1"/>
  <c r="CS22" i="1"/>
  <c r="CP22" i="1"/>
  <c r="CO22" i="1"/>
  <c r="CQ732" i="1"/>
  <c r="CT732" i="1"/>
  <c r="CS732" i="1"/>
  <c r="CO692" i="1"/>
  <c r="CS889" i="1"/>
  <c r="CT889" i="1"/>
  <c r="CP890" i="1"/>
  <c r="CQ948" i="1"/>
  <c r="CS948" i="1"/>
  <c r="CR948" i="1"/>
  <c r="CP948" i="1"/>
  <c r="CP892" i="1"/>
  <c r="CT689" i="1"/>
  <c r="CS689" i="1"/>
  <c r="CR689" i="1"/>
  <c r="CP732" i="1"/>
  <c r="CQ692" i="1"/>
  <c r="CQ671" i="1"/>
  <c r="CT671" i="1"/>
  <c r="CS671" i="1"/>
  <c r="CO673" i="1"/>
  <c r="CP734" i="1"/>
  <c r="CP87" i="1"/>
  <c r="CP90" i="1"/>
  <c r="CO88" i="1"/>
  <c r="BY142" i="1"/>
  <c r="CQ894" i="1"/>
  <c r="CT894" i="1"/>
  <c r="CS894" i="1"/>
  <c r="CR894" i="1"/>
  <c r="CP894" i="1"/>
  <c r="CT902" i="1"/>
  <c r="BY902" i="1"/>
  <c r="CT857" i="1"/>
  <c r="BY857" i="1"/>
  <c r="BY461" i="1"/>
  <c r="BY480" i="1"/>
  <c r="CT480" i="1"/>
  <c r="BY852" i="1"/>
  <c r="BY957" i="1"/>
  <c r="CQ855" i="1"/>
  <c r="CS922" i="1"/>
  <c r="CR922" i="1"/>
  <c r="CT922" i="1"/>
  <c r="CQ922" i="1"/>
  <c r="CP922" i="1"/>
  <c r="CO922" i="1"/>
  <c r="BY868" i="1"/>
  <c r="CS964" i="1"/>
  <c r="CR964" i="1"/>
  <c r="CT964" i="1"/>
  <c r="CP964" i="1"/>
  <c r="CO964" i="1"/>
  <c r="CQ964" i="1"/>
  <c r="BY975" i="1"/>
  <c r="CT975" i="1"/>
  <c r="BY688" i="1"/>
  <c r="CR638" i="1"/>
  <c r="CV638" i="1" s="1"/>
  <c r="CT653" i="1"/>
  <c r="CO656" i="1"/>
  <c r="CT656" i="1"/>
  <c r="CR656" i="1"/>
  <c r="CV656" i="1" s="1"/>
  <c r="CP656" i="1"/>
  <c r="CT941" i="1"/>
  <c r="BY716" i="1"/>
  <c r="BN407" i="1"/>
  <c r="BO407" i="1" s="1"/>
  <c r="BY407" i="1" s="1"/>
  <c r="CN407" i="1"/>
  <c r="BM407" i="1"/>
  <c r="BV25" i="1"/>
  <c r="BX25" i="1" s="1"/>
  <c r="CS25" i="1"/>
  <c r="BU25" i="1"/>
  <c r="CN42" i="1"/>
  <c r="BY472" i="1"/>
  <c r="CN413" i="1"/>
  <c r="BY441" i="1"/>
  <c r="CT441" i="1"/>
  <c r="BY463" i="1"/>
  <c r="CS869" i="1"/>
  <c r="CR869" i="1"/>
  <c r="CT869" i="1"/>
  <c r="CP869" i="1"/>
  <c r="CO869" i="1"/>
  <c r="CQ869" i="1"/>
  <c r="CQ878" i="1"/>
  <c r="CT981" i="1"/>
  <c r="CS981" i="1"/>
  <c r="CR981" i="1"/>
  <c r="CQ981" i="1"/>
  <c r="CP981" i="1"/>
  <c r="BY938" i="1"/>
  <c r="CT740" i="1"/>
  <c r="CS740" i="1"/>
  <c r="CR740" i="1"/>
  <c r="CP643" i="1"/>
  <c r="CO643" i="1"/>
  <c r="CR643" i="1"/>
  <c r="CT643" i="1"/>
  <c r="CS643" i="1"/>
  <c r="CT731" i="1"/>
  <c r="BY731" i="1"/>
  <c r="CQ718" i="1"/>
  <c r="CU718" i="1" s="1"/>
  <c r="CP718" i="1"/>
  <c r="CR718" i="1"/>
  <c r="CV718" i="1" s="1"/>
  <c r="CO718" i="1"/>
  <c r="BY729" i="1"/>
  <c r="CT667" i="1"/>
  <c r="CU667" i="1" s="1"/>
  <c r="BY547" i="1"/>
  <c r="CQ547" i="1"/>
  <c r="CU547" i="1" s="1"/>
  <c r="CT572" i="1"/>
  <c r="CS968" i="1"/>
  <c r="CR968" i="1"/>
  <c r="CT968" i="1"/>
  <c r="CP968" i="1"/>
  <c r="CQ968" i="1"/>
  <c r="CO968" i="1"/>
  <c r="BY928" i="1"/>
  <c r="CT928" i="1"/>
  <c r="CU928" i="1" s="1"/>
  <c r="CT973" i="1"/>
  <c r="CS973" i="1"/>
  <c r="CR973" i="1"/>
  <c r="CQ973" i="1"/>
  <c r="CP879" i="1"/>
  <c r="CO879" i="1"/>
  <c r="CR879" i="1"/>
  <c r="CQ879" i="1"/>
  <c r="CS859" i="1"/>
  <c r="CR859" i="1"/>
  <c r="CT859" i="1"/>
  <c r="CQ859" i="1"/>
  <c r="CP859" i="1"/>
  <c r="CS741" i="1"/>
  <c r="CR741" i="1"/>
  <c r="CT741" i="1"/>
  <c r="CP741" i="1"/>
  <c r="CQ741" i="1"/>
  <c r="CO741" i="1"/>
  <c r="BY742" i="1"/>
  <c r="CT742" i="1"/>
  <c r="CP657" i="1"/>
  <c r="CS657" i="1"/>
  <c r="CR657" i="1"/>
  <c r="CO657" i="1"/>
  <c r="CR648" i="1"/>
  <c r="CQ648" i="1"/>
  <c r="CS648" i="1"/>
  <c r="CT648" i="1"/>
  <c r="CP648" i="1"/>
  <c r="CS723" i="1"/>
  <c r="CR723" i="1"/>
  <c r="CT723" i="1"/>
  <c r="CQ723" i="1"/>
  <c r="CP723" i="1"/>
  <c r="CO723" i="1"/>
  <c r="CT551" i="1"/>
  <c r="CS551" i="1"/>
  <c r="CR551" i="1"/>
  <c r="CQ551" i="1"/>
  <c r="CQ557" i="1"/>
  <c r="CP557" i="1"/>
  <c r="CT557" i="1"/>
  <c r="CT729" i="1"/>
  <c r="CQ729" i="1"/>
  <c r="CP729" i="1"/>
  <c r="CS729" i="1"/>
  <c r="CR729" i="1"/>
  <c r="CO729" i="1"/>
  <c r="CT478" i="1"/>
  <c r="CT454" i="1"/>
  <c r="CS454" i="1"/>
  <c r="CP454" i="1"/>
  <c r="CO454" i="1"/>
  <c r="CR454" i="1"/>
  <c r="CQ454" i="1"/>
  <c r="BY910" i="1"/>
  <c r="CT910" i="1"/>
  <c r="CS920" i="1"/>
  <c r="CR920" i="1"/>
  <c r="CT920" i="1"/>
  <c r="CP920" i="1"/>
  <c r="CO920" i="1"/>
  <c r="CQ920" i="1"/>
  <c r="CS873" i="1"/>
  <c r="CR873" i="1"/>
  <c r="CT873" i="1"/>
  <c r="CO873" i="1"/>
  <c r="CQ873" i="1"/>
  <c r="CP873" i="1"/>
  <c r="CO973" i="1"/>
  <c r="BY930" i="1"/>
  <c r="CS879" i="1"/>
  <c r="CR939" i="1"/>
  <c r="CQ939" i="1"/>
  <c r="CT939" i="1"/>
  <c r="CS939" i="1"/>
  <c r="CO859" i="1"/>
  <c r="BN657" i="1"/>
  <c r="BO657" i="1" s="1"/>
  <c r="CQ657" i="1" s="1"/>
  <c r="CT940" i="1"/>
  <c r="CS940" i="1"/>
  <c r="CR940" i="1"/>
  <c r="CO648" i="1"/>
  <c r="BY722" i="1"/>
  <c r="CT722" i="1"/>
  <c r="CO551" i="1"/>
  <c r="BY725" i="1"/>
  <c r="CT725" i="1"/>
  <c r="CT552" i="1"/>
  <c r="CS552" i="1"/>
  <c r="CR552" i="1"/>
  <c r="CQ552" i="1"/>
  <c r="CS555" i="1"/>
  <c r="CR555" i="1"/>
  <c r="CT555" i="1"/>
  <c r="CQ555" i="1"/>
  <c r="CO557" i="1"/>
  <c r="CR24" i="1"/>
  <c r="CQ24" i="1"/>
  <c r="BY366" i="1"/>
  <c r="CT366" i="1"/>
  <c r="BY459" i="1"/>
  <c r="BY923" i="1"/>
  <c r="CS867" i="1"/>
  <c r="CR867" i="1"/>
  <c r="CT867" i="1"/>
  <c r="CP867" i="1"/>
  <c r="CQ867" i="1"/>
  <c r="CO867" i="1"/>
  <c r="BY965" i="1"/>
  <c r="CP973" i="1"/>
  <c r="CP930" i="1"/>
  <c r="CO930" i="1"/>
  <c r="CT930" i="1"/>
  <c r="CS930" i="1"/>
  <c r="CV930" i="1" s="1"/>
  <c r="CV974" i="1"/>
  <c r="CT879" i="1"/>
  <c r="CO939" i="1"/>
  <c r="BY860" i="1"/>
  <c r="CT637" i="1"/>
  <c r="BU649" i="1"/>
  <c r="CP551" i="1"/>
  <c r="CO552" i="1"/>
  <c r="CQ554" i="1"/>
  <c r="CP554" i="1"/>
  <c r="CT554" i="1"/>
  <c r="CO555" i="1"/>
  <c r="CR557" i="1"/>
  <c r="CN473" i="1"/>
  <c r="BN473" i="1"/>
  <c r="BO473" i="1" s="1"/>
  <c r="BY473" i="1" s="1"/>
  <c r="BY477" i="1"/>
  <c r="CT477" i="1"/>
  <c r="BY573" i="1"/>
  <c r="CT573" i="1"/>
  <c r="BY135" i="1"/>
  <c r="CT135" i="1"/>
  <c r="BY460" i="1"/>
  <c r="CT460" i="1"/>
  <c r="CS924" i="1"/>
  <c r="CR924" i="1"/>
  <c r="CT924" i="1"/>
  <c r="CP924" i="1"/>
  <c r="CO924" i="1"/>
  <c r="CQ924" i="1"/>
  <c r="BY870" i="1"/>
  <c r="CS966" i="1"/>
  <c r="CR966" i="1"/>
  <c r="CT966" i="1"/>
  <c r="CP966" i="1"/>
  <c r="CQ966" i="1"/>
  <c r="CO966" i="1"/>
  <c r="CQ877" i="1"/>
  <c r="CT877" i="1"/>
  <c r="CR877" i="1"/>
  <c r="CS877" i="1"/>
  <c r="CQ976" i="1"/>
  <c r="BY881" i="1"/>
  <c r="CT881" i="1"/>
  <c r="CP939" i="1"/>
  <c r="BY739" i="1"/>
  <c r="CT739" i="1"/>
  <c r="CS681" i="1"/>
  <c r="CR681" i="1"/>
  <c r="CT681" i="1"/>
  <c r="BY636" i="1"/>
  <c r="CP638" i="1"/>
  <c r="CO638" i="1"/>
  <c r="BY639" i="1"/>
  <c r="BY649" i="1"/>
  <c r="CS719" i="1"/>
  <c r="CR719" i="1"/>
  <c r="CT719" i="1"/>
  <c r="BY550" i="1"/>
  <c r="BY553" i="1"/>
  <c r="CT553" i="1"/>
  <c r="CS557" i="1"/>
  <c r="BY665" i="1"/>
  <c r="CT665" i="1"/>
  <c r="CU665" i="1" s="1"/>
  <c r="CT943" i="1"/>
  <c r="BV469" i="1"/>
  <c r="BX469" i="1" s="1"/>
  <c r="BU469" i="1"/>
  <c r="CP21" i="1"/>
  <c r="CO21" i="1"/>
  <c r="CT21" i="1"/>
  <c r="CS21" i="1"/>
  <c r="CQ21" i="1"/>
  <c r="BY425" i="1"/>
  <c r="CT425" i="1"/>
  <c r="CS468" i="1"/>
  <c r="CR468" i="1"/>
  <c r="CT468" i="1"/>
  <c r="CP468" i="1"/>
  <c r="CQ468" i="1"/>
  <c r="CO468" i="1"/>
  <c r="CS871" i="1"/>
  <c r="CR871" i="1"/>
  <c r="CT871" i="1"/>
  <c r="CQ871" i="1"/>
  <c r="CP871" i="1"/>
  <c r="CO871" i="1"/>
  <c r="BY931" i="1"/>
  <c r="CO877" i="1"/>
  <c r="CS932" i="1"/>
  <c r="CR932" i="1"/>
  <c r="CQ932" i="1"/>
  <c r="CP932" i="1"/>
  <c r="CT932" i="1"/>
  <c r="CO932" i="1"/>
  <c r="CR934" i="1"/>
  <c r="CQ934" i="1"/>
  <c r="CS934" i="1"/>
  <c r="CP934" i="1"/>
  <c r="CS880" i="1"/>
  <c r="CR880" i="1"/>
  <c r="CT880" i="1"/>
  <c r="CO880" i="1"/>
  <c r="CQ880" i="1"/>
  <c r="CP880" i="1"/>
  <c r="CS444" i="1"/>
  <c r="CR444" i="1"/>
  <c r="CT444" i="1"/>
  <c r="CO444" i="1"/>
  <c r="CQ444" i="1"/>
  <c r="CP444" i="1"/>
  <c r="BY677" i="1"/>
  <c r="CT962" i="1"/>
  <c r="CU962" i="1" s="1"/>
  <c r="CO681" i="1"/>
  <c r="BN638" i="1"/>
  <c r="BO638" i="1" s="1"/>
  <c r="CQ638" i="1" s="1"/>
  <c r="BY642" i="1"/>
  <c r="CT657" i="1"/>
  <c r="CO719" i="1"/>
  <c r="BY724" i="1"/>
  <c r="CS469" i="1"/>
  <c r="CR469" i="1"/>
  <c r="BV474" i="1"/>
  <c r="BX474" i="1" s="1"/>
  <c r="BY411" i="1"/>
  <c r="CR21" i="1"/>
  <c r="BY548" i="1"/>
  <c r="CQ548" i="1"/>
  <c r="BY950" i="1"/>
  <c r="CT950" i="1"/>
  <c r="BY847" i="1"/>
  <c r="CS850" i="1"/>
  <c r="CR850" i="1"/>
  <c r="CP850" i="1"/>
  <c r="CQ850" i="1"/>
  <c r="CO850" i="1"/>
  <c r="CO461" i="1"/>
  <c r="CT461" i="1"/>
  <c r="CS461" i="1"/>
  <c r="CV461" i="1" s="1"/>
  <c r="BY462" i="1"/>
  <c r="CT462" i="1"/>
  <c r="CT466" i="1"/>
  <c r="CQ466" i="1"/>
  <c r="CS466" i="1"/>
  <c r="CR466" i="1"/>
  <c r="BY921" i="1"/>
  <c r="CS865" i="1"/>
  <c r="CR865" i="1"/>
  <c r="CT865" i="1"/>
  <c r="CO865" i="1"/>
  <c r="CQ865" i="1"/>
  <c r="CP865" i="1"/>
  <c r="BY963" i="1"/>
  <c r="CS970" i="1"/>
  <c r="CR970" i="1"/>
  <c r="CT970" i="1"/>
  <c r="CP970" i="1"/>
  <c r="CQ970" i="1"/>
  <c r="CO970" i="1"/>
  <c r="CP931" i="1"/>
  <c r="CR931" i="1"/>
  <c r="CQ931" i="1"/>
  <c r="CP877" i="1"/>
  <c r="CO934" i="1"/>
  <c r="CT978" i="1"/>
  <c r="CS978" i="1"/>
  <c r="CQ978" i="1"/>
  <c r="CP978" i="1"/>
  <c r="CR978" i="1"/>
  <c r="BY935" i="1"/>
  <c r="CQ935" i="1"/>
  <c r="CS937" i="1"/>
  <c r="CR937" i="1"/>
  <c r="CQ937" i="1"/>
  <c r="CP937" i="1"/>
  <c r="CP681" i="1"/>
  <c r="CT716" i="1"/>
  <c r="CP719" i="1"/>
  <c r="CS554" i="1"/>
  <c r="CO409" i="1"/>
  <c r="CT668" i="1"/>
  <c r="CU668" i="1" s="1"/>
  <c r="CS668" i="1"/>
  <c r="CV668" i="1" s="1"/>
  <c r="CO469" i="1"/>
  <c r="BN471" i="1"/>
  <c r="BO471" i="1" s="1"/>
  <c r="BY471" i="1" s="1"/>
  <c r="BY387" i="1"/>
  <c r="CT387" i="1"/>
  <c r="BY545" i="1"/>
  <c r="CP571" i="1"/>
  <c r="CO571" i="1"/>
  <c r="CT571" i="1"/>
  <c r="CQ571" i="1"/>
  <c r="CR571" i="1"/>
  <c r="CS571" i="1"/>
  <c r="CP874" i="1"/>
  <c r="CR874" i="1"/>
  <c r="CQ874" i="1"/>
  <c r="CT680" i="1"/>
  <c r="CS680" i="1"/>
  <c r="CQ680" i="1"/>
  <c r="CP680" i="1"/>
  <c r="CT640" i="1"/>
  <c r="CS640" i="1"/>
  <c r="CR640" i="1"/>
  <c r="CP649" i="1"/>
  <c r="CO649" i="1"/>
  <c r="CT550" i="1"/>
  <c r="BY556" i="1"/>
  <c r="BN409" i="1"/>
  <c r="BO409" i="1" s="1"/>
  <c r="BY409" i="1" s="1"/>
  <c r="BM409" i="1"/>
  <c r="BN22" i="1"/>
  <c r="BO22" i="1" s="1"/>
  <c r="BY22" i="1" s="1"/>
  <c r="BY418" i="1"/>
  <c r="BY529" i="1"/>
  <c r="CT529" i="1"/>
  <c r="CT492" i="1"/>
  <c r="BY492" i="1"/>
  <c r="CO893" i="1"/>
  <c r="CO897" i="1"/>
  <c r="CT467" i="1"/>
  <c r="CS467" i="1"/>
  <c r="CV467" i="1" s="1"/>
  <c r="CT971" i="1"/>
  <c r="CQ972" i="1"/>
  <c r="CT972" i="1"/>
  <c r="CT878" i="1"/>
  <c r="CS878" i="1"/>
  <c r="CV878" i="1" s="1"/>
  <c r="CQ882" i="1"/>
  <c r="CP882" i="1"/>
  <c r="CT882" i="1"/>
  <c r="CS882" i="1"/>
  <c r="BN654" i="1"/>
  <c r="BO654" i="1" s="1"/>
  <c r="CQ654" i="1" s="1"/>
  <c r="CT654" i="1"/>
  <c r="CO726" i="1"/>
  <c r="CT556" i="1"/>
  <c r="CR556" i="1"/>
  <c r="CV556" i="1" s="1"/>
  <c r="CQ556" i="1"/>
  <c r="BY408" i="1"/>
  <c r="BY417" i="1"/>
  <c r="BY426" i="1"/>
  <c r="CT891" i="1"/>
  <c r="CO845" i="1"/>
  <c r="CO947" i="1"/>
  <c r="CP848" i="1"/>
  <c r="CP893" i="1"/>
  <c r="CO852" i="1"/>
  <c r="CP855" i="1"/>
  <c r="CQ464" i="1"/>
  <c r="CP464" i="1"/>
  <c r="CO467" i="1"/>
  <c r="CS874" i="1"/>
  <c r="CO972" i="1"/>
  <c r="CO878" i="1"/>
  <c r="BY977" i="1"/>
  <c r="CO882" i="1"/>
  <c r="CS938" i="1"/>
  <c r="CR938" i="1"/>
  <c r="CP938" i="1"/>
  <c r="CO938" i="1"/>
  <c r="CR680" i="1"/>
  <c r="CT687" i="1"/>
  <c r="CS687" i="1"/>
  <c r="CV687" i="1" s="1"/>
  <c r="CP637" i="1"/>
  <c r="CO637" i="1"/>
  <c r="CS637" i="1"/>
  <c r="CR637" i="1"/>
  <c r="CR649" i="1"/>
  <c r="CO556" i="1"/>
  <c r="CR662" i="1"/>
  <c r="CT664" i="1"/>
  <c r="CU664" i="1" s="1"/>
  <c r="CT408" i="1"/>
  <c r="CP408" i="1"/>
  <c r="CO408" i="1"/>
  <c r="BY944" i="1"/>
  <c r="CT944" i="1"/>
  <c r="BY419" i="1"/>
  <c r="CT419" i="1"/>
  <c r="BY129" i="1"/>
  <c r="CT129" i="1"/>
  <c r="BY131" i="1"/>
  <c r="BY683" i="1"/>
  <c r="CQ683" i="1"/>
  <c r="BY92" i="1"/>
  <c r="CT92" i="1"/>
  <c r="CU92" i="1" s="1"/>
  <c r="CT897" i="1"/>
  <c r="BY976" i="1"/>
  <c r="CP936" i="1"/>
  <c r="CO936" i="1"/>
  <c r="BY980" i="1"/>
  <c r="CS726" i="1"/>
  <c r="CR726" i="1"/>
  <c r="CT726" i="1"/>
  <c r="CP470" i="1"/>
  <c r="CO470" i="1"/>
  <c r="BY479" i="1"/>
  <c r="CT479" i="1"/>
  <c r="CT847" i="1"/>
  <c r="CO848" i="1"/>
  <c r="CO855" i="1"/>
  <c r="CO874" i="1"/>
  <c r="BY929" i="1"/>
  <c r="BY974" i="1"/>
  <c r="CP976" i="1"/>
  <c r="CO976" i="1"/>
  <c r="CQ936" i="1"/>
  <c r="CP676" i="1"/>
  <c r="CO676" i="1"/>
  <c r="CT676" i="1"/>
  <c r="CO680" i="1"/>
  <c r="CS961" i="1"/>
  <c r="CR961" i="1"/>
  <c r="CT961" i="1"/>
  <c r="BN640" i="1"/>
  <c r="BO640" i="1" s="1"/>
  <c r="CQ649" i="1"/>
  <c r="BV42" i="1"/>
  <c r="BX42" i="1" s="1"/>
  <c r="BU42" i="1"/>
  <c r="CP714" i="1"/>
  <c r="CO714" i="1"/>
  <c r="CS714" i="1"/>
  <c r="CR714" i="1"/>
  <c r="CQ714" i="1"/>
  <c r="BY685" i="1"/>
  <c r="EP685" i="1" s="1"/>
  <c r="CQ685" i="1"/>
  <c r="CU685" i="1" s="1"/>
  <c r="BY890" i="1"/>
  <c r="CP845" i="1"/>
  <c r="CP947" i="1"/>
  <c r="CP847" i="1"/>
  <c r="CQ848" i="1"/>
  <c r="CQ893" i="1"/>
  <c r="CQ897" i="1"/>
  <c r="CQ902" i="1"/>
  <c r="CQ460" i="1"/>
  <c r="CP467" i="1"/>
  <c r="CS919" i="1"/>
  <c r="CR919" i="1"/>
  <c r="CS921" i="1"/>
  <c r="CR921" i="1"/>
  <c r="CS923" i="1"/>
  <c r="CR923" i="1"/>
  <c r="CS925" i="1"/>
  <c r="CR925" i="1"/>
  <c r="CS927" i="1"/>
  <c r="CR927" i="1"/>
  <c r="CS866" i="1"/>
  <c r="CR866" i="1"/>
  <c r="CS868" i="1"/>
  <c r="CR868" i="1"/>
  <c r="CS870" i="1"/>
  <c r="CR870" i="1"/>
  <c r="CS872" i="1"/>
  <c r="CR872" i="1"/>
  <c r="CS963" i="1"/>
  <c r="CR963" i="1"/>
  <c r="CS965" i="1"/>
  <c r="CR965" i="1"/>
  <c r="CS967" i="1"/>
  <c r="CR967" i="1"/>
  <c r="CS969" i="1"/>
  <c r="CR969" i="1"/>
  <c r="CT874" i="1"/>
  <c r="CP972" i="1"/>
  <c r="CS875" i="1"/>
  <c r="CR875" i="1"/>
  <c r="CQ875" i="1"/>
  <c r="CP878" i="1"/>
  <c r="CR976" i="1"/>
  <c r="CV976" i="1" s="1"/>
  <c r="CQ977" i="1"/>
  <c r="CP977" i="1"/>
  <c r="CS936" i="1"/>
  <c r="CV936" i="1" s="1"/>
  <c r="CR882" i="1"/>
  <c r="CR676" i="1"/>
  <c r="BY740" i="1"/>
  <c r="CO687" i="1"/>
  <c r="CP961" i="1"/>
  <c r="CS649" i="1"/>
  <c r="CO549" i="1"/>
  <c r="CQ726" i="1"/>
  <c r="BY554" i="1"/>
  <c r="CP556" i="1"/>
  <c r="CS728" i="1"/>
  <c r="CR728" i="1"/>
  <c r="CQ728" i="1"/>
  <c r="CP728" i="1"/>
  <c r="CS662" i="1"/>
  <c r="CR664" i="1"/>
  <c r="CV664" i="1" s="1"/>
  <c r="CQ408" i="1"/>
  <c r="CS470" i="1"/>
  <c r="CV470" i="1" s="1"/>
  <c r="BF20" i="1" a="1"/>
  <c r="BF20" i="1" s="1"/>
  <c r="CT388" i="1"/>
  <c r="CS388" i="1"/>
  <c r="CR388" i="1"/>
  <c r="BY574" i="1"/>
  <c r="BY136" i="1"/>
  <c r="CT136" i="1"/>
  <c r="CQ489" i="1"/>
  <c r="BY489" i="1"/>
  <c r="BM885" i="1"/>
  <c r="BN885" i="1"/>
  <c r="BO885" i="1" s="1"/>
  <c r="BY885" i="1" s="1"/>
  <c r="BN888" i="1"/>
  <c r="BO888" i="1" s="1"/>
  <c r="BM888" i="1"/>
  <c r="CS369" i="1"/>
  <c r="CR369" i="1"/>
  <c r="CT369" i="1"/>
  <c r="CP371" i="1"/>
  <c r="CO371" i="1"/>
  <c r="CQ440" i="1"/>
  <c r="BY442" i="1"/>
  <c r="BY120" i="1"/>
  <c r="CT120" i="1"/>
  <c r="CU120" i="1" s="1"/>
  <c r="CP715" i="1"/>
  <c r="CO715" i="1"/>
  <c r="BY421" i="1"/>
  <c r="CT421" i="1"/>
  <c r="BY422" i="1"/>
  <c r="CT422" i="1"/>
  <c r="CU422" i="1" s="1"/>
  <c r="CT139" i="1"/>
  <c r="CQ911" i="1"/>
  <c r="CP911" i="1"/>
  <c r="CR912" i="1"/>
  <c r="CQ912" i="1"/>
  <c r="CP912" i="1"/>
  <c r="CO912" i="1"/>
  <c r="CR365" i="1"/>
  <c r="CV365" i="1" s="1"/>
  <c r="CO369" i="1"/>
  <c r="CQ371" i="1"/>
  <c r="BE436" i="1" a="1"/>
  <c r="BE436" i="1" s="1"/>
  <c r="BN439" i="1"/>
  <c r="BO439" i="1" s="1"/>
  <c r="CP91" i="1"/>
  <c r="CT91" i="1"/>
  <c r="CS91" i="1"/>
  <c r="CR91" i="1"/>
  <c r="BY650" i="1"/>
  <c r="BY652" i="1"/>
  <c r="CR110" i="1"/>
  <c r="CT110" i="1"/>
  <c r="CS110" i="1"/>
  <c r="CP110" i="1"/>
  <c r="CO110" i="1"/>
  <c r="BY64" i="1"/>
  <c r="CT64" i="1"/>
  <c r="BY106" i="1"/>
  <c r="CQ106" i="1"/>
  <c r="BY496" i="1"/>
  <c r="CT496" i="1"/>
  <c r="BY504" i="1"/>
  <c r="BY420" i="1"/>
  <c r="CT420" i="1"/>
  <c r="BF136" i="1" a="1"/>
  <c r="BF136" i="1" s="1"/>
  <c r="BE136" i="1" s="1" a="1"/>
  <c r="BE136" i="1" s="1"/>
  <c r="BF140" i="1" a="1"/>
  <c r="BF140" i="1" s="1"/>
  <c r="BE140" i="1" s="1" a="1"/>
  <c r="BE140" i="1" s="1"/>
  <c r="CT140" i="1"/>
  <c r="CT906" i="1"/>
  <c r="CS906" i="1"/>
  <c r="CV906" i="1" s="1"/>
  <c r="CT907" i="1"/>
  <c r="CP907" i="1"/>
  <c r="CO907" i="1"/>
  <c r="CS913" i="1"/>
  <c r="CR913" i="1"/>
  <c r="CT913" i="1"/>
  <c r="CQ913" i="1"/>
  <c r="CP913" i="1"/>
  <c r="CT915" i="1"/>
  <c r="CS915" i="1"/>
  <c r="CR915" i="1"/>
  <c r="CP369" i="1"/>
  <c r="CR371" i="1"/>
  <c r="CS711" i="1"/>
  <c r="CR711" i="1"/>
  <c r="CQ711" i="1"/>
  <c r="CP711" i="1"/>
  <c r="CQ343" i="1"/>
  <c r="CP343" i="1"/>
  <c r="CT343" i="1"/>
  <c r="CS343" i="1"/>
  <c r="CR343" i="1"/>
  <c r="BY347" i="1"/>
  <c r="BY863" i="1"/>
  <c r="BY107" i="1"/>
  <c r="CO509" i="1"/>
  <c r="CS509" i="1"/>
  <c r="CR509" i="1"/>
  <c r="CT509" i="1"/>
  <c r="CQ509" i="1"/>
  <c r="CP509" i="1"/>
  <c r="BY95" i="1"/>
  <c r="CT95" i="1"/>
  <c r="BN645" i="1"/>
  <c r="BO645" i="1" s="1"/>
  <c r="BY645" i="1" s="1"/>
  <c r="EP645" i="1" s="1"/>
  <c r="BM645" i="1"/>
  <c r="CN885" i="1"/>
  <c r="CQ369" i="1"/>
  <c r="CS371" i="1"/>
  <c r="CQ684" i="1"/>
  <c r="CT695" i="1"/>
  <c r="CU695" i="1" s="1"/>
  <c r="CS695" i="1"/>
  <c r="CR695" i="1"/>
  <c r="CQ493" i="1"/>
  <c r="CP493" i="1"/>
  <c r="CS493" i="1"/>
  <c r="CR493" i="1"/>
  <c r="CT861" i="1"/>
  <c r="CS861" i="1"/>
  <c r="CO44" i="1"/>
  <c r="CR44" i="1"/>
  <c r="CQ44" i="1"/>
  <c r="CS44" i="1"/>
  <c r="CP44" i="1"/>
  <c r="CQ45" i="1"/>
  <c r="BY66" i="1"/>
  <c r="CT85" i="1"/>
  <c r="CS85" i="1"/>
  <c r="CR85" i="1"/>
  <c r="CT51" i="1"/>
  <c r="CP98" i="1"/>
  <c r="CO98" i="1"/>
  <c r="CS98" i="1"/>
  <c r="CR98" i="1"/>
  <c r="BY505" i="1"/>
  <c r="CS703" i="1"/>
  <c r="CR703" i="1"/>
  <c r="CT703" i="1"/>
  <c r="CU703" i="1" s="1"/>
  <c r="CS414" i="1"/>
  <c r="BY331" i="1"/>
  <c r="CT331" i="1"/>
  <c r="CQ340" i="1"/>
  <c r="CT918" i="1"/>
  <c r="CS918" i="1"/>
  <c r="CV918" i="1" s="1"/>
  <c r="CP918" i="1"/>
  <c r="CO918" i="1"/>
  <c r="CQ58" i="1"/>
  <c r="CP58" i="1"/>
  <c r="CO58" i="1"/>
  <c r="CT58" i="1"/>
  <c r="CP86" i="1"/>
  <c r="CQ86" i="1"/>
  <c r="CO86" i="1"/>
  <c r="CT456" i="1"/>
  <c r="BY495" i="1"/>
  <c r="CQ495" i="1"/>
  <c r="CT100" i="1"/>
  <c r="CP102" i="1"/>
  <c r="CS102" i="1"/>
  <c r="CR102" i="1"/>
  <c r="CT102" i="1"/>
  <c r="CQ102" i="1"/>
  <c r="BY449" i="1"/>
  <c r="CT449" i="1"/>
  <c r="CN888" i="1"/>
  <c r="BV367" i="1"/>
  <c r="BX367" i="1" s="1"/>
  <c r="BY367" i="1" s="1"/>
  <c r="BU367" i="1"/>
  <c r="CP491" i="1"/>
  <c r="CR491" i="1"/>
  <c r="CQ491" i="1"/>
  <c r="CS491" i="1"/>
  <c r="CO491" i="1"/>
  <c r="CQ344" i="1"/>
  <c r="CP344" i="1"/>
  <c r="CS344" i="1"/>
  <c r="CR344" i="1"/>
  <c r="CQ918" i="1"/>
  <c r="CQ862" i="1"/>
  <c r="CT864" i="1"/>
  <c r="CP864" i="1"/>
  <c r="CO864" i="1"/>
  <c r="CS864" i="1"/>
  <c r="CR864" i="1"/>
  <c r="CQ864" i="1"/>
  <c r="CS56" i="1"/>
  <c r="CT56" i="1"/>
  <c r="CU56" i="1" s="1"/>
  <c r="CR56" i="1"/>
  <c r="CR58" i="1"/>
  <c r="CV58" i="1" s="1"/>
  <c r="CR86" i="1"/>
  <c r="CV86" i="1" s="1"/>
  <c r="CT458" i="1"/>
  <c r="BY458" i="1"/>
  <c r="CS497" i="1"/>
  <c r="CR497" i="1"/>
  <c r="CT98" i="1"/>
  <c r="CU98" i="1" s="1"/>
  <c r="CO102" i="1"/>
  <c r="CS367" i="1"/>
  <c r="CR367" i="1"/>
  <c r="BN437" i="1"/>
  <c r="BO437" i="1" s="1"/>
  <c r="BY437" i="1" s="1"/>
  <c r="CN437" i="1"/>
  <c r="BU696" i="1"/>
  <c r="CS696" i="1"/>
  <c r="CV696" i="1" s="1"/>
  <c r="CQ348" i="1"/>
  <c r="CP348" i="1"/>
  <c r="CT348" i="1"/>
  <c r="CS333" i="1"/>
  <c r="CQ333" i="1"/>
  <c r="CP333" i="1"/>
  <c r="CT333" i="1"/>
  <c r="CR333" i="1"/>
  <c r="CO333" i="1"/>
  <c r="CQ85" i="1"/>
  <c r="CT538" i="1"/>
  <c r="BY538" i="1"/>
  <c r="BY698" i="1"/>
  <c r="BY423" i="1"/>
  <c r="BN887" i="1"/>
  <c r="BO887" i="1" s="1"/>
  <c r="BM887" i="1"/>
  <c r="CP365" i="1"/>
  <c r="CO365" i="1"/>
  <c r="CT365" i="1"/>
  <c r="CO367" i="1"/>
  <c r="BU368" i="1"/>
  <c r="BY370" i="1"/>
  <c r="BN436" i="1"/>
  <c r="BO436" i="1" s="1"/>
  <c r="BY436" i="1" s="1"/>
  <c r="BE437" i="1" a="1"/>
  <c r="BE437" i="1" s="1"/>
  <c r="CR415" i="1"/>
  <c r="BY332" i="1"/>
  <c r="CT344" i="1"/>
  <c r="CO348" i="1"/>
  <c r="BY647" i="1"/>
  <c r="CR861" i="1"/>
  <c r="CP56" i="1"/>
  <c r="CT86" i="1"/>
  <c r="BY501" i="1"/>
  <c r="CT501" i="1"/>
  <c r="CT112" i="1"/>
  <c r="CU112" i="1" s="1"/>
  <c r="CS112" i="1"/>
  <c r="CV112" i="1" s="1"/>
  <c r="CT510" i="1"/>
  <c r="CS510" i="1"/>
  <c r="CR510" i="1"/>
  <c r="CQ510" i="1"/>
  <c r="CP510" i="1"/>
  <c r="CO510" i="1"/>
  <c r="CQ722" i="1"/>
  <c r="CP722" i="1"/>
  <c r="CP943" i="1"/>
  <c r="CN474" i="1"/>
  <c r="CO412" i="1"/>
  <c r="CT412" i="1"/>
  <c r="CR20" i="1"/>
  <c r="CQ20" i="1"/>
  <c r="CT20" i="1"/>
  <c r="CS20" i="1"/>
  <c r="BY132" i="1"/>
  <c r="BY427" i="1"/>
  <c r="CT427" i="1"/>
  <c r="BF137" i="1" a="1"/>
  <c r="BF137" i="1" s="1"/>
  <c r="BE137" i="1" s="1" a="1"/>
  <c r="BE137" i="1" s="1"/>
  <c r="BY137" i="1"/>
  <c r="CS905" i="1"/>
  <c r="CR905" i="1"/>
  <c r="CP905" i="1"/>
  <c r="CO905" i="1"/>
  <c r="CT709" i="1"/>
  <c r="CS709" i="1"/>
  <c r="CV709" i="1" s="1"/>
  <c r="CP709" i="1"/>
  <c r="CO709" i="1"/>
  <c r="CR370" i="1"/>
  <c r="CQ370" i="1"/>
  <c r="CR942" i="1"/>
  <c r="CV942" i="1" s="1"/>
  <c r="CQ942" i="1"/>
  <c r="CQ500" i="1"/>
  <c r="CS500" i="1"/>
  <c r="CR500" i="1"/>
  <c r="CP500" i="1"/>
  <c r="CO500" i="1"/>
  <c r="BY498" i="1"/>
  <c r="CT498" i="1"/>
  <c r="CU498" i="1" s="1"/>
  <c r="BY704" i="1"/>
  <c r="CT704" i="1"/>
  <c r="CU704" i="1" s="1"/>
  <c r="CP677" i="1"/>
  <c r="CO677" i="1"/>
  <c r="CS688" i="1"/>
  <c r="CR688" i="1"/>
  <c r="CS860" i="1"/>
  <c r="CR860" i="1"/>
  <c r="CS962" i="1"/>
  <c r="CR962" i="1"/>
  <c r="CS682" i="1"/>
  <c r="CR682" i="1"/>
  <c r="CV971" i="1"/>
  <c r="CR980" i="1"/>
  <c r="CQ980" i="1"/>
  <c r="CT883" i="1"/>
  <c r="CS883" i="1"/>
  <c r="CV883" i="1" s="1"/>
  <c r="CQ677" i="1"/>
  <c r="CT679" i="1"/>
  <c r="CS679" i="1"/>
  <c r="CO688" i="1"/>
  <c r="CO860" i="1"/>
  <c r="CO962" i="1"/>
  <c r="CO682" i="1"/>
  <c r="CR742" i="1"/>
  <c r="CV742" i="1" s="1"/>
  <c r="CQ742" i="1"/>
  <c r="CR653" i="1"/>
  <c r="CQ642" i="1"/>
  <c r="CP642" i="1"/>
  <c r="BY549" i="1"/>
  <c r="CQ725" i="1"/>
  <c r="CP725" i="1"/>
  <c r="CT666" i="1"/>
  <c r="CU666" i="1" s="1"/>
  <c r="CP386" i="1"/>
  <c r="CO386" i="1"/>
  <c r="CT386" i="1"/>
  <c r="CS386" i="1"/>
  <c r="CV386" i="1" s="1"/>
  <c r="CP548" i="1"/>
  <c r="CO548" i="1"/>
  <c r="CP702" i="1"/>
  <c r="CO702" i="1"/>
  <c r="CT702" i="1"/>
  <c r="CQ527" i="1"/>
  <c r="CP527" i="1"/>
  <c r="CT527" i="1"/>
  <c r="CS527" i="1"/>
  <c r="CV527" i="1" s="1"/>
  <c r="CS372" i="1"/>
  <c r="BV372" i="1"/>
  <c r="BX372" i="1" s="1"/>
  <c r="CT443" i="1"/>
  <c r="CS443" i="1"/>
  <c r="CR443" i="1"/>
  <c r="CQ443" i="1"/>
  <c r="CO942" i="1"/>
  <c r="CR414" i="1"/>
  <c r="BY344" i="1"/>
  <c r="CP652" i="1"/>
  <c r="CT652" i="1"/>
  <c r="CS652" i="1"/>
  <c r="CV652" i="1" s="1"/>
  <c r="CQ652" i="1"/>
  <c r="CO652" i="1"/>
  <c r="CT109" i="1"/>
  <c r="CS109" i="1"/>
  <c r="CR109" i="1"/>
  <c r="CQ109" i="1"/>
  <c r="BY46" i="1"/>
  <c r="CT46" i="1"/>
  <c r="CU46" i="1" s="1"/>
  <c r="BE64" i="1" a="1"/>
  <c r="BE64" i="1" s="1"/>
  <c r="BE47" i="1" a="1"/>
  <c r="BE47" i="1" s="1"/>
  <c r="BE535" i="1" a="1"/>
  <c r="BE535" i="1" s="1"/>
  <c r="CT500" i="1"/>
  <c r="CQ536" i="1"/>
  <c r="BY536" i="1"/>
  <c r="CS116" i="1"/>
  <c r="CR116" i="1"/>
  <c r="CT116" i="1"/>
  <c r="CU116" i="1" s="1"/>
  <c r="CR546" i="1"/>
  <c r="CQ546" i="1"/>
  <c r="CU546" i="1" s="1"/>
  <c r="CP713" i="1"/>
  <c r="CO713" i="1"/>
  <c r="CT574" i="1"/>
  <c r="BY130" i="1"/>
  <c r="BY134" i="1"/>
  <c r="BY138" i="1"/>
  <c r="CP910" i="1"/>
  <c r="CO910" i="1"/>
  <c r="CT914" i="1"/>
  <c r="CS914" i="1"/>
  <c r="CV914" i="1" s="1"/>
  <c r="CT442" i="1"/>
  <c r="CQ494" i="1"/>
  <c r="CP494" i="1"/>
  <c r="CQ347" i="1"/>
  <c r="CP347" i="1"/>
  <c r="CR347" i="1"/>
  <c r="CV347" i="1" s="1"/>
  <c r="CO347" i="1"/>
  <c r="CT651" i="1"/>
  <c r="CS651" i="1"/>
  <c r="CR651" i="1"/>
  <c r="CO66" i="1"/>
  <c r="CT66" i="1"/>
  <c r="CS66" i="1"/>
  <c r="CV66" i="1" s="1"/>
  <c r="CQ66" i="1"/>
  <c r="CP66" i="1"/>
  <c r="BE50" i="1" a="1"/>
  <c r="BE50" i="1" s="1"/>
  <c r="CS55" i="1"/>
  <c r="CV55" i="1" s="1"/>
  <c r="CQ55" i="1"/>
  <c r="CP55" i="1"/>
  <c r="CT55" i="1"/>
  <c r="CP538" i="1"/>
  <c r="CQ538" i="1"/>
  <c r="CO538" i="1"/>
  <c r="CS538" i="1"/>
  <c r="CR538" i="1"/>
  <c r="CO456" i="1"/>
  <c r="CR456" i="1"/>
  <c r="CV456" i="1" s="1"/>
  <c r="CQ456" i="1"/>
  <c r="CQ99" i="1"/>
  <c r="CT99" i="1"/>
  <c r="CS99" i="1"/>
  <c r="CR99" i="1"/>
  <c r="CP564" i="1"/>
  <c r="CO564" i="1"/>
  <c r="CR387" i="1"/>
  <c r="CV387" i="1" s="1"/>
  <c r="CQ387" i="1"/>
  <c r="BY416" i="1"/>
  <c r="BY133" i="1"/>
  <c r="BY424" i="1"/>
  <c r="BY699" i="1"/>
  <c r="CT368" i="1"/>
  <c r="CU368" i="1" s="1"/>
  <c r="CS368" i="1"/>
  <c r="CV368" i="1" s="1"/>
  <c r="BE441" i="1" a="1"/>
  <c r="BE441" i="1" s="1"/>
  <c r="CP685" i="1"/>
  <c r="CO685" i="1"/>
  <c r="BE438" i="1" a="1"/>
  <c r="BE438" i="1" s="1"/>
  <c r="CS338" i="1"/>
  <c r="CR338" i="1"/>
  <c r="CQ338" i="1"/>
  <c r="CS339" i="1"/>
  <c r="CT339" i="1"/>
  <c r="CR339" i="1"/>
  <c r="CQ339" i="1"/>
  <c r="CP339" i="1"/>
  <c r="CS340" i="1"/>
  <c r="CV340" i="1" s="1"/>
  <c r="CT340" i="1"/>
  <c r="BE46" i="1" a="1"/>
  <c r="BE46" i="1" s="1"/>
  <c r="CR105" i="1"/>
  <c r="CS105" i="1"/>
  <c r="CQ105" i="1"/>
  <c r="CT105" i="1"/>
  <c r="CO106" i="1"/>
  <c r="CT106" i="1"/>
  <c r="CS106" i="1"/>
  <c r="CR106" i="1"/>
  <c r="BY537" i="1"/>
  <c r="BF117" i="1" a="1"/>
  <c r="BF117" i="1" s="1"/>
  <c r="BE117" i="1" s="1" a="1"/>
  <c r="BE117" i="1" s="1"/>
  <c r="CO503" i="1"/>
  <c r="CS503" i="1"/>
  <c r="CV503" i="1" s="1"/>
  <c r="CQ503" i="1"/>
  <c r="CP503" i="1"/>
  <c r="BY101" i="1"/>
  <c r="CQ332" i="1"/>
  <c r="CP332" i="1"/>
  <c r="CR650" i="1"/>
  <c r="CT650" i="1"/>
  <c r="CS650" i="1"/>
  <c r="CP108" i="1"/>
  <c r="CT108" i="1"/>
  <c r="CT57" i="1"/>
  <c r="CQ57" i="1"/>
  <c r="CP57" i="1"/>
  <c r="CV60" i="1"/>
  <c r="BY47" i="1"/>
  <c r="BY535" i="1"/>
  <c r="CP455" i="1"/>
  <c r="CO455" i="1"/>
  <c r="CT455" i="1"/>
  <c r="CQ457" i="1"/>
  <c r="CT457" i="1"/>
  <c r="CS457" i="1"/>
  <c r="CR457" i="1"/>
  <c r="CQ506" i="1"/>
  <c r="CT506" i="1"/>
  <c r="CS506" i="1"/>
  <c r="CV506" i="1" s="1"/>
  <c r="BF113" i="1" a="1"/>
  <c r="BF113" i="1" s="1"/>
  <c r="BE113" i="1" s="1" a="1"/>
  <c r="BE113" i="1" s="1"/>
  <c r="CS113" i="1"/>
  <c r="CR113" i="1"/>
  <c r="BE116" i="1" a="1"/>
  <c r="BE116" i="1" s="1"/>
  <c r="BF101" i="1" a="1"/>
  <c r="BF101" i="1" s="1"/>
  <c r="BE101" i="1" s="1" a="1"/>
  <c r="BE101" i="1" s="1"/>
  <c r="CR700" i="1"/>
  <c r="CV700" i="1" s="1"/>
  <c r="CQ700" i="1"/>
  <c r="CT700" i="1"/>
  <c r="CP700" i="1"/>
  <c r="CO700" i="1"/>
  <c r="CQ331" i="1"/>
  <c r="CP331" i="1"/>
  <c r="CN499" i="1"/>
  <c r="BN499" i="1"/>
  <c r="BO499" i="1" s="1"/>
  <c r="BY499" i="1" s="1"/>
  <c r="BY982" i="1"/>
  <c r="CQ50" i="1"/>
  <c r="CS50" i="1"/>
  <c r="CR50" i="1"/>
  <c r="BE456" i="1" a="1"/>
  <c r="BE456" i="1" s="1"/>
  <c r="CT522" i="1"/>
  <c r="CU522" i="1" s="1"/>
  <c r="CS522" i="1"/>
  <c r="CV522" i="1" s="1"/>
  <c r="CR524" i="1"/>
  <c r="CV524" i="1" s="1"/>
  <c r="CT524" i="1"/>
  <c r="CU524" i="1" s="1"/>
  <c r="CR495" i="1"/>
  <c r="CT495" i="1"/>
  <c r="CS495" i="1"/>
  <c r="BY502" i="1"/>
  <c r="CS525" i="1"/>
  <c r="CR525" i="1"/>
  <c r="CR115" i="1"/>
  <c r="CT115" i="1"/>
  <c r="CU115" i="1" s="1"/>
  <c r="BF120" i="1" a="1"/>
  <c r="BF120" i="1" s="1"/>
  <c r="BE120" i="1" s="1" a="1"/>
  <c r="BE120" i="1" s="1"/>
  <c r="BY94" i="1"/>
  <c r="CT94" i="1"/>
  <c r="CU94" i="1" s="1"/>
  <c r="CQ982" i="1"/>
  <c r="BE92" i="1" a="1"/>
  <c r="BE92" i="1" s="1"/>
  <c r="CT535" i="1"/>
  <c r="CS535" i="1"/>
  <c r="CR535" i="1"/>
  <c r="CS537" i="1"/>
  <c r="CV537" i="1" s="1"/>
  <c r="CQ537" i="1"/>
  <c r="CP537" i="1"/>
  <c r="CT525" i="1"/>
  <c r="CU525" i="1" s="1"/>
  <c r="CO505" i="1"/>
  <c r="CS115" i="1"/>
  <c r="BF118" i="1" a="1"/>
  <c r="BF118" i="1" s="1"/>
  <c r="BE118" i="1" s="1" a="1"/>
  <c r="BE118" i="1" s="1"/>
  <c r="CP96" i="1"/>
  <c r="CO96" i="1"/>
  <c r="CT96" i="1"/>
  <c r="CS96" i="1"/>
  <c r="CR96" i="1"/>
  <c r="CV458" i="1"/>
  <c r="CT504" i="1"/>
  <c r="CO504" i="1"/>
  <c r="CS504" i="1"/>
  <c r="CV504" i="1" s="1"/>
  <c r="CQ93" i="1"/>
  <c r="BE455" i="1" a="1"/>
  <c r="BE455" i="1" s="1"/>
  <c r="CO501" i="1"/>
  <c r="BF98" i="1" a="1"/>
  <c r="BF98" i="1" s="1"/>
  <c r="BE98" i="1" s="1" a="1"/>
  <c r="BE98" i="1" s="1"/>
  <c r="CO496" i="1"/>
  <c r="BF115" i="1" a="1"/>
  <c r="BF115" i="1" s="1"/>
  <c r="BE115" i="1" s="1" a="1"/>
  <c r="BE115" i="1" s="1"/>
  <c r="CT705" i="1"/>
  <c r="CU705" i="1" s="1"/>
  <c r="CP504" i="1"/>
  <c r="CT103" i="1"/>
  <c r="CP103" i="1"/>
  <c r="CO103" i="1"/>
  <c r="BF451" i="1" a="1"/>
  <c r="BF451" i="1" s="1"/>
  <c r="BE451" i="1" s="1" a="1"/>
  <c r="BE451" i="1" s="1"/>
  <c r="CT451" i="1"/>
  <c r="CU451" i="1" s="1"/>
  <c r="CS451" i="1"/>
  <c r="CR451" i="1"/>
  <c r="CT484" i="1"/>
  <c r="CU484" i="1" s="1"/>
  <c r="CT485" i="1"/>
  <c r="CU485" i="1" s="1"/>
  <c r="BY485" i="1"/>
  <c r="BY392" i="1"/>
  <c r="BY103" i="1"/>
  <c r="BY93" i="1"/>
  <c r="BY96" i="1"/>
  <c r="CT97" i="1"/>
  <c r="CR97" i="1"/>
  <c r="CV97" i="1" s="1"/>
  <c r="CQ97" i="1"/>
  <c r="CP97" i="1"/>
  <c r="CO97" i="1"/>
  <c r="CT511" i="1"/>
  <c r="CU511" i="1" s="1"/>
  <c r="BY511" i="1"/>
  <c r="BY697" i="1"/>
  <c r="CQ392" i="1"/>
  <c r="CQ701" i="1"/>
  <c r="CS93" i="1"/>
  <c r="CV93" i="1" s="1"/>
  <c r="CT512" i="1"/>
  <c r="CU512" i="1" s="1"/>
  <c r="CT697" i="1"/>
  <c r="CQ698" i="1"/>
  <c r="CS392" i="1"/>
  <c r="CV392" i="1" s="1"/>
  <c r="CR450" i="1"/>
  <c r="CR701" i="1"/>
  <c r="CO104" i="1"/>
  <c r="CT93" i="1"/>
  <c r="CT483" i="1"/>
  <c r="CU483" i="1" s="1"/>
  <c r="CR698" i="1"/>
  <c r="CO378" i="1"/>
  <c r="CT392" i="1"/>
  <c r="CS450" i="1"/>
  <c r="CS698" i="1"/>
  <c r="CT450" i="1"/>
  <c r="CR486" i="1"/>
  <c r="CO697" i="1"/>
  <c r="CT698" i="1"/>
  <c r="CT393" i="1"/>
  <c r="CP93" i="1"/>
  <c r="CR453" i="1"/>
  <c r="CV453" i="1" s="1"/>
  <c r="CS484" i="1"/>
  <c r="CV484" i="1" s="1"/>
  <c r="CQ697" i="1"/>
  <c r="CP392" i="1"/>
  <c r="CO450" i="1"/>
  <c r="CV46" i="1" l="1"/>
  <c r="CV423" i="1"/>
  <c r="CU423" i="1"/>
  <c r="CR471" i="1"/>
  <c r="CU852" i="1"/>
  <c r="CT436" i="1"/>
  <c r="CO471" i="1"/>
  <c r="CS471" i="1"/>
  <c r="CV471" i="1" s="1"/>
  <c r="CV917" i="1"/>
  <c r="CU944" i="1"/>
  <c r="CO24" i="1"/>
  <c r="CT471" i="1"/>
  <c r="CU709" i="1"/>
  <c r="CS24" i="1"/>
  <c r="CV420" i="1"/>
  <c r="CU896" i="1"/>
  <c r="CU908" i="1"/>
  <c r="CU332" i="1"/>
  <c r="CR655" i="1"/>
  <c r="CU455" i="1"/>
  <c r="CU676" i="1"/>
  <c r="CS655" i="1"/>
  <c r="CV477" i="1"/>
  <c r="CT24" i="1"/>
  <c r="CU24" i="1" s="1"/>
  <c r="CU851" i="1"/>
  <c r="CU47" i="1"/>
  <c r="CP439" i="1"/>
  <c r="CU844" i="1"/>
  <c r="CT439" i="1"/>
  <c r="CU553" i="1"/>
  <c r="CS439" i="1"/>
  <c r="CV439" i="1" s="1"/>
  <c r="CQ656" i="1"/>
  <c r="CU904" i="1"/>
  <c r="CU647" i="1"/>
  <c r="CQ439" i="1"/>
  <c r="CR439" i="1"/>
  <c r="CQ406" i="1"/>
  <c r="CU868" i="1"/>
  <c r="CO655" i="1"/>
  <c r="CO886" i="1"/>
  <c r="CP655" i="1"/>
  <c r="BY943" i="1"/>
  <c r="CT655" i="1"/>
  <c r="CU655" i="1" s="1"/>
  <c r="CU103" i="1"/>
  <c r="CU140" i="1"/>
  <c r="CQ940" i="1"/>
  <c r="CU441" i="1"/>
  <c r="CU919" i="1"/>
  <c r="CU493" i="1"/>
  <c r="CT715" i="1"/>
  <c r="CU715" i="1" s="1"/>
  <c r="CQ643" i="1"/>
  <c r="CU643" i="1" s="1"/>
  <c r="CU957" i="1"/>
  <c r="CU132" i="1"/>
  <c r="CV133" i="1"/>
  <c r="CU130" i="1"/>
  <c r="CT646" i="1"/>
  <c r="CU872" i="1"/>
  <c r="CS646" i="1"/>
  <c r="CU677" i="1"/>
  <c r="CU863" i="1"/>
  <c r="CU945" i="1"/>
  <c r="CO646" i="1"/>
  <c r="CQ646" i="1"/>
  <c r="CU971" i="1"/>
  <c r="CR646" i="1"/>
  <c r="CV730" i="1"/>
  <c r="CU965" i="1"/>
  <c r="CU969" i="1"/>
  <c r="CV706" i="1"/>
  <c r="CQ412" i="1"/>
  <c r="CV486" i="1"/>
  <c r="CR476" i="1"/>
  <c r="CU866" i="1"/>
  <c r="CV138" i="1"/>
  <c r="CU982" i="1"/>
  <c r="CU45" i="1"/>
  <c r="CU687" i="1"/>
  <c r="CS476" i="1"/>
  <c r="CU675" i="1"/>
  <c r="CP476" i="1"/>
  <c r="CU942" i="1"/>
  <c r="CT371" i="1"/>
  <c r="CU371" i="1" s="1"/>
  <c r="CV912" i="1"/>
  <c r="CT476" i="1"/>
  <c r="CQ639" i="1"/>
  <c r="CV852" i="1"/>
  <c r="CT475" i="1"/>
  <c r="BY24" i="1"/>
  <c r="CP472" i="1"/>
  <c r="CU917" i="1"/>
  <c r="CU549" i="1"/>
  <c r="CU915" i="1"/>
  <c r="CV944" i="1"/>
  <c r="CV702" i="1"/>
  <c r="CU442" i="1"/>
  <c r="CV137" i="1"/>
  <c r="CV665" i="1"/>
  <c r="CU731" i="1"/>
  <c r="CU502" i="1"/>
  <c r="CQ472" i="1"/>
  <c r="CS409" i="1"/>
  <c r="CV409" i="1" s="1"/>
  <c r="CT409" i="1"/>
  <c r="CU975" i="1"/>
  <c r="CU737" i="1"/>
  <c r="CU701" i="1"/>
  <c r="CS472" i="1"/>
  <c r="CP409" i="1"/>
  <c r="CU934" i="1"/>
  <c r="CU898" i="1"/>
  <c r="CU651" i="1"/>
  <c r="CU861" i="1"/>
  <c r="CU136" i="1"/>
  <c r="CT472" i="1"/>
  <c r="CU548" i="1"/>
  <c r="CR472" i="1"/>
  <c r="CQ644" i="1"/>
  <c r="CU644" i="1" s="1"/>
  <c r="CT641" i="1"/>
  <c r="CU935" i="1"/>
  <c r="CV897" i="1"/>
  <c r="CV131" i="1"/>
  <c r="CU959" i="1"/>
  <c r="CU459" i="1"/>
  <c r="CU923" i="1"/>
  <c r="CT645" i="1"/>
  <c r="CU467" i="1"/>
  <c r="CU96" i="1"/>
  <c r="CU50" i="1"/>
  <c r="CO406" i="1"/>
  <c r="CU931" i="1"/>
  <c r="CO645" i="1"/>
  <c r="CU461" i="1"/>
  <c r="CU370" i="1"/>
  <c r="CP406" i="1"/>
  <c r="BY888" i="1"/>
  <c r="CU535" i="1"/>
  <c r="CV482" i="1"/>
  <c r="CU728" i="1"/>
  <c r="CS645" i="1"/>
  <c r="CV645" i="1" s="1"/>
  <c r="CU386" i="1"/>
  <c r="CV980" i="1"/>
  <c r="CU907" i="1"/>
  <c r="CV554" i="1"/>
  <c r="BY474" i="1"/>
  <c r="CU875" i="1"/>
  <c r="CU900" i="1"/>
  <c r="CQ886" i="1"/>
  <c r="CV911" i="1"/>
  <c r="CQ23" i="1"/>
  <c r="CU927" i="1"/>
  <c r="CU717" i="1"/>
  <c r="CU738" i="1"/>
  <c r="CU110" i="1"/>
  <c r="CP645" i="1"/>
  <c r="CU425" i="1"/>
  <c r="CU740" i="1"/>
  <c r="CU465" i="1"/>
  <c r="CT636" i="1"/>
  <c r="CO636" i="1"/>
  <c r="CP636" i="1"/>
  <c r="CT23" i="1"/>
  <c r="CQ636" i="1"/>
  <c r="CU44" i="1"/>
  <c r="CO23" i="1"/>
  <c r="CU388" i="1"/>
  <c r="BY42" i="1"/>
  <c r="CU950" i="1"/>
  <c r="CV426" i="1"/>
  <c r="CU504" i="1"/>
  <c r="CP23" i="1"/>
  <c r="CR636" i="1"/>
  <c r="CV636" i="1" s="1"/>
  <c r="CS23" i="1"/>
  <c r="CV23" i="1" s="1"/>
  <c r="CU702" i="1"/>
  <c r="CU574" i="1"/>
  <c r="CV372" i="1"/>
  <c r="CS644" i="1"/>
  <c r="CU129" i="1"/>
  <c r="CU739" i="1"/>
  <c r="CU947" i="1"/>
  <c r="CV895" i="1"/>
  <c r="CV25" i="1"/>
  <c r="CU967" i="1"/>
  <c r="CV738" i="1"/>
  <c r="CU974" i="1"/>
  <c r="CV928" i="1"/>
  <c r="CU416" i="1"/>
  <c r="CV916" i="1"/>
  <c r="CV896" i="1"/>
  <c r="CU481" i="1"/>
  <c r="CV732" i="1"/>
  <c r="CV943" i="1"/>
  <c r="CS436" i="1"/>
  <c r="CV436" i="1" s="1"/>
  <c r="CU649" i="1"/>
  <c r="CU338" i="1"/>
  <c r="CU642" i="1"/>
  <c r="CU505" i="1"/>
  <c r="CU682" i="1"/>
  <c r="CU506" i="1"/>
  <c r="CQ476" i="1"/>
  <c r="CU529" i="1"/>
  <c r="CV959" i="1"/>
  <c r="CU976" i="1"/>
  <c r="CQ641" i="1"/>
  <c r="CU883" i="1"/>
  <c r="CU906" i="1"/>
  <c r="CU421" i="1"/>
  <c r="CU860" i="1"/>
  <c r="CU51" i="1"/>
  <c r="CU477" i="1"/>
  <c r="CU941" i="1"/>
  <c r="CU713" i="1"/>
  <c r="CO436" i="1"/>
  <c r="CU678" i="1"/>
  <c r="CU491" i="1"/>
  <c r="CU891" i="1"/>
  <c r="CU501" i="1"/>
  <c r="CU100" i="1"/>
  <c r="CP436" i="1"/>
  <c r="CU545" i="1"/>
  <c r="CU870" i="1"/>
  <c r="BY646" i="1"/>
  <c r="EP646" i="1" s="1"/>
  <c r="CU679" i="1"/>
  <c r="CU366" i="1"/>
  <c r="CS641" i="1"/>
  <c r="CV139" i="1"/>
  <c r="CU724" i="1"/>
  <c r="CU134" i="1"/>
  <c r="CU727" i="1"/>
  <c r="CO887" i="1"/>
  <c r="CU699" i="1"/>
  <c r="CU914" i="1"/>
  <c r="CU537" i="1"/>
  <c r="CU977" i="1"/>
  <c r="CU937" i="1"/>
  <c r="CV547" i="1"/>
  <c r="CU450" i="1"/>
  <c r="CU848" i="1"/>
  <c r="CU495" i="1"/>
  <c r="CV679" i="1"/>
  <c r="CU427" i="1"/>
  <c r="CU91" i="1"/>
  <c r="CP475" i="1"/>
  <c r="CU949" i="1"/>
  <c r="CU670" i="1"/>
  <c r="CV141" i="1"/>
  <c r="CU101" i="1"/>
  <c r="CR887" i="1"/>
  <c r="CV887" i="1" s="1"/>
  <c r="CU420" i="1"/>
  <c r="CU846" i="1"/>
  <c r="CV733" i="1"/>
  <c r="CV463" i="1"/>
  <c r="BY469" i="1"/>
  <c r="CU494" i="1"/>
  <c r="CQ887" i="1"/>
  <c r="CU912" i="1"/>
  <c r="CO641" i="1"/>
  <c r="CV889" i="1"/>
  <c r="CU564" i="1"/>
  <c r="CV922" i="1"/>
  <c r="CQ410" i="1"/>
  <c r="CV947" i="1"/>
  <c r="CV480" i="1"/>
  <c r="CV44" i="1"/>
  <c r="CU903" i="1"/>
  <c r="CV931" i="1"/>
  <c r="CU426" i="1"/>
  <c r="CU911" i="1"/>
  <c r="CV877" i="1"/>
  <c r="CU418" i="1"/>
  <c r="CV478" i="1"/>
  <c r="CV450" i="1"/>
  <c r="CU347" i="1"/>
  <c r="CV653" i="1"/>
  <c r="CU458" i="1"/>
  <c r="CU489" i="1"/>
  <c r="CR641" i="1"/>
  <c r="CV425" i="1"/>
  <c r="CV857" i="1"/>
  <c r="CU845" i="1"/>
  <c r="CU492" i="1"/>
  <c r="CV521" i="1"/>
  <c r="CV87" i="1"/>
  <c r="CU131" i="1"/>
  <c r="CU963" i="1"/>
  <c r="CU107" i="1"/>
  <c r="CV378" i="1"/>
  <c r="CU104" i="1"/>
  <c r="CU916" i="1"/>
  <c r="CU482" i="1"/>
  <c r="CV666" i="1"/>
  <c r="CU960" i="1"/>
  <c r="CV905" i="1"/>
  <c r="CV874" i="1"/>
  <c r="CU90" i="1"/>
  <c r="CV675" i="1"/>
  <c r="CU344" i="1"/>
  <c r="CV56" i="1"/>
  <c r="CV21" i="1"/>
  <c r="CU873" i="1"/>
  <c r="CU889" i="1"/>
  <c r="CU956" i="1"/>
  <c r="CU733" i="1"/>
  <c r="CU93" i="1"/>
  <c r="CT887" i="1"/>
  <c r="CV964" i="1"/>
  <c r="CV856" i="1"/>
  <c r="CV954" i="1"/>
  <c r="CV722" i="1"/>
  <c r="CU938" i="1"/>
  <c r="CU138" i="1"/>
  <c r="CU921" i="1"/>
  <c r="CU365" i="1"/>
  <c r="CR886" i="1"/>
  <c r="CV886" i="1" s="1"/>
  <c r="CU449" i="1"/>
  <c r="CV85" i="1"/>
  <c r="CU64" i="1"/>
  <c r="CU874" i="1"/>
  <c r="CU893" i="1"/>
  <c r="CU936" i="1"/>
  <c r="CT884" i="1"/>
  <c r="CV978" i="1"/>
  <c r="CR475" i="1"/>
  <c r="CT639" i="1"/>
  <c r="CU719" i="1"/>
  <c r="CU681" i="1"/>
  <c r="CU573" i="1"/>
  <c r="CU478" i="1"/>
  <c r="CU672" i="1"/>
  <c r="CU137" i="1"/>
  <c r="CV130" i="1"/>
  <c r="BY654" i="1"/>
  <c r="CU638" i="1"/>
  <c r="CR410" i="1"/>
  <c r="CU689" i="1"/>
  <c r="CU954" i="1"/>
  <c r="CU690" i="1"/>
  <c r="CU378" i="1"/>
  <c r="CU428" i="1"/>
  <c r="CU909" i="1"/>
  <c r="CU393" i="1"/>
  <c r="CR639" i="1"/>
  <c r="CU135" i="1"/>
  <c r="CU480" i="1"/>
  <c r="CU550" i="1"/>
  <c r="CU910" i="1"/>
  <c r="CU734" i="1"/>
  <c r="CV119" i="1"/>
  <c r="CU979" i="1"/>
  <c r="CU440" i="1"/>
  <c r="CS410" i="1"/>
  <c r="CU857" i="1"/>
  <c r="CU490" i="1"/>
  <c r="CU951" i="1"/>
  <c r="CU424" i="1"/>
  <c r="CV418" i="1"/>
  <c r="CV132" i="1"/>
  <c r="CV135" i="1"/>
  <c r="CS639" i="1"/>
  <c r="CU108" i="1"/>
  <c r="CU464" i="1"/>
  <c r="CU691" i="1"/>
  <c r="CV701" i="1"/>
  <c r="CV546" i="1"/>
  <c r="CT367" i="1"/>
  <c r="CU367" i="1" s="1"/>
  <c r="CP886" i="1"/>
  <c r="CU711" i="1"/>
  <c r="CU139" i="1"/>
  <c r="CR884" i="1"/>
  <c r="CU419" i="1"/>
  <c r="CU850" i="1"/>
  <c r="BY713" i="1"/>
  <c r="CQ475" i="1"/>
  <c r="CT714" i="1"/>
  <c r="CU714" i="1" s="1"/>
  <c r="CT410" i="1"/>
  <c r="CP887" i="1"/>
  <c r="CU899" i="1"/>
  <c r="CV417" i="1"/>
  <c r="CU925" i="1"/>
  <c r="CU653" i="1"/>
  <c r="CU133" i="1"/>
  <c r="CU862" i="1"/>
  <c r="CU847" i="1"/>
  <c r="CP884" i="1"/>
  <c r="CU503" i="1"/>
  <c r="CU536" i="1"/>
  <c r="CU95" i="1"/>
  <c r="CQ884" i="1"/>
  <c r="CU930" i="1"/>
  <c r="CV671" i="1"/>
  <c r="CU895" i="1"/>
  <c r="CU650" i="1"/>
  <c r="CU980" i="1"/>
  <c r="CT886" i="1"/>
  <c r="CU496" i="1"/>
  <c r="CV676" i="1"/>
  <c r="CV967" i="1"/>
  <c r="CV870" i="1"/>
  <c r="CV925" i="1"/>
  <c r="CU479" i="1"/>
  <c r="CS884" i="1"/>
  <c r="CU878" i="1"/>
  <c r="CU571" i="1"/>
  <c r="CU716" i="1"/>
  <c r="CU462" i="1"/>
  <c r="CS475" i="1"/>
  <c r="CO410" i="1"/>
  <c r="CU693" i="1"/>
  <c r="CV898" i="1"/>
  <c r="CV412" i="1"/>
  <c r="CV136" i="1"/>
  <c r="CV574" i="1"/>
  <c r="CU929" i="1"/>
  <c r="CU688" i="1"/>
  <c r="CV979" i="1"/>
  <c r="CV935" i="1"/>
  <c r="CU939" i="1"/>
  <c r="CU729" i="1"/>
  <c r="CU973" i="1"/>
  <c r="CV968" i="1"/>
  <c r="CU671" i="1"/>
  <c r="CU89" i="1"/>
  <c r="CV867" i="1"/>
  <c r="CV492" i="1"/>
  <c r="CU60" i="1"/>
  <c r="CU86" i="1"/>
  <c r="CV649" i="1"/>
  <c r="CV862" i="1"/>
  <c r="CV538" i="1"/>
  <c r="CV855" i="1"/>
  <c r="CU933" i="1"/>
  <c r="CV741" i="1"/>
  <c r="CV440" i="1"/>
  <c r="CU500" i="1"/>
  <c r="BY653" i="1"/>
  <c r="CV876" i="1"/>
  <c r="CU392" i="1"/>
  <c r="CV98" i="1"/>
  <c r="CV371" i="1"/>
  <c r="CV915" i="1"/>
  <c r="CU966" i="1"/>
  <c r="CU924" i="1"/>
  <c r="CV713" i="1"/>
  <c r="CV495" i="1"/>
  <c r="CU55" i="1"/>
  <c r="CV20" i="1"/>
  <c r="CU968" i="1"/>
  <c r="CV956" i="1"/>
  <c r="CU697" i="1"/>
  <c r="CU457" i="1"/>
  <c r="CU20" i="1"/>
  <c r="CV934" i="1"/>
  <c r="CU877" i="1"/>
  <c r="CU854" i="1"/>
  <c r="CV104" i="1"/>
  <c r="CV848" i="1"/>
  <c r="CU463" i="1"/>
  <c r="CU348" i="1"/>
  <c r="CV970" i="1"/>
  <c r="CV865" i="1"/>
  <c r="CU732" i="1"/>
  <c r="CU890" i="1"/>
  <c r="CV424" i="1"/>
  <c r="CV913" i="1"/>
  <c r="CQ470" i="1"/>
  <c r="CU470" i="1" s="1"/>
  <c r="CV961" i="1"/>
  <c r="CU897" i="1"/>
  <c r="CU417" i="1"/>
  <c r="CV464" i="1"/>
  <c r="CV899" i="1"/>
  <c r="CV860" i="1"/>
  <c r="CV875" i="1"/>
  <c r="CV965" i="1"/>
  <c r="CV868" i="1"/>
  <c r="CV923" i="1"/>
  <c r="BY657" i="1"/>
  <c r="CV966" i="1"/>
  <c r="CV924" i="1"/>
  <c r="CQ411" i="1"/>
  <c r="CU572" i="1"/>
  <c r="CV90" i="1"/>
  <c r="CU853" i="1"/>
  <c r="CV693" i="1"/>
  <c r="CU876" i="1"/>
  <c r="CQ637" i="1"/>
  <c r="CU637" i="1" s="1"/>
  <c r="CU556" i="1"/>
  <c r="CV502" i="1"/>
  <c r="CV462" i="1"/>
  <c r="CU340" i="1"/>
  <c r="CV370" i="1"/>
  <c r="CU510" i="1"/>
  <c r="CQ645" i="1"/>
  <c r="CU645" i="1" s="1"/>
  <c r="CV102" i="1"/>
  <c r="CV937" i="1"/>
  <c r="CV466" i="1"/>
  <c r="CU880" i="1"/>
  <c r="CU932" i="1"/>
  <c r="CU468" i="1"/>
  <c r="CV552" i="1"/>
  <c r="CV551" i="1"/>
  <c r="CV948" i="1"/>
  <c r="CV953" i="1"/>
  <c r="CU892" i="1"/>
  <c r="CV415" i="1"/>
  <c r="CV91" i="1"/>
  <c r="CU881" i="1"/>
  <c r="CU920" i="1"/>
  <c r="CV981" i="1"/>
  <c r="CV960" i="1"/>
  <c r="CV851" i="1"/>
  <c r="CV699" i="1"/>
  <c r="CV451" i="1"/>
  <c r="CV388" i="1"/>
  <c r="CV919" i="1"/>
  <c r="CV655" i="1"/>
  <c r="CU466" i="1"/>
  <c r="CU964" i="1"/>
  <c r="CU673" i="1"/>
  <c r="CU87" i="1"/>
  <c r="CV952" i="1"/>
  <c r="CU106" i="1"/>
  <c r="CV443" i="1"/>
  <c r="CU57" i="1"/>
  <c r="CV969" i="1"/>
  <c r="CV872" i="1"/>
  <c r="CV927" i="1"/>
  <c r="CV714" i="1"/>
  <c r="CV637" i="1"/>
  <c r="CU97" i="1"/>
  <c r="CV105" i="1"/>
  <c r="CV367" i="1"/>
  <c r="CU58" i="1"/>
  <c r="CU343" i="1"/>
  <c r="CU913" i="1"/>
  <c r="CU369" i="1"/>
  <c r="CV662" i="1"/>
  <c r="CU961" i="1"/>
  <c r="CV938" i="1"/>
  <c r="BY638" i="1"/>
  <c r="CO639" i="1"/>
  <c r="CU879" i="1"/>
  <c r="CV879" i="1"/>
  <c r="CV920" i="1"/>
  <c r="CV454" i="1"/>
  <c r="CV740" i="1"/>
  <c r="CU894" i="1"/>
  <c r="CU849" i="1"/>
  <c r="CV843" i="1"/>
  <c r="CU858" i="1"/>
  <c r="CV690" i="1"/>
  <c r="CV946" i="1"/>
  <c r="CU730" i="1"/>
  <c r="CV460" i="1"/>
  <c r="CR644" i="1"/>
  <c r="CP644" i="1"/>
  <c r="CO644" i="1"/>
  <c r="CU21" i="1"/>
  <c r="CV657" i="1"/>
  <c r="CT411" i="1"/>
  <c r="CS411" i="1"/>
  <c r="CO411" i="1"/>
  <c r="CR411" i="1"/>
  <c r="CV338" i="1"/>
  <c r="CV333" i="1"/>
  <c r="CS438" i="1"/>
  <c r="CV438" i="1" s="1"/>
  <c r="CU412" i="1"/>
  <c r="CP438" i="1"/>
  <c r="CV695" i="1"/>
  <c r="CV643" i="1"/>
  <c r="CT406" i="1"/>
  <c r="CU406" i="1" s="1"/>
  <c r="CS406" i="1"/>
  <c r="CR406" i="1"/>
  <c r="CV642" i="1"/>
  <c r="CO438" i="1"/>
  <c r="CQ438" i="1"/>
  <c r="CU940" i="1"/>
  <c r="CT438" i="1"/>
  <c r="CV469" i="1"/>
  <c r="CV698" i="1"/>
  <c r="CU700" i="1"/>
  <c r="CV113" i="1"/>
  <c r="CV339" i="1"/>
  <c r="CU99" i="1"/>
  <c r="CV116" i="1"/>
  <c r="CV109" i="1"/>
  <c r="CU652" i="1"/>
  <c r="CV962" i="1"/>
  <c r="CV497" i="1"/>
  <c r="CU102" i="1"/>
  <c r="BY439" i="1"/>
  <c r="CU654" i="1"/>
  <c r="CV680" i="1"/>
  <c r="CU978" i="1"/>
  <c r="CV719" i="1"/>
  <c r="CU555" i="1"/>
  <c r="CV940" i="1"/>
  <c r="CV729" i="1"/>
  <c r="CV723" i="1"/>
  <c r="BY25" i="1"/>
  <c r="CT25" i="1"/>
  <c r="CU25" i="1" s="1"/>
  <c r="CV894" i="1"/>
  <c r="CU88" i="1"/>
  <c r="CV734" i="1"/>
  <c r="CU692" i="1"/>
  <c r="CU736" i="1"/>
  <c r="CV142" i="1"/>
  <c r="CR499" i="1"/>
  <c r="CQ499" i="1"/>
  <c r="CO499" i="1"/>
  <c r="CT499" i="1"/>
  <c r="CS499" i="1"/>
  <c r="CP499" i="1"/>
  <c r="CU105" i="1"/>
  <c r="CU109" i="1"/>
  <c r="CU527" i="1"/>
  <c r="CU333" i="1"/>
  <c r="CU864" i="1"/>
  <c r="CU456" i="1"/>
  <c r="CV414" i="1"/>
  <c r="BY887" i="1"/>
  <c r="CV110" i="1"/>
  <c r="CU972" i="1"/>
  <c r="CU680" i="1"/>
  <c r="CT473" i="1"/>
  <c r="CS473" i="1"/>
  <c r="CO473" i="1"/>
  <c r="CQ473" i="1"/>
  <c r="CP473" i="1"/>
  <c r="CR473" i="1"/>
  <c r="CV692" i="1"/>
  <c r="CV736" i="1"/>
  <c r="CV849" i="1"/>
  <c r="CU443" i="1"/>
  <c r="CP437" i="1"/>
  <c r="CO437" i="1"/>
  <c r="CQ437" i="1"/>
  <c r="CT437" i="1"/>
  <c r="CS437" i="1"/>
  <c r="CR437" i="1"/>
  <c r="CS888" i="1"/>
  <c r="CR888" i="1"/>
  <c r="CQ888" i="1"/>
  <c r="CP888" i="1"/>
  <c r="CT888" i="1"/>
  <c r="CO888" i="1"/>
  <c r="CP885" i="1"/>
  <c r="CO885" i="1"/>
  <c r="CT885" i="1"/>
  <c r="CS885" i="1"/>
  <c r="CR885" i="1"/>
  <c r="CQ885" i="1"/>
  <c r="CQ436" i="1"/>
  <c r="CU436" i="1" s="1"/>
  <c r="CU726" i="1"/>
  <c r="CU408" i="1"/>
  <c r="CQ409" i="1"/>
  <c r="CV557" i="1"/>
  <c r="CV681" i="1"/>
  <c r="CV555" i="1"/>
  <c r="CU722" i="1"/>
  <c r="CV873" i="1"/>
  <c r="CU551" i="1"/>
  <c r="CU742" i="1"/>
  <c r="CU981" i="1"/>
  <c r="CU869" i="1"/>
  <c r="CS413" i="1"/>
  <c r="CR413" i="1"/>
  <c r="CT413" i="1"/>
  <c r="CQ413" i="1"/>
  <c r="CP413" i="1"/>
  <c r="CO413" i="1"/>
  <c r="CQ407" i="1"/>
  <c r="CP407" i="1"/>
  <c r="CO407" i="1"/>
  <c r="CT407" i="1"/>
  <c r="CS407" i="1"/>
  <c r="CR407" i="1"/>
  <c r="CV689" i="1"/>
  <c r="CV88" i="1"/>
  <c r="CU735" i="1"/>
  <c r="CU843" i="1"/>
  <c r="CU538" i="1"/>
  <c r="CU85" i="1"/>
  <c r="CV861" i="1"/>
  <c r="CV882" i="1"/>
  <c r="CU970" i="1"/>
  <c r="CU865" i="1"/>
  <c r="CV24" i="1"/>
  <c r="CU648" i="1"/>
  <c r="CU922" i="1"/>
  <c r="CV958" i="1"/>
  <c r="CU901" i="1"/>
  <c r="CV853" i="1"/>
  <c r="CU952" i="1"/>
  <c r="CV858" i="1"/>
  <c r="CU142" i="1"/>
  <c r="CV735" i="1"/>
  <c r="CU948" i="1"/>
  <c r="CV115" i="1"/>
  <c r="CV50" i="1"/>
  <c r="CV650" i="1"/>
  <c r="CT372" i="1"/>
  <c r="CU372" i="1" s="1"/>
  <c r="BY372" i="1"/>
  <c r="CV688" i="1"/>
  <c r="CV510" i="1"/>
  <c r="CV491" i="1"/>
  <c r="CU509" i="1"/>
  <c r="CV369" i="1"/>
  <c r="CV726" i="1"/>
  <c r="CU882" i="1"/>
  <c r="CV640" i="1"/>
  <c r="CU444" i="1"/>
  <c r="CV880" i="1"/>
  <c r="CU871" i="1"/>
  <c r="CV468" i="1"/>
  <c r="CV939" i="1"/>
  <c r="CU454" i="1"/>
  <c r="CU557" i="1"/>
  <c r="CV648" i="1"/>
  <c r="CU859" i="1"/>
  <c r="CV869" i="1"/>
  <c r="CU656" i="1"/>
  <c r="CV22" i="1"/>
  <c r="CU926" i="1"/>
  <c r="CV673" i="1"/>
  <c r="CU958" i="1"/>
  <c r="CV89" i="1"/>
  <c r="CV901" i="1"/>
  <c r="CV674" i="1"/>
  <c r="CV670" i="1"/>
  <c r="CU918" i="1"/>
  <c r="CU387" i="1"/>
  <c r="CU460" i="1"/>
  <c r="CP42" i="1"/>
  <c r="CO42" i="1"/>
  <c r="CT42" i="1"/>
  <c r="CS42" i="1"/>
  <c r="CR42" i="1"/>
  <c r="CQ42" i="1"/>
  <c r="CU902" i="1"/>
  <c r="CU953" i="1"/>
  <c r="CU674" i="1"/>
  <c r="CV951" i="1"/>
  <c r="CU698" i="1"/>
  <c r="CV457" i="1"/>
  <c r="CV106" i="1"/>
  <c r="CV651" i="1"/>
  <c r="CV682" i="1"/>
  <c r="CV500" i="1"/>
  <c r="CV864" i="1"/>
  <c r="CV344" i="1"/>
  <c r="CV493" i="1"/>
  <c r="CV509" i="1"/>
  <c r="CV343" i="1"/>
  <c r="CV711" i="1"/>
  <c r="BY640" i="1"/>
  <c r="CQ640" i="1"/>
  <c r="CU640" i="1" s="1"/>
  <c r="CV571" i="1"/>
  <c r="CV850" i="1"/>
  <c r="CT469" i="1"/>
  <c r="CU469" i="1" s="1"/>
  <c r="CU657" i="1"/>
  <c r="CV444" i="1"/>
  <c r="CV932" i="1"/>
  <c r="CV871" i="1"/>
  <c r="CU943" i="1"/>
  <c r="CQ471" i="1"/>
  <c r="CU471" i="1" s="1"/>
  <c r="CU552" i="1"/>
  <c r="CU723" i="1"/>
  <c r="CV859" i="1"/>
  <c r="CV973" i="1"/>
  <c r="CQ22" i="1"/>
  <c r="CU22" i="1" s="1"/>
  <c r="CV926" i="1"/>
  <c r="CU856" i="1"/>
  <c r="CU955" i="1"/>
  <c r="CV672" i="1"/>
  <c r="CV846" i="1"/>
  <c r="CU694" i="1"/>
  <c r="CV691" i="1"/>
  <c r="CV892" i="1"/>
  <c r="CV525" i="1"/>
  <c r="CV96" i="1"/>
  <c r="CV535" i="1"/>
  <c r="CU339" i="1"/>
  <c r="CV99" i="1"/>
  <c r="CU66" i="1"/>
  <c r="CP474" i="1"/>
  <c r="CO474" i="1"/>
  <c r="CQ474" i="1"/>
  <c r="CT474" i="1"/>
  <c r="CS474" i="1"/>
  <c r="CR474" i="1"/>
  <c r="CU331" i="1"/>
  <c r="CV703" i="1"/>
  <c r="CV728" i="1"/>
  <c r="CV963" i="1"/>
  <c r="CV866" i="1"/>
  <c r="CV921" i="1"/>
  <c r="CU554" i="1"/>
  <c r="CU867" i="1"/>
  <c r="CU725" i="1"/>
  <c r="CU741" i="1"/>
  <c r="CV694" i="1"/>
  <c r="CU855" i="1"/>
  <c r="CU141" i="1"/>
  <c r="CU946" i="1"/>
  <c r="CV476" i="1" l="1"/>
  <c r="CV646" i="1"/>
  <c r="CU475" i="1"/>
  <c r="CU439" i="1"/>
  <c r="CU472" i="1"/>
  <c r="CU23" i="1"/>
  <c r="CU639" i="1"/>
  <c r="CU646" i="1"/>
  <c r="CU476" i="1"/>
  <c r="CU886" i="1"/>
  <c r="CV884" i="1"/>
  <c r="CU409" i="1"/>
  <c r="CV472" i="1"/>
  <c r="CU410" i="1"/>
  <c r="CU641" i="1"/>
  <c r="CU636" i="1"/>
  <c r="CV644" i="1"/>
  <c r="CU887" i="1"/>
  <c r="CV641" i="1"/>
  <c r="CV475" i="1"/>
  <c r="CU884" i="1"/>
  <c r="CV639" i="1"/>
  <c r="CV410" i="1"/>
  <c r="CU411" i="1"/>
  <c r="CU407" i="1"/>
  <c r="CU888" i="1"/>
  <c r="CV499" i="1"/>
  <c r="CU438" i="1"/>
  <c r="CV885" i="1"/>
  <c r="CU499" i="1"/>
  <c r="CV473" i="1"/>
  <c r="CV413" i="1"/>
  <c r="CU885" i="1"/>
  <c r="CV888" i="1"/>
  <c r="CU473" i="1"/>
  <c r="CV406" i="1"/>
  <c r="CV474" i="1"/>
  <c r="CU42" i="1"/>
  <c r="CU474" i="1"/>
  <c r="CV411" i="1"/>
  <c r="CV407" i="1"/>
  <c r="CU413" i="1"/>
  <c r="CV437" i="1"/>
  <c r="CU437" i="1"/>
  <c r="CV42" i="1"/>
  <c r="EP118" i="1" l="1"/>
  <c r="EP111" i="1"/>
  <c r="EP412" i="1"/>
  <c r="EP473" i="1"/>
  <c r="EP879" i="1"/>
  <c r="EP464" i="1"/>
  <c r="EP557" i="1"/>
  <c r="EP378" i="1"/>
  <c r="EP415" i="1"/>
  <c r="EP475" i="1"/>
  <c r="EP669" i="1"/>
  <c r="EP682" i="1"/>
  <c r="EP875" i="1"/>
  <c r="EP967" i="1"/>
  <c r="EP960" i="1"/>
  <c r="EP521" i="1"/>
  <c r="EP413" i="1"/>
  <c r="EP476" i="1"/>
  <c r="EP705" i="1"/>
  <c r="EP482" i="1"/>
  <c r="EP942" i="1"/>
  <c r="EP468" i="1"/>
  <c r="EP484" i="1"/>
  <c r="EP849" i="1"/>
  <c r="EP117" i="1"/>
  <c r="EP972" i="1"/>
  <c r="EP714" i="1"/>
  <c r="EP936" i="1"/>
  <c r="EP497" i="1"/>
  <c r="EP866" i="1"/>
  <c r="EP934" i="1"/>
  <c r="EP115" i="1"/>
  <c r="EP735" i="1"/>
  <c r="EP689" i="1"/>
  <c r="EP897" i="1"/>
  <c r="EP854" i="1"/>
  <c r="EP461" i="1"/>
  <c r="EP898" i="1"/>
  <c r="EP664" i="1"/>
  <c r="EP443" i="1"/>
  <c r="EP60" i="1"/>
  <c r="EP122" i="1"/>
  <c r="EP709" i="1"/>
  <c r="EP481" i="1"/>
  <c r="EP703" i="1"/>
  <c r="EP477" i="1"/>
  <c r="EP506" i="1"/>
  <c r="EP93" i="1"/>
  <c r="EP57" i="1"/>
  <c r="EP392" i="1"/>
  <c r="EP141" i="1"/>
  <c r="EP474" i="1"/>
  <c r="EP371" i="1"/>
  <c r="EP876" i="1"/>
  <c r="EP483" i="1"/>
  <c r="EP873" i="1"/>
  <c r="EP551" i="1"/>
  <c r="EP932" i="1"/>
  <c r="EP571" i="1"/>
  <c r="EP877" i="1"/>
  <c r="EP979" i="1"/>
  <c r="EP674" i="1"/>
  <c r="EP503" i="1"/>
  <c r="EP939" i="1"/>
  <c r="EP845" i="1"/>
  <c r="EP732" i="1"/>
  <c r="EP673" i="1"/>
  <c r="EP670" i="1"/>
  <c r="EP99" i="1"/>
  <c r="EP454" i="1"/>
  <c r="EP92" i="1"/>
  <c r="EP695" i="1"/>
  <c r="EP116" i="1"/>
  <c r="EP671" i="1"/>
  <c r="EP691" i="1"/>
  <c r="EP411" i="1"/>
  <c r="EP730" i="1"/>
  <c r="EP964" i="1"/>
  <c r="EP662" i="1"/>
  <c r="EP880" i="1"/>
  <c r="EP882" i="1"/>
  <c r="EP667" i="1"/>
  <c r="EP55" i="1"/>
  <c r="EP102" i="1"/>
  <c r="EP525" i="1"/>
  <c r="EP406" i="1"/>
  <c r="EP58" i="1"/>
  <c r="EP366" i="1"/>
  <c r="EP485" i="1"/>
  <c r="EP512" i="1"/>
  <c r="EP386" i="1"/>
  <c r="EP693" i="1"/>
  <c r="EP676" i="1"/>
  <c r="EP848" i="1"/>
  <c r="EP112" i="1"/>
  <c r="EP509" i="1"/>
  <c r="EP690" i="1"/>
  <c r="EP937" i="1"/>
  <c r="EP23" i="1"/>
  <c r="EP119" i="1"/>
  <c r="EP414" i="1"/>
  <c r="EP440" i="1"/>
  <c r="EP104" i="1"/>
  <c r="EP945" i="1"/>
  <c r="EP962" i="1"/>
  <c r="EP734" i="1"/>
  <c r="EP733" i="1"/>
  <c r="EP480" i="1"/>
  <c r="EP736" i="1"/>
  <c r="EP955" i="1"/>
  <c r="EP858" i="1"/>
  <c r="EP98" i="1"/>
  <c r="EP922" i="1"/>
  <c r="EP410" i="1"/>
  <c r="EP855" i="1"/>
  <c r="EP51" i="1"/>
  <c r="EP971" i="1"/>
  <c r="EP478" i="1"/>
  <c r="EP113" i="1"/>
  <c r="EP89" i="1"/>
  <c r="EP968" i="1"/>
  <c r="EP663" i="1"/>
  <c r="EP451" i="1"/>
  <c r="EP672" i="1"/>
  <c r="EP486" i="1"/>
  <c r="EP970" i="1"/>
  <c r="EP648" i="1"/>
  <c r="EP903" i="1"/>
  <c r="EP692" i="1"/>
  <c r="EP466" i="1"/>
  <c r="EP121" i="1"/>
  <c r="EP924" i="1"/>
  <c r="EP949" i="1"/>
  <c r="EP105" i="1"/>
  <c r="EP86" i="1"/>
  <c r="EP572" i="1"/>
  <c r="EP737" i="1"/>
  <c r="EP668" i="1"/>
  <c r="EP573" i="1"/>
  <c r="EP504" i="1"/>
  <c r="EP510" i="1"/>
  <c r="EP114" i="1"/>
  <c r="EP675" i="1"/>
  <c r="EP45" i="1"/>
  <c r="EP100" i="1"/>
  <c r="EP21" i="1"/>
  <c r="EP641" i="1"/>
  <c r="EP522" i="1"/>
  <c r="EP453" i="1"/>
  <c r="EP44" i="1"/>
  <c r="EP953" i="1"/>
  <c r="EP95" i="1"/>
  <c r="EP666" i="1"/>
  <c r="EP952" i="1"/>
  <c r="EP524" i="1"/>
  <c r="EP457" i="1"/>
  <c r="EP444" i="1"/>
  <c r="EP546" i="1"/>
  <c r="EP651" i="1"/>
  <c r="EP441" i="1"/>
  <c r="EP956" i="1"/>
  <c r="EP701" i="1"/>
  <c r="EP706" i="1"/>
  <c r="EP694" i="1"/>
  <c r="EP715" i="1"/>
  <c r="EP871" i="1"/>
  <c r="EP893" i="1"/>
  <c r="EP867" i="1"/>
  <c r="EP850" i="1"/>
  <c r="EP408" i="1"/>
  <c r="EP724" i="1"/>
  <c r="EP479" i="1"/>
  <c r="EP22" i="1"/>
  <c r="EP860" i="1"/>
  <c r="EP64" i="1"/>
  <c r="EP462" i="1"/>
  <c r="EP843" i="1"/>
  <c r="EP976" i="1"/>
  <c r="EP547" i="1"/>
  <c r="EP553" i="1"/>
  <c r="EP471" i="1"/>
  <c r="EP697" i="1"/>
  <c r="EP677" i="1"/>
  <c r="EP549" i="1"/>
  <c r="EP407" i="1"/>
  <c r="EP103" i="1"/>
  <c r="EP977" i="1"/>
  <c r="EP948" i="1"/>
  <c r="EP370" i="1"/>
  <c r="EP965" i="1"/>
  <c r="EP387" i="1"/>
  <c r="EP678" i="1"/>
  <c r="EP502" i="1"/>
  <c r="EP499" i="1"/>
  <c r="EP665" i="1"/>
  <c r="EP548" i="1"/>
  <c r="EP537" i="1"/>
  <c r="EP844" i="1"/>
  <c r="EP46" i="1"/>
  <c r="EP740" i="1"/>
  <c r="EP66" i="1"/>
  <c r="EP947" i="1"/>
  <c r="EP498" i="1"/>
  <c r="EP852" i="1"/>
  <c r="EP713" i="1"/>
  <c r="EP921" i="1"/>
  <c r="EP42" i="1"/>
  <c r="EP511" i="1"/>
  <c r="EP950" i="1"/>
  <c r="EP25" i="1"/>
  <c r="EP896" i="1"/>
  <c r="EP890" i="1"/>
  <c r="EP929" i="1"/>
  <c r="EP472" i="1"/>
  <c r="EP449" i="1"/>
  <c r="EP696" i="1"/>
  <c r="EP545" i="1"/>
  <c r="EP120" i="1"/>
  <c r="EP496" i="1"/>
  <c r="EP437" i="1"/>
  <c r="EP980" i="1"/>
  <c r="EP459" i="1"/>
  <c r="EP698" i="1"/>
  <c r="EP638" i="1"/>
  <c r="EP647" i="1"/>
  <c r="EP704" i="1"/>
  <c r="EP107" i="1"/>
  <c r="EP367" i="1"/>
  <c r="EP554" i="1"/>
  <c r="EP729" i="1"/>
  <c r="EP974" i="1"/>
  <c r="EP640" i="1"/>
  <c r="EP372" i="1"/>
  <c r="EP439" i="1"/>
  <c r="EP925" i="1"/>
  <c r="EP857" i="1" l="1"/>
  <c r="EP505" i="1"/>
  <c r="EP731" i="1"/>
  <c r="EP142" i="1"/>
  <c r="EP657" i="1"/>
  <c r="EP742" i="1"/>
  <c r="EP652" i="1"/>
  <c r="EP574" i="1"/>
  <c r="EP96" i="1"/>
  <c r="EP538" i="1"/>
  <c r="EP650" i="1"/>
  <c r="EP928" i="1"/>
  <c r="EP536" i="1"/>
  <c r="EP489" i="1"/>
  <c r="EP455" i="1"/>
  <c r="EP109" i="1"/>
  <c r="EP500" i="1"/>
  <c r="EP369" i="1"/>
  <c r="EP957" i="1"/>
  <c r="EP889" i="1"/>
  <c r="EP88" i="1"/>
  <c r="EP728" i="1"/>
  <c r="EP966" i="1"/>
  <c r="EP85" i="1"/>
  <c r="EP892" i="1"/>
  <c r="EP926" i="1"/>
  <c r="EP954" i="1"/>
  <c r="EP883" i="1"/>
  <c r="EP450" i="1"/>
  <c r="EP456" i="1"/>
  <c r="EP918" i="1"/>
  <c r="EP56" i="1"/>
  <c r="EP899" i="1"/>
  <c r="EP495" i="1"/>
  <c r="EP550" i="1"/>
  <c r="EP535" i="1"/>
  <c r="EP368" i="1"/>
  <c r="EP529" i="1"/>
  <c r="EP556" i="1"/>
  <c r="EP654" i="1"/>
  <c r="EP923" i="1"/>
  <c r="EP931" i="1"/>
  <c r="EP101" i="1"/>
  <c r="EP47" i="1"/>
  <c r="EP944" i="1"/>
  <c r="EP725" i="1"/>
  <c r="EP874" i="1"/>
  <c r="EP853" i="1"/>
  <c r="EP643" i="1"/>
  <c r="EP869" i="1"/>
  <c r="EP458" i="1"/>
  <c r="EP726" i="1"/>
  <c r="EP943" i="1"/>
  <c r="EP438" i="1"/>
  <c r="EP637" i="1"/>
  <c r="EP555" i="1"/>
  <c r="EP20" i="1"/>
  <c r="EP711" i="1"/>
  <c r="EP865" i="1"/>
  <c r="EP941" i="1"/>
  <c r="EP920" i="1"/>
  <c r="EP442" i="1"/>
  <c r="EP878" i="1"/>
  <c r="EP723" i="1"/>
  <c r="EP460" i="1"/>
  <c r="EP963" i="1"/>
  <c r="EP94" i="1"/>
  <c r="EP463" i="1"/>
  <c r="EP847" i="1"/>
  <c r="EP935" i="1"/>
  <c r="EP946" i="1"/>
  <c r="EP649" i="1"/>
  <c r="EP868" i="1"/>
  <c r="EP469" i="1"/>
  <c r="EP975" i="1"/>
  <c r="EP436" i="1"/>
  <c r="EP895" i="1"/>
  <c r="EP973" i="1"/>
  <c r="EP891" i="1"/>
  <c r="EP409" i="1"/>
  <c r="EP552" i="1"/>
  <c r="EP872" i="1"/>
  <c r="EP108" i="1"/>
  <c r="EP700" i="1"/>
  <c r="EP465" i="1"/>
  <c r="EP24" i="1"/>
  <c r="EP951" i="1"/>
  <c r="EP470" i="1"/>
  <c r="EP106" i="1"/>
  <c r="EP388" i="1"/>
  <c r="EP50" i="1"/>
  <c r="EP981" i="1"/>
  <c r="EP864" i="1"/>
  <c r="EP467" i="1"/>
  <c r="EP851" i="1"/>
  <c r="EP527" i="1"/>
  <c r="EP90" i="1"/>
  <c r="EP927" i="1"/>
  <c r="EP856" i="1"/>
  <c r="EP908" i="1"/>
  <c r="EP493" i="1"/>
  <c r="EP338" i="1"/>
  <c r="EP917" i="1"/>
  <c r="EP717" i="1"/>
  <c r="EP681" i="1"/>
  <c r="EP911" i="1"/>
  <c r="EP653" i="1"/>
  <c r="EP907" i="1"/>
  <c r="EP884" i="1"/>
  <c r="EP909" i="1"/>
  <c r="EP655" i="1"/>
  <c r="EP886" i="1"/>
  <c r="EP140" i="1"/>
  <c r="EP912" i="1"/>
  <c r="EP348" i="1"/>
  <c r="EP139" i="1"/>
  <c r="EP718" i="1"/>
  <c r="EP680" i="1"/>
  <c r="EP656" i="1"/>
  <c r="EP913" i="1"/>
  <c r="EP738" i="1"/>
  <c r="EP684" i="1"/>
  <c r="EP916" i="1"/>
  <c r="EP719" i="1"/>
  <c r="EP339" i="1"/>
  <c r="EP687" i="1"/>
  <c r="EP491" i="1"/>
  <c r="EP494" i="1"/>
  <c r="EP679" i="1"/>
  <c r="EP333" i="1"/>
  <c r="EP91" i="1"/>
  <c r="EP340" i="1"/>
  <c r="EP862" i="1"/>
  <c r="EP343" i="1"/>
  <c r="EP905" i="1"/>
  <c r="EP915" i="1"/>
  <c r="EP914" i="1"/>
  <c r="EP906" i="1"/>
  <c r="EP741" i="1"/>
  <c r="EP702" i="1"/>
  <c r="EP129" i="1"/>
  <c r="EP425" i="1"/>
  <c r="EP133" i="1"/>
  <c r="EP344" i="1"/>
  <c r="EP688" i="1"/>
  <c r="EP135" i="1"/>
  <c r="EP131" i="1"/>
  <c r="EP347" i="1"/>
  <c r="EP417" i="1"/>
  <c r="EP422" i="1"/>
  <c r="EP424" i="1"/>
  <c r="EP418" i="1"/>
  <c r="EP134" i="1"/>
  <c r="EP136" i="1"/>
  <c r="EP982" i="1"/>
  <c r="EP331" i="1"/>
  <c r="EP683" i="1"/>
  <c r="EP423" i="1"/>
  <c r="EP910" i="1"/>
  <c r="EP739" i="1"/>
  <c r="EP888" i="1"/>
  <c r="EP636" i="1"/>
  <c r="EP427" i="1"/>
  <c r="EP885" i="1"/>
  <c r="EP138" i="1"/>
  <c r="EP716" i="1"/>
  <c r="EP863" i="1"/>
  <c r="EP130" i="1"/>
  <c r="EP420" i="1"/>
  <c r="EP421" i="1"/>
  <c r="EP699" i="1"/>
  <c r="EP426" i="1"/>
  <c r="EP332" i="1"/>
  <c r="EP419" i="1"/>
  <c r="EP132" i="1"/>
  <c r="EP416" i="1"/>
  <c r="EP492" i="1"/>
  <c r="EP642" i="1"/>
  <c r="EP639" i="1"/>
  <c r="EP137" i="1"/>
  <c r="EP887" i="1"/>
  <c r="EP870" i="1"/>
  <c r="EP727" i="1"/>
  <c r="EP722" i="1"/>
  <c r="EP501" i="1"/>
  <c r="EP930" i="1"/>
  <c r="EP959" i="1"/>
  <c r="EP902" i="1"/>
  <c r="EP564" i="1"/>
  <c r="EP938" i="1"/>
  <c r="EP900" i="1"/>
  <c r="EP881" i="1"/>
  <c r="EP940" i="1"/>
  <c r="EP846" i="1"/>
  <c r="EP894" i="1"/>
  <c r="EP97" i="1"/>
  <c r="EP901" i="1"/>
  <c r="EP933" i="1"/>
  <c r="EP87" i="1"/>
  <c r="EP365" i="1"/>
  <c r="EP919" i="1"/>
  <c r="EP969" i="1"/>
  <c r="EP978" i="1"/>
  <c r="EP110" i="1"/>
  <c r="EP958" i="1"/>
  <c r="EP393" i="1"/>
  <c r="EP861" i="1"/>
  <c r="J368" i="7" l="1"/>
  <c r="I368" i="7"/>
  <c r="H353" i="7"/>
  <c r="G353" i="7"/>
  <c r="F353" i="7"/>
  <c r="E353" i="7"/>
  <c r="D353" i="7"/>
  <c r="C353" i="7"/>
  <c r="AA345" i="7"/>
  <c r="X345" i="7"/>
  <c r="W345" i="7"/>
  <c r="L345" i="7"/>
  <c r="AB345" i="7" s="1"/>
  <c r="K345" i="7"/>
  <c r="J345" i="7"/>
  <c r="Z345" i="7" s="1"/>
  <c r="I345" i="7"/>
  <c r="Y345" i="7" s="1"/>
  <c r="H345" i="7"/>
  <c r="G345" i="7"/>
  <c r="E338" i="7"/>
  <c r="B338" i="7"/>
  <c r="I336" i="7"/>
  <c r="H336" i="7"/>
  <c r="G336" i="7"/>
  <c r="F336" i="7"/>
  <c r="R316" i="7"/>
  <c r="Q316" i="7"/>
  <c r="P316" i="7"/>
  <c r="O316" i="7"/>
  <c r="I306" i="7"/>
  <c r="H306" i="7"/>
  <c r="G306" i="7"/>
  <c r="F306" i="7"/>
  <c r="K282" i="7"/>
  <c r="J282" i="7"/>
  <c r="I282" i="7"/>
  <c r="H282" i="7"/>
  <c r="G282" i="7"/>
  <c r="F275" i="7"/>
  <c r="E275" i="7"/>
  <c r="D275" i="7"/>
  <c r="H274" i="7"/>
  <c r="G274" i="7"/>
  <c r="H273" i="7"/>
  <c r="G273" i="7"/>
  <c r="H272" i="7"/>
  <c r="G272" i="7"/>
  <c r="H271" i="7"/>
  <c r="G271" i="7"/>
  <c r="H270" i="7"/>
  <c r="G270" i="7"/>
  <c r="H269" i="7"/>
  <c r="H275" i="7" s="1"/>
  <c r="G269" i="7"/>
  <c r="H268" i="7"/>
  <c r="G268" i="7"/>
  <c r="G275" i="7" s="1"/>
  <c r="F264" i="7"/>
  <c r="E264" i="7"/>
  <c r="D264" i="7"/>
  <c r="H263" i="7"/>
  <c r="G263" i="7"/>
  <c r="H262" i="7"/>
  <c r="G262" i="7"/>
  <c r="H261" i="7"/>
  <c r="G261" i="7"/>
  <c r="H260" i="7"/>
  <c r="G260" i="7"/>
  <c r="H259" i="7"/>
  <c r="G259" i="7"/>
  <c r="H258" i="7"/>
  <c r="G258" i="7"/>
  <c r="H257" i="7"/>
  <c r="H264" i="7" s="1"/>
  <c r="G257" i="7"/>
  <c r="G264" i="7" s="1"/>
  <c r="H253" i="7"/>
  <c r="F253" i="7"/>
  <c r="E253" i="7"/>
  <c r="D253" i="7"/>
  <c r="H252" i="7"/>
  <c r="G252" i="7"/>
  <c r="H251" i="7"/>
  <c r="G251" i="7"/>
  <c r="H250" i="7"/>
  <c r="G250" i="7"/>
  <c r="H249" i="7"/>
  <c r="G249" i="7"/>
  <c r="H248" i="7"/>
  <c r="G248" i="7"/>
  <c r="H247" i="7"/>
  <c r="G247" i="7"/>
  <c r="G253" i="7" s="1"/>
  <c r="H246" i="7"/>
  <c r="G246" i="7"/>
  <c r="G242" i="7"/>
  <c r="F242" i="7"/>
  <c r="E242" i="7"/>
  <c r="D242" i="7"/>
  <c r="H241" i="7"/>
  <c r="G241" i="7"/>
  <c r="H240" i="7"/>
  <c r="G240" i="7"/>
  <c r="H239" i="7"/>
  <c r="G239" i="7"/>
  <c r="H238" i="7"/>
  <c r="G238" i="7"/>
  <c r="H237" i="7"/>
  <c r="G237" i="7"/>
  <c r="H236" i="7"/>
  <c r="G236" i="7"/>
  <c r="H235" i="7"/>
  <c r="H242" i="7" s="1"/>
  <c r="G235" i="7"/>
  <c r="H231" i="7"/>
  <c r="G231" i="7"/>
  <c r="F231" i="7"/>
  <c r="E231" i="7"/>
  <c r="D231" i="7"/>
  <c r="I218" i="7"/>
  <c r="H218" i="7"/>
  <c r="G218" i="7"/>
  <c r="F218" i="7"/>
  <c r="E218" i="7"/>
  <c r="D218" i="7"/>
  <c r="S208" i="7"/>
  <c r="R208" i="7"/>
  <c r="Q208" i="7"/>
  <c r="P208" i="7"/>
  <c r="O208" i="7"/>
  <c r="N208" i="7"/>
  <c r="S207" i="7"/>
  <c r="R207" i="7"/>
  <c r="Q207" i="7"/>
  <c r="P207" i="7"/>
  <c r="O207" i="7"/>
  <c r="N207" i="7"/>
  <c r="S206" i="7"/>
  <c r="R206" i="7"/>
  <c r="Q206" i="7"/>
  <c r="P206" i="7"/>
  <c r="O206" i="7"/>
  <c r="N206" i="7"/>
  <c r="S205" i="7"/>
  <c r="S209" i="7" s="1"/>
  <c r="S215" i="7" s="1"/>
  <c r="R205" i="7"/>
  <c r="R209" i="7" s="1"/>
  <c r="R215" i="7" s="1"/>
  <c r="Q205" i="7"/>
  <c r="Q209" i="7" s="1"/>
  <c r="Q215" i="7" s="1"/>
  <c r="P205" i="7"/>
  <c r="P209" i="7" s="1"/>
  <c r="P215" i="7" s="1"/>
  <c r="O205" i="7"/>
  <c r="O209" i="7" s="1"/>
  <c r="O215" i="7" s="1"/>
  <c r="N205" i="7"/>
  <c r="N209" i="7" s="1"/>
  <c r="N215" i="7" s="1"/>
  <c r="G191" i="7"/>
  <c r="F191" i="7"/>
  <c r="G189" i="7"/>
  <c r="F189" i="7"/>
  <c r="G187" i="7"/>
  <c r="F187" i="7"/>
  <c r="E181" i="7"/>
  <c r="D181" i="7"/>
  <c r="C181" i="7"/>
  <c r="B178" i="7"/>
  <c r="B179" i="7" s="1"/>
  <c r="B180" i="7" s="1"/>
  <c r="B177" i="7"/>
  <c r="E173" i="7"/>
  <c r="D173" i="7"/>
  <c r="C173" i="7"/>
  <c r="B169" i="7"/>
  <c r="B170" i="7" s="1"/>
  <c r="B171" i="7" s="1"/>
  <c r="B172" i="7" s="1"/>
  <c r="G163" i="7"/>
  <c r="G161" i="7"/>
  <c r="E156" i="7"/>
  <c r="D156" i="7"/>
  <c r="C156" i="7"/>
  <c r="B156" i="7"/>
  <c r="P481" i="6"/>
  <c r="O481" i="6"/>
  <c r="N481" i="6"/>
  <c r="K481" i="6"/>
  <c r="P479" i="6"/>
  <c r="O479" i="6"/>
  <c r="N479" i="6"/>
  <c r="M479" i="6"/>
  <c r="M481" i="6" s="1"/>
  <c r="L479" i="6"/>
  <c r="L481" i="6" s="1"/>
  <c r="K479" i="6"/>
  <c r="Q456" i="6"/>
  <c r="Q455" i="6"/>
  <c r="Q454" i="6"/>
  <c r="AI443" i="6"/>
  <c r="AI442" i="6"/>
  <c r="AI441" i="6"/>
  <c r="AI440" i="6"/>
  <c r="AI439" i="6"/>
  <c r="AI438" i="6"/>
  <c r="AI437" i="6"/>
  <c r="AI436" i="6"/>
  <c r="AI435" i="6"/>
  <c r="AI434" i="6"/>
  <c r="AI433" i="6"/>
  <c r="AI432" i="6"/>
  <c r="AI431" i="6"/>
  <c r="AI430" i="6"/>
  <c r="AI429" i="6"/>
  <c r="AI428" i="6"/>
  <c r="AI427" i="6"/>
  <c r="AI426" i="6"/>
  <c r="AI425" i="6"/>
  <c r="AI424" i="6"/>
  <c r="R424" i="6"/>
  <c r="K424" i="6"/>
  <c r="AI423" i="6"/>
  <c r="R423" i="6"/>
  <c r="K423" i="6"/>
  <c r="AI422" i="6"/>
  <c r="R422" i="6"/>
  <c r="K422" i="6"/>
  <c r="AI421" i="6"/>
  <c r="R421" i="6"/>
  <c r="K421" i="6"/>
  <c r="AI420" i="6"/>
  <c r="AF463" i="6" s="1"/>
  <c r="R420" i="6"/>
  <c r="K420" i="6"/>
  <c r="AG419" i="6"/>
  <c r="AF419" i="6"/>
  <c r="AD419" i="6"/>
  <c r="M408" i="6"/>
  <c r="AA370" i="6" s="1"/>
  <c r="R395" i="6"/>
  <c r="V395" i="6" s="1"/>
  <c r="Q395" i="6"/>
  <c r="U395" i="6" s="1"/>
  <c r="P395" i="6"/>
  <c r="O395" i="6"/>
  <c r="T402" i="6" s="1"/>
  <c r="N395" i="6"/>
  <c r="S402" i="6" s="1"/>
  <c r="Q390" i="6"/>
  <c r="U390" i="6" s="1"/>
  <c r="P390" i="6"/>
  <c r="R390" i="6" s="1"/>
  <c r="V390" i="6" s="1"/>
  <c r="O390" i="6"/>
  <c r="N390" i="6"/>
  <c r="P385" i="6"/>
  <c r="R385" i="6" s="1"/>
  <c r="V385" i="6" s="1"/>
  <c r="O385" i="6"/>
  <c r="Q385" i="6" s="1"/>
  <c r="U385" i="6" s="1"/>
  <c r="N385" i="6"/>
  <c r="P380" i="6"/>
  <c r="R380" i="6" s="1"/>
  <c r="O380" i="6"/>
  <c r="N380" i="6"/>
  <c r="S377" i="6"/>
  <c r="Q377" i="6"/>
  <c r="P377" i="6"/>
  <c r="O377" i="6"/>
  <c r="N377" i="6"/>
  <c r="R377" i="6" s="1"/>
  <c r="R374" i="6"/>
  <c r="Q374" i="6"/>
  <c r="S374" i="6" s="1"/>
  <c r="P374" i="6"/>
  <c r="O374" i="6"/>
  <c r="N374" i="6"/>
  <c r="O372" i="6"/>
  <c r="N372" i="6"/>
  <c r="O371" i="6"/>
  <c r="N371" i="6"/>
  <c r="AC370" i="6"/>
  <c r="AB370" i="6"/>
  <c r="O370" i="6"/>
  <c r="N370" i="6"/>
  <c r="AC369" i="6"/>
  <c r="AB369" i="6"/>
  <c r="AA369" i="6"/>
  <c r="O369" i="6"/>
  <c r="N369" i="6"/>
  <c r="AC368" i="6"/>
  <c r="AB368" i="6"/>
  <c r="O368" i="6"/>
  <c r="N368" i="6"/>
  <c r="AC367" i="6"/>
  <c r="AB367" i="6"/>
  <c r="AA367" i="6"/>
  <c r="O367" i="6"/>
  <c r="N367" i="6"/>
  <c r="AC366" i="6"/>
  <c r="AB366" i="6"/>
  <c r="AA366" i="6"/>
  <c r="O366" i="6"/>
  <c r="N366" i="6"/>
  <c r="AC365" i="6"/>
  <c r="AB365" i="6"/>
  <c r="AA365" i="6"/>
  <c r="O365" i="6"/>
  <c r="N365" i="6"/>
  <c r="AC364" i="6"/>
  <c r="AB364" i="6"/>
  <c r="AA364" i="6"/>
  <c r="O364" i="6"/>
  <c r="N364" i="6"/>
  <c r="AC363" i="6"/>
  <c r="AB363" i="6"/>
  <c r="AA363" i="6"/>
  <c r="O363" i="6"/>
  <c r="N363" i="6"/>
  <c r="AC362" i="6"/>
  <c r="AB362" i="6"/>
  <c r="AA362" i="6"/>
  <c r="O362" i="6"/>
  <c r="N362" i="6"/>
  <c r="O361" i="6"/>
  <c r="N361" i="6"/>
  <c r="AJ357" i="6"/>
  <c r="AI357" i="6"/>
  <c r="AE357" i="6"/>
  <c r="AJ356" i="6"/>
  <c r="AI356" i="6"/>
  <c r="AE356" i="6"/>
  <c r="AJ355" i="6"/>
  <c r="AI355" i="6"/>
  <c r="AE355" i="6"/>
  <c r="AJ354" i="6"/>
  <c r="AI354" i="6"/>
  <c r="AE354" i="6"/>
  <c r="AJ353" i="6"/>
  <c r="AI353" i="6"/>
  <c r="AE353" i="6"/>
  <c r="AJ352" i="6"/>
  <c r="AI352" i="6"/>
  <c r="AE352" i="6"/>
  <c r="AJ351" i="6"/>
  <c r="AI351" i="6"/>
  <c r="AE351" i="6"/>
  <c r="AJ350" i="6"/>
  <c r="AI350" i="6"/>
  <c r="AE350" i="6"/>
  <c r="AJ349" i="6"/>
  <c r="AI349" i="6"/>
  <c r="AE349" i="6"/>
  <c r="AJ348" i="6"/>
  <c r="AI348" i="6"/>
  <c r="AE348" i="6"/>
  <c r="AJ347" i="6"/>
  <c r="AI347" i="6"/>
  <c r="AE347" i="6"/>
  <c r="AJ346" i="6"/>
  <c r="AI346" i="6"/>
  <c r="AE346" i="6"/>
  <c r="AJ345" i="6"/>
  <c r="AI345" i="6"/>
  <c r="AE345" i="6"/>
  <c r="AJ344" i="6"/>
  <c r="AI344" i="6"/>
  <c r="AE344" i="6"/>
  <c r="AJ343" i="6"/>
  <c r="AI343" i="6"/>
  <c r="AE343" i="6"/>
  <c r="AJ342" i="6"/>
  <c r="AI342" i="6"/>
  <c r="AE342" i="6"/>
  <c r="AJ341" i="6"/>
  <c r="AI341" i="6"/>
  <c r="AE341" i="6"/>
  <c r="AJ340" i="6"/>
  <c r="AI340" i="6"/>
  <c r="AE340" i="6"/>
  <c r="AJ339" i="6"/>
  <c r="AI339" i="6"/>
  <c r="AE339" i="6"/>
  <c r="AJ338" i="6"/>
  <c r="AI338" i="6"/>
  <c r="AE338" i="6"/>
  <c r="AJ337" i="6"/>
  <c r="AI337" i="6"/>
  <c r="AE337" i="6"/>
  <c r="AJ336" i="6"/>
  <c r="AI336" i="6"/>
  <c r="AE336" i="6"/>
  <c r="AJ335" i="6"/>
  <c r="AI335" i="6"/>
  <c r="AE335" i="6"/>
  <c r="AJ334" i="6"/>
  <c r="AI334" i="6"/>
  <c r="AE334" i="6"/>
  <c r="AJ333" i="6"/>
  <c r="AI333" i="6"/>
  <c r="AE333" i="6"/>
  <c r="AJ332" i="6"/>
  <c r="AI332" i="6"/>
  <c r="AE332" i="6"/>
  <c r="AJ331" i="6"/>
  <c r="AI331" i="6"/>
  <c r="AE331" i="6"/>
  <c r="AJ330" i="6"/>
  <c r="AI330" i="6"/>
  <c r="AE330" i="6"/>
  <c r="AJ329" i="6"/>
  <c r="AI329" i="6"/>
  <c r="AE329" i="6"/>
  <c r="AJ328" i="6"/>
  <c r="AI328" i="6"/>
  <c r="AE328" i="6"/>
  <c r="AJ327" i="6"/>
  <c r="AI327" i="6"/>
  <c r="AE327" i="6"/>
  <c r="J327" i="6"/>
  <c r="AJ326" i="6"/>
  <c r="AI326" i="6"/>
  <c r="AE326" i="6"/>
  <c r="J326" i="6"/>
  <c r="AJ325" i="6"/>
  <c r="AI325" i="6"/>
  <c r="AE325" i="6"/>
  <c r="J325" i="6"/>
  <c r="AJ324" i="6"/>
  <c r="AI324" i="6"/>
  <c r="AE324" i="6"/>
  <c r="J324" i="6"/>
  <c r="AJ323" i="6"/>
  <c r="AI323" i="6"/>
  <c r="AE323" i="6"/>
  <c r="J323" i="6"/>
  <c r="AJ322" i="6"/>
  <c r="AI322" i="6"/>
  <c r="AE322" i="6"/>
  <c r="J322" i="6"/>
  <c r="AJ321" i="6"/>
  <c r="AI321" i="6"/>
  <c r="AE321" i="6"/>
  <c r="AJ320" i="6"/>
  <c r="AI320" i="6"/>
  <c r="AE320" i="6"/>
  <c r="AJ319" i="6"/>
  <c r="AI319" i="6"/>
  <c r="AE319" i="6"/>
  <c r="AJ318" i="6"/>
  <c r="AI318" i="6"/>
  <c r="AE318" i="6"/>
  <c r="AJ317" i="6"/>
  <c r="AI317" i="6"/>
  <c r="AE317" i="6"/>
  <c r="AJ316" i="6"/>
  <c r="AI316" i="6"/>
  <c r="AE316" i="6"/>
  <c r="AJ315" i="6"/>
  <c r="AI315" i="6"/>
  <c r="AE315" i="6"/>
  <c r="AJ314" i="6"/>
  <c r="AI314" i="6"/>
  <c r="AE314" i="6"/>
  <c r="AJ313" i="6"/>
  <c r="AI313" i="6"/>
  <c r="AE313" i="6"/>
  <c r="AJ312" i="6"/>
  <c r="AI312" i="6"/>
  <c r="AE312" i="6"/>
  <c r="AJ311" i="6"/>
  <c r="AI311" i="6"/>
  <c r="AE311" i="6"/>
  <c r="AJ310" i="6"/>
  <c r="AI310" i="6"/>
  <c r="AE310" i="6"/>
  <c r="AJ309" i="6"/>
  <c r="AI309" i="6"/>
  <c r="AE309" i="6"/>
  <c r="AJ308" i="6"/>
  <c r="AI308" i="6"/>
  <c r="AE308" i="6"/>
  <c r="AJ307" i="6"/>
  <c r="AI307" i="6"/>
  <c r="AE307" i="6"/>
  <c r="AJ306" i="6"/>
  <c r="AI306" i="6"/>
  <c r="AE306" i="6"/>
  <c r="AJ305" i="6"/>
  <c r="AI305" i="6"/>
  <c r="AE305" i="6"/>
  <c r="AJ304" i="6"/>
  <c r="AI304" i="6"/>
  <c r="AE304" i="6"/>
  <c r="AJ303" i="6"/>
  <c r="AI303" i="6"/>
  <c r="AE303" i="6"/>
  <c r="AJ302" i="6"/>
  <c r="AI302" i="6"/>
  <c r="AE302" i="6"/>
  <c r="AJ301" i="6"/>
  <c r="AI301" i="6"/>
  <c r="AE301" i="6"/>
  <c r="AJ300" i="6"/>
  <c r="AI300" i="6"/>
  <c r="AE300" i="6"/>
  <c r="AJ299" i="6"/>
  <c r="AI299" i="6"/>
  <c r="AE299" i="6"/>
  <c r="AJ298" i="6"/>
  <c r="AI298" i="6"/>
  <c r="AE298" i="6"/>
  <c r="AJ297" i="6"/>
  <c r="AI297" i="6"/>
  <c r="AE297" i="6"/>
  <c r="AJ296" i="6"/>
  <c r="AI296" i="6"/>
  <c r="AE296" i="6"/>
  <c r="AJ295" i="6"/>
  <c r="AI295" i="6"/>
  <c r="AE295" i="6"/>
  <c r="AJ294" i="6"/>
  <c r="AI294" i="6"/>
  <c r="AE294" i="6"/>
  <c r="AJ293" i="6"/>
  <c r="AI293" i="6"/>
  <c r="AE293" i="6"/>
  <c r="AJ292" i="6"/>
  <c r="AI292" i="6"/>
  <c r="AE292" i="6"/>
  <c r="AJ291" i="6"/>
  <c r="AI291" i="6"/>
  <c r="AE291" i="6"/>
  <c r="AJ290" i="6"/>
  <c r="AI290" i="6"/>
  <c r="AE290" i="6"/>
  <c r="AJ289" i="6"/>
  <c r="AI289" i="6"/>
  <c r="AE289" i="6"/>
  <c r="AJ288" i="6"/>
  <c r="AI288" i="6"/>
  <c r="AE288" i="6"/>
  <c r="AJ287" i="6"/>
  <c r="AI287" i="6"/>
  <c r="AE287" i="6"/>
  <c r="AJ286" i="6"/>
  <c r="AI286" i="6"/>
  <c r="AE286" i="6"/>
  <c r="P252" i="6"/>
  <c r="P251" i="6"/>
  <c r="P250" i="6"/>
  <c r="P249" i="6"/>
  <c r="P248" i="6"/>
  <c r="P247" i="6"/>
  <c r="O242" i="6"/>
  <c r="N242" i="6"/>
  <c r="M242" i="6"/>
  <c r="L242" i="6"/>
  <c r="K242" i="6"/>
  <c r="R242" i="6" s="1"/>
  <c r="R241" i="6"/>
  <c r="N241" i="6"/>
  <c r="M241" i="6"/>
  <c r="L241" i="6"/>
  <c r="K241" i="6"/>
  <c r="R240" i="6"/>
  <c r="Q240" i="6"/>
  <c r="N240" i="6"/>
  <c r="M240" i="6"/>
  <c r="L240" i="6"/>
  <c r="K240" i="6"/>
  <c r="O239" i="6"/>
  <c r="N239" i="6"/>
  <c r="M239" i="6"/>
  <c r="L239" i="6"/>
  <c r="Q239" i="6" s="1"/>
  <c r="K239" i="6"/>
  <c r="O238" i="6"/>
  <c r="N238" i="6"/>
  <c r="M238" i="6"/>
  <c r="L238" i="6"/>
  <c r="K238" i="6"/>
  <c r="R237" i="6"/>
  <c r="N237" i="6"/>
  <c r="M237" i="6"/>
  <c r="P237" i="6" s="1"/>
  <c r="L237" i="6"/>
  <c r="K237" i="6"/>
  <c r="R236" i="6"/>
  <c r="P236" i="6"/>
  <c r="Q236" i="6" s="1"/>
  <c r="N236" i="6"/>
  <c r="M236" i="6"/>
  <c r="L236" i="6"/>
  <c r="K236" i="6"/>
  <c r="R235" i="6"/>
  <c r="O235" i="6"/>
  <c r="N235" i="6"/>
  <c r="M235" i="6"/>
  <c r="L235" i="6"/>
  <c r="Q235" i="6" s="1"/>
  <c r="K235" i="6"/>
  <c r="O229" i="6"/>
  <c r="O228" i="6"/>
  <c r="O241" i="6" s="1"/>
  <c r="O227" i="6"/>
  <c r="O240" i="6" s="1"/>
  <c r="O226" i="6"/>
  <c r="O225" i="6"/>
  <c r="O224" i="6"/>
  <c r="O237" i="6" s="1"/>
  <c r="O223" i="6"/>
  <c r="O236" i="6" s="1"/>
  <c r="O222" i="6"/>
  <c r="AD193" i="6"/>
  <c r="Q193" i="6"/>
  <c r="P193" i="6"/>
  <c r="O193" i="6"/>
  <c r="M193" i="6"/>
  <c r="L193" i="6"/>
  <c r="K193" i="6"/>
  <c r="E193" i="6"/>
  <c r="AA192" i="6"/>
  <c r="V192" i="6"/>
  <c r="Q192" i="6"/>
  <c r="P192" i="6"/>
  <c r="O192" i="6"/>
  <c r="M192" i="6"/>
  <c r="L192" i="6"/>
  <c r="K192" i="6"/>
  <c r="E192" i="6"/>
  <c r="Q191" i="6"/>
  <c r="P191" i="6"/>
  <c r="O191" i="6"/>
  <c r="M191" i="6"/>
  <c r="L191" i="6"/>
  <c r="K191" i="6"/>
  <c r="E191" i="6"/>
  <c r="AA190" i="6"/>
  <c r="V190" i="6"/>
  <c r="Q190" i="6"/>
  <c r="P190" i="6"/>
  <c r="M190" i="6"/>
  <c r="L190" i="6"/>
  <c r="K190" i="6"/>
  <c r="E190" i="6"/>
  <c r="Q189" i="6"/>
  <c r="P189" i="6"/>
  <c r="O189" i="6"/>
  <c r="M189" i="6"/>
  <c r="L189" i="6"/>
  <c r="K189" i="6"/>
  <c r="E189" i="6"/>
  <c r="AA188" i="6"/>
  <c r="Z188" i="6"/>
  <c r="V188" i="6"/>
  <c r="U188" i="6"/>
  <c r="Q188" i="6"/>
  <c r="P188" i="6"/>
  <c r="M188" i="6"/>
  <c r="L188" i="6"/>
  <c r="K188" i="6"/>
  <c r="E188" i="6"/>
  <c r="Q187" i="6"/>
  <c r="P187" i="6"/>
  <c r="O187" i="6"/>
  <c r="M187" i="6"/>
  <c r="L187" i="6"/>
  <c r="K187" i="6"/>
  <c r="E187" i="6"/>
  <c r="AE186" i="6"/>
  <c r="AD186" i="6"/>
  <c r="AA186" i="6"/>
  <c r="Z186" i="6"/>
  <c r="V186" i="6"/>
  <c r="U186" i="6"/>
  <c r="Q186" i="6"/>
  <c r="P186" i="6"/>
  <c r="O186" i="6"/>
  <c r="M186" i="6"/>
  <c r="L186" i="6"/>
  <c r="K186" i="6"/>
  <c r="E186" i="6"/>
  <c r="Q185" i="6"/>
  <c r="P185" i="6"/>
  <c r="O185" i="6"/>
  <c r="M185" i="6"/>
  <c r="L185" i="6"/>
  <c r="K185" i="6"/>
  <c r="E185" i="6"/>
  <c r="AA184" i="6"/>
  <c r="Z184" i="6"/>
  <c r="V184" i="6"/>
  <c r="U184" i="6"/>
  <c r="Q184" i="6"/>
  <c r="P184" i="6"/>
  <c r="O184" i="6"/>
  <c r="M184" i="6"/>
  <c r="L184" i="6"/>
  <c r="K184" i="6"/>
  <c r="E184" i="6"/>
  <c r="Q183" i="6"/>
  <c r="P183" i="6"/>
  <c r="O183" i="6"/>
  <c r="M183" i="6"/>
  <c r="L183" i="6"/>
  <c r="K183" i="6"/>
  <c r="E183" i="6"/>
  <c r="AE193" i="6" s="1"/>
  <c r="Z182" i="6"/>
  <c r="U182" i="6"/>
  <c r="Q182" i="6"/>
  <c r="P182" i="6"/>
  <c r="O182" i="6"/>
  <c r="M182" i="6"/>
  <c r="L182" i="6"/>
  <c r="K182" i="6"/>
  <c r="E182" i="6"/>
  <c r="I174" i="6"/>
  <c r="H174" i="6"/>
  <c r="G174" i="6"/>
  <c r="F174" i="6"/>
  <c r="I173" i="6"/>
  <c r="I175" i="6" s="1"/>
  <c r="H173" i="6"/>
  <c r="H175" i="6" s="1"/>
  <c r="G173" i="6"/>
  <c r="F173" i="6"/>
  <c r="F175" i="6" s="1"/>
  <c r="L157" i="6"/>
  <c r="J157" i="6"/>
  <c r="L154" i="6"/>
  <c r="J154" i="6"/>
  <c r="L151" i="6"/>
  <c r="J151" i="6"/>
  <c r="N148" i="6"/>
  <c r="L148" i="6"/>
  <c r="J148" i="6"/>
  <c r="M144" i="6"/>
  <c r="I144" i="6"/>
  <c r="M143" i="6"/>
  <c r="J143" i="6"/>
  <c r="I143" i="6"/>
  <c r="M142" i="6"/>
  <c r="L142" i="6"/>
  <c r="K142" i="6"/>
  <c r="J142" i="6"/>
  <c r="J144" i="6" s="1"/>
  <c r="I142" i="6"/>
  <c r="U137" i="6"/>
  <c r="S137" i="6"/>
  <c r="Y137" i="6" s="1"/>
  <c r="R137" i="6"/>
  <c r="X137" i="6" s="1"/>
  <c r="Q137" i="6"/>
  <c r="W137" i="6" s="1"/>
  <c r="P137" i="6"/>
  <c r="V137" i="6" s="1"/>
  <c r="O137" i="6"/>
  <c r="M137" i="6"/>
  <c r="L137" i="6"/>
  <c r="K137" i="6"/>
  <c r="J137" i="6"/>
  <c r="I137" i="6"/>
  <c r="Y136" i="6"/>
  <c r="W136" i="6"/>
  <c r="S136" i="6"/>
  <c r="R136" i="6"/>
  <c r="X136" i="6" s="1"/>
  <c r="Q136" i="6"/>
  <c r="P136" i="6"/>
  <c r="V136" i="6" s="1"/>
  <c r="O136" i="6"/>
  <c r="U136" i="6" s="1"/>
  <c r="M136" i="6"/>
  <c r="L136" i="6"/>
  <c r="K136" i="6"/>
  <c r="J136" i="6"/>
  <c r="I136" i="6"/>
  <c r="Y135" i="6"/>
  <c r="X135" i="6"/>
  <c r="S135" i="6"/>
  <c r="R135" i="6"/>
  <c r="Q135" i="6"/>
  <c r="W135" i="6" s="1"/>
  <c r="P135" i="6"/>
  <c r="V135" i="6" s="1"/>
  <c r="O135" i="6"/>
  <c r="U135" i="6" s="1"/>
  <c r="M135" i="6"/>
  <c r="L135" i="6"/>
  <c r="K135" i="6"/>
  <c r="J135" i="6"/>
  <c r="I135" i="6"/>
  <c r="G123" i="6"/>
  <c r="I117" i="6"/>
  <c r="G115" i="6"/>
  <c r="H114" i="6"/>
  <c r="E114" i="6"/>
  <c r="I113" i="6"/>
  <c r="H113" i="6"/>
  <c r="G113" i="6"/>
  <c r="F113" i="6"/>
  <c r="E113" i="6"/>
  <c r="D113" i="6"/>
  <c r="I112" i="6"/>
  <c r="I114" i="6" s="1"/>
  <c r="H112" i="6"/>
  <c r="G112" i="6"/>
  <c r="F112" i="6"/>
  <c r="F114" i="6" s="1"/>
  <c r="E112" i="6"/>
  <c r="D112" i="6"/>
  <c r="I111" i="6"/>
  <c r="H111" i="6"/>
  <c r="G111" i="6"/>
  <c r="F111" i="6"/>
  <c r="F115" i="6" s="1"/>
  <c r="E111" i="6"/>
  <c r="D111" i="6"/>
  <c r="D115" i="6" s="1"/>
  <c r="I110" i="6"/>
  <c r="H110" i="6"/>
  <c r="G110" i="6"/>
  <c r="F110" i="6"/>
  <c r="E110" i="6"/>
  <c r="E115" i="6" s="1"/>
  <c r="D110" i="6"/>
  <c r="I109" i="6"/>
  <c r="I116" i="6" s="1"/>
  <c r="H109" i="6"/>
  <c r="G109" i="6"/>
  <c r="F109" i="6"/>
  <c r="F116" i="6" s="1"/>
  <c r="E109" i="6"/>
  <c r="D109" i="6"/>
  <c r="G94" i="6"/>
  <c r="F94" i="6"/>
  <c r="H93" i="6"/>
  <c r="G93" i="6"/>
  <c r="F93" i="6"/>
  <c r="H92" i="6"/>
  <c r="H91" i="6"/>
  <c r="H90" i="6"/>
  <c r="H94" i="6" s="1"/>
  <c r="C90" i="6"/>
  <c r="H89" i="6"/>
  <c r="M68" i="6"/>
  <c r="M67" i="6"/>
  <c r="M66" i="6"/>
  <c r="M65" i="6"/>
  <c r="K13" i="6"/>
  <c r="J13" i="6"/>
  <c r="I13" i="6"/>
  <c r="K12" i="6"/>
  <c r="J12" i="6"/>
  <c r="I12" i="6"/>
  <c r="K11" i="6"/>
  <c r="J11" i="6"/>
  <c r="I11" i="6"/>
  <c r="K10" i="6"/>
  <c r="J10" i="6"/>
  <c r="I10" i="6"/>
  <c r="K9" i="6"/>
  <c r="J9" i="6"/>
  <c r="I9" i="6"/>
  <c r="P7" i="6"/>
  <c r="O7" i="6"/>
  <c r="N7" i="6"/>
  <c r="E2" i="4" a="1"/>
  <c r="E2" i="4" s="1"/>
  <c r="A2" i="4" a="1"/>
  <c r="C115" i="4" s="1"/>
  <c r="B5" i="3"/>
  <c r="E2" i="3"/>
  <c r="X351" i="6"/>
  <c r="AA299" i="6"/>
  <c r="Y335" i="6"/>
  <c r="X335" i="6"/>
  <c r="X337" i="6"/>
  <c r="Z318" i="6"/>
  <c r="Z300" i="6"/>
  <c r="Z293" i="6"/>
  <c r="X311" i="6"/>
  <c r="Y353" i="6"/>
  <c r="X313" i="6"/>
  <c r="X287" i="6"/>
  <c r="X307" i="6"/>
  <c r="AB293" i="6"/>
  <c r="Z324" i="6"/>
  <c r="X301" i="6"/>
  <c r="Z319" i="6"/>
  <c r="AB317" i="6"/>
  <c r="AB340" i="6"/>
  <c r="AB356" i="6"/>
  <c r="AB287" i="6"/>
  <c r="Y354" i="6"/>
  <c r="AA319" i="6"/>
  <c r="W339" i="6"/>
  <c r="AA295" i="6"/>
  <c r="X294" i="6"/>
  <c r="X343" i="6"/>
  <c r="X330" i="6"/>
  <c r="W341" i="6"/>
  <c r="AB352" i="6"/>
  <c r="X348" i="6"/>
  <c r="Y342" i="6"/>
  <c r="Z354" i="6"/>
  <c r="X299" i="6"/>
  <c r="Z346" i="6"/>
  <c r="Z291" i="6"/>
  <c r="Z310" i="6"/>
  <c r="AA320" i="6"/>
  <c r="AB288" i="6"/>
  <c r="AB307" i="6"/>
  <c r="W345" i="6"/>
  <c r="AB315" i="6"/>
  <c r="AA291" i="6"/>
  <c r="Y351" i="6"/>
  <c r="Y341" i="6"/>
  <c r="AA303" i="6"/>
  <c r="W337" i="6"/>
  <c r="Z299" i="6"/>
  <c r="AB296" i="6"/>
  <c r="Z306" i="6"/>
  <c r="AB327" i="6"/>
  <c r="Y338" i="6"/>
  <c r="AB347" i="6"/>
  <c r="Z294" i="6"/>
  <c r="Z303" i="6"/>
  <c r="Y357" i="6"/>
  <c r="Z347" i="6"/>
  <c r="Z349" i="6"/>
  <c r="AA296" i="6"/>
  <c r="Z328" i="6"/>
  <c r="AA338" i="6"/>
  <c r="Z305" i="6"/>
  <c r="AB300" i="6"/>
  <c r="Z326" i="6"/>
  <c r="Z316" i="6"/>
  <c r="X329" i="6"/>
  <c r="W352" i="6"/>
  <c r="Z336" i="6"/>
  <c r="AB357" i="6"/>
  <c r="Z341" i="6"/>
  <c r="X296" i="6"/>
  <c r="X300" i="6"/>
  <c r="AA337" i="6"/>
  <c r="AA311" i="6"/>
  <c r="Z329" i="6"/>
  <c r="X306" i="6"/>
  <c r="Z322" i="6"/>
  <c r="Z350" i="6"/>
  <c r="Z325" i="6"/>
  <c r="Z339" i="6"/>
  <c r="X298" i="6"/>
  <c r="AB316" i="6"/>
  <c r="Z314" i="6"/>
  <c r="Z335" i="6"/>
  <c r="Z287" i="6"/>
  <c r="Z315" i="6"/>
  <c r="AA352" i="6"/>
  <c r="W340" i="6"/>
  <c r="Y337" i="6"/>
  <c r="X325" i="6"/>
  <c r="Z320" i="6"/>
  <c r="AB345" i="6"/>
  <c r="Z292" i="6"/>
  <c r="Z286" i="6"/>
  <c r="X332" i="6"/>
  <c r="AA314" i="6"/>
  <c r="W338" i="6"/>
  <c r="Z296" i="6"/>
  <c r="AA343" i="6"/>
  <c r="X305" i="6"/>
  <c r="AB304" i="6"/>
  <c r="AB353" i="6"/>
  <c r="W344" i="6"/>
  <c r="X345" i="6"/>
  <c r="AB335" i="6"/>
  <c r="X308" i="6"/>
  <c r="AB338" i="6"/>
  <c r="Z356" i="6"/>
  <c r="X350" i="6"/>
  <c r="AA335" i="6"/>
  <c r="AB331" i="6"/>
  <c r="Z342" i="6"/>
  <c r="X349" i="6"/>
  <c r="AB330" i="6"/>
  <c r="X320" i="6"/>
  <c r="AA315" i="6"/>
  <c r="AA346" i="6"/>
  <c r="W356" i="6"/>
  <c r="Y334" i="6"/>
  <c r="X302" i="6"/>
  <c r="X331" i="6"/>
  <c r="AB325" i="6"/>
  <c r="Y339" i="6"/>
  <c r="AB319" i="6"/>
  <c r="AB332" i="6"/>
  <c r="AA331" i="6"/>
  <c r="Z308" i="6"/>
  <c r="X334" i="6"/>
  <c r="W351" i="6"/>
  <c r="W346" i="6"/>
  <c r="AB306" i="6"/>
  <c r="X347" i="6"/>
  <c r="Z351" i="6"/>
  <c r="Z344" i="6"/>
  <c r="AA330" i="6"/>
  <c r="X303" i="6"/>
  <c r="X357" i="6"/>
  <c r="AB326" i="6"/>
  <c r="X316" i="6"/>
  <c r="X317" i="6"/>
  <c r="AB346" i="6"/>
  <c r="X355" i="6"/>
  <c r="AB328" i="6"/>
  <c r="X314" i="6"/>
  <c r="AB334" i="6"/>
  <c r="X312" i="6"/>
  <c r="AB291" i="6"/>
  <c r="AA333" i="6"/>
  <c r="AB349" i="6"/>
  <c r="X289" i="6"/>
  <c r="Z304" i="6"/>
  <c r="Y348" i="6"/>
  <c r="X354" i="6"/>
  <c r="Z337" i="6"/>
  <c r="Z352" i="6"/>
  <c r="AB341" i="6"/>
  <c r="Z357" i="6"/>
  <c r="AB350" i="6"/>
  <c r="X341" i="6"/>
  <c r="AB343" i="6"/>
  <c r="W355" i="6"/>
  <c r="W347" i="6"/>
  <c r="Y344" i="6"/>
  <c r="AA293" i="6"/>
  <c r="X322" i="6"/>
  <c r="W357" i="6"/>
  <c r="Z312" i="6"/>
  <c r="Y356" i="6"/>
  <c r="AB355" i="6"/>
  <c r="AB290" i="6"/>
  <c r="AA316" i="6"/>
  <c r="AB336" i="6"/>
  <c r="X346" i="6"/>
  <c r="AB314" i="6"/>
  <c r="X344" i="6"/>
  <c r="X321" i="6"/>
  <c r="X315" i="6"/>
  <c r="Z295" i="6"/>
  <c r="AA351" i="6"/>
  <c r="AB344" i="6"/>
  <c r="Z307" i="6"/>
  <c r="AB333" i="6"/>
  <c r="AB301" i="6"/>
  <c r="X290" i="6"/>
  <c r="W353" i="6"/>
  <c r="X292" i="6"/>
  <c r="AA301" i="6"/>
  <c r="AB342" i="6"/>
  <c r="AB321" i="6"/>
  <c r="AB339" i="6"/>
  <c r="Z297" i="6"/>
  <c r="AA339" i="6"/>
  <c r="Y347" i="6"/>
  <c r="AA287" i="6"/>
  <c r="AA312" i="6"/>
  <c r="AB337" i="6"/>
  <c r="Z338" i="6"/>
  <c r="AB324" i="6"/>
  <c r="Z302" i="6"/>
  <c r="Z340" i="6"/>
  <c r="AB311" i="6"/>
  <c r="Y352" i="6"/>
  <c r="Z289" i="6"/>
  <c r="AA336" i="6"/>
  <c r="X286" i="6"/>
  <c r="W348" i="6"/>
  <c r="Z348" i="6"/>
  <c r="X352" i="6"/>
  <c r="Z317" i="6"/>
  <c r="X304" i="6"/>
  <c r="X310" i="6"/>
  <c r="AA308" i="6"/>
  <c r="AB320" i="6"/>
  <c r="X297" i="6"/>
  <c r="X324" i="6"/>
  <c r="Z333" i="6"/>
  <c r="AB295" i="6"/>
  <c r="AA329" i="6"/>
  <c r="AB313" i="6"/>
  <c r="X353" i="6"/>
  <c r="X356" i="6"/>
  <c r="AA292" i="6"/>
  <c r="W334" i="6"/>
  <c r="X339" i="6"/>
  <c r="X327" i="6"/>
  <c r="AB348" i="6"/>
  <c r="AB305" i="6"/>
  <c r="AB309" i="6"/>
  <c r="X333" i="6"/>
  <c r="AA306" i="6"/>
  <c r="W335" i="6"/>
  <c r="AB354" i="6"/>
  <c r="AA300" i="6"/>
  <c r="AA298" i="6"/>
  <c r="X291" i="6"/>
  <c r="AA290" i="6"/>
  <c r="AB303" i="6"/>
  <c r="AA307" i="6"/>
  <c r="AB322" i="6"/>
  <c r="Z313" i="6"/>
  <c r="Z345" i="6"/>
  <c r="Z323" i="6"/>
  <c r="X293" i="6"/>
  <c r="X288" i="6"/>
  <c r="Z321" i="6"/>
  <c r="Z330" i="6"/>
  <c r="Y350" i="6"/>
  <c r="Y336" i="6"/>
  <c r="AA353" i="6"/>
  <c r="AB312" i="6"/>
  <c r="AB292" i="6"/>
  <c r="AA345" i="6"/>
  <c r="W342" i="6"/>
  <c r="Y340" i="6"/>
  <c r="AA309" i="6"/>
  <c r="Z290" i="6"/>
  <c r="Z309" i="6"/>
  <c r="W343" i="6"/>
  <c r="Z301" i="6"/>
  <c r="Y355" i="6"/>
  <c r="X309" i="6"/>
  <c r="AB323" i="6"/>
  <c r="AB351" i="6"/>
  <c r="X336" i="6"/>
  <c r="Z343" i="6"/>
  <c r="AA354" i="6"/>
  <c r="X326" i="6"/>
  <c r="AA288" i="6"/>
  <c r="Y343" i="6"/>
  <c r="Z355" i="6"/>
  <c r="AB308" i="6"/>
  <c r="W336" i="6"/>
  <c r="Z331" i="6"/>
  <c r="Z327" i="6"/>
  <c r="AA304" i="6"/>
  <c r="X319" i="6"/>
  <c r="X318" i="6"/>
  <c r="W349" i="6"/>
  <c r="AB299" i="6"/>
  <c r="Y345" i="6"/>
  <c r="X295" i="6"/>
  <c r="AA355" i="6"/>
  <c r="Z332" i="6"/>
  <c r="X323" i="6"/>
  <c r="W354" i="6"/>
  <c r="AA317" i="6"/>
  <c r="AB298" i="6"/>
  <c r="Y346" i="6"/>
  <c r="W350" i="6"/>
  <c r="AA347" i="6"/>
  <c r="X328" i="6"/>
  <c r="Y349" i="6"/>
  <c r="AA344" i="6"/>
  <c r="Z334" i="6"/>
  <c r="Z288" i="6"/>
  <c r="AB329" i="6"/>
  <c r="X340" i="6"/>
  <c r="X338" i="6"/>
  <c r="Z353" i="6"/>
  <c r="Z298" i="6"/>
  <c r="X342" i="6"/>
  <c r="Z311" i="6"/>
  <c r="AA328" i="6"/>
  <c r="C8" i="4" l="1"/>
  <c r="A32" i="4"/>
  <c r="C53" i="4"/>
  <c r="A76" i="4"/>
  <c r="C98" i="4"/>
  <c r="C14" i="4"/>
  <c r="B36" i="4"/>
  <c r="C59" i="4"/>
  <c r="B81" i="4"/>
  <c r="A104" i="4"/>
  <c r="C17" i="4"/>
  <c r="B39" i="4"/>
  <c r="B62" i="4"/>
  <c r="B84" i="4"/>
  <c r="A106" i="4"/>
  <c r="B20" i="4"/>
  <c r="C42" i="4"/>
  <c r="B64" i="4"/>
  <c r="B87" i="4"/>
  <c r="B109" i="4"/>
  <c r="C22" i="4"/>
  <c r="C45" i="4"/>
  <c r="B67" i="4"/>
  <c r="A90" i="4"/>
  <c r="B112" i="4"/>
  <c r="A4" i="4"/>
  <c r="C25" i="4"/>
  <c r="B48" i="4"/>
  <c r="B70" i="4"/>
  <c r="B92" i="4"/>
  <c r="B115" i="4"/>
  <c r="B6" i="4"/>
  <c r="C28" i="4"/>
  <c r="C50" i="4"/>
  <c r="B73" i="4"/>
  <c r="B95" i="4"/>
  <c r="A118" i="4"/>
  <c r="C11" i="4"/>
  <c r="C34" i="4"/>
  <c r="C56" i="4"/>
  <c r="B78" i="4"/>
  <c r="C101" i="4"/>
  <c r="C4" i="4"/>
  <c r="A11" i="4"/>
  <c r="B15" i="4"/>
  <c r="C21" i="4"/>
  <c r="B27" i="4"/>
  <c r="C32" i="4"/>
  <c r="C38" i="4"/>
  <c r="C43" i="4"/>
  <c r="C49" i="4"/>
  <c r="A55" i="4"/>
  <c r="B60" i="4"/>
  <c r="C66" i="4"/>
  <c r="B71" i="4"/>
  <c r="C77" i="4"/>
  <c r="B83" i="4"/>
  <c r="B88" i="4"/>
  <c r="B94" i="4"/>
  <c r="B99" i="4"/>
  <c r="B105" i="4"/>
  <c r="A111" i="4"/>
  <c r="A116" i="4"/>
  <c r="B5" i="4"/>
  <c r="B11" i="4"/>
  <c r="A17" i="4"/>
  <c r="B22" i="4"/>
  <c r="B28" i="4"/>
  <c r="A33" i="4"/>
  <c r="A39" i="4"/>
  <c r="C44" i="4"/>
  <c r="A50" i="4"/>
  <c r="B56" i="4"/>
  <c r="C60" i="4"/>
  <c r="A67" i="4"/>
  <c r="C72" i="4"/>
  <c r="A78" i="4"/>
  <c r="A84" i="4"/>
  <c r="C88" i="4"/>
  <c r="C94" i="4"/>
  <c r="B100" i="4"/>
  <c r="C105" i="4"/>
  <c r="A112" i="4"/>
  <c r="C116" i="4"/>
  <c r="A2" i="4"/>
  <c r="B7" i="4"/>
  <c r="A12" i="4"/>
  <c r="A18" i="4"/>
  <c r="A24" i="4"/>
  <c r="B29" i="4"/>
  <c r="B35" i="4"/>
  <c r="A40" i="4"/>
  <c r="A46" i="4"/>
  <c r="C51" i="4"/>
  <c r="A57" i="4"/>
  <c r="A63" i="4"/>
  <c r="A68" i="4"/>
  <c r="A74" i="4"/>
  <c r="B79" i="4"/>
  <c r="C84" i="4"/>
  <c r="A91" i="4"/>
  <c r="A96" i="4"/>
  <c r="A102" i="4"/>
  <c r="C107" i="4"/>
  <c r="C112" i="4"/>
  <c r="C118" i="4"/>
  <c r="A8" i="4"/>
  <c r="C13" i="4"/>
  <c r="C18" i="4"/>
  <c r="C24" i="4"/>
  <c r="C29" i="4"/>
  <c r="C35" i="4"/>
  <c r="B41" i="4"/>
  <c r="C46" i="4"/>
  <c r="C52" i="4"/>
  <c r="B57" i="4"/>
  <c r="B63" i="4"/>
  <c r="B69" i="4"/>
  <c r="C74" i="4"/>
  <c r="C80" i="4"/>
  <c r="B85" i="4"/>
  <c r="B91" i="4"/>
  <c r="A97" i="4"/>
  <c r="B102" i="4"/>
  <c r="B108" i="4"/>
  <c r="A113" i="4"/>
  <c r="A119" i="4"/>
  <c r="A3" i="4"/>
  <c r="B8" i="4"/>
  <c r="B14" i="4"/>
  <c r="B19" i="4"/>
  <c r="B25" i="4"/>
  <c r="C30" i="4"/>
  <c r="A36" i="4"/>
  <c r="A42" i="4"/>
  <c r="A47" i="4"/>
  <c r="B53" i="4"/>
  <c r="A59" i="4"/>
  <c r="A64" i="4"/>
  <c r="A70" i="4"/>
  <c r="A75" i="4"/>
  <c r="A81" i="4"/>
  <c r="C86" i="4"/>
  <c r="C91" i="4"/>
  <c r="C97" i="4"/>
  <c r="C102" i="4"/>
  <c r="C108" i="4"/>
  <c r="C114" i="4"/>
  <c r="B4" i="4"/>
  <c r="A10" i="4"/>
  <c r="A15" i="4"/>
  <c r="B21" i="4"/>
  <c r="A26" i="4"/>
  <c r="B32" i="4"/>
  <c r="A38" i="4"/>
  <c r="A43" i="4"/>
  <c r="A49" i="4"/>
  <c r="A54" i="4"/>
  <c r="A60" i="4"/>
  <c r="C65" i="4"/>
  <c r="A71" i="4"/>
  <c r="B77" i="4"/>
  <c r="C81" i="4"/>
  <c r="A88" i="4"/>
  <c r="C93" i="4"/>
  <c r="A99" i="4"/>
  <c r="A105" i="4"/>
  <c r="C109" i="4"/>
  <c r="EM6" i="1"/>
  <c r="EL6" i="1"/>
  <c r="EK6" i="1"/>
  <c r="B3" i="3"/>
  <c r="B2" i="3"/>
  <c r="AL190" i="6"/>
  <c r="AL191" i="6" s="1"/>
  <c r="AP189" i="6"/>
  <c r="AG189" i="6"/>
  <c r="AF191" i="6"/>
  <c r="AI190" i="6"/>
  <c r="AI191" i="6" s="1"/>
  <c r="AN189" i="6"/>
  <c r="AE189" i="6"/>
  <c r="AI184" i="6"/>
  <c r="AH183" i="6"/>
  <c r="AL182" i="6"/>
  <c r="AE191" i="6"/>
  <c r="AH190" i="6"/>
  <c r="AH191" i="6" s="1"/>
  <c r="AM189" i="6"/>
  <c r="AD189" i="6"/>
  <c r="AH184" i="6"/>
  <c r="AP183" i="6"/>
  <c r="AG183" i="6"/>
  <c r="AK182" i="6"/>
  <c r="AO190" i="6"/>
  <c r="AO191" i="6" s="1"/>
  <c r="AF190" i="6"/>
  <c r="AK189" i="6"/>
  <c r="AN183" i="6"/>
  <c r="AN184" i="6" s="1"/>
  <c r="AE183" i="6"/>
  <c r="AE184" i="6" s="1"/>
  <c r="AH182" i="6"/>
  <c r="AK191" i="6"/>
  <c r="AN190" i="6"/>
  <c r="AN191" i="6" s="1"/>
  <c r="AE190" i="6"/>
  <c r="AI189" i="6"/>
  <c r="AM183" i="6"/>
  <c r="AD183" i="6"/>
  <c r="AD184" i="6" s="1"/>
  <c r="AP182" i="6"/>
  <c r="AG182" i="6"/>
  <c r="AK190" i="6"/>
  <c r="AK184" i="6"/>
  <c r="AK183" i="6"/>
  <c r="AD182" i="6"/>
  <c r="AG190" i="6"/>
  <c r="AG184" i="6"/>
  <c r="AI183" i="6"/>
  <c r="AD190" i="6"/>
  <c r="AF183" i="6"/>
  <c r="AF184" i="6" s="1"/>
  <c r="AO182" i="6"/>
  <c r="AO189" i="6"/>
  <c r="AN182" i="6"/>
  <c r="AM191" i="6"/>
  <c r="AL189" i="6"/>
  <c r="AM182" i="6"/>
  <c r="AD191" i="6"/>
  <c r="AP190" i="6"/>
  <c r="AP191" i="6" s="1"/>
  <c r="AF189" i="6"/>
  <c r="AM184" i="6"/>
  <c r="AO183" i="6"/>
  <c r="AO184" i="6" s="1"/>
  <c r="AF182" i="6"/>
  <c r="AM190" i="6"/>
  <c r="AL183" i="6"/>
  <c r="AL184" i="6" s="1"/>
  <c r="AE182" i="6"/>
  <c r="AP184" i="6"/>
  <c r="AG191" i="6"/>
  <c r="AH189" i="6"/>
  <c r="AI182" i="6"/>
  <c r="E3" i="4" a="1"/>
  <c r="E3" i="4" s="1"/>
  <c r="I2" i="4"/>
  <c r="G2" i="4"/>
  <c r="C119" i="4"/>
  <c r="A117" i="4"/>
  <c r="B114" i="4"/>
  <c r="C111" i="4"/>
  <c r="A109" i="4"/>
  <c r="B106" i="4"/>
  <c r="C103" i="4"/>
  <c r="A101" i="4"/>
  <c r="B98" i="4"/>
  <c r="C95" i="4"/>
  <c r="A93" i="4"/>
  <c r="B90" i="4"/>
  <c r="C87" i="4"/>
  <c r="A85" i="4"/>
  <c r="B82" i="4"/>
  <c r="C79" i="4"/>
  <c r="A77" i="4"/>
  <c r="B74" i="4"/>
  <c r="C71" i="4"/>
  <c r="A69" i="4"/>
  <c r="B66" i="4"/>
  <c r="C63" i="4"/>
  <c r="A61" i="4"/>
  <c r="B58" i="4"/>
  <c r="C55" i="4"/>
  <c r="A53" i="4"/>
  <c r="B50" i="4"/>
  <c r="C47" i="4"/>
  <c r="A45" i="4"/>
  <c r="B42" i="4"/>
  <c r="C39" i="4"/>
  <c r="A37" i="4"/>
  <c r="B34" i="4"/>
  <c r="C31" i="4"/>
  <c r="A29" i="4"/>
  <c r="B26" i="4"/>
  <c r="C23" i="4"/>
  <c r="A21" i="4"/>
  <c r="B18" i="4"/>
  <c r="C15" i="4"/>
  <c r="A13" i="4"/>
  <c r="B10" i="4"/>
  <c r="C7" i="4"/>
  <c r="A5" i="4"/>
  <c r="B2" i="4"/>
  <c r="K2" i="4" s="1"/>
  <c r="B119" i="4"/>
  <c r="B116" i="4"/>
  <c r="B113" i="4"/>
  <c r="B110" i="4"/>
  <c r="B107" i="4"/>
  <c r="B104" i="4"/>
  <c r="B101" i="4"/>
  <c r="A98" i="4"/>
  <c r="A95" i="4"/>
  <c r="A92" i="4"/>
  <c r="A89" i="4"/>
  <c r="A86" i="4"/>
  <c r="A83" i="4"/>
  <c r="A80" i="4"/>
  <c r="C76" i="4"/>
  <c r="C73" i="4"/>
  <c r="C70" i="4"/>
  <c r="C67" i="4"/>
  <c r="C64" i="4"/>
  <c r="C61" i="4"/>
  <c r="C58" i="4"/>
  <c r="B55" i="4"/>
  <c r="B52" i="4"/>
  <c r="B49" i="4"/>
  <c r="B46" i="4"/>
  <c r="B43" i="4"/>
  <c r="B40" i="4"/>
  <c r="B37" i="4"/>
  <c r="A34" i="4"/>
  <c r="A31" i="4"/>
  <c r="A28" i="4"/>
  <c r="A25" i="4"/>
  <c r="A22" i="4"/>
  <c r="A19" i="4"/>
  <c r="A16" i="4"/>
  <c r="C12" i="4"/>
  <c r="C9" i="4"/>
  <c r="C6" i="4"/>
  <c r="C3" i="4"/>
  <c r="C5" i="4"/>
  <c r="A9" i="4"/>
  <c r="B12" i="4"/>
  <c r="B16" i="4"/>
  <c r="C19" i="4"/>
  <c r="A23" i="4"/>
  <c r="C26" i="4"/>
  <c r="A30" i="4"/>
  <c r="B33" i="4"/>
  <c r="C36" i="4"/>
  <c r="C40" i="4"/>
  <c r="A44" i="4"/>
  <c r="B47" i="4"/>
  <c r="A51" i="4"/>
  <c r="B54" i="4"/>
  <c r="C57" i="4"/>
  <c r="B61" i="4"/>
  <c r="A65" i="4"/>
  <c r="B68" i="4"/>
  <c r="A72" i="4"/>
  <c r="B75" i="4"/>
  <c r="C78" i="4"/>
  <c r="A82" i="4"/>
  <c r="C85" i="4"/>
  <c r="B89" i="4"/>
  <c r="C92" i="4"/>
  <c r="B96" i="4"/>
  <c r="C99" i="4"/>
  <c r="A103" i="4"/>
  <c r="C106" i="4"/>
  <c r="A110" i="4"/>
  <c r="C113" i="4"/>
  <c r="B117" i="4"/>
  <c r="C2" i="4"/>
  <c r="A6" i="4"/>
  <c r="B9" i="4"/>
  <c r="B13" i="4"/>
  <c r="C16" i="4"/>
  <c r="A20" i="4"/>
  <c r="B23" i="4"/>
  <c r="A27" i="4"/>
  <c r="B30" i="4"/>
  <c r="C33" i="4"/>
  <c r="C37" i="4"/>
  <c r="A41" i="4"/>
  <c r="B44" i="4"/>
  <c r="A48" i="4"/>
  <c r="B51" i="4"/>
  <c r="C54" i="4"/>
  <c r="A58" i="4"/>
  <c r="A62" i="4"/>
  <c r="B65" i="4"/>
  <c r="C68" i="4"/>
  <c r="B72" i="4"/>
  <c r="C75" i="4"/>
  <c r="A79" i="4"/>
  <c r="C82" i="4"/>
  <c r="B86" i="4"/>
  <c r="C89" i="4"/>
  <c r="B93" i="4"/>
  <c r="C96" i="4"/>
  <c r="A100" i="4"/>
  <c r="B103" i="4"/>
  <c r="A107" i="4"/>
  <c r="C110" i="4"/>
  <c r="A114" i="4"/>
  <c r="C117" i="4"/>
  <c r="B3" i="4"/>
  <c r="A7" i="4"/>
  <c r="C10" i="4"/>
  <c r="A14" i="4"/>
  <c r="B17" i="4"/>
  <c r="C20" i="4"/>
  <c r="B24" i="4"/>
  <c r="C27" i="4"/>
  <c r="B31" i="4"/>
  <c r="A35" i="4"/>
  <c r="B38" i="4"/>
  <c r="C41" i="4"/>
  <c r="B45" i="4"/>
  <c r="C48" i="4"/>
  <c r="A52" i="4"/>
  <c r="A56" i="4"/>
  <c r="B59" i="4"/>
  <c r="C62" i="4"/>
  <c r="A66" i="4"/>
  <c r="C69" i="4"/>
  <c r="A73" i="4"/>
  <c r="B76" i="4"/>
  <c r="B80" i="4"/>
  <c r="C83" i="4"/>
  <c r="A87" i="4"/>
  <c r="C90" i="4"/>
  <c r="A94" i="4"/>
  <c r="B97" i="4"/>
  <c r="C100" i="4"/>
  <c r="C104" i="4"/>
  <c r="A108" i="4"/>
  <c r="B111" i="4"/>
  <c r="A115" i="4"/>
  <c r="B118" i="4"/>
  <c r="K143" i="6"/>
  <c r="K144" i="6"/>
  <c r="AF193" i="6"/>
  <c r="AG186" i="6"/>
  <c r="AF186" i="6"/>
  <c r="AH193" i="6"/>
  <c r="AI186" i="6"/>
  <c r="K157" i="6"/>
  <c r="D114" i="6"/>
  <c r="F117" i="6"/>
  <c r="K154" i="6"/>
  <c r="Q238" i="6"/>
  <c r="R238" i="6"/>
  <c r="P241" i="6"/>
  <c r="L143" i="6"/>
  <c r="L144" i="6"/>
  <c r="K148" i="6"/>
  <c r="H115" i="6"/>
  <c r="I115" i="6"/>
  <c r="R239" i="6"/>
  <c r="K151" i="6"/>
  <c r="G175" i="6"/>
  <c r="G114" i="6"/>
  <c r="AG422" i="6"/>
  <c r="AG425" i="6"/>
  <c r="AG427" i="6"/>
  <c r="AG429" i="6"/>
  <c r="AG431" i="6"/>
  <c r="AG433" i="6"/>
  <c r="AG435" i="6"/>
  <c r="AG437" i="6"/>
  <c r="AG439" i="6"/>
  <c r="AG441" i="6"/>
  <c r="AG443" i="6"/>
  <c r="AG448" i="6"/>
  <c r="AF451" i="6"/>
  <c r="AF458" i="6"/>
  <c r="AG463" i="6"/>
  <c r="AH186" i="6"/>
  <c r="AG193" i="6"/>
  <c r="AA368" i="6"/>
  <c r="Q380" i="6"/>
  <c r="S380" i="6" s="1"/>
  <c r="R402" i="6"/>
  <c r="AF421" i="6"/>
  <c r="AF446" i="6"/>
  <c r="AG451" i="6"/>
  <c r="AG458" i="6"/>
  <c r="AF461" i="6"/>
  <c r="AG421" i="6"/>
  <c r="AG446" i="6"/>
  <c r="AF449" i="6"/>
  <c r="AF454" i="6"/>
  <c r="AF456" i="6"/>
  <c r="AG461" i="6"/>
  <c r="AF464" i="6"/>
  <c r="AI193" i="6"/>
  <c r="Q242" i="6"/>
  <c r="AF420" i="6"/>
  <c r="AD420" i="6" s="1"/>
  <c r="AF424" i="6"/>
  <c r="AF426" i="6"/>
  <c r="AF428" i="6"/>
  <c r="AF430" i="6"/>
  <c r="AF432" i="6"/>
  <c r="AF434" i="6"/>
  <c r="AF436" i="6"/>
  <c r="AF438" i="6"/>
  <c r="AF440" i="6"/>
  <c r="AF442" i="6"/>
  <c r="AF444" i="6"/>
  <c r="AG449" i="6"/>
  <c r="AF452" i="6"/>
  <c r="AG454" i="6"/>
  <c r="AG456" i="6"/>
  <c r="AF459" i="6"/>
  <c r="AG464" i="6"/>
  <c r="AG420" i="6"/>
  <c r="AG424" i="6"/>
  <c r="AG426" i="6"/>
  <c r="AG428" i="6"/>
  <c r="AG430" i="6"/>
  <c r="AG432" i="6"/>
  <c r="AG434" i="6"/>
  <c r="AG436" i="6"/>
  <c r="AG438" i="6"/>
  <c r="AG440" i="6"/>
  <c r="AG442" i="6"/>
  <c r="AG444" i="6"/>
  <c r="AF447" i="6"/>
  <c r="AG452" i="6"/>
  <c r="AG459" i="6"/>
  <c r="AF462" i="6"/>
  <c r="AF423" i="6"/>
  <c r="AG447" i="6"/>
  <c r="AF450" i="6"/>
  <c r="AF457" i="6"/>
  <c r="AG462" i="6"/>
  <c r="AG423" i="6"/>
  <c r="AF445" i="6"/>
  <c r="AG450" i="6"/>
  <c r="AF453" i="6"/>
  <c r="AF455" i="6"/>
  <c r="AG457" i="6"/>
  <c r="AF460" i="6"/>
  <c r="AF422" i="6"/>
  <c r="AF425" i="6"/>
  <c r="AF427" i="6"/>
  <c r="AF429" i="6"/>
  <c r="AF431" i="6"/>
  <c r="AF433" i="6"/>
  <c r="AF435" i="6"/>
  <c r="AF437" i="6"/>
  <c r="AF439" i="6"/>
  <c r="AF441" i="6"/>
  <c r="AF443" i="6"/>
  <c r="AG445" i="6"/>
  <c r="AF448" i="6"/>
  <c r="AG453" i="6"/>
  <c r="AG455" i="6"/>
  <c r="AG460" i="6"/>
  <c r="AA340" i="6"/>
  <c r="AB294" i="6"/>
  <c r="AA326" i="6"/>
  <c r="AA356" i="6"/>
  <c r="AA294" i="6"/>
  <c r="AA321" i="6"/>
  <c r="AA310" i="6"/>
  <c r="AA318" i="6"/>
  <c r="AA313" i="6"/>
  <c r="AB302" i="6"/>
  <c r="AA327" i="6"/>
  <c r="AA350" i="6"/>
  <c r="AA349" i="6"/>
  <c r="AA302" i="6"/>
  <c r="AA323" i="6"/>
  <c r="AA332" i="6"/>
  <c r="AA297" i="6"/>
  <c r="AA286" i="6"/>
  <c r="AA348" i="6"/>
  <c r="AA341" i="6"/>
  <c r="AA324" i="6"/>
  <c r="AA342" i="6"/>
  <c r="AA357" i="6"/>
  <c r="AB286" i="6"/>
  <c r="AA334" i="6"/>
  <c r="AA322" i="6"/>
  <c r="AA305" i="6"/>
  <c r="AB297" i="6"/>
  <c r="AA325" i="6"/>
  <c r="AB318" i="6"/>
  <c r="AA289" i="6"/>
  <c r="AB289" i="6"/>
  <c r="AB310" i="6"/>
  <c r="AD425" i="6" l="1"/>
  <c r="AD430" i="6" s="1"/>
  <c r="AD435" i="6" s="1"/>
  <c r="AD440" i="6" s="1"/>
  <c r="AD445" i="6" s="1"/>
  <c r="AD450" i="6" s="1"/>
  <c r="AD455" i="6" s="1"/>
  <c r="AD460" i="6" s="1"/>
  <c r="AD421" i="6"/>
  <c r="M252" i="6"/>
  <c r="M248" i="6"/>
  <c r="M250" i="6"/>
  <c r="M249" i="6"/>
  <c r="M251" i="6"/>
  <c r="M247" i="6"/>
  <c r="B4" i="3"/>
  <c r="C2" i="8"/>
  <c r="G3" i="4"/>
  <c r="I3" i="4"/>
  <c r="E4" i="4" a="1"/>
  <c r="E4" i="4" s="1"/>
  <c r="B2" i="8" l="1"/>
  <c r="AD422" i="6"/>
  <c r="AD426" i="6"/>
  <c r="AD431" i="6" s="1"/>
  <c r="AD436" i="6" s="1"/>
  <c r="AD441" i="6" s="1"/>
  <c r="AD446" i="6" s="1"/>
  <c r="AD451" i="6" s="1"/>
  <c r="AD456" i="6" s="1"/>
  <c r="AD461" i="6" s="1"/>
  <c r="I4" i="4"/>
  <c r="G4" i="4"/>
  <c r="E5" i="4" a="1"/>
  <c r="E5" i="4" s="1"/>
  <c r="E6" i="4" s="1" a="1"/>
  <c r="E6" i="4" s="1"/>
  <c r="F156" i="7"/>
  <c r="F164" i="7"/>
  <c r="G164" i="7" s="1"/>
  <c r="F162" i="7"/>
  <c r="G162" i="7" s="1"/>
  <c r="G93" i="7"/>
  <c r="F93" i="7"/>
  <c r="G156" i="7"/>
  <c r="E7" i="4" l="1" a="1"/>
  <c r="E7" i="4" s="1"/>
  <c r="E8" i="4" s="1" a="1"/>
  <c r="E8" i="4" s="1"/>
  <c r="G6" i="4"/>
  <c r="I6" i="4"/>
  <c r="G5" i="4"/>
  <c r="I5" i="4"/>
  <c r="AD427" i="6"/>
  <c r="AD432" i="6" s="1"/>
  <c r="AD437" i="6" s="1"/>
  <c r="AD442" i="6" s="1"/>
  <c r="AD447" i="6" s="1"/>
  <c r="AD452" i="6" s="1"/>
  <c r="AD457" i="6" s="1"/>
  <c r="AD462" i="6" s="1"/>
  <c r="AD423" i="6"/>
  <c r="B1" i="8" l="1"/>
  <c r="G7" i="4"/>
  <c r="I7" i="4"/>
  <c r="G8" i="4"/>
  <c r="I8" i="4"/>
  <c r="C1" i="8"/>
  <c r="AD428" i="6"/>
  <c r="AD433" i="6" s="1"/>
  <c r="AD438" i="6" s="1"/>
  <c r="AD443" i="6" s="1"/>
  <c r="AD448" i="6" s="1"/>
  <c r="AD453" i="6" s="1"/>
  <c r="AD458" i="6" s="1"/>
  <c r="AD463" i="6" s="1"/>
  <c r="AD424" i="6"/>
  <c r="AD429" i="6" s="1"/>
  <c r="AD434" i="6" s="1"/>
  <c r="AD439" i="6" s="1"/>
  <c r="AD444" i="6" s="1"/>
  <c r="AD449" i="6" s="1"/>
  <c r="AD454" i="6" s="1"/>
  <c r="AD459" i="6" s="1"/>
  <c r="AD464" i="6" s="1"/>
  <c r="E9" i="4" a="1"/>
  <c r="E9" i="4" s="1"/>
  <c r="G9" i="4" l="1"/>
  <c r="I9" i="4"/>
  <c r="E10" i="4" a="1"/>
  <c r="E10" i="4" s="1"/>
  <c r="I10" i="4" l="1"/>
  <c r="G10" i="4"/>
  <c r="E11" i="4" a="1"/>
  <c r="E11" i="4" s="1"/>
  <c r="G11" i="4" l="1"/>
  <c r="I11" i="4"/>
  <c r="E12" i="4" a="1"/>
  <c r="E12" i="4" s="1"/>
  <c r="I12" i="4" l="1"/>
  <c r="G12" i="4"/>
  <c r="E13" i="4" a="1"/>
  <c r="E13" i="4" s="1"/>
  <c r="G13" i="4" l="1"/>
  <c r="I13" i="4"/>
  <c r="E14" i="4" a="1"/>
  <c r="E14" i="4" s="1"/>
  <c r="I14" i="4" l="1"/>
  <c r="G14" i="4"/>
  <c r="E15" i="4" a="1"/>
  <c r="E15" i="4" s="1"/>
  <c r="G15" i="4" l="1"/>
  <c r="I15" i="4"/>
  <c r="E16" i="4" a="1"/>
  <c r="E16" i="4" s="1"/>
  <c r="I16" i="4" l="1"/>
  <c r="G16" i="4"/>
  <c r="E17" i="4" a="1"/>
  <c r="E17" i="4" s="1"/>
  <c r="G17" i="4" l="1"/>
  <c r="I17" i="4"/>
  <c r="E18" i="4" a="1"/>
  <c r="E18" i="4" s="1"/>
  <c r="G18" i="4" l="1"/>
  <c r="I18" i="4"/>
  <c r="E19" i="4" a="1"/>
  <c r="E19" i="4" s="1"/>
  <c r="G19" i="4" l="1"/>
  <c r="I19" i="4"/>
  <c r="E20" i="4" a="1"/>
  <c r="E20" i="4" s="1"/>
  <c r="I20" i="4" l="1"/>
  <c r="G20" i="4"/>
  <c r="E21" i="4" a="1"/>
  <c r="E21" i="4" s="1"/>
  <c r="G21" i="4" l="1"/>
  <c r="I21" i="4"/>
  <c r="E22" i="4" a="1"/>
  <c r="E22" i="4" s="1"/>
  <c r="I22" i="4" l="1"/>
  <c r="G22" i="4"/>
  <c r="E23" i="4" a="1"/>
  <c r="E23" i="4" s="1"/>
  <c r="G23" i="4" l="1"/>
  <c r="I23" i="4"/>
  <c r="E24" i="4" a="1"/>
  <c r="E24" i="4" s="1"/>
  <c r="I24" i="4" l="1"/>
  <c r="G24" i="4"/>
  <c r="E25" i="4" a="1"/>
  <c r="E25" i="4" s="1"/>
  <c r="G25" i="4" l="1"/>
  <c r="I25" i="4"/>
  <c r="E26" i="4" a="1"/>
  <c r="E26" i="4" s="1"/>
  <c r="I26" i="4" l="1"/>
  <c r="G26" i="4"/>
  <c r="E27" i="4" a="1"/>
  <c r="E27" i="4" s="1"/>
  <c r="G27" i="4" l="1"/>
  <c r="I27" i="4"/>
  <c r="E28" i="4" a="1"/>
  <c r="E28" i="4" s="1"/>
  <c r="I28" i="4" l="1"/>
  <c r="G28" i="4"/>
  <c r="E29" i="4" a="1"/>
  <c r="E29" i="4" s="1"/>
  <c r="G29" i="4" l="1"/>
  <c r="I29" i="4"/>
  <c r="E30" i="4" a="1"/>
  <c r="E30" i="4" s="1"/>
  <c r="I30" i="4" l="1"/>
  <c r="G30" i="4"/>
  <c r="E31" i="4" a="1"/>
  <c r="E31" i="4" s="1"/>
  <c r="G31" i="4" l="1"/>
  <c r="I31" i="4"/>
  <c r="E32" i="4" a="1"/>
  <c r="E32" i="4" s="1"/>
  <c r="I32" i="4" l="1"/>
  <c r="G32" i="4"/>
  <c r="E33" i="4" a="1"/>
  <c r="E33" i="4" s="1"/>
  <c r="G33" i="4" l="1"/>
  <c r="I33" i="4"/>
  <c r="E34" i="4" a="1"/>
  <c r="E34" i="4" s="1"/>
  <c r="G34" i="4" l="1"/>
  <c r="I34" i="4"/>
  <c r="E35" i="4" a="1"/>
  <c r="E35" i="4" s="1"/>
  <c r="G35" i="4" l="1"/>
  <c r="I35" i="4"/>
  <c r="E36" i="4" a="1"/>
  <c r="E36" i="4" s="1"/>
  <c r="I36" i="4" l="1"/>
  <c r="G36" i="4"/>
  <c r="E37" i="4" a="1"/>
  <c r="E37" i="4" s="1"/>
  <c r="G37" i="4" l="1"/>
  <c r="I37" i="4"/>
  <c r="E38" i="4" a="1"/>
  <c r="E38" i="4" s="1"/>
  <c r="I38" i="4" l="1"/>
  <c r="G38" i="4"/>
  <c r="E39" i="4" a="1"/>
  <c r="E39" i="4" s="1"/>
  <c r="G39" i="4" l="1"/>
  <c r="I39" i="4"/>
  <c r="E40" i="4" a="1"/>
  <c r="E40" i="4" s="1"/>
  <c r="G40" i="4" l="1"/>
  <c r="I40" i="4"/>
  <c r="E41" i="4" a="1"/>
  <c r="E41" i="4" s="1"/>
  <c r="I41" i="4" l="1"/>
  <c r="G41" i="4"/>
  <c r="E42" i="4" a="1"/>
  <c r="E42" i="4" s="1"/>
  <c r="G42" i="4" l="1"/>
  <c r="I42" i="4"/>
  <c r="E43" i="4" a="1"/>
  <c r="E43" i="4" s="1"/>
  <c r="I43" i="4" l="1"/>
  <c r="G43" i="4"/>
  <c r="E44" i="4" a="1"/>
  <c r="E44" i="4" s="1"/>
  <c r="G44" i="4" l="1"/>
  <c r="I44" i="4"/>
  <c r="E45" i="4" a="1"/>
  <c r="E45" i="4" s="1"/>
  <c r="E46" i="4" s="1" a="1"/>
  <c r="E46" i="4" s="1"/>
  <c r="EP1134" i="1" l="1"/>
  <c r="EP810" i="1"/>
  <c r="EP811" i="1"/>
  <c r="EP1133" i="1"/>
  <c r="EP809" i="1"/>
  <c r="EP1185" i="1"/>
  <c r="EP176" i="1"/>
  <c r="EP1150" i="1"/>
  <c r="EP1184" i="1"/>
  <c r="EP1179" i="1"/>
  <c r="EP1143" i="1"/>
  <c r="EP812" i="1"/>
  <c r="EP1188" i="1"/>
  <c r="EP1145" i="1"/>
  <c r="EP1183" i="1"/>
  <c r="EP1158" i="1"/>
  <c r="EP1187" i="1"/>
  <c r="EP826" i="1"/>
  <c r="EP814" i="1"/>
  <c r="EP376" i="1"/>
  <c r="EP1233" i="1"/>
  <c r="EP1146" i="1"/>
  <c r="EP820" i="1"/>
  <c r="EP821" i="1"/>
  <c r="EP1144" i="1"/>
  <c r="EP1181" i="1"/>
  <c r="EP1191" i="1"/>
  <c r="EP813" i="1"/>
  <c r="EP193" i="1"/>
  <c r="EP1156" i="1"/>
  <c r="EP1180" i="1"/>
  <c r="EP819" i="1"/>
  <c r="EP822" i="1"/>
  <c r="EP1186" i="1"/>
  <c r="EP1192" i="1"/>
  <c r="EP825" i="1"/>
  <c r="EP1157" i="1"/>
  <c r="EP1182" i="1"/>
  <c r="EP1189" i="1"/>
  <c r="EP1147" i="1"/>
  <c r="EP1159" i="1"/>
  <c r="EP1195" i="1"/>
  <c r="EP533" i="1"/>
  <c r="EP1153" i="1"/>
  <c r="EP534" i="1"/>
  <c r="EP1190" i="1"/>
  <c r="EP539" i="1"/>
  <c r="EP827" i="1"/>
  <c r="EP1151" i="1"/>
  <c r="EP1152" i="1"/>
  <c r="EP1142" i="1"/>
  <c r="EP1193" i="1"/>
  <c r="EP660" i="1"/>
  <c r="EP1178" i="1"/>
  <c r="EP817" i="1"/>
  <c r="EP823" i="1"/>
  <c r="EP1148" i="1"/>
  <c r="EP177" i="1"/>
  <c r="EP1149" i="1"/>
  <c r="EP194" i="1"/>
  <c r="EP818" i="1"/>
  <c r="EP1154" i="1"/>
  <c r="EP1194" i="1"/>
  <c r="EP824" i="1"/>
  <c r="EP1155" i="1"/>
  <c r="EP661" i="1"/>
  <c r="EP19" i="1"/>
  <c r="EP627" i="1" l="1"/>
  <c r="EP37" i="1"/>
  <c r="EP630" i="1"/>
  <c r="EP40" i="1"/>
  <c r="EP28" i="1"/>
  <c r="EP629" i="1"/>
  <c r="EP35" i="1"/>
  <c r="EP36" i="1"/>
  <c r="EP34" i="1"/>
  <c r="EP435" i="1"/>
  <c r="EP32" i="1"/>
  <c r="EP31" i="1"/>
  <c r="EP33" i="1"/>
  <c r="EP434" i="1"/>
  <c r="EP38" i="1"/>
  <c r="EP41" i="1"/>
  <c r="EP628" i="1"/>
  <c r="EP39" i="1"/>
  <c r="EP29" i="1"/>
  <c r="EP27" i="1"/>
  <c r="EP30" i="1"/>
  <c r="EP26" i="1"/>
  <c r="EP631" i="1"/>
  <c r="EP433" i="1"/>
  <c r="EP1163" i="1"/>
  <c r="EP1160" i="1"/>
  <c r="EP1210" i="1"/>
  <c r="EP1173" i="1"/>
  <c r="EP336" i="1"/>
  <c r="EP353" i="1"/>
  <c r="EP765" i="1"/>
  <c r="EP1218" i="1"/>
  <c r="EP292" i="1"/>
  <c r="EP322" i="1"/>
  <c r="EP1209" i="1"/>
  <c r="EP148" i="1"/>
  <c r="EP354" i="1"/>
  <c r="EP816" i="1"/>
  <c r="EP1168" i="1"/>
  <c r="EP1239" i="1"/>
  <c r="EP301" i="1"/>
  <c r="EP298" i="1"/>
  <c r="EP360" i="1"/>
  <c r="EP351" i="1"/>
  <c r="EP293" i="1"/>
  <c r="EP335" i="1"/>
  <c r="EP1223" i="1"/>
  <c r="EP1207" i="1"/>
  <c r="EP1238" i="1"/>
  <c r="EP289" i="1"/>
  <c r="EP559" i="1"/>
  <c r="EP286" i="1"/>
  <c r="EP312" i="1"/>
  <c r="EP318" i="1"/>
  <c r="EP84" i="1"/>
  <c r="EP1175" i="1"/>
  <c r="EP1219" i="1"/>
  <c r="EP766" i="1"/>
  <c r="EP1225" i="1"/>
  <c r="EP1162" i="1"/>
  <c r="EP126" i="1"/>
  <c r="EP562" i="1"/>
  <c r="EP342" i="1"/>
  <c r="EP1237" i="1"/>
  <c r="EP296" i="1"/>
  <c r="EP1212" i="1"/>
  <c r="EP290" i="1"/>
  <c r="EP324" i="1"/>
  <c r="EP563" i="1"/>
  <c r="EP310" i="1"/>
  <c r="EP769" i="1"/>
  <c r="EP1217" i="1"/>
  <c r="EP325" i="1"/>
  <c r="EP127" i="1"/>
  <c r="EP1213" i="1"/>
  <c r="EP558" i="1"/>
  <c r="EP125" i="1"/>
  <c r="EP1221" i="1"/>
  <c r="EP364" i="1"/>
  <c r="EP560" i="1"/>
  <c r="EP346" i="1"/>
  <c r="EP306" i="1"/>
  <c r="EP771" i="1"/>
  <c r="EP1240" i="1"/>
  <c r="EP1164" i="1"/>
  <c r="EP321" i="1"/>
  <c r="EP345" i="1"/>
  <c r="EP1208" i="1"/>
  <c r="EP357" i="1"/>
  <c r="EP1214" i="1"/>
  <c r="EP305" i="1"/>
  <c r="EP337" i="1"/>
  <c r="EP150" i="1"/>
  <c r="EP1206" i="1"/>
  <c r="EP1205" i="1"/>
  <c r="EP309" i="1"/>
  <c r="EP352" i="1"/>
  <c r="EP361" i="1"/>
  <c r="EP314" i="1"/>
  <c r="EP358" i="1"/>
  <c r="EP326" i="1"/>
  <c r="EP1177" i="1"/>
  <c r="EP1236" i="1"/>
  <c r="EP316" i="1"/>
  <c r="EP543" i="1"/>
  <c r="EP1220" i="1"/>
  <c r="EP1222" i="1"/>
  <c r="EP308" i="1"/>
  <c r="EP1204" i="1"/>
  <c r="EP1241" i="1"/>
  <c r="EP128" i="1"/>
  <c r="EP302" i="1"/>
  <c r="EP350" i="1"/>
  <c r="EP287" i="1"/>
  <c r="EP1167" i="1"/>
  <c r="EP1170" i="1"/>
  <c r="EP334" i="1"/>
  <c r="EP299" i="1"/>
  <c r="EP317" i="1"/>
  <c r="EP1169" i="1"/>
  <c r="EP363" i="1"/>
  <c r="EP1171" i="1"/>
  <c r="EP815" i="1"/>
  <c r="EP320" i="1"/>
  <c r="EP315" i="1"/>
  <c r="EP1215" i="1"/>
  <c r="EP1161" i="1"/>
  <c r="EP561" i="1"/>
  <c r="EP294" i="1"/>
  <c r="EP323" i="1"/>
  <c r="EP1224" i="1"/>
  <c r="EP307" i="1"/>
  <c r="EP48" i="1"/>
  <c r="EP1211" i="1"/>
  <c r="EP304" i="1"/>
  <c r="EP313" i="1"/>
  <c r="EP291" i="1"/>
  <c r="EP1216" i="1"/>
  <c r="EP311" i="1"/>
  <c r="EP319" i="1"/>
  <c r="EP1176" i="1"/>
  <c r="EP356" i="1"/>
  <c r="EP1174" i="1"/>
  <c r="EP362" i="1"/>
  <c r="EP83" i="1"/>
  <c r="EP349" i="1"/>
  <c r="EP1235" i="1"/>
  <c r="EP303" i="1"/>
  <c r="EP288" i="1"/>
  <c r="EP285" i="1"/>
  <c r="EP297" i="1"/>
  <c r="EP341" i="1"/>
  <c r="EP767" i="1"/>
  <c r="EP355" i="1"/>
  <c r="EP1198" i="1"/>
  <c r="EP544" i="1"/>
  <c r="EP49" i="1"/>
  <c r="EP377" i="1"/>
  <c r="EP1172" i="1"/>
  <c r="EP300" i="1"/>
  <c r="EP359" i="1"/>
  <c r="EP806" i="1"/>
  <c r="EP805" i="1"/>
  <c r="EP1135" i="1"/>
  <c r="EP373" i="1"/>
  <c r="EP385" i="1"/>
  <c r="EP374" i="1"/>
  <c r="EP72" i="1"/>
  <c r="EP18" i="1"/>
  <c r="EP1234" i="1"/>
  <c r="EP157" i="1"/>
  <c r="EP1231" i="1"/>
  <c r="EP78" i="1"/>
  <c r="EP1228" i="1"/>
  <c r="EP841" i="1"/>
  <c r="EP831" i="1"/>
  <c r="EP171" i="1"/>
  <c r="EP1200" i="1"/>
  <c r="EP174" i="1"/>
  <c r="EP625" i="1"/>
  <c r="EP808" i="1"/>
  <c r="EP1139" i="1"/>
  <c r="EP158" i="1"/>
  <c r="EP181" i="1"/>
  <c r="EP575" i="1"/>
  <c r="EP189" i="1"/>
  <c r="EP283" i="1"/>
  <c r="EP834" i="1"/>
  <c r="EP12" i="1"/>
  <c r="EP186" i="1"/>
  <c r="EP837" i="1"/>
  <c r="EP191" i="1"/>
  <c r="EP835" i="1"/>
  <c r="EP542" i="1"/>
  <c r="EP8" i="1"/>
  <c r="EP375" i="1"/>
  <c r="EP185" i="1"/>
  <c r="EP14" i="1"/>
  <c r="EP379" i="1"/>
  <c r="EP178" i="1"/>
  <c r="EP155" i="1"/>
  <c r="EP187" i="1"/>
  <c r="EP1226" i="1"/>
  <c r="EP405" i="1"/>
  <c r="EP166" i="1"/>
  <c r="EP1165" i="1"/>
  <c r="EP16" i="1"/>
  <c r="EP196" i="1"/>
  <c r="EP578" i="1"/>
  <c r="EP381" i="1"/>
  <c r="EP1140" i="1"/>
  <c r="EP384" i="1"/>
  <c r="EP1136" i="1"/>
  <c r="EP807" i="1"/>
  <c r="EP73" i="1"/>
  <c r="EP9" i="1"/>
  <c r="EP15" i="1"/>
  <c r="EP842" i="1"/>
  <c r="EP282" i="1"/>
  <c r="EP163" i="1"/>
  <c r="EP383" i="1"/>
  <c r="EP190" i="1"/>
  <c r="EP295" i="1"/>
  <c r="EP579" i="1"/>
  <c r="EP164" i="1"/>
  <c r="EP165" i="1"/>
  <c r="EP175" i="1"/>
  <c r="EP404" i="1"/>
  <c r="EP13" i="1"/>
  <c r="EP833" i="1"/>
  <c r="EP195" i="1"/>
  <c r="EP1132" i="1"/>
  <c r="EP626" i="1"/>
  <c r="EP836" i="1"/>
  <c r="EP179" i="1"/>
  <c r="EP284" i="1"/>
  <c r="EP173" i="1"/>
  <c r="EP192" i="1"/>
  <c r="EP829" i="1"/>
  <c r="EP17" i="1"/>
  <c r="EP1199" i="1"/>
  <c r="EP156" i="1"/>
  <c r="EP80" i="1"/>
  <c r="EP517" i="1"/>
  <c r="EP199" i="1"/>
  <c r="EP180" i="1"/>
  <c r="EP183" i="1"/>
  <c r="EP188" i="1"/>
  <c r="EP167" i="1"/>
  <c r="EP74" i="1"/>
  <c r="EP182" i="1"/>
  <c r="EP82" i="1"/>
  <c r="EP75" i="1"/>
  <c r="EP1203" i="1"/>
  <c r="EP1166" i="1"/>
  <c r="EP1232" i="1"/>
  <c r="EP1197" i="1"/>
  <c r="EP162" i="1"/>
  <c r="EP159" i="1"/>
  <c r="EP838" i="1"/>
  <c r="EP828" i="1"/>
  <c r="EP402" i="1"/>
  <c r="EP1137" i="1"/>
  <c r="EP540" i="1"/>
  <c r="EP172" i="1"/>
  <c r="EP79" i="1"/>
  <c r="EP401" i="1"/>
  <c r="EP160" i="1"/>
  <c r="EP576" i="1"/>
  <c r="EP1230" i="1"/>
  <c r="EP43" i="1"/>
  <c r="EP840" i="1"/>
  <c r="EP1229" i="1"/>
  <c r="EP839" i="1"/>
  <c r="EP71" i="1"/>
  <c r="EP198" i="1"/>
  <c r="EP76" i="1"/>
  <c r="EP1196" i="1"/>
  <c r="EP1202" i="1"/>
  <c r="EP70" i="1"/>
  <c r="EP77" i="1"/>
  <c r="EP168" i="1"/>
  <c r="EP10" i="1"/>
  <c r="EP197" i="1"/>
  <c r="EP624" i="1"/>
  <c r="EP589" i="1"/>
  <c r="EP169" i="1"/>
  <c r="EP1201" i="1"/>
  <c r="EP403" i="1"/>
  <c r="EP382" i="1"/>
  <c r="EP1227" i="1"/>
  <c r="EP161" i="1"/>
  <c r="EP1138" i="1"/>
  <c r="EP541" i="1"/>
  <c r="EP170" i="1"/>
  <c r="EP830" i="1"/>
  <c r="EP518" i="1"/>
  <c r="EP184" i="1"/>
  <c r="EP11" i="1"/>
  <c r="EP380" i="1"/>
  <c r="EP832" i="1"/>
  <c r="EP81"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tc={003E00CD-00AE-4422-B5D5-00BF00E10024}</author>
    <author>tc={006C007C-002F-4F20-B8B1-006E00A600AE}</author>
    <author>tc={00CC003E-006B-456E-AD65-001D00CB003C}</author>
    <author>tc={007B00A0-002F-43CD-9B94-007100A60047}</author>
    <author>tc={00DD0084-00A9-4338-AA26-004000E4002E}</author>
    <author>tc={00AC0038-00B8-45C0-BBCC-00AF0097006C}</author>
    <author>tc={00C9003F-005E-40E7-B232-00A8000900CF}</author>
    <author>tc={00230028-0053-42FB-BDAD-001D008200CB}</author>
    <author>tc={00B500A3-001F-4CD5-81DB-00EA00A50012}</author>
    <author>tc={00B900A3-0072-4DEA-9694-0064000200B2}</author>
    <author>tc={0075002C-0036-46A9-8935-00F7004B007B}</author>
    <author>tc={00AF00D7-00AF-449C-A506-0087004900B8}</author>
    <author>tc={009300DF-00F0-4BE1-A6B8-004D00C10054}</author>
    <author>tc={00310097-00E0-42B6-8ECE-003C004300F3}</author>
    <author>tc={007D004A-00C0-4FC5-A256-0094008E002B}</author>
    <author>tc={00D40055-0009-4680-9336-003100D1000A}</author>
    <author>tc={00060019-00AA-427D-B9D8-00A100830036}</author>
    <author>tc={0086003F-00DE-4493-A3CC-00FE00A200CA}</author>
    <author>tc={00870009-00FA-465B-9042-0063007B0021}</author>
    <author>tc={006800CB-00A6-4E5E-90CA-005C009D0089}</author>
    <author>tc={00D000CB-0064-4306-8F25-000E00FD0077}</author>
    <author>tc={00C9001F-00BB-43A8-BA7B-007C00CA0006}</author>
    <author>tc={002A00F8-00EE-440B-BECB-00FB00B700F1}</author>
    <author>tc={0092000D-0020-4C1B-BA18-005400750047}</author>
    <author>tc={008600F3-0054-4A80-A7EC-0089001C001D}</author>
    <author>tc={00610090-003F-472A-83D8-0020006F001E}</author>
    <author>tc={00220046-000C-46DB-B26D-00F3003100C2}</author>
    <author>tc={00D8002E-00D5-44BB-9723-00C8009B0081}</author>
    <author>tc={006700B6-007E-4F2B-A3BA-00CF008B0064}</author>
    <author>tc={001A00E9-0080-4657-AFCA-00F00018005E}</author>
    <author>tc={006900AF-00A0-4BE8-8FD5-005A00DC00B1}</author>
    <author>tc={003E00CE-0033-474C-AD6B-00050077003B}</author>
    <author>tc={00160020-00A7-47B8-8D92-00AF00C900EA}</author>
    <author>tc={00420031-0088-4391-B9DE-009E001000BF}</author>
    <author>tc={00C40065-0007-457C-AB2B-009800900003}</author>
    <author>tc={00110064-0039-4EAB-80D9-0003004B006A}</author>
    <author>tc={00DE0036-0060-421B-8E4B-00E500630047}</author>
    <author>tc={00270063-00AA-4C40-B979-000800430066}</author>
    <author>chaste</author>
  </authors>
  <commentList>
    <comment ref="DZ7" authorId="0" shapeId="0" xr:uid="{003E00CD-00AE-4422-B5D5-00BF00E10024}">
      <text>
        <r>
          <rPr>
            <b/>
            <sz val="9"/>
            <rFont val="Tahoma"/>
            <family val="2"/>
          </rPr>
          <t>Microsoft Office User:</t>
        </r>
        <r>
          <rPr>
            <sz val="9"/>
            <rFont val="Tahoma"/>
            <family val="2"/>
          </rPr>
          <t xml:space="preserve">
ie : C-neutrality of wood assumed = 0, C-emissions of wood at eol accounted = 1
</t>
        </r>
      </text>
    </comment>
    <comment ref="EA7" authorId="1" shapeId="0" xr:uid="{006C007C-002F-4F20-B8B1-006E00A600AE}">
      <text>
        <r>
          <rPr>
            <b/>
            <sz val="9"/>
            <rFont val="Tahoma"/>
            <family val="2"/>
          </rPr>
          <t>Microsoft Office User:</t>
        </r>
        <r>
          <rPr>
            <sz val="9"/>
            <rFont val="Tahoma"/>
            <family val="2"/>
          </rPr>
          <t xml:space="preserve">
accounts for avoided emissions,wood reuseor recycling outside of the lifetime of the product itself
</t>
        </r>
      </text>
    </comment>
    <comment ref="EB7" authorId="2" shapeId="0" xr:uid="{00CC003E-006B-456E-AD65-001D00CB003C}">
      <text>
        <r>
          <rPr>
            <b/>
            <sz val="9"/>
            <rFont val="Tahoma"/>
            <family val="2"/>
          </rPr>
          <t>Microsoft Office User:</t>
        </r>
        <r>
          <rPr>
            <sz val="9"/>
            <rFont val="Tahoma"/>
            <family val="2"/>
          </rPr>
          <t xml:space="preserve">
may be accounted for through the use of a displacement factor
</t>
        </r>
      </text>
    </comment>
    <comment ref="AD386" authorId="3" shapeId="0" xr:uid="{4A04E53A-4C0F-E348-98F2-440C0D199632}">
      <text>
        <r>
          <rPr>
            <b/>
            <sz val="9"/>
            <color rgb="FF000000"/>
            <rFont val="Tahoma"/>
            <family val="2"/>
          </rPr>
          <t>chaste:</t>
        </r>
        <r>
          <rPr>
            <sz val="9"/>
            <color rgb="FF000000"/>
            <rFont val="Tahoma"/>
            <family val="2"/>
          </rPr>
          <t xml:space="preserve">
</t>
        </r>
        <r>
          <rPr>
            <sz val="9"/>
            <color rgb="FF000000"/>
            <rFont val="Tahoma"/>
            <family val="2"/>
          </rPr>
          <t xml:space="preserve">Il y a un scenario de machine manuelle et machine motorisée mais il n'y a pas les résultats pour les deux (partie 2.2.2). C'est un scénario mixte alors je ne sais pas si je dois l'indiquer. 
</t>
        </r>
      </text>
    </comment>
    <comment ref="AF467" authorId="4" shapeId="0" xr:uid="{FB54EBFB-FB18-8E42-9E29-841BB5EB63AE}">
      <text>
        <r>
          <rPr>
            <b/>
            <sz val="9"/>
            <color rgb="FF000000"/>
            <rFont val="Tahoma"/>
            <family val="2"/>
          </rPr>
          <t>Microsoft Office User:</t>
        </r>
        <r>
          <rPr>
            <sz val="9"/>
            <color rgb="FF000000"/>
            <rFont val="Tahoma"/>
            <family val="2"/>
          </rPr>
          <t xml:space="preserve">
</t>
        </r>
        <r>
          <rPr>
            <sz val="9"/>
            <color rgb="FF000000"/>
            <rFont val="Tahoma"/>
            <family val="2"/>
          </rPr>
          <t xml:space="preserve">to be listed as a secondary driver
</t>
        </r>
      </text>
    </comment>
    <comment ref="AF468" authorId="5" shapeId="0" xr:uid="{350B7A52-B56D-8D4E-97EF-5B8F18ABFC4B}">
      <text>
        <r>
          <rPr>
            <b/>
            <sz val="9"/>
            <color rgb="FF000000"/>
            <rFont val="Tahoma"/>
            <family val="2"/>
          </rPr>
          <t>Microsoft Office User:</t>
        </r>
        <r>
          <rPr>
            <sz val="9"/>
            <color rgb="FF000000"/>
            <rFont val="Tahoma"/>
            <family val="2"/>
          </rPr>
          <t xml:space="preserve">
</t>
        </r>
        <r>
          <rPr>
            <sz val="9"/>
            <color rgb="FF000000"/>
            <rFont val="Tahoma"/>
            <family val="2"/>
          </rPr>
          <t xml:space="preserve">to be listed as a secondary driver
</t>
        </r>
      </text>
    </comment>
    <comment ref="EB565" authorId="6" shapeId="0" xr:uid="{2200AFEB-BF77-5640-A285-B0D954FA7F3C}">
      <text>
        <r>
          <rPr>
            <sz val="12"/>
            <color theme="1"/>
            <rFont val="Calibri"/>
            <family val="2"/>
            <scheme val="minor"/>
          </rPr>
          <t xml:space="preserve">[Threaded comment]
Your version of Excel allows you to read this threaded comment; however, any edits to it will get removed if the file is opened in a newer version of Excel. Learn more: https://go.microsoft.com/fwlink/?linkid=870924
Comment:
    Change on domestic demand
</t>
        </r>
      </text>
    </comment>
    <comment ref="DL566" authorId="7" shapeId="0" xr:uid="{0F865AF2-9252-4A4C-A7F1-F334D021D283}">
      <text>
        <r>
          <rPr>
            <sz val="12"/>
            <color theme="1"/>
            <rFont val="Calibri"/>
            <family val="2"/>
            <scheme val="minor"/>
          </rPr>
          <t xml:space="preserve">[Threaded comment]
Your version of Excel allows you to read this threaded comment; however, any edits to it will get removed if the file is opened in a newer version of Excel. Learn more: https://go.microsoft.com/fwlink/?linkid=870924
Comment:
    In supp: On the forestry side, the approach used is adapted from Birdsey (1996), which assumed constant soil carbon values on forests for all except the South, and Smith et al. (2006), which has all carbon in forest soils assumed to be constant over time, with variation across region and forest type.
</t>
        </r>
      </text>
    </comment>
    <comment ref="DM566" authorId="8" shapeId="0" xr:uid="{1FE4D9A1-E891-4F44-82D8-F001A519F555}">
      <text>
        <r>
          <rPr>
            <sz val="12"/>
            <color theme="1"/>
            <rFont val="Calibri"/>
            <family val="2"/>
            <scheme val="minor"/>
          </rPr>
          <t xml:space="preserve">[Threaded comment]
Your version of Excel allows you to read this threaded comment; however, any edits to it will get removed if the file is opened in a newer version of Excel. Learn more: https://go.microsoft.com/fwlink/?linkid=870924
Comment:
    page 4: 
Logging residue supply curves are based on regional supply curve functions estimated using the spatial allocation optimization routine described in Baker et al. (2018).
</t>
        </r>
      </text>
    </comment>
    <comment ref="DN566" authorId="9" shapeId="0" xr:uid="{467C89ED-02B2-4F43-97B9-215DA61F9F7A}">
      <text>
        <r>
          <rPr>
            <sz val="12"/>
            <color theme="1"/>
            <rFont val="Calibri"/>
            <family val="2"/>
            <scheme val="minor"/>
          </rPr>
          <t xml:space="preserve">[Threaded comment]
Your version of Excel allows you to read this threaded comment; however, any edits to it will get removed if the file is opened in a newer version of Excel. Learn more: https://go.microsoft.com/fwlink/?linkid=870924
Comment:
    reflecting of hauling forest biomass from plot to final demand point post-harvest.
</t>
        </r>
      </text>
    </comment>
    <comment ref="EB566" authorId="10" shapeId="0" xr:uid="{EC3F197C-1D80-A546-A4D2-D0384C0C03E8}">
      <text>
        <r>
          <rPr>
            <sz val="12"/>
            <color theme="1"/>
            <rFont val="Calibri"/>
            <family val="2"/>
            <scheme val="minor"/>
          </rPr>
          <t xml:space="preserve">[Threaded comment]
Your version of Excel allows you to read this threaded comment; however, any edits to it will get removed if the file is opened in a newer version of Excel. Learn more: https://go.microsoft.com/fwlink/?linkid=870924
Comment:
    Change on domestic demand
</t>
        </r>
      </text>
    </comment>
    <comment ref="DV567" authorId="11" shapeId="0" xr:uid="{F718EB6C-E7B4-B34B-B3C9-E35B4EEF29E2}">
      <text>
        <r>
          <rPr>
            <sz val="12"/>
            <color theme="1"/>
            <rFont val="Calibri"/>
            <family val="2"/>
            <scheme val="minor"/>
          </rPr>
          <t xml:space="preserve">[Threaded comment]
Your version of Excel allows you to read this threaded comment; however, any edits to it will get removed if the file is opened in a newer version of Excel. Learn more: https://go.microsoft.com/fwlink/?linkid=870924
Comment:
    In supp: On the forestry side, the approach used is adapted from Birdsey (1996), which assumed constant soil carbon values on forests for all except the South, and Smith et al. (2006), which has all carbon in forest soils assumed to be constant over time, with variation across region and forest type.
</t>
        </r>
      </text>
    </comment>
    <comment ref="DW567" authorId="12" shapeId="0" xr:uid="{2E2AE627-3AEB-9642-AD8F-157853F379D3}">
      <text>
        <r>
          <rPr>
            <sz val="12"/>
            <color theme="1"/>
            <rFont val="Calibri"/>
            <family val="2"/>
            <scheme val="minor"/>
          </rPr>
          <t xml:space="preserve">[Threaded comment]
Your version of Excel allows you to read this threaded comment; however, any edits to it will get removed if the file is opened in a newer version of Excel. Learn more: https://go.microsoft.com/fwlink/?linkid=870924
Comment:
    page 4: 
Logging residue supply curves are based on regional supply curve functions estimated using the spatial allocation optimization routine described in Baker et al. (2018).
</t>
        </r>
      </text>
    </comment>
    <comment ref="DX567" authorId="13" shapeId="0" xr:uid="{64319D15-4B74-2F40-9A3B-23348EAB12C0}">
      <text>
        <r>
          <rPr>
            <sz val="12"/>
            <color theme="1"/>
            <rFont val="Calibri"/>
            <family val="2"/>
            <scheme val="minor"/>
          </rPr>
          <t xml:space="preserve">[Threaded comment]
Your version of Excel allows you to read this threaded comment; however, any edits to it will get removed if the file is opened in a newer version of Excel. Learn more: https://go.microsoft.com/fwlink/?linkid=870924
Comment:
    reflecting of hauling forest biomass from plot to final demand point post-harvest.
</t>
        </r>
      </text>
    </comment>
    <comment ref="DY567" authorId="14" shapeId="0" xr:uid="{DC9B3706-C053-B247-8072-A4CF66C05D7E}">
      <text>
        <r>
          <rPr>
            <sz val="12"/>
            <color theme="1"/>
            <rFont val="Calibri"/>
            <family val="2"/>
            <scheme val="minor"/>
          </rPr>
          <t xml:space="preserve">[Threaded comment]
Your version of Excel allows you to read this threaded comment; however, any edits to it will get removed if the file is opened in a newer version of Excel. Learn more: https://go.microsoft.com/fwlink/?linkid=870924
Comment:
    Je ne suis pas sûre
</t>
        </r>
      </text>
    </comment>
    <comment ref="EB567" authorId="15" shapeId="0" xr:uid="{974E9578-17F8-5D4C-87AB-ED4C98E53F33}">
      <text>
        <r>
          <rPr>
            <sz val="12"/>
            <color theme="1"/>
            <rFont val="Calibri"/>
            <family val="2"/>
            <scheme val="minor"/>
          </rPr>
          <t xml:space="preserve">[Threaded comment]
Your version of Excel allows you to read this threaded comment; however, any edits to it will get removed if the file is opened in a newer version of Excel. Learn more: https://go.microsoft.com/fwlink/?linkid=870924
Comment:
    Change on domestic demand
</t>
        </r>
      </text>
    </comment>
    <comment ref="Y568" authorId="16" shapeId="0" xr:uid="{96210DFB-9397-994B-8D93-5C94AA415278}">
      <text>
        <r>
          <rPr>
            <sz val="12"/>
            <color theme="1"/>
            <rFont val="Calibri"/>
            <family val="2"/>
            <scheme val="minor"/>
          </rPr>
          <t xml:space="preserve">[Threaded comment]
Your version of Excel allows you to read this threaded comment; however, any edits to it will get removed if the file is opened in a newer version of Excel. Learn more: https://go.microsoft.com/fwlink/?linkid=870924
Comment:
    Change on domestic demand
</t>
        </r>
      </text>
    </comment>
    <comment ref="DV568" authorId="17" shapeId="0" xr:uid="{DBB60EE3-7D5F-2041-92BE-4771D57F6332}">
      <text>
        <r>
          <rPr>
            <sz val="12"/>
            <color theme="1"/>
            <rFont val="Calibri"/>
            <family val="2"/>
            <scheme val="minor"/>
          </rPr>
          <t xml:space="preserve">[Threaded comment]
Your version of Excel allows you to read this threaded comment; however, any edits to it will get removed if the file is opened in a newer version of Excel. Learn more: https://go.microsoft.com/fwlink/?linkid=870924
Comment:
    In supp: On the forestry side, the approach used is adapted from Birdsey (1996), which assumed constant soil carbon values on forests for all except the South, and Smith et al. (2006), which has all carbon in forest soils assumed to be constant over time, with variation across region and forest type.
</t>
        </r>
      </text>
    </comment>
    <comment ref="DW568" authorId="18" shapeId="0" xr:uid="{2FB3E104-7AAD-EF43-80EE-5826843F27C3}">
      <text>
        <r>
          <rPr>
            <sz val="12"/>
            <color theme="1"/>
            <rFont val="Calibri"/>
            <family val="2"/>
            <scheme val="minor"/>
          </rPr>
          <t xml:space="preserve">[Threaded comment]
Your version of Excel allows you to read this threaded comment; however, any edits to it will get removed if the file is opened in a newer version of Excel. Learn more: https://go.microsoft.com/fwlink/?linkid=870924
Comment:
    page 4: 
Logging residue supply curves are based on regional supply curve functions estimated using the spatial allocation optimization routine described in Baker et al. (2018).
</t>
        </r>
      </text>
    </comment>
    <comment ref="DX568" authorId="19" shapeId="0" xr:uid="{5EB8AFBB-29CD-F047-BF5B-1908B619E65D}">
      <text>
        <r>
          <rPr>
            <sz val="12"/>
            <color theme="1"/>
            <rFont val="Calibri"/>
            <family val="2"/>
            <scheme val="minor"/>
          </rPr>
          <t xml:space="preserve">[Threaded comment]
Your version of Excel allows you to read this threaded comment; however, any edits to it will get removed if the file is opened in a newer version of Excel. Learn more: https://go.microsoft.com/fwlink/?linkid=870924
Comment:
    reflecting of hauling forest biomass from plot to final demand point post-harvest.
</t>
        </r>
      </text>
    </comment>
    <comment ref="DY568" authorId="20" shapeId="0" xr:uid="{7C1D5A00-A473-B142-8F2A-5ADE930E8527}">
      <text>
        <r>
          <rPr>
            <sz val="12"/>
            <color theme="1"/>
            <rFont val="Calibri"/>
            <family val="2"/>
            <scheme val="minor"/>
          </rPr>
          <t xml:space="preserve">[Threaded comment]
Your version of Excel allows you to read this threaded comment; however, any edits to it will get removed if the file is opened in a newer version of Excel. Learn more: https://go.microsoft.com/fwlink/?linkid=870924
Comment:
    Je ne suis pas sûre
</t>
        </r>
      </text>
    </comment>
    <comment ref="EC568" authorId="21" shapeId="0" xr:uid="{689C74F9-8834-E147-B4B0-DDEE6B372FB6}">
      <text>
        <r>
          <rPr>
            <sz val="12"/>
            <color theme="1"/>
            <rFont val="Calibri"/>
            <family val="2"/>
            <scheme val="minor"/>
          </rPr>
          <t xml:space="preserve">[Threaded comment]
Your version of Excel allows you to read this threaded comment; however, any edits to it will get removed if the file is opened in a newer version of Excel. Learn more: https://go.microsoft.com/fwlink/?linkid=870924
Comment:
    We aggregated spatially explicit (FIA plot-level) data from the LURA model to the 11 FASOMGHG regions, and then incorporated an objective function component that maximizes the present value of producer and consumer surplus over the simulation horizon, incorporating both price endogenous revenue and detailed cost components (including harvest, management, transportation, processing, land transfer, and fixed capital costs in each period). Forest product demand and export demand are based on exogenous demand growth assumptions tied to income growth
</t>
        </r>
      </text>
    </comment>
    <comment ref="Y569" authorId="22" shapeId="0" xr:uid="{E84B2DBD-52B9-504F-B2DD-1DA09A0064A0}">
      <text>
        <r>
          <rPr>
            <sz val="12"/>
            <color theme="1"/>
            <rFont val="Calibri"/>
            <family val="2"/>
            <scheme val="minor"/>
          </rPr>
          <t xml:space="preserve">[Threaded comment]
Your version of Excel allows you to read this threaded comment; however, any edits to it will get removed if the file is opened in a newer version of Excel. Learn more: https://go.microsoft.com/fwlink/?linkid=870924
Comment:
    Change on domestic demand
</t>
        </r>
      </text>
    </comment>
    <comment ref="DV569" authorId="23" shapeId="0" xr:uid="{41945BA9-3E1F-B949-998B-CC3EA6ED56C2}">
      <text>
        <r>
          <rPr>
            <sz val="12"/>
            <color theme="1"/>
            <rFont val="Calibri"/>
            <family val="2"/>
            <scheme val="minor"/>
          </rPr>
          <t xml:space="preserve">[Threaded comment]
Your version of Excel allows you to read this threaded comment; however, any edits to it will get removed if the file is opened in a newer version of Excel. Learn more: https://go.microsoft.com/fwlink/?linkid=870924
Comment:
    In supp: On the forestry side, the approach used is adapted from Birdsey (1996), which assumed constant soil carbon values on forests for all except the South, and Smith et al. (2006), which has all carbon in forest soils assumed to be constant over time, with variation across region and forest type.
</t>
        </r>
      </text>
    </comment>
    <comment ref="DW569" authorId="24" shapeId="0" xr:uid="{639E034C-CA48-414B-A1FA-E301ACECF0E2}">
      <text>
        <r>
          <rPr>
            <sz val="12"/>
            <color theme="1"/>
            <rFont val="Calibri"/>
            <family val="2"/>
            <scheme val="minor"/>
          </rPr>
          <t xml:space="preserve">[Threaded comment]
Your version of Excel allows you to read this threaded comment; however, any edits to it will get removed if the file is opened in a newer version of Excel. Learn more: https://go.microsoft.com/fwlink/?linkid=870924
Comment:
    page 4: 
Logging residue supply curves are based on regional supply curve functions estimated using the spatial allocation optimization routine described in Baker et al. (2018).
</t>
        </r>
      </text>
    </comment>
    <comment ref="DX569" authorId="25" shapeId="0" xr:uid="{6AF41656-48C6-4542-8DEC-B6307F95EC39}">
      <text>
        <r>
          <rPr>
            <sz val="12"/>
            <color theme="1"/>
            <rFont val="Calibri"/>
            <family val="2"/>
            <scheme val="minor"/>
          </rPr>
          <t xml:space="preserve">[Threaded comment]
Your version of Excel allows you to read this threaded comment; however, any edits to it will get removed if the file is opened in a newer version of Excel. Learn more: https://go.microsoft.com/fwlink/?linkid=870924
Comment:
    reflecting of hauling forest biomass from plot to final demand point post-harvest.
</t>
        </r>
      </text>
    </comment>
    <comment ref="DY569" authorId="26" shapeId="0" xr:uid="{8E72354E-ADDD-A04F-B286-B0B48ADA4417}">
      <text>
        <r>
          <rPr>
            <sz val="12"/>
            <color theme="1"/>
            <rFont val="Calibri"/>
            <family val="2"/>
            <scheme val="minor"/>
          </rPr>
          <t xml:space="preserve">[Threaded comment]
Your version of Excel allows you to read this threaded comment; however, any edits to it will get removed if the file is opened in a newer version of Excel. Learn more: https://go.microsoft.com/fwlink/?linkid=870924
Comment:
    Je ne suis pas sûre
</t>
        </r>
      </text>
    </comment>
    <comment ref="EC569" authorId="27" shapeId="0" xr:uid="{F6E68B72-C645-334A-9EEB-6F9E253DBF80}">
      <text>
        <r>
          <rPr>
            <sz val="12"/>
            <color theme="1"/>
            <rFont val="Calibri"/>
            <family val="2"/>
            <scheme val="minor"/>
          </rPr>
          <t xml:space="preserve">[Threaded comment]
Your version of Excel allows you to read this threaded comment; however, any edits to it will get removed if the file is opened in a newer version of Excel. Learn more: https://go.microsoft.com/fwlink/?linkid=870924
Comment:
    We aggregated spatially explicit (FIA plot-level) data from the LURA model to the 11 FASOMGHG regions, and then incorporated an objective function component that maximizes the present value of producer and consumer surplus over the simulation horizon, incorporating both price endogenous revenue and detailed cost components (including harvest, management, transportation, processing, land transfer, and fixed capital costs in each period). Forest product demand and export demand are based on exogenous demand growth assumptions tied to income growth
</t>
        </r>
      </text>
    </comment>
    <comment ref="Y570" authorId="28" shapeId="0" xr:uid="{43EEE2DF-4D4C-984C-A638-09FAB6ACD08C}">
      <text>
        <r>
          <rPr>
            <sz val="12"/>
            <color theme="1"/>
            <rFont val="Calibri"/>
            <family val="2"/>
            <scheme val="minor"/>
          </rPr>
          <t xml:space="preserve">[Threaded comment]
Your version of Excel allows you to read this threaded comment; however, any edits to it will get removed if the file is opened in a newer version of Excel. Learn more: https://go.microsoft.com/fwlink/?linkid=870924
Comment:
    Change on domestic demand
</t>
        </r>
      </text>
    </comment>
    <comment ref="DV570" authorId="29" shapeId="0" xr:uid="{16DB65F4-3006-6446-BDC0-81A6930EEFDC}">
      <text>
        <r>
          <rPr>
            <sz val="12"/>
            <color theme="1"/>
            <rFont val="Calibri"/>
            <family val="2"/>
            <scheme val="minor"/>
          </rPr>
          <t xml:space="preserve">[Threaded comment]
Your version of Excel allows you to read this threaded comment; however, any edits to it will get removed if the file is opened in a newer version of Excel. Learn more: https://go.microsoft.com/fwlink/?linkid=870924
Comment:
    In supp: On the forestry side, the approach used is adapted from Birdsey (1996), which assumed constant soil carbon values on forests for all except the South, and Smith et al. (2006), which has all carbon in forest soils assumed to be constant over time, with variation across region and forest type.
</t>
        </r>
      </text>
    </comment>
    <comment ref="DW570" authorId="30" shapeId="0" xr:uid="{6D194F2E-3375-E748-ABFD-DCE4D429663B}">
      <text>
        <r>
          <rPr>
            <sz val="12"/>
            <color theme="1"/>
            <rFont val="Calibri"/>
            <family val="2"/>
            <scheme val="minor"/>
          </rPr>
          <t xml:space="preserve">[Threaded comment]
Your version of Excel allows you to read this threaded comment; however, any edits to it will get removed if the file is opened in a newer version of Excel. Learn more: https://go.microsoft.com/fwlink/?linkid=870924
Comment:
    page 4: 
Logging residue supply curves are based on regional supply curve functions estimated using the spatial allocation optimization routine described in Baker et al. (2018).
</t>
        </r>
      </text>
    </comment>
    <comment ref="DX570" authorId="31" shapeId="0" xr:uid="{607D2338-3200-6A40-BB44-68203F1068B2}">
      <text>
        <r>
          <rPr>
            <sz val="12"/>
            <color theme="1"/>
            <rFont val="Calibri"/>
            <family val="2"/>
            <scheme val="minor"/>
          </rPr>
          <t xml:space="preserve">[Threaded comment]
Your version of Excel allows you to read this threaded comment; however, any edits to it will get removed if the file is opened in a newer version of Excel. Learn more: https://go.microsoft.com/fwlink/?linkid=870924
Comment:
    reflecting of hauling forest biomass from plot to final demand point post-harvest.
</t>
        </r>
      </text>
    </comment>
    <comment ref="DY570" authorId="32" shapeId="0" xr:uid="{A0F45041-B503-484D-AB27-30206FA1B256}">
      <text>
        <r>
          <rPr>
            <sz val="12"/>
            <color theme="1"/>
            <rFont val="Calibri"/>
            <family val="2"/>
            <scheme val="minor"/>
          </rPr>
          <t xml:space="preserve">[Threaded comment]
Your version of Excel allows you to read this threaded comment; however, any edits to it will get removed if the file is opened in a newer version of Excel. Learn more: https://go.microsoft.com/fwlink/?linkid=870924
Comment:
    Je ne suis pas sûre
</t>
        </r>
      </text>
    </comment>
    <comment ref="EC570" authorId="33" shapeId="0" xr:uid="{34499F9E-7DDD-8D49-8BE1-FB56EEE8913D}">
      <text>
        <r>
          <rPr>
            <sz val="12"/>
            <color theme="1"/>
            <rFont val="Calibri"/>
            <family val="2"/>
            <scheme val="minor"/>
          </rPr>
          <t xml:space="preserve">[Threaded comment]
Your version of Excel allows you to read this threaded comment; however, any edits to it will get removed if the file is opened in a newer version of Excel. Learn more: https://go.microsoft.com/fwlink/?linkid=870924
Comment:
    We aggregated spatially explicit (FIA plot-level) data from the LURA model to the 11 FASOMGHG regions, and then incorporated an objective function component that maximizes the present value of producer and consumer surplus over the simulation horizon, incorporating both price endogenous revenue and detailed cost components (including harvest, management, transportation, processing, land transfer, and fixed capital costs in each period). Forest product demand and export demand are based on exogenous demand growth assumptions tied to income growth
</t>
        </r>
      </text>
    </comment>
    <comment ref="EB713" authorId="34" shapeId="0" xr:uid="{997ECA5B-C222-BB45-B6FC-3B3B366C43FD}">
      <text>
        <r>
          <rPr>
            <b/>
            <sz val="9"/>
            <color rgb="FF000000"/>
            <rFont val="Tahoma"/>
            <family val="2"/>
          </rPr>
          <t>chaste:</t>
        </r>
        <r>
          <rPr>
            <sz val="9"/>
            <color rgb="FF000000"/>
            <rFont val="Tahoma"/>
            <family val="2"/>
          </rPr>
          <t xml:space="preserve">
</t>
        </r>
        <r>
          <rPr>
            <sz val="9"/>
            <color rgb="FF000000"/>
            <rFont val="Tahoma"/>
            <family val="2"/>
          </rPr>
          <t xml:space="preserve">The scope of this study includes forest growth and cultivation, collection and processing of wood products and by-products, densification (chipping and bundling) and combustion in bioenergy facility to generate electricity.
</t>
        </r>
        <r>
          <rPr>
            <sz val="9"/>
            <color rgb="FF000000"/>
            <rFont val="Tahoma"/>
            <family val="2"/>
          </rPr>
          <t xml:space="preserve">
</t>
        </r>
        <r>
          <rPr>
            <sz val="9"/>
            <color rgb="FF000000"/>
            <rFont val="Tahoma"/>
            <family val="2"/>
          </rPr>
          <t xml:space="preserve">The scope of the study excludes emissions associated with extraction and production of materials for manufacturing trucks, forestry equipment and transportation of fuels, fertilizer and seedling production, which are considered as indirect emissions of this study (Mann and Spath, 1997).
</t>
        </r>
      </text>
    </comment>
    <comment ref="EC713" authorId="35" shapeId="0" xr:uid="{3F3D22F8-4CCA-754A-82A5-1532980C6CB1}">
      <text>
        <r>
          <rPr>
            <b/>
            <sz val="9"/>
            <color rgb="FF000000"/>
            <rFont val="Tahoma"/>
            <family val="2"/>
          </rPr>
          <t>chaste:</t>
        </r>
        <r>
          <rPr>
            <sz val="9"/>
            <color rgb="FF000000"/>
            <rFont val="Tahoma"/>
            <family val="2"/>
          </rPr>
          <t xml:space="preserve">
</t>
        </r>
        <r>
          <rPr>
            <sz val="9"/>
            <color rgb="FF000000"/>
            <rFont val="Tahoma"/>
            <family val="2"/>
          </rPr>
          <t xml:space="preserve">The scope of this study includes forest growth and cultivation, collection and processing of wood products and by-products, densification (chipping and bundling) and combustion in bioenergy facility to generate electricity.
</t>
        </r>
        <r>
          <rPr>
            <sz val="9"/>
            <color rgb="FF000000"/>
            <rFont val="Tahoma"/>
            <family val="2"/>
          </rPr>
          <t xml:space="preserve">
</t>
        </r>
        <r>
          <rPr>
            <sz val="9"/>
            <color rgb="FF000000"/>
            <rFont val="Tahoma"/>
            <family val="2"/>
          </rPr>
          <t xml:space="preserve">The scope of the study excludes emissions associated with extraction and production of materials for manufacturing trucks, forestry equipment and transportation of fuels, fertilizer and seedling production, which are considered as indirect emissions of this study (Mann and Spath, 1997).
</t>
        </r>
      </text>
    </comment>
    <comment ref="DD719" authorId="36" shapeId="0" xr:uid="{F1BE51CB-DF14-7A47-8296-589098C9936C}">
      <text>
        <r>
          <rPr>
            <b/>
            <sz val="9"/>
            <rFont val="Tahoma"/>
            <family val="2"/>
          </rPr>
          <t>chaste:</t>
        </r>
        <r>
          <rPr>
            <sz val="9"/>
            <rFont val="Tahoma"/>
            <family val="2"/>
          </rPr>
          <t xml:space="preserve">
Il y a aussi un scenario "Upstream" dont les données émissions sont disponibles mais pas les données Qwood. Fait-on la somme des autres Qwood? 
</t>
        </r>
      </text>
    </comment>
    <comment ref="DO719" authorId="37" shapeId="0" xr:uid="{B951225B-3E3B-414C-9A71-31F3F2495F47}">
      <text>
        <r>
          <rPr>
            <b/>
            <sz val="9"/>
            <rFont val="Tahoma"/>
            <family val="2"/>
          </rPr>
          <t>chaste:</t>
        </r>
        <r>
          <rPr>
            <sz val="9"/>
            <rFont val="Tahoma"/>
            <family val="2"/>
          </rPr>
          <t xml:space="preserve">
They evaluated reductions in carbon emissions by substituting wood for fossil fuels for energy production = scenario "heavy oil". See page 8 of the document: 
"We evaluated reductions in carbon emissions by substituting wood for fossil fuels for energy production. Assuming the displacement of heavy oil, we calculated the substitution amounts (L) of heavy oil by multiplying the energy use amounts (m3) of logging residues; wood residues from processing, construction, and furniture production; and waste wood after use in building and furniture by the specific gravity in absolute dry condition (t/m3) (see Table S-1) and the calorific value of wood (GJ/t) (Kayo et al., 2011). We then divided that product by the calorific value of heavy oil (GJ/L) (Kayo et al.,2011). We estimated reductions of carbon emissions (tC) from heavy oil consumption by multiplying the displaced amounts (L) of heavy oil by the carbon emission intensity (tC/L) for the combustion of heavy oil (Kayo et al., 2011)."
But this scenario is not well explicited in the document with explicit values so this requires some calculations. I put values for this substitution evaluated in the Onglet "Kayo_2014", lines 23 and 45 extracted from Figure 4 and 5.
</t>
        </r>
      </text>
    </comment>
    <comment ref="M1226" authorId="38" shapeId="0" xr:uid="{BBCAF236-4D94-6341-B79B-D6DD451CEFF9}">
      <text>
        <r>
          <rPr>
            <b/>
            <sz val="9"/>
            <color indexed="81"/>
            <rFont val="Tahoma"/>
            <family val="2"/>
          </rPr>
          <t>chaste:</t>
        </r>
        <r>
          <rPr>
            <sz val="9"/>
            <color indexed="81"/>
            <rFont val="Tahoma"/>
            <family val="2"/>
          </rPr>
          <t xml:space="preserve">
Hart et al. 2021
</t>
        </r>
      </text>
    </comment>
    <comment ref="M1227" authorId="38" shapeId="0" xr:uid="{719EBEDA-408A-C84A-9E8C-530416D02A72}">
      <text>
        <r>
          <rPr>
            <b/>
            <sz val="9"/>
            <color rgb="FF000000"/>
            <rFont val="Tahoma"/>
            <family val="2"/>
          </rPr>
          <t>chaste:</t>
        </r>
        <r>
          <rPr>
            <sz val="9"/>
            <color rgb="FF000000"/>
            <rFont val="Tahoma"/>
            <family val="2"/>
          </rPr>
          <t xml:space="preserve">
</t>
        </r>
        <r>
          <rPr>
            <sz val="9"/>
            <color rgb="FF000000"/>
            <rFont val="Tahoma"/>
            <family val="2"/>
          </rPr>
          <t xml:space="preserve">Hart et al. 2021
</t>
        </r>
      </text>
    </comment>
    <comment ref="M1228" authorId="38" shapeId="0" xr:uid="{4C613D94-861A-6347-9A2E-669B54D9EEDE}">
      <text>
        <r>
          <rPr>
            <b/>
            <sz val="9"/>
            <color indexed="81"/>
            <rFont val="Tahoma"/>
            <family val="2"/>
          </rPr>
          <t>chaste:</t>
        </r>
        <r>
          <rPr>
            <sz val="9"/>
            <color indexed="81"/>
            <rFont val="Tahoma"/>
            <family val="2"/>
          </rPr>
          <t xml:space="preserve">
Hart et al. 2021
</t>
        </r>
      </text>
    </comment>
    <comment ref="M1229" authorId="38" shapeId="0" xr:uid="{F74891BB-053E-4B48-B2E8-52085E3D4752}">
      <text>
        <r>
          <rPr>
            <b/>
            <sz val="9"/>
            <color indexed="81"/>
            <rFont val="Tahoma"/>
            <family val="2"/>
          </rPr>
          <t>chaste:</t>
        </r>
        <r>
          <rPr>
            <sz val="9"/>
            <color indexed="81"/>
            <rFont val="Tahoma"/>
            <family val="2"/>
          </rPr>
          <t xml:space="preserve">
Hart et al. 2021
</t>
        </r>
      </text>
    </comment>
    <comment ref="M1230" authorId="38" shapeId="0" xr:uid="{06145A6D-B521-2542-8478-AB9FDF316FB0}">
      <text>
        <r>
          <rPr>
            <b/>
            <sz val="9"/>
            <color rgb="FF000000"/>
            <rFont val="Tahoma"/>
            <family val="2"/>
          </rPr>
          <t>chaste:</t>
        </r>
        <r>
          <rPr>
            <sz val="9"/>
            <color rgb="FF000000"/>
            <rFont val="Tahoma"/>
            <family val="2"/>
          </rPr>
          <t xml:space="preserve">
</t>
        </r>
        <r>
          <rPr>
            <sz val="9"/>
            <color rgb="FF000000"/>
            <rFont val="Tahoma"/>
            <family val="2"/>
          </rPr>
          <t xml:space="preserve">Hart et al. 2021
</t>
        </r>
      </text>
    </comment>
    <comment ref="M1231" authorId="38" shapeId="0" xr:uid="{69B93A48-6997-D241-8954-94800DCA6FD1}">
      <text>
        <r>
          <rPr>
            <b/>
            <sz val="9"/>
            <color indexed="81"/>
            <rFont val="Tahoma"/>
            <family val="2"/>
          </rPr>
          <t>chaste:</t>
        </r>
        <r>
          <rPr>
            <sz val="9"/>
            <color indexed="81"/>
            <rFont val="Tahoma"/>
            <family val="2"/>
          </rPr>
          <t xml:space="preserve">
Hart et al. 2021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tc={00B60088-0080-489A-8313-00FA007800FE}</author>
  </authors>
  <commentList>
    <comment ref="E2" authorId="0" shapeId="0" xr:uid="{00B60088-0080-489A-8313-00FA007800FE}">
      <text>
        <r>
          <rPr>
            <b/>
            <sz val="9"/>
            <rFont val="Tahoma"/>
            <family val="2"/>
          </rPr>
          <t>vbellassen:</t>
        </r>
        <r>
          <rPr>
            <sz val="9"/>
            <rFont val="Tahoma"/>
            <family val="2"/>
          </rPr>
          <t xml:space="preserve">
400 pour du résineux mais pour du feuillu on est plutôt à 580. Moyenne des deux ?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<sst xmlns="http://schemas.openxmlformats.org/spreadsheetml/2006/main" count="35336" uniqueCount="3427">
  <si>
    <t>Metadata</t>
  </si>
  <si>
    <t>Protocol</t>
  </si>
  <si>
    <t>Drivers</t>
  </si>
  <si>
    <t>Outcomes</t>
  </si>
  <si>
    <t>Model</t>
  </si>
  <si>
    <t>Paper description</t>
  </si>
  <si>
    <t>Extraction</t>
  </si>
  <si>
    <t>Post-extraction</t>
  </si>
  <si>
    <t>Extraction round</t>
  </si>
  <si>
    <t>Driver</t>
  </si>
  <si>
    <t>Change in practices</t>
  </si>
  <si>
    <t>Environmental change</t>
  </si>
  <si>
    <t>QC</t>
  </si>
  <si>
    <t>Carbon_outcome</t>
  </si>
  <si>
    <t>Non_c_outcomes</t>
  </si>
  <si>
    <t>DataCorrection</t>
  </si>
  <si>
    <t>Context definition</t>
  </si>
  <si>
    <t>Processes</t>
  </si>
  <si>
    <t>ProcessesDetails</t>
  </si>
  <si>
    <t>#CAACCB</t>
  </si>
  <si>
    <t>#994F93</t>
  </si>
  <si>
    <t>#77777</t>
  </si>
  <si>
    <t>#90C987</t>
  </si>
  <si>
    <t>#90C988</t>
  </si>
  <si>
    <t>#90C989</t>
  </si>
  <si>
    <t>#90C990</t>
  </si>
  <si>
    <t>#90C991</t>
  </si>
  <si>
    <t>Publication</t>
  </si>
  <si>
    <t>Topic</t>
  </si>
  <si>
    <t>Authors</t>
  </si>
  <si>
    <t>Journal</t>
  </si>
  <si>
    <t>Exclusion</t>
  </si>
  <si>
    <t>Full revision</t>
  </si>
  <si>
    <t>Revision</t>
  </si>
  <si>
    <t>driver description</t>
  </si>
  <si>
    <t>Silviculture</t>
  </si>
  <si>
    <t>Supply chain</t>
  </si>
  <si>
    <t>Technology</t>
  </si>
  <si>
    <t>Demand</t>
  </si>
  <si>
    <t>All</t>
  </si>
  <si>
    <t>AllEnvir</t>
  </si>
  <si>
    <t>MainDriver</t>
  </si>
  <si>
    <t>Wood amount</t>
  </si>
  <si>
    <t>Cumulated C balance</t>
  </si>
  <si>
    <t>Substitution coefficient</t>
  </si>
  <si>
    <t>LCAOutcomes</t>
  </si>
  <si>
    <t>biogeochemicalOutcomes</t>
  </si>
  <si>
    <t>biophysicalOutcomes</t>
  </si>
  <si>
    <t>ecologicalOutcomes</t>
  </si>
  <si>
    <t>economicalOutcomes</t>
  </si>
  <si>
    <t>Location</t>
  </si>
  <si>
    <t>Time period</t>
  </si>
  <si>
    <t>Wood affected by driver change</t>
  </si>
  <si>
    <t>Sector scale</t>
  </si>
  <si>
    <t>SubstitutionShortcut</t>
  </si>
  <si>
    <t>C fluxes</t>
  </si>
  <si>
    <t>Dynamics</t>
  </si>
  <si>
    <t>DriverCheck</t>
  </si>
  <si>
    <t>#D9CCE3</t>
  </si>
  <si>
    <t>#BA8DB4</t>
  </si>
  <si>
    <t>#994F88</t>
  </si>
  <si>
    <t>#882E72</t>
  </si>
  <si>
    <t>#CAE0AB</t>
  </si>
  <si>
    <t>#4EB265</t>
  </si>
  <si>
    <t>Biogenic in-situ C</t>
  </si>
  <si>
    <t>Biogenic ex-situ C</t>
  </si>
  <si>
    <t>Fossil in-situ</t>
  </si>
  <si>
    <t>Fossil ex-situ</t>
  </si>
  <si>
    <t>C dynamics</t>
  </si>
  <si>
    <t>Market-based feedbacks</t>
  </si>
  <si>
    <t>QCv7</t>
  </si>
  <si>
    <t>Source Title</t>
  </si>
  <si>
    <t>Author Keywords</t>
  </si>
  <si>
    <t>Keywords Plus</t>
  </si>
  <si>
    <t>Article_Title</t>
  </si>
  <si>
    <t>Abstract</t>
  </si>
  <si>
    <t>Journal_ISO_Abbreviation</t>
  </si>
  <si>
    <t>Document type</t>
  </si>
  <si>
    <t>Publication_Year</t>
  </si>
  <si>
    <t>Times_cited</t>
  </si>
  <si>
    <t>DOI</t>
  </si>
  <si>
    <t>multipaper_index</t>
  </si>
  <si>
    <t>PaperID</t>
  </si>
  <si>
    <t>Reviewer</t>
  </si>
  <si>
    <t>Reviewer2</t>
  </si>
  <si>
    <t>ReviewerQCv7</t>
  </si>
  <si>
    <t>driver definition</t>
  </si>
  <si>
    <t>name_ref</t>
  </si>
  <si>
    <t>name_alternative</t>
  </si>
  <si>
    <t>area subject to harvest</t>
  </si>
  <si>
    <t>unspecified harvest increase</t>
  </si>
  <si>
    <t>rotation length</t>
  </si>
  <si>
    <t xml:space="preserve">cutting intensity </t>
  </si>
  <si>
    <t>species</t>
  </si>
  <si>
    <t>plantation density</t>
  </si>
  <si>
    <t>fertilisation</t>
  </si>
  <si>
    <t>site fertility</t>
  </si>
  <si>
    <t>harvesting system</t>
  </si>
  <si>
    <t>location of industry</t>
  </si>
  <si>
    <t>supply chain organization</t>
  </si>
  <si>
    <t>recycling</t>
  </si>
  <si>
    <t xml:space="preserve">end of life disposal </t>
  </si>
  <si>
    <t>products lifespan</t>
  </si>
  <si>
    <t>efficiency improvement</t>
  </si>
  <si>
    <t>technologies/design switch</t>
  </si>
  <si>
    <t>CCS</t>
  </si>
  <si>
    <t>Water table</t>
  </si>
  <si>
    <t>Temperature</t>
  </si>
  <si>
    <t>rainfall</t>
  </si>
  <si>
    <t>CO2 fertilization</t>
  </si>
  <si>
    <t>disturbance</t>
  </si>
  <si>
    <t>N deposition</t>
  </si>
  <si>
    <t>Unspecified policy</t>
  </si>
  <si>
    <t>gdp, population</t>
  </si>
  <si>
    <t>Exogenous wood price</t>
  </si>
  <si>
    <t>Exogenous C price</t>
  </si>
  <si>
    <t>exogenous land use change</t>
  </si>
  <si>
    <t>driverCheck</t>
  </si>
  <si>
    <t>PracticesCheck</t>
  </si>
  <si>
    <t>Nsilvicuture</t>
  </si>
  <si>
    <t>Nsupplychain</t>
  </si>
  <si>
    <t>Ntechnology</t>
  </si>
  <si>
    <t>Ndemand</t>
  </si>
  <si>
    <t>Nenvir</t>
  </si>
  <si>
    <t>driver1</t>
  </si>
  <si>
    <t>driver1Cat</t>
  </si>
  <si>
    <t>Qwood_stageInput</t>
  </si>
  <si>
    <t>Qwood_varInput</t>
  </si>
  <si>
    <t>QwoodInPublication</t>
  </si>
  <si>
    <t>Qwood_unitInput</t>
  </si>
  <si>
    <t>Qwood_refInput</t>
  </si>
  <si>
    <t>Qwood_alternativeInput</t>
  </si>
  <si>
    <t>Qwood_ratioInput</t>
  </si>
  <si>
    <t>Qwood_deltaInput</t>
  </si>
  <si>
    <t>Qwood_delta_m3woodInput</t>
  </si>
  <si>
    <t>C_signInput</t>
  </si>
  <si>
    <t>CInPublication</t>
  </si>
  <si>
    <t>C_unitInput</t>
  </si>
  <si>
    <t>C_refInput</t>
  </si>
  <si>
    <t>C_alternativeInput</t>
  </si>
  <si>
    <t>CratioInput</t>
  </si>
  <si>
    <t>CdeltaInput</t>
  </si>
  <si>
    <t>Cdelta_tCO2</t>
  </si>
  <si>
    <t>substitutionInput</t>
  </si>
  <si>
    <t>LCA scores</t>
  </si>
  <si>
    <t>CH4</t>
  </si>
  <si>
    <t>CO</t>
  </si>
  <si>
    <t>N2O</t>
  </si>
  <si>
    <t>Nox</t>
  </si>
  <si>
    <t>Sox</t>
  </si>
  <si>
    <t>VOC</t>
  </si>
  <si>
    <t>Climate</t>
  </si>
  <si>
    <t>albedo</t>
  </si>
  <si>
    <t>water quantity</t>
  </si>
  <si>
    <t>water quality</t>
  </si>
  <si>
    <t>erosion</t>
  </si>
  <si>
    <t>biodiversity</t>
  </si>
  <si>
    <t>price/economic welfare/social cost</t>
  </si>
  <si>
    <t>Ref_check</t>
  </si>
  <si>
    <t>Qwood_ref</t>
  </si>
  <si>
    <t>Qwood_alternative</t>
  </si>
  <si>
    <t>Qwood_delta_m3wood</t>
  </si>
  <si>
    <t>C_ref</t>
  </si>
  <si>
    <t>C_alternative</t>
  </si>
  <si>
    <t>substitution</t>
  </si>
  <si>
    <t>Cratio</t>
  </si>
  <si>
    <t>scale</t>
  </si>
  <si>
    <t>scaleAgg</t>
  </si>
  <si>
    <t>country</t>
  </si>
  <si>
    <t>time_start</t>
  </si>
  <si>
    <t>time_end</t>
  </si>
  <si>
    <t>time_length</t>
  </si>
  <si>
    <t>time_horizon</t>
  </si>
  <si>
    <t>UpstreamInput</t>
  </si>
  <si>
    <t>EnergyInput</t>
  </si>
  <si>
    <t>PulpPaperInput</t>
  </si>
  <si>
    <t>TimberInput</t>
  </si>
  <si>
    <t>economy_sector</t>
  </si>
  <si>
    <t>productsCheck</t>
  </si>
  <si>
    <t>singleProduct</t>
  </si>
  <si>
    <t>Upstream</t>
  </si>
  <si>
    <t>Energy</t>
  </si>
  <si>
    <t>Pulp/Paper</t>
  </si>
  <si>
    <t>Timber</t>
  </si>
  <si>
    <t>self-calculated DF</t>
  </si>
  <si>
    <t>displacement factor used</t>
  </si>
  <si>
    <t>energy DF origin</t>
  </si>
  <si>
    <t>material DF origin</t>
  </si>
  <si>
    <t>overall DF origin</t>
  </si>
  <si>
    <t>substitutionDFCheck</t>
  </si>
  <si>
    <t>substitution_shortcut</t>
  </si>
  <si>
    <t>soilC</t>
  </si>
  <si>
    <t>harv_residues</t>
  </si>
  <si>
    <t>live_biomass_C</t>
  </si>
  <si>
    <t>products_storage_C</t>
  </si>
  <si>
    <t>eol_biogenic</t>
  </si>
  <si>
    <t>off_product_biogenic</t>
  </si>
  <si>
    <t>forestry_emiss</t>
  </si>
  <si>
    <t>manufacturing_emiss</t>
  </si>
  <si>
    <t>maintenance_emiss</t>
  </si>
  <si>
    <t>eol_fossil_emiss</t>
  </si>
  <si>
    <t>biogenic_dyn</t>
  </si>
  <si>
    <t>fossil_dyn</t>
  </si>
  <si>
    <t>LUC_dyn</t>
  </si>
  <si>
    <t>rebound_dyn</t>
  </si>
  <si>
    <t>Publication quality</t>
  </si>
  <si>
    <t>modelApproach</t>
  </si>
  <si>
    <t>ecosystem aproach</t>
  </si>
  <si>
    <t>technology approach</t>
  </si>
  <si>
    <t>Comment</t>
  </si>
  <si>
    <t>Check exclusion</t>
  </si>
  <si>
    <t>Outlier?</t>
  </si>
  <si>
    <t>Check outlier</t>
  </si>
  <si>
    <t>Check_AV</t>
  </si>
  <si>
    <t>CheckSL</t>
  </si>
  <si>
    <t>EUROPEAN JOURNAL OF FOREST RESEARCH</t>
  </si>
  <si>
    <t>Ecosystem model; Emission calculation; Energy wood production; Management; Boreal ecosystem</t>
  </si>
  <si>
    <t>GREENHOUSE-GAS EMISSIONS; NORWAY SPRUCE STANDS; SCOTS PINE; CARBON SEQUESTRATION; CLIMATE-CHANGE; SIMULATION-MODEL; ROTATION LENGTH; BIOMASS ENERGY; FOREST BIOMASS; GROWTH</t>
  </si>
  <si>
    <t>Alam, A; Kilpelainen, A; Kellomaki, S</t>
  </si>
  <si>
    <t>Impacts of initial stand density and thinning regimes on energy wood production and management-related CO2 emissions in boreal ecosystems</t>
  </si>
  <si>
    <t>An ecosystem model (Sima) was utilised to investigate the impact of forest management (by changing both the initial stand density and basal area thinning thresholds from current recommendations) on energy wood production (at energy wood thinning and final felling) and management-related carbon dioxide (CO2) emissions for the energy wood production in Finnish boreal conditions (62A degrees 39' N, 29A degrees 37' E). The simultaneous effects of energy wood, timber and C stocks in the forest ecosystem (live and dead biomass) were also assessed. The analyses were carried out at stand level during a rotation period of 80 years for Scots pine (Pinus sylvestris L.) and Norway spruce (Picea abies L. Karst.) growing in different fertility sites. Generally, the results showed that decreased basal area thinning thresholds, compared with current thinning, reduced energy wood (logging residues) and timber production, as well as carbon stocks in the forest ecosystem. Conversely, increased thinning thresholds increased energy wood production (ca. 1-27%) at both energy wood thinning and final felling and reduced CO2 emissions (ca. 2-6%) related to the production chain (e.g. management operations), depending on the thinning threshold levels, initial stand density, species and site. Increased thinning thresholds also enhanced timber production and carbon stocks in the forest ecosystem. Additionally, increased initial stand density enhanced energy wood production for energy wood thinning for both species, but this reduced energy wood production at final felling for Scots pine and Norway spruce. This study concluded that increases in both initial stand density and thinning thresholds, compared with the current level, could be useful in energy wood, timber and carbon stocks enhancement, as well as reducing management-related CO2 emissions for energy wood production. Only 2.4-3.3% of input of the produced energy (energy wood) was required during the whole production chain, depending on the management regime, species and sites. However, a comprehensive substitution analysis of wood-based energy, in respect to environmental benefits, would also require the inclusion of CO2 emissions related to ecosystem processes (e.g. decomposition).</t>
  </si>
  <si>
    <t>Eur. J. For. Res.</t>
  </si>
  <si>
    <t>10.1007/s10342-011-0539-8</t>
  </si>
  <si>
    <t>included</t>
  </si>
  <si>
    <t>AV</t>
  </si>
  <si>
    <t>v4</t>
  </si>
  <si>
    <t>SL</t>
  </si>
  <si>
    <t>thinning</t>
  </si>
  <si>
    <t>M1</t>
  </si>
  <si>
    <t>Cu</t>
  </si>
  <si>
    <t>HWP</t>
  </si>
  <si>
    <t>energy wood production</t>
  </si>
  <si>
    <t>Mg.ha-1</t>
  </si>
  <si>
    <t>Sequestration positive</t>
  </si>
  <si>
    <t>kgCO2.MWh-1</t>
  </si>
  <si>
    <t>std</t>
  </si>
  <si>
    <t>Finland</t>
  </si>
  <si>
    <t>wood and C estimates do not have the same functional unit (ha or MWh) so no substitution can be calculated</t>
  </si>
  <si>
    <t>M3</t>
  </si>
  <si>
    <t>M4</t>
  </si>
  <si>
    <t>M6</t>
  </si>
  <si>
    <t>initial stand density</t>
  </si>
  <si>
    <t>site</t>
  </si>
  <si>
    <t>Myrtillus</t>
  </si>
  <si>
    <t>Oxalis-Myrtillus</t>
  </si>
  <si>
    <t>Vaccinium</t>
  </si>
  <si>
    <t>scots pine</t>
  </si>
  <si>
    <t>norway spruce</t>
  </si>
  <si>
    <t>ENERGY AND BUILDINGS</t>
  </si>
  <si>
    <t>Life Cycle Assessment; Buildings; Biogenic carbon; Cross laminated timber; Forest transformation</t>
  </si>
  <si>
    <t>TEMPORARY-STORAGE; IMPACT ASSESSMENT; LCA; CONSTRUCTION; ENERGY; CHALLENGES; EMISSIONS; END</t>
  </si>
  <si>
    <t>Andersen, JH; Rasmussen, NL; Ryberg, MW</t>
  </si>
  <si>
    <t>Comparative life cycle assessment of cross laminated timber building and concrete building with special focus on biogenic carbon</t>
  </si>
  <si>
    <t>This study conducted a consequential Life Cycle Assessment (LCA) on two similar mid-rise apartment buildings applying either concrete or cross laminated timber (CLT) as the main structural material. The study further investigated inclusion of biogenic carbon and how this affects environmental impacts related to Global warming. Thus, two assessment scenarios were applied: A Base scenario, without accounting for biogenic carbon and a Biogenic carbon scenario that include a GWPbio factor to account for the use of biogenic carbon. The CLT building had the lowest impact score in 11 of 18 impact categories including Global warming. Operational energy use was the main contributor to the total impact with some variation across impact scores, but closely followed by impacts embodied in materials (incl. End-of-Life). An evaluation of the potential forest transformations required for fulfilling future projections for new building construction in 2060 showed that about 3% of current global forest area would be needed. This share was essentially independent of the selected building material as the main driver for forest transformation was found to be energy use during building operation. Thus, focus should primarily be on reducing deforestation related to energy generation rather than deforestation from production of building materials. (C) 2021 The Author(s). Published by Elsevier B.V.</t>
  </si>
  <si>
    <t>Energy Build.</t>
  </si>
  <si>
    <t>Article</t>
  </si>
  <si>
    <t>10.1016/j.enbuild.2021.111604</t>
  </si>
  <si>
    <t>v5</t>
  </si>
  <si>
    <t>construction material</t>
  </si>
  <si>
    <t>concrete</t>
  </si>
  <si>
    <t>CLT</t>
  </si>
  <si>
    <t>wood quantity in building</t>
  </si>
  <si>
    <t>kg/m2</t>
  </si>
  <si>
    <t>kgCO2eq/m2</t>
  </si>
  <si>
    <t>prd</t>
  </si>
  <si>
    <t>Norway</t>
  </si>
  <si>
    <t>SCIENCE OF THE TOTAL ENVIRONMENT</t>
  </si>
  <si>
    <t>Wood products; Carbon storage; Climate mitigation; Dynamic material flow analysis; Dynamic life cycle assessment; Land-use strategies</t>
  </si>
  <si>
    <t>GAS DISPLACEMENT FACTORS; IMPACT ASSESSMENT; FOREST; BIOENERGY; TREE; ENERGY; SUBSTITUTION; RESTORATION; CHALLENGES; PRODUCTS</t>
  </si>
  <si>
    <t>Aryapratama, R; Pauliuk, S</t>
  </si>
  <si>
    <t>Life cycle carbon emissions of different land conversion and woody biomass utilization scenarios in Indonesia</t>
  </si>
  <si>
    <t>Wood-based products can contribute to climate change mitigation by prolonging the storage of carbon in the anthroposphere. In Indonesia, however, many wood-based products originate from unsustainable sources due to widespread land-use changes over the past decades. To reconcile economic development and climate policy, a detailed and comprehensive carbon life cycle assessment is needed, covering biospheric and technospheric woody carbon flows and emissions over time. In this study, we combine dynamic material flow analysis, stock modeling, and life cycle assessment to estimate life cycle carbon emissions over time of wood products from different land conversion types in Indonesia on a hectare (ha) basis. Wood production from clear-cut primary forest conversions to oil palm, secondary forest, and timber plantations lead to net carbon emissions between 1206-1282, 436-449, and 629-958 t-CO2-eq/ha, respectively, at the end of the 200-year time horizon (TH). The counter-use scenarios of using non-renewable materials or energy instead of wood-based products for the same set of scenarios while leaving primary forests untouched display 44-57, 59-88, and 5-48% lower global warming potentials, respectively, at the end of the TH. Wood products from forest plantations on restored degraded land (DL_FP), reduced-impact logging (RIL), and improved reduced-impact logging (RIL-C) of primary forest went beyond carbon neutrality, displaying carbon removal potentials of up to around -218, -378, and -739 t-CO2-eq/ha, respectively, by year 200. At the one ha-scale, our results indicate that keeping primary forests intact is the climate-preferable option, even when emissions from the counter-use of non-renewable materials or energy are factored in, except if RIL is performed. Therefore, wood product utilization would only be favorable from a climate perspective in DL_FP or RIL pathways. These results help screen different land conversion policy options and providing information about the climate mitigation potential of wood products in different supply chains. (C) 2021 The Authors. Published by Elsevier B.V.</t>
  </si>
  <si>
    <t>Sci. Total Environ.</t>
  </si>
  <si>
    <t>10.1016/j.scitotenv.2021.150226</t>
  </si>
  <si>
    <t>Aryapratama_2022</t>
  </si>
  <si>
    <t>KN</t>
  </si>
  <si>
    <t>PF_SF_M</t>
  </si>
  <si>
    <t>PF_PO_M</t>
  </si>
  <si>
    <t>wood product</t>
  </si>
  <si>
    <t>tC/ha</t>
  </si>
  <si>
    <t>tCO2/ha</t>
  </si>
  <si>
    <t>Indonesia</t>
  </si>
  <si>
    <t>Suter2016 Hoglmeier2017</t>
  </si>
  <si>
    <t>external DF used</t>
  </si>
  <si>
    <t>RIL_C_M</t>
  </si>
  <si>
    <t>RIL_M</t>
  </si>
  <si>
    <t>forest C stock</t>
  </si>
  <si>
    <t>changedVB</t>
  </si>
  <si>
    <t>plantation forest from either degraded land or primary forest</t>
  </si>
  <si>
    <t>DL_FP_M_Ac_7yr</t>
  </si>
  <si>
    <t>PF_FP_M_Ac_7yr</t>
  </si>
  <si>
    <t>changed driver. Since it compares with primary forest it looks at area increase</t>
  </si>
  <si>
    <t>PF_PO_NR_M</t>
  </si>
  <si>
    <t>Suter2016 Hoglmeier2015</t>
  </si>
  <si>
    <t>PF_SF_NR_M</t>
  </si>
  <si>
    <t>VB automated extraction and changed the sign</t>
  </si>
  <si>
    <t>PF_FP_NR_M_Ac_7yr</t>
  </si>
  <si>
    <t>changed from prulpwood to timber because t is a furniture use</t>
  </si>
  <si>
    <t>PF_FP_NR_M_Tgr_60yr</t>
  </si>
  <si>
    <t>PF_FP_M_Tgr_60yr</t>
  </si>
  <si>
    <t>PF_FP_NR_M_Ac_18yr</t>
  </si>
  <si>
    <t>PF_FP_M_Ac_18yr</t>
  </si>
  <si>
    <t>Suter2016 Hoglmeier2016</t>
  </si>
  <si>
    <t>RIL_NR_E</t>
  </si>
  <si>
    <t>RIL_E</t>
  </si>
  <si>
    <t>Dwivedi2019 Meijide2020 Jing 2020</t>
  </si>
  <si>
    <t>RIL_NR_M</t>
  </si>
  <si>
    <t>DL_FP_NR_M_Ac_7yr</t>
  </si>
  <si>
    <t>DL_FP_NR_M_Ac_18yr</t>
  </si>
  <si>
    <t>DL_FP_M_Ac_18yr</t>
  </si>
  <si>
    <t>DL_FP_NR_M_Tgr_60yr</t>
  </si>
  <si>
    <t>DL_FP_M_Tgr_60yr</t>
  </si>
  <si>
    <t>RIL_C_NR_E</t>
  </si>
  <si>
    <t>RIL_C_E</t>
  </si>
  <si>
    <t>RIL_C_NR_M</t>
  </si>
  <si>
    <t>Rotation length</t>
  </si>
  <si>
    <t>PF_FP_M_18y</t>
  </si>
  <si>
    <t>PF_FP_M_7y</t>
  </si>
  <si>
    <t>DL_FP_M_18y</t>
  </si>
  <si>
    <t>DL_FP_M_7y</t>
  </si>
  <si>
    <t>main wood product as materials or energy</t>
  </si>
  <si>
    <t>PF_SF_E</t>
  </si>
  <si>
    <t>Roundwood</t>
  </si>
  <si>
    <t>Harvested wood flow from primary forest and forest/plantation management</t>
  </si>
  <si>
    <t>AppD F1-2</t>
  </si>
  <si>
    <t>see above+requalified as "supply chain organization"</t>
  </si>
  <si>
    <t>changed the Qwood variable extracted to reflect the total harvest, more consistent with the driver recorded since harvest is the same and only the use of wood differs</t>
  </si>
  <si>
    <t>PF_PO_E</t>
  </si>
  <si>
    <t>PF_PO_NR_E</t>
  </si>
  <si>
    <t>PF_SF_NR_E</t>
  </si>
  <si>
    <t>PF_FP_NR_E_Hbr_40yr</t>
  </si>
  <si>
    <t>PF_FP_E_Hbr_40yr</t>
  </si>
  <si>
    <t>DL_FP_NR_E_Hbr_40yr</t>
  </si>
  <si>
    <t>DL_FP_E_Hbr_40yr</t>
  </si>
  <si>
    <t>BUILDING AND ENVIRONMENT</t>
  </si>
  <si>
    <t>Climate change mitigation; Life cycle assessment; Industrial building system (IBS); Laminated veneer lumber (LVL); Glued laminated timber (GLT); Sustainability</t>
  </si>
  <si>
    <t>CYCLE ENERGY-CONSUMPTION; LIFE-CYCLE; ENVIRONMENTAL PERFORMANCE; WOOD PRODUCTS; CONSTRUCTION; TIMBER; IMPACT; COSTS</t>
  </si>
  <si>
    <t>Balasbaneh, AT; Bin Marsono, AK</t>
  </si>
  <si>
    <t>Strategies for reducing greenhouse gas emissions from residential sector by proposing new building structures in hot and humid climatic conditions</t>
  </si>
  <si>
    <t>Malaysian government has advised builders to apply Industrial Building System (IBS) technique in construction due to so many advantages such as productivity, efficiency and cost. This study attempted to reduce greenhouse gas (GHG) emissions from building sector by representing two new building compositions into IBS structures categories. Life cycle assessment (LCA) tool Simapro.8 has been used to identify the environmental performance of buildings from cradle to grave. The full LCA has been run to assess the six different types of prefabricated buildings system, of which four are currently recognized and the other two are designed by current research. The primary result shows that timber prefabricate is the best choice due to having lower emissions toward climate change mitigation of building construction. However, timber houses have rarely been built due to some defects that occurred to its material and structure over time. Rate of applying wood in the construction industry in Malaysia has gone down from about 60% to 7% over the last 40 years. Therefore, this research aims to contribute to the body of knowledge by introducing new composite. First composite is Glued laminated timber (GLT) with steel stud and the second is a combination of laminated veneer lumber (LVL) with steel stud as two new compositions which not only have significantly less global warming potential (GWP) than prefabricated concrete structure or steel framing system, but can be replaced rather than abandoned timber structure. Therefore, new compositions can be suggested to house builders and facilitate the decision making process. (C) 2017 Elsevier Ltd. All rights reserved.</t>
  </si>
  <si>
    <t>Build. Environ.</t>
  </si>
  <si>
    <t>10.1016/j.buildenv.2017.08.025</t>
  </si>
  <si>
    <t>TH</t>
  </si>
  <si>
    <t>Glued laminated instead of Precast 500 yrs</t>
  </si>
  <si>
    <t xml:space="preserve">Precast concrete framing </t>
  </si>
  <si>
    <t xml:space="preserve">Glued laminated timber </t>
  </si>
  <si>
    <t>kg</t>
  </si>
  <si>
    <t>kg CO2 eq</t>
  </si>
  <si>
    <t>cit</t>
  </si>
  <si>
    <t>Malaysia</t>
  </si>
  <si>
    <t>Fix sequestration sign</t>
  </si>
  <si>
    <t>Laminated veneer instead of Precast 500 yrs</t>
  </si>
  <si>
    <t>Laminated veneer lumber</t>
  </si>
  <si>
    <t>Glued laminated instead of Precast 20 yrs</t>
  </si>
  <si>
    <t>Glued laminated instead of Precast 100 yrs</t>
  </si>
  <si>
    <t>Laminated veneer instead of Precast 100 yrs</t>
  </si>
  <si>
    <t>Laminated veneer instead of Precast 20 yrs</t>
  </si>
  <si>
    <t>timber instead of Precast 500 yrs</t>
  </si>
  <si>
    <t xml:space="preserve">timber prefabricated </t>
  </si>
  <si>
    <t>timber instead of Precast 100 yrs</t>
  </si>
  <si>
    <t>timber instead of Precast 20 yrs</t>
  </si>
  <si>
    <t>timber instead of Steel 500 yrs</t>
  </si>
  <si>
    <t xml:space="preserve">Steel frame work system </t>
  </si>
  <si>
    <t>Glued laminated instead of Steel 500 yrs</t>
  </si>
  <si>
    <t>Laminated veneer instead of Steel 500 yrs</t>
  </si>
  <si>
    <t>timber instead of Steel 100 yrs</t>
  </si>
  <si>
    <t>timber instead of Steel 20 yrs</t>
  </si>
  <si>
    <t>Glued laminated instead of Steel 100 yrs</t>
  </si>
  <si>
    <t>Glued laminated instead of Steel 20 yrs</t>
  </si>
  <si>
    <t>Laminated veneer instead of Steel 100 yrs</t>
  </si>
  <si>
    <t>Laminated veneer instead of Steel 20 yrs</t>
  </si>
  <si>
    <t>timber instead of blockwork 500 yrs</t>
  </si>
  <si>
    <t>blockwork system</t>
  </si>
  <si>
    <t>Glued laminated instead of blockwork 500 yrs</t>
  </si>
  <si>
    <t>Laminated veneer instead of blockwork 500 yrs</t>
  </si>
  <si>
    <t>timber instead of blockwork 100 yrs</t>
  </si>
  <si>
    <t>timber instead of blockwork 20 yrs</t>
  </si>
  <si>
    <t>Glued laminated instead of blockwork 100 yrs</t>
  </si>
  <si>
    <t>Laminated veneer instead of blockwork 100 yrs</t>
  </si>
  <si>
    <t>Glued laminated instead of blockwork 20 yrs</t>
  </si>
  <si>
    <t>Laminated veneer instead of blockwork 20 yrs</t>
  </si>
  <si>
    <t>INTERNATIONAL JOURNAL OF LIFE CYCLE ASSESSMENT</t>
  </si>
  <si>
    <t>Building structure; Life cycle assessment; Cross-laminated timber; Composite structure</t>
  </si>
  <si>
    <t>CROSS-LAMINATED TIMBER; LIFE-CYCLE ASSESSMENT; GLOBAL WARMING MITIGATION; RESIDENTIAL CONSTRUCTION; ENERGY EFFICIENCY; GREENHOUSE-GAS; COMPOSITE; LCA; STRATEGIES; DEFECTS</t>
  </si>
  <si>
    <t>Balasbaneh, AT; Sher, W; Yeoh, D</t>
  </si>
  <si>
    <t>Recommending a new building structure to alleviate environmental impact in tropical climates: increasing the use of wood in construction</t>
  </si>
  <si>
    <t>Purpose The construction sector is interested in considering environmental implications as necessary criteria for sustainability. In this regard, wood materials, especially engineering wood, are a promising choice for sustainable buildings. In some countries such as Malaysia, timber is rarely considered in the construction sector despite there being abundant access to wood. This is because of the scarcity of timber structures and the dominance of alternative materials such as steel and concrete. The cross-laminated timber-steel composite introduced in this research benefits both the wood and the steel markets leading to standardization and a more extensive market. At the same time, it contributes to environmentally friendly requirements. The main objective was to investigate timber applications in local construction and make proposals for its promotion. The new specimen described here could potentially enhance the strength of timber beams using steel plates. Four current structural methods have been chosen based on environmental and economic comparisons with a new composite structure. Methods The life cycle assessment (LCA) and life cycle cost (LCC) have been used to compare the performance of four current conventional structures. Results and discussion The results showed that the new proposed structure has lower emissions in all environmental categories, namely, Global Warming Potential (GWP), Human Carcinogenic Toxicity (HCT), Fossil Depletion Potential (FDP), Ozone Layer Depletion (OLD), Terrestrial Acidification (TA) and embodied energy. The results of the LCC are consistent with the environmental issue as the new composite has a lower cost over its entire life span. Conclusions The new structure provides a novel and sustainable alternative for the construction industry.</t>
  </si>
  <si>
    <t>Int. J. Life Cycle Assess.</t>
  </si>
  <si>
    <t>10.1007/s11367-022-02074-5</t>
  </si>
  <si>
    <t>a</t>
  </si>
  <si>
    <t>v6</t>
  </si>
  <si>
    <t>Building technology</t>
  </si>
  <si>
    <t>concrete structure</t>
  </si>
  <si>
    <t>new composite structure with CLT</t>
  </si>
  <si>
    <t>wood materials</t>
  </si>
  <si>
    <t>table 1</t>
  </si>
  <si>
    <t>Emissions positive</t>
  </si>
  <si>
    <t>table3</t>
  </si>
  <si>
    <t>kgCO2eq</t>
  </si>
  <si>
    <t>JOURNAL OF BUILDING ENGINEERING</t>
  </si>
  <si>
    <t>GLT-Concrete composite; Composite floor structures; Lightweight floor; Life cycle assessment; Life cycle cost</t>
  </si>
  <si>
    <t>LIFE-CYCLE ASSESSMENT; BUILDING REFURBISHMENT; MASS TIMBER; WOOD; DESIGN; PERFORMANCE; BEHAVIOR; ENERGY; SHEAR</t>
  </si>
  <si>
    <t>Balasbaneh, AT; Sher, W; Yeoh, D; Koushfar, K</t>
  </si>
  <si>
    <t>LCA &amp; LCC analysis of hybrid glued laminated Timber-Concrete composite floor slab system</t>
  </si>
  <si>
    <t>The increasing request for energy-saving and saving materials and growing concern related to the impacts of materials used on environmental and economical has driven the construction industry toward redesigning critical structural systems and elements. This research proposes solutions for mitigating ecological effects and sustainable built environments. For example, the floor slab is considered the top environmental impact emission after walls compared to other non-load-bearing elements among different building components. Therefore, this research expands the new slab comprising Glued laminated timber (GLT) with concrete as a novel lightweight flooring system. The related methodology includes life cycle assessment (LCA) and life cycle cost (LCC) analysis. Thus, the environmental and economic impacts of three common slab systems were compared to the proposed slab. The evaluation results revealed that GLT-concrete has lower emissions in all environmental categories, namely: Global warming potential (GWP), Eutrophi-cation Potential (EP), human toxicity potential (HTP), fossil depletion potential (FDP), terrestrial Ecotoxicity (TE), and Acidification Potential (AP). Likewise, Embodied energy value showed that GLT-concrete has a lower value by 26%, 9%, and 24% than Lightweight steel slab, Precast reinforced slab, and Cofradal slab. Finally, the result of LCC shows a new GLT-concrete slab despite having a higher construction cost, but by considering the end of life scenario as reuse, it will have a lower total cost. Thus, current research can expand the assessment of environmentally friendly floor structures and step toward sustainable construction.</t>
  </si>
  <si>
    <t>J. Build. Eng.</t>
  </si>
  <si>
    <t>10.1016/j.jobe.2022.104005</t>
  </si>
  <si>
    <t>b</t>
  </si>
  <si>
    <t>lightweight steel composite decking S1</t>
  </si>
  <si>
    <t>new clt-concrete structure</t>
  </si>
  <si>
    <t>glue laminated timber</t>
  </si>
  <si>
    <t>table1</t>
  </si>
  <si>
    <t>fig3/text</t>
  </si>
  <si>
    <t>ENERGIES</t>
  </si>
  <si>
    <t>biochar pellet; forest residues; lifecycle assessment; minimum selling price; environmental impacts</t>
  </si>
  <si>
    <t>ECONOMIC-ANALYSIS; SOIL QUALITY; BIOMASS; ENERGY; CARBON; PERFORMANCE; BIOFUELS; OPTIONS; COSTS</t>
  </si>
  <si>
    <t>Bergman, R; Sahoo, K; Englund, K; Mousavi-Avval, SH</t>
  </si>
  <si>
    <t>Lifecycle Assessment and Techno-Economic Analysis of Biochar Pellet Production from Forest Residues and Field Application</t>
  </si>
  <si>
    <t>Biochar produced from low-value forest biomass can provide substantial benefits to ecosystems and mitigate climate change-induced risks such as forest fires. Forest residues from restoration activities and timber harvest and biochar itself are bulky and thus incur high logistic costs, so are considered major bottlenecks for the commercialization of the biochar industry. The objectives of this study were to assess the environmental footprints and techno-economic feasibility of converting forest residues in Pacific Northwest United States into biochar pellets using portable systems followed by delivery of the final product to end-users for land application (dispersion). Two portable systems (Biochar Solutions Incorporated (BSI) and Air Curtain Burner (ACB)) were considered for biochar production. A cradle-to-grave lifecycle assessment (LCA) and a discounted cash flow analysis method were used to quantify the environmental impacts and minimum selling price (MSP) of biochar. The global warming (GW) impact of biochar production through BSI and ACB was estimated to be 306-444, and 750-1016 kgCO(2)eq/tonne biochar applied to the field, respectively. The MSP of biochar produced through BSI and ACB was 1674-1909 and 528-1051 USD/tonne biochar applied to the field, respectively. Pelletizing of biochar reduced GW impacts during outbound logistics (similar to 8-20%) but increased emissions during pelletizing (similar to 1-9%). Results show the BSI system was a more viable option in terms of GW impact, whereas the ACB system can produce biochar with lower MSP. The results of the study conclude that the production of biochar pellets through the two portable systems and applied to fields can be both an environmentally beneficial and economically viable option.</t>
  </si>
  <si>
    <t>Energies</t>
  </si>
  <si>
    <t>10.3390/en15041559</t>
  </si>
  <si>
    <t>biochar production system</t>
  </si>
  <si>
    <t>BSI Biochar Solutions Incorporated</t>
  </si>
  <si>
    <t xml:space="preserve">ACB Air Curtain Burner </t>
  </si>
  <si>
    <t>feedstock</t>
  </si>
  <si>
    <t>table2</t>
  </si>
  <si>
    <t>kg (oven-dried)</t>
  </si>
  <si>
    <t>fig3</t>
  </si>
  <si>
    <t>kgCO2eq/tonne biochar</t>
  </si>
  <si>
    <t>USA</t>
  </si>
  <si>
    <t>fig4</t>
  </si>
  <si>
    <t>ENERGY POLICY</t>
  </si>
  <si>
    <t>greenhouse gas mitigation; forest land use; building construction; life-cycle perspective</t>
  </si>
  <si>
    <t>ENERGY; BIOMASS</t>
  </si>
  <si>
    <t>Borjesson, P; Gustavsson, L</t>
  </si>
  <si>
    <t>Greenhouse gas balances in building construction: wood versus concrete from life-cycle and forest land-use perspectives</t>
  </si>
  <si>
    <t>In this paper, primary energy use and carbon dioxide (CO2) and methane (CH4) emissions from the construction of a multi-storey building, with either a wood or a concrete frame, were calculated from life-cycle and forest land-use perspectives. The primary energy input (mainly fossil fuels) in the production of building materials was found to be about 60-80% higher when concrete frames were considered instead of wood frames. The net greenhouse gas (GHG) balance for wood materials will depend strongly on how the wood is handled after demolition of the building. The net GHG balance will be slightly positive if all the demolition wood is used to replace fossil fuels, slightly negative if part of the demolition wood is re-used, and clearly positive if all wood is deposited in landfills, due to the production of CH4. However, if the biogas produced is collected and used to replace fossil fuels, the net GHG emissions will be insignificant. If concrete frames are used, the net GHG emissions will be about those when demolition wood from the wood-framed building is deposited in landfills and no biogas is collected. We have considered that the CO2 released from the chemical processes in the production of cement will be re-bound to the concrete by the carbonisation process. Otherwise, the net GHG emission would be more than twice as high when concrete frames are used. If forest biomass is used instead of fossil fuels, the net area of forest land required to supply both raw material and energy for the production of building materials, will be about twice as high when wood frames are used instead of concrete frames. However, the GHG mitigation efficiency, expressed as CO, equivalents per unit area of forest land, will be 2-3 times higher when wood frames are used if excess wood waste and logging residues are used to replace fossil fuels. The excess forest in the: concrete frame alternative is used to replace fossil fuels, but if this forest is used for carbon storage, the mitigation efficiency will be higher for the first forest rotation period (100 yr), but lower for the following rotation periods. Some of the data used in the analyses are uncertain, but an understanding of the complexity in comparing different alternatives for utilising forest for GHG mitigation, and of the fact that the time perspective applied affects the results markedly, is more important for the results than the precise figures in the input data. (C) 2000 Elsevier Science Ltd. All lights reserved.</t>
  </si>
  <si>
    <t>Energy Policy</t>
  </si>
  <si>
    <t>10.1016/S0301-4215(00)00049-5</t>
  </si>
  <si>
    <t>construction type 300yr</t>
  </si>
  <si>
    <t>5b concrete frame</t>
  </si>
  <si>
    <t>4 wood frame,  demolition wood inlandfill no biogas (20% decomposition)</t>
  </si>
  <si>
    <t>carbon storage in building</t>
  </si>
  <si>
    <t>tC</t>
  </si>
  <si>
    <t>tCeq</t>
  </si>
  <si>
    <t>Sweden</t>
  </si>
  <si>
    <t>Extreme values because the accounting spans over 300 years</t>
  </si>
  <si>
    <t>6b concrete frame</t>
  </si>
  <si>
    <t>5a concrete frame</t>
  </si>
  <si>
    <t>3 wood frame,  demolition wood in landfill biogas collected (20% decomposition)</t>
  </si>
  <si>
    <t>6a concrete frame</t>
  </si>
  <si>
    <t>okVB</t>
  </si>
  <si>
    <t>5b concrete frame  (oil)</t>
  </si>
  <si>
    <t>1 wood frame,  demolition wood reused and fore energy (oil)</t>
  </si>
  <si>
    <t>6b concrete frame  (oil)</t>
  </si>
  <si>
    <t>construction type 100yr</t>
  </si>
  <si>
    <t>1 wood frame,  demolition wood reused and for energy (oil)</t>
  </si>
  <si>
    <t>2 wood frame, demolition wood reused and used for energy (oil)</t>
  </si>
  <si>
    <t xml:space="preserve">6b concrete frame crushed gravel </t>
  </si>
  <si>
    <t>building lifespan</t>
  </si>
  <si>
    <t>50 years (demolition wood for landfill, no biogas)</t>
  </si>
  <si>
    <t>100 years</t>
  </si>
  <si>
    <t>50 years (demolition wood for landfill with biogas collection)</t>
  </si>
  <si>
    <t>50 years (demolition wood for energy)</t>
  </si>
  <si>
    <t>50 years (demolition wood for reuse and energy)</t>
  </si>
  <si>
    <t>fate of demolition wood 300yr</t>
  </si>
  <si>
    <t>4 landfill_no_biogas (10% decomposition)</t>
  </si>
  <si>
    <t>1 demolition wood for energy (coal)</t>
  </si>
  <si>
    <t>4 landfill_no_biogas (40% decomposition)</t>
  </si>
  <si>
    <t>1 demolition wood for energy (NG)</t>
  </si>
  <si>
    <t>1 demolition wood for energy (oil)</t>
  </si>
  <si>
    <t>2 demolition wood reused and for energy (coal)</t>
  </si>
  <si>
    <t>2 demolition wood reused and for energy (NG)</t>
  </si>
  <si>
    <t>2 demolition wood reused and for energy (oil)</t>
  </si>
  <si>
    <t>3 demolition wood in landfill biogas collected (10% decomposition)</t>
  </si>
  <si>
    <t>3 demolition wood in landfill biogas collected (40% decomposition)</t>
  </si>
  <si>
    <t>forest use 300yr</t>
  </si>
  <si>
    <t>5a forest used for carbon storag</t>
  </si>
  <si>
    <t>5b forest used for energy (NG)</t>
  </si>
  <si>
    <t>carbon storage in excess forest</t>
  </si>
  <si>
    <t>fix driver to technology shift</t>
  </si>
  <si>
    <t>6a forest used for carbon storag</t>
  </si>
  <si>
    <t>6b forest used for energy (NG)</t>
  </si>
  <si>
    <t>5b forest used for energy (oil)</t>
  </si>
  <si>
    <t>6b forest used for energy (oil)</t>
  </si>
  <si>
    <t>5b forest used for energy (coal)</t>
  </si>
  <si>
    <t>6b forest used for energy (coal)</t>
  </si>
  <si>
    <t>FOREST ECOSYSTEMS</t>
  </si>
  <si>
    <t>Timber growth; Carbon recovery; Silvicultural treatment; Logging cycle; Above-ground biomass</t>
  </si>
  <si>
    <t>REDUCED-IMPACT; EAST KALIMANTAN; SILVICULTURAL TREATMENTS; ABOVEGROUND BIOMASS; GROWTH-RATES; DYNAMICS; EMISSIONS; MODELS; STOCKS; TREES</t>
  </si>
  <si>
    <t>Butarbutar, T; Soedirman, S; Neupane, PR; Kohl, M</t>
  </si>
  <si>
    <t>Carbon recovery following selective logging in tropical rainforests in Kalimantan, Indonesia</t>
  </si>
  <si>
    <t>Background The knowledge gap regarding post-logging carbon recovery by increased growth is becoming more crucial to understand the significant contribution of forest to climate change mitigation. We assessed the ability of tropical forests in Indonesia to recover carbon following conventional logging. We evaluated carbon re-growth of 10,415 trees in permanent sample plots (PSPs) in East Kalimantan. Four different post-harvesting silvicultural treatments including liberation, refining, thinning, and control were applied in the PSPs. We estimated the carbon recovery period using three different scenarios of total carbon losses due to logging. In the first scenario, we used an existing factor of logging damage and increased it for assuming the range of carbon losses due to different logging practices. Results Under the existing conventional logging practice, the concession annually emits 51.18 tC center dot ha(- 1), of which 16.8% are extracted from the forest as raw timber, 38% are logging losses, and 45.2% are emissions due to infrastructure development for logging operation. Increasing the logging damage factor two and three times led to an increase in carbon emission to 70.76 and 90.34 tC center dot ha(- 1), respectively. The recovery time of the aboveground carbon is 26 years in Scenario 1, 36 years in Scenario 2, and 46 years in Scenario 3. We found no significant effect of the silvicultural treatment type on carbon recovery, but significant effect of the sites was observed. Conclusions We found that the time taken to restore the carbon to the level found in undisturbed forests is considerably longer than the current intervention cycles. The time needed to recover biomass and carbon-stock noticeably depends on the intensity of logging interventions, demonstrating the benefits of using improved harvesting e.g., reduced impact logging to reduce emissions. The study found that site variability has a significant effect on the carbon recovery time. Different silvicultural treatments, on the other hand, have no effect on the recovery time. The study suggests that it is not appropriate to establish an intervention cycle based on arbitrary choice; the time between interventions must be based on logging losses and site specific growth potential to ensure sustainable management of forests.</t>
  </si>
  <si>
    <t>For. Ecosyst.</t>
  </si>
  <si>
    <t>10.1186/s40663-019-0195-x</t>
  </si>
  <si>
    <t>silvicultural treatment</t>
  </si>
  <si>
    <t>control</t>
  </si>
  <si>
    <t>liberation</t>
  </si>
  <si>
    <t>total harvested volume</t>
  </si>
  <si>
    <t>m3</t>
  </si>
  <si>
    <t>refinement</t>
  </si>
  <si>
    <t>experimental site</t>
  </si>
  <si>
    <t>Loc.2</t>
  </si>
  <si>
    <t>Loc.4</t>
  </si>
  <si>
    <t>Loc.1</t>
  </si>
  <si>
    <t>Loc.3</t>
  </si>
  <si>
    <t>RESOURCES CONSERVATION AND RECYCLING</t>
  </si>
  <si>
    <t>Circular economy; Life cycle assessment (lca); Biogenic carbon; Climate change; Bio-concrete; Transportation</t>
  </si>
  <si>
    <t>LIFE-CYCLE ASSESSMENT; ENVIRONMENTAL EVALUATION; SUPPLY CHAIN; LCA; CONSTRUCTION; CARBON; STRATEGIES; GERMANY</t>
  </si>
  <si>
    <t>Caldas, LR; Saraiva, AB; Lucena, AFP; Da Gloria, MY; Santos, AS; Toledo, RD</t>
  </si>
  <si>
    <t>Building materials in a circular economy: The case of wood waste as CO2-sink in bio concrete</t>
  </si>
  <si>
    <t>This paper aims to assess greenhouse gases' (GHG) emissions in the life cycle of wood bio-concretes (WBC) production when recycled wood shavings (WS) are used as a circular economy (CE) strategy. Two WBC were evaluated, one with a higher content of WS (WBC-HC) and another with a lower content (WBC-LC). Different WS recycling and transportation scenarios were evaluated. The Life Cycle Assessment (LCA) methodology was used, considering a cradle-to-gate scope, comparing two methods for calculation of GHG emissions: IPCC GWP100 and GWP(bi)(o). The transport analysis was carried out considering the WBC production in 26 Brazilian cities, according to different locations where waste WS are generated. In order to increase the robustness of the study, a sensitivity analysis was performed for: types of WS allocation, the origin of WS (waste x virgin materials), transportation efficiency, and electricity grid matrix. We verified that the waste WS content increase in WBC resulted in climate change mitigation for all cases and scenarios (when the biogenic carbon is considered). However, this benefit can vary according to WS availability and transport efficiency. Therefore, transportation must deserve special attention for the CE evaluation. When the GWP(bi)(o) method is used and CO2 capture during the eucalypt growth is accounted for, the GHG emissions of WBC production can be very low (15 kgCO(2)-eq/m(3)). We conclude that recycling wood waste to use in WBC can be considered a good CO2 sink and a pathway for the low-carbon and circular construction industry.</t>
  </si>
  <si>
    <t>Resour. Conserv. Recycl.</t>
  </si>
  <si>
    <t>10.1016/j.resconrec.2020.105346</t>
  </si>
  <si>
    <t>SC</t>
  </si>
  <si>
    <t>location</t>
  </si>
  <si>
    <t>RR</t>
  </si>
  <si>
    <t>PR</t>
  </si>
  <si>
    <t>wood shavings content</t>
  </si>
  <si>
    <t>kg/m3 of concrete</t>
  </si>
  <si>
    <t>kgCO2-eq/m3 concrete</t>
  </si>
  <si>
    <t>Brazil</t>
  </si>
  <si>
    <t>GWPBIO, WBC-LC</t>
  </si>
  <si>
    <t>GWP100, WBC-LC</t>
  </si>
  <si>
    <t>transport distance</t>
  </si>
  <si>
    <t>worst transportation scenario</t>
  </si>
  <si>
    <t>best transportation scenario</t>
  </si>
  <si>
    <t>low wood shavings content</t>
  </si>
  <si>
    <t>high wood shavings content</t>
  </si>
  <si>
    <t>Life cycle assessment (LCA); Greenhouse gas (GHG) emissions; Forest residues; Wood residues; Biomass; Bioenergy; Remote communities</t>
  </si>
  <si>
    <t>FAST PYROLYSIS; ENERGY; LCA</t>
  </si>
  <si>
    <t>Cambero, C; Alexandre, MH; Sowlati, T</t>
  </si>
  <si>
    <t>Life cycle greenhouse gas analysis of bioenergy generation alternatives using forest and wood residues in remote locations: A case study in British Columbia, Canada</t>
  </si>
  <si>
    <t>Utilization of forest and wood residues as bioenergy feedstock in some remote communities could reduce environmental burdens and increase development opportunities. In a thorough bioenergy project planning, in addition to the economic performance, the potential greenhouse gas (GHG) emissions from investment alternatives should be considered. We present an economic assessment and a life cycle analysis of GHG emissions of alternative bioenergy systems, which include four combustion and gasification technologies with different capacities (0.5 MW, 2 MW and 5 MW), in two remote communities in British Columbia, Canada. In the analysis, all stages from harvesting to energy production are included, and the GHG emissions of the baseline system in each community (the current situation with all the products and services it provides) are used as the reference for comparison. Results of this study show that for small scale alternatives (0.5 MW and 2 MW), cogenerating plants using boiler/steam turbines generate the cheapest electricity, while for larger scale alternatives (5 MW), the most economical plant alternative is a gasification cogeneration system. In the community where all energy needs are currently satisfied using fossil fuels, and all biomass residues (forest and sawmill residues) are currently disposed by burning, net reductions of up to 40,909 t of CO2 equivalent GHG emissions could be achieved with the installation of a 5 MW boiler/steam turbine cogenerating heat and electricity. In the community where the current energy mix is mostly supplied from other renewable sources (i.e. hydro), and where forest residues are disposed by burning and sawmill residues are landfilled, the net GHG emission reductions that can be achieved with a bioenergy system are considerably lower (2535 t of CO2 equivalent emissions with a 5 MW cogenerating gasification system) or null, since the carbon capture of current biomass disposal in landfill outweighs the carbon emission reduction of most bioenergy alternatives. (C) 2015 Elsevier B.V. All rights reserved.</t>
  </si>
  <si>
    <t>10.1016/j.resconrec.2015.10.014</t>
  </si>
  <si>
    <t>technology for energy supply</t>
  </si>
  <si>
    <t>baseline (diesel + fuel oil)</t>
  </si>
  <si>
    <t>ST*</t>
  </si>
  <si>
    <t>biomass demand</t>
  </si>
  <si>
    <t>oven-dry metric tons per year</t>
  </si>
  <si>
    <t>tCO2eq</t>
  </si>
  <si>
    <t>Canada</t>
  </si>
  <si>
    <t>ST</t>
  </si>
  <si>
    <t>ORC</t>
  </si>
  <si>
    <t>Gas</t>
  </si>
  <si>
    <t/>
  </si>
  <si>
    <t>SOUTH AFRICAN JOURNAL OF SCIENCE</t>
  </si>
  <si>
    <t>life-cycle assessment; pine; steel; novel truss materials; green building</t>
  </si>
  <si>
    <t>LIFE-CYCLE; GREENHOUSE-GAS; WOOD PRODUCTS; SUBSTITUTION; CARBON; CONSTRUCTION</t>
  </si>
  <si>
    <t>Crafford, PL; Blumentritt, M; Wessels, CB</t>
  </si>
  <si>
    <t>The potential of South African timber products to reduce the environmental impact of buildings</t>
  </si>
  <si>
    <t>South Africa was the first country in Africa to implement a locally developed green building rating tool and has a growing number of rated green building projects. The method of life-cycle assessment can help to compare and assess the environmental performance of building products. At present, more than 70% of all sawn timber in South Africa is used in buildings, mainly in roof structures. Light gauge steel trusses have recently also been gaining market share. However, to date, no studies have been conducted that quantify and compare the environmental impacts of the different roof truss systems in South Africa. We thus compared several roof truss systems (South African pine, Biligom and light gauge steel) found in low- and medium-income house designs in South Africa using a simplified life-cycle assessment approach. Our results show that the two timber systems had overall the lowest environmental impact. Although the difference between the timber systems was small, light gauge steel had a 40% higher normalised impact over all assessed environmental impact categories. The benefit of biogenic carbon dioxide present in timber proved to play a significant positive role in the global warming potential impact and could even be further reduced if wood were used to generate energy at its end-of-life. This study demonstrates the potential advantage of using local timber products to reduce the environmental impact of the truss and building industry in South Africa. Significance: Timber truss systems showed overall lower environmental impact than light gauge steel trusses, with implications for green building.</t>
  </si>
  <si>
    <t>S. Afr. J. Sci.</t>
  </si>
  <si>
    <t>10.17159/sajs.2017/20160354</t>
  </si>
  <si>
    <t>wood species for roof truss (42m2 house)</t>
  </si>
  <si>
    <t>biligom</t>
  </si>
  <si>
    <t>pine</t>
  </si>
  <si>
    <t>volume of wood used</t>
  </si>
  <si>
    <t>South Africa</t>
  </si>
  <si>
    <t>wood species for roof truss (168m2 house)</t>
  </si>
  <si>
    <t>material of roof truss (42m2)</t>
  </si>
  <si>
    <t>light gauge steel</t>
  </si>
  <si>
    <t>material of roof truss (168m2)</t>
  </si>
  <si>
    <t>ENVIRONMENTAL SCIENCE &amp; TECHNOLOGY</t>
  </si>
  <si>
    <t>INPUT-OUTPUT-ANALYSIS; ENERGY</t>
  </si>
  <si>
    <t>Crawford, RH</t>
  </si>
  <si>
    <t>Greenhouse Gas Emissions Embodied in Reinforced Concrete and Timber Railway Sleepers</t>
  </si>
  <si>
    <t>In Australia, there are currently two main materials used for railway sleepers: timber (river red gum, a species of eucalypt) and reinforced concrete. Within the state of Victoria alone, there are currently seven million railway sleepers that make up the rail network. It is estimated that around two million sleepers, or 29%, are presently required to replace timber sleepers and upgrade the entire network, for which there are significant environmental implications, such as the emission of greenhouse gases. These emissions are mainly as a result of the energy and other resources required or embodied through the sleeper manufacture, including those associated with harvesting timber and mining raw materials for manufacturing cement. Where alternatives are readily available, it is important that the environmental impacts of the various choices are assessed, ensuring that these impacts are minimized. This study aimed to assess the life cycle greenhouse gas emissions associated with timber and reinforced concrete railway sleepers and showed that the life cycle emissions of reinforced concrete sleepers were up to six times less than the emissions associated with timber sleepers. Taking the potential errors associated with this type of assessment into account, there appears to be a significant advantage in using reinforced concrete sleepers, in terms of reducing the life cycle emissions associated with the provision of railway sleepers.</t>
  </si>
  <si>
    <t>Environ. Sci. Technol.</t>
  </si>
  <si>
    <t>10.1021/es8023836</t>
  </si>
  <si>
    <t>service-life of wood sleepers</t>
  </si>
  <si>
    <t>T1 20 years lifespan no fastenings reuse</t>
  </si>
  <si>
    <t>T2 30 years lifespan no fastenings reuse</t>
  </si>
  <si>
    <t>weight per km of track</t>
  </si>
  <si>
    <t>tCO2eq/km</t>
  </si>
  <si>
    <t>Australia</t>
  </si>
  <si>
    <t>T3 20 years, 50% fastenings reuse</t>
  </si>
  <si>
    <t>T4 30 years 50% reuse</t>
  </si>
  <si>
    <t>T5 20 years 96% reuse</t>
  </si>
  <si>
    <t>T6 30 years 96%</t>
  </si>
  <si>
    <t>material for railway sleepers</t>
  </si>
  <si>
    <t>C1 30years lifespan no fastenings reuse</t>
  </si>
  <si>
    <t>table 5</t>
  </si>
  <si>
    <t>C2 50 years lifespan no fastenings reuse</t>
  </si>
  <si>
    <t>consistent with abstract</t>
  </si>
  <si>
    <t>Concrete C1 30years lifespan no fastenings reuse</t>
  </si>
  <si>
    <t>Concrete C2 50 years lifespan no fastenings reuse</t>
  </si>
  <si>
    <t>T4 30 years 50%steel fastenings  reuse</t>
  </si>
  <si>
    <t>JOURNAL OF CLEANER PRODUCTION</t>
  </si>
  <si>
    <t>Buildings; Frame; Structures; Design; Carbon; Mass</t>
  </si>
  <si>
    <t>LIFE-CYCLE; CARBON EMISSIONS; MASS TIMBER; ENERGY USE; STEEL; DESIGN; WOOD</t>
  </si>
  <si>
    <t>D'Amico, B; Pomponi, F; Hart, J</t>
  </si>
  <si>
    <t>Global potential for material substitution in building construction: The case of cross laminated timber</t>
  </si>
  <si>
    <t>The building and construction sector is a large contributor to anthropogenic greenhouse gas emissions and consumes the vastest amount of natural resources. Widely considered a hard-to-decarbonise sector, improvements in buildings and construction are of fundamental importance for national and global targets to combat climate change. At material level, mitigation opportunities exist in terms of efficiency (using less of the same material) and substitution (using a different material). This article investigates the latter, with a global focus on the use of cross laminated timber to replace concrete floors in steel structural systems. This approach, whilst innovative, does not require any technological development nor upskilling of current professional practice, thus making it an immediately viable solution to accelerate decarbonisation. We combine Material Flow Analysis with Life Cycle Assessment across both spatial and temporal dimensions, accounting for different levels of uptake of the proposed hybrid construction in the next 30 years. Results show that greenhouse gas emissions saving potentials range between 20 and 80 Mt CO(2)e (95% confidence interval) with an average around 50 Mt CO(2)e in the case of full uptake of the hybrid construction system by 2050. Our analysis does not account for carbon sequestration potential in timber, which would make the savings much greater. Still, the overall savings represent a 1.5% reduction of the annual greenhouse gas emissions generally attributed to construction, thus making it a non- trivial contribution to progress towards global targets of net-zero carbon buildings. (c) 2020 Elsevier Ltd. All rights reserved.</t>
  </si>
  <si>
    <t>J. Clean Prod.</t>
  </si>
  <si>
    <t>10.1016/j.jclepro.2020.123487</t>
  </si>
  <si>
    <t>material used for floor slabs</t>
  </si>
  <si>
    <t>additional timber need</t>
  </si>
  <si>
    <t>Mt</t>
  </si>
  <si>
    <t>MtCO2eq</t>
  </si>
  <si>
    <t>UK</t>
  </si>
  <si>
    <t>BUILDINGS</t>
  </si>
  <si>
    <t>life cycle assessment; carbon emissions; embodied carbon; operational carbon; cradle-to-cradle; light timber house; light steel house; New Zealand</t>
  </si>
  <si>
    <t>COLD-FORMED STEEL; ASSESSMENT LCA; FRAMEWORK; STRENGTH; BEHAVIOR; DESIGN; SECTOR</t>
  </si>
  <si>
    <t>Dani, AA; Roy, K; Masood, R; Fang, ZY; Lim, JBP</t>
  </si>
  <si>
    <t>A Comparative Study on the Life Cycle Assessment of New Zealand Residential Buildings</t>
  </si>
  <si>
    <t>In New Zealand, housing is typically low density, with light timber framing being the dominant form of construction with more than 90% of the market. From 2020, as a result of the global pandemic, there was a shortage of timber in New Zealand, resulting in increased popularity for light steel framing, the main alternative to timber for housing. At the same time, the New Zealand government is committed to sustainability practises through legislation and frameworks, such as the reduction of whole-of-life carbon emissions for the building industry. New Zealand recently announced reducing its net greenhouse gas emissions by 50% within 2030. Life cycle assessment (LCA) is a technique for assessing the environmental aspects associated with a product over its life cycle. Despite the popularity of LCA in the construction industry of New Zealand, prior research results seem varied. There is no unified NZ context database to perform an LCA for buildings. Therefore, in this paper, a comprehensive study using LCA was conducted to quantify and compare the quantity of carbon emissions from two commonly designed houses in the Auckland region, one built from light timber and the other from light steel, both designed for a lifespan of 90 years. The cradle-to-cradle system boundary was used for the LCA. From the results of this study, it was found that the light steel house had 12.3% more carbon in total (including embodied and operational carbons) when compared to the light timber house, of which the manufacturing of two houses had a difference of 50.4% in terms of carbon emissions. However, when the end-of-life (EOL) analysis was included, it was found that the extra carbon could be offset due to the steel's recyclability, reducing the amount of embodied carbon in the manufacturing process. Therefore, there was no significant difference in carbon emissions between the light steel and the light timber building, with the difference being only 12.3%.</t>
  </si>
  <si>
    <t>BUILDINGS-BASEL</t>
  </si>
  <si>
    <t>10.3390/buildings12010050</t>
  </si>
  <si>
    <t>house construction system</t>
  </si>
  <si>
    <t>house B : light steel</t>
  </si>
  <si>
    <t>house A : light timber</t>
  </si>
  <si>
    <t>wood laterials</t>
  </si>
  <si>
    <t>table5</t>
  </si>
  <si>
    <t>kgCO2/m2/yr (multiply by m2 area to have full budget)</t>
  </si>
  <si>
    <t>New Zealand</t>
  </si>
  <si>
    <t>STRUCTURES</t>
  </si>
  <si>
    <t>Building; Environmental impact; Floors; Life cycle assessment; Rehabilitation</t>
  </si>
  <si>
    <t>REINFORCED-CONCRETE STRUCTURES; COMPOSITE-MATERIALS; OPTIMIZATION; PANELS</t>
  </si>
  <si>
    <t>Demertzi, M; Silvestre, J; Garrido, M; Correia, JR; Durao, V; Proenca, M</t>
  </si>
  <si>
    <t>Life cycle assessment of alternative building floor rehabilitation systems</t>
  </si>
  <si>
    <t>The aim of this study is to quantify and compare the environmental impact from cradle-to-gate of different systems for building floor rehabilitation. The Life Cycle Assessment (LCA) method was used for the evaluation of the potential environmental impact of the production of each floor system in eight categories and a monetisation method was used for the weighting of the results and for their expression into one single indicator. Five functionally equivalent (from a structural standpoint) systems were assessed, including: (i) traditional solutions, such as timber floors and reinforced concrete (RC) slabs; (ii) less conventional solutions, such as beam-and-block and steel-concrete composite slab systems; and (iii) an innovative glass fibre reinforced polymer (GFRP) sandwich panel system. The environmental impacts of these systems are compared in this paper for the first time. It was found out that timber is the most environmentally friendly solution, since it presents the lowest total values in all environmental impact categories (under 1% of the impact of the solution with highest impact in each category, RC or GFRP), except for primary renewable energy consumption, for which the RC solution presents the least consumption. On the other hand, it was found out that: the steel-concrete composite floor is the least environmentally friendly solution in abiotic resource depletion; the RC solution is the least performing option in terms of global warming potential and ozone depletion potential; and the GFRP system presents the worst behaviour in five environmental impact categories - non-renewable energy consumption, photochemical ozone formation potential, acidification potential, eutrophication potential and Eco-costs. However, if the most important inefficiencies identified during the production of the latter floor system are at least partly amended, its impacts would be substantially reduced, particularly regarding the Eco-costs indicator, which considers four environmental categories at once - in that case, the RC solution would become the worst solution and GFRP sandwich panels would have an aggregated result of 80% of the RC. The final part of the paper presents a qualitative assessment of the gate-to-grave performance of the different solutions.</t>
  </si>
  <si>
    <t>Structures</t>
  </si>
  <si>
    <t>10.1016/j.istruc.2020.03.060</t>
  </si>
  <si>
    <t>type of floor</t>
  </si>
  <si>
    <t>Beam-and-block</t>
  </si>
  <si>
    <t>timber</t>
  </si>
  <si>
    <t xml:space="preserve">wood amount </t>
  </si>
  <si>
    <t>Portugal</t>
  </si>
  <si>
    <t>steel-concrete composite</t>
  </si>
  <si>
    <t>GFRP</t>
  </si>
  <si>
    <t>reinforced concrete</t>
  </si>
  <si>
    <t>Reuse; Concrete; Existing Structures; Footbridge; Arch; Structural Design; Life Cycle Assessment; Circular Economy</t>
  </si>
  <si>
    <t>STEEL REUSE; CONSTRUCTION; BARRIERS; COMPONENTS</t>
  </si>
  <si>
    <t>Devenes, J; Brutting, J; Kupfer, C; Bastien-Masse, M; Fivet, C</t>
  </si>
  <si>
    <t>Re:Crete-Reuse of concrete blocks from cast-in-place building to arch footbridge</t>
  </si>
  <si>
    <t>About 9% of anthropogenic greenhouse gas emissions worldwide are due to the production of cement, key constituent of concrete. Concrete also contributes to a large share of demolition waste, usually coming from building structures that are discarded because of functional obsolescence rather than of technical deficiency. Current practice for treating end-of-life concrete is to landfill it or crush it into aggregates used in new concrete mixes. Instead, a little-explored strategy consists in extending the service life of concrete elements by reusing them in new constructions. Following this paradigm, this paper presents a proof-of-concept prototype that reuses blocks cut out of obsolete cast-in-place concrete walls for a new structural application: a 10 m-long post -tensioned segmented arch footbridge. The paper details the design, material sourcing, and construction pro-cesses while highlighting the unusual features of the approach. The structural behavior is verified with a finite element analysis model and validated by load testing. A comparative life cycle assessment shows that the arch construction presents a significantly lower global warming potential then recycled concrete (-71%) or steel (-74%) alternatives and is very competitive to a timber one (+9%). In conclusion, the project proves the feasibility of a new circular economy application for the construction industry, in which new and reliable concrete structures are built with little to no cement inputs.</t>
  </si>
  <si>
    <t>10.1016/j.istruc.2022.07.012</t>
  </si>
  <si>
    <t>bridge construction system</t>
  </si>
  <si>
    <t>reused concrete blocks</t>
  </si>
  <si>
    <t>materials data for LCA</t>
  </si>
  <si>
    <t>Switzerland</t>
  </si>
  <si>
    <t>recycled concrete monolithic arch</t>
  </si>
  <si>
    <t>Lifecycle; Carbon footprint; Wood-based building; Structural system; Massive timber; Beam-and-column; Volume elements</t>
  </si>
  <si>
    <t>GREENHOUSE-GAS EMISSIONS; ENVIRONMENTAL PERFORMANCE; RESIDENTIAL CONSTRUCTION; URBAN INFILL; WOOD; PRODUCTS; BALANCES; CONCRETE; IMPACTS; COSTS</t>
  </si>
  <si>
    <t>Dodoo, A; Gustavsson, L; Sathre, R</t>
  </si>
  <si>
    <t>Lifecycle carbon implications of conventional and low-energy multi-storey timber building systems</t>
  </si>
  <si>
    <t>A consequential-based lifecycle approach is used here to explore the carbon implications of conventional and low-energy versions of three timber multi-storey building systems. The building systems are made of massive wood using cross laminated timber (CLT) elements; beam-and-column using glulam and laminated veneer lumber (LVL) elements; and prefabricated modules using light-frame volume elements. The analysis encompasses the entire resource chains during the lifecycle of the buildings, and tracks the flows of carbon from fossil energy, industrial process reactions, changes in carbon stocks in materials, and potential avoided fossil emissions from substitution of fossil energy by woody residues. The results show that the low-energy version of the CLT building gives the lowest lifecycle carbon emission while the conventional version of the beam-and-column building gives the highest lifecycle emission. Compared to the conventional designs, the low-energy designs reduce the total carbon emissions (excluding from tap water heating and household and facility electricity) by 9%, 8% and 9% for the CLT, beam-and-column and modular systems, respectively, for a 50-year lifespan located in Vaxjo. The relative significance of the construction materials to the fossil carbon emission varies for the different energy-efficiency levels of the buildings, with insulation dominating for the low-energy houses and plasterboard dominating for the conventional houses. (C) 2014 Elsevier B.V. All rights reserved.</t>
  </si>
  <si>
    <t>10.1016/j.enbuild.2014.06.034</t>
  </si>
  <si>
    <t>construction type</t>
  </si>
  <si>
    <t>modular system conventional</t>
  </si>
  <si>
    <t>beam-and-column conventional</t>
  </si>
  <si>
    <t>mass</t>
  </si>
  <si>
    <t>t</t>
  </si>
  <si>
    <t>modular system low-energy</t>
  </si>
  <si>
    <t>beam-and-column low-energy</t>
  </si>
  <si>
    <t>CLT low-energy</t>
  </si>
  <si>
    <t>CLT conventional</t>
  </si>
  <si>
    <t>SUSTAINABILITY</t>
  </si>
  <si>
    <t>mass timber; life cycle assessment; comparative LCA; timber construction</t>
  </si>
  <si>
    <t>LIFE-CYCLE ASSESSMENT</t>
  </si>
  <si>
    <t>Dolezal, F; Dornigg, I; Wurm, M; Figl, H</t>
  </si>
  <si>
    <t>Overview and Main Findings for the Austrian Case Study</t>
  </si>
  <si>
    <t>As part of a project investigating in the potential greenhouse gas mitigation effect of the increased use and production of mass timber worldwide, a comparative study was carried out to show the potential benefit of mass timber use in buildings in central Europe. After designing a mass timber building functionally equivalent to an existing conventional building, cradle to grave life cycle assessments (LCA) were calculated. The reference is an eight-story building with mixed use in Vienna, originally built in reinforced concrete. Global Warming Potential (GWP) is defined as the central parameter of interest. Calculated life cycle phases are A1-A3 (resource to production), A4 and A5 (transport to site and construction, respectively), B4 (replacement in the use phase), and C1-C4 (End of Life), as well as D (benefits and loads beyond the building life). It can be shown that the total mass of the timber building is 47% lower than of the concrete building. Considering life cycle phases A1 to A5, the timber building shows 18% less embodied carbon. Taking the whole building life cycle and the operational energy use (B6) into account, differences in GWP are much lower, as the heating system, though equipped with high efficiency and clean Austrian electricity grid mix, has much higher impact than the other phases.</t>
  </si>
  <si>
    <t>Sustainability</t>
  </si>
  <si>
    <t>10.3390/su13147584</t>
  </si>
  <si>
    <t>Use of timber instead of concrete</t>
  </si>
  <si>
    <t>Concrete</t>
  </si>
  <si>
    <t>Austria</t>
  </si>
  <si>
    <t>CONSTRUCTION AND BUILDING MATERIALS</t>
  </si>
  <si>
    <t>LCA; Private building; High-rise building; Precast concrete; Prefabrication; Carbon emission</t>
  </si>
  <si>
    <t>HONG-KONG; PREFABRICATION</t>
  </si>
  <si>
    <t>Dong, YH; Jaillon, L; Chu, P; Poon, CS</t>
  </si>
  <si>
    <t>Comparing carbon emissions of precast and cast-in-situ construction methods - A case study of high-rise private building</t>
  </si>
  <si>
    <t>Buildings are one of the primary contributors to carbon emissions. Given the small size of construction site and increasing housing demand in Hong Kong, precast concrete has been frequently adopted in not only public residential buildings, but also the private sector. This study compares the carbon emissions of precast and traditional cast-in-situ construction methods based on a case study of a private residential building in Hong Kong. Life cycle assessment (LCA) model is established to consider the system processes from cradle to end of construction. The comparison is conducted based on eight scenarios at four levels, i.e. cubic meter concrete, precast facade, group of facade elements, and an apartment. It is found that the carbon emission of the studied residential apartment is 669 kg carbon dioxide equivalent per one square meter floor area. Precasting can lead to 10% carbon reduction for one cubic meter concrete. Steel formwork for precasting performs better than timber formwork used in cast-in-situ concrete. Adopting more precast concrete can lead to less carbon emission. Based on the research findings, it is highly recommended to adopt precast concrete in building construction. The building industry should consider the carbon reduction as a benefit of implementing precast concrete. (C) 2015 Elsevier Ltd. All rights reserved.</t>
  </si>
  <si>
    <t>Constr. Build. Mater.</t>
  </si>
  <si>
    <t>10.1016/j.conbuildmat.2015.08.145</t>
  </si>
  <si>
    <t>S2-PC</t>
  </si>
  <si>
    <t>S1-IS</t>
  </si>
  <si>
    <t>wood amount needed to form 1m3 concrete</t>
  </si>
  <si>
    <t>kg/m3</t>
  </si>
  <si>
    <t>kgCO2/m3</t>
  </si>
  <si>
    <t>Hong Kong</t>
  </si>
  <si>
    <t>Life cycle assessment; Life cycle greenhouse gas emissions; Life cycle primary energy; RC building; CLT building; Hybrid CLT building</t>
  </si>
  <si>
    <t>ENERGY USE; EMBODIED ENERGY; CLIMATE; CONSTRUCTION; IMPACT; CARBON; WOOD; COMFORT; BALANCE; DESIGN</t>
  </si>
  <si>
    <t>Duan, ZC; Huang, Q; Sun, QM; Zhang, Q</t>
  </si>
  <si>
    <t>Comparative life cycle assessment of a reinforced concrete residential building with equivalent cross laminated timber alternatives in China</t>
  </si>
  <si>
    <t>With the development of mass timber, cross laminated timber (CLT) has gradually become a sustainable alternative to conventional building materials to alleviate the increasing energy consumption and carbon emissions by the building sector. This study aims to explore the life cycle greenhouse gas emissions (LCGHGE) and life cycle primary energy (LCPE) of three high-rise residential buildings in the cold region of China through a life cycle assessment approach. The three buildings are conventional reinforced concrete (RC), CLT and hybrid CLT buildings. The results show that CLT and hybrid CLT buildings produce 15.00% and 10.77% lower LCGHGE, respectively, compared to the RC building within a 50-year service life. A clear difference in greenhouse gas (GHG) emissions and primary energy (PE) in the product and construction stages is visible, with 46.52% and 37.24% of embodied GHG emissions reduced in CLT and hybrid CLT buildings, respectively, compared to the RC building. In the operational stage, RC building has lower PE and GHG emissions to CLT alternatives. The thermal mass effect has led to a 2.25% and 2.12% PE increase for space heating and cooling in CLT and hybrid CLT buildings, respectively, compared to the RC building. For the End-of-Life (EoL) stage, CLT demonstrates great recycling potential and biomass residues. The sensitivity analysis shows that the design of the low U-value of the building envelope and high-efficiency energy systems has a significant relationship with energy reduction during the operational phase of the three buildings, magnifying the impacts of the initial and EoL stages.</t>
  </si>
  <si>
    <t>10.1016/j.jobe.2022.105357</t>
  </si>
  <si>
    <t>construction materials</t>
  </si>
  <si>
    <t>table4</t>
  </si>
  <si>
    <t>fig8</t>
  </si>
  <si>
    <t>China</t>
  </si>
  <si>
    <t xml:space="preserve">Eriksson, E., Gillespie, A. R., Gustavsson, L., Langvall, O., Olsson, M., Sathre, R., &amp; Stendahl, J. </t>
  </si>
  <si>
    <t xml:space="preserve"> Integrated carbon analysis of forest management practices and wood substitution</t>
  </si>
  <si>
    <t xml:space="preserve"> Canadian Journal of Forest Research</t>
  </si>
  <si>
    <t>10.1139/X06-257</t>
  </si>
  <si>
    <t>management system</t>
  </si>
  <si>
    <t>traditional</t>
  </si>
  <si>
    <t>fertilization</t>
  </si>
  <si>
    <t>mean biomass production</t>
  </si>
  <si>
    <t>table6</t>
  </si>
  <si>
    <t>m3/ha/a</t>
  </si>
  <si>
    <t>fig2</t>
  </si>
  <si>
    <t>tC/ha/year</t>
  </si>
  <si>
    <t>change Qwood variable to m3 harvested</t>
  </si>
  <si>
    <t>intensive</t>
  </si>
  <si>
    <t>m3/ha/yr</t>
  </si>
  <si>
    <t>Fix conversion units Qwood</t>
  </si>
  <si>
    <t>LCA; LCIA; mid-rise timber buildings; carbon storage; passive zero carbon housing</t>
  </si>
  <si>
    <t>Felmer, G; Morales-Vera, R; Astroza, R; Gonzalez, I; Puettmann, M; Wishnie, M</t>
  </si>
  <si>
    <t>A Lifecycle Assessment of a Low-Energy Mass-Timber Building and Mainstream Concrete Alternative in Central Chile</t>
  </si>
  <si>
    <t>While high-rise mass-timber construction is booming worldwide as a more sustainable alternative to mainstream cement and steel, in South America, there are still many gaps to overcome regarding sourcing, design, and environmental performance. The aim of this study was to assess the carbon emission footprint of using mass-timber products to build a mid-rise low-energy residential building in central Chile (CCL). The design presented at a solar decathlon contest in Santiago was assessed through lifecycle analysis (LCA) and compared to an equivalent mainstream concrete building. Greenhouse gas emissions, expressed as global warming potential (GWP), from cradle-to-usage over a 50-year life span, were lower for the timber design, with 131 kg CO2 eq/m(2) of floor area (compared to 353 kg CO2 eq/m(2)) and a biogenic carbon storage of 447 tons of CO2 eq/m(2) based on sustainable forestry practices. From cradle-to-construction, the embodied emissions of the mass-timber building were 42% lower (101 kg CO2 eq/m(2)) than those of the equivalent concrete building (167 kg CO2 eq/m(2)). The embodied energy of the mass-timber building was 37% higher than that of its equivalent concrete building and its envelope design helped reduce space-conditioning emissions by as much as 83%, from 187 kg CO2 eq/m(2) as estimated for the equivalent concrete building to 31 kg CO2 eq/m(2) 50-yr. Overall, provided that further efforts are made to address residual energy end-uses and end-of-life waste management options, the use of mass-timber products offers a promising potential in CCL for delivering zero carbon residential multistory buildings.</t>
  </si>
  <si>
    <t>10.3390/su14031249</t>
  </si>
  <si>
    <t>construction system</t>
  </si>
  <si>
    <t>RC design</t>
  </si>
  <si>
    <t>MT design</t>
  </si>
  <si>
    <t>material quantities</t>
  </si>
  <si>
    <t>table A1</t>
  </si>
  <si>
    <t>tCO2eq/building</t>
  </si>
  <si>
    <t>Chile</t>
  </si>
  <si>
    <t>Life cycle assessment (LCA); Building; Biogenic carbon; Dynamic; Prospective</t>
  </si>
  <si>
    <t>LIFE-CYCLE ASSESSMENT; FOREST PRODUCTS; IMPACT; DECOMPOSITION; EMISSIONS; TIME</t>
  </si>
  <si>
    <t>Fouquet, M; Levasseur, A; Margni, M; Lebert, A; Lasvaux, S; Souyri, B; Buhe, C; Woloszyn, M</t>
  </si>
  <si>
    <t>Methodological challenges and developments in LCA of low energy buildings: Application to biogenic carbon and global warming assessment</t>
  </si>
  <si>
    <t>In Europe, low energy buildings become common for new constructions and life cycle assessment (LCA) is increasingly used to assess their environmental performance. The overall objective of this study is to investigate known challenges related to buildings LCA such as biogenic carbon accounting and dynamic and prospective aspects, and to discuss how they affect LCA results for low energy buildings and what developments are still needed. Three single family houses built respectively with timber frame, concrete blocks cavity wall, and cast concrete are used as a case study, focusing on the global warming impact category. When biogenic carbon is addressed, the timber house is the less impacting choice, whether it is landfilled or burned at the end-of-life. The cavity wall house is the second most favourable option, and the cast concrete house is the worst one. In the case of landfilling for the timber house, the biogenic carbon balance is not neutral and worth to be considered. When a dynamic approach and specific prospective scenarios are considered, the ranking between houses stays the same, but the gaps between options vary e.g. the gap between the landfilled timber house and the cast concrete house vary from 40 % to 60 % when optimistic changes in the electricity mix are considered. Dynamic LCA allows for a more consistent analysis of emissions flows and global warming impacts over time. Prospective LCA could provide more relevant LCA results but increases uncertainty and could be used as sensitivity analysis for long life span buildings. (C) 2015 Elsevier Ltd. All rights reserved.</t>
  </si>
  <si>
    <t>10.1016/j.buildenv.2015.03.022</t>
  </si>
  <si>
    <t>Landfilling or incineration</t>
  </si>
  <si>
    <t>Incineration</t>
  </si>
  <si>
    <t>C sequestered in products</t>
  </si>
  <si>
    <t>kgCO2</t>
  </si>
  <si>
    <t>France</t>
  </si>
  <si>
    <t>Timber frame vs cast concrete house</t>
  </si>
  <si>
    <t>Timber frame vs concrete blocks house</t>
  </si>
  <si>
    <t>Italy</t>
  </si>
  <si>
    <t xml:space="preserve">Gustavsson, L., &amp; Sathre, R. </t>
  </si>
  <si>
    <t xml:space="preserve"> Variability in energy and carbon dioxide balances of wood and concrete building materials</t>
  </si>
  <si>
    <t xml:space="preserve"> Building and Environment</t>
  </si>
  <si>
    <t xml:space="preserve">10.1016/j.buildenv.2005.04.008 </t>
  </si>
  <si>
    <t>recovery of logging residue</t>
  </si>
  <si>
    <t>not recovered</t>
  </si>
  <si>
    <t>recovered</t>
  </si>
  <si>
    <t>flow of wood-based materials</t>
  </si>
  <si>
    <t>tonnes oven-dry material</t>
  </si>
  <si>
    <t>Table 4</t>
  </si>
  <si>
    <t>Europe</t>
  </si>
  <si>
    <t>recovery of sawmill residues</t>
  </si>
  <si>
    <t>recovery of construction waste</t>
  </si>
  <si>
    <t>transportation distance</t>
  </si>
  <si>
    <t>short</t>
  </si>
  <si>
    <t>long</t>
  </si>
  <si>
    <t>growth of unharvested forest</t>
  </si>
  <si>
    <t>50% growth</t>
  </si>
  <si>
    <t>0% growth</t>
  </si>
  <si>
    <t>building type</t>
  </si>
  <si>
    <t>concrete-frame</t>
  </si>
  <si>
    <t>wood-frame</t>
  </si>
  <si>
    <t>harvested roundwood</t>
  </si>
  <si>
    <t>tonne</t>
  </si>
  <si>
    <t xml:space="preserve">Gustavsson, L., Pingoud, K., &amp; Sathre, R. </t>
  </si>
  <si>
    <t xml:space="preserve"> Carbon dioxide balance of wood substitution: comparing concrete-and wood-framed buildings</t>
  </si>
  <si>
    <t xml:space="preserve"> Mitigation and adaptation strategies for global change</t>
  </si>
  <si>
    <t xml:space="preserve">10.1007/s11027-006-7207-1 </t>
  </si>
  <si>
    <t>Building type (Vikkii, Coal)SF-untouched</t>
  </si>
  <si>
    <t>table II</t>
  </si>
  <si>
    <t>ton air-dry material</t>
  </si>
  <si>
    <t>table V</t>
  </si>
  <si>
    <t>Building type (Vikkii, Coal) SF-untouched</t>
  </si>
  <si>
    <t>Building type (Vikkii, Coal) SF-bioenergy</t>
  </si>
  <si>
    <t>Building type (Wälluden, Coal) SF-bioenergy</t>
  </si>
  <si>
    <t>Building type (Wälludden, Coal) SF-untouched</t>
  </si>
  <si>
    <t>Assumption of no-growth in reference, unharvest forest so I changed to supply-chain only</t>
  </si>
  <si>
    <t>Fix sequestration sign; anomaly QC_AV</t>
  </si>
  <si>
    <t>two reviewers and different metadata</t>
  </si>
  <si>
    <t>Building type (Wälludden, Coal) SF-bioenergy</t>
  </si>
  <si>
    <t xml:space="preserve">Gustavsson, L., Haus, S., Ortiz, C. A., Sathre, R., &amp; Le Truong, N. </t>
  </si>
  <si>
    <t xml:space="preserve"> Climate effects of bioenergy from forest residues in comparison to fossil energy</t>
  </si>
  <si>
    <t xml:space="preserve"> Applied Energy</t>
  </si>
  <si>
    <t>10.1016/j.apenergy.2014.10.013</t>
  </si>
  <si>
    <t>residue harvest</t>
  </si>
  <si>
    <t>base case fossil system</t>
  </si>
  <si>
    <t>base case biogenic system</t>
  </si>
  <si>
    <t>harvested residue</t>
  </si>
  <si>
    <t>BIOMASS &amp; BIOENERGY</t>
  </si>
  <si>
    <t xml:space="preserve"> Biomass and Bioenergy</t>
  </si>
  <si>
    <t>fig6</t>
  </si>
  <si>
    <t>t/ha</t>
  </si>
  <si>
    <t>fig12</t>
  </si>
  <si>
    <t>fig5</t>
  </si>
  <si>
    <t>fig7</t>
  </si>
  <si>
    <t>LCA; GHG emissions; CO2 emissions; industrial buildings; timber; concrete; steel; portal frame</t>
  </si>
  <si>
    <t>CONSTRUCTION</t>
  </si>
  <si>
    <t>Hegeir, OA; Kvande, T; Stamatopoulos, H; Bohne, RA</t>
  </si>
  <si>
    <t>Comparative Life Cycle Analysis of Timber, Steel and Reinforced Concrete Portal Frames: A Theoretical Study on a Norwegian Industrial Building</t>
  </si>
  <si>
    <t>The construction industry is a big contributor to greenhouse gas emissions, which has a negative environmental impact. Several studies have highlighted the possibility of using timber to reduce the environmental impact of construction. Most of these studies have focused on residential buildings, but little attention has been devoted to industrial buildings. In this paper, an attempt is made to compare the environmental impact of using timber, steel, and reinforced concrete in industrial buildings using life cycle assessment. The system boundary was set to cradle-to-gate with transportation to construction site due to the limitation of data, and only the quantities of the main structural system are considered. Portal frames with variable spans were designed using the three materials to meet similar load carrying capacity. Reinforced concrete was used in the foundation of all frames. The results of the comparative study show that timber has, by a good margin, better environmental impact than reinforced concrete and steel, due to the carbon stored in the wood. The results also show that reinforced concrete and steel alternatives have similar environmental impacts. The findings of this study agree with the findings of other studies on residential buildings.</t>
  </si>
  <si>
    <t>10.3390/buildings12050573</t>
  </si>
  <si>
    <t>portal frame material</t>
  </si>
  <si>
    <t>steel</t>
  </si>
  <si>
    <t>timber quantity</t>
  </si>
  <si>
    <t>m3 ( converted to m3/m2 with Area=25*42 according to table1)</t>
  </si>
  <si>
    <t>Coal</t>
  </si>
  <si>
    <t>Concrete; Cross Laminated Timber; Life cycle greenhouse gas emissions; Life cycle cost; Operational energy; Embodied energy</t>
  </si>
  <si>
    <t>ENERGY ANALYSIS; SUSTAINABLE CONSTRUCTION; THERMAL PERFORMANCE; CARBON FOOTPRINT; CLT PANELS; IMPACT; STEEL; BENEFITS; INDUSTRY; SECTOR</t>
  </si>
  <si>
    <t>Jayalath, A; Navaratnam, S; Ngo, T; Mendis, P; Hewson, N; Aye, L</t>
  </si>
  <si>
    <t>Life cycle performance of Cross Laminated Timber mid-rise residential buildings in Australia</t>
  </si>
  <si>
    <t>Engineering wood products have significant potential as a sustainable alternative for concrete and steel in construction. Cross Laminated Timber (CLT) can add value to conventional timber products due to its high strength-to-weight ratio, simple installation, aesthetic features and environmental benefits. Recent changes in the national construction code permit structural timber buildings with a height of up to 25m, which demonstrates the strong commitment of the construction industry to adopt more sustainable practices. This paper aims to compare life cycle greenhouse gas emissions (LCGHGE) and life cycle cost (LCC) of CLT and reinforced concrete (RC) in identical midrise residential buildings in three most populated cities in Australia. It has shown that the CLT building has 30 % less LCGHGE compared with the RC building over a life span of 50 years in Melbourne, and 34% and 29% reduction in LCGHCE in Sydney and Brisbane, respectively. The results from LCC analysis showed that CLT building is 1.3% lower than conventional RC in Melbourne, and 0.9% lower in Sydney and Brisbane. The initial and end of life phases reflected reductions in LCGHGE and LCC for the CLT building whilst the operation phase incurred higher values. The extended service life of buildings has a major impact on the operational phase while changes in the discount rate have strong effects on the lifecycle operational and maintenance costs. Overall the CLT building outperformed the RC building in terms of LCGHGE and LCC across three cities. However, further savings in the operational phase with energy efficient methodologies and reuse or recycling of timber products at the end of life of the building can reinforce CLT as a sustainable alternative to RC construction. (c) 2020 Elsevier B.V. All rights reserved.</t>
  </si>
  <si>
    <t>10.1016/j.enbuild.2020.110091</t>
  </si>
  <si>
    <t>city for building installation</t>
  </si>
  <si>
    <t>Brisbane</t>
  </si>
  <si>
    <t>Sydney</t>
  </si>
  <si>
    <t>Materials (clt+</t>
  </si>
  <si>
    <t>CLT instead of concrete</t>
  </si>
  <si>
    <t>RC</t>
  </si>
  <si>
    <t>Table 2</t>
  </si>
  <si>
    <t>t Co2eq</t>
  </si>
  <si>
    <t>Table 3</t>
  </si>
  <si>
    <t>ENERGY</t>
  </si>
  <si>
    <t>Combined heat and power plant; District heating; Energy analysis; Global warming; Life-cycle analysis; Material flow analysis</t>
  </si>
  <si>
    <t>LIFE-CYCLE ASSESSMENT; WASTE INCINERATION; GREENHOUSE GASES; CENTRAL NORWAY; EMISSIONS; SYSTEMS; CITY</t>
  </si>
  <si>
    <t>Karlsson, J; Brunzell, L; Venkatesh, G</t>
  </si>
  <si>
    <t>Material-flow analysis, energy analysis, and partial environmental-LCA of a district-heating combined heat and power plant in Sweden</t>
  </si>
  <si>
    <t>Combined heat and power (CHP) plants are a great improvement over waste-to-energy incineration plants supplying only heat, and power plants supplying only electricity. The primary purpose of a functioning CHP plant however, may be to provide district heating services, and thereby its main output will be heat energy. This paper is a case study commissioned by Karlskoga Energi och Miljo AB (KEMAB in short; Karlskoga Energy and Environment) in the Varmland State of south-central Sweden, and focuses on the functioning of the CHP plant owned and operated by the company. The life-cycles of the fuels used by the CHP - household/industrial waste, bio-oil, light fuel oil, wood waste, wood chips, a slaughterhouse-waste-derived product and peat to generate 202,222 MWh of heat, 119,234 MWh of steam and 28,220 MWh of electricity have been studied, and the carbon footprint calculated for year-2016. Using two sets of emissions factors for the combustion stage of the life-cycle, as part of a data uncertainty analysis, the total emissions were 44,000 tonnes carbon dioxide equivalents (CO2-eq) and 58,000 tonnes CO2-eq respectively. A quasi-realistic scenario analysis in which plastics are not available for incineration and have to be substituted with alternatives has also been carried out, and while wood waste has been suggested as the best alternative with regard to greenhouse gas (GHG) emissions, availability permitting, a combination of alternatives has been mooted as the practical option. (C) 2017 Elsevier Ltd. All rights reserved.</t>
  </si>
  <si>
    <t>10.1016/j.energy.2017.11.159</t>
  </si>
  <si>
    <t>Types of fuel in CHP</t>
  </si>
  <si>
    <t>Plastics</t>
  </si>
  <si>
    <t>Wood wastes</t>
  </si>
  <si>
    <t>Wood waste</t>
  </si>
  <si>
    <t>tCO2</t>
  </si>
  <si>
    <t>Wood chips</t>
  </si>
  <si>
    <t xml:space="preserve">Kilpeläinen, A., Kellomäki, S., &amp; Strandman, H. </t>
  </si>
  <si>
    <t xml:space="preserve"> Net atmospheric impacts of forest bioenergy production and utilization in F innish boreal conditions</t>
  </si>
  <si>
    <t xml:space="preserve"> GCB Bioenergy</t>
  </si>
  <si>
    <t>10.1111/j.1757-1707.2012.01161.x</t>
  </si>
  <si>
    <t>management regime</t>
  </si>
  <si>
    <t>timber production</t>
  </si>
  <si>
    <t>bioenergy production</t>
  </si>
  <si>
    <t>bioenergy produced</t>
  </si>
  <si>
    <t>m3/an</t>
  </si>
  <si>
    <t>gCO2/m2</t>
  </si>
  <si>
    <t>CO2 is given per square meter, production of energy is given in total. Cannot find the area</t>
  </si>
  <si>
    <t xml:space="preserve">Knight, L., Huff, M., Stockhausen, J. I., &amp; Ross, R. J. </t>
  </si>
  <si>
    <t xml:space="preserve"> Comparing energy use and environmental emissions of reinforced wood doors and steel doors</t>
  </si>
  <si>
    <t xml:space="preserve"> Forest products journal</t>
  </si>
  <si>
    <t>Knight_2005_NO_DOI</t>
  </si>
  <si>
    <t>door type</t>
  </si>
  <si>
    <t>steel door</t>
  </si>
  <si>
    <t>wood door</t>
  </si>
  <si>
    <t>wood weight</t>
  </si>
  <si>
    <t>pounds</t>
  </si>
  <si>
    <t>kgCO2-eq</t>
  </si>
  <si>
    <t>ENVIRONMENTAL RESEARCH LETTERS</t>
  </si>
  <si>
    <t>cross-laminated timber; life cycle assessment; dynamic; carbon analysis; greenhouse gas emissions; energy consumption</t>
  </si>
  <si>
    <t>GREENHOUSE-GAS EMISSIONS; SOFTWOOD LUMBER; FUEL CHARACTERISTICS; INLAND NORTHWEST; FOREST RESIDUES; CO2 EMISSIONS; BULK-DENSITY; PINE; BIOMASS; PYROLYSIS</t>
  </si>
  <si>
    <t>Lan, K; Kelley, SS; Nepal, P; Yao, Y</t>
  </si>
  <si>
    <t>Dynamic life cycle carbon and energy analysis for cross-laminated timber in the Southeastern United States</t>
  </si>
  <si>
    <t>Life cycle assessment (LCA) has been used to understand the carbon and energy implications of manufacturing and using cross-laminated timber (CLT), an emerging and sustainable alternative to concrete and steel. However, previous LCAs of CLT are static analyses without considering the complex interactions between the CLT manufacturing and forest systems, which are dynamic and largely affected by the variations in forest management, CLT manufacturing, and end-of-life options. This study fills this gap by developing a dynamic life-cycle modeling framework for a cradle-to-grave CLT manufacturing system across 100 years in the Southeastern United States. The framework integrates process-based simulations of CLT manufacturing and forest growth as well as Monte Carlo simulation to address uncertainty. On a 1-ha forest land basis, the net greenhouse gas (GHG) emissions range from -954 to -1445 metric tonne CO2 eq. for a high forest productivity scenario compared to -609 to -919 metric tonne CO2 eq. for a low forest productivity scenario. All scenarios showed significant GHG emissions from forest residues decay, demonstrating the strong needs to consider forest management and their dynamic impacts in LCAs of CLT or other durable wood products (DWP). The results show that using mill residues for energy recovery has lower fossil-based GHG (59%-61% reduction) than selling residues for producing DWP, but increases the net GHG emissions due to the instantaneous release of biogenic carbon in residues. In addition, the results were converted to a 1 m(3) basis with a cradle-to-gate system boundary to be compared with literature. The results, 113-375 kg CO2 eq. m(-3) across all scenarios for fossil-based GHG emissions, were consistent with previous studies. Those findings highlight the needs of system-level management to maximize the potential benefits of CLT. This work is an attributional LCA, but the presented results lay a foundation for future consequential LCAs for specific CLT buildings or commercial forest management systems.</t>
  </si>
  <si>
    <t>Environ. Res. Lett.</t>
  </si>
  <si>
    <t>10.1088/1748-9326/abc5e6</t>
  </si>
  <si>
    <t>eol recycling rate</t>
  </si>
  <si>
    <t>scenario 1 (Fig. 4)</t>
  </si>
  <si>
    <t>scenario 2 (Fig. 4)</t>
  </si>
  <si>
    <t>ton CO2-eq ha-1</t>
  </si>
  <si>
    <t>Fixed calculation of Cdelta</t>
  </si>
  <si>
    <t>scenario 3 (Fig. 4)</t>
  </si>
  <si>
    <t>scenario 4 (Fig. 4)</t>
  </si>
  <si>
    <t>scenario 5 (Fig. 4)</t>
  </si>
  <si>
    <t>scenario 6 (Fig. 4)</t>
  </si>
  <si>
    <t>scenario 7 (Fig. 4)</t>
  </si>
  <si>
    <t>scenario 8 (Fig. 4)</t>
  </si>
  <si>
    <t>aboveground biomass</t>
  </si>
  <si>
    <t>wet metric tonnes ha-1</t>
  </si>
  <si>
    <t>Energy recovery from residues</t>
  </si>
  <si>
    <t>mill residues sold to market and energy from gas scenario 7(Fig. 4)</t>
  </si>
  <si>
    <t>Mill residues recovery for energy scenario 5 (Fig. 4)</t>
  </si>
  <si>
    <t>mill residues sold to market and energy from gas scenario 8 (Fig. 4)</t>
  </si>
  <si>
    <t>Mill residues recovery for energy scenario 6 (Fig. 4)</t>
  </si>
  <si>
    <t>mill residues sold to market and energy from gas scenario 3 (Fig. 4)</t>
  </si>
  <si>
    <t xml:space="preserve">Mill residues recovery for energy  scenario 1 (Fig. 4) </t>
  </si>
  <si>
    <t>mill residues sold to market and energy from gas scenario 4 (Fig. 4)</t>
  </si>
  <si>
    <t>Mill residues recovery for energy scenario 2 (Fig. 4)</t>
  </si>
  <si>
    <t>JOURNAL OF INDUSTRIAL ECOLOGY</t>
  </si>
  <si>
    <t>Lausselet,C;Forero Urrego, JP;Resch, E;Brattebo,H</t>
  </si>
  <si>
    <t>Temporal analysis of the material flows and embodied greenhouse gas emissions of a neighborhood building stock</t>
  </si>
  <si>
    <t>Art</t>
  </si>
  <si>
    <t>10.1111/jiec.13049</t>
  </si>
  <si>
    <t>Building surface</t>
  </si>
  <si>
    <t>S1-30m2/cap</t>
  </si>
  <si>
    <t>Baseline (Table 2)</t>
  </si>
  <si>
    <t>1.333</t>
  </si>
  <si>
    <t>fig4d&amp;fig5</t>
  </si>
  <si>
    <t>ktonCO2</t>
  </si>
  <si>
    <t>Improving production efficiency</t>
  </si>
  <si>
    <t>S5-Ecoinvent 40%</t>
  </si>
  <si>
    <t>S6-EPD</t>
  </si>
  <si>
    <t>Temporal analysis of thematerial flows and embodied greenhouse gas emissions of a neighborhood building stock</t>
  </si>
  <si>
    <t>Change in lifetime</t>
  </si>
  <si>
    <t>S2-Ren40</t>
  </si>
  <si>
    <t>S4-Con100</t>
  </si>
  <si>
    <t>S3-Ren20</t>
  </si>
  <si>
    <t>Circular economy; Sustainability; Reliability; Cross laminated timber; Reinforced concrete</t>
  </si>
  <si>
    <t>UNCERTAINTY ANALYSIS; INDICATORS</t>
  </si>
  <si>
    <t>Lei, HR; Yang, W; Wang, WG; Li, CQ</t>
  </si>
  <si>
    <t>A new method for probabilistic circular economy assessment of buildings</t>
  </si>
  <si>
    <t>Circular economy (CE) is increasingly applied to support circular and sustainable development of buildings and infrastructures. To effectively monitor the implementation of CE, a unified assessment procedure is in urgent need. This paper aims to develop an overall CE index for probabilistic CE assessment of building materials. Models for material circularity and sustain -ability are established. The proposed overall CE index is demonstrated in a case study of two buildings made of cross laminated timber (CLT) and reinforced concrete (RC), considering mul-tiple uncertain variables in different end-of-life scenarios. It is found in this paper that the circularity and sustainability indexes can facilitate the standardization of CE assessments and align them with existing limit state design codes for structural safety, e.g., Eurocodes. Results of the case study suggest that the CLT building has significant lower probability of unsatisfactory CE performance over RC building in terms of material circularity indicator, embodied energy and carbon emission. The paper concludes that the overall CE index can integrate reliability methods with CE assessment effectively.</t>
  </si>
  <si>
    <t>10.1016/j.jobe.2022.104875</t>
  </si>
  <si>
    <t>quantities of timber</t>
  </si>
  <si>
    <t>m3 (converted to /m2 with area=1248m2)</t>
  </si>
  <si>
    <t>Timber; CLT; High rise building; Embodied energy; Embodied carbon</t>
  </si>
  <si>
    <t>LIFE-CYCLE ASSESSMENT; ENERGY; DESIGN; CARBON; LCA</t>
  </si>
  <si>
    <t>Li, JH; Rismanchi, B; Ngo, T</t>
  </si>
  <si>
    <t>Feasibility study to estimate the environmental benefits of utilising timber to construct high-rise buildings in Australia</t>
  </si>
  <si>
    <t>Reinforced concrete has played a significant role in the construction industry and is one of the most popular construction materials. However, different studies suggest that reinforced concrete is not environmentally friendly with a significant adverse environmental impact during its production, usage and end of life. Therefore, a more sustainable material that could perform as well as reinforced concrete can overcome this limitation. During the past decade, a number of studies on timber construction have shown the potential to replace concrete with timber in parts of a building without compromising the resilience of the structure. Most of them focused on greenhouse gas emissions rather than embodied energy and structural requirements. Therefore, this research has focused on the feasibility of timber and its potential benefits as a construction material in parts of a high-rise building located in Australia. The potential benefits and limitations of utilising timber to construct a high-rise building in Australia were investigated. For this purpose, a hypothetical 43-storey building is considered, to make it comparable with the existing studies in the literature; the baseline model is designed according to the study by Kuilen et al. (2011). Three scenarios were considered with different proportion of timber. Parametric studies were subsequently conducted on the effects of materials, size and shape of the structural elements on the performance of the building. It was found that in the selected site, using timber to construct internal parts of high-rise buildings would provide the best solution in terms of structural and environmental benefits.</t>
  </si>
  <si>
    <t>10.1016/j.buildenv.2018.09.052</t>
  </si>
  <si>
    <t>Building construction design</t>
  </si>
  <si>
    <t>Scenario 1 Concrete (Table 15)</t>
  </si>
  <si>
    <t>Scenario 3 CLT (Table 15)</t>
  </si>
  <si>
    <t>wood consumption by weight</t>
  </si>
  <si>
    <t>Scenario 1 concrete (Table 15)</t>
  </si>
  <si>
    <t>Scenario 2 partial CLT (Table 15)</t>
  </si>
  <si>
    <t xml:space="preserve">Lippke, B., Wilson, J., Perez-Garcia, J., Bowyer, J., &amp; Meil, J. </t>
  </si>
  <si>
    <t xml:space="preserve"> CORRIM: Life-cycle environmental performance of renewable building materials</t>
  </si>
  <si>
    <t xml:space="preserve"> Forest Products Journal</t>
  </si>
  <si>
    <t>Lippke_2004_NO_DOI</t>
  </si>
  <si>
    <t>steel frame</t>
  </si>
  <si>
    <t>wood frame</t>
  </si>
  <si>
    <t>wood fiber quantity in building</t>
  </si>
  <si>
    <t>Minneapolis house</t>
  </si>
  <si>
    <t>construction</t>
  </si>
  <si>
    <t>CANADIAN JOURNAL OF FOREST RESEARCH</t>
  </si>
  <si>
    <t>carbon sequestration; climate change; bioenergy; nitrogen balance; whole-tree harvesting</t>
  </si>
  <si>
    <t>ORGANIC-MATTER DYNAMICS; SOIL CARBON; LOGGING RESIDUE; SCOTS PINE; FOREST ECOSYSTEMS; THINNING REGIMES; GROWTH; NITROGEN; MODEL; BOREAL</t>
  </si>
  <si>
    <t>Makipaa, R; Linkosalo, T; Komarov, A; Makela, A</t>
  </si>
  <si>
    <t>Mitigation of climate change with biomass harvesting in Norway spruce stands: are harvesting practices carbon neutral?</t>
  </si>
  <si>
    <t>Biomass combustion is considered to be carbon neutral, but intensive biomass harvesting may negatively impact carbon stocks in forest soil and vegetation, which can offset the benefits of substituting fossil fuels with biomass. Here we evaluated conventional stem-only harvesting, whole-tree harvesting (WTH), and WTH excluding needles in terms of timber yield, biomass harvests, and forest carbon sequestration. We simulated harvest scenarios in current and changed climates with a process-based growth model (PipeQual) that was integrated with models describing soil decomposition (ROMUL) and soil water dynamics. Furthermore, we compared gains and losses of forest carbon with reductions in fossil-fuel emissions that result from using harvested biomass for energy production. WTH negatively affected stand growth, biomass, and soil carbon stock; negative effects on growth and biomass can be reduced by leaving nitrogen-rich needles behind during WTH. In a changed climate, organic-matter decomposition and nitrogen mineralization accelerated and tree growth was enhanced, increasing the carbon stock of trees and slightly decreasing the soil carbon stock. In the changed climate, WTH had less influence on forest growth and a similar influence on soil carbon sequestration than in the current climate. In the current climate, the WTH decreased the forest carbon stock by, on average, 26.8 Mg C.ha(-1) over the rotation period. If harvested forest residues are used for energy production instead of fossil fuels, emissions decline by 19 Mg C.ha(-1) (when WTH is applied over a rotation period). Thus, our analysis suggests that using forest residues for energy production leads to a net increase in carbon emissions.</t>
  </si>
  <si>
    <t>Can. J. For. Res.</t>
  </si>
  <si>
    <t>10.1139/cjfr-2014-0120</t>
  </si>
  <si>
    <t>total tree harvest</t>
  </si>
  <si>
    <t>Stem only harvest (SOH) current climate</t>
  </si>
  <si>
    <t>WTH (WTH) currentc climate</t>
  </si>
  <si>
    <t>Wood harvest=stem wood + energy wood</t>
  </si>
  <si>
    <t>MgC</t>
  </si>
  <si>
    <t>IPCC 2006a</t>
  </si>
  <si>
    <t>Climate Change</t>
  </si>
  <si>
    <t>WTH climate change (A1B scenario)</t>
  </si>
  <si>
    <t>WTH current climate</t>
  </si>
  <si>
    <t>SOH current climate</t>
  </si>
  <si>
    <t>SOH climate change (A1B scenario)</t>
  </si>
  <si>
    <t>Life cycle assessment; Embodied carbon; Timber; Steel; Bio-based; Glulam</t>
  </si>
  <si>
    <t>LIFE-CYCLE ASSESSMENT; CLIMATE IMPACT ASSESSMENT; BIO-BASED MATERIALS; CONSTRUCTION MATERIALS; TEMPORARY-STORAGE; BIOGENIC CARBON; PRODUCTS; SYSTEM; ALTERNATIVES; FOOTPRINT</t>
  </si>
  <si>
    <t>Morris, F; Allen, S; Hawkins, W</t>
  </si>
  <si>
    <t>On the embodied carbon of structural timber versus steel, and the influence of LCA methodology</t>
  </si>
  <si>
    <t>Reducing greenhouse gas emissions in the built environment is key to mitigating climate change. This paper uses Life Cycle Assessment (LCA) to explore whether glue-laminated timber (glulam) has a significantly lower wholelife embodied carbon (Global Warming Potential; GWP) than functionally-equivalent structural steel. Alongside a baseline assessment that follows standard practice, a variety of further sensitivity analyses establish how differing assumptions affect results. Assessment found that the GWPs were highly dependent on: (1) the assumed end-of-life scenarios; (2) the approach used to consider biogenic CO2, and; (3) whether the timing of emissions was considered. In general, glulam had the lowest GWP when incinerated (with energy recovery) at end-of-life. However, when recycling is modelled according to current standards, glulam GWPs were in amongst those of steel, giving no clear ranking of materials. Landfilled glulam had a lower GWP than steel if some biogenic carbon was assumed to be permanently stored. That may be appropriate given recent guidance from the Intergovernmental Panel on Climate Change, but is not allowed in the updated standards for LCA of construction products (e. g. EN 15804:2019). Six additional impact categories were also assessed to give a broader environmental comparison. The relative impact of the two materials depended on the impact category assessed, with glulam generally having a similar or lower impact than steel. Given the findings of this paper, further research on end-oflife treatment and LCA methodology is critical to ensure that strategies aiming to reduce GWP by material selection are effective in practice.</t>
  </si>
  <si>
    <t>10.1016/j.buildenv.2021.108285</t>
  </si>
  <si>
    <t>end-of life disposal</t>
  </si>
  <si>
    <t>landfilling</t>
  </si>
  <si>
    <t>incineration</t>
  </si>
  <si>
    <t>beam weight</t>
  </si>
  <si>
    <t>kgCOE-eq</t>
  </si>
  <si>
    <t>beam material</t>
  </si>
  <si>
    <t>glulam</t>
  </si>
  <si>
    <t>Fix sequestration sign; calculate C balance from yearly harvest instead of cumulated harvest using equations (1) (2) and (3)</t>
  </si>
  <si>
    <t>Fix sequestration sign; calculate C balance from yearly harvest instead of cumulated harvest using equations (1) (2) and (3)calculate C balance from yearly harvest instead of cumulated harvest using equations (1) (2) and (3), add products into perimeters as C variable includes HWP</t>
  </si>
  <si>
    <t>EC</t>
  </si>
  <si>
    <t>Japan</t>
  </si>
  <si>
    <t>explicit C balance</t>
  </si>
  <si>
    <t xml:space="preserve">Petersen, A. K., &amp; Solberg, B. </t>
  </si>
  <si>
    <t xml:space="preserve"> Greenhouse gas emissions, life-cycle inventory and cost-efficiency of using laminated wood instead of steel construction: Case: beams at Gardermoen airport</t>
  </si>
  <si>
    <t xml:space="preserve"> Environmental Science &amp; Policy</t>
  </si>
  <si>
    <t>10.1016/S1462-9011(01)00044-2</t>
  </si>
  <si>
    <t>efficiency of glulam manufacturing</t>
  </si>
  <si>
    <t>B2</t>
  </si>
  <si>
    <t>B1</t>
  </si>
  <si>
    <t>metre cube input of sawn wood</t>
  </si>
  <si>
    <t>Header table 5</t>
  </si>
  <si>
    <t>Table 5</t>
  </si>
  <si>
    <t>tCO2 / (m3 input of sawnwood)</t>
  </si>
  <si>
    <t>Prd</t>
  </si>
  <si>
    <t>Changes in the production of the reference</t>
  </si>
  <si>
    <t>B3</t>
  </si>
  <si>
    <t>efficiency wood product</t>
  </si>
  <si>
    <t>Glulam is landfilled (A3)</t>
  </si>
  <si>
    <t>steel beam</t>
  </si>
  <si>
    <t>laminated wood beam</t>
  </si>
  <si>
    <t>End-of-life steel reference</t>
  </si>
  <si>
    <t>Steel beams substitutes ore at the end of life (F2)</t>
  </si>
  <si>
    <t>basis scenario</t>
  </si>
  <si>
    <t>includes forest regrowth (=change in boundaries)</t>
  </si>
  <si>
    <t>Coal-based electricity in steel production</t>
  </si>
  <si>
    <t>Energy from glulam substitutes oil (A1)</t>
  </si>
  <si>
    <t>End-of-life wood</t>
  </si>
  <si>
    <t xml:space="preserve"> Substitution between floor constructions in wood and natural stone: comparison of energy consumption, greenhouse gas emissions, and costs over the life cycle</t>
  </si>
  <si>
    <t>10.1139/x03-020</t>
  </si>
  <si>
    <t>(G2) Bark-burning boiler at sawmill</t>
  </si>
  <si>
    <t>no bark burning boiler (basis scenario)</t>
  </si>
  <si>
    <t>G2</t>
  </si>
  <si>
    <t>Header table 4</t>
  </si>
  <si>
    <t>end-of-life wood product</t>
  </si>
  <si>
    <t>corrected AV, forest area scenarios excluded, perimeters not consistent</t>
  </si>
  <si>
    <t>building lifetime</t>
  </si>
  <si>
    <t>45 (basis scenario)</t>
  </si>
  <si>
    <t>(E2) Lifetime of building 90 years</t>
  </si>
  <si>
    <t>natural stone floor</t>
  </si>
  <si>
    <t>wood floor</t>
  </si>
  <si>
    <t>lifetime wood product</t>
  </si>
  <si>
    <t>tCO2/ (m3 input of sawnwood)</t>
  </si>
  <si>
    <t>include forest regrowth (= change in boundaries)</t>
  </si>
  <si>
    <t>(A1) energy from wood substitutes oil</t>
  </si>
  <si>
    <t>effciency wood product</t>
  </si>
  <si>
    <t>(A3) Wood is landfilled</t>
  </si>
  <si>
    <t xml:space="preserve"> Greenhouse gas emissions and costs over the life cycle of wood and alternative flooring materials</t>
  </si>
  <si>
    <t xml:space="preserve"> Climatic change</t>
  </si>
  <si>
    <t>10.1023/B:CLIM.0000024689.70143.79</t>
  </si>
  <si>
    <t>B3 highest estimate GHG emissions solid oak</t>
  </si>
  <si>
    <t>B1 lowest estimated GHG emissions solid oak</t>
  </si>
  <si>
    <t>Header table V</t>
  </si>
  <si>
    <t>Table V</t>
  </si>
  <si>
    <t>C2 No energy recovery</t>
  </si>
  <si>
    <t>Linoleum 1</t>
  </si>
  <si>
    <t>oak floorboard</t>
  </si>
  <si>
    <t xml:space="preserve">Linoleum 2 </t>
  </si>
  <si>
    <t>Vinyl 1</t>
  </si>
  <si>
    <t xml:space="preserve">Linoleum 1 </t>
  </si>
  <si>
    <t>oak flooring</t>
  </si>
  <si>
    <t xml:space="preserve">Vinyl 1 </t>
  </si>
  <si>
    <t xml:space="preserve">Vinyl 2 </t>
  </si>
  <si>
    <t>Vinyl 2</t>
  </si>
  <si>
    <t>Carpet, polyamide 1</t>
  </si>
  <si>
    <t>Carpet polyamide</t>
  </si>
  <si>
    <t>Carpet wool</t>
  </si>
  <si>
    <t xml:space="preserve">Carpet, wool 1 </t>
  </si>
  <si>
    <t>Life cycle analysis; Primary energy; Carbon emissions; Modelling options; Wood materials; Energy scenarios; Biogenic carbon; Multi-functional processes</t>
  </si>
  <si>
    <t>LIFE-CYCLE ASSESSMENT; GREENHOUSE-GAS; FOREST MANAGEMENT; WOOD; EFFICIENCY; CONCRETE; LCA; CONSTRUCTION; SUBSTITUTION; FOOTPRINT</t>
  </si>
  <si>
    <t>Piccardo, C; Gustavsson, L</t>
  </si>
  <si>
    <t>Implications of different modelling choices in primary energy and carbon emission analysis of buildings</t>
  </si>
  <si>
    <t>In recent years, several comparative life cycle analyses have shown that increasing the use of wood in buildings can reduce the life cycle primary energy use and carbon emission of buildings. This study reviews the life cycle inventory methodology of primary energy use and carbon emissions, based on ecoinvent database, considering different modelling choices for (i) materials heating values; (ii) biogenic carbon; (iii) calcination and carbonation processes; (iv) electricity production scenarios; (v) impact distribution of multi-functional processes; (vi) post-use benefits. The analysis relates to the standards while the implication of different modelling choice is shown by comparing the primary energy use and carbon emission in the production and end-of-life stages of a multi-storey residential building with concrete, cross laminated timber and modular timber structures, respectively. The results highlight the displacement between different modelling choices in terms of primary energy use and carbon emissions. Such modelling options especially influence the LCA results in the product stage and beyond the end of life stage, and especially wood-and/or cement-based materials. (c) 2021 The Author(s). Published by Elsevier B.V. This is an open access article under the CC BY license (http://creativecommons.org/licenses/by/4.0/).</t>
  </si>
  <si>
    <t>10.1016/j.enbuild.2021.111145</t>
  </si>
  <si>
    <t>Changes in End-of-life</t>
  </si>
  <si>
    <t>Glue-laminated wood, Lumber, Plywood, Particleboard</t>
  </si>
  <si>
    <t>Table 1</t>
  </si>
  <si>
    <t>tons</t>
  </si>
  <si>
    <t>Table 17</t>
  </si>
  <si>
    <t>t CO2</t>
  </si>
  <si>
    <t>Modular</t>
  </si>
  <si>
    <t>Changes in construction + energy recovery</t>
  </si>
  <si>
    <t>Changes in construction + wood recycling</t>
  </si>
  <si>
    <t>R</t>
  </si>
  <si>
    <t>Steel</t>
  </si>
  <si>
    <t>BIOENERGY RESEARCH</t>
  </si>
  <si>
    <t>Forest biomass; Intensive management; Carbon neutrality; Climate change</t>
  </si>
  <si>
    <t>ENERGY WOOD PRODUCTION; NORTH-CENTRAL SWEDEN; BOREAL FOREST; SCOTS PINE; NITROGEN DEPOSITION; DIOXIDE EMISSIONS; TIMBER PRODUCTION; THINNING REGIMES; SIMULATION-MODEL; BARK BEETLE</t>
  </si>
  <si>
    <t>Pyorala, P; Peltola, H; Strandman, H; Antti, K; Antti, A; Jylha, K; Kellomaki, S</t>
  </si>
  <si>
    <t>Effects of Management on Economic Profitability of Forest Biomass Production and Carbon Neutrality of Bioenergy Use in Norway Spruce Stands Under the Changing Climate</t>
  </si>
  <si>
    <t>We analyzed the effects of management on the economic profitability of forest biomass production and carbon neutrality of bioenergy use in Norway spruce (Picea abies L. Karst) stands under the changing climate. We employed a forest ecosystem model and life cycle assessment tool. In particular, we studied the effects of thinning, nitrogen fertilization, and rotation length on: (1) the production of timber and energy biomass, and its economic profitability (net present value), (2) carbon stock in the forest ecosystem and carbon balance in forestry, and (3) carbon dioxide (CO2) emissions from the use of biomass in energy production. Results showed that the current Finnish baseline management with and without nitrogen fertilization resulted in the highest mean annual timber production and net present value (NPV) for long rotations (60 to 80 years), regardless of climate scenario. Mean annual production of energy biomass was enhanced by increasing stocking by 20-30 % compared to the baseline management, and/or use of nitrogen fertilization. Such management gave lower CO2 emissions per unit of energy compared to the baseline management, as the carbon stock in the forest ecosystem and the carbon balance in forestry increased. Overall, the carbon neutrality and net present value were, on average, the highest in the baseline management or with a 20 % increase in stocking, with nitrogen fertilization and 60- to 80-year rotation lengths, regardless of the climate applied. However, it was not possible to simultaneously maximize the NPV of forest biomass production and the carbon neutrality of bioenergy use.</t>
  </si>
  <si>
    <t>BioEnergy Res.</t>
  </si>
  <si>
    <t>10.1007/s12155-013-9372-x</t>
  </si>
  <si>
    <t>Management</t>
  </si>
  <si>
    <t>R20 30-50 years</t>
  </si>
  <si>
    <t>RB 30-50 years</t>
  </si>
  <si>
    <t>mean annual production of energy biomass</t>
  </si>
  <si>
    <t>Table2</t>
  </si>
  <si>
    <t>m3 ha-1 a-1</t>
  </si>
  <si>
    <t>g CO2m−2 a−1</t>
  </si>
  <si>
    <t>Statistics Finalns (ref 47 in the paper)</t>
  </si>
  <si>
    <t>change wood variable to harvested m3</t>
  </si>
  <si>
    <t>R30 30-50 years</t>
  </si>
  <si>
    <t>simulation time depends on rotation length so the time boundary is not consistent for the effect of rotation length</t>
  </si>
  <si>
    <t>R30F 30-50 years</t>
  </si>
  <si>
    <t>RBF 30-50 years</t>
  </si>
  <si>
    <t>R20F 30-50 years</t>
  </si>
  <si>
    <t>Fertilization</t>
  </si>
  <si>
    <t>MT- R30 60-80 years</t>
  </si>
  <si>
    <t>OMT- R30 60-80 years</t>
  </si>
  <si>
    <t>change wood variable to harvested m3, Fix driver, set it to site fertility</t>
  </si>
  <si>
    <t>MT- RBF 60-80 years</t>
  </si>
  <si>
    <t>OMT- RBF 60-80 years</t>
  </si>
  <si>
    <t>MT - R30F 60-80 years</t>
  </si>
  <si>
    <t>OMT - R30F 60-80 years</t>
  </si>
  <si>
    <t>MT- R20F 60-80 years</t>
  </si>
  <si>
    <t>OMT- R20F 60-80 years</t>
  </si>
  <si>
    <t>MT- R20 60-80 years</t>
  </si>
  <si>
    <t>OMT- R20 60-80 years</t>
  </si>
  <si>
    <t>MT- RB 60-80 years</t>
  </si>
  <si>
    <t>OMT- RB 60-80 years</t>
  </si>
  <si>
    <t>Embodied carbon; Lifecycle analysis; Uncertainty analysis; Monte Carlo simulation; Mass timber structure; Cross-laminated timber</t>
  </si>
  <si>
    <t>LIFE-CYCLE ASSESSMENT; GREENHOUSE-GAS EMISSIONS; BIO-BASED MATERIALS; ENVIRONMENTAL BENEFITS; STRUCTURAL DESIGN; LAMINATED TIMBER; ASSESSMENT LCA; ENERGY; CEMENT; SYSTEM</t>
  </si>
  <si>
    <t>Robati, M; Oldfield, P</t>
  </si>
  <si>
    <t>The embodied carbon of mass timber and concrete buildings in Australia: An uncertainty analysis</t>
  </si>
  <si>
    <t>This research uses uncertainty analysis to determine and compare the range of embodied carbon outcomes of mid-rise mass timber and concrete buildings in Australia. In doing so, it measures the variability in inventory databases, transportation distance, lifetime of building components, biogenic carbon emissions, carbonation of concrete materials and end-of-life scenarios. Through the use of Monte Carlo analysis, the research found that the embodied carbon of a mass timber building ranged from 196 kgCO(2-e)/m(2) to 590 kgCO(2-e)/m(2) with a mean of 417 kgCO(2-e)/m(2). For a post-tensioned concrete building the range was 307 kgCO(2-e)/m(2) to 618 kgCO(2-e)/m(2) with a mean of 465 kgCO(2-e)/m(2). This equates to a 48 kgCO(2-e)/m(2) reduction in mean embodied carbon for the mass timber building. Using deterministic analysis, previous research suggested a more substantive 129 kgCO(2-e)/m(2) reduction. These results demonstrate that mass timber buildings do typically have a lower embodied carbon, compared to concrete buildings, however the significance of this depends on the assumptions made, and the input data used. For the concrete building, the variation in embodied carbon is primarily influenced by the inventory data and building products' lifetime. The greater range of embodied carbon in the mass timber building is due to variations associated with the inventory data, allocation of biogenic carbon emissions (sequestration, and forest management losses) and, different end-of-life scenarios associated with timber products. Despite this, the research suggests that with a carefully planned end-of-life strategy, mass timber mid-rise buildings have the potential to benefit from lower embodied carbon emissions, as compared to concrete buildings, across their full lifecycle.</t>
  </si>
  <si>
    <t>10.1016/j.buildenv.2022.108944</t>
  </si>
  <si>
    <t>end-of life strategy</t>
  </si>
  <si>
    <t>Mass timber</t>
  </si>
  <si>
    <t>Mass timber building</t>
  </si>
  <si>
    <t>quantity of material</t>
  </si>
  <si>
    <t>m3 converted to /m2 by dividing by area</t>
  </si>
  <si>
    <t xml:space="preserve">kgCO2eq/m2 </t>
  </si>
  <si>
    <t>level of biogenic carbon losses related to forest management practices</t>
  </si>
  <si>
    <t>lifetime materials</t>
  </si>
  <si>
    <t>building type (for stochastic output, production stages only)</t>
  </si>
  <si>
    <t>Post-tension concrete building</t>
  </si>
  <si>
    <t>building type (for stochastic output, non biogenic production stages only)</t>
  </si>
  <si>
    <t>building type (for deterministic output)</t>
  </si>
  <si>
    <t>Base case</t>
  </si>
  <si>
    <t>building type (for stochastic output)</t>
  </si>
  <si>
    <t>building type (for stochastic output, end-of-life stages only)</t>
  </si>
  <si>
    <t>GLOBAL CHANGE BIOLOGY BIOENERGY</t>
  </si>
  <si>
    <t>clonal material; CO2 emissions; economic profitability; energy biomass; Norway spruce; timber</t>
  </si>
  <si>
    <t>SIMULATION-MODEL; ECOSYSTEM; CLIMATE; HEIGHT; WATER</t>
  </si>
  <si>
    <t>Routa, J; Kellomaki, S; Strandman, H; Bergh, J; Pulkkinen, P; Peltola, H</t>
  </si>
  <si>
    <t>The timber and energy biomass potential of intensively managed cloned Norway spruce stands</t>
  </si>
  <si>
    <t>We used ecosystem model simulations to study the timber and energy biomass potential offered by intensively managed cloned Norway spruce stands. More specifically, we analysed how the use of cloned trees compared with non-cloned trees, together with thinning, nitrogen (N) fertilisation and rotation length (from 60 to 100 years), affects the annual mean production of timber (i.e., saw logs, pulpwood) and energy biomass (i.e., stumps and harvesting residuals in the final felling) and its economic profitability [annual mean of net present value (NPV) with a 2% interest rate]. Furthermore, we employed a life cycle analysis/emission calculation tool to assess the total net CO2 emissions per unit of energy (kg CO2 MW h-1) produced based on energy biomass. We found that both the annual mean production of timber and the NPV increased substantially, regardless of the management regime, if cloned trees with an annual growth increase of up to 30% compared with non-cloned trees were used in regeneration. In general, the use of a short rotation with N fertilisation clearly increased the annual mean of the NPV. Consequently, the use of cloned trees also clearly increased the annual mean production of energy biomass and decreased the total net CO2 emissions per unit of energy produced based on energy biomass. However, the total annual net CO2 emissions were the lowest if a long rotation was used with N fertilisation. To conclude, the use of cloned trees together with intensive management could potentially be highly beneficial for the cost-efficient and sustainable production of timber and energy biomass in an integrated way.</t>
  </si>
  <si>
    <t>GCB Bioenergy</t>
  </si>
  <si>
    <t>10.1111/gcbb.12002</t>
  </si>
  <si>
    <t>Fertilized; 100yr rotation; Improved Productivity of 30% with clonal Norway Spruce</t>
  </si>
  <si>
    <t>BAU</t>
  </si>
  <si>
    <t>Energy biomass yield</t>
  </si>
  <si>
    <t>m3 ha-1 yr-1</t>
  </si>
  <si>
    <t>kg CO2 MWh-1 yr-1</t>
  </si>
  <si>
    <t>Fertilized; 80yr rotation; nonclone improvement</t>
  </si>
  <si>
    <t xml:space="preserve">changed </t>
  </si>
  <si>
    <t>Unfertilized; 80yr rotation; nonclone improvement</t>
  </si>
  <si>
    <t>Unfertilized; 100yr rotation; Improved Productivity of 30% with clonal Norway Spruce</t>
  </si>
  <si>
    <t>Fertilized; 100yr rotation; nonclone improvement</t>
  </si>
  <si>
    <t>Unfertilized; 100yr rotation; nonclone improvement</t>
  </si>
  <si>
    <t>Fertilized; 60yr rotation; nonclone improvement</t>
  </si>
  <si>
    <t>Fertilized; 80yr rotation; Improved Productivity of 30% with clonal Norway Spruce</t>
  </si>
  <si>
    <t>Fertilized; 60yr rotation; Improved Productivity of 30% with clonal Norway Spruce</t>
  </si>
  <si>
    <t>Unfertilized; 80yr rotation; Improved Productivity of 30% with clonal Norway Spruce</t>
  </si>
  <si>
    <t>Unfertilized; 60yr rotation; Improved Productivity of 30% with clonal Norway Spruce</t>
  </si>
  <si>
    <t>Energy biomass yield from unfertilized and fertilized nonclone and clonal species</t>
  </si>
  <si>
    <t>SUSTAINABLE CITIES AND SOCIETY</t>
  </si>
  <si>
    <t>Greenhouse gas; Concrete; Timber; Buildings; Life cycle assessment; Construction</t>
  </si>
  <si>
    <t>LIFE-CYCLE ASSESSMENT; OFFICE BUILDINGS; ENVIRONMENTAL EMISSIONS; REINFORCED-CONCRETE; INVENTORY ANALYSIS; EMBODIED ENERGY; UNITED-STATES; CO2 EMISSIONS; LCA; IMPACTS</t>
  </si>
  <si>
    <t>Sandanayake, M; Lokuge, W; Zhang, GM; Setunge, S; Thushar, Q</t>
  </si>
  <si>
    <t>Greenhouse gas emissions during timber and concrete building construction - A scenario based comparative case study</t>
  </si>
  <si>
    <t>Greenhouse gas (GHG) is a major air emission pollutant that creates environmental burden in buildings. Timber buildings are gaining notable popularity in the building industry due to life cycle environmental and economic benefits over conventional buildings. However, little or no studies have made attempts to compare greenhouse gas emission variations in timber and concrete buildings during the construction stage. Knowledge of emission at the construction stage is critical for passionate contractors who wants to maintain an environmental friendly built environment. The study presented in this paper aims to compare GHG emissions and energy consumptions during timber and concrete building construction. A process based quantitative assessment is conducted for evaluating emissions from materials, equipment and transportation stages. The comparative results of the study indicated that use of timber can reduce embodied emissions as well as transportation emissions during the construction stage. Scenario analyses results comprehends that recycling of materials and use of regional materials influence GHG emissions the most while transportation distance has medium effect on total GHG emissions at the construction stage of timber building. The results of the study are important in aggregate level decision making of timber and concrete buildings. Further studies are encouraged on conducting comprehensive assessment of different timber usages in a building to investigate the GHG emission variation.</t>
  </si>
  <si>
    <t>Sust. Cities Soc.</t>
  </si>
  <si>
    <t>10.1016/j.scs.2017.12.017</t>
  </si>
  <si>
    <t>CLTwoodBuildingVersusConcrete</t>
  </si>
  <si>
    <t>Structural Timber</t>
  </si>
  <si>
    <t>This paper was really stupid</t>
  </si>
  <si>
    <t>FORESTS</t>
  </si>
  <si>
    <t>Forests</t>
  </si>
  <si>
    <t>TgCO2e</t>
  </si>
  <si>
    <t>mass timber construction; recycling potential; material recycling; zero waste; concrete buildings</t>
  </si>
  <si>
    <t>LIFE-CYCLE; ENERGY NEED; CLT</t>
  </si>
  <si>
    <t>Su, QM; Huan, Q; Dua, ZC; Zhan, AX</t>
  </si>
  <si>
    <t>Recycling Potential Comparison of Mass Timber Constructions and Concrete Buildings: A Case Study in China</t>
  </si>
  <si>
    <t>The recycling potential (RP) indicates the ability of building materials to form a closed-loop material flow, that is, the material efficiency during its whole life cycle. Mass timber constructions and concrete buildings vary widely in RP, but the differences are difficult to calculate. This paper proposed a level-based scheme to compare the RP of mass timber and concrete buildings, and a BIM-Eco2soft-MS Excel workflow coupling Material Cycle Database and digital design tools were established to obtain information on building materials, resource consumption, and environmental impact for the RP calculation. Taking a residential building as an example, the difference in RP between mass timber and concrete at the material-level is firstly discussed. Then at the component-level, the RP of the wood structure component and concrete component is compared, and the optimization methods are proposed. Finally, the difference in RP between the mass timber building and reinforced concrete building at the building-level are illustrated. The results show that the RP of mass timber building is higher, and the disassembly ability is better. Within a 100-year service life, the RP of mass timber buildings is 73% and that of the reinforced concrete building is 34%. The total amount of material consumption and waste of the Variant CLT is 837,030 kg and 267,237 kg respectively, which is less than one-third of that of concrete buildings (3,458,488 kg; 958,145 kg). The Global Warming potential (GWP) of these two variants is -174.0 kgCO(2)/m(2) and 221.0 kgCO(2)/m(2) separately, indicating that the Variant CLT can realize negative carbon emissions and gain ecological benefits. A sensitivity analysis is conducted to explore the potential impacts of certain parameters on GWP and RP of buildings. The research can provide the reference for material selection, component design, and RP optimization of mass timber buildings. In addition, new ideas for assessing the potential of circularity as a design tool are proposed to support the transition towards a circular construction industry and to realize carbon neutrality.</t>
  </si>
  <si>
    <t>10.3390/su14106174</t>
  </si>
  <si>
    <t>100th year consumption</t>
  </si>
  <si>
    <t>table 3</t>
  </si>
  <si>
    <t>kg (converted to /m2 with area 3000m2)</t>
  </si>
  <si>
    <t>table 9</t>
  </si>
  <si>
    <t>kgCO2/m2</t>
  </si>
  <si>
    <t>CLT 50yr lifespan</t>
  </si>
  <si>
    <t>CLT 150yr lifespan</t>
  </si>
  <si>
    <t>VB</t>
  </si>
  <si>
    <t>Baseline</t>
  </si>
  <si>
    <t xml:space="preserve">Upton, B., Miner, R., Spinney, M., &amp; Heath, L. S. </t>
  </si>
  <si>
    <t xml:space="preserve"> The greenhouse gas and energy impacts of using wood instead of alternatives in residential construction in the United States</t>
  </si>
  <si>
    <t>10.1016/j.biombioe.2007.07.001</t>
  </si>
  <si>
    <t>wall type in Minneapolis' house</t>
  </si>
  <si>
    <t>steel frame wall system</t>
  </si>
  <si>
    <t>wood-frame wall system</t>
  </si>
  <si>
    <t>Product sequestration</t>
  </si>
  <si>
    <t>MtCO2 eq.</t>
  </si>
  <si>
    <t>OK</t>
  </si>
  <si>
    <t>Fix sequestration sign; added driver category, changed Qwood to absolute value instead of %</t>
  </si>
  <si>
    <t>wall type in Atlanta's house</t>
  </si>
  <si>
    <t>concrete frame wall system</t>
  </si>
  <si>
    <t>PROCEEDINGS OF THE INSTITUTION OF CIVIL ENGINEERS-ENGINEERING SUSTAINABILITY</t>
  </si>
  <si>
    <t>structural frameworks; energy</t>
  </si>
  <si>
    <t>LIFE-CYCLE ENERGY</t>
  </si>
  <si>
    <t>Vukotic, L; Fenner, RA; Symons, K</t>
  </si>
  <si>
    <t>Assessing embodied energy of building structural elements</t>
  </si>
  <si>
    <t>Although operational energy is currently the focal point of sustainability in building regulations, embodied energy and carbon dioxide emissions will become more significant as operational energy consumption is reduced. In the near future, embodied energy could account for a significant proportion of a building's carbon footprint over its lifetime, bearing in mind that the construction of energy-efficient buildings is carbon and energy intensive. Unlike operational energy, embodied energy savings have an immediate significant effect on carbon footprint and are independent of human behaviour. However, there is a lack of consensus within the construction industry on how to assess embodied energy and carbon dioxide and where to draw system boundaries, which has impeded advancement on the issue. This paper analyses the life-cycle embodied energy and carbon dioxide emissions of a building's structural elements, and examines which stages within a building's life are the most significant and offer the most opportunities for a reduction of embodied energy and carbon dioxide. The embodied energy and associated carbon dioxide at the product and construction, maintenance and end-of-life stages of a structure are examined, as well as the potential for energy recovery and carbon dioxide offsetting. A simple single-storey structure is used as a case study to perform comparative analyses between two structural design alternatives: glue-laminated timber panels and steel frame with infill concrete blockwork.</t>
  </si>
  <si>
    <t>Proc. Inst. Civ. Eng.-Eng. Sustain.</t>
  </si>
  <si>
    <t>10.1680/ensu.2010.163.3.147</t>
  </si>
  <si>
    <t>Type of building (here a school sports hall)</t>
  </si>
  <si>
    <t>Steel frame</t>
  </si>
  <si>
    <t>Wooden framed (local wood)</t>
  </si>
  <si>
    <t>Amount of wood per m2 of building</t>
  </si>
  <si>
    <t>t wood product m-2</t>
  </si>
  <si>
    <t>kg CO2e m-2</t>
  </si>
  <si>
    <t>Wooden framed (imported wood)</t>
  </si>
  <si>
    <t>S2</t>
  </si>
  <si>
    <t>J. Ind. Ecol.</t>
  </si>
  <si>
    <t>Greenhouse gas emissions (GHG); Wood; House; Carbon; LCA; Landfill</t>
  </si>
  <si>
    <t>LIFE-CYCLE; WASTE; MANAGEMENT; LANDFILLS; IMPACTS; ENERGY</t>
  </si>
  <si>
    <t>Ximenes, FA; Grant, T</t>
  </si>
  <si>
    <t>Quantifying the greenhouse benefits of the use of wood products in two popular house designs in Sydney, Australia</t>
  </si>
  <si>
    <t>As the average wood products usage per unit of floor area in Australia has decreased significantly over time, there is potential for increased greenhouse gas (GHG) mitigation benefits through an increased use of wood products in buildings. This study determined the GHG outcomes of the extraction, manufacture, transport, use in construction, maintenance and disposal of wood products and other building materials for two popular house designs in Sydney, Australia. The life cycle assessment (LCA) was undertaken using the computer model SimaPro 7.1, with the functional unit being the supply of base building elements for domestic houses in Sydney and its subsequent use over a 50-year period. The key data libraries used were the Australian Life Cycle Inventory library, the ecoinvent library (with data adapted to Australian circumstances where appropriate) and data for timber production from an Australian study for a range of Australian forestry production systems and wood products. Two construction variations were assessed: the original intended construction, and a timber-maximised alternative. The indicator assessed was global warming, as the focus was on GHG emissions, and the effect of timber production, use and disposal on the fate of carbon. The timber maximised design resulted in approximately half the GHG emissions associated with the base designs. The sub-floor had the largest greenhouse impact due to the concrete components, followed by the walls due to the usage of bricks. The use of a timber maximised design offset between 23 and 25 % of the total operational energy of the houses. Inclusion of carbon storage in landfill made a very significant difference to GHG outcomes, equivalent to 40-60 % of total house GHG emissions. The most beneficial options for disposal from a GHG perspective were landfill and incineration with energy recovery. The study showed that significant GHG emission savings were achieved by optimising the use of wood products for two common house designs in Sydney. The switch of the sub-floor and floor covering components to a wood option accounted for most of the GHG savings. Inclusion of end of life parameters significantly impacted on the outcomes of the study.</t>
  </si>
  <si>
    <t>10.1007/s11367-012-0533-5</t>
  </si>
  <si>
    <t>House with more or less wood components</t>
  </si>
  <si>
    <t>Affinity house as designed</t>
  </si>
  <si>
    <t>Affinity house timber maximized</t>
  </si>
  <si>
    <t>Amount of wood in the house</t>
  </si>
  <si>
    <t>tCO2e</t>
  </si>
  <si>
    <t>Amount of wood in each house deducted from carbon stored in landfill after demolition. Order of magnitude consistent with average amount of wood per m2 in Australia given in the article.</t>
  </si>
  <si>
    <t>Tractor</t>
  </si>
  <si>
    <t>Cableway</t>
  </si>
  <si>
    <t>reg</t>
  </si>
  <si>
    <t>S1</t>
  </si>
  <si>
    <t>S0</t>
  </si>
  <si>
    <t>S3</t>
  </si>
  <si>
    <t>coy</t>
  </si>
  <si>
    <t>SILVA FENNICA</t>
  </si>
  <si>
    <t>boreal forest; carbon sequestration; forest biofuel; forest management planning; optimization</t>
  </si>
  <si>
    <t>FOREST MANAGEMENT; BIOMASS; SOILS; BIODIVERSITY; SIMULATOR; DYNAMICS; SWEDEN; SECTOR; BUDGET</t>
  </si>
  <si>
    <t>Backeus, S; Wikstrom, P; Lamas, T</t>
  </si>
  <si>
    <t>Modeling carbon sequestration and timber production in a regional case study</t>
  </si>
  <si>
    <t>Forests make up large ecosystems and by the uptake of carbon dioxide can play an important role in mitigating the greenhouse effect. In this study, mitigation of carbon emissions through carbon uptake and storage in forest biomass and the use of forest biofuel for fossil fuel substitution were considered. The analysis was performed for a 3.2 million hectare region in northern Sweden. The objective was to maximize net present value for harvested timber, biofuel production and carbon sequestration. A carbon price for build-up of carbon storage and for emissions from harvested forest products was introduced to achieve an economic value for carbon sequestration. Forest development was simulated using an optimizing stand-level planning model, and the solution for the whole region was found using linear programming. A range of carbon prices was used to study the effect on harvest levels and carbon sequestration. At a zero carbon price, the mean annual harvest level was 5.4 million m(3), the mean annual carbon sequestration in forest biomass was 1.48 million tonnes and the mean annual replacement of carbon from fossil fuel with forest biofuel was 61000 tonnes. Increasing the carbon price led to decreasing harvest levels of timber and decreasing harvest levels of forest biofuel. Also, thinning activities decreased more than clear-cut activities when the carbon prices increased. The level of carbon sequestration was governed by the harvest level and the site productivity. This led to varying results for different parts of the region.</t>
  </si>
  <si>
    <t>Silva. Fenn.</t>
  </si>
  <si>
    <t>10.14214/sf.318</t>
  </si>
  <si>
    <t>75SEK</t>
  </si>
  <si>
    <t>0SEK</t>
  </si>
  <si>
    <t>Mm3/yr</t>
  </si>
  <si>
    <t>MtC/yr</t>
  </si>
  <si>
    <t>150SEK</t>
  </si>
  <si>
    <t>300SEK</t>
  </si>
  <si>
    <t>600SEK</t>
  </si>
  <si>
    <t>1200SEK</t>
  </si>
  <si>
    <t>Cascading use; Woody biomass; Forest bioenergy; Resource use efficiency; GHG emissions reduction; Circular bioeconomy</t>
  </si>
  <si>
    <t>GLOBAL WARMING CONTRIBUTIONS; ENVIRONMENTAL IMPACTS; CARBON SEQUESTRATION; ROTATION LENGTH; PAPER-INDUSTRY; BIOMASS; ENERGY; METHODOLOGY; BIOENERGY; TRANSPORT</t>
  </si>
  <si>
    <t>Bais-Moleman, AL; Sikkema, R; Vis, M; Reumerman, P; Theurl, MC; Erb, KH</t>
  </si>
  <si>
    <t>Assessing wood use efficiency and greenhouse gas emissions of wood product cascading in the European Union</t>
  </si>
  <si>
    <t>Cascading use of biomass is a recognized strategy contributing to an efficient development of the bio-economy and for mitigating climate change. This study aims at assessing the potential of cascading use of woody biomass for reducing GHG (greenhouse gas) emissions and increasing the overall wood flow efficiency in the European Union's forest and bioeconomy sectors. A scenario and life cycle approach was followed to quantify the potential benefits of cascading use of woody biomass. We started from a reference scenario in which (post-consumer) waste wood and paper are re-utilized for energy only (S0). Then we compared the reference scenario with two alternative scenarios, the current waste wood and paper recycling practices (S1) and the maximum technical potential to increase recycling of waste wood and paper flows (S2). Following a supply chain perspective, different stages of production were analysed, including forgone fossil-fuels substitution, optimization at manufacturing level and forest regrowth. Through cascading use, the wood use efficiency ratio (cascade factor) in the European wood sector would be increased by 23% (S0 vs S1) and 31% (S0 vs S2) and GHG emissions (cradle-to-gate energy use) would be reduced by 42% (28 MtCO(2)-eq/year) and 52% (35 MtCO(2)-eq/year) in scenarios S1 and S2. However, increased wood product cascading is counter effected in the short term by reduced savings in the energy sector by 49% and 48% (-43 and -42 MtCO(2)-eq/year) in scenarios S1 and S2 due to delayed availability of waste wood and waste paper fibers. This explorative study highlights the potential of cascading use of woody biomass in the wood production chains to contribute to a reduction of environmental impacts related to wood resource and energy use, but it also reveals trade-offs in terms of GHG emissions reduction, relevant especially in meeting short-term (2020-2030) renewable energy targets. (C) 2017 Elsevier Ltd. All rights reserved.</t>
  </si>
  <si>
    <t>10.1016/j.jclepro.2017.04.153</t>
  </si>
  <si>
    <t>Recycling (wood product cascade for less wood pruduct use or extraction)</t>
  </si>
  <si>
    <t>S1 (state of art recycling practices)</t>
  </si>
  <si>
    <t>cascades in wood products</t>
  </si>
  <si>
    <t>TABLE4</t>
  </si>
  <si>
    <t>MtCO2eq/yr</t>
  </si>
  <si>
    <t>eur</t>
  </si>
  <si>
    <t>S2 (future improved recycling practices)</t>
  </si>
  <si>
    <t>ENVIRONMENTAL PROGRESS &amp; SUSTAINABLE ENERGY</t>
  </si>
  <si>
    <t>sustainability; life cycle assessment; climate change; CO2; greenhouse gas</t>
  </si>
  <si>
    <t>LIFE-CYCLE ASSESSMENT; ENERGY; MALAYSIA; CARBON; HOUSE; WOOD</t>
  </si>
  <si>
    <t>New residential construction building and composite post and beam structure toward global warming mitigation</t>
  </si>
  <si>
    <t>The construction industry has become one of the major sources of global greenhouse gas (GHG) emissions. Therefore, low carbon buildings have been assigned for reduction of human impact on the environment. The aim of this research is to decrease the CO2 effect from the building sector by eventually proposing a new structure for Malaysian construction with regard to the needs of this industry. Life cycle assessment (LCA) has been performed to analyze the CO2 emission for the Malaysian residential single family house. Seven different materials or structures have been assessed and the result shows that timber prefabricated post and beam is the best choice due to releasing less CO2 emissions to the atmosphere. However, timber has become almost forgotten as building material for house builders in Malaysia in the last four decades. The alternative building scheme has been made by reinforced steel plate into wooden beam and column and timber wall (S8) to improve the building structure deficiency and load bearing while releasing less CO2 emissions in comparison to other buildings. New structure has been designed by steel plate sandwiched between wood members and held together with bolts in beam and post toward decreasing the percentage of improper design and to improve accuracy in the execution of timber structure. Thus, new scheme (S8) could be advised to house maker and government as a new policy to promote the sustainability in construction sector. (c) 2017 American Institute of Chemical Engineers Environ Prog, 37: 1394-1402, 2018</t>
  </si>
  <si>
    <t>Environ. Prog. Sustain. Energy</t>
  </si>
  <si>
    <t>10.1002/ep.12807</t>
  </si>
  <si>
    <t>Timber &amp; brick instead of Brick &amp; concrete 500</t>
  </si>
  <si>
    <t>Timber &amp; brick instead of Brick &amp; concrete 100</t>
  </si>
  <si>
    <t>Timber &amp; brick instead of Brick &amp; concrete 20</t>
  </si>
  <si>
    <t>Timber &amp; brick instead of Precast concrete 500 yrs</t>
  </si>
  <si>
    <t>Timber &amp; brick instead of Precast concrete 100 yrs</t>
  </si>
  <si>
    <t>Timber &amp; brick instead of Precast concrete 20 yrs</t>
  </si>
  <si>
    <t>Timber prefabricated instead of Brick &amp; concrete 500</t>
  </si>
  <si>
    <t>Timber prefabricated instead of Brick &amp; concrete 100</t>
  </si>
  <si>
    <t>Timber prefabricated instead of Precast concrete 500 yrs</t>
  </si>
  <si>
    <t>Timber prefabricated instead of Brick &amp; concrete 20</t>
  </si>
  <si>
    <t>Timber prefabricated instead of Precast concrete 100 yrs</t>
  </si>
  <si>
    <t>Timber prefabricated instead of Precast concrete 20 yrs</t>
  </si>
  <si>
    <t>Timber prefabricated instead of Brick 500 yrs</t>
  </si>
  <si>
    <t>Timber &amp; brick instead of Brick 500 yrs</t>
  </si>
  <si>
    <t>Timber prefabricated instead of Brick 100 yrs</t>
  </si>
  <si>
    <t>Timber &amp; brick instead of Brick 100 yrs</t>
  </si>
  <si>
    <t>Timber prefabricated instead of Brick 20 yrs</t>
  </si>
  <si>
    <t>Timber &amp; brick instead of Brick 20 yrs</t>
  </si>
  <si>
    <t>Timber prefabricated instead of block work 500 yrs</t>
  </si>
  <si>
    <t>Timber prefabricated instead of Steel &amp; work 500</t>
  </si>
  <si>
    <t>Timber prefabricated instead of Steel &amp; work 100</t>
  </si>
  <si>
    <t>Timber &amp; brick instead of block work 500 yrs</t>
  </si>
  <si>
    <t>Timber prefabricated instead of Steel &amp; work 20</t>
  </si>
  <si>
    <t>Timber &amp; brick instead of Steel &amp; work 500</t>
  </si>
  <si>
    <t>Timber &amp; brick instead of Steel &amp; work 100</t>
  </si>
  <si>
    <t>Timber prefabricated instead of block work 100 yrs</t>
  </si>
  <si>
    <t>Timber &amp; brick instead of Steel &amp; work 20</t>
  </si>
  <si>
    <t>Timber prefabricated instead of block work 20 yrs</t>
  </si>
  <si>
    <t>Timber &amp; brick instead of block work 100 yrs</t>
  </si>
  <si>
    <t>Timber &amp; brick instead of block work 20 yrs</t>
  </si>
  <si>
    <t>JOURNAL OF ENVIRONMENTAL MANAGEMENT</t>
  </si>
  <si>
    <t>Biodiversity; Carbon; Climate change; Forest management; Simulation; Water</t>
  </si>
  <si>
    <t>DECISION-SUPPORT SYSTEM; FOREST-MANAGEMENT; ECOSYSTEM SERVICES; SEQUESTRATION; YIELD; WOOD; UNCERTAINTY; HARVEST; IMPACTS; STRATEGIES</t>
  </si>
  <si>
    <t>Baskent, EZ</t>
  </si>
  <si>
    <t>Exploring the effects of climate change mitigation scenarios on timber, water, biodiversity and carbon values: A case study in Pozanti planning unit, Turkey</t>
  </si>
  <si>
    <t>This study evaluated the performance of three climate change mitigation management scenarios; business as usual (BAU), low intensity management (LIM) and high intensity management (HIM) to provide ecosystem services. ETCAP simulation model was used to forecast forest development for Pozanti area with 17,603 ha forests in Turkey. Wood production, biodiversity conservation, carbon sequestration and water provision were the primary ecosystem services. The species composition, natural composition, key habitats and understory vegetation are maintained and small forest openings were left intact for wildlife. Some forest areas were allowed to develop older to provide better opportunities of biodiversity conservation. The increase of carbon stock was related to age class shifts to older stages due mainly to increasing afforestation areas and productivity. The marginal differences in total carbon balance were related to a smaller increase in volume increment in BAU scenario and a higher allocation of harvest to energy production for the LIM and HIM scenarios. The planning scenarios allowed better production of water runoffs with slight differences among the output of management scenarios. The prevailing variable was the areas of afforestation. The impacts of a forest management scenario on ecosystem services highly depend on the development rate and intensity of management interventions.</t>
  </si>
  <si>
    <t>J. Environ. Manage.</t>
  </si>
  <si>
    <t>10.1016/j.jenvman.2019.03.024</t>
  </si>
  <si>
    <t>Many simultaneous driver changes. According to theconclusions, afforested areas is the most important one</t>
  </si>
  <si>
    <t>LIM</t>
  </si>
  <si>
    <t>Cumulated harvest (tC/ha)</t>
  </si>
  <si>
    <t>Turkey</t>
  </si>
  <si>
    <t>(Sathre and O'Connor et al., 2010; Oliver et al.,2014)</t>
  </si>
  <si>
    <t>Changed to cumulated values</t>
  </si>
  <si>
    <t>fix boundaries, forest stock / forest stock+HWP/+substitution</t>
  </si>
  <si>
    <t>HIM</t>
  </si>
  <si>
    <t>CARBON MANAGEMENT</t>
  </si>
  <si>
    <t>Germany; forestry; carbon sequestration; substitution effects; scenario analysis</t>
  </si>
  <si>
    <t>CARBON SEQUESTRATION; WOOD; PRODUCT</t>
  </si>
  <si>
    <t>Bosch, M; Elsasser, P; Rock, J; Weimar, H; Dieter, M</t>
  </si>
  <si>
    <t>Extent and costs of forest-based climate change mitigation in Germany: accounting for substitution</t>
  </si>
  <si>
    <t>The objective of this study is to quantify the contribution of the German forestry to climate change mitigation and to calculate the associated costs at the national level. For that, the forest and harvested wood products carbon pools are considered as well as energy and material substitution. We compare five different scenarios, each referring to an alternative level of timber harvests (due to changing rotation lengths or setting aside of forest areas). The study shows that enhancing the use of wood products at the expense of other materials, such as steel, plastic or concrete, can have a substantial impact on the overall carbon balance.</t>
  </si>
  <si>
    <t>Carbon Manag.</t>
  </si>
  <si>
    <t>10.1080/17583004.2018.1560194</t>
  </si>
  <si>
    <t>Mobilizing +5% of  area (opposite ref as paper)</t>
  </si>
  <si>
    <t>Scenario 4</t>
  </si>
  <si>
    <t>Scenario 0</t>
  </si>
  <si>
    <t>harvested volume</t>
  </si>
  <si>
    <t>fig1</t>
  </si>
  <si>
    <t>Mm3 under bark cumulated over period</t>
  </si>
  <si>
    <t>MtCO2</t>
  </si>
  <si>
    <t>Germany</t>
  </si>
  <si>
    <t>Fix sequestration sign and extract cumulated values</t>
  </si>
  <si>
    <t>10% increase in timber harvest (opposite ref as paper)</t>
  </si>
  <si>
    <t>Scenario 3</t>
  </si>
  <si>
    <t>Ruter S. Projection of net emissions from harvested wood products in European countries: for the period 2013–2020. Work Report 2011/1 of the Institute of Wood Technology and Wood Biology. Hamburg: Johann Heinrich von Th€unen-Institut (2011).</t>
  </si>
  <si>
    <t>Knauf M, K€ohl M, Mues V, Olschofsky K, Fr€uhwald A. Modeling the CO2-effects of forest management and wood usage on a regional basis. Carbon Balance Manage. 10, 13 (2015).</t>
  </si>
  <si>
    <t>Harvesting age decreased by ~17 years to reach lower standing stock: following the protocol, the original ref scenario is used as "alternative" and opposite values of deltas are retained.</t>
  </si>
  <si>
    <t>Scenario 1</t>
  </si>
  <si>
    <t>Diameter threshold for harvesting decreased by 10 cm (opposite ref as paper)</t>
  </si>
  <si>
    <t>Scenario 2</t>
  </si>
  <si>
    <t>JOURNAL OF THE FACULTY OF FORESTRY-ISTANBUL UNIVERSITY</t>
  </si>
  <si>
    <t>Climate change mitigation; national GHG inventory; harvested wood products</t>
  </si>
  <si>
    <t>CLIMATE-CHANGE MITIGATION; FOREST ECOSYSTEMS; BIOMASS</t>
  </si>
  <si>
    <t>Bouyer, O; Serengil, Y</t>
  </si>
  <si>
    <t>Carbon stored in harvested wood products in Turkey and projections for 2020</t>
  </si>
  <si>
    <t>Turkey is an Annex-I country under the United Nations Framework Convention on Climate Change (UNFCCC) and therefore submits its Greenhouse gases (GHG) emissions and removals from anthropogenic sources to the UNFCCC secretariat on an annual basis, through a National GHG Inventory Report (NIR). GHG emissions and removals from Land Use, Land Use and Forestry (LULUCF) constitute one of the main sectors in this report. One of the major land use categories in this sector is Forestland, and harvests in this category must be considered as a direct GHG emission to the atmosphere, unless the fate of the Harvested Wood Products (HWP) is reported. In this study, we estimated the carbon sequestration in the HWP category of the Turkish NIR, according to the 2006 Guidelines for GHG inventory in the Agriculture, Forestry and Other Land Use (AFOLU) sector, from the International Panel of Experts on Climate Change (IPCC). This is the first time such an estimate of carbon stocks and carbon stock changes in the HWP pool has been carried out in Turkey. The calculation has been done in Tier 2. We used United Nations Economic Commission for Europe (UNECE) Timber database disaggregated figures for HWP produced in Turkey from 1964 to 2013. We focused on the two main HWP categories, which are sawnwood and wood-based panels. Comparing UNECE data series with Orman Genel Mfidtirlfigil (OGM, the Republic of Turkey, General Directorate of Forestry) data series for industrial roundwood over 1976-2013 (starting date for OGM data series), we noticed some anomalies (with UNECE data series as a basis: max: + 47%, min = -2 3%, mean = + 16%). Thus, the UNECE data on sawnwood and wood based panels were corrected based on OGM data. These anomalies could be due to: (i) use of volume over bark for UNECE and volume under bark for OGM (+ 15% for volume over bark), and (ii) integration of industrial roundwood coming from the private sector for UNECE. In order to ensure coherence, we then corrected the 1976-2013 UNECE data series for sawnwood and wood-based panels production taking into account for each year the percentage of anomaly. However, from 1976 to 1982, the anomalies are much reduced (-1% in average), which allow using the UNECE data series from 1964 to 1975. We estimated the average share of each HWP over the last ten years: 4 8% for sawnwood and 38% for wood-based panels. The 14% of other HWP are not considered in the analysis, either because they are short-lived products or marginal or difficult to estimate. A projection of HWP has been done until 2020 based on 2 alternative scenarios based on OGM strategy documents: intensive harvesting and extensive harvesting. For each scenario, intensive vs extensive, we disaggregated the 2013-2020 volume of industrial roundwood into the two HWPs, using the calculated percentages. The results of our analysis revealed that the HWP pool can add 3.14 Gg C02 eq yr(-1) additional removal to LULUCF sector in the GHG inventory of Turkey for 2013 compared to 1990. The amount of contribution is estimated to rise up to 13.70 Mt CO2 eq yr-, and 10.99 Mt C02 eq yr(-1) for intensive and extensive scenarios that are developed based on OGM strategic plans in 2020.</t>
  </si>
  <si>
    <t>J. Fac. For.-Istanb. Univ.</t>
  </si>
  <si>
    <t>10.17099/jffiu.48603</t>
  </si>
  <si>
    <t xml:space="preserve">harvest level including thinnings. Seems like the dimensions of the harvested wood have an effect on wood use and product life span </t>
  </si>
  <si>
    <t>extensive</t>
  </si>
  <si>
    <t>intensive harvest (Fig 2)</t>
  </si>
  <si>
    <t>Harvest</t>
  </si>
  <si>
    <t>Mm3</t>
  </si>
  <si>
    <t>Gg CO2 eq</t>
  </si>
  <si>
    <t>Fix data pair to record effect of driver and not time evolution</t>
  </si>
  <si>
    <t>CARBON MANAGEMENT, TECHNOLOGIES, AND TRENDS IN MEDITERRANEAN ECOSYSTEMS</t>
  </si>
  <si>
    <t>Climate change; Mitigation; Cost-benefit analysis; Kyoto Protocol; LULUCF</t>
  </si>
  <si>
    <t>Cost-Benefit Assessment of Implementing LULUCF Accounting Rules in Turkey</t>
  </si>
  <si>
    <t>Turkey is an Annex 1 Party with Specific circumstances because it has the fastest population growth rate among the Organization for Economic Cooperation and Development (OECD) countries and lowest per capita energy-related CO2 emissions among the International Energy Agency (IEA) countries. In addition, all national indicators show that Turkey is in fact a developing country. It was deleted from Annex 2 of the United Nations Framework Convention on Climate Change (UNFCCC) and not included in the Annex B of the first term of the Kyoto Protocol (KP1). In the context of preparation of a 2015 multilateral treaty on climate change, which would enter into force in 2020, differentiation between Annex 1 and non-Annex 1 Parties may be revisited, and it seems useful to explore the possible consequences of such a reclassification. Accordingly, this study aims at providing a neutral cost/benefit assessment of implementing Land Use, Land Use Change and Forestry (LULUCF) accounting rules in Turkey in the future, as one possible scenario. The rationale for this assessment is based on a technical and objective deduction and does not in any way pre-empt the national positions put forward by Turkey in the climate negotiations or any possible COP decision that may determine its future classification, considering its specific circumstances. Turkey started reporting LULUCF under the Climate Convention in 2006. Presently, the LULUCF sink (made of a forest sink for its bigger part) is estimated to offset 12 % of Turkey's total greenhouse emissions. For afforestation/reforestation (A/R) (Article 3.3), the objectives of the 2014-2017 OGM (General Directorate of Forestry Turkish abbreviation) Strategic Plan were considered. For forest management (FM) (Article 3.4), two alternative scenarios were considered: 90 Mm3 of roundwood harvest between 2013 and 2017 (intensive harvest) and 25 Mm3/year of felling (industrial round wood) harvest by 2020 (extensive harvest). The corresponding volumes of firewood, felling and total round wood were forecast accordingly from 2013 to 2020. The carbon credits or Removal Units (RMUs) for Article 3.3 ARD and Article 3.4 FM (including the carbon storage in harvested wood products) were estimated using the guidelines from the intergovernmental panel of experts on climate change and taking into account the upgraded LULUCF rules. For Article 3.3, it was estimated that 119.4 million RMUs could be generated between 2013 and 2020, which is more than twice the maximum amount of RMUs to be generated under Article 3.4 FM. The total economic values (TEVs) of Turkey's forests have been estimated based on recent studies and then used to calculate benefits. Taking into account the recent European Union (EU) market price (Kyoto market) or the recent forest carbon price (Kyoto and voluntary markets), carbon benefits are reduced in all scenarios compared with other values included in the TEV of the forest. If we consider the carbon shadow price (i.e. the recommended carbon price from 2011 to 2050, to achieve the EU target of reducing GHG emissions fourfold by 2050), it is worth noting that the situation is quite different: for the 3.4 FM areas and mainly for 3.3 ARD areas, the carbon benefits are substantial. However, this price level is still far from attainable as negotiations stand now, unless the international community is able to adopt a strong political commitment in coming years.</t>
  </si>
  <si>
    <t>Article; Book Chapter</t>
  </si>
  <si>
    <t>10.1007/978-3-319-45035-3_8</t>
  </si>
  <si>
    <t>Increased harvest</t>
  </si>
  <si>
    <t>Text and figure 8.16 &amp; 8.17</t>
  </si>
  <si>
    <t>Figure 8,18</t>
  </si>
  <si>
    <t>MtCO2/yr</t>
  </si>
  <si>
    <t>carbon storage; GHG accounting; mitigation measures; harvested wood products</t>
  </si>
  <si>
    <t>AREA INCREMENT MODEL; CARBON; SECTOR; IMPACTS; STORAGE</t>
  </si>
  <si>
    <t>Braun, M; Fritz, D; Weiss, P; Braschel, N; Buchsenmeister, R; Freudenschuss, A; Gschwantner, T; Jandl, R; Ledermann, T; Neumann, M; Polz, W; Schadauer, K; Schmid, C; Schwarzbauer, P; Stern, T</t>
  </si>
  <si>
    <t>A holistic assessment of greenhouse gas dynamics from forests to the effects of wood products use in Austria</t>
  </si>
  <si>
    <t>Anthropogenic GHG emissions add a fast reinforcing feedback cycle to global carbon dynamics which continues to influence GHG concentrations in the Earth's atmosphere. When looking at forest carbon cycles there is potential in utilizing another feedback cycle, namely the carbon cycle involving harvested wood products. To assess the potential of the mitigation options arising from these carbon flows, the forest-based sector in Austria was modelled to assess causal links, dependencies and dynamics involved in GHG-relevant processes. Carbon dynamics were investigated in forests and forest soil carbon, the forest product chain and life-cycle analyses for substitution of conventional products with wood products in a cascade of different modelling approaches and paradigms, and the results synthesized. It was found that material use of products from domestic timber sources has the highest climate change mitigation efficiency when originating from sustainably managed forests regarding biomass stocks. The emissions saved through building up a carbon stock from harvested wood products and through emissions substitution can be as high as similar to 20 years of total annual Austrian emissions in 90 years. Additional conservation measures while sustaining sawnwood production and the related GHG benefits at a high level had the highest contribution to an overall carbon sink.</t>
  </si>
  <si>
    <t>10.1080/17583004.2016.1230990</t>
  </si>
  <si>
    <t>managed area</t>
  </si>
  <si>
    <t>scenario 2</t>
  </si>
  <si>
    <t>m3 utilized wood</t>
  </si>
  <si>
    <t>Gm3</t>
  </si>
  <si>
    <t>GtCO2-eq</t>
  </si>
  <si>
    <t>VB_changed</t>
  </si>
  <si>
    <t>policy type</t>
  </si>
  <si>
    <t>1a</t>
  </si>
  <si>
    <t>1b</t>
  </si>
  <si>
    <t>1c</t>
  </si>
  <si>
    <t>no driver</t>
  </si>
  <si>
    <t>FORESTRY</t>
  </si>
  <si>
    <t>Forestry</t>
  </si>
  <si>
    <t>million m3</t>
  </si>
  <si>
    <t>lumber</t>
  </si>
  <si>
    <t>FORESTRY CHRONICLE</t>
  </si>
  <si>
    <t>For. Chron.</t>
  </si>
  <si>
    <t>MtC</t>
  </si>
  <si>
    <t>FOREST ECOLOGY AND MANAGEMENT</t>
  </si>
  <si>
    <t>Carbon storage; Climate change mitigation; Forest management; Harvesting; Natural disturbance; Sustainability</t>
  </si>
  <si>
    <t>CANADIAN BOREAL FOREST; FIRE SUPPRESSION; CARBON STOCKS; WOOD PRODUCTS; MANAGEMENT; DISTURBANCE; REGIMES; FUTURE; DYNAMICS; HISTORY</t>
  </si>
  <si>
    <t>Colombo, SJ; Chen, JX; Ter-Mikaelian, MT; McKechnie, J; Elkie, PC; MacLean, HL; Heath, LS</t>
  </si>
  <si>
    <t>Forest protection and forest harvest as strategies for ecological sustainability and climate change mitigation</t>
  </si>
  <si>
    <t>An important consideration in forest management to mitigate climate change is the balance between forest carbon (C) storage and ecological sustainability. We explore the effects of management strategies on tradeoffs between forest C stocks and ecological sustainability under five scenarios, three of which included management and two scenarios which provide baselines emulating the natural forest. Managed forest scenarios were: (a) Protection (PROT), i.e., management by suppression of natural disturbance and harvest exclusion; (b) Harvest at a higher rate removing all sustainably available wood (HHARV); (c) Harvest at the lower historical average rate of harvest, AHARV. Both harvest scenarios reflected current forest management practices in the study area, including suppression of natural disturbance and a large (&gt;20% of total) forest area reserved from harvest. Scenarios (d) and (e) simulated natural forest with unsuppressed fire at higher (NDH) or lower (NDL) levels and no harvest. Ecological sustainability was evaluated using a coarse filter approach where forest age class and tree species composition were indicators of condition. The study area encompassed 3.4 million hectares of forest in northeastern Ontario at the interface between the temperate hardwood and boreal forest zones. Future forest condition for each scenario was modeled using a timber supply model (SFMM), and C stored in forests and wood products were estimated using the FORCARB-ON model. Forest protection (PROT) resulted in greatest forest C stocks, especially in the near term, but was within 95% of its maximum, becoming saturated within 30 years. Harvesting (HHARV and AHARV) resulted in less forest C stock compared to PROT, however, after 100 years of adding C in wood products to that in regenerating forests total C storage was equivalent or greater than forest C with PROT. In contrast, removing management (NDH and NDL) decreased C relative to any of the management regimes, though in NDL the decrease was delayed for 30 years compared to HHARV. Forest sustainability measured by similarity to natural forest age class was superior with HHARV and AHARV compared to PROT, although no management regime produced a fully natural result. PROT in particular largely lacked younger age classes. All management regimes produced species composition that was near or within the range of natural variation. This analysis provides an example of the types of tradeoffs that can be considered in evaluating the contribution of forests to climate change mitigation, either in a commercial forestry context or in an approach based on protected areas. Crown Copyright (C) 2012 Published by Elsevier B.V. All rights reserved.</t>
  </si>
  <si>
    <t>For. Ecol. Manage.</t>
  </si>
  <si>
    <t>10.1016/j.foreco.2012.06.016</t>
  </si>
  <si>
    <t>forest management</t>
  </si>
  <si>
    <t>Protection</t>
  </si>
  <si>
    <t>AHARV Lower harvest rate</t>
  </si>
  <si>
    <t>C stock of wood-in-use + in landfill</t>
  </si>
  <si>
    <t>TgC</t>
  </si>
  <si>
    <t>Fixed conversion Qwood</t>
  </si>
  <si>
    <t>HHARV Higher harvest rate</t>
  </si>
  <si>
    <t>natural disturbance rate</t>
  </si>
  <si>
    <t>Higher natural disturbance rate</t>
  </si>
  <si>
    <t>Lower natural disturbance rate</t>
  </si>
  <si>
    <t>JOURNAL OF FOREST ECONOMICS</t>
  </si>
  <si>
    <t>Forest sector; climate change; carbon balance; climate warming mitigation; bio-economic model</t>
  </si>
  <si>
    <t>LAND-USE CHANGE; WOOD-BASED ENERGY; CARBON SEQUESTRATION; RESPONSE FUNCTIONS; ECONOMIC-IMPACTS; TREE MORTALITY; US FORESTS; EUROPE; MODELS; BIOENERGY</t>
  </si>
  <si>
    <t>Delacote, P; Lobianco, A; Caurla, S; Bontemps, JD; Lungarska, A; Merian, P; Riviere, M; Barkaoui, A</t>
  </si>
  <si>
    <t>The Loop Effect: How Climate Change Impacts the Mitigation Potential of the French Forest Sector</t>
  </si>
  <si>
    <t>Objectives: Evaluate the capacity of temperate forest resources to both provide climate change mitigation and to sustain the downstream timber sector explicitly considering the cascade of biophysical and economic drivers (in particular, climate change impacts and subsequent adaptation actions) and their uncertainty. Methodology: A recursive bio-economic model of French forest resources, management, and timber markets has been coupled for this study with spatial statistical models of forest response to climate change long-term scenarios and land-use change. Main Results: (a) Climate change impacts on tree mortality are greater than those on tree growth variations; (b) Due to increasing competition with agriculture, climate change may reverse current trends in forest area expansion; (c) Due to rising average tree sizes, volume growth strongly declines over time and may eventually cease within the next century; (d) Future climate change impacts already have strong consequences on today's forest investment profitability; (e) The relative importance of forest substitution over forest sequestration increases as the timeframe increases; (f) While the forest sector has the potential to counterbalance a significant share of the national carbon emissions, this potential is threatened by climate change and the need to adapt to it. Profit-driven forest management does increase mitigation; (g) Uncertainty derived from using different climatic models over the same IPCC storyline has the same order of magnitude as the uncertainty derived from using the same climatic model under different storylines.</t>
  </si>
  <si>
    <t>J. For. Econ.</t>
  </si>
  <si>
    <t>10.1561/112.00000522</t>
  </si>
  <si>
    <t>forest area dynamics</t>
  </si>
  <si>
    <t>arpege_a1b</t>
  </si>
  <si>
    <t>arpege_a1b_carea</t>
  </si>
  <si>
    <t>Lobianco et al., 2016</t>
  </si>
  <si>
    <t>forest owners expectations</t>
  </si>
  <si>
    <t>arpege_a1b_fullexp</t>
  </si>
  <si>
    <t>risk aversion</t>
  </si>
  <si>
    <t>arpege_a1b_nora</t>
  </si>
  <si>
    <t>adaptive management</t>
  </si>
  <si>
    <t>arpege_a1b_nomgm</t>
  </si>
  <si>
    <t>driver changed to species</t>
  </si>
  <si>
    <t>climate change</t>
  </si>
  <si>
    <t>constant</t>
  </si>
  <si>
    <t>LLP</t>
  </si>
  <si>
    <t>ECOLOGICAL APPLICATIONS</t>
  </si>
  <si>
    <t>carbon emissions; climate change mitigation; forest carbon; harvested wood products; United States Climate Alliance; Vermont forests</t>
  </si>
  <si>
    <t>CLIMATE-CHANGE MITIGATION; CONTERMINOUS UNITED-STATES; LAND-COVER DATABASE; OLD-GROWTH FORESTS; CARBON SEQUESTRATION; NEW-ENGLAND; MANAGEMENT; BIOENERGY; PRODUCTIVITY; METAANALYSIS</t>
  </si>
  <si>
    <t>Dugan, AJ; Lichstein, JW; Steele, A; Metsaranta, JM; Bick, S; Hollinger, DY</t>
  </si>
  <si>
    <t>Opportunities for forest sector emissions reductions: a state-level analysis</t>
  </si>
  <si>
    <t>The forest sector can play a significant role in climate change mitigation. We evaluated forest sector carbon trends and potential mitigation scenarios in Vermont using a systems-based modeling framework that accounts for net emissions from all forest sector components. These components comprise (1) the forest ecosystem, including land-use change, (2) harvested wood products (HWP), and (3) substitution effects associated with using renewable wood-based products and fuels in place of more emission-intensive materials and fossil fuel-based energy. We assessed baseline carbon trends from 1995 through 2050 using a business as usual (BAU) scenario. Emission reductions associated with different forest management and HWP scenarios were evaluated relative to the BAU scenario from 2020 to 2050. We estimated uncertainty for each forest sector component and used a Monte Carlo approach to estimate the distribution of cumulative total mitigation for each scenario relative to baseline. Our analysis indicates that the strength of the forest sector carbon sink in Vermont has been declining and will continue to decline over coming decades under the BAU scenario. However, several scenarios evaluated here could be effective in reducing emissions and enhancing carbon uptake. Shifting HWP to longer-lived commodities resulted in a 14% reduction in net cumulative emissions by 2050, the largest reduction of all scenarios. A scenario that combined extending harvest rotations, utilizing additional harvest residues for bioenergy, and increasing forest productivity resulted in a 12% reduction in net cumulative emissions. Shifting commodities from pulp and paper to bioenergy showed a 7.3% reduction in emissions. In contrast, shortening rotations to increase harvests for bioenergy use resulted in a 5.5% increase in emissions. In summary, model simulations suggest that net emissions could be reduced by up to 14% relative to BAU, depending on the management and HWP-use scenario. Combining multiple scenarios could further enhance reductions. However, realizing the full climate mitigation potential of these forests may be challenging due to socioeconomic barriers to implementation, as well as alternative management objectives that must be considered along with carbon sequestration.</t>
  </si>
  <si>
    <t>Ecol. Appl.</t>
  </si>
  <si>
    <t>10.1002/eap.2327</t>
  </si>
  <si>
    <t>Productivity+residue+ExtendedRotation</t>
  </si>
  <si>
    <t>Portfolio</t>
  </si>
  <si>
    <t>HWP (final product)</t>
  </si>
  <si>
    <t>Smyth et al.2017</t>
  </si>
  <si>
    <t>Leskinen et al. 2018</t>
  </si>
  <si>
    <t>ExtendRotation</t>
  </si>
  <si>
    <t>ShortRot</t>
  </si>
  <si>
    <t>Increased fertility through unspecified practices including genetics</t>
  </si>
  <si>
    <t>Productivity</t>
  </si>
  <si>
    <t>HWP proportions</t>
  </si>
  <si>
    <t>IncreaseBioenergy</t>
  </si>
  <si>
    <t>Residue removal</t>
  </si>
  <si>
    <t>Residue</t>
  </si>
  <si>
    <t>More to bioenergy</t>
  </si>
  <si>
    <t>ShortRotBio</t>
  </si>
  <si>
    <t>FOREST POLICY AND ECONOMICS</t>
  </si>
  <si>
    <t>Climate change; Forest adaption; Economic trade-offs; Forest carbon</t>
  </si>
  <si>
    <t>ECOSYSTEM MODEL ANALYSIS; CLIMATE-CHANGE; CARBON SEQUESTRATION; ADAPTIVE MANAGEMENT; DISCOUNT RATE; WHITE SPRUCE; GROWTH; TIMBER; PRODUCTIVITY; BOREAL</t>
  </si>
  <si>
    <t>Dymond, CC; Giles-Hansen, K; Asante, P</t>
  </si>
  <si>
    <t>The forest mitigation-adaptation nexus: Economic benefits of novel planting regimes</t>
  </si>
  <si>
    <t>Previous studies have examined the economic trade-offs of climate change mitigation in forestry. However, most have not explicitly accounted for the impact of climate change on productivity or the value of carbon sequestration when considering the higher costs of adaptive planting. Here we build on previous studies from northwestern Canada, using the Woodstock optimization model to assess the economic trade-offs of the standard and two adaptive planting regimes under historical climate and a severe climate change scenario. We considered planting and harvesting costs and revenue from timber and carbon sequestration over 100 years. The analyses were done at a forest level using a continuous production process to identify the best combination of stand-level management to achieve multiple objectives, because that is consistent with strategic decision-making on public land in North America. Our results showed there are potential negative risks from climate change to: harvest volumes, net present value, growing stock, and ecosystem carbon sinks. Despite increased regeneration costs, we found some risk mitigation through adaptive planting, with the greatest benefits through diversification which had higher net present value, growing stock and ecosystem carbon than historic climate with standard stocking. This was a result of planting more valuable species, higher growth rates in mixed stands, and adaption of novel species to new climates. Adaptation through novel planting regimes is a cog-effective forest management strategy that can potentially offset some negative impacts of climate change.</t>
  </si>
  <si>
    <t>Forest Policy Econ.</t>
  </si>
  <si>
    <t>10.1016/j.forpol.2020.102124</t>
  </si>
  <si>
    <t>Species change</t>
  </si>
  <si>
    <t>GovStockingStand</t>
  </si>
  <si>
    <t>DouglasFir</t>
  </si>
  <si>
    <t>Harvest volume</t>
  </si>
  <si>
    <t>Diversity</t>
  </si>
  <si>
    <t>boreal forest; carbon credits; timber supply; market incentives; sustainable forest management; optimization; Carbon Budget Model of the Canadian Forest Sector (CBM-CFS3); Woodstock Forest Management Model</t>
  </si>
  <si>
    <t>NATURAL FORESTS; CLIMATE-CHANGE; BUDGET MODEL; SEQUESTRATION; TIMBER; DYNAMICS; BIOMASS; SECTOR; SCALE; STRATEGIES</t>
  </si>
  <si>
    <t>Elgie, S; McCarney, GR; Adamowicz, WL</t>
  </si>
  <si>
    <t>Assessing the implications of a carbon market for boreal forest management</t>
  </si>
  <si>
    <t>Canada's forests particularly the boreal-are a major storehouse of carbon. How they are managed could significantly affect Canada's greenhouse gas emissions while also presenting a new revenue source for forest managers. This study attempts to assess how a carbon price could affect forest management, particularly in Canada's boreal plains region. An integrated modelling approach is developed to incorporate both forest carbon and timber supply considerations within an optimal management framework. This modelling approach allows for consideration of alternative market and regulatory scenarios, along with a range of possible management intensity and harvest scheduling options over the landscape. The overall conclusion is that carbon incentives will increase the value of the boreal forest potentially quite significantly and will generally encourage management changes consistent with sustainable forest management practices.</t>
  </si>
  <si>
    <t>10.5558/tfc2011-027</t>
  </si>
  <si>
    <t>C price</t>
  </si>
  <si>
    <t>$25/tC</t>
  </si>
  <si>
    <t>$9/tC</t>
  </si>
  <si>
    <t>Cumulated harvest volume</t>
  </si>
  <si>
    <t>$1/tC</t>
  </si>
  <si>
    <t>$0/tC</t>
  </si>
  <si>
    <t>Environmental impacts; Renewable energy policy; Forest-wood chain; Climate change mitigation; Life cycle assessment; Alpine region</t>
  </si>
  <si>
    <t>LIFE-CYCLE ASSESSMENT; ENERGY; LCA</t>
  </si>
  <si>
    <t>Elisa, P; Alessandro, P; Andrea, A; Silvia, B; Mathis, P; Dominik, P; Manuela, R; Francesca, T; Voglar, GE; Tine, G; Nike, K; Thomas, S</t>
  </si>
  <si>
    <t>Environmental and climate change impacts of eighteen biomass-based plants in the alpine region: A comparative analysis</t>
  </si>
  <si>
    <t>In the energy and climate policy commitments of the European Union, the following targets have been foreseen up to 2030: reducing the greenhouse gas emissions of 40%, improving the energy conversion efficiency of 27%, and producing 27% of the energy from renewable energy sources. Nowadays, thanks to the development of reliable and efficient technologies, several possibilities exist to replace fossil fuels with renewable energy sources, such as wind power, solar, hydropower, geothermal, and biomass. In the Alpine region, biomass can play a key role for achieving the objectives foreseen by the EU policy strategy. In the last few years, due to the high available potentials of residues from forestry operations and sawmill processing, the Alpine region witnessed the development of centralized biomass district heating plants. The aim of the present study is to assess the environmental impacts of 18 biomass-based plants located in the Alpine region using a Life Cycle Assessment approach and to analyse the current market destination of the wood residues. The data were collected through face-to-face interviews with the stakeholders of the forest-wood supply chain (managers of biomass-based plant, sawmills, forest owners and enterprises). From the environmental point of view, the results of the Life Cycle Assessment (global climate change impact: 5-90 gCO(2) MJ(-1)) show that the critical points in the forest-wood supply chain are: the transport phase (1-54 gCO(2) MJ(-1)) and the wood processing phase (6-36 gCO(2) MJ(-1)). The results provided by Life Cycle Assessment can be used to increase the scientific knowledge of the environmental impacts related to the biomass conversion technology and to underline the weak points of the forest-wood supply chain. Furthermore, these results can support the decision makers in defining climate change mitigation strategies at regional and local level. (c) 2019 Elsevier Ltd. All rights reserved.</t>
  </si>
  <si>
    <t>10.1016/j.jclepro.2019.118449</t>
  </si>
  <si>
    <t xml:space="preserve">comparison of several biomass -based plants </t>
  </si>
  <si>
    <t>B</t>
  </si>
  <si>
    <t>C</t>
  </si>
  <si>
    <t>annual feedstock consumption</t>
  </si>
  <si>
    <t>fig.6</t>
  </si>
  <si>
    <t>fig7 x table3</t>
  </si>
  <si>
    <t>-7.0181175</t>
  </si>
  <si>
    <t>-20.604</t>
  </si>
  <si>
    <t>Eur</t>
  </si>
  <si>
    <t>-6.9106425</t>
  </si>
  <si>
    <t>-20.4226666666667</t>
  </si>
  <si>
    <t>D</t>
  </si>
  <si>
    <t>-18.6530153333333</t>
  </si>
  <si>
    <t>-18.4790944444444</t>
  </si>
  <si>
    <t>E</t>
  </si>
  <si>
    <t>-165.625</t>
  </si>
  <si>
    <t>-163.541666666667</t>
  </si>
  <si>
    <t>M</t>
  </si>
  <si>
    <t>-46.75</t>
  </si>
  <si>
    <t>-45.9861111111111</t>
  </si>
  <si>
    <t>A</t>
  </si>
  <si>
    <t>-11.2152777777778</t>
  </si>
  <si>
    <t>-10.9777777777778</t>
  </si>
  <si>
    <t>-0.107475</t>
  </si>
  <si>
    <t>-0.2375</t>
  </si>
  <si>
    <t>-0.173920888888889</t>
  </si>
  <si>
    <t>-0.181333333333333</t>
  </si>
  <si>
    <t>-0.763888888888889</t>
  </si>
  <si>
    <t>-2.08333333333333</t>
  </si>
  <si>
    <t>H</t>
  </si>
  <si>
    <t>-111.331133333333</t>
  </si>
  <si>
    <t>-109.302833333333</t>
  </si>
  <si>
    <t>-82.3375</t>
  </si>
  <si>
    <t>-80.7916666666667</t>
  </si>
  <si>
    <t>F</t>
  </si>
  <si>
    <t>-23.1756055833333</t>
  </si>
  <si>
    <t>P</t>
  </si>
  <si>
    <t>-25.5630416666667</t>
  </si>
  <si>
    <t>-22.7498070555556</t>
  </si>
  <si>
    <t>-25.0408333333333</t>
  </si>
  <si>
    <t>N</t>
  </si>
  <si>
    <t>-101.474383333333</t>
  </si>
  <si>
    <t>O</t>
  </si>
  <si>
    <t>-25.9134608</t>
  </si>
  <si>
    <t>-99.1751666666667</t>
  </si>
  <si>
    <t>-25.4376486666667</t>
  </si>
  <si>
    <t>G</t>
  </si>
  <si>
    <t>-437.095</t>
  </si>
  <si>
    <t>-429.4</t>
  </si>
  <si>
    <t>I</t>
  </si>
  <si>
    <t>-208.041166666667</t>
  </si>
  <si>
    <t>L</t>
  </si>
  <si>
    <t>-127.730146116667</t>
  </si>
  <si>
    <t>-197.041288888889</t>
  </si>
  <si>
    <t>-122.760463888889</t>
  </si>
  <si>
    <t>Q</t>
  </si>
  <si>
    <t>-19.7333333333333</t>
  </si>
  <si>
    <t>-18.2222222222222</t>
  </si>
  <si>
    <t>-2.0283</t>
  </si>
  <si>
    <t>S</t>
  </si>
  <si>
    <t>-0.338888888888889</t>
  </si>
  <si>
    <t>-1.54583333333333</t>
  </si>
  <si>
    <t>-0.522208333333333</t>
  </si>
  <si>
    <t>-1.51111111111111</t>
  </si>
  <si>
    <t>-2.29921666666667</t>
  </si>
  <si>
    <t>T</t>
  </si>
  <si>
    <t>-0.219777777777778</t>
  </si>
  <si>
    <t>-0.425798527777778</t>
  </si>
  <si>
    <t>-0.475812133333333</t>
  </si>
  <si>
    <t>-10.9998777777778</t>
  </si>
  <si>
    <t>-7.695</t>
  </si>
  <si>
    <t>-4.96968222777778</t>
  </si>
  <si>
    <t>-2.95</t>
  </si>
  <si>
    <t>-2.61111111111111</t>
  </si>
  <si>
    <t>-2.55491666666667</t>
  </si>
  <si>
    <t>-2.33513888888889</t>
  </si>
  <si>
    <t>Plywood</t>
  </si>
  <si>
    <t>Circular Economy; Time-dependency; Global Warming Potential (GWP); Dynamic life cycle assessment (LCA); Quality; Resource cascading</t>
  </si>
  <si>
    <t>LIFE-CYCLE ASSESSMENTS; IMPACT ASSESSMENT; BIOMASS RESOURCES; ENERGY; PRODUCTS; CARBON; LCA; OPTIMIZATION; EFFICIENCY; INVENTORY</t>
  </si>
  <si>
    <t>Faraca, G; Tonini, D; Astrup, TF</t>
  </si>
  <si>
    <t>Dynamic accounting of greenhouse gas emissions from cascading utilisation of wood waste</t>
  </si>
  <si>
    <t>Cascading utilisation of post-consumer wood waste has recently gained increasing attention in the European Union, aiming for a society in which the resource's properties are optimized through sequential uses. To date, material utilisation of wood waste has been limited to particleboard production, with additional niche alternatives being restricted by quality requirements for wood waste. In this consequential life cycle assessment focusing on post-consumer wood collected at Danish recycling centres, Global Warming Potential (GWP) impacts from quality-driven choices for cascading management of wood waste were compared with those from handling mixed wood waste qualities. GWPs were modelled by considering the dynamic profile of greenhouse gas emissions (including biogenic carbon dioxide) for two time horizons (100 and 500 years). The robustness of the results was tested by varying modelling assumptions with respect to electricity system, wood sourcing and associated rotation period, and impacts from indirect land use changes. The results demonstrated that valuing quality over quantity in wood waste management can ensure larger GWP savings, especially if recycling applications have a long lifetime and/or substitute energy-intensive products; such results were confirmed under all scenario analyses. Inclusion of land use changes credited land-intensive products. More cascade steps of the wood waste resource ensured larger savings; however, assumptions on the electricity mix, on the source of the wood alongside the choice of the time horizon for GWP greatly influenced the results on cascading management. (c) 2018 Elsevier B.V. All rights reserved.</t>
  </si>
  <si>
    <t>10.1016/j.scitotenv.2018.10.136</t>
  </si>
  <si>
    <t>Technical efficiency</t>
  </si>
  <si>
    <t>A1</t>
  </si>
  <si>
    <t>Supplementary E</t>
  </si>
  <si>
    <t>Denmark</t>
  </si>
  <si>
    <t>Czarnecki et al. 2005; Höglmeier et al., 2014;  Kim and Song, 2014;  Vis et al., 2016</t>
  </si>
  <si>
    <t>Lifespan</t>
  </si>
  <si>
    <t>C1 (50 years floor board)</t>
  </si>
  <si>
    <t>B1 (10 years)</t>
  </si>
  <si>
    <t>A1 (10 years floor board)</t>
  </si>
  <si>
    <t>Change in number of cascades</t>
  </si>
  <si>
    <t>B4</t>
  </si>
  <si>
    <t>wood recycled</t>
  </si>
  <si>
    <t>A4</t>
  </si>
  <si>
    <t>C1</t>
  </si>
  <si>
    <t>C4</t>
  </si>
  <si>
    <t>F1</t>
  </si>
  <si>
    <t>Forest carbon pool; Harvested wood product carbon pool; Methane emissions; Sessile oak; Forest management; Fossil fuel substitution</t>
  </si>
  <si>
    <t>LIFE-CYCLE ANALYSIS; ROTATION LENGTH; BEECH STANDS; SEQUESTRATION; DECOMPOSITION; SUBSTITUTION; INVENTORIES; EMISSIONS; BIOENERGY; SYSTEMS</t>
  </si>
  <si>
    <t>Fortin, M.; Ningre, F.; Robert, N; Mothe, F.</t>
  </si>
  <si>
    <t>Quantifying the impact of forest management on the carbon balance of the forest-wood product chain: A case study applied to even-aged oak stands in France</t>
  </si>
  <si>
    <t>In this study, we evaluated three different management scenarios in relation to their ability to maximize the carbon balance. The study was carried out within a context of managed even-aged sessile oak stands, and the management scenarios were contrasted in terms of stem density and rotation length. A system of models designed to represent the whole forest-wood product chain was used to assess the carbon balance of each scenario. The boundaries of this system were extended as far as possible to prevent any carbon leaks. Dead organic matter and disposed harvested wood products (HWPs) were taken into account in the assessment. The scenarios were compared in terms of their average stock in the forest and the HWP carbon pools, as well as some additional fluxes. These included: (i) substitution for fossil fuel; (ii) carbon emissions due to HWP processing; (iii) the accumulation of non-degradable carbon in the landfill; and (iv) methane emissions resulting from anaerobic decomposition of disposed HWPs. Results showed that the HWP carbon pools were about 10 times smaller than the forest carbon pools. The substitution for fossil fuel constituted the largest positive flux, whereas methane emissions in absence of methane recovery facilities accounted for 40% of the negative fluxes. The burning of wood products for energy was preferable to HWP disposal at the landfill site. As long as the risk of extreme climate events remains marginal, management scenarios that maintain higher stem densities over longer rotation lengths appeared to be favorable to carbon sequestration. (C) 2012 Elsevier B.V. All rights reserved.</t>
  </si>
  <si>
    <t>10.1016/j.foreco.2012.05.031</t>
  </si>
  <si>
    <t>Stand density</t>
  </si>
  <si>
    <t>low</t>
  </si>
  <si>
    <t>Standard</t>
  </si>
  <si>
    <t>MgC ha-1 CO2 eq</t>
  </si>
  <si>
    <t>Petersen Raymer (2006, see Table 14)</t>
  </si>
  <si>
    <t>Petersen and Solberg (2005)</t>
  </si>
  <si>
    <t>high</t>
  </si>
  <si>
    <t>Biomass; Co-firing; Coal; Energy crops; Great Lakes States; Greenhouse gas mitigation; Life Cycle Assessment; Sequestration</t>
  </si>
  <si>
    <t>UNITED-STATES; SEQUESTRATION; ENERGY; SOIL; DIVERSITY; CROPS; LAND; CO2</t>
  </si>
  <si>
    <t>Froese, RE; Shonnard, DR; Miller, CA; Koers, KP; Johnson, DM</t>
  </si>
  <si>
    <t>An evaluation of greenhouse gas mitigation options for coal-fired power plants in the US Great Lakes States</t>
  </si>
  <si>
    <t>We assessed options for mitigating greenhouse gas emissions from electricity generation in the US Great Lakes States, a region heavily dependent on coal-fired power plants. A proposed 600 MW power plant in northern Lower Michigan, USA provided context for our evaluation. Options to offset fossil CO2 emissions by 20% included biomass fuel substitution from (1) forest residuals, (2) short-rotation woody crops, or (3) switchgrass; (4) biologic sequestration in forest plantations; and (5) geologic sequestration using CO2 capture. Review of timber product output data, land cover data, and expected energy crop productivity on idle agriculture land within 120 km of the plant revealed that biomass from forestry residuals has the potential to offset 6% and from energy crops 27% of the annual fossil fuel requirement. Furthermore, annual forest harvest in the region is only 26% of growth and the surplus represents a large opportunity for forest products and bioenergy applications. We used Life Cycle Assessment (LCA) to compare mitigation options, using fossil energy demand and greenhouse gas emissions per unit electricity generation as criteria. LCA results revealed that co-firing with forestry residuals is the most attractive option and geologic sequestration is the least attractive option, based on the two criteria. Biologic sequestration is intermediate but likely infeasible because of very large land area requirements. Our study revealed that biomass feedstock potentials from land and forest resources are not limiting mitigation activities, but the most practical approach is likely a combination of options that optimize additional social, environmental and economic criteria. (C) 2009 Elsevier Ltd. All rights reserved.</t>
  </si>
  <si>
    <t>Biomass Bioenerg.</t>
  </si>
  <si>
    <t>10.1016/j.biombioe.2009.10.013</t>
  </si>
  <si>
    <t>Residues used for energy</t>
  </si>
  <si>
    <t>Short rotation wood</t>
  </si>
  <si>
    <t>Wood used</t>
  </si>
  <si>
    <t>kgCO2eq/kWh</t>
  </si>
  <si>
    <t>Fixed conversion</t>
  </si>
  <si>
    <t>forest products; global warming potential (GWP); industrial ecosystem; environmental assessment; life cycle assessment (LCA); carbon sequestration</t>
  </si>
  <si>
    <t>LIFE-CYCLE ASSESSMENT; IMPACT ASSESSMENT; BUILDING-MATERIALS; TEMPORARY-STORAGE; BIOGENIC CARBON; GREENHOUSE-GAS; ENERGY IMPACTS; MANAGEMENT; SYSTEMS; METRICS</t>
  </si>
  <si>
    <t>Ganguly, I; Pierobon, F; Hall, ES</t>
  </si>
  <si>
    <t>Global Warming Mitigating Role of Wood Products from Washington State's Private Forests</t>
  </si>
  <si>
    <t>Similar to standing trees in the forests, wood products play an important role in enhancing the global sequestered carbon pool, by retaining the atmospheric carbon in a sequestered form for the duration of the functional life of the wood products. This study uses a temporal radiative forcing analysis along with the functional half-life of different wood products to evaluate the impacts of wood products on global warming, including carbon storage and life cycle greenhouse gas production/extraction emissions. The methodology is applied to Washington State's aboveground biomass and timber harvest data, and to the State's comprehensive wood products mix. A moderate harvest rate simulation within Washington Biomass Calculator is used to estimate state harvest level, and statewide wood products manufacturing data is used for developing wood product mix estimates. Using this method, we estimate that the temporal carbon storage leads to a global warming mitigation benefit equivalent to 4.3 million tCO(2eq). Even after factoring in the greenhouse gas emissions associated with the harvest operations and wood products manufacturing processes, within the temporal model, the results show a net beneficial impact of approximately 1.7 million tCO(2eq), on an annual basis. It can further be noted that Washington State's annual biomass growth in its private forests exceeds its annual harvest, by a significant margin. This net yearly accumulation of biomass in the State's private forests leads to additional global warming mitigation benefits equivalent to 7.4 million tCO(2eq). Based on these results, we conclude that Washington's private forestry industry is a net global warming mitigator for the State, equivalent to 12% of the State's greenhouse gas emissions in 2015.</t>
  </si>
  <si>
    <t>10.3390/f11020194</t>
  </si>
  <si>
    <t>economic area</t>
  </si>
  <si>
    <t>Puget sound</t>
  </si>
  <si>
    <t>Olympic peninsula</t>
  </si>
  <si>
    <t>total harvest</t>
  </si>
  <si>
    <t>table 2</t>
  </si>
  <si>
    <t>bone-dry tons</t>
  </si>
  <si>
    <t>fig.5</t>
  </si>
  <si>
    <t>changed driver. Wood use is not a scenario because they are interlinked. Switched to location as a driver. Added the "without emissions" data</t>
  </si>
  <si>
    <t>inland empire</t>
  </si>
  <si>
    <t>LIFE-CYCLE ASSESSMENT; ENVIRONMENTAL PERFORMANCE; RESIDENTIAL CONSTRUCTION; ENERGY-CONSUMPTION; EMISSIONS; IMPACTS; SECTOR; DOORS</t>
  </si>
  <si>
    <t>Geng, AX; Chen, JX; Yang, HQ</t>
  </si>
  <si>
    <t>Assessing the Greenhouse Gas Mitigation Potential of Harvested Wood Products Substitution in China</t>
  </si>
  <si>
    <t>Substituting harvested wood products (HWP) for greenhouse gas (GHG) intensive nonwood materials in long-lived end uses has the potential to significantly reduce GHG emissions. To determine the mitigation effects of HWP substitution, we produced China-specific wood displacement factors (DFs) by HWP end use subcategory, defined as tonnes of carbon (tC) of reduced emissions per tC contained by the HWP substituted for typical alternative nonwood materials. The weighted average DFs for substituting HWP for nonwood materials in construction and furniture production in China were estimated to be 3.48 tC/tC and 1.36 tC/tC, respectively, or 2.90 tC/tC for HWP substitution when these two sectors were combined. If annual solid HWP consumption in China increased by 10% on the basis of 2014 consumption (an increase of 25.9 million m(3) of HWP) and these HWP were used to substitute for GHG-intensive materials in construction and furniture production, 18.76 Mt C of emission reduction can be achieved annually. Substituting HWP for nonwood materials in construction appeared to be more effective than in furniture manufacture in mitigating GHG emissions. Our study suggested that increasing HWP use in China, especially in the construction industry to substitute for nonwood materials can significantly contribute to China's emission reduction targets.</t>
  </si>
  <si>
    <t>10.1021/acs.est.8b06510</t>
  </si>
  <si>
    <t>material substitution</t>
  </si>
  <si>
    <t>dining room furniture</t>
  </si>
  <si>
    <t>HWP mass consumed in the material assembly</t>
  </si>
  <si>
    <t>kg/unit</t>
  </si>
  <si>
    <t>kgCO2eq/unit</t>
  </si>
  <si>
    <t>tonnes of carbon (tC) of reduced emissions per tC contained by the HWP substituted for typical alternative nonwood materials.</t>
  </si>
  <si>
    <t>added driver category and entered wood and emissions data.</t>
  </si>
  <si>
    <t>kitchen furniture</t>
  </si>
  <si>
    <t>bedroom furniture</t>
  </si>
  <si>
    <t>living room furniture</t>
  </si>
  <si>
    <t>urban bungalow brick-concrete</t>
  </si>
  <si>
    <t>tCO2eq/m2</t>
  </si>
  <si>
    <t>rural bungalow brick-concrete</t>
  </si>
  <si>
    <t>urban 4/6 stories brick-concrete</t>
  </si>
  <si>
    <t>urban 2/3 stories brick-concrete</t>
  </si>
  <si>
    <t>rural 2/3 stories brick-concrete</t>
  </si>
  <si>
    <t>urban bungalow reinforced-concrete</t>
  </si>
  <si>
    <t>other furniture</t>
  </si>
  <si>
    <t>Nonresidential brick-concrete</t>
  </si>
  <si>
    <t>urban 4/6 stories reinforced-concrete</t>
  </si>
  <si>
    <t>urban 2/3 stories reinforced-concrete</t>
  </si>
  <si>
    <t>office furniture</t>
  </si>
  <si>
    <t>Nonresidential reinforced-concrete</t>
  </si>
  <si>
    <t>AGROFORESTRY SYSTEMS</t>
  </si>
  <si>
    <t>ethanol; greenhouse gas; renewable energy; wood waste</t>
  </si>
  <si>
    <t>AGRICULTURAL LANDS; WESTERN CANADA; FEASIBILITY; ETHANOL; TREES</t>
  </si>
  <si>
    <t>Graham, PJ</t>
  </si>
  <si>
    <t>Potential for climate change mitigation through afforestation: an economic analysis of fossil fuel substitution and carbon sequestration benefits</t>
  </si>
  <si>
    <t>The impetus for this paper is Canada's commitment under the Kyoto Protocol to reduce national greenhouse gas emissions as well as reducing dependency on fossil fuels. This research assesses the economic viability of using biomass from afforested lands and industrial wood waste as a feedstock for ethanol production to substitute for fossil fuels in the transportation sector. Afforestation can increase the size of the carbon sink and also provide a source of renewable energy. Ethanol offers an excellent opportunity for greenhouse gas mitigation due to market potential, an ability to offset significant emissions from the transportation sector, and reduce emissions from CO2-intensive waste-management systems. A case study of the economics of a hypothetical ethanol production facility found that a facility capable of producing 122 million litres of ethanol annually could have a net present value of CDN$245 million over a planning horizon of 36 years. This facility would require a supply of up to 960 oven-dry tonnes of wood-biomass per day and would result in net annual reductions of greenhouse gas emissions of approximately 349,000 tonnes of CO2. This includes the carbon sequestered through the afforestation as well as emissions avoided through fossil fuel substitution. Using biomass from afforested lands and industrial wood waste as a fuel for energy production can be an economically viable tool for reducing greenhouse gas levels in the atmosphere, reducing reliance on fossil fuels and reducing the sensitivity of transportation fuel prices to changes in gasoline prices.</t>
  </si>
  <si>
    <t>Agrofor. Syst.</t>
  </si>
  <si>
    <t>Article; Proceedings Paper</t>
  </si>
  <si>
    <t>10.1023/A:1026145321640</t>
  </si>
  <si>
    <t>ethanol production plant</t>
  </si>
  <si>
    <t>no plant</t>
  </si>
  <si>
    <t>ethanol plant</t>
  </si>
  <si>
    <t>tonnes CO2</t>
  </si>
  <si>
    <t>Not specified, listed in table A1</t>
  </si>
  <si>
    <t>fixed timeunit consistency (annual)</t>
  </si>
  <si>
    <t>EARTHS FUTURE</t>
  </si>
  <si>
    <t>forest management; climate change mitigation; substitution effects; climate-smart forestry; ecosystem services; robust optimization</t>
  </si>
  <si>
    <t>GREENHOUSE-GAS CONCENTRATIONS; SHORT-ROTATION COPPICE; LPJ-GUESS V4.0; VEGETATION DYNAMICS; ECOSYSTEM SERVICES; LAND-USE; BIOMASS PRODUCTIVITY; CARBON SEQUESTRATION; UNMANAGED FORESTS; MANAGEMENT</t>
  </si>
  <si>
    <t>Gregor, K; Knoke, T; Krause, A; Reyer, CPO; Lindeskog, M; Papastefanou, P; Smith, B; Lanso, AS; Rammig, A</t>
  </si>
  <si>
    <t>Trade-Offs for Climate-Smart Forestry in Europe Under Uncertain Future Climate</t>
  </si>
  <si>
    <t>Forests mitigate climate change by storing carbon and reducing emissions via substitution effects of wood products. Additionally, they provide many other important ecosystem services (ESs), but are vulnerable to climate change; therefore, adaptation is necessary. Climate-smart forestry combines mitigation with adaptation, whilst facilitating the provision of many ESs. This is particularly challenging due to large uncertainties about future climate. Here, we combined ecosystem modeling with robust multi-criteria optimization to assess how the provision of various ESs (climate change mitigation, timber provision, local cooling, water availability, and biodiversity habitat) can be guaranteed under a broad range of climate futures across Europe. Our optimized portfolios contain 29% unmanaged forests, and implicate a successive conversion of 34% of coniferous to broad-leaved forests (11% vice versa). Coppices practically vanish from Southern Europe, mainly due to their high water requirement. We find the high shares of unmanaged forests necessary to keep European forests a carbon sink while broad-leaved and unmanaged forests contribute to local cooling through biogeophysical effects. Unmanaged forests also pose the largest benefit for biodiversity habitat. However, the increased shares of unmanaged and broad-leaved forests lead to reductions in harvests. This raises the question of how to meet increasing wood demands without transferring ecological impacts elsewhere or enhancing the dependence on more carbon-intensive industries. Furthermore, the mitigation potential of forests depends on assumptions about the decarbonization of other industries and is consequently crucially dependent on the emission scenario. Our findings highlight that trade-offs must be assessed when developing concrete strategies for climate-smart forestry.</t>
  </si>
  <si>
    <t>Earth Future</t>
  </si>
  <si>
    <t>10.1029/2022EF002796</t>
  </si>
  <si>
    <t>management type</t>
  </si>
  <si>
    <t>unmanaged</t>
  </si>
  <si>
    <t>base</t>
  </si>
  <si>
    <t>harvest</t>
  </si>
  <si>
    <t>m3/ha/yr (summed over all years)</t>
  </si>
  <si>
    <t>mitigation table4</t>
  </si>
  <si>
    <t>kgC/m2 (convert to /ha)</t>
  </si>
  <si>
    <t>Knauf et al., 2015</t>
  </si>
  <si>
    <t>C-pool table4</t>
  </si>
  <si>
    <t>toNe</t>
  </si>
  <si>
    <t>toBd</t>
  </si>
  <si>
    <t>base RCP4.5</t>
  </si>
  <si>
    <t>base RCP6.0</t>
  </si>
  <si>
    <t>table4 and tableS4</t>
  </si>
  <si>
    <t>mitigation table4 and tableS4</t>
  </si>
  <si>
    <t>unmanaged RCP4.5</t>
  </si>
  <si>
    <t>unmanaged RCP6.0</t>
  </si>
  <si>
    <t xml:space="preserve">Gustavsson, L., Holmberg, J., Dornburg, V., Sathre, R., Eggers, T., Mahapatra, K., &amp; Marland, G. </t>
  </si>
  <si>
    <t xml:space="preserve"> Using biomass for climate change mitigation and oil use reduction</t>
  </si>
  <si>
    <t xml:space="preserve"> Energy policy</t>
  </si>
  <si>
    <t>10.1016/j.enpol.2007.05.023</t>
  </si>
  <si>
    <t>energy technology used</t>
  </si>
  <si>
    <t>wood-frame building</t>
  </si>
  <si>
    <t>biomass cost of co2avoided. Text gives 400kgdrymatter/m3 and 15.3GJ/tonne dry matter</t>
  </si>
  <si>
    <t>power plant coal</t>
  </si>
  <si>
    <t>BLGCC</t>
  </si>
  <si>
    <t>diesel</t>
  </si>
  <si>
    <t>BLG DME</t>
  </si>
  <si>
    <t>DME</t>
  </si>
  <si>
    <t>gasoline</t>
  </si>
  <si>
    <t>methanol</t>
  </si>
  <si>
    <t>fuel oil lime kiln</t>
  </si>
  <si>
    <t>bark lime kiln</t>
  </si>
  <si>
    <t>gas boiler</t>
  </si>
  <si>
    <t>medium scale wood boiler</t>
  </si>
  <si>
    <t>small scale oil boiler</t>
  </si>
  <si>
    <t>pellet boiler</t>
  </si>
  <si>
    <t>biomass. Given in heating value with assumption of 15.3GJ/tonne and 400kg dry matter/m3</t>
  </si>
  <si>
    <t>DH gas CHP</t>
  </si>
  <si>
    <t>DH-BIG/CC CHP</t>
  </si>
  <si>
    <t>industrial space heating, oil boiler</t>
  </si>
  <si>
    <t>small scale gas boiler</t>
  </si>
  <si>
    <t>heat pump with bio-electricity</t>
  </si>
  <si>
    <t>Power-BIG/CC CHP</t>
  </si>
  <si>
    <t>heat plant base-load oil</t>
  </si>
  <si>
    <t>electric resistance</t>
  </si>
  <si>
    <t>electric boiler</t>
  </si>
  <si>
    <t>forest management models; carbon sink; forest harvest; forest reference level; production forests; multifunctional forests; set-aside forests</t>
  </si>
  <si>
    <t>IRREGULAR SHELTERWOOD SYSTEM; ECOSYSTEM SERVICES; IMPACTS; SUPPORT; CLIMATE; SINK</t>
  </si>
  <si>
    <t>Gusti, M; Di Fulvio, F; Biber, P; Korosuo, A; Forsell, N</t>
  </si>
  <si>
    <t>The Effect of Alternative Forest Management Models on the Forest Harvest and Emissions as Compared to the Forest Reference Level</t>
  </si>
  <si>
    <t>Background and Objectives: Under the Paris Agreement, the European Union (EU) sets rules for accounting the greenhouse gas emissions and removals from forest land (FL). According to these rules, the average FL emissions of each member state in 2021-2025 (compliance period 1, CP1) and in 2026-2030 (compliance period 2, CP2) will be compared to a projected forest reference level (FRL). The FRL is estimated by modelling forest development under fixed forest management practices, based on those observed in 2000-2009. In this context, the objective of this study was to estimate the effects of large-scale uptake of alternative forest management models (aFMMs), developed in the ALTERFOR project (Alternative models and robust decision-making for future forest management), on forest harvest and forest carbon sink, considering that the proposed aFMMs are expanded to most of the suitable areas in EU27+UK and Turkey. Methods: We applied the Global Forest Model (G4M) for projecting the harvest and sink with the aFMMs and compared our results to previous FRL projections. The simulations were performed under the condition that the countries should match the harvest levels estimated for their FRLs as closely as possible. A representation of such aFMMs as clearcut, selective logging, shelterwood logging and tree species change was included in G4M. The aFMMs were modeled under four scenarios of spatial allocation and two scenarios of uptake rate. Finally, we compared our results to the business as usual. Results: The introduction of the aFMMs enhanced the forest sink in CP1 and CP2 in all studied regions when compared to the business as usual. Conclusions: Our results suggest that if a balanced mixture of aFMMs is chosen, a similar level of wood harvest can be maintained as in the FRL projection, while at the same time enhancing the forest sink. In particular, a mixture of multifunctional aFMMs, like selective logging and shelterwood, could enhance the carbon sink by up to 21% over the ALTERFOR region while limiting harvest leakages.</t>
  </si>
  <si>
    <t>10.3390/f11080794</t>
  </si>
  <si>
    <t>Balanced forestry (all aFMMs are allowed equally, for trying to achieve a harvest close to the BAU-only case);</t>
  </si>
  <si>
    <t>Thousand m3 / year</t>
  </si>
  <si>
    <t>MtCO2 per year</t>
  </si>
  <si>
    <t>correct sign of Cdelta that is negative is the study, small change in wood harvest because objective is to see the effect of a change in harvest type for similar harvest level</t>
  </si>
  <si>
    <t>Multifunctional forestry (aFMMs aimed at multifunctional forest use, including selective logging, high production aimed forest management with untouched patches (hereinafter referred to as EU habitats) or with species change are prioritized)</t>
  </si>
  <si>
    <t>correct sign of Cdelta that is negative is the study</t>
  </si>
  <si>
    <t>Set-aside forestry (aimed at biodiversity, wilderness, restoration, stand edge management and other nature protection low-intensity management).</t>
  </si>
  <si>
    <t>Production forestry (alternative FMMs aimed at wood production, i.e., clearcut and shelterwood logging are prioritized)</t>
  </si>
  <si>
    <t>building structures; construction; cross&amp;#8208; laminated timber (CLT); embodied carbon; life cycle assessment (LCA); material efficiency</t>
  </si>
  <si>
    <t>Hart, J; D'Amico, B; Pomponi, F</t>
  </si>
  <si>
    <t>Whole-life embodied carbon in multistory buildings: Steel, concrete and timber structures</t>
  </si>
  <si>
    <t>Buildings and the construction industry are top contributors to climate change, and structures account for the largest share of the upfront greenhouse gas emissions. While a body of research exists into such emissions, a systematic comparison of multiple building structures in steel, concrete, and timber alternatives is missing. In this article, comparisons are made between mass and whole-life embodied carbon (WLEC) emissions of building superstructures using identical frame configurations in steel, reinforced concrete, and engineered timber frames. These are assessed and compared for 127 different frame configurations, from 2 to 19 stories. Embodied carbon coefficients for each material and life cycle stage are represented by probability density functions to capture the uncertainty inherent in life cycle assessment. Normalized results show clear differences between the masses of the three structural typologies, with the concrete frame approximately five times the mass of the timber frame, and 50% higher than the steel frame. The WLEC emissions are mainly governed by the upfront emissions (cradle to practical completion), but subsequent emissions are still significant-particularly in the case of timber for which 36% of emissions, on average, occur post-construction. Results for WLEC are more closely grouped than for masses, with median values for the timber frame, concrete frame, and steel frame of 119, 185, and 228 kgCO(2)e/m(2), respectively. Despite the advantage for timber in this comparison, there is overlap between the results distributions, meaning that close attention to efficient design and procurement is essential. This article met the requirements for a gold-gold JIE data openness badge described in .</t>
  </si>
  <si>
    <t>10.1111/jiec.13139</t>
  </si>
  <si>
    <t>Changes in wood amount component in building structure</t>
  </si>
  <si>
    <t>STEEL FRAME with COMPOSITE FLOOR DECK</t>
  </si>
  <si>
    <t>GLULAM FRAME with CLT FLOOR SLABS</t>
  </si>
  <si>
    <t xml:space="preserve">Total mass timber </t>
  </si>
  <si>
    <t>See onglet Hart_2021</t>
  </si>
  <si>
    <t>Tonne / m2</t>
  </si>
  <si>
    <t>table S4</t>
  </si>
  <si>
    <t xml:space="preserve"> kgCO2e/m2  </t>
  </si>
  <si>
    <t>REINFORCED CONCRETE FRAME</t>
  </si>
  <si>
    <t>Life cycle assessment; Building design; Embodied carbon; Timber; Climate emergency</t>
  </si>
  <si>
    <t>LIFE-CYCLE ASSESSMENT; BIO-BASED MATERIALS; TEMPORARY-STORAGE; CHANGE MITIGATION; BIOGENIC CARBON; SEQUESTRATION; EMISSIONS; WOOD; LCA; CONSTRUCTION</t>
  </si>
  <si>
    <t>Hawkins, W; Cooper, S; Allen, S; Roynon, J; Ibell, T</t>
  </si>
  <si>
    <t>Embodied carbon assessment using a dynamic climate model: Case-study comparison of a concrete, steel and timber building structure</t>
  </si>
  <si>
    <t>The enormous environmental impact of construction is becoming increasingly apparent and unacceptable to many structural engineers, whose designs typically account for the majority of a building's embodied carbon. It is timely, therefore, that consensus is forming around a methodology for calculating embodied carbon. This encourages the inclusion of all life cycle stages, from material production and construction, through use and eventual demolition, disposal and reuse. In practice, however, end-of-life processes are fraught with uncertainty and often ignored, despite the potentially large associated carbon fluxes. Further uncertainty exists when considering bio-based construction materials, which store carbon during use. There are no widely-accepted means of accounting for timing of these carbon fluxes, despite the long service life of most buildings. Could we consider whole-life carbon in a more holistic and climate-focused way? This article uses dynamic life cycle assessment to convert greenhouse gas emission histories to key climate impacts using a simple dynamic model. The implications for structural design decisions are explored by comparing concrete, steel and timber options for a typical medium-rise building structure. Concrete is found to have a higher impact than steel, with the climate response of both options dominated by the large initial emissions of material production and construction. Timber has the smallest impact, for this example, under a typical scenario with sustainable forest management and re-emission of sequestered carbon at end-of-life. The analysis takes a forward-looking approach to sequestration, with timing corresponding to the growth of replanted trees. An optimistic timber scenario, whereby future carbon-capture technology avoids most end-of-life emissions, demonstrates the possibility of structures with small long-term climate cooling effects. Conversely, in a hypothetical worst-case scenario where no replanting or subsequent sequestration occurs, the long-term warming effect of the timber structure is increased by the net emission of biogenic carbon. Although end-of-life processes are important in the long-term, particularly for timber, the analysis also highlights the importance of the initial emissions from material production and construction. These cause high rates of short-term temperature increase and prolonged accumulation of radiative heat for all the buildings, but the impacts are again lowest for timber. Most importantly, the investigation shows how dynamic life cycle assessment can be used to explore climate impacts in a comprehensive, graphical and unbiased way. As a simple extension to established methodologies for calculating embodied carbon, it is a powerful decision making tool in the climate emergency.</t>
  </si>
  <si>
    <t>10.1016/j.istruc.2020.12.013</t>
  </si>
  <si>
    <t>Wood + BECCS instead of Wood Year 100</t>
  </si>
  <si>
    <t>Wood</t>
  </si>
  <si>
    <t>Wood + BECCS</t>
  </si>
  <si>
    <t>Wood + BECCS instead of Wood Year 35</t>
  </si>
  <si>
    <t>Wood + BECCS instead of Wood Year 2</t>
  </si>
  <si>
    <t>Wood instead of Wood + no replanting Year 35</t>
  </si>
  <si>
    <t>Wood + no replanting</t>
  </si>
  <si>
    <t>can be split by LCA stages</t>
  </si>
  <si>
    <t>Wood instead of Wood + no replanting Year 100</t>
  </si>
  <si>
    <t>Wood instead of Wood + no replanting Year 2</t>
  </si>
  <si>
    <t>Steel instead of Wood Year 100</t>
  </si>
  <si>
    <t>Concrete instead of Wood Year 100</t>
  </si>
  <si>
    <t>Steel instead of Wood Year 2</t>
  </si>
  <si>
    <t>Steel instead of Wood Year 35</t>
  </si>
  <si>
    <t>Concrete instead of Wood Year 2</t>
  </si>
  <si>
    <t>Concrete instead of Wood Year 35</t>
  </si>
  <si>
    <t>Harvesting intensity</t>
  </si>
  <si>
    <t>Climate change; SSP; Forestry; Agriculture</t>
  </si>
  <si>
    <t>CLIMATE-CHANGE; SCENARIOS; ASSUMPTIONS; MITIGATION; PATHWAYS; IMPACTS; CHOICES; SYSTEM; HEALTH</t>
  </si>
  <si>
    <t>Jones, JPH; Baker, JS; Austin, K; Latta, G; Wade, CM; Cai, YX; Aramayo-Lipa, L; Beach, R; Ohrel, SB; Ragnauth, S; Creason, J; Cole, J</t>
  </si>
  <si>
    <t>Importance of Cross-Sector Interactions When Projecting Forest Carbon across Alternative Socioeconomic Futures</t>
  </si>
  <si>
    <t>In recent decades, the carbon sink provided by the U.S. forest sector has offset a sizable portion of domestic greenhouse gas (GHG) emissions. In the future, the magnitude of this sink has important implications not only for projected U.S. net GHG emissions under a reference case but also for the cost of achieving a given mitigation target. The larger the contribution of the forest sector towards reducing net GHG emissions, the less mitigation is needed from other sectors. Conversely, if the forest sector begins to contribute a smaller sink, or even becomes a net source, mitigation requirements from other sectors may need to become more stringent and costlier to achieve economy wide emissions targets. There is acknowledged uncertainty in estimates of the carbon sink provided by the U.S. forest sector, attributable to large ranges in the projections of, among other things, future economic conditions, population growth, policy implementation, and technological advancement. We examined these drivers in the context of an economic model of the agricultural and forestry sectors, to demonstrate the importance of cross-sector interactions on projections of emissions and carbon sequestration. Using this model, we compared detailed scenarios that differ in their assumptions of demand for agriculture and forestry products, trade, rates of (sub)urbanization, and limits on timber harvest on protected lands. We found that a scenario assuming higher demand and more trade for forest products resulted in increased forest growth and larger net GHG sequestration, while a scenario featuring higher agricultural demand, ceteris paribus led to forest land conversion and increased anthropogenic emissions. Importantly, when high demand scenarios are implemented conjunctively, agricultural sector emissions under a high income-growth world with increased livestock-product demand are fully displaced by substantial GHG sequestration from the forest sector with increased forest product demand. This finding highlights the potential limitations of single-sector modeling approaches that ignore important interaction effects between sectors.</t>
  </si>
  <si>
    <t>10.1561/112.00000449</t>
  </si>
  <si>
    <t>Increase in patterns of urban- and suburbanization</t>
  </si>
  <si>
    <t xml:space="preserve"> SSP5-Dev</t>
  </si>
  <si>
    <t>SSP5-For</t>
  </si>
  <si>
    <t>Total Sawlog and Pulplog Supply</t>
  </si>
  <si>
    <t>See onglet Jones_2019</t>
  </si>
  <si>
    <t>See onglet Jones_2021</t>
  </si>
  <si>
    <t>t Co2</t>
  </si>
  <si>
    <t>use cumulative harvest for Qwood since C is cumulative</t>
  </si>
  <si>
    <t xml:space="preserve">Increase in domestic demand for, and international trade of, forest products </t>
  </si>
  <si>
    <t>SSP1</t>
  </si>
  <si>
    <t>Increase in domestic demand for agricultural products due to small changes in income but large shifts in dietary preferences, as well as shifts in export demand due to dietary changes</t>
  </si>
  <si>
    <t>SSP5-Ag</t>
  </si>
  <si>
    <t>TECHNOLOGICAL FORECASTING AND SOCIAL CHANGE</t>
  </si>
  <si>
    <t>Scenario analysis; Forest sector modelling; Bioeconomy; Sustainability; Employment; Climate change mitigation</t>
  </si>
  <si>
    <t>WOOD-PRODUCT MARKETS; LAND-USE CHANGE; SCENARIO ANALYSIS; CARBON-DYNAMICS; GREENHOUSE-GAS; CONSTRUCTION; ENERGY; MANAGEMENT; FUTURE; INDUSTRY</t>
  </si>
  <si>
    <t>Jonsson, R; Rinaldi, F; Pilli, R; Fiorese, G; Hurmekoski, E; Cazzaniga, N; Robert, N; Camia, A</t>
  </si>
  <si>
    <t>Boosting the EU forest-based bioeconomy: Market, climate, and employment impacts</t>
  </si>
  <si>
    <t>This study adds to the scientific literature dealing with the climate change mitigation implications of wood substitution. Its main scientific contribution rests with the modelling approach. By fully integrating forest resource and wood-product markets modelling in quantitative scenario analysis, we account for international trade in wood products as well as impacts on EU forests and forest-based sector employment of an increased EU uptake of wood-based construction and/or biochemicals and biofuels. Our results confirm the crucial role of the sawmilling industry in the forest-based bioeconomy. Thus, boosting wood-based construction in the EU would be most effective in increasing EU production and employment-in logging and solid wood-products manufacturing, but also in sectors using sawmilling byproducts as feedstock. Vertical integration in wood-based biorefineries should thus be advantageous. The positive EU climate-change mitigation effects of increased carbon storage in harvested wood products (HWP) and material substitution from increased wood construction are more than offset by reduced net forests carbon sinks by 2030, due to increased EU harvests. Further, increased EU imports, resulting in lower consumption of sawnwood outside the EU, would reduce extra-EU long-life HWP carbon storage and substitution of GHG-intensive materials, highlighting the need for concerted international climate change mitigation.</t>
  </si>
  <si>
    <t>Technol. Forecast. Soc. Chang.</t>
  </si>
  <si>
    <t>10.1016/j.techfore.2020.120478</t>
  </si>
  <si>
    <t>Harvest increase for construction (perimeter = total forest sector)</t>
  </si>
  <si>
    <t>Harvest construction</t>
  </si>
  <si>
    <t>10^3 m3</t>
  </si>
  <si>
    <t>Valade, A., Bellassen, V., Magand, C., Luyssaert, S., 2017. Sustaining the sequestration</t>
  </si>
  <si>
    <t>***</t>
  </si>
  <si>
    <t>Harvest increase for construction (perimeter = value chain only)</t>
  </si>
  <si>
    <t>Harvest increase for both construction and energy/chemistry (perimeter = total forest sector)</t>
  </si>
  <si>
    <t>Harvest construction and energy/chemistry</t>
  </si>
  <si>
    <t>Harvest increase for both construction and energy/chemistry (perimeter = value chain only)</t>
  </si>
  <si>
    <t>Harvest increase for energy/chemistry (perimeter = total forest sector)</t>
  </si>
  <si>
    <t>Harvest energy/chemistry</t>
  </si>
  <si>
    <t>Harvest increase for energy/chemistry (perimeter = value chain only)</t>
  </si>
  <si>
    <t>GHG accounting; carbon savings; material substitution; material stocks; wood construction; dynamic stock model</t>
  </si>
  <si>
    <t>GREENHOUSE-GAS DYNAMICS; LIFE-CYCLE ASSESSMENT; ENERGY; PRODUCTS; IMPACTS; SUBSTITUTION; EMISSIONS; BIOMASS</t>
  </si>
  <si>
    <t>Kalt, G</t>
  </si>
  <si>
    <t>Carbon dynamics and GHG implications of increasing wood construction: long-term scenarios for residential buildings in Austria</t>
  </si>
  <si>
    <t>Wooden construction elements often exhibit lower life cycle greenhouse gas (GHG) emissions than conventional counterparts (material substitution effect'). Moreover, the building stock represents a carbon (C) sink if timber inflows (construction) surpass outflows (demolition) (C-stock effect'). A dynamic stock model incorporating these effects is applied to quantify potential climate benefits of wood construction in Austria's residential building sector. If present trends are maintained, culminating in a wood construction share (WCS) of 50% during 2050-2100, building shells could contain three times as much C in 2100 as today. Annual timber demand for residential construction could double, but would remain well below Austria's current net exports. Compared to a baseline scenario with constant WCS (22%), cumulated GHG savings from material substitution until 2050 are estimated 2 to 4.2 Tg CO2-equivalent - clearly less than savings from C-stock expansion (9.2 Tg). Savings from both effects would double in a highly ambitious scenario (WCS=80% during 2050-2100). The applied 'Stock Change Approach' is consistent with IPCC Guidelines, but the above-mentioned savings from C-stock changes would not materialize under the current default GHG inventory accounting approach. Moreover, savings from C-stock effects must eventually be weighed against forest C-stock changes, as growing domestic demand might stimulate wood harvesting.</t>
  </si>
  <si>
    <t>10.1080/17583004.2018.1469948</t>
  </si>
  <si>
    <t>Share of wood in construction</t>
  </si>
  <si>
    <t>Baseline 22%</t>
  </si>
  <si>
    <t>Rapid increase 80%</t>
  </si>
  <si>
    <t>Hafner A, Sch€afer S. Comparative LCA study of different</t>
  </si>
  <si>
    <t>Continued increase 50%</t>
  </si>
  <si>
    <t>bioenergy; bioethanol; carbon accounting; greenhouse gas (GHG) emissions; industrial ecology; short-rotation woody crops</t>
  </si>
  <si>
    <t>PRODUCTS; MANAGEMENT</t>
  </si>
  <si>
    <t>Kayo, C; Aramaki, T; Hanaki, K</t>
  </si>
  <si>
    <t>Effect of Change of Forest Carbon Storage on Net Carbon Dioxide Balance of Wood Use for Energy in Japan</t>
  </si>
  <si>
    <t>This study analyzed the net carbon dioxide (CO(2)) emission reductions between 2005 and 2050 by using wood for energy under various scenarios of forest management and energy conversion technology in Japan, considering both CO(2) emission reductions from replacement of fossil fuels and changes in carbon storage in forests. According to our model, wood production for energy results in a significant reduction of carbon storage levels in forests (by 46% to 77% in 2050 from the 2005 level). Thus, the net CO(2) emission reduction when wood is used for energy becomes drastically smaller. Conventional tree production for energy increases net CO(2) emissions relative to preserving forests, but fast-growing tree production may reduce net CO(2) emissions more than preserving forests does. When wood from fast-growing trees is used to generate electricity with gas turbines, displacing natural gas, the net CO(2) emission reduction from the combination of fast-growing trees and electricity generation with gas turbines is about 58% of the CO(2) emission reduction from electricity generation from gas turbines alone in 2050, and an energy conversion efficiency of around 20% or more is required to obtain net reductions over the entire period until 2050. When wood is used to produce bioethanol, displacing gasoline, net reductions are realized after 2030, provided that heat energy is recovered from residues from ethanol production. These results show the importance of considering the change in carbon storage when estimating the net CO(2) emission reduction effect of the wood use for energy.</t>
  </si>
  <si>
    <t>10.1111/j.1530-9290.2010.00308.x</t>
  </si>
  <si>
    <t>ethanol from wood RT=45 years</t>
  </si>
  <si>
    <t>ethanol from wood RT=30 years</t>
  </si>
  <si>
    <t xml:space="preserve">Wood and harvest residues </t>
  </si>
  <si>
    <t>electricty from wood gaseification conventional Tree RT =45 years; P_Gas</t>
  </si>
  <si>
    <t>electricty from wood gaseification fast growing Tree RT =10 years; P_Gas</t>
  </si>
  <si>
    <t>ethanol from wood RT=10 years</t>
  </si>
  <si>
    <t>electricity from wood gaseification conventional Tree RT =30 years; P_Gas</t>
  </si>
  <si>
    <t>electricity from natural gas</t>
  </si>
  <si>
    <t>electricty from natural gas</t>
  </si>
  <si>
    <t>electricty from direct burning fast growing Tree RT =10 years; P_Steam</t>
  </si>
  <si>
    <t>electricty from combined direct burning and steam turbine fast growing Tree RT =10 years; P_Combined</t>
  </si>
  <si>
    <t>ENVIRONMENTAL SCIENCE &amp; POLICY</t>
  </si>
  <si>
    <t>Carbon stock; Fossil fuel consumption; Future scenario analysis; Harvested wood products; Inter-regional flow</t>
  </si>
  <si>
    <t>US FOREST SECTOR; SEQUESTRATION; MANAGEMENT</t>
  </si>
  <si>
    <t>Kayo, C; Tsunetsugu, Y; Noda, H; Tonosaki, M</t>
  </si>
  <si>
    <t>Carbon balance assessments of harvested wood products in japan taking account of inter-regional flows</t>
  </si>
  <si>
    <t>We constructed a model to assess the carbon balance of harvested wood products (HWP) used for building, furniture, paper/paperboard and energy, taking into account flows of wood between regions of Japan. We projected the carbon balance in each region until 2050 under two future scenarios, a BAU (business as usual) scenario and a wood use promotion scenario. We found the carbon stock in domestic harvested wood products became a carbon emission source, with Central Japan becoming the largest emission source, after 2020 in the BAU scenario but continued to function as a carbon sink in every region over the whole period in the wood promotion scenario. Therefore, unless future supply and demand amounts of domestic wood are increased by factors such as policies promoting the use of wood, the carbon stock of domestic wood may become an emission source rather than a sink. By promoting the use of domestic wood, the carbon stock acts as a carbon sink in every region. Carbon emissions from fossil fuel consumption with respect to HWP in the whole of Japan fell to 72% of the 2004 value in 2050 in the BAU scenario, but rose to 112% in the wood promotion scenario. Emissions from wood transport were greatest in Central Japan, emissions from sawn wood processing were highest in West Japan, and emissions from plywood processing and woodchip processing were greatest in East Japan. In carbon balances that included the annual changes in the carbon stock amounts of domestic harvested wood, only Central Japan in the wood promotion scenario had carbon removals greater than its carbon emissions from fossil fuel consumption in the years 2005-2045. In addition, when considering reductions in carbon emissions by substitution of fossil fuels with wood residues and waste wood in the carbon balances, the sum of the removals from carbon stock changes and the reductions of carbon emissions were greater than the carbon emissions associated with HWP over the entire period in all three regions in both scenarios. (C) 2013 Elsevier Ltd. All rights reserved.</t>
  </si>
  <si>
    <t>Environ. Sci. Policy</t>
  </si>
  <si>
    <t>10.1016/j.envsci.2013.09.006</t>
  </si>
  <si>
    <t>Amounts of wood used increases in the future in accordance with policies promoting supply and demand for wood</t>
  </si>
  <si>
    <t>Production</t>
  </si>
  <si>
    <t>m3/year</t>
  </si>
  <si>
    <t>bioenergy; calculation tool; carbon balance; decomposition; ecosystem; life cycle; sustainability</t>
  </si>
  <si>
    <t>GREENHOUSE-GAS EMISSIONS; CLIMATE-CHANGE; TEMPERATURE SENSITIVITY; NORWAY SPRUCE; CARBON STOCKS; SOIL; BIOFUELS; ENERGY; TIMBER; MANAGEMENT</t>
  </si>
  <si>
    <t>Kilpelainen, A; Alam, A; Strandman, H; Kellomaki, S</t>
  </si>
  <si>
    <t>Life cycle assessment tool for estimating net CO2 exchange of forest production</t>
  </si>
  <si>
    <t>The study describes an integrated impact assessment tool for the net carbon dioxide (CO2) exchange in forest production. The components of the net carbon exchange include the uptake of carbon into biomass, the decomposition of litter and humus, emissions from forest management operations and carbon released from the combustion of biomass and degradation of wood-based products. The tool enables the allocation of the total carbon emissions to the timber and energy biomass and to the energy produced on the basis of biomass. In example computations, ecosystem model simulations were utilized as an input to the tool. We present results for traditional timber production (pulpwood and saw logs) and integrated timber and bioenergy production (logging residues, stumps and roots) for Norway spruce, in boreal conditions in Finland, with two climate scenarios over one rotation period. The results showed that the magnitude of management related emissions on net carbon exchange was smaller when compared with the total ecosystem fluxes; decomposition being the largest emission contributor. In addition, the effects of management and climate were higher on the decomposition of new humus compared with old humus. The results also showed that probable increased biomass growth, obtained under the changing climate (CC), could not compensate for decomposition and biomass combustion related carbon loss in southern Finland. In our examples, the emissions allocated for the energy from biomass in southern Finland were 172 and 188 kg CO2 MW h(-1) in the current climate and in a CC, respectively, and 199 and 157 kg CO2 MW h(-1) in northern Finland. This study concludes that the tool is suitable for estimating the net carbon exchange of forest production. The tool also enables the allocation of direct and indirect carbon emissions, related to forest production over its life cycle, in different environmental conditions and for alternative time periods and land uses. Simulations of forest management regimes together with the CC give new insights into ecologically sustainable forest bioenergy and timber production, as well as climate change mitigation options in boreal forests.</t>
  </si>
  <si>
    <t>10.1111/j.1757-1707.2011.01101.x</t>
  </si>
  <si>
    <t>supply chain</t>
  </si>
  <si>
    <t>traditional timber production regime Southern Finland</t>
  </si>
  <si>
    <t>integrated timber Southern Finland</t>
  </si>
  <si>
    <t xml:space="preserve">Quantity of logs, pulp and energy wood harvested </t>
  </si>
  <si>
    <t>g CO2eq/m2/year</t>
  </si>
  <si>
    <t>traditional timber production regime Northern Finland</t>
  </si>
  <si>
    <t>integrated timber Northern Finland</t>
  </si>
  <si>
    <t>climate change mitigation; carbon offset in forest projects; harvested wood products; substitution effects; unmanaged forests</t>
  </si>
  <si>
    <t>OLD-GROWTH FORESTS; SOIL CARBON; EUROPEAN BEECH; DEAD WOOD; DYNAMICS; STORAGE; SEQUESTRATION; DECOMPOSITION; BUDGET; STOCKS</t>
  </si>
  <si>
    <t>Klein, D; Hollerl, S; Blaschke, M; Schulz, C</t>
  </si>
  <si>
    <t>The Contribution of Managed and Unmanaged Forests to Climate Change Mitigation-A Model Approach at Stand Level for the Main Tree Species in Bavaria</t>
  </si>
  <si>
    <t>Forestry-based carbon sequestration projects demand a comprehensive quantification of the different climate change mitigation effects. In our study, we modeled a life cycle of managed pure stands consisting of the four main tree species in Bavaria (spruce, pine, beech and oak). For spruce and beech, an unmanaged stand was additionally integrated in order to analyze the differences in climate change mitigation effects compared to the managed stands. We developed a climate change mitigation model, where stand development and silvicultural treatments including harvested timber volumes were conducted using the tree growth model Silva 2.3. The harvested wood products (HWP), including their substitution effects were calculated with a subsequent model. For unmanaged beech forests, we compiled measured data from the literature, and Bavarian strict forest reserves for validating our model results. The results for the managed stands reveal that spruce provides the highest total climate change mitigation effects. After a simulation period of 180 years, one hectare leads to a mean mitigation benefit of 13.5 Mg CO2 ha(-1) year(-1). In comparison, results for pine, beech and oak reveal lesser benefits with 10.1 Mg CO2 ha(-1) year(-1), 9.1 Mg CO2 ha(-1) year(-1) and 7.2 Mg CO2 ha(-1) year(-1), respectively. However, these results assume current growing conditions. Considering climate change, it is very likely that spruce will not be suitable in several regions of Bavaria in the future. Furthermore, excessive disturbances could affect spruce more drastically than the other tree species. In that case, the order could change and beech could exceed spruce. Thus the results cannot be seen as a general recommendation to establish spruce stands in order to achieve optimal climate change mitigation benefits. Nevertheless, results for spruce illustrate that high increment and especially wood use in long-lived products is crucial for high climate change mitigation effects. Mitigation effects in unmanaged spruce and beech stands do not differ in the first decades from their managed counterparts, but are below them in the long term with a total climate change mitigation benefit of 8.0 Mg CO2 ha(-1) year(-1) and 7.2 Mg CO2 ha(-1) year(-1), respectively. These differences are mainly caused by the missing substitution effects in the unmanaged stands. However, the precise dimensions of substitution effects still remain uncertain and the lack of data should be reduced via additional life cycle assessments for more products and product classes. However, neglecting substitution effects in climate change mitigation models leads to severe underestimations of the mitigation effects in managed forests.</t>
  </si>
  <si>
    <t>10.3390/f4010043</t>
  </si>
  <si>
    <t>Presence of active forest management</t>
  </si>
  <si>
    <t>No management</t>
  </si>
  <si>
    <t>With management</t>
  </si>
  <si>
    <t>Harvesting of HWP cumulated over the 180 year period</t>
  </si>
  <si>
    <t>0.675 Mg CO2 m−3: Köhl, M.; Frühwald, A.; Kenter, B.; Olschofsky, K.; Köhler, R.; Köthke, M.; Rüter, S.;
Pretzsch, H.; Rötzer, T.; Makeschin, F.; et al. Potential und Dynamik der Kohlenstoffspeicherung
in Wald und Holz: Beitrag des deutschen Forst- und Holzsektors zum Klimaschutz. vTI Agric. For.
Res. Sonderheft 2009, 327, 103–109.</t>
  </si>
  <si>
    <t>0.7 Mg CO2 m−3: Hofer, P.; Taverna, R.; Werner, F.; Kaufmann, E.; Thürig, E. CO2-Effekte der Schweitzer
Wald- und Holzwirtschaft. Szenarien zukünftiger Beiträge zum Klimaschutz; Bundesamt für
Umwelt, BAFU: Bern, Switzerland, 2007; p. 102.</t>
  </si>
  <si>
    <t>Type of species</t>
  </si>
  <si>
    <t>Beech</t>
  </si>
  <si>
    <t>Oak</t>
  </si>
  <si>
    <t>Pine</t>
  </si>
  <si>
    <t>Spruce</t>
  </si>
  <si>
    <t>logistics; supply chain management; multimodal and unimodal transport; forest products industry; decision support systems</t>
  </si>
  <si>
    <t>CHAIN; OPTIMIZATION; DESIGN</t>
  </si>
  <si>
    <t>Kogler, C; Rauch, P</t>
  </si>
  <si>
    <t>A discrete-event simulation model to test multimodal strategies for a greener and more resilient wood supply</t>
  </si>
  <si>
    <t>Increasing occurrences of natural disturbances, including windstorms and high snow cover, and supply chain risks lead to severe irregularities in wood harvest and transport. To overcome resulting supply difficulties, innovative multimodal systems via rail terminals are promising options offering the potential to increase buffer capacity, improve supply chain resilience, and reduce greenhouse gas emissions. Therefore, a train terminal is included in a virtual simulation environment spanning the entire wood supply chain from forest to industry to test, analyze, and evaluate a complex multimodal system in different scenario settings. Furthermore, the simulation model provides intuitive decision support through animation and a cockpit of key performance indicators, facilitating hands-on workshops with supply chain managers. Results show the advantage of a combination of unimodal and multimodal transport in the wood supply chain of the observed case-study region. This combination proves to be resilient and outperforms other tested supply chain strategies by avoiding both bottlenecks and ill-timed plans and reducing carbon dioxide (CO2) emissions. Furthermore, workshops conducted with industry experts indicate that adapting collaborative supply chain control strategies by means of a participatory simulation environment enhances the development of advanced risk management and therefore improves supply chain resilience, efficiency, and sustainability.</t>
  </si>
  <si>
    <t>10.1139/cjfr-2018-0542</t>
  </si>
  <si>
    <t>Wood production face to climate risk</t>
  </si>
  <si>
    <t>SNOW(MULTI)</t>
  </si>
  <si>
    <t>BAU(MULTI)</t>
  </si>
  <si>
    <t>transported</t>
  </si>
  <si>
    <t>CO2 eq (Table5)</t>
  </si>
  <si>
    <t>STORM(MULTI)</t>
  </si>
  <si>
    <t>SNOW(BOTH)</t>
  </si>
  <si>
    <t>BAU(BOTH)</t>
  </si>
  <si>
    <t>STORM(BOTH)</t>
  </si>
  <si>
    <t xml:space="preserve">SWOW(UNI) </t>
  </si>
  <si>
    <t>BAU(UNI)</t>
  </si>
  <si>
    <t>STORM(UNI)</t>
  </si>
  <si>
    <t>Organization of transports</t>
  </si>
  <si>
    <t>SNOW(UNI)</t>
  </si>
  <si>
    <t>Afforestation; Carbon dynamic; P. nigra; Quercus sp.; Ecosystem management; Optimization</t>
  </si>
  <si>
    <t>INCORPORATING TIMBER; LAND-USE; SEQUESTRATION; VALUES; WATER; STOCKS; PINE; AFFORESTATION; IMPACT; OXYGEN</t>
  </si>
  <si>
    <t>Kucuker, DM</t>
  </si>
  <si>
    <t>Analyzing the effects of various forest management strategies and carbon prices on carbon dynamics in western Turkey</t>
  </si>
  <si>
    <t>Determining appropriate management strategies to reduce greenhouse gas emissions using optimization techniques to understand how forest management activities affect the carbon dynamics is critical in implementing effective carbon management policies. This paper quantitatively analyzes the long-term effects of different management policies and silvicultural interventions using linear programming. In the analyses, afforestation targets for bare forest lands, tree species, carbon prices, planning approaches and sets of various targets and constraints on carbon dynamics were evaluated. The results were based on twenty-five forest management scenarios formulated for the Korucu Forest Planning Unit of Turkey. The results showed that, compared to timber-based planning strategies (TM), ecosystem-based planning approach (EM) contributes to a significant reduction in carbon sequestration in many cases. When different afforestation targets were incorporated into forest management strategies, cumulative carbon sequestration increased constantly compared to baseline scenario without any afforestation areas. In addition, the highest total carbon sequestration was observed when black pine (P. nigra) was used in afforestation activities rather than oak species (Quercus sp.) and other available tree species. While total timber production and timber net present value (NPV) decreased, carbon sequestration increased significantly with increasing carbon price. As a result of increasing carbon price from $20/ton to $100/ton, joint NPV increased by about five times. The results highlighted the importance of forest ecosystem and developing and implementing climate adaption measures into forest management activities in tackling climate change phenomenon.</t>
  </si>
  <si>
    <t>10.1016/j.jenvman.2019.109356</t>
  </si>
  <si>
    <t>Carbon price</t>
  </si>
  <si>
    <t>TCNPV3 (Table 6)</t>
  </si>
  <si>
    <t>Gg C</t>
  </si>
  <si>
    <t>Unclear</t>
  </si>
  <si>
    <t>TCNPV1 (Table 6)</t>
  </si>
  <si>
    <t>Afforestation</t>
  </si>
  <si>
    <t>EMC5 (Table3)</t>
  </si>
  <si>
    <t>EMC8 (Table3)</t>
  </si>
  <si>
    <t>Tree species</t>
  </si>
  <si>
    <t>EMC4P (Table 4)</t>
  </si>
  <si>
    <t>EMC4 (Table 4)</t>
  </si>
  <si>
    <t>How the species change to pinus nigra results in more sequestration and less timber is unclear, as well as many elements in this study (time-averaging method, …)</t>
  </si>
  <si>
    <t>EMC4O (Table 4)</t>
  </si>
  <si>
    <t>EMT4P (Table 4)</t>
  </si>
  <si>
    <t>EMT4 (Table 4)</t>
  </si>
  <si>
    <t>EMT4O (Table 4)</t>
  </si>
  <si>
    <t>ECOLOGICAL MODELLING</t>
  </si>
  <si>
    <t>Climate change; Carbon; Sustainable carbon storage capacity; Forest management; Wood products; Modelling</t>
  </si>
  <si>
    <t>Liu, GL; Han, SJ</t>
  </si>
  <si>
    <t>Long-term forest management and timely transfer of carbon into wood products help reduce atmospheric carbon</t>
  </si>
  <si>
    <t>In their efforts I to deal with global climate change, scientists and governments have given much attention to the carbon &amp;apos;emissions associated with fossil fuels and to strategies for reducing their use. While it is very important to burn less fossil fuel and to employ alternative energy sources, other carbon-reduction options must also be considered. Given that forests comprise a large portion of the global landbase and that they play a very significant role in the global carbon cycle, it is logical to examine how forest management practices could effect reductions in carbon emissions. Many papers that discuss forest carbon sinks or sources refer only to the short term (&lt;20 years). This paper focuses on the sustainable carbon storage contributions of a forest over the long term. This paper explains that long-term carbon storage and reduced carbon fluctuation can be achieved by a combination of improved forest management and efficient transfer of carbon into wood products. Here we show how three different forest management scenarios affect the overall carbon storage capacity of forest and wood products combined over the long term. We used a timber supply model and scenario analysis to predict forest carbon and other resource conditions over time in the Prince George Forest District, a 3.4-million-ha landbase in northern British Columbia. We found that the high-harvest scenario stores 3% more carbon than the low-harvest scenario and 27% (120 million tonnes) more carbon than the no-harvest scenario even though only 1.2-million ha is in timber harvesting landbase. Our results tell us that forest management practices that maintain and increase forest area, reduce natural disturbances in the forest, improve forest conditions, and ensure the appropriate and timely transfer of carbon into wood products lead to increasing overall carbon storage, thereby reducing carbon in the atmosphere. (C) 2009 Elsevier B.V. All rights reserved.</t>
  </si>
  <si>
    <t>Ecol. Model.</t>
  </si>
  <si>
    <t>10.1016/j.ecolmodel.2009.04.005</t>
  </si>
  <si>
    <t>no harvest (Fig. 6)</t>
  </si>
  <si>
    <t>high harvest (Fig. 6)</t>
  </si>
  <si>
    <t>yearly million tonnes</t>
  </si>
  <si>
    <t>low harvest (Fig. 6)</t>
  </si>
  <si>
    <t>wood product life span</t>
  </si>
  <si>
    <t>50 years (Fig. 7)</t>
  </si>
  <si>
    <t>100 years (Fig. 7)</t>
  </si>
  <si>
    <t>Cross Laminated Timber (CLT); cold regions; cradle-to-grave; LCA</t>
  </si>
  <si>
    <t>CONCRETE; EMISSIONS; ENERGY; PLATES; WOOD</t>
  </si>
  <si>
    <t>Liu, Y; Guo, HB; Sun, C; Chang, WS</t>
  </si>
  <si>
    <t>Assessing Cross Laminated Timber (CLT) as an Alternative Material for Mid-Rise Residential Buildings in Cold Regions in China-A Life-Cycle Assessment Approach</t>
  </si>
  <si>
    <t>Timber building has gained more and more attention worldwide due to it being a generic renewable material and having low environmental impact. It is widely accepted that the use of timber may be able to reduce the embodied energy of a building. However, the development of timber buildings in China is not as rapid as in some other countries. This may be because of the limitations of building regulations and technological development. Several new policies have been or are being implemented in China in order to encourage the use of timber in building construction and this could lead to a revolutionary change in the building industry in China. This paper is the first one to examine the feasibility of using Cross Laminated Timber (CLT) as an alternative solution to concrete by means of a cradle-to-grave life-cycle assessment in China. A seven-storey reference concrete building in Xi&amp;apos;an was selected as a case study in comparison with a redesigned CLT building. Two cities in China, in cold and severe cold regions (Xi&amp;apos;an and Harbin), were selected for this research. The assessment includes three different stages of the life span of a building: materialisation, operation, and end-of-life. The inventory data used in the materialisation stage was mostly local, in order to ensure that the assessment appropriately reflects the situation in China. Energy consumption in the operation stage was obtained from simulation by commercialised software IES (TM), and different scenarios for recycling of timber material in the end-of-life are discussed in this paper. The results from this paper show that using CLT to replace conventional carbon intensive material would reduce energy consumption by more than 30% and reduce CO2 emission by more than 40% in both cities. This paper supports, and has shown the potential of, CLT being used in cold regions with proper detailing to minimise environmental impact.</t>
  </si>
  <si>
    <t>10.3390/su8101047</t>
  </si>
  <si>
    <t>recycling ratio</t>
  </si>
  <si>
    <t>timber used</t>
  </si>
  <si>
    <t>ton</t>
  </si>
  <si>
    <t>tonnes CO2 emissions</t>
  </si>
  <si>
    <t>assumption that concrete building includes no timber at all</t>
  </si>
  <si>
    <t>Fix sequestration sign; driver was missing, model boundaries fixed</t>
  </si>
  <si>
    <t xml:space="preserve">replace concrete building by wood </t>
  </si>
  <si>
    <t>Xian Concrete (Fig. 9)</t>
  </si>
  <si>
    <t>Xian CLT (Fig. 9)</t>
  </si>
  <si>
    <t>Harbin Concrete (Fig. 9)</t>
  </si>
  <si>
    <t>Harbin CLT (Fig. 9)</t>
  </si>
  <si>
    <t>Forest sector; Carbon balance; Climate change; Bio-economic model</t>
  </si>
  <si>
    <t>COARSE WOODY DEBRIS; TREE MORTALITY; LAND-USE; EMISSIONS; PRODUCTS; DROUGHT; MODEL; US</t>
  </si>
  <si>
    <t>Lobianco, A; Caurla, S; Delacote, P; Barkaoui, A</t>
  </si>
  <si>
    <t>Carbon mitigation potential of the French forest sector under threat of combined physical and market impacts due to climate change</t>
  </si>
  <si>
    <t>Objectives: (1) To quantify the contribution of the French forest wood product chain in terms of carbon sequestration and substitution when accounting for both the physical impacts (shifts in tree growth and mortality rates) and the market impacts (increased demand of harvested wood products (HWP)) of climate change (cc) and the subsequent forest managers adaptations; (2) To assess the uncertainty of the impacts on the above carbon balance and on forest allocation; and (3) To assess the role of managers&amp;apos; expectations toward these future, uncertain but highly anticipated, impacts. Methodology: We used a bio-economic model of the French Forest Sector (FFSM++) that is able to consider and integrate: (a) the effects of climate change over forest dynamics; (b) forest investment decisions (among groups of species) according to expected profitability; and (c) market effects in terms of regionalised supply, consumption and trade of HWP, depending on the forest resource stocks and international prices. By including both forest dynamics and forest products, we can evaluate the carbon balance taking the following elements into consideration: (a) carbon sequestered in live and dead biomass in the forest; (b) carbon sequestered in HWP; (c) carbon substituted when wood is used in place of fossil fuels or more energy-intensive materials; and (d) carbon released by forest operations. When the model is run at constant conditions for the next century, the average carbon potential of French forests is 66.2-125.3 Mt CO2 y(-1), depending on whether we consider only inventoried wood resources, HWP pools and direct energy substitution, or if we also account for the carbon stored in tree branches and roots and if we consider the more indirect, but also largely more subjective, material substitution. These values correspond to 18.3% and 34.7%, respectively, of the French 2010 emissions (361 Mt CO2). However, when we consider both the probable increment of coniferous mortality and changes in forest growth, plus the rise in HWP demand worldwide, the average sequestration rate of the French forest decreases by 6.6-5.8% to 61.8-118.0 Mt CO2 Y-1. Running partial scenarios, we can assess the relative interplay of these two factors, where the price factor increases the HWP stock while decreasing the forest stocks (where the latter effect prevails), while the physical impact of climate change reduces both, but to a lesser extent. Considering short-sighted forest managers, whose behaviour is based uniquely on the observed conditions at the time decisions are made, we obtain a limited effect of the overall carbon balance but a relatively large impact on the area allocation of broadleaved vs. coniferous species. (C) 2015 Department of Forest Economics, SLU Limed, Sweden. Published by Elsevier GmbH. All rights reserved.</t>
  </si>
  <si>
    <t>10.1016/j.jfe.2015.12.003</t>
  </si>
  <si>
    <t>Full agent expectations</t>
  </si>
  <si>
    <t>MtCO2eq . y−1</t>
  </si>
  <si>
    <t>Upper price impact</t>
  </si>
  <si>
    <t>Fixed prices</t>
  </si>
  <si>
    <t>No agent expectations</t>
  </si>
  <si>
    <t>combined drivers: price, climate, agent expectations</t>
  </si>
  <si>
    <t>Constant</t>
  </si>
  <si>
    <t>Upper physical impact</t>
  </si>
  <si>
    <t>Lower physical impact</t>
  </si>
  <si>
    <t>TREE PHYSIOLOGY</t>
  </si>
  <si>
    <t>carbon balance; climate scenario; forest management; temperate forest</t>
  </si>
  <si>
    <t>LONG-TERM RESPONSE; NITROGEN DEPOSITION; CO2 CONCENTRATION; CARBON BALANCE; USE EFFICIENCY; ELEVATED CO2; CANOPY; GROWTH; PARAMETERIZATIONS; TRANSPIRATION</t>
  </si>
  <si>
    <t>Loustau, D; Bosc, A; Colin, A; Ogee, J; Davi, H; Francois, C; Dufrene, E; Deque, M; Cloppet, E; Arrouays, D; Le Bas, C; Saby, N; Pignard, G; Hamza, N; Granier, A; Breda, N; Ciais, P; Viovy, N; Delage, F</t>
  </si>
  <si>
    <t>Modeling climate change effects on the potential production of French plains forests at the sub-regional level</t>
  </si>
  <si>
    <t>We modeled the effects of climate change and two forest management scenarios on wood production and forest carbon balance in French forests using process-based models of forest growth. We combined data from the national forest inventory and soil network survey, which were aggregated over a 50 x 50-km grid, i.e., the spatial resolution of the climate scenario data. We predicted and analyzed the climate impact on potential forest production over the period 1960-2100. All models predicted a slight increase in potential forest yield until 20302050, followed by a plateau or a decline around 2070-2100, with overall, a greater increase in yield in northern France than in the south. Gross and net primary productivities were more negatively affected by soil water and atmospheric water vapor saturation deficits in western France because of a more pronounced shift in seasonal rainfall from summer to winter. The rotation-averaged values of carbon flux and production for different forest management options were estimated during four years (1980, 2015, 2045 and 2080). Predictions were made using a two-dimensional matrix covering the range of local soil and climate conditions. The changes in ecosystem fluxes and forest production were explained by the counterbalancing effect of rising CO2 concentration and increasing water deficit. The effect of climate change decreased with rotation length from short rotations with high production rates and low standing biomasses to long rotations with low productivities and greater standing biomasses. Climate effects on productivity, both negative and positive, were greatest on high fertility sites. Forest productivity in northern France was enhanced by climate change, increasingly from west to east, whereas in the southwestern Atlantic region, productivity was reduced by climate change to an increasing degree from west to east.</t>
  </si>
  <si>
    <t>Tree Physiol.</t>
  </si>
  <si>
    <t>10.1093/treephys/25.7.813</t>
  </si>
  <si>
    <t>southwest A triangle (Fig. 8)</t>
  </si>
  <si>
    <t>Southwest A square (Fig. 8)</t>
  </si>
  <si>
    <t>g C m-2 y-1</t>
  </si>
  <si>
    <t>South A triangle (Fig. 8)</t>
  </si>
  <si>
    <t>south A square (Fig. 8)</t>
  </si>
  <si>
    <t>North A square (Fig. 8)</t>
  </si>
  <si>
    <t>north A triangle (Fig. 8)</t>
  </si>
  <si>
    <t>Northeast A square (Fig. 8)</t>
  </si>
  <si>
    <t>northeast A triangle (Fig. 8)</t>
  </si>
  <si>
    <t>southwest A circle (Fig. 8)</t>
  </si>
  <si>
    <t>South A circle (Fig. 8)</t>
  </si>
  <si>
    <t>South A square (Fig. 8)</t>
  </si>
  <si>
    <t>FRONTIERS IN ECOLOGY AND EVOLUTION</t>
  </si>
  <si>
    <t>forest planning; Remsoft Woodstock; sustainable forest management; blanket peat; linear programming; afforested western peatlands</t>
  </si>
  <si>
    <t>COARSE WOODY DEBRIS; CARBON SEQUESTRATION; PUBLIC PREFERENCES; BIODIVERSITY; DECOMPOSITION; MITIGATION; FRAGMENTATION; AFFORESTATION; FRAMEWORK; WINDTHROW</t>
  </si>
  <si>
    <t>Lundholm, A; Black, K; Corrigan, E; Nieuwenhuis, M</t>
  </si>
  <si>
    <t>Evaluating the Impact of Future Global Climate Change and Bioeconomy Scenarios on Ecosystem Services Using a Strategic Forest Management Decision Support System</t>
  </si>
  <si>
    <t>Sustainable Forest Management (SFM) has become an important pillar of modern forest management, and one way to evaluate the sustainability of forestry is to assess long-term supply of ecosystem services (ESs) indicators. The concept of sustainability also has come to include adapting to climate change and the associated dynamic timber markets. This study aims to: (1) incorporate several ESs indicators in a Forest Management Decision Support System (FMDSS) that can deal with climate change and dynamic timber markets; and (2) analyse the impact that intensified forest management, resulting from global change scenarios that represent different levels of climate change mitigation efforts, will have on forest ES indicators in the west of Ireland. A linear programming model that optimized Net Present Value (NPV) from mill-gate sales was previously developed in Remsoft Woodstock, a DSS framework used for strategic forest planning around the world. This Woodstock model was modified to include the effects of global scenarios that include climate change and dynamic timber prices. This model was further developed to include indicators for five ESs (carbon storage in the forest as well as in harvested wood products and carbon substitution, windthrow risk, biodiversity, water quality, and cultural values), to assess the impacts of these global scenarios on the forest landscape and the sustainability of forest management. The ES indicator values were mainly linked to forest age, forest type, and yield tables, and their inclusion in the FMDSS had almost no impact on total model run times. Intensified forest clearfelling, as a result of increasing timber prices associated with most global scenarios, led to increased phosphor emissions to waterbodies, and reductions in windthrow risk and carbon storage. The global scenarios only resulted in minor differences in the indicator values for biodiversity and cultural values. Besides the global scenarios, recent forest policy development and the poor soil conditions in the study area impacted on the results. The developed system, with its innovative method to incorporate climate change and associated market dynamics, could be applied to other forest landscapes in Ireland and Europe, or indeed by any forest company or organization that uses Remsoft Woodstock.</t>
  </si>
  <si>
    <t>Front. Ecol. Evol.</t>
  </si>
  <si>
    <t>10.3389/fevo.2020.00200</t>
  </si>
  <si>
    <t>climate scenario</t>
  </si>
  <si>
    <t>S1 (Table 4)</t>
  </si>
  <si>
    <t>tons ha-1</t>
  </si>
  <si>
    <t>Ireland</t>
  </si>
  <si>
    <t>Oliver et al. (2014)</t>
  </si>
  <si>
    <t>Smyth et al. (2017), Sathre and O’Connor (2010)</t>
  </si>
  <si>
    <t>S3 (Table 4)</t>
  </si>
  <si>
    <t>CARBON BALANCE AND MANAGEMENT</t>
  </si>
  <si>
    <t>Carbon sink; Sequestration; European forests; EFISCEN; Forest management; Wood mobilisation</t>
  </si>
  <si>
    <t>CLIMATE; SCIENCE</t>
  </si>
  <si>
    <t>Nabuurs, GJ; Arets, EJMM; Schelhaas, MJ</t>
  </si>
  <si>
    <t>Understanding the implications of the EU-LULUCF regulation for the wood supply from EU forests to the EU</t>
  </si>
  <si>
    <t>Background: In June 2018, the European Parliament and Council of the European Union adopted a legislative regulation for incorporating greenhouse gas emissions and removals from Land Use, Land Use Change and Forestry (EULULUCF) under its 2030 Climate and Energy Framework. The LULUCF regulation aim to incentivise EU Member States to decrease greenhouse gas emissions and increase removals in the LULUCF sector. The regulation, however, does not set a target for increasing the LULUCF carbon sink, but rather includes a'no net debit' target for LULUCF (Forests and Agricultural soils). For Managed Forest Land (MFL) an accounting framework with capped credits for additional mitigation against a set forest reference level (FRL) was agreed for 2021-2030. The FRL gives the projected future carbon sink in the two compliance periods 2021-2025 and 2026-2030 undercontinuation of forest management practices as they were in the reference period 2000-2009' This FRL was disputed by some Member States as it was perceived to put a limit on their future wood harvesting from MFL. Here we simulated with the EFISCEN European forest model the continuation of forest management practices and determined the corresponding wood harvest for 26 EU countries under progressing age classes. Results: The simulations showed that undercontinuation of forest management practices the harvest (wood removals) in the 26 EU countries as a whole can increase from 420 million m(3)/year in 2000-2009 to 560 million m(3)/ year in 2050 due to progressing age classes. This implies there is a possibility to increase absolute wood harvests without creating debits compared to the forest reference level. However, the manner in which 'continuation of forest management' developed with a progressing age class development over time, meant that in some countries the future harvesting exceeded 90% of the increment. Since this generally is considered to be unsustainable we additionally set a harvesting cut-off as max 90% of increment to be harvested for each individual country as a possible interpretation of sustainability criteria that are included in the regulation. Using this additional limit the projected harvest will only increase to 493 million m(3)/year. Conclusions: The worry from Member States (MS) that the FRL will prevent any additional harvesting seems unwarranted. Due to differences between Member States concerning the state of their forest resources, the FRL as a baseline for harvesting works out very differently for the different Member States. The FRL may have other unforeseen consequences which we discuss. Under all scenarios the living forest biomass sink shows a decline. This can be counteracted through incentivising measures under Climate Smart Forestry.</t>
  </si>
  <si>
    <t>Carbon Balanc. Manag.</t>
  </si>
  <si>
    <t>10.1186/s13021-018-0107-3</t>
  </si>
  <si>
    <t>Amount of harvest</t>
  </si>
  <si>
    <t>Constant absolute amount of harvest</t>
  </si>
  <si>
    <t>Constant intensity</t>
  </si>
  <si>
    <t>Harvest Removals overbark</t>
  </si>
  <si>
    <t>m3/y</t>
  </si>
  <si>
    <t>tCO2/y</t>
  </si>
  <si>
    <t>Constant intensity plus cut off at sustainable level</t>
  </si>
  <si>
    <t>Cradle-to-gate; Forest management; Land use; Life cycle assessment (LCA); Round wood; Silviculture</t>
  </si>
  <si>
    <t>LIFE-CYCLE ASSESSMENT; FOREST OPERATIONS; ENERGY; IMPACTS; INVENTORY</t>
  </si>
  <si>
    <t>Nakano, K; Shibahara, N; Nakai, T; Shintani, K; Komata, H; Iwaoka, M; Hattori, N</t>
  </si>
  <si>
    <t>Greenhouse gas emissions from round wood production in Japan</t>
  </si>
  <si>
    <t>Wood has a long-standing history as an industrial material and fuel. Generic life cycle assessment data is therefore needed to assess the quantitative environmental impact of wood. The aim of this study was to estimate cradle-to-gate greenhouse gas emissions for round wood production of four common Japanese tree species. This study focused on Japanese cedar (Cryptomeria japonica), hinoki cypress (Chamaecyparis obtusa), Japanese larch (Larix kaempferi) and Sakhalin fir (Abies sachalinensis) because these four tree species constitute more than 80% of total round wood production in Japan. This study encompassed all major forestry activities, such as planting, thinning and final felling. In addition to these activities, indirect processes, such as construction of forest roads, were also included. The functional unit used for this study was 1 m(3) over bark of green wood (ob). All 47 prefectures were modeled in order to investigate the site characteristics across Japan. Activity data such as yield per area, required seedling numbers, and thinning method were collected for each tree species and for each prefecture. By combining actual surveyed data and simulation data, information collection challenges on variations in sites and time were overcome. The results of this study suggested that greenhouse gas emissions relating to round wood production of Japanese cedar, hinoki cypress, Japanese larch, and Sakhalin fir were 21.7, 25.9, 24.9 and 25.5 kg-CO(2)e/m(3) ob, respectively. The weighted average value for all of Japan was estimated to be 23.0 kg-CO(2)e/m(3) ob. The amount of temporal carbon storage for these tree species was calculated as 585 -762 kg-CO(2)e/m(3) ob. The results also revealed large variation between different prefectures across Japan. Regarding hinoki cypress, for example, the largest greenhouse gas emissions and land use values as an inventory indicator among evaluated prefectures were approximately 1.5 times and 2.7 times larger than the smallest emissions and land use values, respectively. A prefecture with a higher share of heavy forestry machinery tended to indicate relatively higher greenhouse gas emissions. A comprehensive analysis of the target geographical area is therefore required to produce values representative of the region of interest. Among the processes assessed, the final felling process contributed to the largest portion of greenhouse gas emissions in all tree species. An improvement of the energy efficiency of this process is therefore needed. Improving labor productivity would reduce greenhouse gas emissions resulting from commuting workers. (C) 2016 Elsevier Ltd. All rights reserved.</t>
  </si>
  <si>
    <t>10.1016/j.jclepro.2016.10.024</t>
  </si>
  <si>
    <t xml:space="preserve">Species </t>
  </si>
  <si>
    <t>Sakhalin fir</t>
  </si>
  <si>
    <t>Japanese Cedar</t>
  </si>
  <si>
    <t xml:space="preserve">Round wood production </t>
  </si>
  <si>
    <t>See onglet Nakano_2018</t>
  </si>
  <si>
    <t>m3 ob</t>
  </si>
  <si>
    <t>t-CO2e</t>
  </si>
  <si>
    <t>Japanese Larch</t>
  </si>
  <si>
    <t>Hikoni Cypress</t>
  </si>
  <si>
    <t>size of logs (diameter at breast height)</t>
  </si>
  <si>
    <t>18cm(Hikoni Cypressr)</t>
  </si>
  <si>
    <t>8cm(Hikoni Cypressr)</t>
  </si>
  <si>
    <t>t-CO2e/m3 obs</t>
  </si>
  <si>
    <t>Size of logs (diameter at breast height)</t>
  </si>
  <si>
    <t>18cm(Japanese Cedar)</t>
  </si>
  <si>
    <t>8cm(Japanese Cedar)</t>
  </si>
  <si>
    <t>18cm(Japanese Larch)</t>
  </si>
  <si>
    <t>8cm(Japanese Larch)</t>
  </si>
  <si>
    <t>18cm(Sakhalin fir)</t>
  </si>
  <si>
    <t>8cm(Sakhalin fir)</t>
  </si>
  <si>
    <t>Biomass; Life cycle impact; Renewable energy; Rural communities; Sustainable energy</t>
  </si>
  <si>
    <t>LIFE-CYCLE ASSESSMENT; POWER-GENERATION; FOREST; BIOENERGY; CONVERSION; EMISSIONS; RESIDUES</t>
  </si>
  <si>
    <t>Nandimandalam, H; Gude, VG; Marufuzzaman, M</t>
  </si>
  <si>
    <t>Environmental impact assessment of biomass supported electricity generation for sustainable rural energy systems-A case study of Grenada County, Mississippi, USA</t>
  </si>
  <si>
    <t>Fossil fuels have been the major source of electricity supply in the United States of America (USA) for many decades. While a significant shift has occurred from coal-dominated supply to natural gas and renewable source based supplies in recent decades, there is still large potential to improve biomass supported electricity contribution in rural communities, which depend majorly on forest-related activities. Wood waste, an underutilized renewable resource, has the potential for electricity generation in rural areas to reduce the contribution of electricity generated from fossil fuels and assist in greenhouse gas savings. In this study, a life cycle assessment approach was used to estimate the emissions of electricity generated by wood residues in a rural community (Grenada County, Mississippi (MS), USA) and compared with those emissions from the recent electricity mix (2018), a previous electricity mix (2010) supply, along with natural gas (NG) and coal (Bituminous Coal, BC) based electricity generation options. A significant reduction (85.9-94.6%) in global warming impact was observed when compared with BC, NG and grid supplied electricity for years 2010 and 2018. When compared to the current electricity mix at the grid (2018), acidification, eutrophication, respiratory effects and smog formation showed higher emissions ranging from 30.8% to 72.4%. The sensitivity analysis showed an improvement in emissions savings with increased biomass to power conversion efficiency (40%), lower moisture content of the biomass (0%, bone dry biomass), and reduced transportation distance (35 km). This study showed an improvement in the electricity mix supplied to Grenada county, MS, which implies sustainable development opportunities for promoting energy security in rural communities with forest-based industries. (c) 2021 Elsevier B.V. All rights reserved.</t>
  </si>
  <si>
    <t>10.1016/j.scitotenv.2021.149716</t>
  </si>
  <si>
    <t>Changes in chain organization to generate electricity from wood residues</t>
  </si>
  <si>
    <t xml:space="preserve">mill residues (MR) </t>
  </si>
  <si>
    <t xml:space="preserve">Forest Residue case 1 (FR1) </t>
  </si>
  <si>
    <t>amount of residue available</t>
  </si>
  <si>
    <t>tCO2eq/kWh</t>
  </si>
  <si>
    <t>Forest Residue case 2 (FR2)</t>
  </si>
  <si>
    <t>Forest Residue case 1 (FR1) = chipping</t>
  </si>
  <si>
    <t>Forest Residue case 2 (FR2) = bunding + chipping</t>
  </si>
  <si>
    <t>CO2; Forest residues; Forest management; Climate change; Amazon rainforest</t>
  </si>
  <si>
    <t>ABOVEGROUND LIVE BIOMASS; CARBON SEQUESTRATION; NUTRIENT RELEASE; CLIMATE-CHANGE; TROPICAL FORESTS; LOGGED FORESTS; BOREAL FOREST; WOOD PRODUCTS; MANAGEMENT; DEFORESTATION</t>
  </si>
  <si>
    <t>Numazawa, CTD; Numazawa, S; Pacca, S; John, VM</t>
  </si>
  <si>
    <t>Logging residues and CO2 of Brazilian Amazon timber: Two case studies of forest harvesting</t>
  </si>
  <si>
    <t>Forest management has been repeatedly mentioned as a strategy to reduce damage caused by logging when compared with conventional logging. Much has been learned about logging impacts and prospects for forest management, but there are still too many gaps regarding the CO2 emissions in logging, due to residues and their impact on the carbon balance. Here we compare CO2 emissions between two timber harvesting intensity systems. Logging with an intensity of 30 m(3) ha(-1) (L30) and logging with an intensity of 15 m3 ha(-1) (L15) were compared over 4 rotation periods (120 year total timeframe). Original logging residues (LR) data was used to determine emissions from residues decomposition. On average, L30 has produced more LR (41.60 t ha(-1)), than L15 (20.90 t ha(-1)); for each tonne of commercial stem in 130, 2.13 tonnes of logging residues were obtained and 2.05 tonnes of residues were found in L15. Moreover, we have created a scenario representing the carbon balance (emissions from residues versus carbon uptake from biomass re-growth) over a 120 year long period to evaluate the outcomes for both logging intensities. We find that it will need about 38.3 years under 130; whereas 18.2 years were required in the case of L15. The 130 growth period is greater than the cutting cycle, which means that aboveground standing biomass is not able to fully recover until the next cutting cycle. Fully biomass recovery was only achieved when L15 was applied. Furthermore, the diameter of the commercial tree species takes a longer time to recover than the cutting cycle. Finally, ignoring the post harvesting life cycle phases, both CO2 balances were negative, which means that both practices ended up uptaking CO2 from the atmosphere. (C) 2017 Elsevier B.V. All rights reserved.</t>
  </si>
  <si>
    <t>10.1016/j.resconrec.2017.02.016</t>
  </si>
  <si>
    <t>Logging with an intensity of 15 m3 ha−1</t>
  </si>
  <si>
    <t>logging with an intensityof 30 m3 ha−1</t>
  </si>
  <si>
    <t>tCO2/ha (tCO2 uptake by biomass - tCO2 emissions for one ha)</t>
  </si>
  <si>
    <t>Reg</t>
  </si>
  <si>
    <t>sustainable forest management; charcoal production; biogeochemistry management (BGC-MAN) model</t>
  </si>
  <si>
    <t>TROPICAL RAIN-FOREST; CARBON EMISSIONS; TREE GROWTH; BIOMASS; DEFORESTATION; CLIMATE; STOCKS; AVAILABILITY; EFFICIENCY; DYNAMICS</t>
  </si>
  <si>
    <t>Numazawa, CTD; Krasovskiy, A; Kraxner, F; Pietsch, SA</t>
  </si>
  <si>
    <t>Logging residues for charcoal production through forest management in the Brazilian Amazon: economic gains and forest regrowth effects</t>
  </si>
  <si>
    <t>Sustainable forest management (SFM) practices can potentially reverse loss of forest cover due to deforestation, while concomitantly preserving and maintaining biodiversity, and stimulating jobs, income, and forest services. Recent studies found that significant logging residues (LR) (i.e. leaves, branches, and buttress roots) suitable for bioenergy production were often left in the felling area, triggering risks of forest fires and increased CO2 emissions due to wildfires or decomposition processes. For impact assessment of forest management practices, we collected primary harvesting data and estimated net primary productivity (NPP) and net ecosystem exchange (NEE) for 13 forest plots in the Brazilian Amazon. We applied a process-based forestry growth model (BGC-Man) to analyze the impacts on forest dynamics of selective logging and removal of LR, subject to landscape, soil texture, and daily weather. We explored the following selective logging scenarios: the Legal Reserve (i.e. reference) scenario, a scenario with one cutting cycle over the whole period, and a scenario with three timber rotation periods of 30 yr. Two of the later scenarios were complemented with harvesting of the woody LR (o 10 cm) for charcoal production. For each scenario, we computed forest NPP and NEE over a 120 yr time horizon. Results suggest that using woody LR (i.e. 77% of total LR) for charcoal production would result in an economic gain equivalent to 24%-46% of the timber price. Our findings indicate that under scenarios where LR were removed, forest NPP recovered to the reference level and even higher, while income and jobs from harvesting LR for charcoal production were generated. We conclude that SFM could enhance forest productivity and deliver economic benefit from otherwise unexploited LR.</t>
  </si>
  <si>
    <t>10.1088/1748-9326/abb495</t>
  </si>
  <si>
    <t xml:space="preserve">Harvesting intensity </t>
  </si>
  <si>
    <t xml:space="preserve">Legal reserve </t>
  </si>
  <si>
    <t xml:space="preserve">3 harvests over 120 years </t>
  </si>
  <si>
    <t xml:space="preserve">t/ha </t>
  </si>
  <si>
    <t xml:space="preserve">tC stored in forest /ha </t>
  </si>
  <si>
    <t>1 harvest over 120 years</t>
  </si>
  <si>
    <t xml:space="preserve">Harvesting intensity + removal of logging residues </t>
  </si>
  <si>
    <t xml:space="preserve">3 harvests + logging residues removed over 120 years </t>
  </si>
  <si>
    <t xml:space="preserve">1 harvest + logging residues removed over 120 years </t>
  </si>
  <si>
    <t xml:space="preserve">Olguin, M., Wayson, C., Fellows, M., Birdsey, R., Smyth, C. E., Magnan, M., ... &amp; Kurz, W. A. </t>
  </si>
  <si>
    <t xml:space="preserve"> Applying a systems approach to assess carbon emission reductions from climate change mitigation in Mexico’s forest sector</t>
  </si>
  <si>
    <t xml:space="preserve"> Environmental Research Letters</t>
  </si>
  <si>
    <t>10.1088/1748-9326/aaaa03</t>
  </si>
  <si>
    <t>The BAU baseline estimates the GHG fluxes if forest management and disturbance rates observed in the past continue into the future (2018–2050).</t>
  </si>
  <si>
    <t>Increased forest productivity and timber production with increased proportion of products with medium displacement factors value</t>
  </si>
  <si>
    <t>tC/yr</t>
  </si>
  <si>
    <t>TgCO2/yr</t>
  </si>
  <si>
    <t>Mexico</t>
  </si>
  <si>
    <t>CBM-CFS3 (KurzWA et al 2009 CBM-CFS3: A model of carbon-dynamics in
forestry and landuse change implementing IPCC standards
Ecol. Model. 220 480–504)</t>
  </si>
  <si>
    <t>Increased forest productivity and timber production with increased proportion of long-lived products</t>
  </si>
  <si>
    <t xml:space="preserve">TgCO2/yr </t>
  </si>
  <si>
    <t>Increased forest productivity and timber production with increased proportion of products with low displacement factors value</t>
  </si>
  <si>
    <t>Increased forest productivity and timber production with same products as in BAU</t>
  </si>
  <si>
    <t>CBM-CFS3 (KurzWA et al 2009 CBM-CFS3</t>
  </si>
  <si>
    <t>ANNALS OF FOREST SCIENCE</t>
  </si>
  <si>
    <t>Biophysical assessment; Economic evaluation; Carbon stock; Carbon sequestration; Recreational activities; Multiple-criteria decision analysis (MCDA)</t>
  </si>
  <si>
    <t>Paletto, A; Pieratti, E; De Meo, I; Agnelli, AE; Cantiani, P; Chiavetta, U; Mazza, G; Lagomarsino, A</t>
  </si>
  <si>
    <t>A multi-criteria analysis of forest restoration strategies to improve the ecosystem services supply: an application in Central Italy</t>
  </si>
  <si>
    <t>center dot Key message A multi-criteria analysis can be an interesting tool to assess the effects of silvicultural treatments on ecosystem services supply. In the degraded forests, thinning has a positive effect on the provision of ecosystem services such as timber and bioenergy production, climate change mitigation, and recreational attractiveness. center dot Context The Millennium Ecosystem Assessment highlights the importance of the ecosystem services for human well-being and for maintaining conditions for life on Earth. Silvicultural treatments can improve the provision of ecosystem services to increase local communities' well-being. center dot Aims The aim of this study is to understand the effects of two-forest restoration practices (selective thinning and thinning from below) on three ecosystem services (wood production, climate change mitigation, and recreational opportunities) in an Italian case study. center dot Methods A multi-criteria decision analysis (MCDA) was performed to compare the effects of three forest restoration scenarios (baseline, selective thinning, thinning from below) on ecosystem services. Wood production was estimated considering the local market prices and the wood volumes harvested, while climate change mitigation was quantified through the C-stock and C-sequestration changes in carbon pools due to the silvicultural treatments. The recreational activities were assessed through a questionnaire survey. A sample of 200 visitors was interviewed face-to-face to estimate the impact of thinning on recreational activities. center dot Results The results of the MCDA show that the selective thinning scenario is the optimal forest restoration practice to increase the recreational attractiveness and the wood production in the study area. center dot Conclusion The results concerning the effects of the silvicultural treatments on ecosystem services supply are an important tool to support decision makers.</t>
  </si>
  <si>
    <t>Ann. For. Sci.</t>
  </si>
  <si>
    <t>10.1007/s13595-020-01020-5</t>
  </si>
  <si>
    <t>Type of thinning</t>
  </si>
  <si>
    <t xml:space="preserve">Baseline scenario (BU) No silvicultural treatments </t>
  </si>
  <si>
    <t>Selective thinning scenario (ST):  all crownvolume
competitors are harvested (thinned 30–40% of
basal area). Standing dead trees and logs of the first two decay classes with a diameter more than 20 cm are removed.</t>
  </si>
  <si>
    <t>m3/ha</t>
  </si>
  <si>
    <t xml:space="preserve">tCO2/ha (change in C stock over the 15 years period ) </t>
  </si>
  <si>
    <t>Thinning from below scenario (TB): only small and leaned living trees and snags are harvested (thinned from below 15–20% of basal area). The logs are not removed during the harvesting operations</t>
  </si>
  <si>
    <t>carbon balance; harvested wood products; wood utilization; roundwood supply; foreign trade</t>
  </si>
  <si>
    <t>CARBON; SEQUESTRATION; IMPACTS; ENERGY; MODEL</t>
  </si>
  <si>
    <t>Palus, H; Parobek, J; Moravcik, M; Kovalcik, M; Dzian, M; Murgas, V</t>
  </si>
  <si>
    <t>Projecting Climate Change Potential of Harvested Wood Products under Different Scenarios of Wood Production and Utilization: Study of Slovakia</t>
  </si>
  <si>
    <t>The forestry and forest-based sector play a significant role in climate change mitigation strategies and can contribute to the achievement of a climate-neutral economy. In this context, the ability of harvested wood products (HWP) to sequester carbon is of significant importance. The objective of this work is to make a projection of climate change mitigation potential of HWP, under different scenarios of wood utilization in Slovakia. This study builds on the comparison of different scenarios of industrial wood utilization till 2035 and presents the resulting impacts on the national carbon balance. The results suggest that the development of timber supplies after 2020 in Slovakia will be influenced, in particular, by the future changes in the age distribution and tree species composition as well as the extent of future accidental felling. Consequently, a predicted structure and availability of wood resources in Slovakia will be reflected in a higher share of the production of products with shorter life cycle and thus will negatively affect the carbon pool in HWP. By comparing the results of the four designed scenarios, it follows that the scenario with the greatest mitigation potential, is the one assuming the optimal use of wood assortments and limitation of industrial roundwood foreign trade.</t>
  </si>
  <si>
    <t>10.3390/su12062510</t>
  </si>
  <si>
    <t>1000m3</t>
  </si>
  <si>
    <t>thousands tons CO2</t>
  </si>
  <si>
    <t>Slovakia</t>
  </si>
  <si>
    <t>bioeconomy; wood utilization; harvested wood products; carbon storage; CO2 emission</t>
  </si>
  <si>
    <t>ENERGY; CONSUMPTION; BIOECONOMY; RESOURCES; IMPACTS; BIOMASS; STORAGE; FORESTS</t>
  </si>
  <si>
    <t>Parobek, J; Palus, H; Moravcik, M; Kovalcik, M; Dzian, M; Murgas, V; Simo-Svrcek, S</t>
  </si>
  <si>
    <t>Changes in Carbon Balance of Harvested Wood Products Resulting from DifferentWood Utilization Scenarios</t>
  </si>
  <si>
    <t>The bioeconomy focuses on the production of renewable biological resources and the utilisation of these resources and waste streams into value added products. One of the most important aims of the forest industry is the sustainable production of wood. Improved utilization of available industrial wood assortments generates profit for all in the supply chain. At the same time, it may ensure the production of long-life harvested wood products (HWP), and consequently, increase the volume of carbon stored. The objective of this study is to compare di ff erent scenarios of industrial wood utilization in Slovakia and the resulting impacts on the national carbon balance. In the proposed scenarios, we aimed to evaluate changes in the current utilization of domestic wood resources through optimizing harvested wood assortments. Two inventory stock methods were applied to determine the potential quality of domestic wood and its utilization through appropriate distribution of outputs. The model scenario assumes that the higher share of industrial roundwood utilised to produce long-life HWP (sawnwood, wood-based panels) will increase carbon sequestration in HWP. Other scenarios quantify the di ff erences between the carbon volumes stored in HWP using the modelled wood assortment supplemented with alternatives with and without export. The results confirmed that increasing the level of carbon stored in HWP can be achieved by changing the wood assortment structure, while maintaining the same level of volume felled. The highest level of carbon stock was observed in the scenario assuming the optimal structure of wood assortments and no wood export. The scenario that optimized wood assortments and excluded wood exports resulted in the highest level of predicted carbon stock, estimated at 4.87 million tons (mil. tons).</t>
  </si>
  <si>
    <t>10.3390/f10070590</t>
  </si>
  <si>
    <t>domestic wood supply+ exported logs</t>
  </si>
  <si>
    <t>Emissions</t>
  </si>
  <si>
    <t>thousand metric tons co2equivalent</t>
  </si>
  <si>
    <t>Southeast Asia; carbon stock; tropical forest management; land-use change</t>
  </si>
  <si>
    <t>EXCHANGE-RATES; DIOXIDE; CO2</t>
  </si>
  <si>
    <t>Phat, NK; Knorr, W; Kim, S</t>
  </si>
  <si>
    <t>Appropriate measures for conservation of terrestrial carbon stocks - Analysis of trends of forest management in Southeast Asia</t>
  </si>
  <si>
    <t>The 21st century has brought new challenges for forest management at a time when global climate change is becoming increasingly apparent. Additional to various goods and services being provided to human beings, forest ecosystems are a large store of terrestrial carbon and account for a-major part of the carbon exchange between the atmosphere and the land surface. Depending on the management regime, forests can thus be either a sink, or a source of atmospheric carbon. Southeast Asia or ASEAN comprises 10 countries of different cultures and political background. Rapid economic development and fast-growing population in the region have raised much concern over the use of natural resources, especially forest resources. This study aims at finding the appropriate measures for sustainable use and management of tropical forests on a long-term basis. Between 1990 and 2000, about 2.3 million ha of forest were cleared every year and lost to other forms of land use. In terms of carbon emissions, a net amount of approximately 465 million t per year were released to the atmosphere over the same period, which amounts to 29% of the global net carbon release from deforestation worldwide. This study provides an approach to analyzing the implications of alternative forest and land management options on forest carbon stocks. This is done in three steps: First, observed trends in land use are expressed in terms of a model in order to create a scenario for the period 1980-2050. Second, forest management practices and timber production rates are analyzed and three management scenarios are created: (1) continuing the current rate of exploitation, (2) management for long-term economic gains, and (3) climate-beneficial management. Third, the impact of the three scenarios on regional carbon storage is estimated on the basis of a carbon balance model. Comparing the additional rate of carbon sequestration of scenario (3) over scenario (2), and taking into account differing management costs, we also discuss a framework for industrialized countries to invest in carbon credits in the region in order to fulfil their commitments under present and future climate protection agreements. (C) 2004 Elsevier B.V. All rights reserved.</t>
  </si>
  <si>
    <t>10.1016/j.foreco.2003.12.019</t>
  </si>
  <si>
    <t>Changes in forest management and wood use (LEGA)</t>
  </si>
  <si>
    <t>LEGA</t>
  </si>
  <si>
    <t>BAUSU</t>
  </si>
  <si>
    <t>WH + WP</t>
  </si>
  <si>
    <t>section 4.2</t>
  </si>
  <si>
    <t>Pg C</t>
  </si>
  <si>
    <t>SE Asia</t>
  </si>
  <si>
    <t>Changes in forest management and wood use (CLIBO)</t>
  </si>
  <si>
    <t>CLIBO</t>
  </si>
  <si>
    <t>Fig. 5</t>
  </si>
  <si>
    <t>BIOGEOSCIENCES</t>
  </si>
  <si>
    <t>Biogeosciences</t>
  </si>
  <si>
    <t>Carbon balance; Substitution effects; Rotation forestry; Uneven-aged management</t>
  </si>
  <si>
    <t>FINE-ROOT BIOMASS; SCOTS PINE; NORWAY SPRUCE; SOIL CARBON; FOREST MANAGEMENT; STAND AGE; DECOMPOSITION; EMISSIONS; FINLAND; STORAGE</t>
  </si>
  <si>
    <t>Pukkala, T</t>
  </si>
  <si>
    <t>Does biofuel harvesting and continuous cover management increase carbon sequestration?</t>
  </si>
  <si>
    <t>The study used an existing forest planning system to analyze the influence of fuel feedstock harvesting and type of forest management on the carbon balance of forestry. The carbon balance module simulated changes in the carbon storage in living biomass, dead organic matter and products. Carbon releases from timber harvesting, transporting and manufacturing were included in the carbon balance, as well as the substitution, recycling and reuse effects of different types of wood products (avoided releases from fossil fuels due to the use of wood). Prediction models were developed for the initial pools of wood products and dead organic matter. The results show that collecting branches, stumps and coarse roots for bioenergy improves the carbon balance very little during the first 30 years of biofuel harvesting. This is because decreased carbon balance of forest soil partially cancels the positive substitution effects of fuel feedstock harvesting. Using high thinnings and continuous cover management instead of low thinnings, clear felling and artificial regeneration have an immediate positive effect on the carbon balance. This is because the sizes of the wood product and living biomass pools increase, and manufacturing releases decrease. (C) 2014 Elsevier B.V. All rights reserved.</t>
  </si>
  <si>
    <t>10.1016/j.forpol.2014.03.004</t>
  </si>
  <si>
    <t>Continuous cover vs clearfelling</t>
  </si>
  <si>
    <t>Continuous cover forestry (CCF)</t>
  </si>
  <si>
    <t>Current management with fuel feedstock harvesting (RF low, biofuel)</t>
  </si>
  <si>
    <t>Inflow to HWP pool</t>
  </si>
  <si>
    <t>Table 7</t>
  </si>
  <si>
    <t>tC/ha/yr</t>
  </si>
  <si>
    <t>Table 6</t>
  </si>
  <si>
    <t>Liski, J., Pussinen, A., Pingoud, K., Mäkipää, R., Karjalainen, T., 2001.Which rotation length
is favourable to carbon sequestration? Can. J. For. Res. 31, 2004–2013.</t>
  </si>
  <si>
    <t>High thinning vs low thinning</t>
  </si>
  <si>
    <t>Current management with fuel feedstock harvesting and high thinnings instead of low thinning (RF high, biofuel)</t>
  </si>
  <si>
    <t>Residue harvesting or not</t>
  </si>
  <si>
    <t>Current management without fuel feedstock harvesting (RF low, no biofuel)</t>
  </si>
  <si>
    <t>Any-aged management (AAF) = continuous cover forestry and high thinnings</t>
  </si>
  <si>
    <t>Forest biomass; Intensive management; Carbon balance in forestry; Energy carbon balance; Carbon neutrality; Substitution</t>
  </si>
  <si>
    <t>FOREST MANAGEMENT; SCOTS PINE; DIOXIDE EMISSIONS; TIMBER PRODUCTION; CLIMATE-CHANGE; IMPACTS; GROWTH; STOCKS; FERTILIZATION; SENSITIVITY</t>
  </si>
  <si>
    <t>Pyorala, P; Kellomaki, S; Peltola, H</t>
  </si>
  <si>
    <t>Effects of management on biomass production in Norway spruce stands and carbon balance of bioenergy use</t>
  </si>
  <si>
    <t>In this study, we analyzed the effects of management on the production of timber and energy biomass, and ecosystem carbon balance in Norway spruce (Picea abies) stands, with impacts on carbon neutrality of the use of biomass in energy production. In simulations, we employed the ecosystem model and life cycle analyses tool with varying management scenarios (thinning, nitrogen fertilization and rotation length) on medium fertile and fertile sites in central Finland. We found that the annual mean timber production could be increased by using longer rotation lengths of 60-80 years. This was opposite to energy biomass production, which was increased the most by using shorter rotations of 30-50 years. On the other hand, both of them could be increased by applying nitrogen fertilization and by maintaining higher stocking over the rotation compared to the current Finnish baseline management. This positively affected both the carbon storage and carbon balance in forestry, as well as the energy carbon balance which takes into account both carbon balance for forestry and the CO2 emissions from the burning of energy biomass. It also decreased the CO2 emissions per unit of energy by approx. 30% compared to baseline management, regardless of site fertility type. Similarly, the carbon neutrality of the bioenergy system could be increased in this way compared to the use of coal instead. To conclude, based on proper management it will be possible to increase simultaneously the production of timber and energy biomass, and carbon stock in the forest ecosystem and to improve the forest ecosystem carbon balance so that in the long-term the CO2 uptake will exceed concurrent emissions. (C) 2012 Elsevier B.V. All rights reserved.</t>
  </si>
  <si>
    <t>10.1016/j.foreco.2012.02.037</t>
  </si>
  <si>
    <t>thinning intensity (Fertile OMT, 50y rotation)</t>
  </si>
  <si>
    <t>R40</t>
  </si>
  <si>
    <t>RB</t>
  </si>
  <si>
    <t>timber +energy</t>
  </si>
  <si>
    <t>tCO2/ha/a</t>
  </si>
  <si>
    <t>Statistics Finland_2005</t>
  </si>
  <si>
    <t>thinning intensity (Medium Fertility MT, 80y rotation)</t>
  </si>
  <si>
    <t>R0</t>
  </si>
  <si>
    <t>thinning intensity ( Fertile OMT, 80y rotation)</t>
  </si>
  <si>
    <t>thinning intensity (Medium Fertility MT, 50y rotation)</t>
  </si>
  <si>
    <t>fertilization (Fertile OMT, 50y rotation)</t>
  </si>
  <si>
    <t>RBF</t>
  </si>
  <si>
    <t>fertilization (Medium Fertility MT, 80y rotation)</t>
  </si>
  <si>
    <t>fertilization ( Fertile OMT, 80y rotation)</t>
  </si>
  <si>
    <t>fertilization (Medium Fertility MT, 50y rotation)</t>
  </si>
  <si>
    <t>fertility (R30F,  50y)</t>
  </si>
  <si>
    <t>MT</t>
  </si>
  <si>
    <t>OMT</t>
  </si>
  <si>
    <t>fig2-3</t>
  </si>
  <si>
    <t>v1</t>
  </si>
  <si>
    <t>fertility (R30F,  80y)</t>
  </si>
  <si>
    <t>v2</t>
  </si>
  <si>
    <t>fertility (RB,  50y)</t>
  </si>
  <si>
    <t>v3</t>
  </si>
  <si>
    <t>fertility (RB,  80y)</t>
  </si>
  <si>
    <t>v0</t>
  </si>
  <si>
    <t>bioenergy from harvest residues instead of coal (High Fertility site; 80 yr rotation;no thinning; no fertilizer)</t>
  </si>
  <si>
    <t>Bioenergy</t>
  </si>
  <si>
    <t>Energy biomass (residues)</t>
  </si>
  <si>
    <t>kg CO2 MWh-1</t>
  </si>
  <si>
    <t>Fix sequestration sign &amp; correct coal Cref</t>
  </si>
  <si>
    <t>bioenergy from harvest residues instead of coal (Medium Fertility site; 80 yr rotation;no thinning; no fertilizer)</t>
  </si>
  <si>
    <t>bioenergy from harvest residues instead of coal (High Fertility site; 80 yr rotation;Max-40% thinning; Fertilized)</t>
  </si>
  <si>
    <t>bioenergy from harvest residues instead of coal (High Fertility site; 80 yr rotation;Max-30% thinning; Fertilized)</t>
  </si>
  <si>
    <t>bioenergy from harvest residues instead of coal (Medium Fertility site; 80 yr rotation;Max-30% thinning; Fertilized)</t>
  </si>
  <si>
    <t>bioenergy from harvest residues instead of coal (Medium Fertility site; 80 yr rotation;Max-40% thinning; Fertilized)</t>
  </si>
  <si>
    <t>bioenergy from harvest residues instead of coal (High Fertility site; 80 yr rotation;Max-40% thinning; no fertilizer)</t>
  </si>
  <si>
    <t>bioenergy from harvest residues instead of coal (Medium Fertility site; 80 yr rotation;Max-40% thinning; no fertilizer)</t>
  </si>
  <si>
    <t>bioenergy from harvest residues instead of coal (Medium Fertility site; 80 yr rotation;Max-30% thinning; no fertilizer)</t>
  </si>
  <si>
    <t>bioenergy from harvest residues instead of coal (Medium Fertility site; 80 yr rotation;Max-20% thinning; Fertilized)</t>
  </si>
  <si>
    <t>bioenergy from harvest residues instead of coal (High Fertility site; 80 yr rotation;Max-20% thinning; Fertilized)</t>
  </si>
  <si>
    <t>bioenergy from harvest residues instead of coal (Medium Fertility site; 80 yr rotation;Max-20% thinning; no fertilizer)</t>
  </si>
  <si>
    <t>bioenergy from harvest residues instead of coal (High Fertility site; 80 yr rotation;Max-30% thinning; no fertilizer)</t>
  </si>
  <si>
    <t>bioenergy from harvest residues instead of coal (Medium Fertility site; 80 yr rotation;Max thinning; no fertilizer)</t>
  </si>
  <si>
    <t>bioenergy from harvest residues instead of coal (High Fertility site; 80 yr rotation;Max-20% thinning; no fertilizer)</t>
  </si>
  <si>
    <t>bioenergy from harvest residues instead of coal (Medium Fertility site; 80 yr rotation;Max thinning; Fertilized)</t>
  </si>
  <si>
    <t>bioenergy from harvest residues instead of coal (High Fertility site; 80 yr rotation;Max thinning; Fertilized)</t>
  </si>
  <si>
    <t>bioenergy from harvest residues instead of coal (High Fertility site; 80 yr rotation;Max thinning; no fertilizer)</t>
  </si>
  <si>
    <t>bioenergy from harvest residues instead of coal (High Fertility site; 30 yr rotation;Max thinning; Fertilized)</t>
  </si>
  <si>
    <t>bioenergy from harvest residues instead of coal (High Fertility site; 30 yr rotation;Max-30% thinning; Fertilized)</t>
  </si>
  <si>
    <t>bioenergy from harvest residues instead of coal (High Fertility site; 30 yr rotation;Max-20% thinning; Fertilized)</t>
  </si>
  <si>
    <t>bioenergy from harvest residues instead of coal (Medium Fertility site; 30 yr rotation;Max-40% thinning; Fertilized)</t>
  </si>
  <si>
    <t>bioenergy from harvest residues instead of coal (High Fertility site; 30 yr rotation;Max-40% thinning; no fertilizer)</t>
  </si>
  <si>
    <t>bioenergy from harvest residues instead of coal (High Fertility site; 30 yr rotation;no thinning; no fertilizer)</t>
  </si>
  <si>
    <t>bioenergy from harvest residues instead of coal (High Fertility site; 30 yr rotation;Max thinning; no fertilizer)</t>
  </si>
  <si>
    <t>bioenergy from harvest residues instead of coal (High Fertility site; 30 yr rotation;Max-30% thinning; no fertilizer)</t>
  </si>
  <si>
    <t>bioenergy from harvest residues instead of coal (High Fertility site; 30 yr rotation;Max-20% thinning; no fertilizer)</t>
  </si>
  <si>
    <t>bioenergy from harvest residues instead of coal (Medium Fertility site; 30 yr rotation;Max-30% thinning; Fertilized)</t>
  </si>
  <si>
    <t>bioenergy from harvest residues instead of coal (Medium Fertility site; 30 yr rotation;Max-20% thinning; Fertilized)</t>
  </si>
  <si>
    <t>bioenergy from harvest residues instead of coal (Medium Fertility site; 30 yr rotation;Max thinning; Fertilized)</t>
  </si>
  <si>
    <t>bioenergy from harvest residues instead of coal (Medium Fertility site; 30 yr rotation;Max-20% thinning; no fertilizer)</t>
  </si>
  <si>
    <t>bioenergy from harvest residues instead of coal (Medium Fertility site; 30 yr rotation;no thinning; no fertilizer)</t>
  </si>
  <si>
    <t>bioenergy from harvest residues instead of coal (Medium Fertility site; 30 yr rotation;Max thinning; no fertilizer)</t>
  </si>
  <si>
    <t>bioenergy from harvest residues instead of coal (Medium Fertility site; 30 yr rotation;Max-30% thinning; no fertilizer)</t>
  </si>
  <si>
    <t>bioenergy from harvest residues instead of coal (Medium Fertility site; 30 yr rotation;Max-40% thinning; no fertilizer)</t>
  </si>
  <si>
    <t>forest planning; multi-function forest; ecosystem services; combinatorial optimization; adjacency constraints; simulated annealing</t>
  </si>
  <si>
    <t>SEQUESTRATION; CONSTRAINTS; ADJACENCY; BIOMASS; FIRE; PROFITABILITY; DYNAMICS; STORAGE; SEARCH; IMPACT</t>
  </si>
  <si>
    <t>Qin, HY; Dong, LB; Huang, YL</t>
  </si>
  <si>
    <t>Evaluating the Effects of Carbon Prices on Trade-Offs between Carbon and Timber Management Objectives in Forest Spatial Harvest Scheduling Problems: A Case Study from Northeast China</t>
  </si>
  <si>
    <t>To mitigate global climatic changes, long-term carbon trading and carbon taxes have been implemented in many countries. However, carbon prices have varied in many of these regions. Therefore, the goal of this paper was to evaluate the effects of carbon prices on trade-offs between forest carbon and timber management objectives in spatial harvest scheduling problems. The objective function of the planning problem was designed to maximize the discounted net present value of harvested timber and the differences of carbon stocks in living tree biomass between the beginning and end of the planning horizon (DoC) within a 30-year time frame for a large forest region in northeast China. The constraints primarily related to maintaining an even flow of harvested timber and guaranteeing the maximum opening size. Forest developments were simulated using a set of standard stand-level growth and yield models, and the solutions of the planning problem were generated using the standard version of a simulated annealing algorithm. The effects of a wide range of carbon prices on the harvested timber and DoC levels were examined. The results showed that the trade-offs between forest harvested timber and the DoC displayed a typical nonlinear tendency as carbon prices increased. The current carbon prices (i.e., 25, 50 and 75 (sic)/ton) in China had no significant effects on the optimal forest management plans compared with a scenario that used a carbon price of zero. The minimum carbon price that can provide the financial incentive for the forests to function as a significant carbon sink was estimated to be somewhat over 800 (sic)/ton. This result could be useful in determining the appropriate carbon offset standard in this region.</t>
  </si>
  <si>
    <t>10.3390/f8020043</t>
  </si>
  <si>
    <t>carbon price (5000 yen per ton)</t>
  </si>
  <si>
    <t>Zero Yen</t>
  </si>
  <si>
    <t>carbon price (3000 yen per ton)</t>
  </si>
  <si>
    <t>carbon price (1500 yen per ton)</t>
  </si>
  <si>
    <t>carbon price (800 yen per ton)</t>
  </si>
  <si>
    <t>Optimal forest management; Greenhouse gas mitigation; Material substitution; Energy substitution; Regional analysis</t>
  </si>
  <si>
    <t>GREENHOUSE-GAS EMISSIONS; TIMBER PRODUCTION; WOOD PRODUCTS; LIFE-CYCLE; SEQUESTRATION; MANAGEMENT; SUBSTITUTION; BIOMASS; SOILS; ACCUMULATION</t>
  </si>
  <si>
    <t>Raymer, AK; Gobakken, T; Solberg, B; Hoen, HF; Bergseng, E</t>
  </si>
  <si>
    <t>A forest optimisation model including carbon flows: Application to a forest in Norway</t>
  </si>
  <si>
    <t>We analyse which management to choose in order to increase the carbon benefit from the 1.342 million ha forest area in Hedmark County, Norway, and the cost of doing this compared to traditional profit maximising behaviour. The model used in the analysis is a dynamic forest management optimisation model which includes the main carbon flows and benefits from the forest area: tree growth and mortality, litter accumulation, decomposition of dead wood and harvest residues, soil processes, end-use of wood products, and saved greenhouse gas emissions from using wood products instead of more energy intensive materials and fossil fuels. The overall harvest from the region is restricted to the present level, in order to see which carbon benefits can be achieved while keeping a steady supply of timber to the forest industry. Under this restriction, maximising carbon benefit decreases the net present value of timber revenue from the region by 21%. There is more planting and less thinning compared to when timber revenue is maximised. If substitution effects, i.e. saved greenhouse gas emissions from use of wood products, are included in the analysis, it is optimal with more planting and thinning, although the changes are small in this case study because harvest level is held constant. On the other hand, net present value of carbon benefit (in ton CO2-equivalent) is increased by 1.4-1.6 times when substitution effects are included. Changing forest management is a cost effective mitigation option. For a cost of (sic) 0-10 per ton discounted CO2-equivalent, the net present value of carbon benefit from the area can be increased with 0.2-0.3 million tonnes CO2-equivalents on average in every year of the 120 years long planning horizon taking discounting into account (annuity). (C) 2009 Elsevier B.V. All rights reserved.</t>
  </si>
  <si>
    <t>10.1016/j.foreco.2009.04.036</t>
  </si>
  <si>
    <t>Maximize timber revenues</t>
  </si>
  <si>
    <t>MaxTimberNPV</t>
  </si>
  <si>
    <t>MaxCarbonNPV_withoutsubstitution</t>
  </si>
  <si>
    <t>Standing Volume</t>
  </si>
  <si>
    <t>milion m3</t>
  </si>
  <si>
    <t>MaxCarbonNPV_withsubstitution</t>
  </si>
  <si>
    <t>residue management</t>
  </si>
  <si>
    <t>coal and natural gas are included in the study but not  used in the data extraction</t>
  </si>
  <si>
    <t xml:space="preserve">Repo, A., Tuovinen, J. P., &amp; Liski, J. </t>
  </si>
  <si>
    <t xml:space="preserve"> Can we produce carbon and climate neutral forest bioenergy?</t>
  </si>
  <si>
    <t xml:space="preserve"> Gcb Bioenergy</t>
  </si>
  <si>
    <t>10.1111/gcbb.12134</t>
  </si>
  <si>
    <t>no residue removal (Fig 5)</t>
  </si>
  <si>
    <t>Bioenergy -21% (Fig 5)</t>
  </si>
  <si>
    <t>average biomass harvested over a rotation</t>
  </si>
  <si>
    <t>J m-2</t>
  </si>
  <si>
    <t>Bioenergy +10 (Fig 5)</t>
  </si>
  <si>
    <t>Bioenergy (Fig 5)</t>
  </si>
  <si>
    <t>Bioenergy +38% (Fig 5)</t>
  </si>
  <si>
    <t>coal and natural gas are included in the study but not used in the data extraction</t>
  </si>
  <si>
    <t>WOODY BIOMASS ENERGY; OPTIMAL MANAGEMENT; SEQUESTER CARBON; IMPACTS; SECTOR; POLICY; MITIGATION; BIOENERGY; PAYMENTS; INSIGHTS</t>
  </si>
  <si>
    <t>Riviere, M; Caurla, S</t>
  </si>
  <si>
    <t>Landscape implications of managing forests for carbon sequestration</t>
  </si>
  <si>
    <t>We explore the implications of managing forests for the dual purpose of sequestering carbon and producing timber, using a model of the forest sector that includes a Hartman-based representation of forest owners' behaviour as well as heterogeneity in environmental conditions. We focus on France, where recent policies aim at increasing the carbon sink and where the diversity of forests makes an analysis of spatial dynamics relevant, and we use recent estimates of the shadow price of carbon consistent with the country's climate commitments. Results suggest that forests may sequester up to 550 MtCO(2)eq by 2100, driven by changes in harvest levels and species choice, whilst rotation lengths increase overall. A spatial analysis reveals a high spatial variability for these trends, highlighting the importance of considering the local context. Changes in investment patterns affect the spatial distribution of forest cover types: by the end of the century, a majority of regions comprise a larger share of older, multiple-species and mixed-structure forests. Whilst such an evolution may present benefits in terms of biodiversity, ecosystem services provision and resilience, it raises questions regarding the adequacy of such developments with current forest policy, which also aims at increasing harvest levels. An overall mitigation strategy for the forest sector would likely include incentives to energy and material substitution in downstream industries, which we did not consider and may interact with sequestration incentives.</t>
  </si>
  <si>
    <t>10.1093/forestry/cpaa015</t>
  </si>
  <si>
    <t>Low price of carbon</t>
  </si>
  <si>
    <t>LOW</t>
  </si>
  <si>
    <t>Harvested Volume</t>
  </si>
  <si>
    <t>Main (reported) price of carbon</t>
  </si>
  <si>
    <t>MAIN</t>
  </si>
  <si>
    <t>High price of carbon</t>
  </si>
  <si>
    <t>High</t>
  </si>
  <si>
    <t>Main (reported) price of carbon_landownerDoesNOtaccountforC</t>
  </si>
  <si>
    <t>MAIN-F</t>
  </si>
  <si>
    <t>Canada; Managed forest; Harvested wood products; Cascade; Cradle-to-cradle utilization; Carbon footprint; Energy wood</t>
  </si>
  <si>
    <t>EMISSIONS; WASTE; PARTICLEBOARD; CONSUMPTION; INVENTORY; BALANCES; IMPACTS; PELLETS; STORAGE; MARKET</t>
  </si>
  <si>
    <t>Sikkema, R; Junginger, M; McFarlane, P; Faaij, A</t>
  </si>
  <si>
    <t>The GHG contribution of the cascaded use of harvested wood products in comparison with the use of wood for energy-A case study on available forest resources in Canada</t>
  </si>
  <si>
    <t>Some Parties (Countries) to the UNFCCC decided to include the carbon uptake by harvested wood products (HWP) in a new general accounting framework after 2012 (post Kyoto). The analysis aims to make a comparison between the cascaded use of HWP and the use of wood for energy. We combine the new HWP framework with an assumed increased 50 million m(3) harvest level in Canada and evaluate the impact of the GHG emissions over a 100-year period. Our reference case assumes all harvested wood is an immediate CO2 emission (IPCC default) and no substitution effects, i.e. annual GHG emissions of 41 million tonnes CO2eq. In our wood utilization scenario's, harvested trees are allocated (in varying shares) to three end-products: construction wood, paper products and pellets for power production. In comparison with our base case, a combination of fossil fuel substitution, material substitution and temporary carbon uptake by HWP leads to significant decreases in GHG emissions. All scenario's show annual GHG emission between 18 and 21 million tonnes CO2eq except for triple use without recycling (at least 24 million tonnes CO2eq). We conclude that GHG emissions of our scenarios are substantially lower than IPCC default. However, it is difficult to incorporate one single method to account for GHG uptake and emissions by HWP, due to end use efficiency and recycling options. Further GHG allocation over individual countries is not straightforward and needs further research. (C) 2013 Elsevier Ltd. All rights reserved.</t>
  </si>
  <si>
    <t>10.1016/j.envsci.2013.03.007</t>
  </si>
  <si>
    <t>Triple Use of wood products for construction, paper, and pellets; solid waste combustion with 30% efficiency; no recycling</t>
  </si>
  <si>
    <t>Wood harvested</t>
  </si>
  <si>
    <t>1; self-calculated for end of life energy recovery of wood products</t>
  </si>
  <si>
    <t>1; https://webarchive.nationalarchives.gov.uk/ukgwa/20121217163822/https://www.decc.gov.uk/en/content/cms/consultations/biomass_ro/biomass_ro.aspx</t>
  </si>
  <si>
    <t>38%; https://link.springer.com/article/10.1007/s10086-009-1107-4</t>
  </si>
  <si>
    <t>Fix sequestration sign; C_alternative values checked from file Valade_2018_data</t>
  </si>
  <si>
    <t>Triple Use of wood products for construction, paper, and pellets; solid waste combustion with 20% efficiency; no recycling</t>
  </si>
  <si>
    <t>Triple Use of wood products for construction, paper, and pellets; solid waste combustion with 30% efficiency; with recycling</t>
  </si>
  <si>
    <t>Triple Use of wood products for construction, paper, and pellets; solid waste combustion with 20% efficiency; with recycling</t>
  </si>
  <si>
    <t>Duel Use of wood products for construction and pellets; solid waste combustion with 30% efficiency; with recycling</t>
  </si>
  <si>
    <t>Duel Use of wood products for construction and pellets; solid waste combustion with 30% efficiency; no recycling</t>
  </si>
  <si>
    <t>Single Use of wood products for energy pellets; no recycling</t>
  </si>
  <si>
    <t>Duel Use of wood products for construction and pellets; solid waste combustion with 20% efficiency; with recycling</t>
  </si>
  <si>
    <t>Duel Use of wood products for construction and pellets; solid waste combustion with 20% efficiency; no recycling</t>
  </si>
  <si>
    <t>GROWING POPLAR PLANTATIONS; LIFE-CYCLE ASSESSMENT; CARBON SEQUESTRATION; ENVIRONMENTAL PERFORMANCE; BOREAL FORESTS; MANAGEMENT; BIOENERGY; IMPACTS; BIOMASS; AFFORESTATION</t>
  </si>
  <si>
    <t>Smyth, CE; Stinson, G; Neilson, E; Lempriere, TC; Hafer, M; Rampley, GJ; Kurz, WA</t>
  </si>
  <si>
    <t>Quantifying the biophysical climate change mitigation potential of Canada's forest sector</t>
  </si>
  <si>
    <t>The potential of forests and the forest sector to mitigate greenhouse gas (GHG) emissions is widely recognized, but challenging to quantify at a national scale. Forests and their carbon (C) sequestration potential are affected by management practices, where wood harvesting transfers C out of the forest into products, and subsequent regrowth allows further C sequestration. Here we determine the mitigation potential of the 2.3 x 10(6) km(2) of Canada's managed forests from 2015 to 2050 using the Carbon Budget Model of the Canadian Forest Sector (CBM-CFS3), a harvested wood products (HWP) model that estimates emissions based on product half-life decay times, and an account of emission substitution benefits from the use of wood products and bioenergy. We examine several mitigation scenarios with different assumptions about forest management activity levels relative to a base case scenario, including improved growth from silvicultural activities, increased harvest and residue management for bioenergy, and reduced harvest for conservation. We combine forest management options with two mitigation scenarios for harvested wood product use involving an increase in either long-lived products or bioenergy uses. Results demonstrate large differences among alternative scenarios, and we identify potential mitigation scenarios with increasing benefits to the atmosphere for many decades into the future, as well as scenarios with no net benefit over many decades. The greatest mitigation impact was achieved through a mix of strategies that varied across the country and had cumulative mitigation of 254 Tg CO(2)e in 2030, and 1180 Tg CO(2)e in 2050. There was a trade-off between short-term and long-term goals, in that maximizing short-term emissions reduction could reduce the forest sector's ability to contribute to longer-term objectives. We conclude that (i) national-scale forest sector mitigation options need to be assessed rigorously from a systems perspective to avoid the development of policies that deliver no net benefits to the atmosphere, (ii) a mix of strategies implemented across the country achieves the greatest mitigation impact, and (iii) because of the time delays in achieving carbon benefits for many forest-based mitigation activities, future contributions of the forest sector to climate mitigation can be maximized if implemented soon.</t>
  </si>
  <si>
    <t>10.5194/bg-11-3515-2014</t>
  </si>
  <si>
    <t>Increased growth from fertilization, use of improved seed or stand</t>
  </si>
  <si>
    <t>better growth</t>
  </si>
  <si>
    <t>; varies for type of wood product from 0.38 to .77 Mg C avoided per Mg C of wood and varied btw -.08 and .779 for energy (across Canada)</t>
  </si>
  <si>
    <t>Commercial thinning for bionergy feedstock</t>
  </si>
  <si>
    <t>Bioenergy PCT</t>
  </si>
  <si>
    <t>Additional harvest</t>
  </si>
  <si>
    <t>Tg C yr-1</t>
  </si>
  <si>
    <t>Fix C estimates, they are given as cumulated but wood amount is given as yearly so C estimate should be divided by time period</t>
  </si>
  <si>
    <t>Pre-commercial thinning for bionergy feedstock</t>
  </si>
  <si>
    <t>Bioenergy CT</t>
  </si>
  <si>
    <t>Increase harvest utilization rates and utilize residues</t>
  </si>
  <si>
    <t>bettter utilization</t>
  </si>
  <si>
    <t>Utilization</t>
  </si>
  <si>
    <t>Reduce harvest levels and restrict harvest area</t>
  </si>
  <si>
    <t>harvest less</t>
  </si>
  <si>
    <t>Harvest Reduction</t>
  </si>
  <si>
    <t>correct Qwood multiplied by number of years to have the cumulative value</t>
  </si>
  <si>
    <t>fix C to put it /yr like Qwood</t>
  </si>
  <si>
    <t>Faster regeneration from post-harvest planting</t>
  </si>
  <si>
    <t>planting</t>
  </si>
  <si>
    <t>Clear-cut harvest for bionergy feedstock</t>
  </si>
  <si>
    <t>Bioenergy harvest</t>
  </si>
  <si>
    <t>Increase proportion of harvested wood for bionenergy feedstock</t>
  </si>
  <si>
    <t>bioenergy feedstock</t>
  </si>
  <si>
    <t>Increase proportion of harvest for longer-lived wood products</t>
  </si>
  <si>
    <t>bioenergy; Canada's managed forest; Carbon Budget Model of the Canadian Forest Sector; climate change mitigation; GHG emissions; harvest residues</t>
  </si>
  <si>
    <t>FOREST RESIDUES; CARBON EMISSIONS; SMALL-SCALE; BIOMASS; ENERGY; PRODUCTIVITY; MANAGEMENT; DYNAMICS; REMOVAL; BOREAL</t>
  </si>
  <si>
    <t>Smyth, C; Kurz, WA; Rampley, G; Lempriere, TC; Schwab, O</t>
  </si>
  <si>
    <t>Climate change mitigation potential of local use of harvest residues for bioenergy in Canada</t>
  </si>
  <si>
    <t>We estimate the mitigation potential of local use of bioenergy from harvest residues for the 2.3 x 10(6) km(2) (232 Mha) of Canada's managed forests from 2017 to 2050 using three models: Carbon Budget Model of the Canadian Forest Sector (CBM-CFS3), a harvested wood products (HWP) model that estimates bioenergy emissions, and a model of emission substitution benefits from the use of bioenergy. We compare the use of harvest residues for local heat and electricity production relative to a base case scenario and estimate the climate change mitigation potential at the forest management unit level. Results demonstrate large differences between and within provinces and territories across Canada. We identify regions with increasing benefits to the atmosphere for many decades into the future and regions where no net benefit would occur over the 33-year study horizon. The cumulative mitigation potential for regions with positive mitigation was predicted to be 429 Tg CO(2)e in 2050, with 7.1 TgC yr (-1) of harvest residues producing bioenergy that met 3.1% of the heat demand and 2.9% of the electricity demand for 32.1 million people living within these regions. Our results show that regions with positive mitigation produced bioenergy, mainly from combined heat and power facilities, with emissions intensities that ranged from roughly 90 to 500 kg CO(2)e MWh(-1). Roughly 40% of the total captured harvest residue was associated with regions that were predicted to have a negative cumulative mitigation potential in 2050 of -152 Tg CO(2)e. We conclude that the capture of harvest residues to produce local bioenergy can reduce GHG emissions in populated regions where bioenergy, mainly from combined heat and power facilities, offsets fossil fuel sources (fuel oil, coal and petcoke, and natural gas).</t>
  </si>
  <si>
    <t>10.1111/gcbb.12387</t>
  </si>
  <si>
    <t>Use harvest residues for bioenergy; reduce slashburning</t>
  </si>
  <si>
    <t>Residue Use</t>
  </si>
  <si>
    <t>; https://onlinelibrary.wiley.com/doi/full/10.1111/gcbb.12389</t>
  </si>
  <si>
    <t>Climate change mitigation; Forest sector; British Columbia; Cost per tonne; Socio-economic impact; GCBM</t>
  </si>
  <si>
    <t>LAND-USE CHANGE; CARBON-DYNAMICS; CANADA; WOOD; UNCERTAINTY; ENERGY; AFFORESTATION; SUBSTITUTION; BIODIVERSITY; MANAGEMENT</t>
  </si>
  <si>
    <t>Smyth, CE; Xu, Z; Lempriere, TC; Kurz, WA</t>
  </si>
  <si>
    <t>Climate change mitigation in British Columbia's forest sector: GHG reductions, costs, and environmental impacts</t>
  </si>
  <si>
    <t>Background The potential contributions from forest-based greenhouse gas (GHG) mitigation actions need to be quantified to develop pathways towards net negative emissions. Here we present results from a comparative analysis that examined mitigation options for British Columbia's forest sector. Mitigation scenarios were evaluated using a systems perspective that takes into account the changes in emissions and removals in forest ecosystems, in harvested wood product (HWP) carbon stocks, and in other sectors where wood products substitute for emission-intensive materials and fossil fuels. All mitigation activities were assessed relative to a forward-looking 'business as usual' baseline for three implementation levels. In addition to quantifying net GHG emission reductions, we assessed economic, and socio-economic impacts as well as other environmental indicators relating to forest species, age class, deadwood availability and future timber supply. We further considered risks of reversal for land-based scenarios, by assessing impacts of increasing future wildfires on stands that were not harvested. Results Our spatially explicit analyses of forest sector mitigation options demonstrated a cost-effective portfolio of regionally differentiated scenarios that directed more of the harvested wood to longer-lived wood products, stopped burning of harvest residues and instead produced bioenergy to displace fossil fuel burning, and reduced harvest levels in regions with low disturbance rates. Domestically, net GHG emissions were reduced by an average of -9 MtCO(2)e year(-1)over 2020-2050 for a portfolio of mitigation activities at a default implementation level, with about 85% of the GHG emission reductions achieved below a cost of $50/tCO(2)e. Normalizing the net GHG reduction by changes in harvested wood levels permitted comparisons of the scenarios with different ambition levels, and showed that a 1 MtCO(2)increase in cumulative harvested stemwood results in a 1 MtCO(2)e reduction in cumulative emissions, relative to the baseline, for theHigher Recoveryscenario in 2070. Conclusions The analyses conducted in this study contribute to the global understanding of forest sector mitigation options by providing an integrated framework to synthesize the methods, assumptions, datasets and models needed to quantify mitigation activities using a systems approach. An understanding of economically feasible and socio-economically attractive mitigation scenarios along with trade offs for environmental indicators relating to species composition and age, helps decision makers with long-term planning for land sector contributions to GHG emission reduction efforts, and provides valuable information for stakeholder consultations.</t>
  </si>
  <si>
    <t>10.1186/s13021-020-00155-2</t>
  </si>
  <si>
    <t>Harvest reduction; low substitution benefit</t>
  </si>
  <si>
    <t>Harvest less_lowSub</t>
  </si>
  <si>
    <t>cumulated future timber supply</t>
  </si>
  <si>
    <t>MtCO2e</t>
  </si>
  <si>
    <t>Fix sequestration sign; Added wood harvest &amp; fixed reference assignment</t>
  </si>
  <si>
    <t>Reduced harvest of old stands; low substitution benefit</t>
  </si>
  <si>
    <t>Restricted Harvest_lowSub</t>
  </si>
  <si>
    <t>Harvest reduction; high substitution benefit</t>
  </si>
  <si>
    <t>Harvest less_highSub</t>
  </si>
  <si>
    <t>Reduced harvest of old stands; high substitution benefit</t>
  </si>
  <si>
    <t>Restricted Harvest_highSub</t>
  </si>
  <si>
    <t>Increase use of harvested stemwood for wood products without changing harvest area; high substitution benefit</t>
  </si>
  <si>
    <t>Higher Recovery_highSub</t>
  </si>
  <si>
    <t>Higher recovery plus residue use for bioenergy plus longer lived products; low substitution benefit</t>
  </si>
  <si>
    <t>Higher Recovery + Residues for Bioenergy_lowSub + LLP</t>
  </si>
  <si>
    <t>Higher recovery plus residue use for bioenergy plus longer-lived products; high substitution benefit</t>
  </si>
  <si>
    <t>Higher Recovery + Residues for Bioenergy_highSub + LLP</t>
  </si>
  <si>
    <t>Wood products shifted from pulp and paper to longer-lived products; low substitution benefit</t>
  </si>
  <si>
    <t>Longer-lived wood products_lowSub</t>
  </si>
  <si>
    <t>Wood products shifted from pulp and paper to longer-lived products; high substitution benefit</t>
  </si>
  <si>
    <t>Longer-lived wood products_highSub</t>
  </si>
  <si>
    <t>Increase use of harvested stemwood for wood products without changing harvest area; low substitution benefit</t>
  </si>
  <si>
    <t>Use harvest residues for bioenergy; low substitution benefit</t>
  </si>
  <si>
    <t>Residues for Bioenergy_lowSub</t>
  </si>
  <si>
    <t>Use harvest residues for bioenergy; high substitution benefit</t>
  </si>
  <si>
    <t>Residues for Bioenergy_highSub</t>
  </si>
  <si>
    <t>MITIGATION AND ADAPTATION STRATEGIES FOR GLOBAL CHANGE</t>
  </si>
  <si>
    <t>Forest; Carbon; Sequestration; Substitution; Sink; Avoided emissions</t>
  </si>
  <si>
    <t>Soimakallio, S; Kalliokoski, T; Lehtonen, A; Salminen, O</t>
  </si>
  <si>
    <t>On the trade-offs and synergies between forest carbon sequestration and substitution</t>
  </si>
  <si>
    <t>Forest biomass can be used in two different ways to limit the growth of the atmospheric greenhouse gas (GHG) concentrations: (1) to provide negative emissions through sequestration of carbon into forests and harvested wood products or (2) to avoid GHG emissions through substitution of non-renewable raw materials with wood. We study the trade-offs and synergies between these strategies using three different Finnish national-level forest scenarios between 2015 and 2044 as examples. We demonstrate how GHG emissions change when wood harvest rates are increased. We take into account CO2 and other greenhouse gas flows in the forest, the decay rate of harvested wood products and fossil-based CO2 emissions that can be avoided by substituting alternative materials with wood derived from increased harvests. We considered uncertainties of key parameters by using stochastic simulation. According to our results, an increase in harvest rates in Finland increased the total net GHG flow to the atmosphere virtually certainly or very likely, given the uncertainties and time frame considered. This was because the increased biomass-based CO2 and other greenhouse gas emissions to the atmosphere together with decreased carbon sequestration into the forest were very likely higher than the avoided fossil-based CO2 emissions. The reverse of this conclusion would require that compared to what was studied in this paper, the share of long-living wood products in the product mix would be higher, carbon dioxide from bioenergy production would be captured and stored, and reduction in forest carbon equivalent net sink due to wood harvesting would be minimized.</t>
  </si>
  <si>
    <t>Mitig. Adapt. Strateg. Glob. Chang.</t>
  </si>
  <si>
    <t>10.1007/s11027-021-09942-9</t>
  </si>
  <si>
    <t>Increase harvest to sustain maximum yield</t>
  </si>
  <si>
    <t>Harvested wood product</t>
  </si>
  <si>
    <t>; Soimakallion 2016; between 0.6 and 1.25 depending on product or energy</t>
  </si>
  <si>
    <t>na</t>
  </si>
  <si>
    <t>Increase harvest to use pellets</t>
  </si>
  <si>
    <t>Wood flow; Cascade utilisation; Logistics network; Mixed integer linear programming; UMBERTO</t>
  </si>
  <si>
    <t>LIFE-CYCLE ASSESSMENT; CHAIN OPTIMIZATION; BIOMASS; ENERGY; DESIGN; SYSTEM; MODEL; GENERATION</t>
  </si>
  <si>
    <t>Taskhiri, MS; Garbs, M; Geldermann, J</t>
  </si>
  <si>
    <t>Sustainable logistics network for wood flow considering cascade utilisation</t>
  </si>
  <si>
    <t>To address the growing demand for wood as a renewable resource, a trend that has arisen in recent years is to follow the principle of cascade utilisation and to use wood residues from by-products. The cascading principle represents a method supporting resource efficiency through the sequential use of the remaining quality resources from previous commodities and substances. The logistics concept deserves special attention with respect to the utilisation of wood resources and the cascading principle as logistics processes constitute the largest share of costs. This work considers a logistics network for wood flow for different products in various sectors. Examples include a logistics network for particle board in the material-based sector, pulp and paper production in the chemical sector, and wood pellets production in the energy sector using cascade utilisation and recovered wood. A transportation problem is modelled using a mixed-integer linear programming (MILP) model, and it is applied to a case study in Lower Saxony using the software CPLEX v12.5. The aim is to minimise the total logistics costs of a logistics network, including those associated with harvesting, chipping, storage and transportation, for several companies in different sectors. UMBERTO, a life cycle assessment (LCA) software, is used to investigate the potential environmental impacts of the optimised logistics network. The approach is applied to three scenarios in Lower Saxony, a state in Germany. The initial results indicate that the total cost of the considered wood logistics network does not change significantly for the cascading scenarios in comparison to that associated with fresh wood, but there would be a substantial reduction in CO2 emissions if cascade utilisation is used in the logistics network. (c) 2015 Elsevier Ltd. All rights reserved.</t>
  </si>
  <si>
    <t>10.1016/j.jclepro.2015.09.098</t>
  </si>
  <si>
    <t>% of recovered wood used to make panels (different types of panels are considered)</t>
  </si>
  <si>
    <t>Amount of wood recovered from waste wood</t>
  </si>
  <si>
    <t>forest carbon; managed forest; harvested wood products; emissions</t>
  </si>
  <si>
    <t>ECOSYSTEM SERVICES; MANAGEMENT; MITIGATION; IMPACTS; DISTURBANCE</t>
  </si>
  <si>
    <t>Ter-Mikaelian, MT; Colombo, SJ; Chen, JX</t>
  </si>
  <si>
    <t>Harvest volumes and carbon stocks in boreal forests of Ontario, Canada</t>
  </si>
  <si>
    <t>We used models to project forest carbon stocks for a series of harvesting scenarios for 29 boreal forest management units totalling 23.3 million ha in Ontario, Canada. Scenarios evaluated for 2020 to 2050 ranged from a no harvesting option to annual harvesting of 2% of the total merchantable volume present in 2020. For each scenario, we estimated the following carbon quantities: (a) forest ecosystem carbon stocks, (b) sum of carbon stocks in forest ecosystem and harvested wood products (HWP) minus emissions associated with HWP production and decomposition, and (c) net greenhouse gas (GHG) effects of harvesting estimated as (b) combined with emissions avoided by substituting HWP for non-wood materials. The average of each carbon quantity for 2020 to 2050 was linearly dependent on the annual harvest volume. The developed relationships were used to estimate harvest volumes for which the three carbon quantities would equal equilibrium forest ecosystem carbon stocks for a pre-suppression natural disturbance cycle. These estimates indicate the range of harvest volumes for which resulting carbon stocks would equal or exceed those in an unmanaged forest. Also discussed are possible criteria for determining annual harvest volume.</t>
  </si>
  <si>
    <t>10.5558/tfc2021-018</t>
  </si>
  <si>
    <t>No harvest</t>
  </si>
  <si>
    <t>Historical average</t>
  </si>
  <si>
    <t>m3 harvested over the 30 year period</t>
  </si>
  <si>
    <t>Original C balance given as "average stock", somehow cumulating forest and fossil stocks over the period. Original stock values are muliplied by 2 to reconstruct cumulated flux after aribitrarily setting the "No harvest" scenario at zero flux. Given that the relationship between harvest and cumulated emissions is found to be linear, no specific scenario is explicited. Here, three scenarios have been arbitrarily defined for the meta-analysis. Because of the linearity, they result in the same ratios and substitution factors.</t>
  </si>
  <si>
    <t>changedAV</t>
  </si>
  <si>
    <t>Doubled harvest</t>
  </si>
  <si>
    <t>Chen et al. 2018: https://academic.oup.com/forestry/article/91/2/193/4812633</t>
  </si>
  <si>
    <t>climate change; climate impact; energy biomass; forest management; radiative forcing; substitution</t>
  </si>
  <si>
    <t>CARBON-DIOXIDE EMISSIONS; FOREST BIOENERGY; SEQUESTRATION; NEUTRALITY; RESIDUES; TIMBER; DEBT</t>
  </si>
  <si>
    <t>Torssonen, P; Kilpelainen, A; Strandman, H; Kellomaki, S; Jylha, K; Asikainen, A; Peltola, H</t>
  </si>
  <si>
    <t>Effects of climate change and management on net climate impacts of production and utilization of energy biomass in Norway spruce with stable age-class distribution</t>
  </si>
  <si>
    <t>We studied the effects of climate change and forest management scenarios on net climate impacts (radiative forcing) of production and utilization of energy biomass, in a Norway spruce forest area over an 80-year simulation period in Finnish boreal conditions. A stable age-class distribution was used in model-based analyses to identify purely the management effects under the current and changing climate (SRES B1 and A2 scenarios). The radiative forcing was calculated based on an integrated use of forest ecosystem model simulations and a life cycle assessment (LCA) tool. In this work, forest-based energy was used to substitute coal, and current forest management (baseline management) was used as a reference management. In alternative management scenarios, the stocking was maintained 20% higher in thinning compared to the baseline management, and nitrogen fertilization was applied. Intensity of energy biomass harvest (e.g. logging residues, coarse roots and stumps) was varied in the final felling of the stands at the age of 80years. Also, the economic profitability (NPV, 3% interest rate) of integrated production of timber and energy biomass was calculated for each management scenario. Our results showed that compared to the baseline management, climate benefits could be increased by maintaining higher stocking in thinning over rotation, using nitrogen fertilization and harvesting logging residues, stumps and coarse roots in the final felling. Under the gradually changing climate (in both SRES B1 and A2), the climate benefits were lower compared to the current climate. Trade-offs between NPV and net climate impacts also existed.</t>
  </si>
  <si>
    <t>10.1111/gcbb.12258</t>
  </si>
  <si>
    <t>Haverting logging residues for energy</t>
  </si>
  <si>
    <t>BT</t>
  </si>
  <si>
    <t>BN</t>
  </si>
  <si>
    <t>Energy biomass harvested (fines branches and needles)</t>
  </si>
  <si>
    <t>table S1</t>
  </si>
  <si>
    <t>Mg ha-1 yr-1</t>
  </si>
  <si>
    <t>gCO2/m2/a (convert to per hectare)</t>
  </si>
  <si>
    <t>change cumulated radiative forcing for NEE to have the climate variable</t>
  </si>
  <si>
    <t>BNR</t>
  </si>
  <si>
    <t>BNR20</t>
  </si>
  <si>
    <t>Haverting logging residues for energy (+ lower thinning intensity)</t>
  </si>
  <si>
    <t>BN20</t>
  </si>
  <si>
    <t>BNF</t>
  </si>
  <si>
    <t>Climate change (A2 scenario)</t>
  </si>
  <si>
    <t>BN under constant climate</t>
  </si>
  <si>
    <t>BN under A2 scenario</t>
  </si>
  <si>
    <t>No difference between ref and scenario on forest management and wood use, but changing climate =&gt; it's a sensitivity analysis of the results of the main simulation under changing climate</t>
  </si>
  <si>
    <t>Climate change (B1 scenario)</t>
  </si>
  <si>
    <t>BN under B1 scenario</t>
  </si>
  <si>
    <t>BN20 under constant climate</t>
  </si>
  <si>
    <t>BN20 under A2 scenario</t>
  </si>
  <si>
    <t>BN20 under B1 scenario</t>
  </si>
  <si>
    <t>BNR under constant climate</t>
  </si>
  <si>
    <t>BNR under A2 scenario</t>
  </si>
  <si>
    <t>BNR under B1 scenario</t>
  </si>
  <si>
    <t>BNR20 under constant climate</t>
  </si>
  <si>
    <t>BNR20 under A2 scenario</t>
  </si>
  <si>
    <t>BNR20 under B1 scenario</t>
  </si>
  <si>
    <t>BN20F</t>
  </si>
  <si>
    <t>change driver for fertilization</t>
  </si>
  <si>
    <t>BNRF</t>
  </si>
  <si>
    <t>BNR20F</t>
  </si>
  <si>
    <t>BNF under constant climate</t>
  </si>
  <si>
    <t>BNF under A2 scenario</t>
  </si>
  <si>
    <t>BNF under B1 scenario</t>
  </si>
  <si>
    <t>BN20F under constant climate</t>
  </si>
  <si>
    <t>BN20F under A2 scenario</t>
  </si>
  <si>
    <t>BN20F under B1 scenario</t>
  </si>
  <si>
    <t>BNRF under constant climate</t>
  </si>
  <si>
    <t>BNRF under A2 scenario</t>
  </si>
  <si>
    <t>BNRF under B1 scenario</t>
  </si>
  <si>
    <t>BNR20F under constant climate</t>
  </si>
  <si>
    <t>BNR20F under A2 scenario</t>
  </si>
  <si>
    <t>BNR20F under B1 scenario</t>
  </si>
  <si>
    <t>JOURNAL OF WOOD SCIENCE</t>
  </si>
  <si>
    <t>Kyoto protocol; Carbon reduction; Carbon storage; Low-carbon society; Biomass energy</t>
  </si>
  <si>
    <t>GREENHOUSE-GAS INVENTORIES; UNITED-STATES</t>
  </si>
  <si>
    <t>Tsunetsugu, Y; Tonosaki, M</t>
  </si>
  <si>
    <t>Quantitative estimation of carbon removal effects due to wood utilization up to 2050 in Japan: effects from carbon storage and substitution of fossil fuels by harvested wood products</t>
  </si>
  <si>
    <t>Carbon absorbed by forests remains stored in the timber used for wood products, and a change in wood product stock can be evaluated as substantial removal/emission of atmospheric carbon. Since the carbon storage effect due to harvested wood products (HWP) might be taken into account in the future framework of carbon mitigation, it is crucial to estimate the carbon flow and stock concerning HWP for the next commitment period. In the present study, we developed a model for estimating the flow and stock of wood products in Japan's building, furniture, and paper sectors. The HWP carbon storage effect and substitution effect (carbon reduction by substituting fossil fuels and energy-intensive materials with HWP) up to 2050 were quantitatively estimated by lifetime analysis. Our model simulation revealed that (i) the carbon stock change in Japan due to HWP would be evaluated as a large emission if the atmospheric-flow approach is adopted, (ii) carbon removal would not significantly increase if the ratio of newly constructed wooden buildings/furniture remains stable, and (iii) the carbon storage effect together with the substitution effect would have a significant impact on climate change mitigation if the ratio of newly constructed wooden buildings/furniture is gradually improved to 70% by 2050.</t>
  </si>
  <si>
    <t>J. Wood Sci.</t>
  </si>
  <si>
    <t>10.1007/s10086-009-1107-4</t>
  </si>
  <si>
    <t>Share of wood-based buildings and furniture</t>
  </si>
  <si>
    <t>Promotion</t>
  </si>
  <si>
    <t>Wood harvest in 2050</t>
  </si>
  <si>
    <t>Mm3 yr-1</t>
  </si>
  <si>
    <t>MtC yr-1</t>
  </si>
  <si>
    <t>Reference</t>
  </si>
  <si>
    <t>Forest management; Renewable energy; Wood harvest; Forest stands; Carbon balance; Forest modelling; Forest growth; Wood-use; Energy substitution; Product substitution</t>
  </si>
  <si>
    <t>PINUS-SYLVESTRIS L.; STAND-DENSITY; EUROPEAN FORESTS; CLIMATE-CHANGE; CO2 EMISSIONS; BIOENERGY; BALANCE; MANAGEMENT; DEBT; CONSEQUENCES</t>
  </si>
  <si>
    <t>Valade, A; Luyssaert, S; Vallet, P; Djomo, SN; Van Der Kellen, IJ; Bellassen, V</t>
  </si>
  <si>
    <t>Carbon costs and benefits of France's biomass energy production targets</t>
  </si>
  <si>
    <t>Background: Concern about climate change has motivated France to reduce its reliance on fossil fuel by setting targets for increased biomass-based renewable energy production. This study quantifies the carbon costs and benefits for the French forestry sector in meeting these targets. A forest growth and harvest simulator was developed for French forests using recent forest inventory data, and the wood-use chain was reconstructed from national wood product statistics. We then projected wood production, bioenergy production, and carbon balance for three realistic intensification scenarios and a business-as-usual scenario. These intensification scenarios targeted either overstocked, harvest-delayed or currently actively managed stands. Results: All three intensification strategies produced 11.6-12.4 million tonnes of oil equivalent per year of wood-based energy by 2026, which corresponds to the target assigned to French wood-energy to meet the EU 2020 renewable energy target. Sustaining this level past 2026 will be challenging, let alone further increasing it. Although energy production targets can be reached, the management intensification required will degrade the near-term carbon balance of the forestry sector, compared to continuing present-day management. Even for the best-performing intensification strategy, i.e., reducing the harvest diameter of actively managed stands, the carbon benefits would only become apparent after 2040. The carbon balance of a strategy putting abandoned forests back into production would only break even by 2055; the carbon balance from increasing thinning in managed but untended stands would not break even within the studied time periods, i.e. 2015-2045 and 2046-2100. Owing to the temporal dynamics in the components of the carbon balance, i.e., the biomass stock in the forest, the carbon stock in wood products, and substitution benefits, the merit order of the examined strategies varies over time. Conclusions: No single solution was found to improve the carbon balance of the forestry sector by 2040 in a way that also met energy targets. We therefore searched for the intensification scenario that produces energy at the lowest carbon cost. Reducing rotation time of actively managed stands is slightly more efficient than targeting harvest-delayed stands, but in both cases, each unit of energy produced has a carbon cost that only turns into a benefit between 2060 and 2080.</t>
  </si>
  <si>
    <t>10.1186/s13021-018-0113-5</t>
  </si>
  <si>
    <t>Harvest harvest-delayed forests</t>
  </si>
  <si>
    <t>D: Extra mobilization of harvestdelayed forests</t>
  </si>
  <si>
    <t>Cumulated harvest over the period</t>
  </si>
  <si>
    <t>Thinning of overstocked forests</t>
  </si>
  <si>
    <t>Ov: Extra mobilization of overstocked forests</t>
  </si>
  <si>
    <t>Three drivers together</t>
  </si>
  <si>
    <t>A: Extra mobilization of all forests</t>
  </si>
  <si>
    <t>Reduction in threshold diameter for final felling</t>
  </si>
  <si>
    <t>M: Extra mobilization of actively managed forests</t>
  </si>
  <si>
    <t>ADEME. Forêt et atténuation du changement climatique; 2015</t>
  </si>
  <si>
    <t>FCBA (pers.comm.)</t>
  </si>
  <si>
    <t>Thinning in unthinned stand</t>
  </si>
  <si>
    <t xml:space="preserve">Werner, F., Taverna, R., Hofer, P., &amp; Richter, K. </t>
  </si>
  <si>
    <t xml:space="preserve"> Carbon pool and substitution effects of an increased use of wood in buildings in Switzerland: first estimates</t>
  </si>
  <si>
    <t xml:space="preserve"> Annals of Forest Science</t>
  </si>
  <si>
    <t>10.1051/forest:2005080</t>
  </si>
  <si>
    <t>Amount of wood used in construction</t>
  </si>
  <si>
    <t>current use (Table 1)</t>
  </si>
  <si>
    <t>optimistic scenario (Table 1)</t>
  </si>
  <si>
    <t>wood use for construction</t>
  </si>
  <si>
    <t>Mm3 y-1</t>
  </si>
  <si>
    <t>MtCO2 eq./yr</t>
  </si>
  <si>
    <t>Cummulative emission over 130 years in fig 9 converted to yearly</t>
  </si>
  <si>
    <t>added driver</t>
  </si>
  <si>
    <t>Climate change; CO2; GHG; Kyoto Protocol; Life cycle assessment; Sink; Substitution; Wood product; Forest management; Switzerland</t>
  </si>
  <si>
    <t>CARBON; PRODUCTS; ENERGY; SEQUESTRATION; CONSTRUCTION; CONSERVATION; LEAKAGE; TIMBER</t>
  </si>
  <si>
    <t>Werner, F; Taverna, R; Hofer, P; Thurig, E; Kaufmann, E</t>
  </si>
  <si>
    <t>National and global greenhouse gas dynamics of different forest management and wood use scenarios: a model-based assessment</t>
  </si>
  <si>
    <t>An increased use of wood products and an adequate management of forests can help to mitigate climate change. However, planning horizons and response time to changes in forest management are usually long and the respective GHG effects related to the use of wood depend on the availability of harvested wood. Therefore, an integral long-term strategic approach is required to formulate the most effective forest and wood management strategies for mitigating climate change. The greenhouse gas (GHG) dynamics related to the production, use and disposal of wood products are manifold and show a complex time pattern. On the one hand, wood products can be considered as a carbon pool, as is the forest itself. On the other hand, an increased use of wood can lead to the substitution of usually more energy-intense materials and to the substitution of fossil fuels when the thermal energy of wood is recovered. Country-specific import/export flows of wood products and their alternative products as well as their processing stage have to be considered if substitution effects are assessed on a national basis. We present an integral model-based approach to evaluate the GHG impacts of various forest management and wood use scenarios. Our approach allows us to analyse the complex temporal and spatial patterns of GHG emissions and removals including trade-offs of different forest management and wood use strategies. This study shows that the contributions of the forestry and timber sector to mitigate climate change can be optimized with the following key recommendations: (1) the maximum possible, sustainable increment should be generated in the forest, taking into account biodiversity conservation as well as the long-term preservation of soil quality and growth performance; (2) this increment should be harvested continuously; (3) the harvested wood should be processed in accordance with the principle of cascade use, i.e. first be used as a material as long as possible, preferably in structural components; (4) waste wood that is not suitable for further use should be used to generate energy. Political strategies to solely increase the use of wood as a biofuel cannot be considered efficient from a climate perspective; (5) forest management strategies to enhance carbon sinks in forests via reduced harvesting are not only ineffective because of a compensatory increase in fossil fuel consumption for the production of non-wooden products and thermal energy but also because of the Kyoto-cap that limits the accountability of GHG removals by sinks under Article 3.3 and 3.4, at least for the first commitment period; (6) the effect of substitution through the material and energy use of wood is more significant and sustained as compared with the stock effects in wood products, which tend towards new steady-state flow equilibria with no further increase of C stocks; (7) from a global perspective, the effect of material substitution exceeds that of energy recovery from wood. In the Swiss context, however, the energy recovery from wood generates a greater substitution effect than material substitution. (C) 2009 Elsevier Ltd. All rights reserved.</t>
  </si>
  <si>
    <t>10.1016/j.envsci.2009.10.004</t>
  </si>
  <si>
    <t>Longer rotation length and more set aside forest</t>
  </si>
  <si>
    <t>Reduced forest maintenance</t>
  </si>
  <si>
    <t>ecoinvent 2000 (Jungbluth, 2003; Faist and Heck, 2003; Bauer, 2003).</t>
  </si>
  <si>
    <t>Werner et al. (2006) or Taverna et al. (2007)</t>
  </si>
  <si>
    <t>Many time periods can be extracted (see Extraction sheet)</t>
  </si>
  <si>
    <t>Kyoto-optimized</t>
  </si>
  <si>
    <t>Optimized increment, building</t>
  </si>
  <si>
    <t>Optimized increment, energy</t>
  </si>
  <si>
    <t>scenario 1</t>
  </si>
  <si>
    <t>Biofuel; Carbon sequestration; Net present value; Forest management; Energy biomass</t>
  </si>
  <si>
    <t>TREE GROWTH; TIMBER PRODUCTION; CO2 ELEVATION; NORWAY SPRUCE; MANAGEMENT; PRODUCTS; IMPACTS; SEQUESTRATION; TEMPERATURE; ECOSYSTEM</t>
  </si>
  <si>
    <t>Zubizarreta-Gerendiain, A; Pukkala, T; Peltola, H</t>
  </si>
  <si>
    <t>Effects of wood harvesting and utilisation policies on the carbon balance of forestry under changing climate: a Finnish case study</t>
  </si>
  <si>
    <t>We studied the effects of different wood harvesting and utilisation policies on the carbon balance and economic profitability of forestry under the current and changing climate (A1B climate scenario). Sixty-year carbon balance was calculated for two Finnish boreal case study areas, one dominated by Scots pine and the other by Norway spruce. Carbon balance included changes in the carbon pools of living forest biomass (above- and below-ground), dead organic matter and wood products, as well as carbon releases from harvesting, transporting and manufacturing. Substitution effects of using biofuel instead of fossil-fuels were also taken into account. Business-as-usual (baseline) management policy (even-aged forestry: thinning from below, harvesting timber for wood-based products from thinning and final felling) and five other management policies were applied by changing the timing and type of thinning and the utilisation of harvested trees. Net present value (NPV, 2%) and carbon balance were maximised with even-flow net income constraints. In both case study areas, postponing the thinning of young stands and using thinning from above improved carbon balance and NPV. The use of pulpwood, logging residues and stumps as biofuel also increased carbon balance. Climate warming improved carbon balance and NPV when harvests were not increased from those under the current climate. (C) 2015 Elsevier B.V. All rights reserved.</t>
  </si>
  <si>
    <t>10.1016/j.forpol.2015.08.007</t>
  </si>
  <si>
    <t>Small diameters used for pulp rather than energy and more thinnings (baseline = alternative here)</t>
  </si>
  <si>
    <t>Spruce-dominated forest &amp; TB3 Same as TB2 except that postponing of thinnings in young stands is allowed</t>
  </si>
  <si>
    <t>Spruce-dominated forest &amp; TB1 Thinning from below; thinnings done according to the thinning instructions (immediately when stand basal area exceeds the ‘thinning limit’ of the instructions). Only saw logs and pulpwood are harvested.</t>
  </si>
  <si>
    <t>Total harvested biomass</t>
  </si>
  <si>
    <t>kt harvested biomass</t>
  </si>
  <si>
    <t>OtherQCneeded</t>
  </si>
  <si>
    <t>Spruce-dominated forest &amp; TA4: same as TB3 except that thinning from below was replaced by thinning from above</t>
  </si>
  <si>
    <t>Pine-dominated forest &amp; TB3 Same as TB2 except that postponing of thinnings in young stands is allowed</t>
  </si>
  <si>
    <t>Pine-dominated forest &amp; TB1 Thinning from below; thinnings done according to the thinning instructions (immediately when stand basal area exceeds the ‘thinning limit’ of the instructions). Only saw logs and pulpwood are harvested.</t>
  </si>
  <si>
    <t>Pine-dominated forest &amp; TA4: same as TB3 except that thinning from below was replaced by thinning from above</t>
  </si>
  <si>
    <t>Small diameters (all species) used for pulp rather than energy and more thinnings (baseline = alternative here)</t>
  </si>
  <si>
    <t>Pine-dominated forest &amp; TA5: same as Same as TA4 except that pine and birch pulpwood is not harvested. Small stems and the upper parts of log-sized pines and birches are harvested as fuel feedstock (from the top diameter of saw log until 5 cm diameter)</t>
  </si>
  <si>
    <t>Let's not compute a DF here: although there is a small increase in wood use, most of the C benefit is due to a reallocation of wood from pulp to energy.</t>
  </si>
  <si>
    <t>Spruce-dominated forest &amp; TA5: same as Same as TA4 except that pine and birch pulpwood is not harvested. Small stems and the upper parts of log-sized pines and birches are harvested as fuel feedstock (from the top diameter of saw log until 5 cm diameter)</t>
  </si>
  <si>
    <t>A1B climate &amp; Pine-dominated forest &amp; TA5: same as Same as TA4 except that pine and birch pulpwood is not harvested. Small stems and the upper parts of log-sized pines and birches are harvested as fuel feedstock (from the top diameter of saw log until 5 cm diameter)</t>
  </si>
  <si>
    <t>A1B climate &amp; Pine-dominated forest &amp; TB1 Thinning from below; thinnings done according to the thinning instructions (immediately when stand basal area exceeds the ‘thinning limit’ of the instructions). Only saw logs and pulpwood are harvested.</t>
  </si>
  <si>
    <t>A1B climate &amp; Pine-dominated forest &amp; TA4: same as TB3 except that thinning from below was replaced by thinning from above</t>
  </si>
  <si>
    <t>A1B climate &amp; Pine-dominated forest &amp; TB3 Same as TB2 except that postponing of thinnings in young stands is allowed</t>
  </si>
  <si>
    <t>A1B climate &amp; Spruce-dominated forest &amp; TA5: same as Same as TA4 except that pine and birch pulpwood is not harvested. Small stems and the upper parts of log-sized pines and birches are harvested as fuel feedstock (from the top diameter of saw log until 5 cm diameter)</t>
  </si>
  <si>
    <t>A1B climate &amp; Spruce-dominated forest &amp; TB1 Thinning from below; thinnings done according to the thinning instructions (immediately when stand basal area exceeds the ‘thinning limit’ of the instructions). Only saw logs and pulpwood are harvested.</t>
  </si>
  <si>
    <t>A1B climate &amp; Spruce-dominated forest &amp; TA4: same as TB3 except that thinning from below was replaced by thinning from above</t>
  </si>
  <si>
    <t>A1B climate &amp; Spruce-dominated forest &amp; TB3 Same as TB2 except that postponing of thinnings in young stands is allowed</t>
  </si>
  <si>
    <t>Small diameters used for energy rather than pulp</t>
  </si>
  <si>
    <t>Spruce-dominated forest &amp; TB2 Same as TB1 except that spruce pulpwood is not harvested. Norway spruce stem parts from diameter 16 cm (minimum top diameter of log) down to 5 cm are harvested as fuel feedstock.</t>
  </si>
  <si>
    <t>Pine-dominated forest &amp; TB2 Same as TB1 except that spruce pulpwood is not harvested. Norway spruce stem parts from diameter 16 cm (minimum top diameter of log) down to 5 cm are harvested as fuel feedstock.</t>
  </si>
  <si>
    <t>Small diameters used for energy rather than pulp in A1B climate scenario (+2,5°c)</t>
  </si>
  <si>
    <t>A1B climate &amp; Spruce-dominated forest &amp; TB2 Same as TB1 except that spruce pulpwood is not harvested. Norway spruce stem parts from diameter 16 cm (minimum top diameter of log) down to 5 cm are harvested as fuel feedstock.</t>
  </si>
  <si>
    <t>A1B climate &amp; Pine-dominated forest &amp; TB2 Same as TB1 except that spruce pulpwood is not harvested. Norway spruce stem parts from diameter 16 cm (minimum top diameter of log) down to 5 cm are harvested as fuel feedstock.</t>
  </si>
  <si>
    <t>0,8 tC/tC Díaz-Balteiro and Rodriguez, 2006</t>
  </si>
  <si>
    <t>0,4 tC/tC Hennigar et al., 2008</t>
  </si>
  <si>
    <t>Whole tree harvesting</t>
  </si>
  <si>
    <t>Spruce-dominated forest &amp; Same as TA4 except that 70% of tree tops, branches and stumps were harvested for biofuel in clear felling sites</t>
  </si>
  <si>
    <t>Pine-dominated forest &amp; Same as TA4 except that 70% of tree tops, branches and stumps were harvested for biofuel in clear felling sites</t>
  </si>
  <si>
    <t>A1B climate &amp; Pine-dominated forest &amp; Same as TA4 except that 70% of tree tops, branches and stumps were harvested for biofuel in clear felling sites</t>
  </si>
  <si>
    <t>A1B climate &amp; Spruce-dominated forest &amp; Same as TA4 except that 70% of tree tops, branches and stumps were harvested for biofuel in clear felling sites</t>
  </si>
  <si>
    <t>Life Cycle Assessment (LCA); Environmental performance; Sustainability; Medium density particleboard(MDP); Environmental impact; Sustainable strategy</t>
  </si>
  <si>
    <t>WOOD; INVENTORY; PARTICLEBOARD; FORMALDEHYDE; RESOURCES; INNOVATION; EMISSIONS; SELECTION; PRODUCTS; ENERGY</t>
  </si>
  <si>
    <t>Iritani, DR; Silva, DAL; Saavedra, YMB; Grael, PFF; Ometto, AR</t>
  </si>
  <si>
    <t>Sustainable strategies analysis through Life Cycle Assessment: a case study in a furniture industry</t>
  </si>
  <si>
    <t>This article aims to analyze sustainable strategies by assessing the environmental performance of a wardrobe built from medium density particleboard. For this, the Life cycle assessment technique was used. The product life cycle studied was a cradle-to-gate type, including three main stages: raw materials supply, wardrobe manufacturing and distribution of the wardrobe. The functional unit was 40 kg of stored goods/5 years and the reference flow was one wardrobe unit. The LCA modeling process was undertaken using the GaBi software, Professional 4.4 version based on attributional modeling and the EDIP-97 method. The life cycle assessment results indicated that the most significant environmental impacts occur at the stages of raw materials supply and the distribution of the wardrobe, and the most relevant impact categories were human toxicity, global warming and acidification, totaling 68.0% of the overall life cycle impacts. Based on this results and a literature review of life cycle assessment studies of furniture products, two sustainable strategies were presented: to optimize transport system and the use of alternatives raw materials during the manufacturing of medium density particleboard. In addition, three scenarios for the production of the medium density particleboard were analyzed with focus on using recycled wood as raw material instead of virgin wood. The results showed that use of 100% wood waste was more sustainable because there was a global minimization of potential impacts. These conclusions can assist furniture and the wood-based panel industries in improving their environmental profile and encourage research about alternative options to promote cleaner production of furniture components in a life cycle perspective. (C) 2014 Elsevier Ltd. All rights reserved.</t>
  </si>
  <si>
    <t>10.1016/j.jclepro.2014.05.029</t>
  </si>
  <si>
    <t>Share of recycled wood for MDP</t>
  </si>
  <si>
    <t>quantity of recycled wood</t>
  </si>
  <si>
    <t>w</t>
  </si>
  <si>
    <t>world</t>
  </si>
  <si>
    <t>JOURNAL OF GEOPHYSICAL RESEARCH-BIOGEOSCIENCES</t>
  </si>
  <si>
    <t>land cover change; CESM; CMIP5; carbon cycle; human emissions</t>
  </si>
  <si>
    <t>GLOBAL CARBON; WOOD HARVEST; CO2; EMISSIONS; CLIMATE; FLUX; NET; UNCERTAINTIES; VARIABILITY; ATMOSPHERE</t>
  </si>
  <si>
    <t>Lawrence, PJ; Lawrence, DM; Hurtt, GC</t>
  </si>
  <si>
    <t>Attributing the Carbon Cycle Impacts of CMIP5 Historical and Future Land Use and Land Cover Change in the Community Earth System Model (CESM1)</t>
  </si>
  <si>
    <t>Historical global land use and land cover change (LULCC) emissions of 160PgC represent a third of all human CO2 emissions from 1850 to 2010. Future land management decisions will have large impacts on the global carbon cycle, with scenarios ranging from continued deforestation and wood harvest to mitigation scenarios that reduce total emissions through afforestation and conversion to bioenergy. Here we present a systematic assessment of Community Earth System Model (CESM1) Coupled Model Intercomparison Project phase 5 (CMIP5) historic and projection simulations, with and without LULCC. For the historical period, CESM produced a Net LULCC flux of 123PgC to the atmosphere, removing -130PgC from ecosystems while increasing wood product pools by 7PgC. Historical LULCC fluxes were equally divided between conversion and wood harvest fluxes. For the Representative Concentration Pathway (RCP) 4.5 afforestation scenario CESM produced a Net LULCC flux of 53PgC to the atmosphere, removing -58PgC out of the ecosystem and increasing wood product pools of 5PgC. The afforestation offsets the Direct LULCC flux of 153PgC with a negative Indirect LULCC flux of -94PgC. For the RCP 8.5 high LULCC scenario, CESM produced a Net LULCC flux of 211PgC, removing -227PgC from ecosystems and increasing wood product pools of 15PgC. The LULCC of the future RCP scenarios was dominated by wood harvest fluxes, which is a process that was not included in many of the CMIP5 models. The analysis framework also allowed the attribution of Indirect and Prior LULCC fluxes that offset the Direct LULCC fluxes in many cases.</t>
  </si>
  <si>
    <t>J. Geophys. Res.-Biogeosci.</t>
  </si>
  <si>
    <t>10.1029/2017JG004348</t>
  </si>
  <si>
    <t>RCP scenario</t>
  </si>
  <si>
    <t>RCP4.5 (no LUC)(Fig.5)</t>
  </si>
  <si>
    <t>RCP8.5 (noLUC)(Fig.5)</t>
  </si>
  <si>
    <t>global tree harvest</t>
  </si>
  <si>
    <t>PgC</t>
  </si>
  <si>
    <t>GLOBAL BIOGEOCHEMICAL CYCLES</t>
  </si>
  <si>
    <t>carbon emissions; land use change; nitrogen cycle; carbon cycle; CMIP5; uncertainties</t>
  </si>
  <si>
    <t>NET PRIMARY PRODUCTION; COVER CHANGE; SOIL CARBON; TERRESTRIAL BIOSPHERE; PHOSPHORUS LIMITATION; DINITROGEN FIXATION; FOREST PRODUCTIVITY; SECONDARY FOREST; GLOBAL PATTERNS; CLIMATE-CHANGE</t>
  </si>
  <si>
    <t>Meiyappan, P; Jain, AK; House, JI</t>
  </si>
  <si>
    <t>Increased influence of nitrogen limitation on CO2 emissions from future land use and land use change</t>
  </si>
  <si>
    <t>In the latest projections of future greenhouse gas emissions for the Intergovernmental Panel on Climate Change (IPCC), few Earth System Models included the effect of nitrogen limitation, a key process limiting forest regrowth. Few included forest management (wood harvest). We estimate the impacts of nitrogen limitation on the CO2 emissions from land use and land use change (LULUC), including wood harvest, for the period 1900-2100. We use a land surface model that includes a fully coupled carbon and nitrogen cycle and accounts for forest regrowth processes following agricultural abandonment and wood harvest. Future projections are based on the four Representation Concentration Pathways used in the IPCC Fifth Assessment Report, and we account for uncertainty in future climate for each scenario based on ensembles of climate model outputs. Results show that excluding nitrogen limitation will underestimate global LULUC emissions by 34-52PgC (20-30%) during the 20th century (range across three different historical LULUC reconstructions) and by 128-187PgC (90-150%) during the 21st century (range across the four IPCC scenarios). The full range for estimated LULUC emissions during the 21st century including climate model uncertainty is 91 to 227PgC (with nitrogen limitation included). The underestimation increases with time because (1) projected annual wood harvest rates from forests summed over the 21st century are 380-1080% higher compared to those of the 20th century, resulting in more regrowing secondary forests; (2) nitrogen limitation reduces the CO2 fertilization effect on net primary production of regrowing secondary forests following wood harvest and agricultural abandonment; and (3) nitrogen limitation effect is aggravated by the gradual loss of soil nitrogen from LULUC disturbance. Our study implies that (1) nitrogen limitation of CO2 uptake is substantial and sensitive to nitrogen inputs; (2) if LULUC emissions are larger than previously estimated in studies without nitrogen limitation, then meeting the same climate mitigation target would require an equivalent additional reduction of fossil fuel emissions; (3) the effectiveness of land-based mitigation strategies will critically depend on the interactions between nutrient limitations and secondary forests resulting from LULUC; and (4) it is important for terrestrial biosphere models to consider nitrogen constraint in estimates of the strength of future land carbon uptake.</t>
  </si>
  <si>
    <t>Glob. Biogeochem. Cycle</t>
  </si>
  <si>
    <t>10.1002/2015GB005086</t>
  </si>
  <si>
    <t>Wood harvest</t>
  </si>
  <si>
    <t>Historical</t>
  </si>
  <si>
    <t>RCP8.5 (Tables 4 &amp; 6)</t>
  </si>
  <si>
    <t>Biomass Harvested From Forests</t>
  </si>
  <si>
    <t>Pg/century</t>
  </si>
  <si>
    <t>Pg C/century</t>
  </si>
  <si>
    <t>RCP4.5 (Tables 4 &amp; 6)</t>
  </si>
  <si>
    <t>RCP2.6 (Tables 4 &amp; 6)</t>
  </si>
  <si>
    <t>RCP6.0 (Tables 4 &amp; 6)</t>
  </si>
  <si>
    <t>Climate change; Land use change; Forest carbon; Carbon emissions</t>
  </si>
  <si>
    <t>CLIMATE-CHANGE; TIMBER; MANAGEMENT; ECONOMICS; IMPACTS; COVER; MODEL</t>
  </si>
  <si>
    <t>Mendelsohn, R; Sohngen, B</t>
  </si>
  <si>
    <t>The Net Carbon Emissions from Historic Land Use and Land Use Change</t>
  </si>
  <si>
    <t>Deforestation from timber harvests and farmland conversions have led to 565 GtCO(2) (billion tons of carbon dioxide) being emitted into the atmosphere. Taking into account natural regeneration on forestland, Houghton (2003, 2008) and Houghton et al. (2012) estimate that deforestation has caused a net loss of 484 GtCO(2) since 1900 which is about one third of all manmade emissions. However, these estimates do not take into account the substantial investment into fire management, plantations, and replanting since 1950, as well as the effect of carbon fertilization on a younger forest. We compare the outcome of a deforestation scenario with subsequent forest management with what would have happened if the natural forest in 1900 had not been harvested thereafter. Deforestation plus forest management suggests current forests actually hold about 94 GtCO(2) more today than they did in 1900. However, natural forests would have held an additional 186 GtCO(2). Human activities on forestland have therefore caused about 92 GtCO(2) of net emissions since 1900. The effect of manmade land use and land use change is relatively small compared to the 1294 GtCO(2) from industrial emissions over the same time period (Marland et al., 2008).</t>
  </si>
  <si>
    <t>10.1561/112.00000505</t>
  </si>
  <si>
    <t>forest use (deforestation, forest management and planting)</t>
  </si>
  <si>
    <t>Natural Forest Scenario</t>
  </si>
  <si>
    <t>Historical Market Scenario</t>
  </si>
  <si>
    <t>Cumulated wood harvest</t>
  </si>
  <si>
    <t>Gt CO2</t>
  </si>
  <si>
    <t>different perimeters</t>
  </si>
  <si>
    <t>no C output</t>
  </si>
  <si>
    <t>no journal</t>
  </si>
  <si>
    <t>C var cannot be cumulated</t>
  </si>
  <si>
    <t>review</t>
  </si>
  <si>
    <t>t_to_m3</t>
  </si>
  <si>
    <t>Wood density</t>
  </si>
  <si>
    <t>dry wood</t>
  </si>
  <si>
    <t>IPCC 2006</t>
  </si>
  <si>
    <t>kg_to_m3</t>
  </si>
  <si>
    <t>Carbon density</t>
  </si>
  <si>
    <t>tC/t dry matter</t>
  </si>
  <si>
    <t>tC_to_m3</t>
  </si>
  <si>
    <t>C_to_CO2</t>
  </si>
  <si>
    <t>Exclusion criteria</t>
  </si>
  <si>
    <t>cat2</t>
  </si>
  <si>
    <t>colcat2</t>
  </si>
  <si>
    <t>cat1</t>
  </si>
  <si>
    <t>colcat1</t>
  </si>
  <si>
    <t>cat0</t>
  </si>
  <si>
    <t>colcat0</t>
  </si>
  <si>
    <t>#777777</t>
  </si>
  <si>
    <t>#437DBF</t>
  </si>
  <si>
    <t>#7BAFDE</t>
  </si>
  <si>
    <t>#1965B0</t>
  </si>
  <si>
    <t>#F4A736</t>
  </si>
  <si>
    <t>#DC050C</t>
  </si>
  <si>
    <t>#A5170E</t>
  </si>
  <si>
    <t>#72190E</t>
  </si>
  <si>
    <t>Fig1</t>
  </si>
  <si>
    <t>QC_AV</t>
  </si>
  <si>
    <t>Aude's edits in colors</t>
  </si>
  <si>
    <t>avg</t>
  </si>
  <si>
    <t>scenario</t>
  </si>
  <si>
    <t>MtCO2/an</t>
  </si>
  <si>
    <t>Fig, 2</t>
  </si>
  <si>
    <t>Fig,5</t>
  </si>
  <si>
    <t>Fig,4</t>
  </si>
  <si>
    <t>Fig,3</t>
  </si>
  <si>
    <t>Forest</t>
  </si>
  <si>
    <t>Net effect</t>
  </si>
  <si>
    <t>Cdelta?</t>
  </si>
  <si>
    <t>Substitution</t>
  </si>
  <si>
    <t>???</t>
  </si>
  <si>
    <t>Taskhiri_2016</t>
  </si>
  <si>
    <t>Harvest+Chip&amp;Storage</t>
  </si>
  <si>
    <t>Total</t>
  </si>
  <si>
    <t>Processing (incl. Transport)</t>
  </si>
  <si>
    <t>CO2 emissions (tCO2e)</t>
  </si>
  <si>
    <t>MDF</t>
  </si>
  <si>
    <t>OSB</t>
  </si>
  <si>
    <t>Particle board</t>
  </si>
  <si>
    <t>paper</t>
  </si>
  <si>
    <t>Wood pellets</t>
  </si>
  <si>
    <t>Teh 2017</t>
  </si>
  <si>
    <t>2050 bau residential</t>
  </si>
  <si>
    <t>2050 timber residential without sequestration</t>
  </si>
  <si>
    <t>2050 timber residential with sequestration</t>
  </si>
  <si>
    <t>2050 bau commercial</t>
  </si>
  <si>
    <t>2050 timber commercial without sequestration</t>
  </si>
  <si>
    <t>2050 timber commercial with sequestration</t>
  </si>
  <si>
    <t>2050 bau total australian economy</t>
  </si>
  <si>
    <t>2050 timber total australian economy without sequestration</t>
  </si>
  <si>
    <t>2050 timber total australian economy with sequestration</t>
  </si>
  <si>
    <t>Torsonnen 2015</t>
  </si>
  <si>
    <t>NEE (gCO2/m2/yr)</t>
  </si>
  <si>
    <t>BT, constant climate</t>
  </si>
  <si>
    <t>BT, B1</t>
  </si>
  <si>
    <t>BT, A2</t>
  </si>
  <si>
    <t>Radiative forcing</t>
  </si>
  <si>
    <t>Re-calibrated to compare all scenarios with BT_constant climate</t>
  </si>
  <si>
    <t>Constant climate</t>
  </si>
  <si>
    <t>A2</t>
  </si>
  <si>
    <t>BN-BT</t>
  </si>
  <si>
    <t>BNF-BT</t>
  </si>
  <si>
    <t>BN20-BT</t>
  </si>
  <si>
    <t>BN20F-BT</t>
  </si>
  <si>
    <t>BNRF-BT</t>
  </si>
  <si>
    <t>BNR-BT</t>
  </si>
  <si>
    <t>BNR20-BT</t>
  </si>
  <si>
    <t>BNR20F-BT</t>
  </si>
  <si>
    <t>Promotion scenario</t>
  </si>
  <si>
    <t>Delta</t>
  </si>
  <si>
    <t>Tsunetsugu 2010</t>
  </si>
  <si>
    <t>FF substsitution</t>
  </si>
  <si>
    <t>Energy saving</t>
  </si>
  <si>
    <t>Vukotic 2010</t>
  </si>
  <si>
    <t>Emissions (kgCO2/m2)</t>
  </si>
  <si>
    <t>Local timber</t>
  </si>
  <si>
    <t>Production &amp; construction</t>
  </si>
  <si>
    <t>Amount of wood in timber structure (t wood/m2, deducted from data p7)</t>
  </si>
  <si>
    <t>Use (maintenance)</t>
  </si>
  <si>
    <t>Distance (local option, km)</t>
  </si>
  <si>
    <t>Demolition</t>
  </si>
  <si>
    <t>C footprint of transport (kgCO2/t wood/km)</t>
  </si>
  <si>
    <t>Recovery potential</t>
  </si>
  <si>
    <t>C footprint of transport (local option, kgCO2/m2)</t>
  </si>
  <si>
    <t>EoL</t>
  </si>
  <si>
    <t>C footprint of transport (baseline option = imported timber, kgCO2/m2)</t>
  </si>
  <si>
    <t>2011 Weight</t>
  </si>
  <si>
    <t>Scenario A: timber landfilled at end of life and not used for energy</t>
  </si>
  <si>
    <t>Scenario B: timber landfilled at end of life with capped landfill energy recovery from methane</t>
  </si>
  <si>
    <t>Scenario C: as scenario A, but timber sent for incineration for energy at end of life</t>
  </si>
  <si>
    <t>Scenario D: enhancement of scenario C for adding combined heat and power for heat which is a by-product of electrical generation</t>
  </si>
  <si>
    <t>Scenario E: highly manufactured timber</t>
  </si>
  <si>
    <t>Scenario F: use of unsustainably sourced timber (deforestation without replanting)</t>
  </si>
  <si>
    <t>Growth*</t>
  </si>
  <si>
    <t>Forestry_processes</t>
  </si>
  <si>
    <t>Transport</t>
  </si>
  <si>
    <t>Manufacturing</t>
  </si>
  <si>
    <t>Transport_to/from_site</t>
  </si>
  <si>
    <t>Energy_from_incineration</t>
  </si>
  <si>
    <t>Emissions_in_landfill</t>
  </si>
  <si>
    <t>Capping_and_biogas</t>
  </si>
  <si>
    <t>kgCO2/kg_of_product</t>
  </si>
  <si>
    <t>In-situ</t>
  </si>
  <si>
    <t>Manufacturing &amp; transport</t>
  </si>
  <si>
    <t>EoL biogenic</t>
  </si>
  <si>
    <t>EoL&amp;Manufacturing</t>
  </si>
  <si>
    <t>Total LCA</t>
  </si>
  <si>
    <t>In-situ&amp;forest</t>
  </si>
  <si>
    <t>In-situ&amp;forestry&amp;manufacturing</t>
  </si>
  <si>
    <t>2010 - Werner</t>
  </si>
  <si>
    <t>Total cumulative effects</t>
  </si>
  <si>
    <t>Substitution (domestic)</t>
  </si>
  <si>
    <t>HWP stock</t>
  </si>
  <si>
    <t>Swiss forest</t>
  </si>
  <si>
    <t>Substition (abroad)</t>
  </si>
  <si>
    <t>Year</t>
  </si>
  <si>
    <t>Forest + HWP</t>
  </si>
  <si>
    <t>Harvest in 2000</t>
  </si>
  <si>
    <t>Average harvest from 2030-&gt;2100</t>
  </si>
  <si>
    <t>Cumulated harvest (Mm3)</t>
  </si>
  <si>
    <t>Ximenes 2013</t>
  </si>
  <si>
    <t>kgC stored per kg timber in landfill</t>
  </si>
  <si>
    <t>C-storage</t>
  </si>
  <si>
    <t>Amount of wood (kg wood in use)</t>
  </si>
  <si>
    <t>GHG balance (tCO2e)</t>
  </si>
  <si>
    <t>Affinity as designed</t>
  </si>
  <si>
    <t>Affinity timber maximized</t>
  </si>
  <si>
    <t>Villina as designed</t>
  </si>
  <si>
    <t>Villina timber maximized</t>
  </si>
  <si>
    <t>Zhang 2018</t>
  </si>
  <si>
    <t>(3) ethanol by biochemical process</t>
  </si>
  <si>
    <t>(1) ethanol by process without catalytic methane reformation</t>
  </si>
  <si>
    <t>(2) ethanol by process with catalytic methane reformation</t>
  </si>
  <si>
    <t>Zhang 2018 (2)</t>
  </si>
  <si>
    <t>kgCO2/M3</t>
  </si>
  <si>
    <t>Tractor &amp; EQ140</t>
  </si>
  <si>
    <t>Cableway &amp; EQ140</t>
  </si>
  <si>
    <t>Tractor &amp; Diesel vehicle</t>
  </si>
  <si>
    <t>Cableway &amp; Diesel vehicle</t>
  </si>
  <si>
    <t>Cutting</t>
  </si>
  <si>
    <t>Chainsaw</t>
  </si>
  <si>
    <t>Forest operation</t>
  </si>
  <si>
    <t>Skidding</t>
  </si>
  <si>
    <t>Loading</t>
  </si>
  <si>
    <t>Winch</t>
  </si>
  <si>
    <t>Transporting</t>
  </si>
  <si>
    <t>EQ140</t>
  </si>
  <si>
    <t>Diesel</t>
  </si>
  <si>
    <t>vehicle</t>
  </si>
  <si>
    <t>Lumberyard</t>
  </si>
  <si>
    <t>production</t>
  </si>
  <si>
    <t>all points in fig.4</t>
  </si>
  <si>
    <t>Time period (yrs)</t>
  </si>
  <si>
    <t>Current climate</t>
  </si>
  <si>
    <t>A1B</t>
  </si>
  <si>
    <t>Pine-dominated forest</t>
  </si>
  <si>
    <t>Spruce-dominate forest</t>
  </si>
  <si>
    <t>Area</t>
  </si>
  <si>
    <t>Zubizaretta 2016</t>
  </si>
  <si>
    <t>climate</t>
  </si>
  <si>
    <t>scenario mngt</t>
  </si>
  <si>
    <t>Total (tC/ha/yr)</t>
  </si>
  <si>
    <t>Forest soil</t>
  </si>
  <si>
    <t>Forest biomass</t>
  </si>
  <si>
    <t>Log+Pulp</t>
  </si>
  <si>
    <t>Total harvest (kt biomass)</t>
  </si>
  <si>
    <t>Log harvest (kt biomass)</t>
  </si>
  <si>
    <t>Pulp</t>
  </si>
  <si>
    <t>Fuel</t>
  </si>
  <si>
    <t>Log+pulp</t>
  </si>
  <si>
    <t>TB1</t>
  </si>
  <si>
    <t>TB2</t>
  </si>
  <si>
    <t>TB3</t>
  </si>
  <si>
    <t>TA4</t>
  </si>
  <si>
    <t>TA5</t>
  </si>
  <si>
    <t>TA6</t>
  </si>
  <si>
    <t>Total (tCO2)</t>
  </si>
  <si>
    <t>Forest &amp; soil (tCO2)</t>
  </si>
  <si>
    <t>Forest + Soil + HWP (tCO2)</t>
  </si>
  <si>
    <t>Delta_pulp</t>
  </si>
  <si>
    <t>Delta_wood (kt biomass)</t>
  </si>
  <si>
    <t>Spruce-dominated forest</t>
  </si>
  <si>
    <t>Forest &amp; soil</t>
  </si>
  <si>
    <t>Forest + Soil + HWP</t>
  </si>
  <si>
    <t>Delta_wood</t>
  </si>
  <si>
    <t>2021 - Dugan</t>
  </si>
  <si>
    <t>Cumulative effect (MtCO2e) vs BAU</t>
  </si>
  <si>
    <t>Energy substitution</t>
  </si>
  <si>
    <t>Product substitution</t>
  </si>
  <si>
    <t>DeltaWood (MtC)</t>
  </si>
  <si>
    <t>Total mitigation</t>
  </si>
  <si>
    <t>ShortRotation</t>
  </si>
  <si>
    <t>ShortRotationBioE</t>
  </si>
  <si>
    <t>ExtendedRotation</t>
  </si>
  <si>
    <t>Residues</t>
  </si>
  <si>
    <t>IncreaseBioE</t>
  </si>
  <si>
    <t>DF (tC/tC)</t>
  </si>
  <si>
    <t>Forest+HWP stock</t>
  </si>
  <si>
    <t>For extraction sheet (possibly inverted if ref !=BAU)</t>
  </si>
  <si>
    <t>Cref</t>
  </si>
  <si>
    <t>C_scenario</t>
  </si>
  <si>
    <t>2006 - Backeus</t>
  </si>
  <si>
    <t>HWP harvest (Mm3/yr)</t>
  </si>
  <si>
    <t>Biofuel (1000 t/yr)</t>
  </si>
  <si>
    <t>Total harvest</t>
  </si>
  <si>
    <t>Biomass C storage</t>
  </si>
  <si>
    <t>Total (MtC/yr)</t>
  </si>
  <si>
    <t>Cumulated GWP (tCO2/ha</t>
  </si>
  <si>
    <t>2022 - Aryapratama</t>
  </si>
  <si>
    <t>Positive = emissions</t>
  </si>
  <si>
    <t>Time</t>
  </si>
  <si>
    <t>PF_FP_Hbr_40y_E</t>
  </si>
  <si>
    <t>PF_FP_Hbr_40y_NR_E</t>
  </si>
  <si>
    <t>PF_FP_AC_18y_M</t>
  </si>
  <si>
    <t>PF_FP_AC_18y_NR_M</t>
  </si>
  <si>
    <t>PF_FP_Tgr_60y_NR_M</t>
  </si>
  <si>
    <t>PF_FP_Tgr_60y_M</t>
  </si>
  <si>
    <t>DL_FP_AC_18y_NR_M</t>
  </si>
  <si>
    <t>DL_FP_Hbr_40y_NR_E</t>
  </si>
  <si>
    <t>DL_FP_Tgr_60y_NR_M</t>
  </si>
  <si>
    <t>DL_FP_Hbr_40y_E</t>
  </si>
  <si>
    <t>DL_FP_Tgr_60y_M</t>
  </si>
  <si>
    <t>DL_FP_AC_18y_M</t>
  </si>
  <si>
    <t>Ref</t>
  </si>
  <si>
    <t>Scenario</t>
  </si>
  <si>
    <t>Delta Wood (tC/ha)</t>
  </si>
  <si>
    <t>Harvest Scenario</t>
  </si>
  <si>
    <t>Harvest Ref</t>
  </si>
  <si>
    <t>HWP Ref</t>
  </si>
  <si>
    <t>HWP scenario (tC/ha)</t>
  </si>
  <si>
    <t>Cumulated GWP (tCO2/ha) Ref</t>
  </si>
  <si>
    <t>Cumulated GWP (tCO2/ha) Scenario</t>
  </si>
  <si>
    <t>Nb_Car_Scenario</t>
  </si>
  <si>
    <t>Line</t>
  </si>
  <si>
    <t>File</t>
  </si>
  <si>
    <t>Wood Ref</t>
  </si>
  <si>
    <t>Wood scenario (tC/ha)</t>
  </si>
  <si>
    <t>'[2022 - Aryapratama &amp; Pauliuk - STE - AppF.xlsx]GWPdyn_PF_PO - Fig.4(f)'!L</t>
  </si>
  <si>
    <t>'[2022 - Aryapratama &amp; Pauliuk - STE - AppF.xlsx]GWPdyn_PF_SF - Fig.4(g)'!L</t>
  </si>
  <si>
    <t>PF_FP_NR_M_Ac_7y</t>
  </si>
  <si>
    <t>PF_FP_M_Ac_7y</t>
  </si>
  <si>
    <t>'[2022 - Aryapratama &amp; Pauliuk - STE - AppF.xlsx]GWPdyn_PF_FP - Fig.4(h)'!L</t>
  </si>
  <si>
    <t>PF_FP_NR_M_Ac_18y</t>
  </si>
  <si>
    <t>PF_FP_M_Ac_18y</t>
  </si>
  <si>
    <t>PF_FP_NR_M_Tgr_60y</t>
  </si>
  <si>
    <t>PF_FP_M_Tgr_60y</t>
  </si>
  <si>
    <t>PF_FP_NR_E_Hbr_40y</t>
  </si>
  <si>
    <t>PF_FP_E_Hbr_40y</t>
  </si>
  <si>
    <t>DL_FP_NR_M_Ac_7y</t>
  </si>
  <si>
    <t>DL_FP_M_Ac_7y</t>
  </si>
  <si>
    <t>'[2022 - Aryapratama &amp; Pauliuk - STE - AppF.xlsx]GWPdyn_DL_FP - Fig.4(i)'!L</t>
  </si>
  <si>
    <t>DL_FP_NR_M_Ac_18y</t>
  </si>
  <si>
    <t>DL_FP_M_Ac_18y</t>
  </si>
  <si>
    <t>DL_FP_NR_M_Tgr_60y</t>
  </si>
  <si>
    <t>DL_FP_M_Tgr_60y</t>
  </si>
  <si>
    <t>DL_FP_NR_E_Hbr_40y</t>
  </si>
  <si>
    <t>DL_FP_E_Hbr_40y</t>
  </si>
  <si>
    <t>'[2022 - Aryapratama &amp; Pauliuk - STE - AppF.xlsx]GWPdyn_RIL - Fig.4(j)'!L</t>
  </si>
  <si>
    <t>NR_RIL_M</t>
  </si>
  <si>
    <t>NR_RIL_E</t>
  </si>
  <si>
    <t>2019 - Baskent</t>
  </si>
  <si>
    <t>Forest stock (tC/ha)</t>
  </si>
  <si>
    <t>HWP stock (tC/ha)</t>
  </si>
  <si>
    <t>Cumulated substitution  (tC/ha)</t>
  </si>
  <si>
    <t>Forest only</t>
  </si>
  <si>
    <t>Forest + HWP + Substitution</t>
  </si>
  <si>
    <t>Fig10</t>
  </si>
  <si>
    <t>Product sub</t>
  </si>
  <si>
    <t>Energy sub</t>
  </si>
  <si>
    <t>Product sub factor</t>
  </si>
  <si>
    <t>Fig9</t>
  </si>
  <si>
    <t>Sawlogs</t>
  </si>
  <si>
    <t>WBP</t>
  </si>
  <si>
    <t>Harvest (tC/ha/yr)</t>
  </si>
  <si>
    <t>Average HWP use</t>
  </si>
  <si>
    <t>Braun et al 2016</t>
  </si>
  <si>
    <t>Forest stock (GtCO2)</t>
  </si>
  <si>
    <t>HWP (GtCO2)</t>
  </si>
  <si>
    <t>Cumulated Substitution (GtCO2)</t>
  </si>
  <si>
    <t>Total (GtCO2)</t>
  </si>
  <si>
    <t>Material sub</t>
  </si>
  <si>
    <t>Energy sub (MtCO2/yr)</t>
  </si>
  <si>
    <t>Material sub (GtCO2/yr)</t>
  </si>
  <si>
    <t>HWP (Gm3)</t>
  </si>
  <si>
    <t>CCME (tCO2/m3 of wood used)</t>
  </si>
  <si>
    <t>Harvested amounts</t>
  </si>
  <si>
    <t>Carbon storage (MtC)</t>
  </si>
  <si>
    <t>2011 - Elgie</t>
  </si>
  <si>
    <t>$/tC temporary credit</t>
  </si>
  <si>
    <t>2010 - Eshun</t>
  </si>
  <si>
    <t>Air-dried_lumber</t>
  </si>
  <si>
    <t>Kiln-dried_lumber</t>
  </si>
  <si>
    <t>Veneer</t>
  </si>
  <si>
    <t>Furniture_parts</t>
  </si>
  <si>
    <t>Logs (Mm3/yr)</t>
  </si>
  <si>
    <t>CO2 (kt/yr)</t>
  </si>
  <si>
    <t>CH4 (t/yr)</t>
  </si>
  <si>
    <t>N2O (t/yr)</t>
  </si>
  <si>
    <t>CO2e (kt/yr)</t>
  </si>
  <si>
    <t>C footprint (tCO2/m3)</t>
  </si>
  <si>
    <t>Repo_2012</t>
  </si>
  <si>
    <t>Fig. 2</t>
  </si>
  <si>
    <t>biomass type</t>
  </si>
  <si>
    <t>total emissions gCO2eq/MJ</t>
  </si>
  <si>
    <t>effect of wood type</t>
  </si>
  <si>
    <t>effect of location</t>
  </si>
  <si>
    <t>effect of technology</t>
  </si>
  <si>
    <t>Northern Finland</t>
  </si>
  <si>
    <t>stumps</t>
  </si>
  <si>
    <t>Southern Finland</t>
  </si>
  <si>
    <t>thinning wood</t>
  </si>
  <si>
    <t>branches</t>
  </si>
  <si>
    <t>Heavy fuel oil</t>
  </si>
  <si>
    <t>natural gas</t>
  </si>
  <si>
    <t>Smyth 2020 Fig8</t>
  </si>
  <si>
    <t>Base</t>
  </si>
  <si>
    <t>Restricted harvest</t>
  </si>
  <si>
    <t>Harvest less</t>
  </si>
  <si>
    <t>Higher recovery</t>
  </si>
  <si>
    <t>4.2Mm3/year (p6/22)</t>
  </si>
  <si>
    <t>Bioenergy from residues</t>
  </si>
  <si>
    <t>Higher recovery+Bioenergy</t>
  </si>
  <si>
    <t>Future timber supply cumulated MtC</t>
  </si>
  <si>
    <t>Smyth 2020. Fig S87 Total harvest</t>
  </si>
  <si>
    <t>X</t>
  </si>
  <si>
    <t>restricted harvest</t>
  </si>
  <si>
    <t>higher recovery</t>
  </si>
  <si>
    <t>Maikipaa_2015</t>
  </si>
  <si>
    <t>year</t>
  </si>
  <si>
    <t>Cstock of trees</t>
  </si>
  <si>
    <t>Compensated fossil emissions (tC)</t>
  </si>
  <si>
    <t>harvested stem</t>
  </si>
  <si>
    <t>harvested energy wood</t>
  </si>
  <si>
    <t>total harvested biomass (stem+energy)</t>
  </si>
  <si>
    <t>ChC-SOH</t>
  </si>
  <si>
    <t>ChC-WTH</t>
  </si>
  <si>
    <t>CC-SOH</t>
  </si>
  <si>
    <t>CC-WTH</t>
  </si>
  <si>
    <t>Shoyama_2014</t>
  </si>
  <si>
    <t>Carbon sequestered (MgC)</t>
  </si>
  <si>
    <t>Biodiversity</t>
  </si>
  <si>
    <t>Trend</t>
  </si>
  <si>
    <t>SUM (2020:2060)</t>
  </si>
  <si>
    <t>Timber production (m3)</t>
  </si>
  <si>
    <t>Gustavsson_2005</t>
  </si>
  <si>
    <t>Sum excluding each line respectively</t>
  </si>
  <si>
    <t>Fig.3</t>
  </si>
  <si>
    <t>material production fossil fuel end-use</t>
  </si>
  <si>
    <t>material production eectric end-use</t>
  </si>
  <si>
    <t>cement reactions</t>
  </si>
  <si>
    <t>fossil fuel for biomass recovery</t>
  </si>
  <si>
    <t>replacement of fossil fuel by biofuel</t>
  </si>
  <si>
    <t>forest stock change</t>
  </si>
  <si>
    <t>balance</t>
  </si>
  <si>
    <t>Gustavsson_2006</t>
  </si>
  <si>
    <t>table I</t>
  </si>
  <si>
    <t>tableIV</t>
  </si>
  <si>
    <t>Wälluden</t>
  </si>
  <si>
    <t>Vikkii</t>
  </si>
  <si>
    <t>Wood product production</t>
  </si>
  <si>
    <t>recovery (%)</t>
  </si>
  <si>
    <t>moisture content (%)</t>
  </si>
  <si>
    <t>heat value (MJ/kg dry biomass)</t>
  </si>
  <si>
    <t>recovery/transport energy (% of heat value)</t>
  </si>
  <si>
    <t>wooden-frame</t>
  </si>
  <si>
    <t>concrete frame (SF-untouched)</t>
  </si>
  <si>
    <t>concrete-frame (SF-bioenergy)</t>
  </si>
  <si>
    <t>roots and stumps</t>
  </si>
  <si>
    <t>forest residues</t>
  </si>
  <si>
    <t>branches, foliage, tops</t>
  </si>
  <si>
    <t>prcessing residues</t>
  </si>
  <si>
    <t>bark</t>
  </si>
  <si>
    <t>construction waste</t>
  </si>
  <si>
    <t>processing residues</t>
  </si>
  <si>
    <t>demolition waste</t>
  </si>
  <si>
    <t>total biofuels</t>
  </si>
  <si>
    <t>demolition wood</t>
  </si>
  <si>
    <t>particleboard</t>
  </si>
  <si>
    <t>surplus forest for. Bioenergy</t>
  </si>
  <si>
    <t>calcul kg recovered</t>
  </si>
  <si>
    <t>t dry biomass</t>
  </si>
  <si>
    <t>stemwood</t>
  </si>
  <si>
    <t>amount of wood materials (tons air-dry materials)</t>
  </si>
  <si>
    <t>total wood used materials+residues</t>
  </si>
  <si>
    <t>concrete frame</t>
  </si>
  <si>
    <t>plywood</t>
  </si>
  <si>
    <t>total</t>
  </si>
  <si>
    <t>Bosch_2019</t>
  </si>
  <si>
    <t>Webplotdigitizer</t>
  </si>
  <si>
    <t>Mm3under bark per year</t>
  </si>
  <si>
    <t>Label</t>
  </si>
  <si>
    <t>scenario 0</t>
  </si>
  <si>
    <t>scenario 3</t>
  </si>
  <si>
    <t>scenario 4</t>
  </si>
  <si>
    <t>2014-2018</t>
  </si>
  <si>
    <t>2019-2023</t>
  </si>
  <si>
    <t>2024-2028</t>
  </si>
  <si>
    <t>2029-2033</t>
  </si>
  <si>
    <t>2034-2038</t>
  </si>
  <si>
    <t>2039-2043</t>
  </si>
  <si>
    <t>2044-2048</t>
  </si>
  <si>
    <t>sum of 5-year periods</t>
  </si>
  <si>
    <t xml:space="preserve">Scenario I </t>
  </si>
  <si>
    <r>
      <t>Relative emissions  (in million tons CO</t>
    </r>
    <r>
      <rPr>
        <sz val="7"/>
        <color theme="1"/>
        <rFont val="AdvOTc20ddc96"/>
      </rPr>
      <t xml:space="preserve">2 </t>
    </r>
    <r>
      <rPr>
        <sz val="10"/>
        <color theme="1"/>
        <rFont val="AdvOTc20ddc96"/>
      </rPr>
      <t xml:space="preserve">per year; negative values indicate removals from the atmosphere). </t>
    </r>
  </si>
  <si>
    <t>forest</t>
  </si>
  <si>
    <t>hwp</t>
  </si>
  <si>
    <t>net emissions</t>
  </si>
  <si>
    <t>net , no substitution</t>
  </si>
  <si>
    <t>scenario II</t>
  </si>
  <si>
    <t xml:space="preserve">Relative emissions  (in million tons CO2 per year; negative values indicate removals from the atmosphere). </t>
  </si>
  <si>
    <t>forest II</t>
  </si>
  <si>
    <t>hwp II</t>
  </si>
  <si>
    <t>substitution II</t>
  </si>
  <si>
    <t>scenario III</t>
  </si>
  <si>
    <t>forest III</t>
  </si>
  <si>
    <t>hwp III</t>
  </si>
  <si>
    <t>substitution III</t>
  </si>
  <si>
    <t>scenario IV</t>
  </si>
  <si>
    <t>forest IV</t>
  </si>
  <si>
    <t>hwp  IV</t>
  </si>
  <si>
    <t>substitution  IV</t>
  </si>
  <si>
    <t>Jones_2019</t>
  </si>
  <si>
    <t>SSP5-All</t>
  </si>
  <si>
    <t>SSP5-Dev</t>
  </si>
  <si>
    <t>from EC's extraction sheet</t>
  </si>
  <si>
    <t>CONVERSION EN m3 et SOMME POUR PULP AND SAW</t>
  </si>
  <si>
    <t>Cumulative harvest (assuming annual values are displayed)</t>
  </si>
  <si>
    <t>Bosch 2019</t>
  </si>
  <si>
    <t>correction from v5_SL_update</t>
  </si>
  <si>
    <t>cumulated over period</t>
  </si>
  <si>
    <t>cumulated over periods</t>
  </si>
  <si>
    <t>ERREUR DE CAPTURE</t>
  </si>
  <si>
    <t>Forest+HWP</t>
  </si>
  <si>
    <t>Jayalath_2020</t>
  </si>
  <si>
    <t>14 apartments of 53.6m2</t>
  </si>
  <si>
    <t>two mid-to-high rise eight-floors with area 156m2</t>
  </si>
  <si>
    <t>eol emissions and benefits</t>
  </si>
  <si>
    <t>Melbourne</t>
  </si>
  <si>
    <t>operation</t>
  </si>
  <si>
    <t>eol_fossil</t>
  </si>
  <si>
    <t>demolition</t>
  </si>
  <si>
    <t>products stage raw materials</t>
  </si>
  <si>
    <t>transportation to landfill</t>
  </si>
  <si>
    <t>construction stage transport</t>
  </si>
  <si>
    <t>recycling of steel</t>
  </si>
  <si>
    <t>construction stage installation</t>
  </si>
  <si>
    <t>CLT incinerated (energy recovered)</t>
  </si>
  <si>
    <t>per m2</t>
  </si>
  <si>
    <t>end of life</t>
  </si>
  <si>
    <t>quantity CLT</t>
  </si>
  <si>
    <t>quantity RC</t>
  </si>
  <si>
    <t>mistake in the paper???</t>
  </si>
  <si>
    <t>Wood quantities</t>
  </si>
  <si>
    <t>Material</t>
  </si>
  <si>
    <t>Unit</t>
  </si>
  <si>
    <t>EE(MJ/unit)</t>
  </si>
  <si>
    <t>EGHG (kgCO2/unit)</t>
  </si>
  <si>
    <t>cost ($/unit)</t>
  </si>
  <si>
    <t>Mortar</t>
  </si>
  <si>
    <t>Gypsum</t>
  </si>
  <si>
    <t>-</t>
  </si>
  <si>
    <t>Masonry</t>
  </si>
  <si>
    <t>Rockwool</t>
  </si>
  <si>
    <t>Particle</t>
  </si>
  <si>
    <t>m</t>
  </si>
  <si>
    <t>fibre cement sheet</t>
  </si>
  <si>
    <t>Total Wood</t>
  </si>
  <si>
    <t>DF</t>
  </si>
  <si>
    <t>Average</t>
  </si>
  <si>
    <t>Standard deviation</t>
  </si>
  <si>
    <t>number of stddev to define outliers</t>
  </si>
  <si>
    <t>QC To do</t>
  </si>
  <si>
    <t>ref need correct</t>
  </si>
  <si>
    <t>Olguin_2018, maybe a problem of unit conversion</t>
  </si>
  <si>
    <t>Complete missing Qwood_stageInput</t>
  </si>
  <si>
    <t>Alam_2012</t>
  </si>
  <si>
    <t>Fig 8 - Fig 9</t>
  </si>
  <si>
    <t>refOK</t>
  </si>
  <si>
    <t>loc</t>
  </si>
  <si>
    <t>71-100</t>
  </si>
  <si>
    <t>fig8 (P&amp;C)</t>
  </si>
  <si>
    <t>fig8 (P&amp;C + EoL + Operational)</t>
  </si>
  <si>
    <t>fig8 (EoL)</t>
  </si>
  <si>
    <t>fig8 (Operational)</t>
  </si>
  <si>
    <t>Balanced</t>
  </si>
  <si>
    <t>Multifunction</t>
  </si>
  <si>
    <t>Set-Aside</t>
  </si>
  <si>
    <t>Fig. 3</t>
  </si>
  <si>
    <t>Fig 8</t>
  </si>
  <si>
    <t>Checked</t>
  </si>
  <si>
    <t>MSY (maximum sustainable yield)</t>
  </si>
  <si>
    <t>POL (policy)</t>
  </si>
  <si>
    <t>Harvest effect of varied carbon price for SEQUESTERED carbon (from zero to 1200 SEK per tonne C)</t>
  </si>
  <si>
    <t>change driver to cutting intensity because primary effect of the C price is to decreases thinning ; no DF in this record</t>
  </si>
  <si>
    <t>Virgin wood Scenario 1</t>
  </si>
  <si>
    <t>100 % recycled wood Scenario 3</t>
  </si>
  <si>
    <t>table5 and text 4.2</t>
  </si>
  <si>
    <t>fix scale and location; off_product_biogenic</t>
  </si>
  <si>
    <t>50 % recycled wood Scenario 2</t>
  </si>
  <si>
    <t>fix driver, whole tree harvest driver is cutting intensity; fix processes, no storage in products</t>
  </si>
  <si>
    <t>fix processes, no storage in products</t>
  </si>
  <si>
    <t>biomass production</t>
  </si>
  <si>
    <t>use is not timber, the context is for bioenergy but C calculations are really only upstream</t>
  </si>
  <si>
    <t>Scenario 2 (1%of waste wood can be recovered)</t>
  </si>
  <si>
    <t>text 4.2.2</t>
  </si>
  <si>
    <t>only process recorded is manufacturing</t>
  </si>
  <si>
    <t>scenario 2 (1%of waste wood can be recovered)</t>
  </si>
  <si>
    <t>Scenario 3 (10%of waste wood can be recovered)</t>
  </si>
  <si>
    <t>only process recorded is manufacturing; correct driver name</t>
  </si>
  <si>
    <t>correct driver name</t>
  </si>
  <si>
    <t>NR : non-renewable materials or energy instead of wood</t>
  </si>
  <si>
    <t xml:space="preserve">AppD SM/E </t>
  </si>
  <si>
    <t>fig4 (values in AppF)</t>
  </si>
  <si>
    <t>C : Change machinery to reduce harvest damage</t>
  </si>
  <si>
    <t>Conversion to secondary forest or palm oil plantation</t>
  </si>
  <si>
    <t>block work (S1)</t>
  </si>
  <si>
    <t>Timber &amp; brick (S6)</t>
  </si>
  <si>
    <t>Brick  (S3)</t>
  </si>
  <si>
    <t>Brick &amp; concrete (S2)</t>
  </si>
  <si>
    <t>Precast concrete (S4)</t>
  </si>
  <si>
    <t>Steel frame work (S5)</t>
  </si>
  <si>
    <t>Timber prefabricated (S7)</t>
  </si>
  <si>
    <t>In-situ or precast concrete for1m3 concrete</t>
  </si>
  <si>
    <t>add off_product_biogenic because recycling is including and contributes to the difference between steel and timber formwork; add a line for functional unit of 1m3 concrete</t>
  </si>
  <si>
    <t>In-situ or precast concrete for forwork used for 1m3 concrete</t>
  </si>
  <si>
    <t>Lifespan (Net GWP100)</t>
  </si>
  <si>
    <t>supplementary section E1</t>
  </si>
  <si>
    <t>Lifespan (Net GWP500)</t>
  </si>
  <si>
    <t>Lifespan (reprocessing+ wood combustion)</t>
  </si>
  <si>
    <t>C1 (50 years floor board) (reprocessing + wood combustion)</t>
  </si>
  <si>
    <t>A1 (10 years floor board) (reprocessing + wood combustion)</t>
  </si>
  <si>
    <t>B1 (10 years) (reprocessing + wood combustion)</t>
  </si>
  <si>
    <t>C1 (50 years floor board) (reprocessing only)</t>
  </si>
  <si>
    <t>B1 (10 years)  (reprocessing only)</t>
  </si>
  <si>
    <t>A1 (10 years floor board) (reprocessing only)</t>
  </si>
  <si>
    <t>Technical efficiency (reprocessing + wood combustion)</t>
  </si>
  <si>
    <t>Technical efficiency (reprocessing + wood combustion + substitution)</t>
  </si>
  <si>
    <t>Change in wood use (reprocessing + wood combustion)</t>
  </si>
  <si>
    <t>Change in wood use (reprocessing + wood combustion + substitution)</t>
  </si>
  <si>
    <t>Change in wood use (Net with iluc)</t>
  </si>
  <si>
    <t>Change in number of cascades (reprocessing + wood combustion)</t>
  </si>
  <si>
    <t>Change in number of cascades (reprocessing + wood combustion + substitution)</t>
  </si>
  <si>
    <t>Change in number of cascades (Net : reprocessing + wood combustion + substitution + metal recycling + landfilling)</t>
  </si>
  <si>
    <t>Change in number of cascades  (reprocessing + wood combustion + substitution)</t>
  </si>
  <si>
    <t>MJ/kg converted to kWh/kg then kg/kWh</t>
  </si>
  <si>
    <t>functional unit is a kWh</t>
  </si>
  <si>
    <t>added details about the conversion</t>
  </si>
  <si>
    <t>text p36 section 45.</t>
  </si>
  <si>
    <t>remove maintenance_emiss</t>
  </si>
  <si>
    <t>Wood promotion</t>
  </si>
  <si>
    <t>fig S6, S7, S8</t>
  </si>
  <si>
    <t>Fig4&amp;fig5</t>
  </si>
  <si>
    <t>ktC/year</t>
  </si>
  <si>
    <t>driver is supply chain instead of cutting intensity (there is no mention of forest management choices), fix conversion ktC to tCO2, fix stacked barchart extraction</t>
  </si>
  <si>
    <t>million tCO2</t>
  </si>
  <si>
    <t>paper excluded because when the units are corrected the perimeters for transported volume and CO2 emissions do not have the same perimeter</t>
  </si>
  <si>
    <t>ok</t>
  </si>
  <si>
    <t xml:space="preserve">Fixed calculation of Cdelta </t>
  </si>
  <si>
    <t>residues used for wood products instead of energy -&gt; driver is supply chain</t>
  </si>
  <si>
    <t>table12</t>
  </si>
  <si>
    <t>table15</t>
  </si>
  <si>
    <t>take Qwood in m3 instead of kg</t>
  </si>
  <si>
    <t>annual harvest converted to 400yr total harvest</t>
  </si>
  <si>
    <t>text p1721</t>
  </si>
  <si>
    <t>text p1722</t>
  </si>
  <si>
    <t>poor quality, no units, no methodological details</t>
  </si>
  <si>
    <t>no harv_residues</t>
  </si>
  <si>
    <t xml:space="preserve">Pr_C </t>
  </si>
  <si>
    <t>harvested volumes</t>
  </si>
  <si>
    <t>SI 00_Master Tab5</t>
  </si>
  <si>
    <t>Mm3 yearly</t>
  </si>
  <si>
    <t>SI 00_Master Tab6</t>
  </si>
  <si>
    <t>Qwood values for harvested wood extracted from supplementary ; split between two levels of modeling boundaries, one including off_product_biogenic . There is no manufacturing. Fossil emissions are from transport or forestry operations only</t>
  </si>
  <si>
    <t>Pr_U</t>
  </si>
  <si>
    <t>Exp_1</t>
  </si>
  <si>
    <t>Exp_0</t>
  </si>
  <si>
    <t xml:space="preserve">Baseline </t>
  </si>
  <si>
    <t>SI 00_Master Tab2</t>
  </si>
  <si>
    <t>SI 00_Master Tab3</t>
  </si>
  <si>
    <t xml:space="preserve">Ph_U </t>
  </si>
  <si>
    <t xml:space="preserve">Ph_L </t>
  </si>
  <si>
    <t>Fig7</t>
  </si>
  <si>
    <t>No Qwood (Qwood must be harvested wood not growth)</t>
  </si>
  <si>
    <t>LUC is exogenous</t>
  </si>
  <si>
    <t>Fig4</t>
  </si>
  <si>
    <t>m3 ob/yr 2014</t>
  </si>
  <si>
    <t>Fig5</t>
  </si>
  <si>
    <t>only one driver</t>
  </si>
  <si>
    <t>Fig9a</t>
  </si>
  <si>
    <t>text SI1</t>
  </si>
  <si>
    <t>m3/yr 2018</t>
  </si>
  <si>
    <t>Table3 and Table1 to convert gwp per kWh into gwp/year</t>
  </si>
  <si>
    <t>C estimates have to be multiplied by total energy consumption to have the regional GWP associated with the Qwood + fix drivers</t>
  </si>
  <si>
    <t xml:space="preserve">M3 (i) low, (state DGO period A, </t>
  </si>
  <si>
    <t xml:space="preserve">M3 (i) low, (state QROO period A, </t>
  </si>
  <si>
    <t xml:space="preserve">M3 (i) medium, (state QROO period A, </t>
  </si>
  <si>
    <t xml:space="preserve">M3 (i) medium(state DGO period A, </t>
  </si>
  <si>
    <t>M3 (ii) low (state DGO period A)</t>
  </si>
  <si>
    <t xml:space="preserve">M3 (ii) low, (state QROO period A, </t>
  </si>
  <si>
    <t>M3 (ii) medium DF, (state DGO, period A (2021-2030)</t>
  </si>
  <si>
    <t xml:space="preserve">M3 (ii) medium, (state QROO period A, </t>
  </si>
  <si>
    <t xml:space="preserve">M4 (ii) medium, (state DGO period A, </t>
  </si>
  <si>
    <t xml:space="preserve">M3 (i) low, (state DGO period B, </t>
  </si>
  <si>
    <t>M3 (i) low, (state QROO period B)</t>
  </si>
  <si>
    <t xml:space="preserve">M3 (i) medium, (state QROO period B, </t>
  </si>
  <si>
    <t xml:space="preserve">M3(i) medium, (state DGO period B, </t>
  </si>
  <si>
    <t xml:space="preserve">M3 (ii) low, (state QROO period B, </t>
  </si>
  <si>
    <t xml:space="preserve">M3 (ii) medium, (state DGO period B, </t>
  </si>
  <si>
    <t xml:space="preserve">M3(ii) low, (state DGO period B) </t>
  </si>
  <si>
    <t>M3 (i) low, (state DGO period C)</t>
  </si>
  <si>
    <t>M3 (i) low, (state QROO period C)</t>
  </si>
  <si>
    <t xml:space="preserve">M3(i) medium, (state DGO period C, </t>
  </si>
  <si>
    <t xml:space="preserve">M3(i) medium(state QROO period C, </t>
  </si>
  <si>
    <t xml:space="preserve">M3 (ii) low, (state DGO period C) </t>
  </si>
  <si>
    <t xml:space="preserve">M3 (ii) low, (state QROO period C, </t>
  </si>
  <si>
    <t xml:space="preserve">M3 (ii) medium, (state DGO period C, </t>
  </si>
  <si>
    <t xml:space="preserve">M3 (ii) medium, (state QROO period C, </t>
  </si>
  <si>
    <t>eol_biogenic is included in basis scenario (option C1 in basis scenario) but eol_fossil is not included</t>
  </si>
  <si>
    <t>"The exception is carpet in wool, because the emissions from manufacturing of this material is more than 30 times the emissions from solid oak"</t>
  </si>
  <si>
    <t>Concrete building w/ wood energy recovery</t>
  </si>
  <si>
    <t>Concrete building with wood recycling</t>
  </si>
  <si>
    <t>no live biomas included (only products_storage_C), eol_biogenic included</t>
  </si>
  <si>
    <t>CLT w/ wood energy recovery</t>
  </si>
  <si>
    <t>CLT  w/ wood recycling</t>
  </si>
  <si>
    <t>Modular w/ wood energy recovery</t>
  </si>
  <si>
    <t>Concrete building w/ wood recycling</t>
  </si>
  <si>
    <t xml:space="preserve">Concrete building </t>
  </si>
  <si>
    <t xml:space="preserve">CLT </t>
  </si>
  <si>
    <t>fix C conversion to CO2, according to protocol biofuel harvesting is the driver supply chain organization. Hight thinning driver is cutting intensity</t>
  </si>
  <si>
    <t>5000yen per ton</t>
  </si>
  <si>
    <t>harvested timber</t>
  </si>
  <si>
    <t>fig4a</t>
  </si>
  <si>
    <t>fig4b</t>
  </si>
  <si>
    <t>10^6 ton</t>
  </si>
  <si>
    <t>fix Qwood for harvestedtimber and add a simcilture driver with nuspecified harvest increase as price increase for carbon decreases harvest without precision on where or how.</t>
  </si>
  <si>
    <t>3000 yen per ton</t>
  </si>
  <si>
    <t>10^6 tonC</t>
  </si>
  <si>
    <t>1500 yen per ton</t>
  </si>
  <si>
    <t>800 yen per ton</t>
  </si>
  <si>
    <t>ton C ha-1</t>
  </si>
  <si>
    <t>paper is excluded, there is no C output only a radiative forcing for which we do not have an easy conversion back to C emissions</t>
  </si>
  <si>
    <t>correct harvest. Reported value is annual. Fixed by multiplying by time length of simulations (80yrs)</t>
  </si>
  <si>
    <t>Concrete (case A)</t>
  </si>
  <si>
    <t>CLT Wood building (case B0)</t>
  </si>
  <si>
    <t>table 7</t>
  </si>
  <si>
    <t>tons CO2e</t>
  </si>
  <si>
    <t>remove products_storage boundary and change driver to change in technology, C values in tons from table 7 instead of per unit area in text.</t>
  </si>
  <si>
    <t>only keep Cdelta since it is traceable, whereas Cref and Calt were not. Remove maintenance and fossil model components that cannot be found in the paper, add lines for C balance components (forest only , forest+HWP, forest + HWP+displacement)</t>
  </si>
  <si>
    <t>text p3521</t>
  </si>
  <si>
    <t>TgCO2e/yr</t>
  </si>
  <si>
    <t>Table1</t>
  </si>
  <si>
    <t>text p824</t>
  </si>
  <si>
    <t>set single driver, cumulate wood amount over time period to match C balance unit, no indication found thatmanufacturing emissions are accounted for</t>
  </si>
  <si>
    <t>text</t>
  </si>
  <si>
    <t>fig. 4</t>
  </si>
  <si>
    <t>off_product_biogenic set to 1 since energy saving is accounted for</t>
  </si>
  <si>
    <t>no DF used in base case but add line accounting for recycling of debris for both locations</t>
  </si>
  <si>
    <t>table 11 in Taverna 2007</t>
  </si>
  <si>
    <t>fig49 in Taverna 2007</t>
  </si>
  <si>
    <t>specify that data are taken from companion report Taverna 2007, clarify use of DF</t>
  </si>
  <si>
    <t>Optimized rotation length and slash recovery</t>
  </si>
  <si>
    <t>fig 3,4,5</t>
  </si>
  <si>
    <t>done</t>
  </si>
  <si>
    <t>change single product to mixed because all chain is concerned</t>
  </si>
  <si>
    <t>add off_product_biogenic, change single product to mixed because all chain is concerned</t>
  </si>
  <si>
    <t>add off_product_biogenic</t>
  </si>
  <si>
    <t>Fig3</t>
  </si>
  <si>
    <t>ok, Qwood in table1; C in Fig. 3</t>
  </si>
  <si>
    <t>All good. See excel.</t>
  </si>
  <si>
    <t>ok, data found in Fig. 7 and 8</t>
  </si>
  <si>
    <t>Gjbiomass/MgC</t>
  </si>
  <si>
    <t>Changed Qwood ref</t>
  </si>
  <si>
    <t>Changed the start year</t>
  </si>
  <si>
    <t>Changed the start year; corrected Qwood to be cumulative until 2040 (instead of 2060) to be consistent with period for C</t>
  </si>
  <si>
    <t xml:space="preserve">In text sect 4.2 </t>
  </si>
  <si>
    <t>Added place in publication</t>
  </si>
  <si>
    <t>Changed Qwood with cumulative harvest according to section 4.2</t>
  </si>
  <si>
    <t>fig3 vs fig4</t>
  </si>
  <si>
    <t>checked</t>
  </si>
  <si>
    <t>table 3 (carbon storage in building)</t>
  </si>
  <si>
    <t>table3 (5a)</t>
  </si>
  <si>
    <t>table3 (6a)</t>
  </si>
  <si>
    <t>Fig. 7 (mean annual flux * years for material and energy)</t>
  </si>
  <si>
    <t>fig8 (Total)</t>
  </si>
  <si>
    <t>m3 utilized wood calculated from CCME to account for both wood products and biomass for energy. VB: ok, but seemingly erroneous extraction from fig 8</t>
  </si>
  <si>
    <t>fig8 (Forest stock)</t>
  </si>
  <si>
    <t>fig8 (forest + HWP)</t>
  </si>
  <si>
    <t>m3 utilized wood calculated from CCME to account for both wood products and biomass for energy.</t>
  </si>
  <si>
    <t xml:space="preserve">m3 utilized wood calculated from CCME to account for both wood products and biomass for energy. </t>
  </si>
  <si>
    <t xml:space="preserve">Fig. 4 (Hanceville, 2 MW) </t>
  </si>
  <si>
    <t>Fig. 6 (Hanceville)</t>
  </si>
  <si>
    <t xml:space="preserve">Fig. 4 (Anahim, 2 MW) </t>
  </si>
  <si>
    <t>Fig. 6 (Anahim)</t>
  </si>
  <si>
    <t>Table 4 (2 vs 1)</t>
  </si>
  <si>
    <t>Table 3 (1 vs 2)</t>
  </si>
  <si>
    <t>Table 4 (5 vs 4)</t>
  </si>
  <si>
    <t>Table 3 (4 vs 5)</t>
  </si>
  <si>
    <t>Table 4 (3 vs 2)</t>
  </si>
  <si>
    <t>Table 4 (3 vs 1))</t>
  </si>
  <si>
    <t>Table 4 (6 vs 5)</t>
  </si>
  <si>
    <t>Table 4 (6 vs 4)</t>
  </si>
  <si>
    <t>Table 3 (3 vs 1)</t>
  </si>
  <si>
    <t>Table 3 (3 vs 2)</t>
  </si>
  <si>
    <t>Table 3 (6 vs 4)</t>
  </si>
  <si>
    <t>Table 3 (6 vs 5)</t>
  </si>
  <si>
    <t>table5 (total)</t>
  </si>
  <si>
    <t>table5 (maintenance and use)</t>
  </si>
  <si>
    <t>table5 (production + construction)</t>
  </si>
  <si>
    <t>table5 (end of life)</t>
  </si>
  <si>
    <t>table5 (reuse, recovery, recycling)</t>
  </si>
  <si>
    <t>supplementary data p4 (option a vs e)</t>
  </si>
  <si>
    <t>supplementary excel table composed based on SM p5</t>
  </si>
  <si>
    <t>supplementary data p4 (option e vs c)</t>
  </si>
  <si>
    <t>Table 4 (sum of different rows - see extraction file)</t>
  </si>
  <si>
    <t>Table 8 (Total CO2 emission)</t>
  </si>
  <si>
    <t>Table 8 (material production+ building construction - C in wood)</t>
  </si>
  <si>
    <t>Table 8 (Overall balance)</t>
  </si>
  <si>
    <t xml:space="preserve">Fig 2 </t>
  </si>
  <si>
    <t>Fig 4 (B4+B6+C)</t>
  </si>
  <si>
    <t>kgCO2eq/m2 * surface area of the building</t>
  </si>
  <si>
    <t>Fig 2</t>
  </si>
  <si>
    <t>Fig 4 (sum of all)</t>
  </si>
  <si>
    <t>Fig 3 (sum of all bars)</t>
  </si>
  <si>
    <t>Fig 3 (harvest) + Table 1 (change in harvest)</t>
  </si>
  <si>
    <t>Extraction table (change in forest and HWP excludes substitution)</t>
  </si>
  <si>
    <t>Extraction table (change in total net emission)</t>
  </si>
  <si>
    <t>Extraction table (change in forest)</t>
  </si>
  <si>
    <t>Fig. 5 (A) cummulated over 100 years</t>
  </si>
  <si>
    <t>Fig.5 (D)</t>
  </si>
  <si>
    <t xml:space="preserve">OB Landfilling </t>
  </si>
  <si>
    <t>OB Incineration</t>
  </si>
  <si>
    <t>Appendix Table 7</t>
  </si>
  <si>
    <t>Fig 1</t>
  </si>
  <si>
    <t>OB Landfilling</t>
  </si>
  <si>
    <t>(BB) Cast Concrete</t>
  </si>
  <si>
    <t>(OB) timber landfill</t>
  </si>
  <si>
    <t>(DM) Concrete blocks</t>
  </si>
  <si>
    <t>(OB) timber incineration</t>
  </si>
  <si>
    <t>Table 4 (direct from table)</t>
  </si>
  <si>
    <t>table2 (biomass removed from forest - Sawmill residue - sawmill residue available)</t>
  </si>
  <si>
    <t>table2 (biomass removed from forest - recovered construction waste)</t>
  </si>
  <si>
    <t>table2 (column: concrete frame)</t>
  </si>
  <si>
    <t>Fig 3 (cement reactions + fossil fuel for biomass recovery + replacement of fossil + forest stock change)</t>
  </si>
  <si>
    <t>Fig 3 (balance - fossil fuel for biomass recovery)</t>
  </si>
  <si>
    <t>Section 2.3.1</t>
  </si>
  <si>
    <t>Table 2 (seems like columns CLT and RC are swapped in this table because the CLT column has a value of 0 for CLT)</t>
  </si>
  <si>
    <t>Fig. 7</t>
  </si>
  <si>
    <t>t CO2eq/m2 of building</t>
  </si>
  <si>
    <t>Table 9 (RC vs CLT for Melbourne)</t>
  </si>
  <si>
    <t xml:space="preserve">Fig. 7 + Fig. 6 + Fig. 5 (Melbourne) </t>
  </si>
  <si>
    <t>2050: Rotation lenght for ethanol production from wood (2050)</t>
  </si>
  <si>
    <t>Fig. 4 (2050; add residuals)</t>
  </si>
  <si>
    <t>Mt /year</t>
  </si>
  <si>
    <t>Fig. 9 (square vs circle)</t>
  </si>
  <si>
    <t xml:space="preserve">2020: Rotation lenght for ethanol production from wood </t>
  </si>
  <si>
    <t>Fig. 4 (2020; add residuals)</t>
  </si>
  <si>
    <t>2020: Rotation lenght for electricty production from wood</t>
  </si>
  <si>
    <t>Fig. 6 (squares vs circles)</t>
  </si>
  <si>
    <t>Fig. 9 (square vs triangle)</t>
  </si>
  <si>
    <t xml:space="preserve">2050: Rotation lenght for ethanol production from wood </t>
  </si>
  <si>
    <t>Fig. 8 vs 7</t>
  </si>
  <si>
    <t>Fig. 6 (squares vs triangles)</t>
  </si>
  <si>
    <t>2020: ethanol production instead of gasoline</t>
  </si>
  <si>
    <t>Fig. 9 (white square, full line)</t>
  </si>
  <si>
    <t>2020: Type of fuel for electricty production</t>
  </si>
  <si>
    <t>Fig.  8</t>
  </si>
  <si>
    <t>2050: ethanol production instead of gasoline</t>
  </si>
  <si>
    <t>2020: Type of technology replaced for electrity production</t>
  </si>
  <si>
    <t>2050: Type of technology replaced for electrity production</t>
  </si>
  <si>
    <t>electricity from direct burning fast growing Tree RT =10 years; P_gas</t>
  </si>
  <si>
    <t>Table 2 (TP, CU vs BP, CU)</t>
  </si>
  <si>
    <t>Fig.5 column HWP. Confirmed in Section 3.2</t>
  </si>
  <si>
    <t>Fig. 8</t>
  </si>
  <si>
    <t>Fig.5 column HWP</t>
  </si>
  <si>
    <t>Page 49, first column</t>
  </si>
  <si>
    <t>Table 1 Minneapolis)</t>
  </si>
  <si>
    <t>Table 1 (Atlanta)</t>
  </si>
  <si>
    <t>Atlanta house</t>
  </si>
  <si>
    <t>Section 2.1.1. Functional unit</t>
  </si>
  <si>
    <t>Fig 3 (extracted)</t>
  </si>
  <si>
    <t>Fig 4 (extracted)</t>
  </si>
  <si>
    <t>Fig. 3 (extraction file, mean for all steel vs mean glulam landfill)</t>
  </si>
  <si>
    <t>Fig. 4 (extraction file, mean for all steel vs mean glulam landfill)</t>
  </si>
  <si>
    <t>Fig. 3 (extraction file, mean for all steel vs mean glulam recycling)</t>
  </si>
  <si>
    <t>Fig. 4 (extraction file, mean for all steel vs mean glulam incineration)</t>
  </si>
  <si>
    <t>Fig. 3 (extraction file, mean for all steel vs mean glulam incireation)</t>
  </si>
  <si>
    <t>Fig.3 (orange vs grey for 2025)</t>
  </si>
  <si>
    <t>Fig.4 (orange vs grey for 2025)</t>
  </si>
  <si>
    <t>Fig.3 (orange vs grey for 2050)</t>
  </si>
  <si>
    <t>Fig.4 (orange vs grey for 2050)</t>
  </si>
  <si>
    <t>Fig.3 (orange vs blue for 2025)</t>
  </si>
  <si>
    <t>Fig.4 (orange vs blue for 2025)</t>
  </si>
  <si>
    <t>Fig.3 (orange vs blue for 2050)</t>
  </si>
  <si>
    <t>Fig.4 (orange vs blue for 2050)</t>
  </si>
  <si>
    <t>Table 8 (column: total)</t>
  </si>
  <si>
    <t>Fig S8</t>
  </si>
  <si>
    <t>Fig 2 b (low substitution)</t>
  </si>
  <si>
    <t>Fig 2 a (high substitution)</t>
  </si>
  <si>
    <t>Fig S8 vs 388 + calculated 4,2 Mm3 (p6)* number of years * conversion</t>
  </si>
  <si>
    <t>Fig S8 vs baseline + calculated 4,2 Mm3 (p6)* number of years * conversion</t>
  </si>
  <si>
    <t>Value from equation 1 (C forest) with Vhar = 14,44 (Table A1)</t>
  </si>
  <si>
    <t xml:space="preserve">Value from equation 2(C forest + C HWP) with Vhar = 14,44 (Table A1) </t>
  </si>
  <si>
    <t>Value from equation 2(C forest + C HWP) with Vhar = 14,44 (Table A1)</t>
  </si>
  <si>
    <t>Value from equation 3 (C for + HWP + substitution) with Vhar = 14,44 (Table A1)</t>
  </si>
  <si>
    <t>Fig S1</t>
  </si>
  <si>
    <t>Fig 3b</t>
  </si>
  <si>
    <t>Fig 3a</t>
  </si>
  <si>
    <t>Fig 3a-3c</t>
  </si>
  <si>
    <t>Fig.4 (timber)</t>
  </si>
  <si>
    <t>tCO2-eq</t>
  </si>
  <si>
    <t>Fig. 11</t>
  </si>
  <si>
    <t>biomass used</t>
  </si>
  <si>
    <t>ongoing QC</t>
  </si>
  <si>
    <t xml:space="preserve">AV changed driver to "area subject to .." if no harvest involved or "cutting intensity" if doubled harvest involved </t>
  </si>
  <si>
    <t>change unspecified to cutting intensity</t>
  </si>
  <si>
    <t>fix Qwood for harvestedtimber and add a simcilture driver with cutting intensity as price increase for carbon decreases harvest without precision on where or how.</t>
  </si>
  <si>
    <t>no journal ,exclusion</t>
  </si>
  <si>
    <t>Total volume yield</t>
  </si>
  <si>
    <t>table 4</t>
  </si>
  <si>
    <t>changed values to /year for wood and for carbon.</t>
  </si>
  <si>
    <t>table S2</t>
  </si>
  <si>
    <t>wood cumulative material flow (column C insheet Figure 4c</t>
  </si>
  <si>
    <t>table S2 and table 2 for 25% reduction in S1-30m2cap</t>
  </si>
  <si>
    <t>changed driver</t>
  </si>
  <si>
    <t>remove wood value that did not reflect the change in wood consumption, fix carbon unit conversion</t>
  </si>
  <si>
    <t>Fertilisation</t>
  </si>
  <si>
    <t>fig2 (NEE, only uptake in forst growth and decaying soil organic matter)</t>
  </si>
  <si>
    <t>include timber wood, correct Qwood_delta calculation mistake, correct model perimeter as C reported is NEE that only includes live biomass and soil c</t>
  </si>
  <si>
    <t>SilvicultureProd</t>
  </si>
  <si>
    <t>SilvicultureRemov</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</si>
</sst>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00"/>
    <numFmt numFmtId="165" formatCode="0.000"/>
  </numFmts>
  <fonts count="51">
    <font>
      <sz val="12"/>
      <color theme="1"/>
      <name val="Calibri"/>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u/>
      <sz val="12"/>
      <color theme="10"/>
      <name val="Calibri"/>
      <family val="2"/>
      <scheme val="minor"/>
    </font>
    <font>
      <b/>
      <sz val="12"/>
      <color theme="1"/>
      <name val="Calibri"/>
      <family val="2"/>
      <scheme val="minor"/>
    </font>
    <font>
      <sz val="10"/>
      <name val="Arial"/>
      <family val="2"/>
    </font>
    <font>
      <sz val="9"/>
      <color theme="1"/>
      <name val="Calibri"/>
      <family val="2"/>
      <scheme val="minor"/>
    </font>
    <font>
      <sz val="12"/>
      <name val="Calibri"/>
      <family val="2"/>
      <scheme val="minor"/>
    </font>
    <font>
      <b/>
      <sz val="10"/>
      <name val="Arial"/>
      <family val="2"/>
    </font>
    <font>
      <sz val="10"/>
      <color theme="1"/>
      <name val="Arial"/>
      <family val="2"/>
    </font>
    <font>
      <b/>
      <sz val="10"/>
      <color theme="1"/>
      <name val="Arial"/>
      <family val="2"/>
    </font>
    <font>
      <b/>
      <sz val="12"/>
      <color theme="4"/>
      <name val="Calibri"/>
      <family val="2"/>
      <scheme val="minor"/>
    </font>
    <font>
      <sz val="11"/>
      <color theme="1"/>
      <name val="Linux Libertine"/>
    </font>
    <font>
      <sz val="12"/>
      <color indexed="2"/>
      <name val="Calibri"/>
      <family val="2"/>
      <scheme val="minor"/>
    </font>
    <font>
      <sz val="8"/>
      <color theme="1"/>
      <name val="AdvTimes"/>
    </font>
    <font>
      <sz val="12"/>
      <color theme="0" tint="-0.14999847407452621"/>
      <name val="Calibri"/>
      <family val="2"/>
      <scheme val="minor"/>
    </font>
    <font>
      <b/>
      <sz val="12"/>
      <name val="Calibri"/>
      <family val="2"/>
      <scheme val="minor"/>
    </font>
    <font>
      <b/>
      <sz val="12"/>
      <name val="Calibri"/>
      <family val="2"/>
    </font>
    <font>
      <sz val="12"/>
      <name val="Calibri"/>
      <family val="2"/>
    </font>
    <font>
      <sz val="10"/>
      <color theme="0" tint="-0.14999847407452621"/>
      <name val="Arial"/>
      <family val="2"/>
    </font>
    <font>
      <sz val="8.5"/>
      <color rgb="FF131413"/>
      <name val="Times New Roman"/>
      <family val="1"/>
    </font>
    <font>
      <b/>
      <sz val="12"/>
      <color rgb="FF4472C4"/>
      <name val="Calibri"/>
      <family val="2"/>
      <scheme val="minor"/>
    </font>
    <font>
      <sz val="10"/>
      <color indexed="2"/>
      <name val="Arial"/>
      <family val="2"/>
    </font>
    <font>
      <sz val="12"/>
      <color theme="8"/>
      <name val="Calibri"/>
      <family val="2"/>
      <scheme val="minor"/>
    </font>
    <font>
      <sz val="10"/>
      <color theme="8"/>
      <name val="Arial"/>
      <family val="2"/>
    </font>
    <font>
      <b/>
      <sz val="12"/>
      <color theme="8"/>
      <name val="Calibri"/>
      <family val="2"/>
      <scheme val="minor"/>
    </font>
    <font>
      <b/>
      <sz val="11"/>
      <name val="Arial"/>
      <family val="2"/>
    </font>
    <font>
      <u/>
      <sz val="12"/>
      <color theme="1"/>
      <name val="Calibri"/>
      <family val="2"/>
      <scheme val="minor"/>
    </font>
    <font>
      <sz val="12"/>
      <color rgb="FFD9D9D9"/>
      <name val="Calibri"/>
      <family val="2"/>
      <scheme val="minor"/>
    </font>
    <font>
      <sz val="10"/>
      <color theme="1"/>
      <name val="AdvOTc20ddc96"/>
    </font>
    <font>
      <sz val="12"/>
      <color theme="4"/>
      <name val="Calibri"/>
      <family val="2"/>
      <scheme val="minor"/>
    </font>
    <font>
      <sz val="6"/>
      <name val="Helvetica"/>
      <family val="2"/>
    </font>
    <font>
      <sz val="7"/>
      <color theme="1"/>
      <name val="AdvOTc20ddc96"/>
    </font>
    <font>
      <b/>
      <sz val="9"/>
      <name val="Tahoma"/>
      <family val="2"/>
    </font>
    <font>
      <sz val="9"/>
      <name val="Tahoma"/>
      <family val="2"/>
    </font>
    <font>
      <sz val="12"/>
      <color rgb="FFFF0000"/>
      <name val="Calibri"/>
      <family val="2"/>
      <scheme val="minor"/>
    </font>
    <font>
      <sz val="10"/>
      <color theme="1"/>
      <name val="Arial"/>
      <family val="2"/>
    </font>
    <font>
      <sz val="12"/>
      <color rgb="FF000000"/>
      <name val="Calibri"/>
      <family val="2"/>
      <scheme val="minor"/>
    </font>
    <font>
      <b/>
      <sz val="12"/>
      <color rgb="FFFF0000"/>
      <name val="Calibri"/>
      <family val="2"/>
      <scheme val="minor"/>
    </font>
    <font>
      <b/>
      <sz val="9"/>
      <color rgb="FF000000"/>
      <name val="Tahoma"/>
      <family val="2"/>
    </font>
    <font>
      <sz val="9"/>
      <color rgb="FF000000"/>
      <name val="Tahoma"/>
      <family val="2"/>
    </font>
    <font>
      <sz val="11"/>
      <color rgb="FF000000"/>
      <name val="Times"/>
    </font>
    <font>
      <sz val="12"/>
      <color indexed="64"/>
      <name val="Calibri"/>
      <family val="2"/>
      <scheme val="minor"/>
    </font>
    <font>
      <sz val="12"/>
      <color theme="1" tint="4.9989318521683403E-2"/>
      <name val="Calibri"/>
      <family val="2"/>
      <scheme val="minor"/>
    </font>
    <font>
      <b/>
      <sz val="12"/>
      <color indexed="2"/>
      <name val="Calibri"/>
      <family val="2"/>
      <scheme val="minor"/>
    </font>
    <font>
      <sz val="9"/>
      <color theme="1"/>
      <name val="Times"/>
      <family val="1"/>
    </font>
    <font>
      <b/>
      <sz val="9"/>
      <color indexed="81"/>
      <name val="Tahoma"/>
      <family val="2"/>
    </font>
    <font>
      <sz val="9"/>
      <color indexed="81"/>
      <name val="Tahoma"/>
      <family val="2"/>
    </font>
  </fonts>
  <fills count="68">
    <fill>
      <patternFill patternType="none"/>
    </fill>
    <fill>
      <patternFill patternType="gray125"/>
    </fill>
    <fill>
      <patternFill patternType="solid">
        <fgColor theme="0" tint="-0.14999847407452621"/>
        <bgColor indexed="65"/>
      </patternFill>
    </fill>
    <fill>
      <patternFill patternType="solid">
        <fgColor theme="7" tint="-0.249977111117893"/>
        <bgColor indexed="65"/>
      </patternFill>
    </fill>
    <fill>
      <patternFill patternType="solid">
        <fgColor rgb="FF90C987"/>
        <bgColor rgb="FF90C987"/>
      </patternFill>
    </fill>
    <fill>
      <patternFill patternType="solid">
        <fgColor rgb="FF90C987"/>
      </patternFill>
    </fill>
    <fill>
      <patternFill patternType="solid">
        <fgColor theme="0" tint="-0.249977111117893"/>
        <bgColor indexed="65"/>
      </patternFill>
    </fill>
    <fill>
      <patternFill patternType="solid">
        <fgColor theme="7" tint="-0.249977111117893"/>
        <bgColor theme="0" tint="-0.14999847407452621"/>
      </patternFill>
    </fill>
    <fill>
      <patternFill patternType="solid">
        <fgColor theme="0" tint="-0.14999847407452621"/>
        <bgColor theme="0" tint="-0.14999847407452621"/>
      </patternFill>
    </fill>
    <fill>
      <patternFill patternType="solid">
        <fgColor rgb="FFCAACCB"/>
        <bgColor rgb="FFF4A736"/>
      </patternFill>
    </fill>
    <fill>
      <patternFill patternType="solid">
        <fgColor rgb="FFCAACCB"/>
        <bgColor rgb="FFCAACCB"/>
      </patternFill>
    </fill>
    <fill>
      <patternFill patternType="solid">
        <fgColor rgb="FF994F88"/>
        <bgColor rgb="FF994F88"/>
      </patternFill>
    </fill>
    <fill>
      <patternFill patternType="solid">
        <fgColor theme="0" tint="-0.14999847407452621"/>
        <bgColor rgb="FFCAACCB"/>
      </patternFill>
    </fill>
    <fill>
      <patternFill patternType="solid">
        <fgColor theme="0" tint="-0.14999847407452621"/>
        <bgColor rgb="FF994F88"/>
      </patternFill>
    </fill>
    <fill>
      <patternFill patternType="solid">
        <fgColor rgb="FFA5170E"/>
        <bgColor rgb="FFA5170E"/>
      </patternFill>
    </fill>
    <fill>
      <patternFill patternType="solid">
        <fgColor rgb="FFC00000"/>
        <bgColor rgb="FFA5170E"/>
      </patternFill>
    </fill>
    <fill>
      <patternFill patternType="solid">
        <fgColor rgb="FFE65518"/>
        <bgColor rgb="FFCAE0AB"/>
      </patternFill>
    </fill>
    <fill>
      <patternFill patternType="solid">
        <fgColor theme="0" tint="-0.14999847407452621"/>
        <bgColor rgb="FFDC050C"/>
      </patternFill>
    </fill>
    <fill>
      <patternFill patternType="solid">
        <fgColor rgb="FF90C987"/>
        <bgColor theme="0" tint="-0.14999847407452621"/>
      </patternFill>
    </fill>
    <fill>
      <patternFill patternType="solid">
        <fgColor theme="0" tint="-0.14999847407452621"/>
        <bgColor rgb="FF90C987"/>
      </patternFill>
    </fill>
    <fill>
      <patternFill patternType="solid">
        <fgColor rgb="FFD9D9D9"/>
        <bgColor rgb="FFD9D9D9"/>
      </patternFill>
    </fill>
    <fill>
      <patternFill patternType="solid">
        <fgColor theme="0" tint="-0.14999847407452621"/>
        <bgColor indexed="5"/>
      </patternFill>
    </fill>
    <fill>
      <patternFill patternType="solid">
        <fgColor rgb="FFCAACCB"/>
        <bgColor rgb="FFF7CB45"/>
      </patternFill>
    </fill>
    <fill>
      <patternFill patternType="solid">
        <fgColor rgb="FFD9CCE3"/>
        <bgColor rgb="FFD9CCE3"/>
      </patternFill>
    </fill>
    <fill>
      <patternFill patternType="solid">
        <fgColor rgb="FFBA8DB4"/>
        <bgColor rgb="FFBA8DB4"/>
      </patternFill>
    </fill>
    <fill>
      <patternFill patternType="solid">
        <fgColor rgb="FF882E72"/>
        <bgColor rgb="FF882E72"/>
      </patternFill>
    </fill>
    <fill>
      <patternFill patternType="solid">
        <fgColor theme="0" tint="-0.14999847407452621"/>
        <bgColor rgb="FFBA8DB4"/>
      </patternFill>
    </fill>
    <fill>
      <patternFill patternType="solid">
        <fgColor theme="0" tint="-0.14999847407452621"/>
        <bgColor rgb="FF882E72"/>
      </patternFill>
    </fill>
    <fill>
      <patternFill patternType="solid">
        <fgColor rgb="FFDC050C"/>
        <bgColor rgb="FFDC050C"/>
      </patternFill>
    </fill>
    <fill>
      <patternFill patternType="solid">
        <fgColor rgb="FF72190E"/>
        <bgColor rgb="FF72190E"/>
      </patternFill>
    </fill>
    <fill>
      <patternFill patternType="solid">
        <fgColor rgb="FFE65518"/>
        <bgColor rgb="FF90C987"/>
      </patternFill>
    </fill>
    <fill>
      <patternFill patternType="solid">
        <fgColor theme="0" tint="-0.14999847407452621"/>
        <bgColor rgb="FFA5170E"/>
      </patternFill>
    </fill>
    <fill>
      <patternFill patternType="solid">
        <fgColor rgb="FFCAE1AB"/>
        <bgColor theme="0" tint="-0.14999847407452621"/>
      </patternFill>
    </fill>
    <fill>
      <patternFill patternType="solid">
        <fgColor rgb="FF4EB265"/>
        <bgColor rgb="FF1965B0"/>
      </patternFill>
    </fill>
    <fill>
      <patternFill patternType="solid">
        <fgColor theme="3" tint="0.79998168889431442"/>
        <bgColor theme="3" tint="0.79998168889431442"/>
      </patternFill>
    </fill>
    <fill>
      <patternFill patternType="solid">
        <fgColor rgb="FFD9CCE3"/>
        <bgColor rgb="FFCAACCB"/>
      </patternFill>
    </fill>
    <fill>
      <patternFill patternType="solid">
        <fgColor rgb="FFCAE0AB"/>
        <bgColor rgb="FFCAE0AB"/>
      </patternFill>
    </fill>
    <fill>
      <patternFill patternType="solid">
        <fgColor theme="0" tint="-0.14999847407452621"/>
        <bgColor rgb="FFCAE0AB"/>
      </patternFill>
    </fill>
    <fill>
      <patternFill patternType="solid">
        <fgColor rgb="FF4EB265"/>
        <bgColor rgb="FF4EB265"/>
      </patternFill>
    </fill>
    <fill>
      <patternFill patternType="solid">
        <fgColor theme="0" tint="-0.249977111117893"/>
        <bgColor rgb="FF90C987"/>
      </patternFill>
    </fill>
    <fill>
      <patternFill patternType="solid">
        <fgColor theme="0" tint="-0.249977111117893"/>
        <bgColor theme="0" tint="-0.14999847407452621"/>
      </patternFill>
    </fill>
    <fill>
      <patternFill patternType="solid">
        <fgColor rgb="FF90C987"/>
        <bgColor rgb="FF4EB265"/>
      </patternFill>
    </fill>
    <fill>
      <patternFill patternType="solid">
        <fgColor indexed="5"/>
      </patternFill>
    </fill>
    <fill>
      <patternFill patternType="solid">
        <fgColor theme="7" tint="-0.249977111117893"/>
        <bgColor indexed="5"/>
      </patternFill>
    </fill>
    <fill>
      <patternFill patternType="solid">
        <fgColor rgb="FFD9D9D9"/>
        <bgColor indexed="5"/>
      </patternFill>
    </fill>
    <fill>
      <patternFill patternType="solid">
        <fgColor rgb="FFD9D9D9"/>
      </patternFill>
    </fill>
    <fill>
      <patternFill patternType="solid">
        <fgColor indexed="5"/>
        <bgColor indexed="5"/>
      </patternFill>
    </fill>
    <fill>
      <patternFill patternType="solid">
        <fgColor rgb="FF777777"/>
        <bgColor rgb="FF777777"/>
      </patternFill>
    </fill>
    <fill>
      <patternFill patternType="solid">
        <fgColor rgb="FF437DBF"/>
        <bgColor rgb="FF437DBF"/>
      </patternFill>
    </fill>
    <fill>
      <patternFill patternType="solid">
        <fgColor rgb="FF7BAFDE"/>
        <bgColor rgb="FF7BAFDE"/>
      </patternFill>
    </fill>
    <fill>
      <patternFill patternType="solid">
        <fgColor rgb="FF1965B0"/>
        <bgColor rgb="FF1965B0"/>
      </patternFill>
    </fill>
    <fill>
      <patternFill patternType="solid">
        <fgColor rgb="FFF4A736"/>
        <bgColor rgb="FFF4A736"/>
      </patternFill>
    </fill>
    <fill>
      <patternFill patternType="solid">
        <fgColor rgb="FFFFC000"/>
      </patternFill>
    </fill>
    <fill>
      <patternFill patternType="solid">
        <fgColor rgb="FF70AD47"/>
      </patternFill>
    </fill>
    <fill>
      <patternFill patternType="solid">
        <fgColor rgb="FF7030A0"/>
      </patternFill>
    </fill>
    <fill>
      <patternFill patternType="solid">
        <fgColor rgb="FFE7E6E6"/>
      </patternFill>
    </fill>
    <fill>
      <patternFill patternType="solid">
        <fgColor rgb="FFC65911"/>
      </patternFill>
    </fill>
    <fill>
      <patternFill patternType="solid">
        <fgColor theme="5" tint="0.79998168889431442"/>
        <bgColor indexed="65"/>
      </patternFill>
    </fill>
    <fill>
      <patternFill patternType="solid">
        <fgColor theme="7" tint="0.79998168889431442"/>
        <bgColor indexed="65"/>
      </patternFill>
    </fill>
    <fill>
      <patternFill patternType="solid">
        <fgColor theme="4" tint="0.79998168889431442"/>
        <bgColor indexed="65"/>
      </patternFill>
    </fill>
    <fill>
      <patternFill patternType="solid">
        <fgColor theme="9" tint="0.79998168889431442"/>
        <bgColor indexed="65"/>
      </patternFill>
    </fill>
    <fill>
      <patternFill patternType="solid">
        <fgColor theme="2"/>
      </patternFill>
    </fill>
    <fill>
      <patternFill patternType="solid">
        <fgColor theme="8" tint="0.79998168889431442"/>
        <bgColor theme="8" tint="0.79998168889431442"/>
      </patternFill>
    </fill>
    <fill>
      <patternFill patternType="solid">
        <fgColor rgb="FFFFFF00"/>
        <bgColor indexed="64"/>
      </patternFill>
    </fill>
    <fill>
      <patternFill patternType="solid">
        <fgColor theme="9" tint="0.39997558519241921"/>
        <bgColor indexed="64"/>
      </patternFill>
    </fill>
    <fill>
      <patternFill patternType="solid">
        <fgColor theme="5"/>
        <bgColor indexed="64"/>
      </patternFill>
    </fill>
    <fill>
      <patternFill patternType="solid">
        <fgColor theme="9"/>
        <bgColor indexed="64"/>
      </patternFill>
    </fill>
    <fill>
      <patternFill patternType="solid">
        <fgColor rgb="FFFFC000"/>
        <bgColor indexed="64"/>
      </patternFill>
    </fill>
  </fills>
  <borders count="24">
    <border>
      <left/>
      <right/>
      <top/>
      <bottom/>
      <diagonal/>
    </border>
    <border>
      <left style="medium">
        <color auto="1"/>
      </left>
      <right/>
      <top/>
      <bottom/>
      <diagonal/>
    </border>
    <border>
      <left/>
      <right style="medium">
        <color auto="1"/>
      </right>
      <top/>
      <bottom/>
      <diagonal/>
    </border>
    <border>
      <left style="thin">
        <color auto="1"/>
      </left>
      <right style="thin">
        <color auto="1"/>
      </right>
      <top style="thin">
        <color auto="1"/>
      </top>
      <bottom style="thin">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auto="1"/>
      </left>
      <right style="thin">
        <color auto="1"/>
      </right>
      <top style="thin">
        <color auto="1"/>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style="thin">
        <color auto="1"/>
      </right>
      <top/>
      <bottom/>
      <diagonal/>
    </border>
    <border>
      <left style="thin">
        <color auto="1"/>
      </left>
      <right/>
      <top/>
      <bottom/>
      <diagonal/>
    </border>
    <border>
      <left/>
      <right style="thin">
        <color auto="1"/>
      </right>
      <top/>
      <bottom/>
      <diagonal/>
    </border>
    <border>
      <left style="thin">
        <color auto="1"/>
      </left>
      <right style="thin">
        <color auto="1"/>
      </right>
      <top/>
      <bottom style="thin">
        <color auto="1"/>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medium">
        <color auto="1"/>
      </left>
      <right/>
      <top style="medium">
        <color auto="1"/>
      </top>
      <bottom style="medium">
        <color auto="1"/>
      </bottom>
      <diagonal/>
    </border>
    <border>
      <left/>
      <right/>
      <top style="medium">
        <color auto="1"/>
      </top>
      <bottom style="medium">
        <color auto="1"/>
      </bottom>
      <diagonal/>
    </border>
  </borders>
  <cellStyleXfs count="3">
    <xf numFmtId="0" fontId="0" fillId="0" borderId="0"/>
    <xf numFmtId="0" fontId="6" fillId="0" borderId="0" applyNumberFormat="0" applyFill="0" applyBorder="0" applyProtection="0"/>
    <xf numFmtId="0" fontId="5" fillId="0" borderId="0"/>
  </cellStyleXfs>
  <cellXfs count="323">
    <xf numFmtId="0" fontId="0" fillId="0" borderId="0" xfId="0"/>
    <xf numFmtId="0" fontId="0" fillId="0" borderId="1" xfId="0" applyBorder="1"/>
    <xf numFmtId="0" fontId="0" fillId="0" borderId="2" xfId="0" applyBorder="1"/>
    <xf numFmtId="0" fontId="0" fillId="2" borderId="0" xfId="0" applyFill="1"/>
    <xf numFmtId="0" fontId="0" fillId="2" borderId="2" xfId="0" applyFill="1" applyBorder="1"/>
    <xf numFmtId="0" fontId="0" fillId="0" borderId="3" xfId="0" applyBorder="1"/>
    <xf numFmtId="49" fontId="0" fillId="3" borderId="4" xfId="0" applyNumberFormat="1" applyFill="1" applyBorder="1"/>
    <xf numFmtId="49" fontId="7" fillId="3" borderId="5" xfId="0" applyNumberFormat="1" applyFont="1" applyFill="1" applyBorder="1"/>
    <xf numFmtId="49" fontId="7" fillId="2" borderId="5" xfId="0" applyNumberFormat="1" applyFont="1" applyFill="1" applyBorder="1"/>
    <xf numFmtId="0" fontId="0" fillId="2" borderId="5" xfId="0" applyFill="1" applyBorder="1"/>
    <xf numFmtId="0" fontId="0" fillId="2" borderId="6" xfId="0" applyFill="1" applyBorder="1"/>
    <xf numFmtId="0" fontId="0" fillId="0" borderId="4" xfId="0" applyBorder="1"/>
    <xf numFmtId="0" fontId="0" fillId="0" borderId="5" xfId="0" applyBorder="1"/>
    <xf numFmtId="49" fontId="0" fillId="4" borderId="4" xfId="0" applyNumberFormat="1" applyFill="1" applyBorder="1"/>
    <xf numFmtId="49" fontId="0" fillId="4" borderId="5" xfId="0" applyNumberFormat="1" applyFill="1" applyBorder="1"/>
    <xf numFmtId="0" fontId="0" fillId="5" borderId="5" xfId="0" applyFill="1" applyBorder="1"/>
    <xf numFmtId="0" fontId="0" fillId="5" borderId="6" xfId="0" applyFill="1" applyBorder="1"/>
    <xf numFmtId="0" fontId="0" fillId="6" borderId="4" xfId="0" applyFill="1" applyBorder="1"/>
    <xf numFmtId="0" fontId="0" fillId="6" borderId="5" xfId="0" applyFill="1" applyBorder="1"/>
    <xf numFmtId="0" fontId="0" fillId="6" borderId="6" xfId="0" applyFill="1" applyBorder="1"/>
    <xf numFmtId="0" fontId="0" fillId="0" borderId="7" xfId="0" applyBorder="1"/>
    <xf numFmtId="0" fontId="0" fillId="0" borderId="8" xfId="0" applyBorder="1"/>
    <xf numFmtId="49" fontId="0" fillId="0" borderId="3" xfId="0" applyNumberFormat="1" applyBorder="1"/>
    <xf numFmtId="49" fontId="0" fillId="7" borderId="9" xfId="0" applyNumberFormat="1" applyFill="1" applyBorder="1"/>
    <xf numFmtId="49" fontId="0" fillId="7" borderId="3" xfId="0" applyNumberFormat="1" applyFill="1" applyBorder="1"/>
    <xf numFmtId="49" fontId="0" fillId="8" borderId="3" xfId="0" applyNumberFormat="1" applyFill="1" applyBorder="1"/>
    <xf numFmtId="49" fontId="0" fillId="2" borderId="3" xfId="0" applyNumberFormat="1" applyFill="1" applyBorder="1" applyAlignment="1">
      <alignment wrapText="1"/>
    </xf>
    <xf numFmtId="49" fontId="0" fillId="2" borderId="10" xfId="0" applyNumberFormat="1" applyFill="1" applyBorder="1" applyAlignment="1">
      <alignment wrapText="1"/>
    </xf>
    <xf numFmtId="49" fontId="0" fillId="9" borderId="9" xfId="0" applyNumberFormat="1" applyFill="1" applyBorder="1"/>
    <xf numFmtId="49" fontId="0" fillId="9" borderId="3" xfId="0" applyNumberFormat="1" applyFill="1" applyBorder="1"/>
    <xf numFmtId="49" fontId="0" fillId="10" borderId="3" xfId="0" applyNumberFormat="1" applyFill="1" applyBorder="1"/>
    <xf numFmtId="49" fontId="8" fillId="11" borderId="3" xfId="0" applyNumberFormat="1" applyFont="1" applyFill="1" applyBorder="1" applyAlignment="1">
      <alignment wrapText="1"/>
    </xf>
    <xf numFmtId="49" fontId="0" fillId="12" borderId="3" xfId="0" applyNumberFormat="1" applyFill="1" applyBorder="1"/>
    <xf numFmtId="49" fontId="8" fillId="13" borderId="3" xfId="0" applyNumberFormat="1" applyFont="1" applyFill="1" applyBorder="1" applyAlignment="1">
      <alignment wrapText="1"/>
    </xf>
    <xf numFmtId="49" fontId="8" fillId="13" borderId="10" xfId="0" applyNumberFormat="1" applyFont="1" applyFill="1" applyBorder="1" applyAlignment="1">
      <alignment wrapText="1"/>
    </xf>
    <xf numFmtId="49" fontId="0" fillId="14" borderId="9" xfId="0" applyNumberFormat="1" applyFill="1" applyBorder="1"/>
    <xf numFmtId="49" fontId="0" fillId="14" borderId="3" xfId="0" applyNumberFormat="1" applyFill="1" applyBorder="1"/>
    <xf numFmtId="49" fontId="0" fillId="15" borderId="3" xfId="0" applyNumberFormat="1" applyFill="1" applyBorder="1"/>
    <xf numFmtId="49" fontId="9" fillId="16" borderId="3" xfId="0" applyNumberFormat="1" applyFont="1" applyFill="1" applyBorder="1"/>
    <xf numFmtId="49" fontId="7" fillId="17" borderId="3" xfId="0" applyNumberFormat="1" applyFont="1" applyFill="1" applyBorder="1" applyAlignment="1">
      <alignment wrapText="1"/>
    </xf>
    <xf numFmtId="49" fontId="7" fillId="17" borderId="10" xfId="0" applyNumberFormat="1" applyFont="1" applyFill="1" applyBorder="1" applyAlignment="1">
      <alignment wrapText="1"/>
    </xf>
    <xf numFmtId="49" fontId="0" fillId="18" borderId="9" xfId="0" applyNumberFormat="1" applyFill="1" applyBorder="1"/>
    <xf numFmtId="49" fontId="0" fillId="18" borderId="3" xfId="0" applyNumberFormat="1" applyFill="1" applyBorder="1"/>
    <xf numFmtId="49" fontId="0" fillId="19" borderId="3" xfId="0" applyNumberFormat="1" applyFill="1" applyBorder="1"/>
    <xf numFmtId="49" fontId="0" fillId="4" borderId="3" xfId="0" applyNumberFormat="1" applyFill="1" applyBorder="1"/>
    <xf numFmtId="49" fontId="0" fillId="4" borderId="10" xfId="0" applyNumberFormat="1" applyFill="1" applyBorder="1"/>
    <xf numFmtId="49" fontId="0" fillId="6" borderId="9" xfId="0" applyNumberFormat="1" applyFill="1" applyBorder="1"/>
    <xf numFmtId="49" fontId="0" fillId="6" borderId="3" xfId="0" applyNumberFormat="1" applyFill="1" applyBorder="1"/>
    <xf numFmtId="49" fontId="0" fillId="6" borderId="10" xfId="0" applyNumberFormat="1" applyFill="1" applyBorder="1"/>
    <xf numFmtId="49" fontId="10" fillId="20" borderId="7" xfId="0" applyNumberFormat="1" applyFont="1" applyFill="1" applyBorder="1"/>
    <xf numFmtId="49" fontId="10" fillId="20" borderId="3" xfId="0" applyNumberFormat="1" applyFont="1" applyFill="1" applyBorder="1"/>
    <xf numFmtId="49" fontId="0" fillId="0" borderId="8" xfId="0" applyNumberFormat="1" applyBorder="1" applyAlignment="1">
      <alignment wrapText="1"/>
    </xf>
    <xf numFmtId="49" fontId="0" fillId="0" borderId="7" xfId="0" applyNumberFormat="1" applyBorder="1"/>
    <xf numFmtId="49" fontId="0" fillId="11" borderId="3" xfId="0" applyNumberFormat="1" applyFill="1" applyBorder="1"/>
    <xf numFmtId="49" fontId="0" fillId="3" borderId="9" xfId="0" applyNumberFormat="1" applyFill="1" applyBorder="1" applyAlignment="1">
      <alignment horizontal="center"/>
    </xf>
    <xf numFmtId="49" fontId="0" fillId="3" borderId="3" xfId="0" applyNumberFormat="1" applyFill="1" applyBorder="1" applyAlignment="1">
      <alignment horizontal="center"/>
    </xf>
    <xf numFmtId="49" fontId="0" fillId="3" borderId="3" xfId="0" applyNumberFormat="1" applyFill="1" applyBorder="1" applyAlignment="1">
      <alignment wrapText="1"/>
    </xf>
    <xf numFmtId="49" fontId="0" fillId="21" borderId="3" xfId="0" applyNumberFormat="1" applyFill="1" applyBorder="1" applyAlignment="1">
      <alignment horizontal="center" wrapText="1"/>
    </xf>
    <xf numFmtId="49" fontId="8" fillId="21" borderId="3" xfId="0" applyNumberFormat="1" applyFont="1" applyFill="1" applyBorder="1" applyAlignment="1">
      <alignment wrapText="1"/>
    </xf>
    <xf numFmtId="49" fontId="0" fillId="2" borderId="3" xfId="0" applyNumberFormat="1" applyFill="1" applyBorder="1"/>
    <xf numFmtId="49" fontId="0" fillId="2" borderId="10" xfId="0" applyNumberFormat="1" applyFill="1" applyBorder="1"/>
    <xf numFmtId="49" fontId="0" fillId="22" borderId="9" xfId="0" applyNumberFormat="1" applyFill="1" applyBorder="1"/>
    <xf numFmtId="49" fontId="0" fillId="22" borderId="3" xfId="0" applyNumberFormat="1" applyFill="1" applyBorder="1"/>
    <xf numFmtId="49" fontId="0" fillId="22" borderId="3" xfId="0" applyNumberFormat="1" applyFill="1" applyBorder="1" applyAlignment="1">
      <alignment wrapText="1"/>
    </xf>
    <xf numFmtId="49" fontId="8" fillId="23" borderId="3" xfId="0" applyNumberFormat="1" applyFont="1" applyFill="1" applyBorder="1" applyAlignment="1">
      <alignment wrapText="1"/>
    </xf>
    <xf numFmtId="49" fontId="8" fillId="10" borderId="3" xfId="0" applyNumberFormat="1" applyFont="1" applyFill="1" applyBorder="1" applyAlignment="1">
      <alignment wrapText="1"/>
    </xf>
    <xf numFmtId="49" fontId="11" fillId="24" borderId="3" xfId="0" applyNumberFormat="1" applyFont="1" applyFill="1" applyBorder="1" applyAlignment="1">
      <alignment wrapText="1"/>
    </xf>
    <xf numFmtId="49" fontId="8" fillId="25" borderId="3" xfId="0" applyNumberFormat="1" applyFont="1" applyFill="1" applyBorder="1" applyAlignment="1">
      <alignment wrapText="1"/>
    </xf>
    <xf numFmtId="49" fontId="8" fillId="8" borderId="3" xfId="0" applyNumberFormat="1" applyFont="1" applyFill="1" applyBorder="1" applyAlignment="1">
      <alignment wrapText="1"/>
    </xf>
    <xf numFmtId="49" fontId="11" fillId="26" borderId="3" xfId="0" applyNumberFormat="1" applyFont="1" applyFill="1" applyBorder="1" applyAlignment="1">
      <alignment wrapText="1"/>
    </xf>
    <xf numFmtId="49" fontId="8" fillId="27" borderId="3" xfId="0" applyNumberFormat="1" applyFont="1" applyFill="1" applyBorder="1" applyAlignment="1">
      <alignment wrapText="1"/>
    </xf>
    <xf numFmtId="49" fontId="8" fillId="27" borderId="10" xfId="0" applyNumberFormat="1" applyFont="1" applyFill="1" applyBorder="1" applyAlignment="1">
      <alignment wrapText="1"/>
    </xf>
    <xf numFmtId="49" fontId="7" fillId="28" borderId="9" xfId="0" applyNumberFormat="1" applyFont="1" applyFill="1" applyBorder="1" applyAlignment="1">
      <alignment wrapText="1"/>
    </xf>
    <xf numFmtId="49" fontId="7" fillId="28" borderId="3" xfId="0" applyNumberFormat="1" applyFont="1" applyFill="1" applyBorder="1" applyAlignment="1">
      <alignment wrapText="1"/>
    </xf>
    <xf numFmtId="49" fontId="0" fillId="14" borderId="3" xfId="0" applyNumberFormat="1" applyFill="1" applyBorder="1" applyAlignment="1">
      <alignment wrapText="1"/>
    </xf>
    <xf numFmtId="49" fontId="0" fillId="29" borderId="3" xfId="0" applyNumberFormat="1" applyFill="1" applyBorder="1" applyAlignment="1">
      <alignment wrapText="1"/>
    </xf>
    <xf numFmtId="49" fontId="0" fillId="30" borderId="3" xfId="0" applyNumberFormat="1" applyFill="1" applyBorder="1"/>
    <xf numFmtId="49" fontId="0" fillId="31" borderId="3" xfId="0" applyNumberFormat="1" applyFill="1" applyBorder="1"/>
    <xf numFmtId="49" fontId="0" fillId="31" borderId="10" xfId="0" applyNumberFormat="1" applyFill="1" applyBorder="1"/>
    <xf numFmtId="49" fontId="0" fillId="18" borderId="9" xfId="0" applyNumberFormat="1" applyFill="1" applyBorder="1" applyAlignment="1">
      <alignment wrapText="1"/>
    </xf>
    <xf numFmtId="49" fontId="0" fillId="18" borderId="3" xfId="0" applyNumberFormat="1" applyFill="1" applyBorder="1" applyAlignment="1">
      <alignment wrapText="1"/>
    </xf>
    <xf numFmtId="49" fontId="0" fillId="8" borderId="3" xfId="0" applyNumberFormat="1" applyFill="1" applyBorder="1" applyAlignment="1">
      <alignment wrapText="1"/>
    </xf>
    <xf numFmtId="49" fontId="0" fillId="32" borderId="3" xfId="0" applyNumberFormat="1" applyFill="1" applyBorder="1"/>
    <xf numFmtId="49" fontId="11" fillId="4" borderId="3" xfId="0" applyNumberFormat="1" applyFont="1" applyFill="1" applyBorder="1" applyAlignment="1">
      <alignment wrapText="1"/>
    </xf>
    <xf numFmtId="49" fontId="8" fillId="33" borderId="3" xfId="0" applyNumberFormat="1" applyFont="1" applyFill="1" applyBorder="1" applyAlignment="1">
      <alignment wrapText="1"/>
    </xf>
    <xf numFmtId="49" fontId="8" fillId="33" borderId="10" xfId="0" applyNumberFormat="1" applyFont="1" applyFill="1" applyBorder="1" applyAlignment="1">
      <alignment wrapText="1"/>
    </xf>
    <xf numFmtId="49" fontId="0" fillId="34" borderId="7" xfId="0" applyNumberFormat="1" applyFill="1" applyBorder="1"/>
    <xf numFmtId="49" fontId="0" fillId="34" borderId="3" xfId="0" applyNumberFormat="1" applyFill="1" applyBorder="1"/>
    <xf numFmtId="49" fontId="0" fillId="0" borderId="8" xfId="0" applyNumberFormat="1" applyBorder="1"/>
    <xf numFmtId="49" fontId="0" fillId="35" borderId="3" xfId="0" applyNumberFormat="1" applyFill="1" applyBorder="1"/>
    <xf numFmtId="49" fontId="0" fillId="24" borderId="3" xfId="0" applyNumberFormat="1" applyFill="1" applyBorder="1"/>
    <xf numFmtId="49" fontId="10" fillId="25" borderId="3" xfId="0" applyNumberFormat="1" applyFont="1" applyFill="1" applyBorder="1"/>
    <xf numFmtId="49" fontId="9" fillId="36" borderId="3" xfId="0" applyNumberFormat="1" applyFont="1" applyFill="1" applyBorder="1"/>
    <xf numFmtId="49" fontId="11" fillId="19" borderId="3" xfId="0" applyNumberFormat="1" applyFont="1" applyFill="1" applyBorder="1" applyAlignment="1">
      <alignment wrapText="1"/>
    </xf>
    <xf numFmtId="49" fontId="0" fillId="36" borderId="3" xfId="0" applyNumberFormat="1" applyFill="1" applyBorder="1"/>
    <xf numFmtId="49" fontId="0" fillId="37" borderId="3" xfId="0" applyNumberFormat="1" applyFill="1" applyBorder="1"/>
    <xf numFmtId="49" fontId="0" fillId="38" borderId="3" xfId="0" applyNumberFormat="1" applyFill="1" applyBorder="1"/>
    <xf numFmtId="49" fontId="0" fillId="38" borderId="10" xfId="0" applyNumberFormat="1" applyFill="1" applyBorder="1"/>
    <xf numFmtId="49" fontId="0" fillId="39" borderId="3" xfId="0" applyNumberFormat="1" applyFill="1" applyBorder="1"/>
    <xf numFmtId="49" fontId="0" fillId="40" borderId="3" xfId="0" applyNumberFormat="1" applyFill="1" applyBorder="1"/>
    <xf numFmtId="49" fontId="11" fillId="41" borderId="3" xfId="0" applyNumberFormat="1" applyFont="1" applyFill="1" applyBorder="1" applyAlignment="1">
      <alignment wrapText="1"/>
    </xf>
    <xf numFmtId="0" fontId="0" fillId="6" borderId="3" xfId="0" applyFill="1" applyBorder="1"/>
    <xf numFmtId="0" fontId="0" fillId="6" borderId="10" xfId="0" applyFill="1" applyBorder="1"/>
    <xf numFmtId="49" fontId="0" fillId="42" borderId="7" xfId="0" applyNumberFormat="1" applyFill="1" applyBorder="1"/>
    <xf numFmtId="49" fontId="0" fillId="0" borderId="3" xfId="0" applyNumberFormat="1" applyBorder="1" applyAlignment="1">
      <alignment wrapText="1"/>
    </xf>
    <xf numFmtId="49" fontId="12" fillId="3" borderId="9" xfId="0" applyNumberFormat="1" applyFont="1" applyFill="1" applyBorder="1" applyAlignment="1">
      <alignment horizontal="center" vertical="top" textRotation="90"/>
    </xf>
    <xf numFmtId="49" fontId="12" fillId="3" borderId="3" xfId="0" applyNumberFormat="1" applyFont="1" applyFill="1" applyBorder="1" applyAlignment="1">
      <alignment horizontal="center" vertical="top" textRotation="90"/>
    </xf>
    <xf numFmtId="49" fontId="13" fillId="3" borderId="3" xfId="0" applyNumberFormat="1" applyFont="1" applyFill="1" applyBorder="1" applyAlignment="1">
      <alignment horizontal="center" vertical="top" textRotation="90"/>
    </xf>
    <xf numFmtId="49" fontId="12" fillId="43" borderId="3" xfId="0" applyNumberFormat="1" applyFont="1" applyFill="1" applyBorder="1" applyAlignment="1">
      <alignment horizontal="center" vertical="top" textRotation="90"/>
    </xf>
    <xf numFmtId="49" fontId="12" fillId="7" borderId="3" xfId="0" applyNumberFormat="1" applyFont="1" applyFill="1" applyBorder="1" applyAlignment="1">
      <alignment horizontal="center" vertical="top" textRotation="90"/>
    </xf>
    <xf numFmtId="49" fontId="0" fillId="0" borderId="3" xfId="0" applyNumberFormat="1" applyBorder="1" applyAlignment="1">
      <alignment horizontal="center" vertical="top" textRotation="90" wrapText="1"/>
    </xf>
    <xf numFmtId="49" fontId="8" fillId="44" borderId="3" xfId="0" applyNumberFormat="1" applyFont="1" applyFill="1" applyBorder="1" applyAlignment="1">
      <alignment horizontal="center" vertical="top" textRotation="90"/>
    </xf>
    <xf numFmtId="49" fontId="8" fillId="45" borderId="3" xfId="0" applyNumberFormat="1" applyFont="1" applyFill="1" applyBorder="1" applyAlignment="1">
      <alignment horizontal="center" vertical="top" textRotation="90"/>
    </xf>
    <xf numFmtId="49" fontId="12" fillId="2" borderId="3" xfId="0" applyNumberFormat="1" applyFont="1" applyFill="1" applyBorder="1" applyAlignment="1">
      <alignment horizontal="center" vertical="top" textRotation="90"/>
    </xf>
    <xf numFmtId="49" fontId="12" fillId="2" borderId="10" xfId="0" applyNumberFormat="1" applyFont="1" applyFill="1" applyBorder="1" applyAlignment="1">
      <alignment horizontal="center" vertical="top" textRotation="90"/>
    </xf>
    <xf numFmtId="49" fontId="0" fillId="0" borderId="9" xfId="0" applyNumberFormat="1" applyBorder="1" applyAlignment="1">
      <alignment horizontal="center" vertical="top" textRotation="90"/>
    </xf>
    <xf numFmtId="49" fontId="0" fillId="0" borderId="3" xfId="0" applyNumberFormat="1" applyBorder="1" applyAlignment="1">
      <alignment horizontal="center" vertical="top" textRotation="90"/>
    </xf>
    <xf numFmtId="49" fontId="7" fillId="0" borderId="3" xfId="0" applyNumberFormat="1" applyFont="1" applyBorder="1" applyAlignment="1">
      <alignment horizontal="center" vertical="top" textRotation="90" wrapText="1"/>
    </xf>
    <xf numFmtId="49" fontId="12" fillId="0" borderId="3" xfId="0" applyNumberFormat="1" applyFont="1" applyBorder="1" applyAlignment="1">
      <alignment horizontal="center" vertical="top" textRotation="90"/>
    </xf>
    <xf numFmtId="49" fontId="13" fillId="0" borderId="3" xfId="0" applyNumberFormat="1" applyFont="1" applyBorder="1" applyAlignment="1">
      <alignment horizontal="center" vertical="top" textRotation="90"/>
    </xf>
    <xf numFmtId="49" fontId="13" fillId="2" borderId="3" xfId="0" applyNumberFormat="1" applyFont="1" applyFill="1" applyBorder="1" applyAlignment="1">
      <alignment horizontal="center" vertical="top" textRotation="90"/>
    </xf>
    <xf numFmtId="49" fontId="13" fillId="21" borderId="3" xfId="0" applyNumberFormat="1" applyFont="1" applyFill="1" applyBorder="1" applyAlignment="1">
      <alignment horizontal="center" vertical="top" textRotation="90"/>
    </xf>
    <xf numFmtId="49" fontId="11" fillId="0" borderId="9" xfId="0" applyNumberFormat="1" applyFont="1" applyBorder="1" applyAlignment="1">
      <alignment horizontal="center" vertical="top" textRotation="90" wrapText="1"/>
    </xf>
    <xf numFmtId="49" fontId="8" fillId="0" borderId="3" xfId="0" applyNumberFormat="1" applyFont="1" applyBorder="1" applyAlignment="1">
      <alignment horizontal="center" vertical="top" textRotation="90" wrapText="1"/>
    </xf>
    <xf numFmtId="49" fontId="11" fillId="0" borderId="3" xfId="0" applyNumberFormat="1" applyFont="1" applyBorder="1" applyAlignment="1">
      <alignment horizontal="center" vertical="top" textRotation="90" wrapText="1"/>
    </xf>
    <xf numFmtId="49" fontId="11" fillId="46" borderId="3" xfId="0" applyNumberFormat="1" applyFont="1" applyFill="1" applyBorder="1" applyAlignment="1">
      <alignment horizontal="center" vertical="top" textRotation="90" wrapText="1"/>
    </xf>
    <xf numFmtId="49" fontId="11" fillId="2" borderId="3" xfId="0" applyNumberFormat="1" applyFont="1" applyFill="1" applyBorder="1" applyAlignment="1">
      <alignment horizontal="center" vertical="top" textRotation="90" wrapText="1"/>
    </xf>
    <xf numFmtId="49" fontId="8" fillId="2" borderId="3" xfId="0" applyNumberFormat="1" applyFont="1" applyFill="1" applyBorder="1" applyAlignment="1">
      <alignment horizontal="center" vertical="top" textRotation="90" wrapText="1"/>
    </xf>
    <xf numFmtId="49" fontId="12" fillId="0" borderId="9" xfId="0" applyNumberFormat="1" applyFont="1" applyBorder="1" applyAlignment="1">
      <alignment horizontal="center" vertical="top" textRotation="90"/>
    </xf>
    <xf numFmtId="49" fontId="7" fillId="2" borderId="3" xfId="0" applyNumberFormat="1" applyFont="1" applyFill="1" applyBorder="1" applyAlignment="1">
      <alignment horizontal="center" vertical="top" textRotation="90" wrapText="1"/>
    </xf>
    <xf numFmtId="49" fontId="12" fillId="6" borderId="3" xfId="0" applyNumberFormat="1" applyFont="1" applyFill="1" applyBorder="1" applyAlignment="1">
      <alignment horizontal="center" vertical="top" textRotation="90"/>
    </xf>
    <xf numFmtId="49" fontId="12" fillId="42" borderId="3" xfId="0" applyNumberFormat="1" applyFont="1" applyFill="1" applyBorder="1" applyAlignment="1">
      <alignment horizontal="center" vertical="top" textRotation="90"/>
    </xf>
    <xf numFmtId="49" fontId="12" fillId="0" borderId="10" xfId="0" applyNumberFormat="1" applyFont="1" applyBorder="1" applyAlignment="1">
      <alignment horizontal="center" vertical="top" textRotation="90"/>
    </xf>
    <xf numFmtId="49" fontId="0" fillId="6" borderId="9" xfId="0" applyNumberFormat="1" applyFill="1" applyBorder="1" applyAlignment="1">
      <alignment wrapText="1"/>
    </xf>
    <xf numFmtId="49" fontId="0" fillId="6" borderId="3" xfId="0" applyNumberFormat="1" applyFill="1" applyBorder="1" applyAlignment="1">
      <alignment wrapText="1"/>
    </xf>
    <xf numFmtId="49" fontId="0" fillId="6" borderId="10" xfId="0" applyNumberFormat="1" applyFill="1" applyBorder="1" applyAlignment="1">
      <alignment wrapText="1"/>
    </xf>
    <xf numFmtId="49" fontId="12" fillId="0" borderId="7" xfId="0" applyNumberFormat="1" applyFont="1" applyBorder="1" applyAlignment="1">
      <alignment horizontal="center" vertical="top" textRotation="90"/>
    </xf>
    <xf numFmtId="49" fontId="12" fillId="0" borderId="8" xfId="0" applyNumberFormat="1" applyFont="1" applyBorder="1" applyAlignment="1">
      <alignment horizontal="center" vertical="top" textRotation="90"/>
    </xf>
    <xf numFmtId="49" fontId="0" fillId="42" borderId="7" xfId="0" applyNumberFormat="1" applyFill="1" applyBorder="1" applyAlignment="1">
      <alignment wrapText="1"/>
    </xf>
    <xf numFmtId="49" fontId="12" fillId="0" borderId="0" xfId="0" applyNumberFormat="1" applyFont="1" applyAlignment="1">
      <alignment horizontal="center" vertical="top" textRotation="90"/>
    </xf>
    <xf numFmtId="0" fontId="14" fillId="0" borderId="0" xfId="0" applyFont="1"/>
    <xf numFmtId="0" fontId="10" fillId="0" borderId="0" xfId="0" applyFont="1"/>
    <xf numFmtId="0" fontId="7" fillId="0" borderId="1" xfId="0" applyFont="1" applyBorder="1"/>
    <xf numFmtId="0" fontId="7" fillId="0" borderId="0" xfId="0" applyFont="1"/>
    <xf numFmtId="4" fontId="0" fillId="0" borderId="0" xfId="0" applyNumberFormat="1"/>
    <xf numFmtId="0" fontId="12" fillId="0" borderId="0" xfId="0" applyFont="1"/>
    <xf numFmtId="0" fontId="15" fillId="0" borderId="0" xfId="0" applyFont="1" applyAlignment="1">
      <alignment vertical="center"/>
    </xf>
    <xf numFmtId="49" fontId="0" fillId="34" borderId="0" xfId="0" applyNumberFormat="1" applyFill="1"/>
    <xf numFmtId="2" fontId="0" fillId="0" borderId="0" xfId="0" applyNumberFormat="1" applyAlignment="1">
      <alignment horizontal="center" vertical="center"/>
    </xf>
    <xf numFmtId="49" fontId="0" fillId="0" borderId="0" xfId="0" applyNumberFormat="1"/>
    <xf numFmtId="0" fontId="6" fillId="0" borderId="0" xfId="1"/>
    <xf numFmtId="0" fontId="16" fillId="0" borderId="0" xfId="0" applyFont="1"/>
    <xf numFmtId="2" fontId="0" fillId="0" borderId="0" xfId="0" applyNumberFormat="1"/>
    <xf numFmtId="49" fontId="0" fillId="14" borderId="0" xfId="0" applyNumberFormat="1" applyFill="1" applyAlignment="1">
      <alignment wrapText="1"/>
    </xf>
    <xf numFmtId="49" fontId="0" fillId="0" borderId="1" xfId="0" applyNumberFormat="1" applyBorder="1"/>
    <xf numFmtId="49" fontId="0" fillId="0" borderId="0" xfId="0" applyNumberFormat="1" applyAlignment="1">
      <alignment wrapText="1"/>
    </xf>
    <xf numFmtId="0" fontId="17" fillId="0" borderId="0" xfId="0" applyFont="1"/>
    <xf numFmtId="0" fontId="18" fillId="0" borderId="0" xfId="0" applyFont="1"/>
    <xf numFmtId="3" fontId="19" fillId="0" borderId="0" xfId="0" applyNumberFormat="1" applyFont="1"/>
    <xf numFmtId="3" fontId="7" fillId="0" borderId="0" xfId="0" applyNumberFormat="1" applyFont="1"/>
    <xf numFmtId="49" fontId="7" fillId="0" borderId="0" xfId="0" applyNumberFormat="1" applyFont="1" applyAlignment="1">
      <alignment wrapText="1"/>
    </xf>
    <xf numFmtId="49" fontId="0" fillId="0" borderId="0" xfId="0" applyNumberFormat="1" applyAlignment="1">
      <alignment horizontal="center" wrapText="1"/>
    </xf>
    <xf numFmtId="49" fontId="0" fillId="0" borderId="1" xfId="0" applyNumberFormat="1" applyBorder="1" applyAlignment="1">
      <alignment wrapText="1"/>
    </xf>
    <xf numFmtId="0" fontId="19" fillId="0" borderId="0" xfId="0" applyFont="1"/>
    <xf numFmtId="0" fontId="20" fillId="0" borderId="1" xfId="0" applyFont="1" applyBorder="1" applyAlignment="1">
      <alignment horizontal="left"/>
    </xf>
    <xf numFmtId="0" fontId="21" fillId="0" borderId="0" xfId="0" applyFont="1" applyAlignment="1">
      <alignment horizontal="left"/>
    </xf>
    <xf numFmtId="0" fontId="20" fillId="0" borderId="0" xfId="0" applyFont="1" applyAlignment="1">
      <alignment horizontal="left"/>
    </xf>
    <xf numFmtId="11" fontId="21" fillId="0" borderId="0" xfId="0" applyNumberFormat="1" applyFont="1" applyAlignment="1">
      <alignment horizontal="right"/>
    </xf>
    <xf numFmtId="0" fontId="20" fillId="0" borderId="0" xfId="0" applyFont="1" applyAlignment="1">
      <alignment horizontal="right"/>
    </xf>
    <xf numFmtId="11" fontId="0" fillId="0" borderId="0" xfId="0" applyNumberFormat="1"/>
    <xf numFmtId="11" fontId="10" fillId="0" borderId="0" xfId="0" applyNumberFormat="1" applyFont="1"/>
    <xf numFmtId="0" fontId="22" fillId="0" borderId="0" xfId="0" applyFont="1"/>
    <xf numFmtId="2" fontId="23" fillId="0" borderId="0" xfId="0" applyNumberFormat="1" applyFont="1" applyAlignment="1">
      <alignment horizontal="left" vertical="center" wrapText="1" indent="2"/>
    </xf>
    <xf numFmtId="0" fontId="19" fillId="0" borderId="1" xfId="0" applyFont="1" applyBorder="1"/>
    <xf numFmtId="0" fontId="10" fillId="0" borderId="1" xfId="0" applyFont="1" applyBorder="1"/>
    <xf numFmtId="0" fontId="24" fillId="0" borderId="0" xfId="0" applyFont="1"/>
    <xf numFmtId="3" fontId="10" fillId="0" borderId="0" xfId="0" applyNumberFormat="1" applyFont="1"/>
    <xf numFmtId="0" fontId="10" fillId="0" borderId="2" xfId="0" applyFont="1" applyBorder="1"/>
    <xf numFmtId="49" fontId="7" fillId="0" borderId="1" xfId="0" applyNumberFormat="1" applyFont="1" applyBorder="1" applyAlignment="1">
      <alignment wrapText="1"/>
    </xf>
    <xf numFmtId="1" fontId="0" fillId="0" borderId="0" xfId="0" applyNumberFormat="1"/>
    <xf numFmtId="49" fontId="8" fillId="0" borderId="0" xfId="0" applyNumberFormat="1" applyFont="1" applyAlignment="1">
      <alignment wrapText="1"/>
    </xf>
    <xf numFmtId="0" fontId="25" fillId="0" borderId="0" xfId="0" applyFont="1"/>
    <xf numFmtId="49" fontId="12" fillId="0" borderId="1" xfId="0" applyNumberFormat="1" applyFont="1" applyBorder="1" applyAlignment="1">
      <alignment horizontal="center" vertical="top" textRotation="90"/>
    </xf>
    <xf numFmtId="9" fontId="7" fillId="0" borderId="0" xfId="0" applyNumberFormat="1" applyFont="1"/>
    <xf numFmtId="0" fontId="0" fillId="0" borderId="0" xfId="0" applyAlignment="1">
      <alignment wrapText="1"/>
    </xf>
    <xf numFmtId="0" fontId="26" fillId="0" borderId="0" xfId="0" applyFont="1"/>
    <xf numFmtId="0" fontId="26" fillId="0" borderId="1" xfId="0" applyFont="1" applyBorder="1"/>
    <xf numFmtId="0" fontId="27" fillId="0" borderId="0" xfId="0" applyFont="1"/>
    <xf numFmtId="0" fontId="26" fillId="0" borderId="2" xfId="0" applyFont="1" applyBorder="1"/>
    <xf numFmtId="4" fontId="26" fillId="0" borderId="0" xfId="0" applyNumberFormat="1" applyFont="1"/>
    <xf numFmtId="0" fontId="26" fillId="0" borderId="0" xfId="0" applyFont="1" applyAlignment="1">
      <alignment wrapText="1"/>
    </xf>
    <xf numFmtId="0" fontId="28" fillId="0" borderId="0" xfId="0" applyFont="1"/>
    <xf numFmtId="0" fontId="29" fillId="0" borderId="0" xfId="0" applyFont="1"/>
    <xf numFmtId="49" fontId="8" fillId="0" borderId="0" xfId="0" applyNumberFormat="1" applyFont="1"/>
    <xf numFmtId="49" fontId="7" fillId="0" borderId="1" xfId="0" applyNumberFormat="1" applyFont="1" applyBorder="1"/>
    <xf numFmtId="49" fontId="7" fillId="0" borderId="0" xfId="0" applyNumberFormat="1" applyFont="1"/>
    <xf numFmtId="0" fontId="7" fillId="0" borderId="2" xfId="0" applyFont="1" applyBorder="1"/>
    <xf numFmtId="0" fontId="0" fillId="0" borderId="0" xfId="0" quotePrefix="1"/>
    <xf numFmtId="3" fontId="0" fillId="0" borderId="0" xfId="0" applyNumberFormat="1"/>
    <xf numFmtId="0" fontId="0" fillId="46" borderId="0" xfId="0" applyFill="1"/>
    <xf numFmtId="49" fontId="0" fillId="47" borderId="0" xfId="0" applyNumberFormat="1" applyFill="1"/>
    <xf numFmtId="0" fontId="30" fillId="0" borderId="0" xfId="0" applyFont="1"/>
    <xf numFmtId="49" fontId="0" fillId="4" borderId="0" xfId="0" applyNumberFormat="1" applyFill="1"/>
    <xf numFmtId="49" fontId="0" fillId="36" borderId="0" xfId="0" applyNumberFormat="1" applyFill="1"/>
    <xf numFmtId="49" fontId="0" fillId="48" borderId="0" xfId="0" applyNumberFormat="1" applyFill="1"/>
    <xf numFmtId="49" fontId="0" fillId="49" borderId="0" xfId="0" applyNumberFormat="1" applyFill="1"/>
    <xf numFmtId="49" fontId="0" fillId="50" borderId="0" xfId="0" applyNumberFormat="1" applyFill="1"/>
    <xf numFmtId="49" fontId="0" fillId="10" borderId="0" xfId="0" applyNumberFormat="1" applyFill="1"/>
    <xf numFmtId="49" fontId="0" fillId="23" borderId="0" xfId="0" applyNumberFormat="1" applyFill="1"/>
    <xf numFmtId="49" fontId="0" fillId="24" borderId="0" xfId="0" applyNumberFormat="1" applyFill="1"/>
    <xf numFmtId="49" fontId="0" fillId="11" borderId="0" xfId="0" applyNumberFormat="1" applyFill="1"/>
    <xf numFmtId="49" fontId="0" fillId="25" borderId="0" xfId="0" applyNumberFormat="1" applyFill="1"/>
    <xf numFmtId="49" fontId="0" fillId="51" borderId="0" xfId="0" applyNumberFormat="1" applyFill="1"/>
    <xf numFmtId="49" fontId="0" fillId="28" borderId="0" xfId="0" applyNumberFormat="1" applyFill="1"/>
    <xf numFmtId="49" fontId="0" fillId="14" borderId="0" xfId="0" applyNumberFormat="1" applyFill="1"/>
    <xf numFmtId="49" fontId="0" fillId="29" borderId="0" xfId="0" applyNumberFormat="1" applyFill="1"/>
    <xf numFmtId="0" fontId="0" fillId="52" borderId="0" xfId="0" applyFill="1"/>
    <xf numFmtId="0" fontId="10" fillId="52" borderId="0" xfId="0" applyFont="1" applyFill="1"/>
    <xf numFmtId="0" fontId="31" fillId="0" borderId="0" xfId="0" applyFont="1"/>
    <xf numFmtId="0" fontId="10" fillId="53" borderId="0" xfId="0" applyFont="1" applyFill="1"/>
    <xf numFmtId="164" fontId="10" fillId="53" borderId="0" xfId="0" applyNumberFormat="1" applyFont="1" applyFill="1"/>
    <xf numFmtId="0" fontId="10" fillId="54" borderId="0" xfId="0" applyFont="1" applyFill="1"/>
    <xf numFmtId="164" fontId="10" fillId="0" borderId="0" xfId="0" applyNumberFormat="1" applyFont="1"/>
    <xf numFmtId="0" fontId="10" fillId="55" borderId="0" xfId="0" applyFont="1" applyFill="1"/>
    <xf numFmtId="164" fontId="10" fillId="55" borderId="0" xfId="0" applyNumberFormat="1" applyFont="1" applyFill="1"/>
    <xf numFmtId="0" fontId="10" fillId="56" borderId="0" xfId="0" applyFont="1" applyFill="1"/>
    <xf numFmtId="164" fontId="10" fillId="54" borderId="0" xfId="0" applyNumberFormat="1" applyFont="1" applyFill="1"/>
    <xf numFmtId="165" fontId="0" fillId="0" borderId="0" xfId="0" applyNumberFormat="1"/>
    <xf numFmtId="0" fontId="0" fillId="0" borderId="11" xfId="0" applyBorder="1"/>
    <xf numFmtId="0" fontId="0" fillId="0" borderId="12" xfId="0" applyBorder="1"/>
    <xf numFmtId="0" fontId="0" fillId="0" borderId="13" xfId="0" applyBorder="1"/>
    <xf numFmtId="0" fontId="0" fillId="0" borderId="14" xfId="0" applyBorder="1"/>
    <xf numFmtId="0" fontId="0" fillId="57" borderId="0" xfId="0" applyFill="1"/>
    <xf numFmtId="0" fontId="0" fillId="58" borderId="0" xfId="0" applyFill="1"/>
    <xf numFmtId="0" fontId="0" fillId="0" borderId="15" xfId="0" applyBorder="1"/>
    <xf numFmtId="0" fontId="0" fillId="0" borderId="16" xfId="0" applyBorder="1"/>
    <xf numFmtId="0" fontId="0" fillId="0" borderId="17" xfId="0" applyBorder="1"/>
    <xf numFmtId="0" fontId="0" fillId="59" borderId="0" xfId="0" applyFill="1"/>
    <xf numFmtId="0" fontId="0" fillId="42" borderId="0" xfId="0" applyFill="1"/>
    <xf numFmtId="0" fontId="0" fillId="60" borderId="0" xfId="0" applyFill="1"/>
    <xf numFmtId="0" fontId="0" fillId="0" borderId="18" xfId="0" applyBorder="1"/>
    <xf numFmtId="0" fontId="0" fillId="0" borderId="19" xfId="0" applyBorder="1"/>
    <xf numFmtId="0" fontId="0" fillId="0" borderId="20" xfId="0" applyBorder="1"/>
    <xf numFmtId="0" fontId="0" fillId="0" borderId="21" xfId="0" applyBorder="1"/>
    <xf numFmtId="0" fontId="0" fillId="61" borderId="0" xfId="0" applyFill="1"/>
    <xf numFmtId="0" fontId="10" fillId="62" borderId="0" xfId="0" applyFont="1" applyFill="1"/>
    <xf numFmtId="0" fontId="10" fillId="46" borderId="0" xfId="0" applyFont="1" applyFill="1"/>
    <xf numFmtId="0" fontId="32" fillId="0" borderId="0" xfId="0" applyFont="1"/>
    <xf numFmtId="1" fontId="16" fillId="0" borderId="0" xfId="0" applyNumberFormat="1" applyFont="1"/>
    <xf numFmtId="2" fontId="16" fillId="0" borderId="0" xfId="0" applyNumberFormat="1" applyFont="1"/>
    <xf numFmtId="0" fontId="10" fillId="0" borderId="22" xfId="0" applyFont="1" applyBorder="1"/>
    <xf numFmtId="0" fontId="10" fillId="0" borderId="23" xfId="0" applyFont="1" applyBorder="1"/>
    <xf numFmtId="164" fontId="16" fillId="0" borderId="0" xfId="0" applyNumberFormat="1" applyFont="1"/>
    <xf numFmtId="0" fontId="33" fillId="0" borderId="0" xfId="0" applyFont="1"/>
    <xf numFmtId="0" fontId="34" fillId="0" borderId="0" xfId="0" applyFont="1"/>
    <xf numFmtId="0" fontId="0" fillId="63" borderId="2" xfId="0" applyFill="1" applyBorder="1"/>
    <xf numFmtId="0" fontId="5" fillId="0" borderId="1" xfId="2" applyBorder="1"/>
    <xf numFmtId="0" fontId="5" fillId="0" borderId="0" xfId="2"/>
    <xf numFmtId="0" fontId="5" fillId="0" borderId="2" xfId="2" applyBorder="1"/>
    <xf numFmtId="4" fontId="5" fillId="0" borderId="0" xfId="2" applyNumberFormat="1"/>
    <xf numFmtId="0" fontId="38" fillId="0" borderId="0" xfId="0" applyFont="1"/>
    <xf numFmtId="0" fontId="41" fillId="0" borderId="0" xfId="0" applyFont="1"/>
    <xf numFmtId="49" fontId="39" fillId="0" borderId="0" xfId="0" applyNumberFormat="1" applyFont="1" applyAlignment="1">
      <alignment horizontal="center" vertical="top" textRotation="90"/>
    </xf>
    <xf numFmtId="0" fontId="6" fillId="0" borderId="0" xfId="1" applyFill="1"/>
    <xf numFmtId="0" fontId="4" fillId="63" borderId="2" xfId="0" applyFont="1" applyFill="1" applyBorder="1"/>
    <xf numFmtId="0" fontId="4" fillId="0" borderId="1" xfId="0" applyFont="1" applyBorder="1"/>
    <xf numFmtId="0" fontId="4" fillId="0" borderId="0" xfId="0" applyFont="1"/>
    <xf numFmtId="49" fontId="7" fillId="28" borderId="0" xfId="0" applyNumberFormat="1" applyFont="1" applyFill="1" applyAlignment="1">
      <alignment wrapText="1"/>
    </xf>
    <xf numFmtId="0" fontId="44" fillId="0" borderId="0" xfId="0" applyFont="1"/>
    <xf numFmtId="49" fontId="4" fillId="14" borderId="0" xfId="0" applyNumberFormat="1" applyFont="1" applyFill="1" applyAlignment="1">
      <alignment wrapText="1"/>
    </xf>
    <xf numFmtId="0" fontId="4" fillId="63" borderId="0" xfId="0" applyFont="1" applyFill="1"/>
    <xf numFmtId="0" fontId="4" fillId="0" borderId="2" xfId="0" applyFont="1" applyBorder="1"/>
    <xf numFmtId="49" fontId="4" fillId="0" borderId="0" xfId="0" applyNumberFormat="1" applyFont="1" applyAlignment="1">
      <alignment wrapText="1"/>
    </xf>
    <xf numFmtId="0" fontId="0" fillId="64" borderId="0" xfId="0" applyFill="1"/>
    <xf numFmtId="0" fontId="0" fillId="65" borderId="0" xfId="0" applyFill="1"/>
    <xf numFmtId="0" fontId="0" fillId="66" borderId="0" xfId="0" applyFill="1"/>
    <xf numFmtId="0" fontId="0" fillId="67" borderId="0" xfId="0" applyFill="1"/>
    <xf numFmtId="0" fontId="14" fillId="0" borderId="0" xfId="2" applyFont="1"/>
    <xf numFmtId="0" fontId="7" fillId="0" borderId="0" xfId="2" applyFont="1"/>
    <xf numFmtId="0" fontId="10" fillId="0" borderId="0" xfId="2" applyFont="1"/>
    <xf numFmtId="0" fontId="7" fillId="0" borderId="1" xfId="2" applyFont="1" applyBorder="1"/>
    <xf numFmtId="0" fontId="16" fillId="0" borderId="0" xfId="2" applyFont="1"/>
    <xf numFmtId="0" fontId="45" fillId="0" borderId="0" xfId="0" applyFont="1" applyAlignment="1">
      <alignment vertical="center" wrapText="1"/>
    </xf>
    <xf numFmtId="49" fontId="12" fillId="0" borderId="0" xfId="2" applyNumberFormat="1" applyFont="1" applyAlignment="1">
      <alignment horizontal="center" vertical="top" textRotation="90"/>
    </xf>
    <xf numFmtId="49" fontId="16" fillId="0" borderId="0" xfId="0" applyNumberFormat="1" applyFont="1" applyAlignment="1">
      <alignment wrapText="1"/>
    </xf>
    <xf numFmtId="0" fontId="0" fillId="42" borderId="2" xfId="0" applyFill="1" applyBorder="1"/>
    <xf numFmtId="2" fontId="10" fillId="0" borderId="0" xfId="0" applyNumberFormat="1" applyFont="1"/>
    <xf numFmtId="4" fontId="10" fillId="0" borderId="0" xfId="0" applyNumberFormat="1" applyFont="1"/>
    <xf numFmtId="0" fontId="10" fillId="67" borderId="2" xfId="0" applyFont="1" applyFill="1" applyBorder="1"/>
    <xf numFmtId="4" fontId="38" fillId="0" borderId="0" xfId="0" applyNumberFormat="1" applyFont="1"/>
    <xf numFmtId="4" fontId="4" fillId="0" borderId="0" xfId="0" applyNumberFormat="1" applyFont="1"/>
    <xf numFmtId="2" fontId="38" fillId="0" borderId="0" xfId="0" applyNumberFormat="1" applyFont="1"/>
    <xf numFmtId="0" fontId="10" fillId="63" borderId="2" xfId="0" applyFont="1" applyFill="1" applyBorder="1"/>
    <xf numFmtId="1" fontId="38" fillId="0" borderId="0" xfId="0" applyNumberFormat="1" applyFont="1"/>
    <xf numFmtId="0" fontId="47" fillId="0" borderId="0" xfId="0" applyFont="1"/>
    <xf numFmtId="0" fontId="0" fillId="67" borderId="2" xfId="0" applyFill="1" applyBorder="1"/>
    <xf numFmtId="49" fontId="4" fillId="0" borderId="0" xfId="0" applyNumberFormat="1" applyFont="1"/>
    <xf numFmtId="0" fontId="6" fillId="0" borderId="0" xfId="1" applyFill="1" applyBorder="1"/>
    <xf numFmtId="0" fontId="48" fillId="0" borderId="0" xfId="0" applyFont="1"/>
    <xf numFmtId="49" fontId="4" fillId="0" borderId="1" xfId="0" applyNumberFormat="1" applyFont="1" applyBorder="1"/>
    <xf numFmtId="49" fontId="4" fillId="0" borderId="1" xfId="0" applyNumberFormat="1" applyFont="1" applyBorder="1" applyAlignment="1">
      <alignment wrapText="1"/>
    </xf>
    <xf numFmtId="0" fontId="40" fillId="0" borderId="0" xfId="0" applyFont="1"/>
    <xf numFmtId="0" fontId="38" fillId="0" borderId="15" xfId="0" applyFont="1" applyBorder="1"/>
    <xf numFmtId="0" fontId="4" fillId="0" borderId="15" xfId="0" applyFont="1" applyBorder="1"/>
    <xf numFmtId="0" fontId="46" fillId="0" borderId="0" xfId="0" applyFont="1"/>
    <xf numFmtId="49" fontId="0" fillId="14" borderId="15" xfId="0" applyNumberFormat="1" applyFill="1" applyBorder="1" applyAlignment="1">
      <alignment wrapText="1"/>
    </xf>
    <xf numFmtId="49" fontId="38" fillId="0" borderId="0" xfId="0" applyNumberFormat="1" applyFont="1" applyAlignment="1">
      <alignment wrapText="1"/>
    </xf>
    <xf numFmtId="0" fontId="3" fillId="0" borderId="0" xfId="0" applyFont="1"/>
    <xf numFmtId="0" fontId="2" fillId="0" borderId="0" xfId="0" applyFont="1"/>
    <xf numFmtId="49" fontId="2" fillId="14" borderId="0" xfId="0" applyNumberFormat="1" applyFont="1" applyFill="1" applyAlignment="1">
      <alignment wrapText="1"/>
    </xf>
    <xf numFmtId="0" fontId="2" fillId="0" borderId="1" xfId="0" applyFont="1" applyBorder="1"/>
    <xf numFmtId="49" fontId="7" fillId="28" borderId="15" xfId="0" applyNumberFormat="1" applyFont="1" applyFill="1" applyBorder="1" applyAlignment="1">
      <alignment wrapText="1"/>
    </xf>
    <xf numFmtId="0" fontId="16" fillId="0" borderId="15" xfId="2" applyFont="1" applyBorder="1"/>
    <xf numFmtId="49" fontId="0" fillId="0" borderId="15" xfId="0" applyNumberFormat="1" applyBorder="1" applyAlignment="1">
      <alignment wrapText="1"/>
    </xf>
    <xf numFmtId="49" fontId="16" fillId="0" borderId="15" xfId="0" applyNumberFormat="1" applyFont="1" applyBorder="1" applyAlignment="1">
      <alignment wrapText="1"/>
    </xf>
    <xf numFmtId="0" fontId="16" fillId="0" borderId="15" xfId="0" applyFont="1" applyBorder="1"/>
    <xf numFmtId="0" fontId="0" fillId="0" borderId="0" xfId="0" applyAlignment="1">
      <alignment horizontal="center" wrapText="1"/>
    </xf>
    <xf numFmtId="0" fontId="0" fillId="0" borderId="0" xfId="0" applyAlignment="1">
      <alignment horizontal="center"/>
    </xf>
    <xf numFmtId="0" fontId="10" fillId="0" borderId="0" xfId="0" applyFont="1" applyAlignment="1">
      <alignment horizontal="center"/>
    </xf>
    <xf numFmtId="0" fontId="7" fillId="0" borderId="0" xfId="0" applyFont="1" applyBorder="1"/>
    <xf numFmtId="0" fontId="38" fillId="0" borderId="0" xfId="0" applyFont="1" applyBorder="1"/>
    <xf numFmtId="0" fontId="0" fillId="0" borderId="0" xfId="0" applyBorder="1"/>
    <xf numFmtId="49" fontId="1" fillId="14" borderId="15" xfId="0" applyNumberFormat="1" applyFont="1" applyFill="1" applyBorder="1" applyAlignment="1">
      <alignment wrapText="1"/>
    </xf>
  </cellXfs>
  <cellStyles count="3">
    <cellStyle name="Hyperlink" xfId="1" builtinId="8"/>
    <cellStyle name="Normal" xfId="0" builtinId="0"/>
    <cellStyle name="Normal 2" xfId="2" xr:uid="{418F03ED-F283-C94E-BADD-E0877E52EFE1}"/>
  </cellStyles>
  <dxfs count="200">
    <dxf>
      <font>
        <color theme="0" tint="-0.34998626667073579"/>
      </font>
      <fill>
        <patternFill patternType="solid">
          <fgColor theme="0" tint="-4.9989318521683403E-2"/>
          <bgColor theme="0" tint="-4.9989318521683403E-2"/>
        </patternFill>
      </fill>
    </dxf>
    <dxf>
      <font>
        <color theme="0" tint="-0.14996795556505021"/>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14996795556505021"/>
      </font>
      <fill>
        <patternFill patternType="solid">
          <fgColor theme="0" tint="-4.9989318521683403E-2"/>
          <bgColor theme="0" tint="-4.9989318521683403E-2"/>
        </patternFill>
      </fill>
    </dxf>
    <dxf>
      <font>
        <color theme="0" tint="-0.14996795556505021"/>
      </font>
      <fill>
        <patternFill patternType="solid">
          <fgColor theme="0" tint="-4.9989318521683403E-2"/>
          <bgColor theme="0" tint="-4.9989318521683403E-2"/>
        </patternFill>
      </fill>
    </dxf>
    <dxf>
      <font>
        <color theme="0" tint="-0.14996795556505021"/>
      </font>
      <fill>
        <patternFill patternType="solid">
          <fgColor theme="0" tint="-4.9989318521683403E-2"/>
          <bgColor theme="0" tint="-4.9989318521683403E-2"/>
        </patternFill>
      </fill>
    </dxf>
    <dxf>
      <font>
        <color theme="0" tint="-0.14996795556505021"/>
      </font>
      <fill>
        <patternFill patternType="solid">
          <fgColor theme="0" tint="-4.9989318521683403E-2"/>
          <bgColor theme="0" tint="-4.9989318521683403E-2"/>
        </patternFill>
      </fill>
    </dxf>
    <dxf>
      <font>
        <color theme="0" tint="-0.14996795556505021"/>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14996795556505021"/>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14996795556505021"/>
      </font>
      <fill>
        <patternFill patternType="solid">
          <fgColor theme="0" tint="-4.9989318521683403E-2"/>
          <bgColor theme="0" tint="-4.9989318521683403E-2"/>
        </patternFill>
      </fill>
    </dxf>
    <dxf>
      <font>
        <color theme="0" tint="-0.14996795556505021"/>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14996795556505021"/>
      </font>
      <fill>
        <patternFill patternType="solid">
          <fgColor theme="0" tint="-4.9989318521683403E-2"/>
          <bgColor theme="0" tint="-4.9989318521683403E-2"/>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theme="0" tint="-0.14996795556505021"/>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14996795556505021"/>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theme="0" tint="-0.14996795556505021"/>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14996795556505021"/>
      </font>
      <fill>
        <patternFill patternType="solid">
          <fgColor theme="0" tint="-4.9989318521683403E-2"/>
          <bgColor theme="0" tint="-4.9989318521683403E-2"/>
        </patternFill>
      </fill>
    </dxf>
    <dxf>
      <font>
        <color theme="0" tint="-0.14996795556505021"/>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14996795556505021"/>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14996795556505021"/>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14996795556505021"/>
      </font>
      <fill>
        <patternFill patternType="solid">
          <fgColor theme="0" tint="-4.9989318521683403E-2"/>
          <bgColor theme="0" tint="-4.9989318521683403E-2"/>
        </patternFill>
      </fill>
    </dxf>
    <dxf>
      <font>
        <color theme="0" tint="-0.14996795556505021"/>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14996795556505021"/>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14996795556505021"/>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14996795556505021"/>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14996795556505021"/>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14996795556505021"/>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
      <font>
        <color theme="0" tint="-0.34998626667073579"/>
      </font>
      <fill>
        <patternFill patternType="solid">
          <fgColor theme="0" tint="-4.9989318521683403E-2"/>
          <bgColor theme="0" tint="-4.9989318521683403E-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4.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3.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2.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externalLink" Target="externalLinks/externalLink1.xml"/><Relationship Id="rId19"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emf"/><Relationship Id="rId18" Type="http://schemas.openxmlformats.org/officeDocument/2006/relationships/image" Target="../media/image18.png"/><Relationship Id="rId26" Type="http://schemas.openxmlformats.org/officeDocument/2006/relationships/image" Target="../media/image26.emf"/><Relationship Id="rId39" Type="http://schemas.openxmlformats.org/officeDocument/2006/relationships/image" Target="../media/image39.emf"/><Relationship Id="rId21" Type="http://schemas.openxmlformats.org/officeDocument/2006/relationships/image" Target="../media/image21.emf"/><Relationship Id="rId34" Type="http://schemas.openxmlformats.org/officeDocument/2006/relationships/image" Target="../media/image34.emf"/><Relationship Id="rId7" Type="http://schemas.openxmlformats.org/officeDocument/2006/relationships/image" Target="../media/image7.emf"/><Relationship Id="rId2" Type="http://schemas.openxmlformats.org/officeDocument/2006/relationships/image" Target="../media/image2.emf"/><Relationship Id="rId16" Type="http://schemas.openxmlformats.org/officeDocument/2006/relationships/image" Target="../media/image16.png"/><Relationship Id="rId20" Type="http://schemas.openxmlformats.org/officeDocument/2006/relationships/image" Target="../media/image20.emf"/><Relationship Id="rId29" Type="http://schemas.openxmlformats.org/officeDocument/2006/relationships/image" Target="../media/image29.emf"/><Relationship Id="rId41" Type="http://schemas.openxmlformats.org/officeDocument/2006/relationships/image" Target="../media/image41.emf"/><Relationship Id="rId1" Type="http://schemas.openxmlformats.org/officeDocument/2006/relationships/image" Target="../media/image1.emf"/><Relationship Id="rId6" Type="http://schemas.openxmlformats.org/officeDocument/2006/relationships/image" Target="../media/image6.emf"/><Relationship Id="rId11" Type="http://schemas.openxmlformats.org/officeDocument/2006/relationships/image" Target="../media/image11.png"/><Relationship Id="rId24" Type="http://schemas.openxmlformats.org/officeDocument/2006/relationships/image" Target="../media/image24.emf"/><Relationship Id="rId32" Type="http://schemas.openxmlformats.org/officeDocument/2006/relationships/image" Target="../media/image32.emf"/><Relationship Id="rId37" Type="http://schemas.openxmlformats.org/officeDocument/2006/relationships/image" Target="../media/image37.emf"/><Relationship Id="rId40" Type="http://schemas.openxmlformats.org/officeDocument/2006/relationships/image" Target="../media/image40.emf"/><Relationship Id="rId5" Type="http://schemas.openxmlformats.org/officeDocument/2006/relationships/image" Target="../media/image5.emf"/><Relationship Id="rId15" Type="http://schemas.openxmlformats.org/officeDocument/2006/relationships/image" Target="../media/image15.emf"/><Relationship Id="rId23" Type="http://schemas.openxmlformats.org/officeDocument/2006/relationships/image" Target="../media/image23.emf"/><Relationship Id="rId28" Type="http://schemas.openxmlformats.org/officeDocument/2006/relationships/image" Target="../media/image28.emf"/><Relationship Id="rId36" Type="http://schemas.openxmlformats.org/officeDocument/2006/relationships/image" Target="../media/image36.png"/><Relationship Id="rId10" Type="http://schemas.openxmlformats.org/officeDocument/2006/relationships/image" Target="../media/image10.emf"/><Relationship Id="rId19" Type="http://schemas.openxmlformats.org/officeDocument/2006/relationships/image" Target="../media/image19.emf"/><Relationship Id="rId31" Type="http://schemas.openxmlformats.org/officeDocument/2006/relationships/image" Target="../media/image31.emf"/><Relationship Id="rId4" Type="http://schemas.openxmlformats.org/officeDocument/2006/relationships/image" Target="../media/image4.emf"/><Relationship Id="rId9" Type="http://schemas.openxmlformats.org/officeDocument/2006/relationships/image" Target="../media/image9.emf"/><Relationship Id="rId14" Type="http://schemas.openxmlformats.org/officeDocument/2006/relationships/image" Target="../media/image14.emf"/><Relationship Id="rId22" Type="http://schemas.openxmlformats.org/officeDocument/2006/relationships/image" Target="../media/image22.emf"/><Relationship Id="rId27" Type="http://schemas.openxmlformats.org/officeDocument/2006/relationships/image" Target="../media/image27.emf"/><Relationship Id="rId30" Type="http://schemas.openxmlformats.org/officeDocument/2006/relationships/image" Target="../media/image30.emf"/><Relationship Id="rId35" Type="http://schemas.openxmlformats.org/officeDocument/2006/relationships/image" Target="../media/image35.emf"/><Relationship Id="rId8" Type="http://schemas.openxmlformats.org/officeDocument/2006/relationships/image" Target="../media/image8.emf"/><Relationship Id="rId3" Type="http://schemas.openxmlformats.org/officeDocument/2006/relationships/image" Target="../media/image3.emf"/><Relationship Id="rId12" Type="http://schemas.openxmlformats.org/officeDocument/2006/relationships/image" Target="../media/image12.emf"/><Relationship Id="rId17" Type="http://schemas.openxmlformats.org/officeDocument/2006/relationships/image" Target="../media/image17.emf"/><Relationship Id="rId25" Type="http://schemas.openxmlformats.org/officeDocument/2006/relationships/image" Target="../media/image25.emf"/><Relationship Id="rId33" Type="http://schemas.openxmlformats.org/officeDocument/2006/relationships/image" Target="../media/image33.emf"/><Relationship Id="rId38" Type="http://schemas.openxmlformats.org/officeDocument/2006/relationships/image" Target="../media/image38.emf"/></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389</xdr:row>
      <xdr:rowOff>32658</xdr:rowOff>
    </xdr:from>
    <xdr:to>
      <xdr:col>10</xdr:col>
      <xdr:colOff>815340</xdr:colOff>
      <xdr:row>414</xdr:row>
      <xdr:rowOff>185057</xdr:rowOff>
    </xdr:to>
    <xdr:pic>
      <xdr:nvPicPr>
        <xdr:cNvPr id="2" name="Image 36">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stretch/>
      </xdr:blipFill>
      <xdr:spPr bwMode="auto">
        <a:xfrm>
          <a:off x="0" y="79077458"/>
          <a:ext cx="9070340" cy="5232399"/>
        </a:xfrm>
        <a:prstGeom prst="rect">
          <a:avLst/>
        </a:prstGeom>
        <a:noFill/>
      </xdr:spPr>
    </xdr:pic>
    <xdr:clientData/>
  </xdr:twoCellAnchor>
  <xdr:twoCellAnchor editAs="oneCell">
    <xdr:from>
      <xdr:col>0</xdr:col>
      <xdr:colOff>152400</xdr:colOff>
      <xdr:row>2</xdr:row>
      <xdr:rowOff>15240</xdr:rowOff>
    </xdr:from>
    <xdr:to>
      <xdr:col>6</xdr:col>
      <xdr:colOff>517372</xdr:colOff>
      <xdr:row>14</xdr:row>
      <xdr:rowOff>144780</xdr:rowOff>
    </xdr:to>
    <xdr:pic>
      <xdr:nvPicPr>
        <xdr:cNvPr id="3" name="Image 1">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stretch/>
      </xdr:blipFill>
      <xdr:spPr bwMode="auto">
        <a:xfrm>
          <a:off x="152400" y="421640"/>
          <a:ext cx="5317972" cy="2567940"/>
        </a:xfrm>
        <a:prstGeom prst="rect">
          <a:avLst/>
        </a:prstGeom>
        <a:noFill/>
      </xdr:spPr>
    </xdr:pic>
    <xdr:clientData/>
  </xdr:twoCellAnchor>
  <xdr:twoCellAnchor editAs="oneCell">
    <xdr:from>
      <xdr:col>0</xdr:col>
      <xdr:colOff>68580</xdr:colOff>
      <xdr:row>17</xdr:row>
      <xdr:rowOff>45720</xdr:rowOff>
    </xdr:from>
    <xdr:to>
      <xdr:col>4</xdr:col>
      <xdr:colOff>618314</xdr:colOff>
      <xdr:row>28</xdr:row>
      <xdr:rowOff>167640</xdr:rowOff>
    </xdr:to>
    <xdr:pic>
      <xdr:nvPicPr>
        <xdr:cNvPr id="4" name="Image 2">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stretch/>
      </xdr:blipFill>
      <xdr:spPr bwMode="auto">
        <a:xfrm>
          <a:off x="68580" y="3500120"/>
          <a:ext cx="3851735" cy="2357120"/>
        </a:xfrm>
        <a:prstGeom prst="rect">
          <a:avLst/>
        </a:prstGeom>
        <a:noFill/>
      </xdr:spPr>
    </xdr:pic>
    <xdr:clientData/>
  </xdr:twoCellAnchor>
  <xdr:twoCellAnchor editAs="oneCell">
    <xdr:from>
      <xdr:col>0</xdr:col>
      <xdr:colOff>327659</xdr:colOff>
      <xdr:row>24</xdr:row>
      <xdr:rowOff>83820</xdr:rowOff>
    </xdr:from>
    <xdr:to>
      <xdr:col>4</xdr:col>
      <xdr:colOff>483974</xdr:colOff>
      <xdr:row>34</xdr:row>
      <xdr:rowOff>175260</xdr:rowOff>
    </xdr:to>
    <xdr:pic>
      <xdr:nvPicPr>
        <xdr:cNvPr id="5" name="Image 3">
          <a:extLst>
            <a:ext uri="{FF2B5EF4-FFF2-40B4-BE49-F238E27FC236}">
              <a16:creationId xmlns:a16="http://schemas.microsoft.com/office/drawing/2014/main" id="{00000000-0008-0000-0500-000005000000}"/>
            </a:ext>
          </a:extLst>
        </xdr:cNvPr>
        <xdr:cNvPicPr>
          <a:picLocks noChangeAspect="1" noChangeArrowheads="1"/>
        </xdr:cNvPicPr>
      </xdr:nvPicPr>
      <xdr:blipFill>
        <a:blip xmlns:r="http://schemas.openxmlformats.org/officeDocument/2006/relationships" r:embed="rId4"/>
        <a:stretch/>
      </xdr:blipFill>
      <xdr:spPr bwMode="auto">
        <a:xfrm>
          <a:off x="327660" y="4960620"/>
          <a:ext cx="3458315" cy="2123440"/>
        </a:xfrm>
        <a:prstGeom prst="rect">
          <a:avLst/>
        </a:prstGeom>
        <a:noFill/>
      </xdr:spPr>
    </xdr:pic>
    <xdr:clientData/>
  </xdr:twoCellAnchor>
  <xdr:twoCellAnchor editAs="oneCell">
    <xdr:from>
      <xdr:col>1</xdr:col>
      <xdr:colOff>534720</xdr:colOff>
      <xdr:row>18</xdr:row>
      <xdr:rowOff>15240</xdr:rowOff>
    </xdr:from>
    <xdr:to>
      <xdr:col>7</xdr:col>
      <xdr:colOff>640080</xdr:colOff>
      <xdr:row>33</xdr:row>
      <xdr:rowOff>91440</xdr:rowOff>
    </xdr:to>
    <xdr:pic>
      <xdr:nvPicPr>
        <xdr:cNvPr id="6" name="Image 4">
          <a:extLst>
            <a:ext uri="{FF2B5EF4-FFF2-40B4-BE49-F238E27FC236}">
              <a16:creationId xmlns:a16="http://schemas.microsoft.com/office/drawing/2014/main" id="{00000000-0008-0000-0500-000006000000}"/>
            </a:ext>
          </a:extLst>
        </xdr:cNvPr>
        <xdr:cNvPicPr>
          <a:picLocks noChangeAspect="1" noChangeArrowheads="1"/>
        </xdr:cNvPicPr>
      </xdr:nvPicPr>
      <xdr:blipFill>
        <a:blip xmlns:r="http://schemas.openxmlformats.org/officeDocument/2006/relationships" r:embed="rId5"/>
        <a:stretch/>
      </xdr:blipFill>
      <xdr:spPr bwMode="auto">
        <a:xfrm>
          <a:off x="1360220" y="3672839"/>
          <a:ext cx="5058360" cy="3124200"/>
        </a:xfrm>
        <a:prstGeom prst="rect">
          <a:avLst/>
        </a:prstGeom>
        <a:noFill/>
      </xdr:spPr>
    </xdr:pic>
    <xdr:clientData/>
  </xdr:twoCellAnchor>
  <xdr:twoCellAnchor editAs="oneCell">
    <xdr:from>
      <xdr:col>0</xdr:col>
      <xdr:colOff>0</xdr:colOff>
      <xdr:row>37</xdr:row>
      <xdr:rowOff>0</xdr:rowOff>
    </xdr:from>
    <xdr:to>
      <xdr:col>5</xdr:col>
      <xdr:colOff>785762</xdr:colOff>
      <xdr:row>49</xdr:row>
      <xdr:rowOff>15240</xdr:rowOff>
    </xdr:to>
    <xdr:pic>
      <xdr:nvPicPr>
        <xdr:cNvPr id="7" name="Image 5">
          <a:extLst>
            <a:ext uri="{FF2B5EF4-FFF2-40B4-BE49-F238E27FC236}">
              <a16:creationId xmlns:a16="http://schemas.microsoft.com/office/drawing/2014/main" id="{00000000-0008-0000-0500-000007000000}"/>
            </a:ext>
          </a:extLst>
        </xdr:cNvPr>
        <xdr:cNvPicPr>
          <a:picLocks noChangeAspect="1" noChangeArrowheads="1"/>
        </xdr:cNvPicPr>
      </xdr:nvPicPr>
      <xdr:blipFill>
        <a:blip xmlns:r="http://schemas.openxmlformats.org/officeDocument/2006/relationships" r:embed="rId6"/>
        <a:stretch/>
      </xdr:blipFill>
      <xdr:spPr bwMode="auto">
        <a:xfrm>
          <a:off x="0" y="7518400"/>
          <a:ext cx="4913262" cy="2453640"/>
        </a:xfrm>
        <a:prstGeom prst="rect">
          <a:avLst/>
        </a:prstGeom>
        <a:noFill/>
      </xdr:spPr>
    </xdr:pic>
    <xdr:clientData/>
  </xdr:twoCellAnchor>
  <xdr:twoCellAnchor editAs="oneCell">
    <xdr:from>
      <xdr:col>1</xdr:col>
      <xdr:colOff>76200</xdr:colOff>
      <xdr:row>40</xdr:row>
      <xdr:rowOff>53340</xdr:rowOff>
    </xdr:from>
    <xdr:to>
      <xdr:col>7</xdr:col>
      <xdr:colOff>1272</xdr:colOff>
      <xdr:row>62</xdr:row>
      <xdr:rowOff>114300</xdr:rowOff>
    </xdr:to>
    <xdr:pic>
      <xdr:nvPicPr>
        <xdr:cNvPr id="8" name="Image 6">
          <a:extLst>
            <a:ext uri="{FF2B5EF4-FFF2-40B4-BE49-F238E27FC236}">
              <a16:creationId xmlns:a16="http://schemas.microsoft.com/office/drawing/2014/main" id="{00000000-0008-0000-0500-000008000000}"/>
            </a:ext>
          </a:extLst>
        </xdr:cNvPr>
        <xdr:cNvPicPr>
          <a:picLocks noChangeAspect="1" noChangeArrowheads="1"/>
        </xdr:cNvPicPr>
      </xdr:nvPicPr>
      <xdr:blipFill>
        <a:blip xmlns:r="http://schemas.openxmlformats.org/officeDocument/2006/relationships" r:embed="rId7"/>
        <a:stretch/>
      </xdr:blipFill>
      <xdr:spPr bwMode="auto">
        <a:xfrm>
          <a:off x="901700" y="8181340"/>
          <a:ext cx="4878073" cy="4531360"/>
        </a:xfrm>
        <a:prstGeom prst="rect">
          <a:avLst/>
        </a:prstGeom>
        <a:noFill/>
      </xdr:spPr>
    </xdr:pic>
    <xdr:clientData/>
  </xdr:twoCellAnchor>
  <xdr:twoCellAnchor editAs="oneCell">
    <xdr:from>
      <xdr:col>1</xdr:col>
      <xdr:colOff>7620</xdr:colOff>
      <xdr:row>64</xdr:row>
      <xdr:rowOff>129538</xdr:rowOff>
    </xdr:from>
    <xdr:to>
      <xdr:col>4</xdr:col>
      <xdr:colOff>265824</xdr:colOff>
      <xdr:row>86</xdr:row>
      <xdr:rowOff>91440</xdr:rowOff>
    </xdr:to>
    <xdr:pic>
      <xdr:nvPicPr>
        <xdr:cNvPr id="9" name="Image 7">
          <a:extLst>
            <a:ext uri="{FF2B5EF4-FFF2-40B4-BE49-F238E27FC236}">
              <a16:creationId xmlns:a16="http://schemas.microsoft.com/office/drawing/2014/main" id="{00000000-0008-0000-0500-000009000000}"/>
            </a:ext>
          </a:extLst>
        </xdr:cNvPr>
        <xdr:cNvPicPr>
          <a:picLocks noChangeAspect="1" noChangeArrowheads="1"/>
        </xdr:cNvPicPr>
      </xdr:nvPicPr>
      <xdr:blipFill>
        <a:blip xmlns:r="http://schemas.openxmlformats.org/officeDocument/2006/relationships" r:embed="rId8"/>
        <a:stretch/>
      </xdr:blipFill>
      <xdr:spPr bwMode="auto">
        <a:xfrm>
          <a:off x="833120" y="13134340"/>
          <a:ext cx="2734704" cy="4432300"/>
        </a:xfrm>
        <a:prstGeom prst="rect">
          <a:avLst/>
        </a:prstGeom>
        <a:noFill/>
      </xdr:spPr>
    </xdr:pic>
    <xdr:clientData/>
  </xdr:twoCellAnchor>
  <xdr:twoCellAnchor editAs="oneCell">
    <xdr:from>
      <xdr:col>1</xdr:col>
      <xdr:colOff>350520</xdr:colOff>
      <xdr:row>1</xdr:row>
      <xdr:rowOff>68580</xdr:rowOff>
    </xdr:from>
    <xdr:to>
      <xdr:col>6</xdr:col>
      <xdr:colOff>144780</xdr:colOff>
      <xdr:row>15</xdr:row>
      <xdr:rowOff>91314</xdr:rowOff>
    </xdr:to>
    <xdr:pic>
      <xdr:nvPicPr>
        <xdr:cNvPr id="10" name="Image 8">
          <a:extLst>
            <a:ext uri="{FF2B5EF4-FFF2-40B4-BE49-F238E27FC236}">
              <a16:creationId xmlns:a16="http://schemas.microsoft.com/office/drawing/2014/main" id="{00000000-0008-0000-0500-00000A000000}"/>
            </a:ext>
          </a:extLst>
        </xdr:cNvPr>
        <xdr:cNvPicPr>
          <a:picLocks noChangeAspect="1" noChangeArrowheads="1"/>
        </xdr:cNvPicPr>
      </xdr:nvPicPr>
      <xdr:blipFill>
        <a:blip xmlns:r="http://schemas.openxmlformats.org/officeDocument/2006/relationships" r:embed="rId9"/>
        <a:stretch/>
      </xdr:blipFill>
      <xdr:spPr bwMode="auto">
        <a:xfrm>
          <a:off x="1176020" y="271780"/>
          <a:ext cx="3921760" cy="2867535"/>
        </a:xfrm>
        <a:prstGeom prst="rect">
          <a:avLst/>
        </a:prstGeom>
        <a:noFill/>
      </xdr:spPr>
    </xdr:pic>
    <xdr:clientData/>
  </xdr:twoCellAnchor>
  <xdr:twoCellAnchor editAs="oneCell">
    <xdr:from>
      <xdr:col>0</xdr:col>
      <xdr:colOff>304800</xdr:colOff>
      <xdr:row>125</xdr:row>
      <xdr:rowOff>137160</xdr:rowOff>
    </xdr:from>
    <xdr:to>
      <xdr:col>4</xdr:col>
      <xdr:colOff>510540</xdr:colOff>
      <xdr:row>139</xdr:row>
      <xdr:rowOff>106680</xdr:rowOff>
    </xdr:to>
    <xdr:pic>
      <xdr:nvPicPr>
        <xdr:cNvPr id="11" name="Image 10">
          <a:extLst>
            <a:ext uri="{FF2B5EF4-FFF2-40B4-BE49-F238E27FC236}">
              <a16:creationId xmlns:a16="http://schemas.microsoft.com/office/drawing/2014/main" id="{00000000-0008-0000-0500-00000B000000}"/>
            </a:ext>
          </a:extLst>
        </xdr:cNvPr>
        <xdr:cNvPicPr>
          <a:picLocks noChangeAspect="1" noChangeArrowheads="1"/>
        </xdr:cNvPicPr>
      </xdr:nvPicPr>
      <xdr:blipFill>
        <a:blip xmlns:r="http://schemas.openxmlformats.org/officeDocument/2006/relationships" r:embed="rId10"/>
        <a:stretch/>
      </xdr:blipFill>
      <xdr:spPr bwMode="auto">
        <a:xfrm>
          <a:off x="304800" y="25537160"/>
          <a:ext cx="3507740" cy="2814320"/>
        </a:xfrm>
        <a:prstGeom prst="rect">
          <a:avLst/>
        </a:prstGeom>
        <a:noFill/>
      </xdr:spPr>
    </xdr:pic>
    <xdr:clientData/>
  </xdr:twoCellAnchor>
  <xdr:twoCellAnchor editAs="oneCell">
    <xdr:from>
      <xdr:col>0</xdr:col>
      <xdr:colOff>365760</xdr:colOff>
      <xdr:row>127</xdr:row>
      <xdr:rowOff>190500</xdr:rowOff>
    </xdr:from>
    <xdr:to>
      <xdr:col>5</xdr:col>
      <xdr:colOff>198121</xdr:colOff>
      <xdr:row>142</xdr:row>
      <xdr:rowOff>89251</xdr:rowOff>
    </xdr:to>
    <xdr:pic>
      <xdr:nvPicPr>
        <xdr:cNvPr id="12" name="Image 11">
          <a:extLst>
            <a:ext uri="{FF2B5EF4-FFF2-40B4-BE49-F238E27FC236}">
              <a16:creationId xmlns:a16="http://schemas.microsoft.com/office/drawing/2014/main" id="{00000000-0008-0000-0500-00000C000000}"/>
            </a:ext>
          </a:extLst>
        </xdr:cNvPr>
        <xdr:cNvPicPr>
          <a:picLocks noChangeAspect="1"/>
        </xdr:cNvPicPr>
      </xdr:nvPicPr>
      <xdr:blipFill>
        <a:blip xmlns:r="http://schemas.openxmlformats.org/officeDocument/2006/relationships" r:embed="rId11"/>
        <a:stretch/>
      </xdr:blipFill>
      <xdr:spPr bwMode="auto">
        <a:xfrm>
          <a:off x="365761" y="25996900"/>
          <a:ext cx="3959860" cy="2946751"/>
        </a:xfrm>
        <a:prstGeom prst="rect">
          <a:avLst/>
        </a:prstGeom>
      </xdr:spPr>
    </xdr:pic>
    <xdr:clientData/>
  </xdr:twoCellAnchor>
  <xdr:twoCellAnchor editAs="oneCell">
    <xdr:from>
      <xdr:col>1</xdr:col>
      <xdr:colOff>304800</xdr:colOff>
      <xdr:row>129</xdr:row>
      <xdr:rowOff>38100</xdr:rowOff>
    </xdr:from>
    <xdr:to>
      <xdr:col>5</xdr:col>
      <xdr:colOff>601980</xdr:colOff>
      <xdr:row>142</xdr:row>
      <xdr:rowOff>160020</xdr:rowOff>
    </xdr:to>
    <xdr:pic>
      <xdr:nvPicPr>
        <xdr:cNvPr id="13" name="Image 12">
          <a:extLst>
            <a:ext uri="{FF2B5EF4-FFF2-40B4-BE49-F238E27FC236}">
              <a16:creationId xmlns:a16="http://schemas.microsoft.com/office/drawing/2014/main" id="{00000000-0008-0000-0500-00000D000000}"/>
            </a:ext>
          </a:extLst>
        </xdr:cNvPr>
        <xdr:cNvPicPr>
          <a:picLocks noChangeAspect="1" noChangeArrowheads="1"/>
        </xdr:cNvPicPr>
      </xdr:nvPicPr>
      <xdr:blipFill>
        <a:blip xmlns:r="http://schemas.openxmlformats.org/officeDocument/2006/relationships" r:embed="rId12"/>
        <a:stretch/>
      </xdr:blipFill>
      <xdr:spPr bwMode="auto">
        <a:xfrm>
          <a:off x="1130300" y="26250900"/>
          <a:ext cx="3599180" cy="2763520"/>
        </a:xfrm>
        <a:prstGeom prst="rect">
          <a:avLst/>
        </a:prstGeom>
        <a:noFill/>
      </xdr:spPr>
    </xdr:pic>
    <xdr:clientData/>
  </xdr:twoCellAnchor>
  <xdr:twoCellAnchor editAs="oneCell">
    <xdr:from>
      <xdr:col>1</xdr:col>
      <xdr:colOff>228600</xdr:colOff>
      <xdr:row>130</xdr:row>
      <xdr:rowOff>167640</xdr:rowOff>
    </xdr:from>
    <xdr:to>
      <xdr:col>5</xdr:col>
      <xdr:colOff>495299</xdr:colOff>
      <xdr:row>143</xdr:row>
      <xdr:rowOff>190500</xdr:rowOff>
    </xdr:to>
    <xdr:pic>
      <xdr:nvPicPr>
        <xdr:cNvPr id="14" name="Image 13">
          <a:extLst>
            <a:ext uri="{FF2B5EF4-FFF2-40B4-BE49-F238E27FC236}">
              <a16:creationId xmlns:a16="http://schemas.microsoft.com/office/drawing/2014/main" id="{00000000-0008-0000-0500-00000E000000}"/>
            </a:ext>
          </a:extLst>
        </xdr:cNvPr>
        <xdr:cNvPicPr>
          <a:picLocks noChangeAspect="1" noChangeArrowheads="1"/>
        </xdr:cNvPicPr>
      </xdr:nvPicPr>
      <xdr:blipFill>
        <a:blip xmlns:r="http://schemas.openxmlformats.org/officeDocument/2006/relationships" r:embed="rId13"/>
        <a:stretch/>
      </xdr:blipFill>
      <xdr:spPr bwMode="auto">
        <a:xfrm>
          <a:off x="1054100" y="26583640"/>
          <a:ext cx="3568700" cy="2664459"/>
        </a:xfrm>
        <a:prstGeom prst="rect">
          <a:avLst/>
        </a:prstGeom>
        <a:noFill/>
      </xdr:spPr>
    </xdr:pic>
    <xdr:clientData/>
  </xdr:twoCellAnchor>
  <xdr:twoCellAnchor editAs="oneCell">
    <xdr:from>
      <xdr:col>0</xdr:col>
      <xdr:colOff>541019</xdr:colOff>
      <xdr:row>121</xdr:row>
      <xdr:rowOff>76200</xdr:rowOff>
    </xdr:from>
    <xdr:to>
      <xdr:col>4</xdr:col>
      <xdr:colOff>777240</xdr:colOff>
      <xdr:row>134</xdr:row>
      <xdr:rowOff>38100</xdr:rowOff>
    </xdr:to>
    <xdr:pic>
      <xdr:nvPicPr>
        <xdr:cNvPr id="15" name="Image 9">
          <a:extLst>
            <a:ext uri="{FF2B5EF4-FFF2-40B4-BE49-F238E27FC236}">
              <a16:creationId xmlns:a16="http://schemas.microsoft.com/office/drawing/2014/main" id="{00000000-0008-0000-0500-00000F000000}"/>
            </a:ext>
          </a:extLst>
        </xdr:cNvPr>
        <xdr:cNvPicPr>
          <a:picLocks noChangeAspect="1" noChangeArrowheads="1"/>
        </xdr:cNvPicPr>
      </xdr:nvPicPr>
      <xdr:blipFill>
        <a:blip xmlns:r="http://schemas.openxmlformats.org/officeDocument/2006/relationships" r:embed="rId14"/>
        <a:stretch/>
      </xdr:blipFill>
      <xdr:spPr bwMode="auto">
        <a:xfrm>
          <a:off x="541020" y="24663400"/>
          <a:ext cx="3538220" cy="2603500"/>
        </a:xfrm>
        <a:prstGeom prst="rect">
          <a:avLst/>
        </a:prstGeom>
        <a:noFill/>
      </xdr:spPr>
    </xdr:pic>
    <xdr:clientData/>
  </xdr:twoCellAnchor>
  <xdr:twoCellAnchor editAs="oneCell">
    <xdr:from>
      <xdr:col>0</xdr:col>
      <xdr:colOff>104776</xdr:colOff>
      <xdr:row>147</xdr:row>
      <xdr:rowOff>57150</xdr:rowOff>
    </xdr:from>
    <xdr:to>
      <xdr:col>5</xdr:col>
      <xdr:colOff>554668</xdr:colOff>
      <xdr:row>158</xdr:row>
      <xdr:rowOff>180975</xdr:rowOff>
    </xdr:to>
    <xdr:pic>
      <xdr:nvPicPr>
        <xdr:cNvPr id="16" name="Image 14">
          <a:extLst>
            <a:ext uri="{FF2B5EF4-FFF2-40B4-BE49-F238E27FC236}">
              <a16:creationId xmlns:a16="http://schemas.microsoft.com/office/drawing/2014/main" id="{00000000-0008-0000-0500-000010000000}"/>
            </a:ext>
          </a:extLst>
        </xdr:cNvPr>
        <xdr:cNvPicPr>
          <a:picLocks noChangeAspect="1" noChangeArrowheads="1"/>
        </xdr:cNvPicPr>
      </xdr:nvPicPr>
      <xdr:blipFill>
        <a:blip xmlns:r="http://schemas.openxmlformats.org/officeDocument/2006/relationships" r:embed="rId15"/>
        <a:stretch/>
      </xdr:blipFill>
      <xdr:spPr bwMode="auto">
        <a:xfrm>
          <a:off x="104776" y="29927550"/>
          <a:ext cx="4577392" cy="2359025"/>
        </a:xfrm>
        <a:prstGeom prst="rect">
          <a:avLst/>
        </a:prstGeom>
        <a:noFill/>
      </xdr:spPr>
    </xdr:pic>
    <xdr:clientData/>
  </xdr:twoCellAnchor>
  <xdr:twoCellAnchor editAs="oneCell">
    <xdr:from>
      <xdr:col>0</xdr:col>
      <xdr:colOff>0</xdr:colOff>
      <xdr:row>161</xdr:row>
      <xdr:rowOff>95250</xdr:rowOff>
    </xdr:from>
    <xdr:to>
      <xdr:col>5</xdr:col>
      <xdr:colOff>617005</xdr:colOff>
      <xdr:row>170</xdr:row>
      <xdr:rowOff>9183</xdr:rowOff>
    </xdr:to>
    <xdr:pic>
      <xdr:nvPicPr>
        <xdr:cNvPr id="17" name="Image 15">
          <a:extLst>
            <a:ext uri="{FF2B5EF4-FFF2-40B4-BE49-F238E27FC236}">
              <a16:creationId xmlns:a16="http://schemas.microsoft.com/office/drawing/2014/main" id="{00000000-0008-0000-0500-000011000000}"/>
            </a:ext>
          </a:extLst>
        </xdr:cNvPr>
        <xdr:cNvPicPr>
          <a:picLocks noChangeAspect="1"/>
        </xdr:cNvPicPr>
      </xdr:nvPicPr>
      <xdr:blipFill>
        <a:blip xmlns:r="http://schemas.openxmlformats.org/officeDocument/2006/relationships" r:embed="rId16"/>
        <a:stretch/>
      </xdr:blipFill>
      <xdr:spPr bwMode="auto">
        <a:xfrm>
          <a:off x="0" y="32810450"/>
          <a:ext cx="4744505" cy="1742733"/>
        </a:xfrm>
        <a:prstGeom prst="rect">
          <a:avLst/>
        </a:prstGeom>
      </xdr:spPr>
    </xdr:pic>
    <xdr:clientData/>
  </xdr:twoCellAnchor>
  <xdr:twoCellAnchor editAs="oneCell">
    <xdr:from>
      <xdr:col>1</xdr:col>
      <xdr:colOff>818484</xdr:colOff>
      <xdr:row>194</xdr:row>
      <xdr:rowOff>43894</xdr:rowOff>
    </xdr:from>
    <xdr:to>
      <xdr:col>6</xdr:col>
      <xdr:colOff>402115</xdr:colOff>
      <xdr:row>205</xdr:row>
      <xdr:rowOff>171958</xdr:rowOff>
    </xdr:to>
    <xdr:pic>
      <xdr:nvPicPr>
        <xdr:cNvPr id="18" name="Image 16">
          <a:extLst>
            <a:ext uri="{FF2B5EF4-FFF2-40B4-BE49-F238E27FC236}">
              <a16:creationId xmlns:a16="http://schemas.microsoft.com/office/drawing/2014/main" id="{00000000-0008-0000-0500-000012000000}"/>
            </a:ext>
          </a:extLst>
        </xdr:cNvPr>
        <xdr:cNvPicPr>
          <a:picLocks noChangeAspect="1" noChangeArrowheads="1"/>
        </xdr:cNvPicPr>
      </xdr:nvPicPr>
      <xdr:blipFill>
        <a:blip xmlns:r="http://schemas.openxmlformats.org/officeDocument/2006/relationships" r:embed="rId17"/>
        <a:stretch/>
      </xdr:blipFill>
      <xdr:spPr bwMode="auto">
        <a:xfrm>
          <a:off x="1643984" y="39464694"/>
          <a:ext cx="3711130" cy="2363265"/>
        </a:xfrm>
        <a:prstGeom prst="rect">
          <a:avLst/>
        </a:prstGeom>
        <a:noFill/>
      </xdr:spPr>
    </xdr:pic>
    <xdr:clientData/>
  </xdr:twoCellAnchor>
  <xdr:twoCellAnchor editAs="oneCell">
    <xdr:from>
      <xdr:col>0</xdr:col>
      <xdr:colOff>746014</xdr:colOff>
      <xdr:row>194</xdr:row>
      <xdr:rowOff>147892</xdr:rowOff>
    </xdr:from>
    <xdr:to>
      <xdr:col>4</xdr:col>
      <xdr:colOff>293939</xdr:colOff>
      <xdr:row>207</xdr:row>
      <xdr:rowOff>128430</xdr:rowOff>
    </xdr:to>
    <xdr:pic>
      <xdr:nvPicPr>
        <xdr:cNvPr id="19" name="Image 17">
          <a:extLst>
            <a:ext uri="{FF2B5EF4-FFF2-40B4-BE49-F238E27FC236}">
              <a16:creationId xmlns:a16="http://schemas.microsoft.com/office/drawing/2014/main" id="{00000000-0008-0000-0500-000013000000}"/>
            </a:ext>
          </a:extLst>
        </xdr:cNvPr>
        <xdr:cNvPicPr>
          <a:picLocks noChangeAspect="1"/>
        </xdr:cNvPicPr>
      </xdr:nvPicPr>
      <xdr:blipFill>
        <a:blip xmlns:r="http://schemas.openxmlformats.org/officeDocument/2006/relationships" r:embed="rId18"/>
        <a:stretch/>
      </xdr:blipFill>
      <xdr:spPr bwMode="auto">
        <a:xfrm>
          <a:off x="746014" y="39568692"/>
          <a:ext cx="2849925" cy="2622139"/>
        </a:xfrm>
        <a:prstGeom prst="rect">
          <a:avLst/>
        </a:prstGeom>
      </xdr:spPr>
    </xdr:pic>
    <xdr:clientData/>
  </xdr:twoCellAnchor>
  <xdr:twoCellAnchor editAs="oneCell">
    <xdr:from>
      <xdr:col>4</xdr:col>
      <xdr:colOff>579849</xdr:colOff>
      <xdr:row>197</xdr:row>
      <xdr:rowOff>189211</xdr:rowOff>
    </xdr:from>
    <xdr:to>
      <xdr:col>8</xdr:col>
      <xdr:colOff>668800</xdr:colOff>
      <xdr:row>214</xdr:row>
      <xdr:rowOff>141587</xdr:rowOff>
    </xdr:to>
    <xdr:pic>
      <xdr:nvPicPr>
        <xdr:cNvPr id="20" name="Image 18">
          <a:extLst>
            <a:ext uri="{FF2B5EF4-FFF2-40B4-BE49-F238E27FC236}">
              <a16:creationId xmlns:a16="http://schemas.microsoft.com/office/drawing/2014/main" id="{00000000-0008-0000-0500-000014000000}"/>
            </a:ext>
          </a:extLst>
        </xdr:cNvPr>
        <xdr:cNvPicPr>
          <a:picLocks noChangeAspect="1" noChangeArrowheads="1"/>
        </xdr:cNvPicPr>
      </xdr:nvPicPr>
      <xdr:blipFill>
        <a:blip xmlns:r="http://schemas.openxmlformats.org/officeDocument/2006/relationships" r:embed="rId19"/>
        <a:stretch/>
      </xdr:blipFill>
      <xdr:spPr bwMode="auto">
        <a:xfrm>
          <a:off x="3881849" y="40219612"/>
          <a:ext cx="3390952" cy="3406775"/>
        </a:xfrm>
        <a:prstGeom prst="rect">
          <a:avLst/>
        </a:prstGeom>
        <a:noFill/>
      </xdr:spPr>
    </xdr:pic>
    <xdr:clientData/>
  </xdr:twoCellAnchor>
  <xdr:twoCellAnchor editAs="oneCell">
    <xdr:from>
      <xdr:col>26</xdr:col>
      <xdr:colOff>549874</xdr:colOff>
      <xdr:row>197</xdr:row>
      <xdr:rowOff>95250</xdr:rowOff>
    </xdr:from>
    <xdr:to>
      <xdr:col>30</xdr:col>
      <xdr:colOff>18389</xdr:colOff>
      <xdr:row>214</xdr:row>
      <xdr:rowOff>152400</xdr:rowOff>
    </xdr:to>
    <xdr:pic>
      <xdr:nvPicPr>
        <xdr:cNvPr id="21" name="Image 19">
          <a:extLst>
            <a:ext uri="{FF2B5EF4-FFF2-40B4-BE49-F238E27FC236}">
              <a16:creationId xmlns:a16="http://schemas.microsoft.com/office/drawing/2014/main" id="{00000000-0008-0000-0500-000015000000}"/>
            </a:ext>
          </a:extLst>
        </xdr:cNvPr>
        <xdr:cNvPicPr>
          <a:picLocks noChangeAspect="1" noChangeArrowheads="1"/>
        </xdr:cNvPicPr>
      </xdr:nvPicPr>
      <xdr:blipFill>
        <a:blip xmlns:r="http://schemas.openxmlformats.org/officeDocument/2006/relationships" r:embed="rId20"/>
        <a:stretch/>
      </xdr:blipFill>
      <xdr:spPr bwMode="auto">
        <a:xfrm>
          <a:off x="21962074" y="40125649"/>
          <a:ext cx="3316615" cy="3511550"/>
        </a:xfrm>
        <a:prstGeom prst="rect">
          <a:avLst/>
        </a:prstGeom>
        <a:noFill/>
      </xdr:spPr>
    </xdr:pic>
    <xdr:clientData/>
  </xdr:twoCellAnchor>
  <xdr:twoCellAnchor editAs="oneCell">
    <xdr:from>
      <xdr:col>28</xdr:col>
      <xdr:colOff>593125</xdr:colOff>
      <xdr:row>197</xdr:row>
      <xdr:rowOff>19183</xdr:rowOff>
    </xdr:from>
    <xdr:to>
      <xdr:col>33</xdr:col>
      <xdr:colOff>119076</xdr:colOff>
      <xdr:row>212</xdr:row>
      <xdr:rowOff>128197</xdr:rowOff>
    </xdr:to>
    <xdr:pic>
      <xdr:nvPicPr>
        <xdr:cNvPr id="22" name="Image 20">
          <a:extLst>
            <a:ext uri="{FF2B5EF4-FFF2-40B4-BE49-F238E27FC236}">
              <a16:creationId xmlns:a16="http://schemas.microsoft.com/office/drawing/2014/main" id="{00000000-0008-0000-0500-000016000000}"/>
            </a:ext>
          </a:extLst>
        </xdr:cNvPr>
        <xdr:cNvPicPr>
          <a:picLocks noChangeAspect="1" noChangeArrowheads="1"/>
        </xdr:cNvPicPr>
      </xdr:nvPicPr>
      <xdr:blipFill>
        <a:blip xmlns:r="http://schemas.openxmlformats.org/officeDocument/2006/relationships" r:embed="rId21"/>
        <a:stretch/>
      </xdr:blipFill>
      <xdr:spPr bwMode="auto">
        <a:xfrm>
          <a:off x="23656325" y="40049583"/>
          <a:ext cx="4199551" cy="3157015"/>
        </a:xfrm>
        <a:prstGeom prst="rect">
          <a:avLst/>
        </a:prstGeom>
        <a:noFill/>
      </xdr:spPr>
    </xdr:pic>
    <xdr:clientData/>
  </xdr:twoCellAnchor>
  <xdr:twoCellAnchor editAs="oneCell">
    <xdr:from>
      <xdr:col>1</xdr:col>
      <xdr:colOff>0</xdr:colOff>
      <xdr:row>220</xdr:row>
      <xdr:rowOff>0</xdr:rowOff>
    </xdr:from>
    <xdr:to>
      <xdr:col>7</xdr:col>
      <xdr:colOff>520608</xdr:colOff>
      <xdr:row>243</xdr:row>
      <xdr:rowOff>160020</xdr:rowOff>
    </xdr:to>
    <xdr:pic>
      <xdr:nvPicPr>
        <xdr:cNvPr id="23" name="Image 21">
          <a:extLst>
            <a:ext uri="{FF2B5EF4-FFF2-40B4-BE49-F238E27FC236}">
              <a16:creationId xmlns:a16="http://schemas.microsoft.com/office/drawing/2014/main" id="{00000000-0008-0000-0500-000017000000}"/>
            </a:ext>
          </a:extLst>
        </xdr:cNvPr>
        <xdr:cNvPicPr>
          <a:picLocks noChangeAspect="1" noChangeArrowheads="1"/>
        </xdr:cNvPicPr>
      </xdr:nvPicPr>
      <xdr:blipFill>
        <a:blip xmlns:r="http://schemas.openxmlformats.org/officeDocument/2006/relationships" r:embed="rId22"/>
        <a:stretch/>
      </xdr:blipFill>
      <xdr:spPr bwMode="auto">
        <a:xfrm>
          <a:off x="825500" y="44704000"/>
          <a:ext cx="5473609" cy="4833620"/>
        </a:xfrm>
        <a:prstGeom prst="rect">
          <a:avLst/>
        </a:prstGeom>
        <a:noFill/>
      </xdr:spPr>
    </xdr:pic>
    <xdr:clientData/>
  </xdr:twoCellAnchor>
  <xdr:twoCellAnchor editAs="oneCell">
    <xdr:from>
      <xdr:col>1</xdr:col>
      <xdr:colOff>304800</xdr:colOff>
      <xdr:row>221</xdr:row>
      <xdr:rowOff>99060</xdr:rowOff>
    </xdr:from>
    <xdr:to>
      <xdr:col>7</xdr:col>
      <xdr:colOff>687626</xdr:colOff>
      <xdr:row>242</xdr:row>
      <xdr:rowOff>137160</xdr:rowOff>
    </xdr:to>
    <xdr:pic>
      <xdr:nvPicPr>
        <xdr:cNvPr id="24" name="Image 22">
          <a:extLst>
            <a:ext uri="{FF2B5EF4-FFF2-40B4-BE49-F238E27FC236}">
              <a16:creationId xmlns:a16="http://schemas.microsoft.com/office/drawing/2014/main" id="{00000000-0008-0000-0500-000018000000}"/>
            </a:ext>
          </a:extLst>
        </xdr:cNvPr>
        <xdr:cNvPicPr>
          <a:picLocks noChangeAspect="1" noChangeArrowheads="1"/>
        </xdr:cNvPicPr>
      </xdr:nvPicPr>
      <xdr:blipFill>
        <a:blip xmlns:r="http://schemas.openxmlformats.org/officeDocument/2006/relationships" r:embed="rId23"/>
        <a:stretch/>
      </xdr:blipFill>
      <xdr:spPr bwMode="auto">
        <a:xfrm>
          <a:off x="1130300" y="45006260"/>
          <a:ext cx="5335826" cy="4305300"/>
        </a:xfrm>
        <a:prstGeom prst="rect">
          <a:avLst/>
        </a:prstGeom>
        <a:noFill/>
      </xdr:spPr>
    </xdr:pic>
    <xdr:clientData/>
  </xdr:twoCellAnchor>
  <xdr:twoCellAnchor editAs="oneCell">
    <xdr:from>
      <xdr:col>1</xdr:col>
      <xdr:colOff>518159</xdr:colOff>
      <xdr:row>222</xdr:row>
      <xdr:rowOff>149062</xdr:rowOff>
    </xdr:from>
    <xdr:to>
      <xdr:col>7</xdr:col>
      <xdr:colOff>571500</xdr:colOff>
      <xdr:row>243</xdr:row>
      <xdr:rowOff>99058</xdr:rowOff>
    </xdr:to>
    <xdr:pic>
      <xdr:nvPicPr>
        <xdr:cNvPr id="25" name="Image 23">
          <a:extLst>
            <a:ext uri="{FF2B5EF4-FFF2-40B4-BE49-F238E27FC236}">
              <a16:creationId xmlns:a16="http://schemas.microsoft.com/office/drawing/2014/main" id="{00000000-0008-0000-0500-000019000000}"/>
            </a:ext>
          </a:extLst>
        </xdr:cNvPr>
        <xdr:cNvPicPr>
          <a:picLocks noChangeAspect="1" noChangeArrowheads="1"/>
        </xdr:cNvPicPr>
      </xdr:nvPicPr>
      <xdr:blipFill>
        <a:blip xmlns:r="http://schemas.openxmlformats.org/officeDocument/2006/relationships" r:embed="rId24"/>
        <a:stretch/>
      </xdr:blipFill>
      <xdr:spPr bwMode="auto">
        <a:xfrm>
          <a:off x="1343660" y="45259462"/>
          <a:ext cx="5006340" cy="4217197"/>
        </a:xfrm>
        <a:prstGeom prst="rect">
          <a:avLst/>
        </a:prstGeom>
        <a:noFill/>
      </xdr:spPr>
    </xdr:pic>
    <xdr:clientData/>
  </xdr:twoCellAnchor>
  <xdr:twoCellAnchor editAs="oneCell">
    <xdr:from>
      <xdr:col>1</xdr:col>
      <xdr:colOff>708660</xdr:colOff>
      <xdr:row>224</xdr:row>
      <xdr:rowOff>45720</xdr:rowOff>
    </xdr:from>
    <xdr:to>
      <xdr:col>7</xdr:col>
      <xdr:colOff>535298</xdr:colOff>
      <xdr:row>243</xdr:row>
      <xdr:rowOff>167640</xdr:rowOff>
    </xdr:to>
    <xdr:pic>
      <xdr:nvPicPr>
        <xdr:cNvPr id="26" name="Image 24">
          <a:extLst>
            <a:ext uri="{FF2B5EF4-FFF2-40B4-BE49-F238E27FC236}">
              <a16:creationId xmlns:a16="http://schemas.microsoft.com/office/drawing/2014/main" id="{00000000-0008-0000-0500-00001A000000}"/>
            </a:ext>
          </a:extLst>
        </xdr:cNvPr>
        <xdr:cNvPicPr>
          <a:picLocks noChangeAspect="1" noChangeArrowheads="1"/>
        </xdr:cNvPicPr>
      </xdr:nvPicPr>
      <xdr:blipFill>
        <a:blip xmlns:r="http://schemas.openxmlformats.org/officeDocument/2006/relationships" r:embed="rId25"/>
        <a:stretch/>
      </xdr:blipFill>
      <xdr:spPr bwMode="auto">
        <a:xfrm>
          <a:off x="1534159" y="45562520"/>
          <a:ext cx="4779638" cy="3982720"/>
        </a:xfrm>
        <a:prstGeom prst="rect">
          <a:avLst/>
        </a:prstGeom>
        <a:noFill/>
      </xdr:spPr>
    </xdr:pic>
    <xdr:clientData/>
  </xdr:twoCellAnchor>
  <xdr:twoCellAnchor editAs="oneCell">
    <xdr:from>
      <xdr:col>1</xdr:col>
      <xdr:colOff>259976</xdr:colOff>
      <xdr:row>246</xdr:row>
      <xdr:rowOff>116542</xdr:rowOff>
    </xdr:from>
    <xdr:to>
      <xdr:col>6</xdr:col>
      <xdr:colOff>526676</xdr:colOff>
      <xdr:row>267</xdr:row>
      <xdr:rowOff>185122</xdr:rowOff>
    </xdr:to>
    <xdr:pic>
      <xdr:nvPicPr>
        <xdr:cNvPr id="27" name="Image 25">
          <a:extLst>
            <a:ext uri="{FF2B5EF4-FFF2-40B4-BE49-F238E27FC236}">
              <a16:creationId xmlns:a16="http://schemas.microsoft.com/office/drawing/2014/main" id="{00000000-0008-0000-0500-00001B000000}"/>
            </a:ext>
          </a:extLst>
        </xdr:cNvPr>
        <xdr:cNvPicPr>
          <a:picLocks noChangeAspect="1" noChangeArrowheads="1"/>
        </xdr:cNvPicPr>
      </xdr:nvPicPr>
      <xdr:blipFill>
        <a:blip xmlns:r="http://schemas.openxmlformats.org/officeDocument/2006/relationships" r:embed="rId26"/>
        <a:stretch/>
      </xdr:blipFill>
      <xdr:spPr bwMode="auto">
        <a:xfrm>
          <a:off x="1085476" y="50103742"/>
          <a:ext cx="4394200" cy="4335780"/>
        </a:xfrm>
        <a:prstGeom prst="rect">
          <a:avLst/>
        </a:prstGeom>
        <a:noFill/>
      </xdr:spPr>
    </xdr:pic>
    <xdr:clientData/>
  </xdr:twoCellAnchor>
  <xdr:twoCellAnchor editAs="oneCell">
    <xdr:from>
      <xdr:col>2</xdr:col>
      <xdr:colOff>358588</xdr:colOff>
      <xdr:row>248</xdr:row>
      <xdr:rowOff>179294</xdr:rowOff>
    </xdr:from>
    <xdr:to>
      <xdr:col>7</xdr:col>
      <xdr:colOff>655768</xdr:colOff>
      <xdr:row>272</xdr:row>
      <xdr:rowOff>81131</xdr:rowOff>
    </xdr:to>
    <xdr:pic>
      <xdr:nvPicPr>
        <xdr:cNvPr id="28" name="Image 26">
          <a:extLst>
            <a:ext uri="{FF2B5EF4-FFF2-40B4-BE49-F238E27FC236}">
              <a16:creationId xmlns:a16="http://schemas.microsoft.com/office/drawing/2014/main" id="{00000000-0008-0000-0500-00001C000000}"/>
            </a:ext>
          </a:extLst>
        </xdr:cNvPr>
        <xdr:cNvPicPr>
          <a:picLocks noChangeAspect="1" noChangeArrowheads="1"/>
        </xdr:cNvPicPr>
      </xdr:nvPicPr>
      <xdr:blipFill>
        <a:blip xmlns:r="http://schemas.openxmlformats.org/officeDocument/2006/relationships" r:embed="rId27"/>
        <a:stretch/>
      </xdr:blipFill>
      <xdr:spPr bwMode="auto">
        <a:xfrm>
          <a:off x="2009587" y="50572894"/>
          <a:ext cx="4424680" cy="4778637"/>
        </a:xfrm>
        <a:prstGeom prst="rect">
          <a:avLst/>
        </a:prstGeom>
        <a:noFill/>
      </xdr:spPr>
    </xdr:pic>
    <xdr:clientData/>
  </xdr:twoCellAnchor>
  <xdr:twoCellAnchor editAs="oneCell">
    <xdr:from>
      <xdr:col>1</xdr:col>
      <xdr:colOff>185057</xdr:colOff>
      <xdr:row>274</xdr:row>
      <xdr:rowOff>160083</xdr:rowOff>
    </xdr:from>
    <xdr:to>
      <xdr:col>6</xdr:col>
      <xdr:colOff>451757</xdr:colOff>
      <xdr:row>287</xdr:row>
      <xdr:rowOff>138119</xdr:rowOff>
    </xdr:to>
    <xdr:pic>
      <xdr:nvPicPr>
        <xdr:cNvPr id="29" name="Image 27">
          <a:extLst>
            <a:ext uri="{FF2B5EF4-FFF2-40B4-BE49-F238E27FC236}">
              <a16:creationId xmlns:a16="http://schemas.microsoft.com/office/drawing/2014/main" id="{00000000-0008-0000-0500-00001D000000}"/>
            </a:ext>
          </a:extLst>
        </xdr:cNvPr>
        <xdr:cNvPicPr>
          <a:picLocks noChangeAspect="1" noChangeArrowheads="1"/>
        </xdr:cNvPicPr>
      </xdr:nvPicPr>
      <xdr:blipFill>
        <a:blip xmlns:r="http://schemas.openxmlformats.org/officeDocument/2006/relationships" r:embed="rId28"/>
        <a:stretch/>
      </xdr:blipFill>
      <xdr:spPr bwMode="auto">
        <a:xfrm>
          <a:off x="1010557" y="55836883"/>
          <a:ext cx="4394200" cy="2619636"/>
        </a:xfrm>
        <a:prstGeom prst="rect">
          <a:avLst/>
        </a:prstGeom>
        <a:noFill/>
      </xdr:spPr>
    </xdr:pic>
    <xdr:clientData/>
  </xdr:twoCellAnchor>
  <xdr:twoCellAnchor editAs="oneCell">
    <xdr:from>
      <xdr:col>1</xdr:col>
      <xdr:colOff>403412</xdr:colOff>
      <xdr:row>276</xdr:row>
      <xdr:rowOff>44825</xdr:rowOff>
    </xdr:from>
    <xdr:to>
      <xdr:col>6</xdr:col>
      <xdr:colOff>670113</xdr:colOff>
      <xdr:row>288</xdr:row>
      <xdr:rowOff>105783</xdr:rowOff>
    </xdr:to>
    <xdr:pic>
      <xdr:nvPicPr>
        <xdr:cNvPr id="30" name="Image 28">
          <a:extLst>
            <a:ext uri="{FF2B5EF4-FFF2-40B4-BE49-F238E27FC236}">
              <a16:creationId xmlns:a16="http://schemas.microsoft.com/office/drawing/2014/main" id="{00000000-0008-0000-0500-00001E000000}"/>
            </a:ext>
          </a:extLst>
        </xdr:cNvPr>
        <xdr:cNvPicPr>
          <a:picLocks noChangeAspect="1" noChangeArrowheads="1"/>
        </xdr:cNvPicPr>
      </xdr:nvPicPr>
      <xdr:blipFill>
        <a:blip xmlns:r="http://schemas.openxmlformats.org/officeDocument/2006/relationships" r:embed="rId29"/>
        <a:stretch/>
      </xdr:blipFill>
      <xdr:spPr bwMode="auto">
        <a:xfrm>
          <a:off x="1228912" y="56128025"/>
          <a:ext cx="4394201" cy="2499360"/>
        </a:xfrm>
        <a:prstGeom prst="rect">
          <a:avLst/>
        </a:prstGeom>
        <a:noFill/>
      </xdr:spPr>
    </xdr:pic>
    <xdr:clientData/>
  </xdr:twoCellAnchor>
  <xdr:twoCellAnchor editAs="oneCell">
    <xdr:from>
      <xdr:col>1</xdr:col>
      <xdr:colOff>744070</xdr:colOff>
      <xdr:row>277</xdr:row>
      <xdr:rowOff>62752</xdr:rowOff>
    </xdr:from>
    <xdr:to>
      <xdr:col>6</xdr:col>
      <xdr:colOff>797411</xdr:colOff>
      <xdr:row>289</xdr:row>
      <xdr:rowOff>56029</xdr:rowOff>
    </xdr:to>
    <xdr:pic>
      <xdr:nvPicPr>
        <xdr:cNvPr id="31" name="Image 29">
          <a:extLst>
            <a:ext uri="{FF2B5EF4-FFF2-40B4-BE49-F238E27FC236}">
              <a16:creationId xmlns:a16="http://schemas.microsoft.com/office/drawing/2014/main" id="{00000000-0008-0000-0500-00001F000000}"/>
            </a:ext>
          </a:extLst>
        </xdr:cNvPr>
        <xdr:cNvPicPr>
          <a:picLocks noChangeAspect="1" noChangeArrowheads="1"/>
        </xdr:cNvPicPr>
      </xdr:nvPicPr>
      <xdr:blipFill>
        <a:blip xmlns:r="http://schemas.openxmlformats.org/officeDocument/2006/relationships" r:embed="rId30"/>
        <a:stretch/>
      </xdr:blipFill>
      <xdr:spPr bwMode="auto">
        <a:xfrm>
          <a:off x="1569570" y="56349153"/>
          <a:ext cx="4180841" cy="2431676"/>
        </a:xfrm>
        <a:prstGeom prst="rect">
          <a:avLst/>
        </a:prstGeom>
        <a:noFill/>
      </xdr:spPr>
    </xdr:pic>
    <xdr:clientData/>
  </xdr:twoCellAnchor>
  <xdr:twoCellAnchor editAs="oneCell">
    <xdr:from>
      <xdr:col>2</xdr:col>
      <xdr:colOff>130627</xdr:colOff>
      <xdr:row>278</xdr:row>
      <xdr:rowOff>130627</xdr:rowOff>
    </xdr:from>
    <xdr:to>
      <xdr:col>7</xdr:col>
      <xdr:colOff>214448</xdr:colOff>
      <xdr:row>290</xdr:row>
      <xdr:rowOff>102322</xdr:rowOff>
    </xdr:to>
    <xdr:pic>
      <xdr:nvPicPr>
        <xdr:cNvPr id="32" name="Image 30">
          <a:extLst>
            <a:ext uri="{FF2B5EF4-FFF2-40B4-BE49-F238E27FC236}">
              <a16:creationId xmlns:a16="http://schemas.microsoft.com/office/drawing/2014/main" id="{00000000-0008-0000-0500-000020000000}"/>
            </a:ext>
          </a:extLst>
        </xdr:cNvPr>
        <xdr:cNvPicPr>
          <a:picLocks noChangeAspect="1" noChangeArrowheads="1"/>
        </xdr:cNvPicPr>
      </xdr:nvPicPr>
      <xdr:blipFill>
        <a:blip xmlns:r="http://schemas.openxmlformats.org/officeDocument/2006/relationships" r:embed="rId31"/>
        <a:stretch/>
      </xdr:blipFill>
      <xdr:spPr bwMode="auto">
        <a:xfrm>
          <a:off x="1781628" y="56620228"/>
          <a:ext cx="4211320" cy="2410096"/>
        </a:xfrm>
        <a:prstGeom prst="rect">
          <a:avLst/>
        </a:prstGeom>
        <a:noFill/>
      </xdr:spPr>
    </xdr:pic>
    <xdr:clientData/>
  </xdr:twoCellAnchor>
  <xdr:twoCellAnchor editAs="oneCell">
    <xdr:from>
      <xdr:col>2</xdr:col>
      <xdr:colOff>348341</xdr:colOff>
      <xdr:row>280</xdr:row>
      <xdr:rowOff>0</xdr:rowOff>
    </xdr:from>
    <xdr:to>
      <xdr:col>7</xdr:col>
      <xdr:colOff>432162</xdr:colOff>
      <xdr:row>292</xdr:row>
      <xdr:rowOff>53340</xdr:rowOff>
    </xdr:to>
    <xdr:pic>
      <xdr:nvPicPr>
        <xdr:cNvPr id="33" name="Image 31">
          <a:extLst>
            <a:ext uri="{FF2B5EF4-FFF2-40B4-BE49-F238E27FC236}">
              <a16:creationId xmlns:a16="http://schemas.microsoft.com/office/drawing/2014/main" id="{00000000-0008-0000-0500-000021000000}"/>
            </a:ext>
          </a:extLst>
        </xdr:cNvPr>
        <xdr:cNvPicPr>
          <a:picLocks noChangeAspect="1" noChangeArrowheads="1"/>
        </xdr:cNvPicPr>
      </xdr:nvPicPr>
      <xdr:blipFill>
        <a:blip xmlns:r="http://schemas.openxmlformats.org/officeDocument/2006/relationships" r:embed="rId32"/>
        <a:stretch/>
      </xdr:blipFill>
      <xdr:spPr bwMode="auto">
        <a:xfrm>
          <a:off x="1999342" y="56896000"/>
          <a:ext cx="4211320" cy="2491740"/>
        </a:xfrm>
        <a:prstGeom prst="rect">
          <a:avLst/>
        </a:prstGeom>
        <a:noFill/>
      </xdr:spPr>
    </xdr:pic>
    <xdr:clientData/>
  </xdr:twoCellAnchor>
  <xdr:twoCellAnchor editAs="oneCell">
    <xdr:from>
      <xdr:col>0</xdr:col>
      <xdr:colOff>337457</xdr:colOff>
      <xdr:row>359</xdr:row>
      <xdr:rowOff>174172</xdr:rowOff>
    </xdr:from>
    <xdr:to>
      <xdr:col>8</xdr:col>
      <xdr:colOff>695596</xdr:colOff>
      <xdr:row>382</xdr:row>
      <xdr:rowOff>69670</xdr:rowOff>
    </xdr:to>
    <xdr:pic>
      <xdr:nvPicPr>
        <xdr:cNvPr id="34" name="Image 32">
          <a:extLst>
            <a:ext uri="{FF2B5EF4-FFF2-40B4-BE49-F238E27FC236}">
              <a16:creationId xmlns:a16="http://schemas.microsoft.com/office/drawing/2014/main" id="{00000000-0008-0000-0500-000022000000}"/>
            </a:ext>
          </a:extLst>
        </xdr:cNvPr>
        <xdr:cNvPicPr>
          <a:picLocks noChangeAspect="1" noChangeArrowheads="1"/>
        </xdr:cNvPicPr>
      </xdr:nvPicPr>
      <xdr:blipFill>
        <a:blip xmlns:r="http://schemas.openxmlformats.org/officeDocument/2006/relationships" r:embed="rId33"/>
        <a:stretch/>
      </xdr:blipFill>
      <xdr:spPr bwMode="auto">
        <a:xfrm>
          <a:off x="337457" y="73122972"/>
          <a:ext cx="6962140" cy="4569098"/>
        </a:xfrm>
        <a:prstGeom prst="rect">
          <a:avLst/>
        </a:prstGeom>
        <a:noFill/>
      </xdr:spPr>
    </xdr:pic>
    <xdr:clientData/>
  </xdr:twoCellAnchor>
  <xdr:twoCellAnchor editAs="oneCell">
    <xdr:from>
      <xdr:col>0</xdr:col>
      <xdr:colOff>729342</xdr:colOff>
      <xdr:row>360</xdr:row>
      <xdr:rowOff>10886</xdr:rowOff>
    </xdr:from>
    <xdr:to>
      <xdr:col>9</xdr:col>
      <xdr:colOff>177438</xdr:colOff>
      <xdr:row>382</xdr:row>
      <xdr:rowOff>186146</xdr:rowOff>
    </xdr:to>
    <xdr:pic>
      <xdr:nvPicPr>
        <xdr:cNvPr id="35" name="Image 33">
          <a:extLst>
            <a:ext uri="{FF2B5EF4-FFF2-40B4-BE49-F238E27FC236}">
              <a16:creationId xmlns:a16="http://schemas.microsoft.com/office/drawing/2014/main" id="{00000000-0008-0000-0500-000023000000}"/>
            </a:ext>
          </a:extLst>
        </xdr:cNvPr>
        <xdr:cNvPicPr>
          <a:picLocks noChangeAspect="1" noChangeArrowheads="1"/>
        </xdr:cNvPicPr>
      </xdr:nvPicPr>
      <xdr:blipFill>
        <a:blip xmlns:r="http://schemas.openxmlformats.org/officeDocument/2006/relationships" r:embed="rId34"/>
        <a:stretch/>
      </xdr:blipFill>
      <xdr:spPr bwMode="auto">
        <a:xfrm>
          <a:off x="729343" y="73162886"/>
          <a:ext cx="6877595" cy="4645660"/>
        </a:xfrm>
        <a:prstGeom prst="rect">
          <a:avLst/>
        </a:prstGeom>
        <a:noFill/>
      </xdr:spPr>
    </xdr:pic>
    <xdr:clientData/>
  </xdr:twoCellAnchor>
  <xdr:twoCellAnchor editAs="oneCell">
    <xdr:from>
      <xdr:col>1</xdr:col>
      <xdr:colOff>141514</xdr:colOff>
      <xdr:row>360</xdr:row>
      <xdr:rowOff>0</xdr:rowOff>
    </xdr:from>
    <xdr:to>
      <xdr:col>10</xdr:col>
      <xdr:colOff>103414</xdr:colOff>
      <xdr:row>383</xdr:row>
      <xdr:rowOff>175260</xdr:rowOff>
    </xdr:to>
    <xdr:pic>
      <xdr:nvPicPr>
        <xdr:cNvPr id="36" name="Image 34">
          <a:extLst>
            <a:ext uri="{FF2B5EF4-FFF2-40B4-BE49-F238E27FC236}">
              <a16:creationId xmlns:a16="http://schemas.microsoft.com/office/drawing/2014/main" id="{00000000-0008-0000-0500-000024000000}"/>
            </a:ext>
          </a:extLst>
        </xdr:cNvPr>
        <xdr:cNvPicPr>
          <a:picLocks noChangeAspect="1" noChangeArrowheads="1"/>
        </xdr:cNvPicPr>
      </xdr:nvPicPr>
      <xdr:blipFill>
        <a:blip xmlns:r="http://schemas.openxmlformats.org/officeDocument/2006/relationships" r:embed="rId35"/>
        <a:stretch/>
      </xdr:blipFill>
      <xdr:spPr bwMode="auto">
        <a:xfrm>
          <a:off x="967014" y="73152000"/>
          <a:ext cx="7391400" cy="4848860"/>
        </a:xfrm>
        <a:prstGeom prst="rect">
          <a:avLst/>
        </a:prstGeom>
        <a:noFill/>
      </xdr:spPr>
    </xdr:pic>
    <xdr:clientData/>
  </xdr:twoCellAnchor>
  <xdr:twoCellAnchor editAs="oneCell">
    <xdr:from>
      <xdr:col>0</xdr:col>
      <xdr:colOff>500742</xdr:colOff>
      <xdr:row>379</xdr:row>
      <xdr:rowOff>97971</xdr:rowOff>
    </xdr:from>
    <xdr:to>
      <xdr:col>7</xdr:col>
      <xdr:colOff>661905</xdr:colOff>
      <xdr:row>392</xdr:row>
      <xdr:rowOff>84047</xdr:rowOff>
    </xdr:to>
    <xdr:pic>
      <xdr:nvPicPr>
        <xdr:cNvPr id="37" name="Image 35">
          <a:extLst>
            <a:ext uri="{FF2B5EF4-FFF2-40B4-BE49-F238E27FC236}">
              <a16:creationId xmlns:a16="http://schemas.microsoft.com/office/drawing/2014/main" id="{00000000-0008-0000-0500-000025000000}"/>
            </a:ext>
          </a:extLst>
        </xdr:cNvPr>
        <xdr:cNvPicPr>
          <a:picLocks noChangeAspect="1"/>
        </xdr:cNvPicPr>
      </xdr:nvPicPr>
      <xdr:blipFill>
        <a:blip xmlns:r="http://schemas.openxmlformats.org/officeDocument/2006/relationships" r:embed="rId36"/>
        <a:stretch/>
      </xdr:blipFill>
      <xdr:spPr bwMode="auto">
        <a:xfrm>
          <a:off x="500743" y="77110771"/>
          <a:ext cx="5939662" cy="2627676"/>
        </a:xfrm>
        <a:prstGeom prst="rect">
          <a:avLst/>
        </a:prstGeom>
      </xdr:spPr>
    </xdr:pic>
    <xdr:clientData/>
  </xdr:twoCellAnchor>
  <xdr:twoCellAnchor editAs="oneCell">
    <xdr:from>
      <xdr:col>0</xdr:col>
      <xdr:colOff>0</xdr:colOff>
      <xdr:row>417</xdr:row>
      <xdr:rowOff>81642</xdr:rowOff>
    </xdr:from>
    <xdr:to>
      <xdr:col>9</xdr:col>
      <xdr:colOff>17689</xdr:colOff>
      <xdr:row>439</xdr:row>
      <xdr:rowOff>10884</xdr:rowOff>
    </xdr:to>
    <xdr:pic>
      <xdr:nvPicPr>
        <xdr:cNvPr id="38" name="Image 37">
          <a:extLst>
            <a:ext uri="{FF2B5EF4-FFF2-40B4-BE49-F238E27FC236}">
              <a16:creationId xmlns:a16="http://schemas.microsoft.com/office/drawing/2014/main" id="{00000000-0008-0000-0500-000026000000}"/>
            </a:ext>
          </a:extLst>
        </xdr:cNvPr>
        <xdr:cNvPicPr>
          <a:picLocks noChangeAspect="1" noChangeArrowheads="1"/>
        </xdr:cNvPicPr>
      </xdr:nvPicPr>
      <xdr:blipFill>
        <a:blip xmlns:r="http://schemas.openxmlformats.org/officeDocument/2006/relationships" r:embed="rId37"/>
        <a:stretch/>
      </xdr:blipFill>
      <xdr:spPr bwMode="auto">
        <a:xfrm>
          <a:off x="0" y="84816041"/>
          <a:ext cx="7447189" cy="4399643"/>
        </a:xfrm>
        <a:prstGeom prst="rect">
          <a:avLst/>
        </a:prstGeom>
        <a:noFill/>
      </xdr:spPr>
    </xdr:pic>
    <xdr:clientData/>
  </xdr:twoCellAnchor>
  <xdr:twoCellAnchor editAs="oneCell">
    <xdr:from>
      <xdr:col>0</xdr:col>
      <xdr:colOff>0</xdr:colOff>
      <xdr:row>423</xdr:row>
      <xdr:rowOff>95250</xdr:rowOff>
    </xdr:from>
    <xdr:to>
      <xdr:col>8</xdr:col>
      <xdr:colOff>741590</xdr:colOff>
      <xdr:row>444</xdr:row>
      <xdr:rowOff>114300</xdr:rowOff>
    </xdr:to>
    <xdr:pic>
      <xdr:nvPicPr>
        <xdr:cNvPr id="39" name="Image 38">
          <a:extLst>
            <a:ext uri="{FF2B5EF4-FFF2-40B4-BE49-F238E27FC236}">
              <a16:creationId xmlns:a16="http://schemas.microsoft.com/office/drawing/2014/main" id="{00000000-0008-0000-0500-000027000000}"/>
            </a:ext>
          </a:extLst>
        </xdr:cNvPr>
        <xdr:cNvPicPr>
          <a:picLocks noChangeAspect="1" noChangeArrowheads="1"/>
        </xdr:cNvPicPr>
      </xdr:nvPicPr>
      <xdr:blipFill>
        <a:blip xmlns:r="http://schemas.openxmlformats.org/officeDocument/2006/relationships" r:embed="rId38"/>
        <a:stretch/>
      </xdr:blipFill>
      <xdr:spPr bwMode="auto">
        <a:xfrm>
          <a:off x="0" y="86048850"/>
          <a:ext cx="7345590" cy="4286250"/>
        </a:xfrm>
        <a:prstGeom prst="rect">
          <a:avLst/>
        </a:prstGeom>
        <a:noFill/>
      </xdr:spPr>
    </xdr:pic>
    <xdr:clientData/>
  </xdr:twoCellAnchor>
  <xdr:twoCellAnchor editAs="oneCell">
    <xdr:from>
      <xdr:col>0</xdr:col>
      <xdr:colOff>1</xdr:colOff>
      <xdr:row>428</xdr:row>
      <xdr:rowOff>176895</xdr:rowOff>
    </xdr:from>
    <xdr:to>
      <xdr:col>8</xdr:col>
      <xdr:colOff>469576</xdr:colOff>
      <xdr:row>448</xdr:row>
      <xdr:rowOff>176894</xdr:rowOff>
    </xdr:to>
    <xdr:pic>
      <xdr:nvPicPr>
        <xdr:cNvPr id="40" name="Image 39">
          <a:extLst>
            <a:ext uri="{FF2B5EF4-FFF2-40B4-BE49-F238E27FC236}">
              <a16:creationId xmlns:a16="http://schemas.microsoft.com/office/drawing/2014/main" id="{00000000-0008-0000-0500-000028000000}"/>
            </a:ext>
          </a:extLst>
        </xdr:cNvPr>
        <xdr:cNvPicPr>
          <a:picLocks noChangeAspect="1" noChangeArrowheads="1"/>
        </xdr:cNvPicPr>
      </xdr:nvPicPr>
      <xdr:blipFill>
        <a:blip xmlns:r="http://schemas.openxmlformats.org/officeDocument/2006/relationships" r:embed="rId39"/>
        <a:stretch/>
      </xdr:blipFill>
      <xdr:spPr bwMode="auto">
        <a:xfrm>
          <a:off x="1" y="87146495"/>
          <a:ext cx="7073575" cy="4063999"/>
        </a:xfrm>
        <a:prstGeom prst="rect">
          <a:avLst/>
        </a:prstGeom>
        <a:noFill/>
      </xdr:spPr>
    </xdr:pic>
    <xdr:clientData/>
  </xdr:twoCellAnchor>
  <xdr:twoCellAnchor editAs="oneCell">
    <xdr:from>
      <xdr:col>0</xdr:col>
      <xdr:colOff>0</xdr:colOff>
      <xdr:row>433</xdr:row>
      <xdr:rowOff>40823</xdr:rowOff>
    </xdr:from>
    <xdr:to>
      <xdr:col>8</xdr:col>
      <xdr:colOff>1346</xdr:colOff>
      <xdr:row>451</xdr:row>
      <xdr:rowOff>108858</xdr:rowOff>
    </xdr:to>
    <xdr:pic>
      <xdr:nvPicPr>
        <xdr:cNvPr id="41" name="Image 40">
          <a:extLst>
            <a:ext uri="{FF2B5EF4-FFF2-40B4-BE49-F238E27FC236}">
              <a16:creationId xmlns:a16="http://schemas.microsoft.com/office/drawing/2014/main" id="{00000000-0008-0000-0500-000029000000}"/>
            </a:ext>
          </a:extLst>
        </xdr:cNvPr>
        <xdr:cNvPicPr>
          <a:picLocks noChangeAspect="1" noChangeArrowheads="1"/>
        </xdr:cNvPicPr>
      </xdr:nvPicPr>
      <xdr:blipFill>
        <a:blip xmlns:r="http://schemas.openxmlformats.org/officeDocument/2006/relationships" r:embed="rId40"/>
        <a:stretch/>
      </xdr:blipFill>
      <xdr:spPr bwMode="auto">
        <a:xfrm>
          <a:off x="0" y="88026423"/>
          <a:ext cx="6605346" cy="3725636"/>
        </a:xfrm>
        <a:prstGeom prst="rect">
          <a:avLst/>
        </a:prstGeom>
        <a:noFill/>
      </xdr:spPr>
    </xdr:pic>
    <xdr:clientData/>
  </xdr:twoCellAnchor>
  <xdr:twoCellAnchor editAs="oneCell">
    <xdr:from>
      <xdr:col>0</xdr:col>
      <xdr:colOff>87086</xdr:colOff>
      <xdr:row>453</xdr:row>
      <xdr:rowOff>76200</xdr:rowOff>
    </xdr:from>
    <xdr:to>
      <xdr:col>7</xdr:col>
      <xdr:colOff>53340</xdr:colOff>
      <xdr:row>471</xdr:row>
      <xdr:rowOff>190500</xdr:rowOff>
    </xdr:to>
    <xdr:pic>
      <xdr:nvPicPr>
        <xdr:cNvPr id="42" name="Image 41">
          <a:extLst>
            <a:ext uri="{FF2B5EF4-FFF2-40B4-BE49-F238E27FC236}">
              <a16:creationId xmlns:a16="http://schemas.microsoft.com/office/drawing/2014/main" id="{00000000-0008-0000-0500-00002A000000}"/>
            </a:ext>
          </a:extLst>
        </xdr:cNvPr>
        <xdr:cNvPicPr>
          <a:picLocks noChangeAspect="1" noChangeArrowheads="1"/>
        </xdr:cNvPicPr>
      </xdr:nvPicPr>
      <xdr:blipFill>
        <a:blip xmlns:r="http://schemas.openxmlformats.org/officeDocument/2006/relationships" r:embed="rId41"/>
        <a:stretch/>
      </xdr:blipFill>
      <xdr:spPr bwMode="auto">
        <a:xfrm>
          <a:off x="87086" y="92125800"/>
          <a:ext cx="5744754" cy="3771900"/>
        </a:xfrm>
        <a:prstGeom prst="rect">
          <a:avLst/>
        </a:prstGeom>
        <a:noFill/>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Users/valade/EcoSols_Nextcloud2/Substitution/Metaanalysis/Data_extraction/V7_QC/assignment/database_substitution_metaanalysis.v5.v6.QC7.init.xlsx" TargetMode="External"/><Relationship Id="rId1" Type="http://schemas.openxmlformats.org/officeDocument/2006/relationships/externalLinkPath" Target="/Users/valade/EcoSols_Nextcloud2/Substitution/Metaanalysis/Data_extraction/V7_QC/assignment/database_substitution_metaanalysis.v5.v6.QC7.init.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Users/valade/EcoSols_Nextcloud2/Substitution/Metaanalysis/Data_extraction/V7_QC/database_substitution_metaanalysis.v5.v6.QC7_AV.xlsx" TargetMode="External"/><Relationship Id="rId1" Type="http://schemas.openxmlformats.org/officeDocument/2006/relationships/externalLinkPath" Target="/Users/valade/EcoSols_Nextcloud2/Substitution/Metaanalysis/Data_extraction/V7_QC/database_substitution_metaanalysis.v5.v6.QC7_AV.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Users/valade/EcoSols_Nextcloud2/Substitution/Metaanalysis/Data_extraction/V7_QC/database_substitution_metaanalysis.v5.v6.QC7_KN2805.xlsx" TargetMode="External"/><Relationship Id="rId1" Type="http://schemas.openxmlformats.org/officeDocument/2006/relationships/externalLinkPath" Target="/Users/valade/EcoSols_Nextcloud2/Substitution/Metaanalysis/Data_extraction/V7_QC/database_substitution_metaanalysis.v5.v6.QC7_KN2805.xlsx"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Users/valade/EcoSols_Nextcloud2/Substitution/Metaanalysis/Data_extraction/V7_QC/database_substitution_metaanalysis.v5.v6.QC7_SL.xlsx" TargetMode="External"/><Relationship Id="rId1" Type="http://schemas.openxmlformats.org/officeDocument/2006/relationships/externalLinkPath" Target="/Users/valade/EcoSols_Nextcloud2/Substitution/Metaanalysis/Data_extraction/V7_QC/database_substitution_metaanalysis.v5.v6.QC7_SL.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 val="Sheet2"/>
      <sheetName val="Conversions"/>
      <sheetName val="Palette_in_use"/>
      <sheetName val="SL_Extractions_v5"/>
      <sheetName val="VB_Extractions_v5"/>
      <sheetName val="QC_Aude"/>
      <sheetName val="QC_indicators"/>
      <sheetName val="TO DO"/>
    </sheetNames>
    <sheetDataSet>
      <sheetData sheetId="0"/>
      <sheetData sheetId="1"/>
      <sheetData sheetId="2"/>
      <sheetData sheetId="3"/>
      <sheetData sheetId="4"/>
      <sheetData sheetId="5"/>
      <sheetData sheetId="6"/>
      <sheetData sheetId="7">
        <row r="1">
          <cell r="B1">
            <v>1.0775197499982896E-2</v>
          </cell>
          <cell r="C1">
            <v>1.8910205397060962</v>
          </cell>
        </row>
        <row r="2">
          <cell r="B2">
            <v>1.095600793497254</v>
          </cell>
          <cell r="C2">
            <v>17.240381284500241</v>
          </cell>
        </row>
      </sheetData>
      <sheetData sheetId="8"/>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 val="Sheet2"/>
      <sheetName val="Conversions"/>
      <sheetName val="Palette_in_use"/>
      <sheetName val="SL_Extractions_v5"/>
      <sheetName val="VB_Extractions_v5"/>
      <sheetName val="QC_Aude_extractions"/>
      <sheetName val="QC_indicators"/>
      <sheetName val="TO DO"/>
    </sheetNames>
    <sheetDataSet>
      <sheetData sheetId="0"/>
      <sheetData sheetId="1"/>
      <sheetData sheetId="2"/>
      <sheetData sheetId="3"/>
      <sheetData sheetId="4"/>
      <sheetData sheetId="5"/>
      <sheetData sheetId="6"/>
      <sheetData sheetId="7">
        <row r="1">
          <cell r="B1">
            <v>-776.37754144405631</v>
          </cell>
          <cell r="C1">
            <v>7576.0701064399027</v>
          </cell>
        </row>
        <row r="2">
          <cell r="B2">
            <v>1.0543044868334877</v>
          </cell>
          <cell r="C2">
            <v>3.3613684057037871</v>
          </cell>
        </row>
      </sheetData>
      <sheetData sheetId="8"/>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 val="Sheet2"/>
      <sheetName val="Conversions"/>
      <sheetName val="Palette_in_use"/>
      <sheetName val="SL_Extractions_v5"/>
      <sheetName val="VB_Extractions_v5"/>
      <sheetName val="QC_Aude"/>
      <sheetName val="QC_indicators"/>
      <sheetName val="TO DO"/>
    </sheetNames>
    <sheetDataSet>
      <sheetData sheetId="0"/>
      <sheetData sheetId="1"/>
      <sheetData sheetId="2"/>
      <sheetData sheetId="3"/>
      <sheetData sheetId="4"/>
      <sheetData sheetId="5"/>
      <sheetData sheetId="6"/>
      <sheetData sheetId="7">
        <row r="1">
          <cell r="B1">
            <v>0.37295525093000825</v>
          </cell>
          <cell r="C1">
            <v>2.6877997053052463</v>
          </cell>
        </row>
        <row r="2">
          <cell r="B2">
            <v>0.64039315597979518</v>
          </cell>
          <cell r="C2">
            <v>0.56852465477793612</v>
          </cell>
        </row>
      </sheetData>
      <sheetData sheetId="8"/>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 val="Sheet2"/>
      <sheetName val="Conversions"/>
      <sheetName val="Palette_in_use"/>
      <sheetName val="SL_Extractions_v5"/>
      <sheetName val="VB_Extractions_v5"/>
      <sheetName val="QC_Aude"/>
      <sheetName val="QC_indicators"/>
      <sheetName val="TO DO"/>
    </sheetNames>
    <sheetDataSet>
      <sheetData sheetId="0"/>
      <sheetData sheetId="1"/>
      <sheetData sheetId="2"/>
      <sheetData sheetId="3"/>
      <sheetData sheetId="4"/>
      <sheetData sheetId="5"/>
      <sheetData sheetId="6"/>
      <sheetData sheetId="7">
        <row r="1">
          <cell r="B1">
            <v>-1.8997365780877833E-2</v>
          </cell>
          <cell r="C1">
            <v>1.6411993046763687</v>
          </cell>
        </row>
        <row r="2">
          <cell r="B2">
            <v>0.79395189651467302</v>
          </cell>
          <cell r="C2">
            <v>5.7175504813569882</v>
          </cell>
        </row>
      </sheetData>
      <sheetData sheetId="8"/>
    </sheetDataSet>
  </externalBook>
</externalLink>
</file>

<file path=xl/persons/person.xml><?xml version="1.0" encoding="utf-8"?>
<personList xmlns="http://schemas.microsoft.com/office/spreadsheetml/2018/threadedcomments" xmlns:x="http://schemas.openxmlformats.org/spreadsheetml/2006/main">
  <person displayName="chaste" id="{B4A1B9F9-4F05-4929-52AF-3BFD274CC250}"/>
  <person displayName="Microsoft Office User" id="{C7A66F49-825B-E7AC-4D5D-DD5B3A1D23DA}"/>
  <person displayName="vbellassen" id="{9DD4F19F-4D62-70CC-6F05-7D4DA1931E33}"/>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Arial"/>
        <a:cs typeface="Arial"/>
      </a:majorFont>
      <a:minorFont>
        <a:latin typeface="Calibri"/>
        <a:ea typeface="Arial"/>
        <a:cs typeface="Arial"/>
      </a:minorFont>
    </a:fontScheme>
    <a:fmtScheme name="Office">
      <a:fillStyleLst>
        <a:solidFill>
          <a:schemeClr val="phClr"/>
        </a:solidFill>
        <a:gradFill>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effectStyle>
      </a:effectStyleLst>
      <a:bgFillStyleLst>
        <a:solidFill>
          <a:schemeClr val="phClr"/>
        </a:solidFill>
        <a:solidFill>
          <a:schemeClr val="phClr">
            <a:tint val="95000"/>
            <a:satMod val="170000"/>
          </a:schemeClr>
        </a:solidFill>
        <a:gradFill>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D1026" personId="{B4A1B9F9-4F05-4929-52AF-3BFD274CC250}" id="{00DE0036-0060-421B-8E4B-00E500630047}" done="0">
    <text xml:space="preserve">Il y a aussi un scenario "Upstream" dont les données émissions sont disponibles mais pas les données Qwood. Fait-on la somme des autres Qwood? 
</text>
  </threadedComment>
  <threadedComment ref="DO1026" personId="{B4A1B9F9-4F05-4929-52AF-3BFD274CC250}" id="{00270063-00AA-4C40-B979-000800430066}" done="0">
    <text xml:space="preserve">They evaluated reductions in carbon emissions by substituting wood for fossil fuels for energy production = scenario "heavy oil". See page 8 of the document: 
"We evaluated reductions in carbon emissions by substituting wood for fossil fuels for energy production. Assuming the displacement of heavy oil, we calculated the substitution amounts (L) of heavy oil by multiplying the energy use amounts (m3) of logging residues; wood residues from processing, construction, and furniture production; and waste wood after use in building and furniture by the specific gravity in absolute dry condition (t/m3) (see Table S-1) and the calorific value of wood (GJ/t) (Kayo et al., 2011). We then divided that product by the calorific value of heavy oil (GJ/L) (Kayo et al.,2011). We estimated reductions of carbon emissions (tC) from heavy oil consumption by multiplying the displaced amounts (L) of heavy oil by the carbon emission intensity (tC/L) for the combustion of heavy oil (Kayo et al., 2011)."
But this scenario is not well explicited in the document with explicit values so this requires some calculations. I put values for this substitution evaluated in the Onglet "Kayo_2014", lines 23 and 45 extracted from Figure 4 and 5.
</text>
  </threadedComment>
  <threadedComment ref="AD1106" personId="{B4A1B9F9-4F05-4929-52AF-3BFD274CC250}" id="{007B00A0-002F-43CD-9B94-007100A60047}" done="0">
    <text xml:space="preserve">Il y a un scenario de machine manuelle et machine motorisée mais il n'y a pas les résultats pour les deux (partie 2.2.2). C'est un scénario mixte alors je ne sais pas si je dois l'indiquer. 
</text>
  </threadedComment>
  <threadedComment ref="EB1113" personId="{B4A1B9F9-4F05-4929-52AF-3BFD274CC250}" id="{00C40065-0007-457C-AB2B-009800900003}" done="0">
    <text xml:space="preserve">The scope of this study includes forest growth and cultivation, collection and processing of wood products and by-products, densification (chipping and bundling) and combustion in bioenergy facility to generate electricity.
The scope of the study excludes emissions associated with extraction and production of materials for manufacturing trucks, forestry equipment and transportation of fuels, fertilizer and seedling production, which are considered as indirect emissions of this study (Mann and Spath, 1997).
</text>
  </threadedComment>
  <threadedComment ref="EC1113" personId="{B4A1B9F9-4F05-4929-52AF-3BFD274CC250}" id="{00110064-0039-4EAB-80D9-0003004B006A}" done="0">
    <text xml:space="preserve">The scope of this study includes forest growth and cultivation, collection and processing of wood products and by-products, densification (chipping and bundling) and combustion in bioenergy facility to generate electricity.
The scope of the study excludes emissions associated with extraction and production of materials for manufacturing trucks, forestry equipment and transportation of fuels, fertilizer and seedling production, which are considered as indirect emissions of this study (Mann and Spath, 1997).
</text>
  </threadedComment>
  <threadedComment ref="DX1116" personId="{B4A1B9F9-4F05-4929-52AF-3BFD274CC250}" id="{005D00E3-0093-4D16-8B68-002F006C007C}" done="0">
    <text xml:space="preserve">Juste aboveground
</text>
  </threadedComment>
  <threadedComment ref="V1116" personId="{B4A1B9F9-4F05-4929-52AF-3BFD274CC250}" id="{00870082-0006-4C84-B620-006600550039}" done="0">
    <text xml:space="preserve">J'ai mis oui ici car entre 
</text>
  </threadedComment>
  <threadedComment ref="DX1117" personId="{B4A1B9F9-4F05-4929-52AF-3BFD274CC250}" id="{008C00D7-009B-4B21-B96F-0035001A0096}" done="0">
    <text xml:space="preserve">Juste aboveground
</text>
  </threadedComment>
  <threadedComment ref="DX1118" personId="{B4A1B9F9-4F05-4929-52AF-3BFD274CC250}" id="{009000A2-0075-4314-825E-001100DA00E6}" done="0">
    <text xml:space="preserve">Juste aboveground
</text>
  </threadedComment>
  <threadedComment ref="DX1119" personId="{B4A1B9F9-4F05-4929-52AF-3BFD274CC250}" id="{009E0054-0030-4264-B934-004D00D100E1}" done="0">
    <text xml:space="preserve">Juste aboveground
</text>
  </threadedComment>
  <threadedComment ref="DX1588" personId="{B4A1B9F9-4F05-4929-52AF-3BFD274CC250}" id="{00570091-0027-42C1-9526-00A500BA0085}" done="0">
    <text xml:space="preserve">Juste aboveground
</text>
  </threadedComment>
  <threadedComment ref="V1588" personId="{B4A1B9F9-4F05-4929-52AF-3BFD274CC250}" id="{004700EF-0041-4F61-82E0-006A00C60041}" done="0">
    <text xml:space="preserve">j'ai mis oui dans ce cas là car entre les deux pays ce qui change c'est les importations de bois et donc ce qui est extrait sur place
</text>
  </threadedComment>
  <threadedComment ref="DX1589" personId="{B4A1B9F9-4F05-4929-52AF-3BFD274CC250}" id="{005700C0-007A-4676-8B85-00D80000001C}" done="0">
    <text xml:space="preserve">Juste aboveground
</text>
  </threadedComment>
  <threadedComment ref="DX1590" personId="{B4A1B9F9-4F05-4929-52AF-3BFD274CC250}" id="{00C3004E-00A3-4F3E-8181-004F000D004C}" done="0">
    <text xml:space="preserve">Juste aboveground
</text>
  </threadedComment>
  <threadedComment ref="DX1591" personId="{B4A1B9F9-4F05-4929-52AF-3BFD274CC250}" id="{005C0076-005E-4D1A-97EC-00CD00F3005E}" done="0">
    <text xml:space="preserve">Juste aboveground
</text>
  </threadedComment>
  <threadedComment ref="DZ7" personId="{C7A66F49-825B-E7AC-4D5D-DD5B3A1D23DA}" id="{003E00CD-00AE-4422-B5D5-00BF00E10024}" done="0">
    <text xml:space="preserve">ie : C-neutrality of wood assumed = 0, C-emissions of wood at eol accounted = 1
</text>
  </threadedComment>
  <threadedComment ref="EA7" personId="{C7A66F49-825B-E7AC-4D5D-DD5B3A1D23DA}" id="{006C007C-002F-4F20-B8B1-006E00A600AE}" done="0">
    <text xml:space="preserve">accounts for avoided emissions,wood reuseor recycling outside of the lifetime of the product itself
</text>
  </threadedComment>
  <threadedComment ref="EB7" personId="{C7A66F49-825B-E7AC-4D5D-DD5B3A1D23DA}" id="{00CC003E-006B-456E-AD65-001D00CB003C}" done="0">
    <text xml:space="preserve">may be accounted for through the use of a displacement factor
</text>
  </threadedComment>
  <threadedComment ref="AF653" personId="{C7A66F49-825B-E7AC-4D5D-DD5B3A1D23DA}" id="{00DD0084-00A9-4338-AA26-004000E4002E}" done="0">
    <text xml:space="preserve">to be listed as a secondary driver
</text>
  </threadedComment>
  <threadedComment ref="AF654" personId="{C7A66F49-825B-E7AC-4D5D-DD5B3A1D23DA}" id="{00AC0038-00B8-45C0-BBCC-00AF0097006C}" done="0">
    <text xml:space="preserve">to be listed as a secondary driver
</text>
  </threadedComment>
  <threadedComment ref="M971" personId="{B4A1B9F9-4F05-4929-52AF-3BFD274CC250}" id="{008D00D5-0062-4869-9F4F-00EB000B005F}" done="0">
    <text xml:space="preserve">Hart et al. 2021
</text>
  </threadedComment>
  <threadedComment ref="M972" personId="{B4A1B9F9-4F05-4929-52AF-3BFD274CC250}" id="{00F100A4-00E1-4D42-8B8A-001300940043}" done="0">
    <text xml:space="preserve">Hart et al. 2021
</text>
  </threadedComment>
  <threadedComment ref="M973" personId="{B4A1B9F9-4F05-4929-52AF-3BFD274CC250}" id="{007E0014-0091-4E41-B67E-001500120087}" done="0">
    <text xml:space="preserve">Hart et al. 2021
</text>
  </threadedComment>
  <threadedComment ref="M974" personId="{B4A1B9F9-4F05-4929-52AF-3BFD274CC250}" id="{00FB0097-0036-449C-B525-00F80031005C}" done="0">
    <text xml:space="preserve">Hart et al. 2021
</text>
  </threadedComment>
  <threadedComment ref="M975" personId="{B4A1B9F9-4F05-4929-52AF-3BFD274CC250}" id="{00280038-004A-41E5-98D9-007500830041}" done="0">
    <text xml:space="preserve">Hart et al. 2021
</text>
  </threadedComment>
  <threadedComment ref="M976" personId="{B4A1B9F9-4F05-4929-52AF-3BFD274CC250}" id="{00B30012-0031-4E2C-8FFC-008D004B00DF}" done="0">
    <text xml:space="preserve">Hart et al. 2021
</text>
  </threadedComment>
  <threadedComment ref="EB992" personId="{B4A1B9F9-4F05-4929-52AF-3BFD274CC250}" id="{00160003-006F-4FB9-8562-005B00280044}" done="0">
    <text xml:space="preserve">Change on domestic demand
</text>
  </threadedComment>
  <threadedComment ref="DL993" personId="{B4A1B9F9-4F05-4929-52AF-3BFD274CC250}" id="{00740038-0078-4532-BD0F-00E100FC00A0}" done="0">
    <text xml:space="preserve">In supp: On the forestry side, the approach used is adapted from Birdsey (1996), which assumed constant soil carbon values on forests for all except the South, and Smith et al. (2006), which has all carbon in forest soils assumed to be constant over time, with variation across region and forest type.
</text>
  </threadedComment>
  <threadedComment ref="DM993" personId="{B4A1B9F9-4F05-4929-52AF-3BFD274CC250}" id="{00D60008-0056-4AF7-8779-001E00AD00FB}" done="0">
    <text xml:space="preserve">page 4: 
Logging residue supply curves are based on regional supply curve functions estimated using the spatial allocation optimization routine described in Baker et al. (2018).
</text>
  </threadedComment>
  <threadedComment ref="DN993" personId="{B4A1B9F9-4F05-4929-52AF-3BFD274CC250}" id="{000B0082-000A-43C7-9AF8-00F8009600A2}" done="0">
    <text xml:space="preserve">reflecting of hauling forest biomass from plot to final demand point post-harvest.
</text>
  </threadedComment>
  <threadedComment ref="EB993" personId="{B4A1B9F9-4F05-4929-52AF-3BFD274CC250}" id="{00EC0002-0094-4E4C-8F8B-009100DD0032}" done="0">
    <text xml:space="preserve">Change on domestic demand
</text>
  </threadedComment>
  <threadedComment ref="DV994" personId="{B4A1B9F9-4F05-4929-52AF-3BFD274CC250}" id="{00570037-0060-4A5B-9D16-002800E30090}" done="0">
    <text xml:space="preserve">In supp: On the forestry side, the approach used is adapted from Birdsey (1996), which assumed constant soil carbon values on forests for all except the South, and Smith et al. (2006), which has all carbon in forest soils assumed to be constant over time, with variation across region and forest type.
</text>
  </threadedComment>
  <threadedComment ref="DW994" personId="{B4A1B9F9-4F05-4929-52AF-3BFD274CC250}" id="{004E00DB-0040-4DAC-81A5-00370055000D}" done="0">
    <text xml:space="preserve">page 4: 
Logging residue supply curves are based on regional supply curve functions estimated using the spatial allocation optimization routine described in Baker et al. (2018).
</text>
  </threadedComment>
  <threadedComment ref="DX994" personId="{B4A1B9F9-4F05-4929-52AF-3BFD274CC250}" id="{001000A9-009E-41DE-8B04-001C00D300D6}" done="0">
    <text xml:space="preserve">reflecting of hauling forest biomass from plot to final demand point post-harvest.
</text>
  </threadedComment>
  <threadedComment ref="DY994" personId="{B4A1B9F9-4F05-4929-52AF-3BFD274CC250}" id="{005F00B3-00FE-4BCE-B865-00FC003A007B}" done="0">
    <text xml:space="preserve">Je ne suis pas sûre
</text>
  </threadedComment>
  <threadedComment ref="EB994" personId="{B4A1B9F9-4F05-4929-52AF-3BFD274CC250}" id="{004A0094-0059-413C-B21F-002200DC00E1}" done="0">
    <text xml:space="preserve">Change on domestic demand
</text>
  </threadedComment>
  <threadedComment ref="DV995" personId="{B4A1B9F9-4F05-4929-52AF-3BFD274CC250}" id="{00E100A8-002A-400B-8BB2-004F00CB00AE}" done="0">
    <text xml:space="preserve">In supp: On the forestry side, the approach used is adapted from Birdsey (1996), which assumed constant soil carbon values on forests for all except the South, and Smith et al. (2006), which has all carbon in forest soils assumed to be constant over time, with variation across region and forest type.
</text>
  </threadedComment>
  <threadedComment ref="DW995" personId="{B4A1B9F9-4F05-4929-52AF-3BFD274CC250}" id="{00DF00EC-0028-4963-8234-007F00C500FE}" done="0">
    <text xml:space="preserve">page 4: 
Logging residue supply curves are based on regional supply curve functions estimated using the spatial allocation optimization routine described in Baker et al. (2018).
</text>
  </threadedComment>
  <threadedComment ref="DX995" personId="{B4A1B9F9-4F05-4929-52AF-3BFD274CC250}" id="{00C9008F-005A-44E7-B9C6-00A600E90062}" done="0">
    <text xml:space="preserve">reflecting of hauling forest biomass from plot to final demand point post-harvest.
</text>
  </threadedComment>
  <threadedComment ref="DY995" personId="{B4A1B9F9-4F05-4929-52AF-3BFD274CC250}" id="{00B900BC-009A-4E0A-825C-000600B10036}" done="0">
    <text xml:space="preserve">Je ne suis pas sûre
</text>
  </threadedComment>
  <threadedComment ref="EC995" personId="{B4A1B9F9-4F05-4929-52AF-3BFD274CC250}" id="{00340052-00BC-4436-A913-0013000B0065}" done="0">
    <text xml:space="preserve">We aggregated spatially explicit (FIA plot-level) data from the LURA model to the 11 FASOMGHG regions, and then incorporated an objective function component that maximizes the present value of producer and consumer surplus over the simulation horizon, incorporating both price endogenous revenue and detailed cost components (including harvest, management, transportation, processing, land transfer, and fixed capital costs in each period). Forest product demand and export demand are based on exogenous demand growth assumptions tied to income growth
</text>
  </threadedComment>
  <threadedComment ref="Y995" personId="{B4A1B9F9-4F05-4929-52AF-3BFD274CC250}" id="{005B00C3-00FC-47F9-BA73-001000D10081}" done="0">
    <text xml:space="preserve">Change on domestic demand
</text>
  </threadedComment>
  <threadedComment ref="DV996" personId="{B4A1B9F9-4F05-4929-52AF-3BFD274CC250}" id="{00FA0096-001B-4FC4-BFEA-008C006A00E5}" done="0">
    <text xml:space="preserve">In supp: On the forestry side, the approach used is adapted from Birdsey (1996), which assumed constant soil carbon values on forests for all except the South, and Smith et al. (2006), which has all carbon in forest soils assumed to be constant over time, with variation across region and forest type.
</text>
  </threadedComment>
  <threadedComment ref="DW996" personId="{B4A1B9F9-4F05-4929-52AF-3BFD274CC250}" id="{009B0090-0029-4236-B3AC-006C009C00CD}" done="0">
    <text xml:space="preserve">page 4: 
Logging residue supply curves are based on regional supply curve functions estimated using the spatial allocation optimization routine described in Baker et al. (2018).
</text>
  </threadedComment>
  <threadedComment ref="DX996" personId="{B4A1B9F9-4F05-4929-52AF-3BFD274CC250}" id="{00E1009E-005F-4360-ACD1-000C00A40034}" done="0">
    <text xml:space="preserve">reflecting of hauling forest biomass from plot to final demand point post-harvest.
</text>
  </threadedComment>
  <threadedComment ref="DY996" personId="{B4A1B9F9-4F05-4929-52AF-3BFD274CC250}" id="{00900085-0089-4EAB-A222-00C500AE0030}" done="0">
    <text xml:space="preserve">Je ne suis pas sûre
</text>
  </threadedComment>
  <threadedComment ref="EC996" personId="{B4A1B9F9-4F05-4929-52AF-3BFD274CC250}" id="{00FA00B1-00F3-4D2D-A49A-005D001100F3}" done="0">
    <text xml:space="preserve">We aggregated spatially explicit (FIA plot-level) data from the LURA model to the 11 FASOMGHG regions, and then incorporated an objective function component that maximizes the present value of producer and consumer surplus over the simulation horizon, incorporating both price endogenous revenue and detailed cost components (including harvest, management, transportation, processing, land transfer, and fixed capital costs in each period). Forest product demand and export demand are based on exogenous demand growth assumptions tied to income growth
</text>
  </threadedComment>
  <threadedComment ref="Y996" personId="{B4A1B9F9-4F05-4929-52AF-3BFD274CC250}" id="{007B0061-0062-4646-94B8-00D1001D008F}" done="0">
    <text xml:space="preserve">Change on domestic demand
</text>
  </threadedComment>
  <threadedComment ref="DV997" personId="{B4A1B9F9-4F05-4929-52AF-3BFD274CC250}" id="{00FD0047-0084-47CC-B6C9-00E5006D0006}" done="0">
    <text xml:space="preserve">In supp: On the forestry side, the approach used is adapted from Birdsey (1996), which assumed constant soil carbon values on forests for all except the South, and Smith et al. (2006), which has all carbon in forest soils assumed to be constant over time, with variation across region and forest type.
</text>
  </threadedComment>
  <threadedComment ref="DW997" personId="{B4A1B9F9-4F05-4929-52AF-3BFD274CC250}" id="{0088006E-00AC-4395-95C7-0027000C0032}" done="0">
    <text xml:space="preserve">page 4: 
Logging residue supply curves are based on regional supply curve functions estimated using the spatial allocation optimization routine described in Baker et al. (2018).
</text>
  </threadedComment>
  <threadedComment ref="DX997" personId="{B4A1B9F9-4F05-4929-52AF-3BFD274CC250}" id="{004E00E5-00F0-43BF-A9B1-003F00CB00BE}" done="0">
    <text xml:space="preserve">reflecting of hauling forest biomass from plot to final demand point post-harvest.
</text>
  </threadedComment>
  <threadedComment ref="DY997" personId="{B4A1B9F9-4F05-4929-52AF-3BFD274CC250}" id="{001E00CF-0075-4C18-8205-001400B6000E}" done="0">
    <text xml:space="preserve">Je ne suis pas sûre
</text>
  </threadedComment>
  <threadedComment ref="EC997" personId="{B4A1B9F9-4F05-4929-52AF-3BFD274CC250}" id="{006B00AC-00CB-4139-9E9A-008400B500E2}" done="0">
    <text xml:space="preserve">We aggregated spatially explicit (FIA plot-level) data from the LURA model to the 11 FASOMGHG regions, and then incorporated an objective function component that maximizes the present value of producer and consumer surplus over the simulation horizon, incorporating both price endogenous revenue and detailed cost components (including harvest, management, transportation, processing, land transfer, and fixed capital costs in each period). Forest product demand and export demand are based on exogenous demand growth assumptions tied to income growth
</text>
  </threadedComment>
  <threadedComment ref="Y997" personId="{B4A1B9F9-4F05-4929-52AF-3BFD274CC250}" id="{003D00F6-00B7-487F-B561-004900D300D8}" done="0">
    <text xml:space="preserve">Change on domestic demand
</text>
  </threadedComment>
</ThreadedComments>
</file>

<file path=xl/threadedComments/threadedComment2.xml><?xml version="1.0" encoding="utf-8"?>
<ThreadedComments xmlns="http://schemas.microsoft.com/office/spreadsheetml/2018/threadedcomments" xmlns:x="http://schemas.openxmlformats.org/spreadsheetml/2006/main">
  <threadedComment ref="E2" personId="{9DD4F19F-4D62-70CC-6F05-7D4DA1931E33}" id="{00B60088-0080-489A-8313-00FA007800FE}" done="0">
    <text xml:space="preserve">400 pour du résineux mais pour du feuillu on est plutôt à 580. Moyenne des deux ?
</text>
  </threadedComment>
</ThreadedComments>
</file>

<file path=xl/worksheets/_rels/sheet1.xml.rels><?xml version="1.0" encoding="UTF-8" standalone="yes"?>
<Relationships xmlns="http://schemas.openxmlformats.org/package/2006/relationships"><Relationship Id="rId13" Type="http://schemas.openxmlformats.org/officeDocument/2006/relationships/hyperlink" Target="https://doi.org/10.1088/1748-9326/aaaa03" TargetMode="External"/><Relationship Id="rId18" Type="http://schemas.openxmlformats.org/officeDocument/2006/relationships/hyperlink" Target="https://doi.org/10.1088/1748-9326/aaaa03" TargetMode="External"/><Relationship Id="rId26" Type="http://schemas.openxmlformats.org/officeDocument/2006/relationships/hyperlink" Target="https://doi.org/10.1139/x03-020" TargetMode="External"/><Relationship Id="rId39" Type="http://schemas.openxmlformats.org/officeDocument/2006/relationships/hyperlink" Target="https://doi.org/10.1016/j.jenvman.2013.07.021" TargetMode="External"/><Relationship Id="rId21" Type="http://schemas.openxmlformats.org/officeDocument/2006/relationships/hyperlink" Target="https://doi.org/10.1088/1748-9326/aaaa03" TargetMode="External"/><Relationship Id="rId34" Type="http://schemas.openxmlformats.org/officeDocument/2006/relationships/hyperlink" Target="https://doi.org/10.1139/x03-020" TargetMode="External"/><Relationship Id="rId42" Type="http://schemas.openxmlformats.org/officeDocument/2006/relationships/hyperlink" Target="https://doi.org/10.1111/j.1757-1707.2012.01161.x" TargetMode="External"/><Relationship Id="rId68" Type="http://schemas.microsoft.com/office/2017/10/relationships/threadedComment" Target="../threadedComments/threadedComment1.xml"/><Relationship Id="rId7" Type="http://schemas.openxmlformats.org/officeDocument/2006/relationships/hyperlink" Target="https://doi.org/10.1088/1748-9326/aaaa03" TargetMode="External"/><Relationship Id="rId2" Type="http://schemas.openxmlformats.org/officeDocument/2006/relationships/hyperlink" Target="https://doi.org/10.1088/1748-9326/aaaa03" TargetMode="External"/><Relationship Id="rId16" Type="http://schemas.openxmlformats.org/officeDocument/2006/relationships/hyperlink" Target="https://doi.org/10.1088/1748-9326/aaaa03" TargetMode="External"/><Relationship Id="rId29" Type="http://schemas.openxmlformats.org/officeDocument/2006/relationships/hyperlink" Target="https://doi.org/10.1016/S1462-9011(01)00044-2" TargetMode="External"/><Relationship Id="rId1" Type="http://schemas.openxmlformats.org/officeDocument/2006/relationships/hyperlink" Target="https://doi.org/10.1088/1748-9326/aaaa03" TargetMode="External"/><Relationship Id="rId6" Type="http://schemas.openxmlformats.org/officeDocument/2006/relationships/hyperlink" Target="https://doi.org/10.1088/1748-9326/aaaa03" TargetMode="External"/><Relationship Id="rId11" Type="http://schemas.openxmlformats.org/officeDocument/2006/relationships/hyperlink" Target="https://doi.org/10.1088/1748-9326/aaaa03" TargetMode="External"/><Relationship Id="rId24" Type="http://schemas.openxmlformats.org/officeDocument/2006/relationships/hyperlink" Target="https://doi.org/10.1088/1748-9326/aaaa03" TargetMode="External"/><Relationship Id="rId32" Type="http://schemas.openxmlformats.org/officeDocument/2006/relationships/hyperlink" Target="https://doi.org/10.1016/S1462-9011(01)00044-2" TargetMode="External"/><Relationship Id="rId37" Type="http://schemas.openxmlformats.org/officeDocument/2006/relationships/hyperlink" Target="https://doi.org/10.1139/x03-020" TargetMode="External"/><Relationship Id="rId40" Type="http://schemas.openxmlformats.org/officeDocument/2006/relationships/hyperlink" Target="https://doi.org/10.1139/X06-257" TargetMode="External"/><Relationship Id="rId5" Type="http://schemas.openxmlformats.org/officeDocument/2006/relationships/hyperlink" Target="https://doi.org/10.1088/1748-9326/aaaa03" TargetMode="External"/><Relationship Id="rId15" Type="http://schemas.openxmlformats.org/officeDocument/2006/relationships/hyperlink" Target="https://doi.org/10.1088/1748-9326/aaaa03" TargetMode="External"/><Relationship Id="rId23" Type="http://schemas.openxmlformats.org/officeDocument/2006/relationships/hyperlink" Target="https://doi.org/10.1088/1748-9326/aaaa03" TargetMode="External"/><Relationship Id="rId28" Type="http://schemas.openxmlformats.org/officeDocument/2006/relationships/hyperlink" Target="https://doi.org/10.1016/S1462-9011(01)00044-2" TargetMode="External"/><Relationship Id="rId36" Type="http://schemas.openxmlformats.org/officeDocument/2006/relationships/hyperlink" Target="https://doi.org/10.1139/x03-020" TargetMode="External"/><Relationship Id="rId10" Type="http://schemas.openxmlformats.org/officeDocument/2006/relationships/hyperlink" Target="https://doi.org/10.1088/1748-9326/aaaa03" TargetMode="External"/><Relationship Id="rId19" Type="http://schemas.openxmlformats.org/officeDocument/2006/relationships/hyperlink" Target="https://doi.org/10.1088/1748-9326/aaaa03" TargetMode="External"/><Relationship Id="rId31" Type="http://schemas.openxmlformats.org/officeDocument/2006/relationships/hyperlink" Target="https://doi.org/10.1016/S1462-9011(01)00044-2" TargetMode="External"/><Relationship Id="rId44" Type="http://schemas.openxmlformats.org/officeDocument/2006/relationships/comments" Target="../comments1.xml"/><Relationship Id="rId4" Type="http://schemas.openxmlformats.org/officeDocument/2006/relationships/hyperlink" Target="https://doi.org/10.1088/1748-9326/aaaa03" TargetMode="External"/><Relationship Id="rId9" Type="http://schemas.openxmlformats.org/officeDocument/2006/relationships/hyperlink" Target="https://doi.org/10.1088/1748-9326/aaaa03" TargetMode="External"/><Relationship Id="rId14" Type="http://schemas.openxmlformats.org/officeDocument/2006/relationships/hyperlink" Target="https://doi.org/10.1088/1748-9326/aaaa03" TargetMode="External"/><Relationship Id="rId22" Type="http://schemas.openxmlformats.org/officeDocument/2006/relationships/hyperlink" Target="https://doi.org/10.1088/1748-9326/aaaa03" TargetMode="External"/><Relationship Id="rId27" Type="http://schemas.openxmlformats.org/officeDocument/2006/relationships/hyperlink" Target="https://doi.org/10.1016/S1462-9011(01)00044-2" TargetMode="External"/><Relationship Id="rId30" Type="http://schemas.openxmlformats.org/officeDocument/2006/relationships/hyperlink" Target="https://doi.org/10.1016/S1462-9011(01)00044-2" TargetMode="External"/><Relationship Id="rId35" Type="http://schemas.openxmlformats.org/officeDocument/2006/relationships/hyperlink" Target="https://doi.org/10.1139/x03-020" TargetMode="External"/><Relationship Id="rId43" Type="http://schemas.openxmlformats.org/officeDocument/2006/relationships/vmlDrawing" Target="../drawings/vmlDrawing1.vml"/><Relationship Id="rId8" Type="http://schemas.openxmlformats.org/officeDocument/2006/relationships/hyperlink" Target="https://doi.org/10.1088/1748-9326/aaaa03" TargetMode="External"/><Relationship Id="rId3" Type="http://schemas.openxmlformats.org/officeDocument/2006/relationships/hyperlink" Target="https://doi.org/10.1088/1748-9326/aaaa03" TargetMode="External"/><Relationship Id="rId12" Type="http://schemas.openxmlformats.org/officeDocument/2006/relationships/hyperlink" Target="https://doi.org/10.1088/1748-9326/aaaa03" TargetMode="External"/><Relationship Id="rId17" Type="http://schemas.openxmlformats.org/officeDocument/2006/relationships/hyperlink" Target="https://doi.org/10.1088/1748-9326/aaaa03" TargetMode="External"/><Relationship Id="rId25" Type="http://schemas.openxmlformats.org/officeDocument/2006/relationships/hyperlink" Target="https://doi.org/10.1016/j.apenergy.2014.10.013" TargetMode="External"/><Relationship Id="rId33" Type="http://schemas.openxmlformats.org/officeDocument/2006/relationships/hyperlink" Target="https://doi.org/10.1016/S1462-9011(01)00044-2" TargetMode="External"/><Relationship Id="rId38" Type="http://schemas.openxmlformats.org/officeDocument/2006/relationships/hyperlink" Target="https://doi.org/10.1139/x03-020" TargetMode="External"/><Relationship Id="rId20" Type="http://schemas.openxmlformats.org/officeDocument/2006/relationships/hyperlink" Target="https://doi.org/10.1088/1748-9326/aaaa03" TargetMode="External"/><Relationship Id="rId41" Type="http://schemas.openxmlformats.org/officeDocument/2006/relationships/hyperlink" Target="https://doi.org/10.1139/X06-257" TargetMode="Externa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EU1968"/>
  <sheetViews>
    <sheetView tabSelected="1" zoomScale="125" workbookViewId="0">
      <pane xSplit="13" ySplit="7" topLeftCell="BO24" activePane="bottomRight" state="frozen"/>
      <selection activeCell="M1410" sqref="M1410"/>
      <selection pane="topRight"/>
      <selection pane="bottomLeft"/>
      <selection pane="bottomRight" activeCell="BW47" sqref="BW47"/>
    </sheetView>
  </sheetViews>
  <sheetFormatPr baseColWidth="10" defaultColWidth="10.6640625" defaultRowHeight="16"/>
  <cols>
    <col min="1" max="1" width="1.6640625" style="1" customWidth="1"/>
    <col min="2" max="2" width="2.83203125" customWidth="1"/>
    <col min="3" max="3" width="1.83203125" customWidth="1"/>
    <col min="4" max="4" width="2.83203125" customWidth="1"/>
    <col min="5" max="5" width="3.5" customWidth="1"/>
    <col min="6" max="6" width="3" customWidth="1"/>
    <col min="7" max="7" width="3.5" customWidth="1"/>
    <col min="8" max="9" width="3.6640625" customWidth="1"/>
    <col min="10" max="10" width="2.33203125" customWidth="1"/>
    <col min="11" max="11" width="2.83203125" customWidth="1"/>
    <col min="12" max="12" width="2.5" customWidth="1"/>
    <col min="13" max="13" width="19.33203125" customWidth="1"/>
    <col min="14" max="14" width="10.6640625" customWidth="1"/>
    <col min="17" max="17" width="10.83203125" bestFit="1" customWidth="1"/>
    <col min="18" max="18" width="10.83203125" style="2" customWidth="1"/>
    <col min="19" max="19" width="17.6640625" style="1" customWidth="1"/>
    <col min="20" max="20" width="20.6640625" customWidth="1"/>
    <col min="21" max="21" width="21.33203125" customWidth="1"/>
    <col min="22" max="49" width="3.33203125" customWidth="1"/>
    <col min="52" max="56" width="5.83203125" customWidth="1"/>
    <col min="57" max="57" width="14.6640625" style="3" customWidth="1"/>
    <col min="58" max="58" width="10.6640625" style="4"/>
    <col min="59" max="59" width="5.5" style="1" customWidth="1"/>
    <col min="60" max="60" width="7" customWidth="1"/>
    <col min="61" max="61" width="5.5" customWidth="1"/>
    <col min="62" max="62" width="4" customWidth="1"/>
    <col min="63" max="63" width="15.5" customWidth="1"/>
    <col min="64" max="64" width="12.83203125" customWidth="1"/>
    <col min="65" max="65" width="3.33203125" customWidth="1"/>
    <col min="66" max="66" width="6.1640625" customWidth="1"/>
    <col min="67" max="67" width="13" customWidth="1"/>
    <col min="68" max="68" width="12" customWidth="1"/>
    <col min="69" max="69" width="7.83203125" customWidth="1"/>
    <col min="70" max="70" width="3.1640625" customWidth="1"/>
    <col min="71" max="71" width="11.6640625" customWidth="1"/>
    <col min="72" max="72" width="12.5" customWidth="1"/>
    <col min="73" max="73" width="9.6640625" customWidth="1"/>
    <col min="74" max="74" width="10.1640625" customWidth="1"/>
    <col min="75" max="75" width="11.6640625" customWidth="1"/>
    <col min="76" max="76" width="13.6640625" customWidth="1"/>
    <col min="77" max="77" width="12.1640625" bestFit="1" customWidth="1"/>
    <col min="78" max="88" width="2.83203125" customWidth="1"/>
    <col min="89" max="89" width="18.6640625" bestFit="1" customWidth="1"/>
    <col min="90" max="90" width="17.83203125" bestFit="1" customWidth="1"/>
    <col min="91" max="91" width="19" bestFit="1" customWidth="1"/>
    <col min="92" max="94" width="10.6640625" style="3"/>
    <col min="95" max="95" width="13.33203125" style="3" bestFit="1" customWidth="1"/>
    <col min="96" max="97" width="10.6640625" style="3"/>
    <col min="98" max="99" width="13.6640625" style="3" customWidth="1"/>
    <col min="100" max="100" width="13.6640625" style="4" customWidth="1"/>
    <col min="101" max="101" width="10.6640625" style="1"/>
    <col min="102" max="102" width="15.6640625" style="3" bestFit="1" customWidth="1"/>
    <col min="107" max="107" width="15.6640625" style="3" bestFit="1" customWidth="1"/>
    <col min="113" max="113" width="5.33203125" style="3" customWidth="1"/>
    <col min="114" max="114" width="10.6640625" style="3"/>
    <col min="115" max="115" width="8.33203125" style="3" customWidth="1"/>
    <col min="116" max="116" width="5.83203125" style="3" customWidth="1"/>
    <col min="117" max="117" width="5.1640625" style="3" customWidth="1"/>
    <col min="118" max="118" width="5.6640625" style="3" customWidth="1"/>
    <col min="121" max="121" width="14.5" customWidth="1"/>
    <col min="123" max="123" width="18.1640625" customWidth="1"/>
    <col min="124" max="125" width="10.6640625" style="3"/>
    <col min="126" max="126" width="8.5" customWidth="1"/>
    <col min="127" max="127" width="6.6640625" customWidth="1"/>
    <col min="128" max="128" width="6.83203125" customWidth="1"/>
    <col min="129" max="129" width="6.6640625" customWidth="1"/>
    <col min="130" max="131" width="7.33203125" customWidth="1"/>
    <col min="132" max="132" width="6.5" customWidth="1"/>
    <col min="133" max="134" width="6.6640625" customWidth="1"/>
    <col min="135" max="135" width="7.83203125" customWidth="1"/>
    <col min="136" max="136" width="5.1640625" customWidth="1"/>
    <col min="137" max="137" width="4.33203125" customWidth="1"/>
    <col min="138" max="138" width="5.1640625" customWidth="1"/>
    <col min="139" max="139" width="7.1640625" style="2" customWidth="1"/>
    <col min="140" max="140" width="10.6640625" style="1"/>
    <col min="143" max="143" width="10.6640625" style="2"/>
    <col min="149" max="149" width="12.33203125" bestFit="1" customWidth="1"/>
  </cols>
  <sheetData>
    <row r="1" spans="1:151" s="5" customFormat="1">
      <c r="A1" s="6" t="s">
        <v>0</v>
      </c>
      <c r="B1" s="7" t="s">
        <v>0</v>
      </c>
      <c r="C1" s="7" t="s">
        <v>0</v>
      </c>
      <c r="D1" s="7" t="s">
        <v>0</v>
      </c>
      <c r="E1" s="7" t="s">
        <v>0</v>
      </c>
      <c r="F1" s="7" t="s">
        <v>0</v>
      </c>
      <c r="G1" s="7" t="s">
        <v>0</v>
      </c>
      <c r="H1" s="7" t="s">
        <v>0</v>
      </c>
      <c r="I1" s="7" t="s">
        <v>0</v>
      </c>
      <c r="J1" s="7" t="s">
        <v>0</v>
      </c>
      <c r="K1" s="7" t="s">
        <v>0</v>
      </c>
      <c r="L1" s="7" t="s">
        <v>0</v>
      </c>
      <c r="M1" s="7" t="s">
        <v>0</v>
      </c>
      <c r="N1" s="7" t="s">
        <v>0</v>
      </c>
      <c r="O1" s="8" t="s">
        <v>1</v>
      </c>
      <c r="P1" s="8" t="s">
        <v>1</v>
      </c>
      <c r="Q1" s="9"/>
      <c r="R1" s="10"/>
      <c r="S1" s="11" t="s">
        <v>2</v>
      </c>
      <c r="T1" s="12" t="s">
        <v>2</v>
      </c>
      <c r="U1" s="12" t="s">
        <v>2</v>
      </c>
      <c r="V1" s="12" t="s">
        <v>2</v>
      </c>
      <c r="W1" s="12" t="s">
        <v>2</v>
      </c>
      <c r="X1" s="12" t="s">
        <v>2</v>
      </c>
      <c r="Y1" s="12" t="s">
        <v>2</v>
      </c>
      <c r="Z1" s="12" t="s">
        <v>2</v>
      </c>
      <c r="AA1" s="12" t="s">
        <v>2</v>
      </c>
      <c r="AB1" s="12" t="s">
        <v>2</v>
      </c>
      <c r="AC1" s="12" t="s">
        <v>2</v>
      </c>
      <c r="AD1" s="12" t="s">
        <v>2</v>
      </c>
      <c r="AE1" s="12" t="s">
        <v>2</v>
      </c>
      <c r="AF1" s="12" t="s">
        <v>2</v>
      </c>
      <c r="AG1" s="12" t="s">
        <v>2</v>
      </c>
      <c r="AH1" s="12" t="s">
        <v>2</v>
      </c>
      <c r="AI1" s="12" t="s">
        <v>2</v>
      </c>
      <c r="AJ1" s="12" t="s">
        <v>2</v>
      </c>
      <c r="AK1" s="12" t="s">
        <v>2</v>
      </c>
      <c r="AL1" s="12" t="s">
        <v>2</v>
      </c>
      <c r="AM1" s="12" t="s">
        <v>2</v>
      </c>
      <c r="AN1" s="12" t="s">
        <v>2</v>
      </c>
      <c r="AO1" s="12" t="s">
        <v>2</v>
      </c>
      <c r="AP1" s="12" t="s">
        <v>2</v>
      </c>
      <c r="AQ1" s="12" t="s">
        <v>2</v>
      </c>
      <c r="AR1" s="12" t="s">
        <v>2</v>
      </c>
      <c r="AS1" s="12" t="s">
        <v>2</v>
      </c>
      <c r="AT1" s="12" t="s">
        <v>2</v>
      </c>
      <c r="AU1" s="12" t="s">
        <v>2</v>
      </c>
      <c r="AV1" s="12" t="s">
        <v>2</v>
      </c>
      <c r="AW1" s="12" t="s">
        <v>2</v>
      </c>
      <c r="AX1" s="12" t="s">
        <v>1</v>
      </c>
      <c r="AY1" s="12" t="s">
        <v>1</v>
      </c>
      <c r="AZ1" s="12"/>
      <c r="BA1" s="12"/>
      <c r="BB1" s="12"/>
      <c r="BC1" s="12" t="s">
        <v>1</v>
      </c>
      <c r="BD1" s="12" t="s">
        <v>1</v>
      </c>
      <c r="BE1" s="9" t="s">
        <v>2</v>
      </c>
      <c r="BF1" s="10" t="s">
        <v>2</v>
      </c>
      <c r="BG1" s="11" t="s">
        <v>3</v>
      </c>
      <c r="BH1" s="12" t="s">
        <v>3</v>
      </c>
      <c r="BI1" s="12"/>
      <c r="BJ1" s="12" t="s">
        <v>3</v>
      </c>
      <c r="BK1" s="12" t="s">
        <v>3</v>
      </c>
      <c r="BL1" s="12" t="s">
        <v>3</v>
      </c>
      <c r="BM1" s="12" t="s">
        <v>3</v>
      </c>
      <c r="BN1" s="12" t="s">
        <v>3</v>
      </c>
      <c r="BO1" s="12" t="s">
        <v>3</v>
      </c>
      <c r="BP1" s="12" t="s">
        <v>3</v>
      </c>
      <c r="BQ1" s="12"/>
      <c r="BR1" s="12" t="s">
        <v>3</v>
      </c>
      <c r="BS1" s="12" t="s">
        <v>3</v>
      </c>
      <c r="BT1" s="12" t="s">
        <v>3</v>
      </c>
      <c r="BU1" s="12" t="s">
        <v>3</v>
      </c>
      <c r="BV1" s="12" t="s">
        <v>3</v>
      </c>
      <c r="BW1" s="12"/>
      <c r="BX1" s="12" t="s">
        <v>3</v>
      </c>
      <c r="BY1" s="12" t="s">
        <v>3</v>
      </c>
      <c r="BZ1" s="12" t="s">
        <v>3</v>
      </c>
      <c r="CA1" s="12" t="s">
        <v>3</v>
      </c>
      <c r="CB1" s="12" t="s">
        <v>3</v>
      </c>
      <c r="CC1" s="12" t="s">
        <v>3</v>
      </c>
      <c r="CD1" s="12" t="s">
        <v>3</v>
      </c>
      <c r="CE1" s="12" t="s">
        <v>3</v>
      </c>
      <c r="CF1" s="12" t="s">
        <v>3</v>
      </c>
      <c r="CG1" s="12" t="s">
        <v>3</v>
      </c>
      <c r="CH1" s="12" t="s">
        <v>3</v>
      </c>
      <c r="CI1" s="12" t="s">
        <v>3</v>
      </c>
      <c r="CJ1" s="12" t="s">
        <v>3</v>
      </c>
      <c r="CK1" s="12" t="s">
        <v>3</v>
      </c>
      <c r="CL1" s="12" t="s">
        <v>3</v>
      </c>
      <c r="CM1" s="12" t="s">
        <v>3</v>
      </c>
      <c r="CN1" s="9" t="s">
        <v>3</v>
      </c>
      <c r="CO1" s="9" t="s">
        <v>3</v>
      </c>
      <c r="CP1" s="9" t="s">
        <v>3</v>
      </c>
      <c r="CQ1" s="9" t="s">
        <v>3</v>
      </c>
      <c r="CR1" s="9" t="s">
        <v>3</v>
      </c>
      <c r="CS1" s="9" t="s">
        <v>3</v>
      </c>
      <c r="CT1" s="9" t="s">
        <v>3</v>
      </c>
      <c r="CU1" s="9" t="s">
        <v>3</v>
      </c>
      <c r="CV1" s="10" t="s">
        <v>3</v>
      </c>
      <c r="CW1" s="13" t="s">
        <v>4</v>
      </c>
      <c r="CX1" s="14" t="s">
        <v>4</v>
      </c>
      <c r="CY1" s="14" t="s">
        <v>4</v>
      </c>
      <c r="CZ1" s="14" t="s">
        <v>4</v>
      </c>
      <c r="DA1" s="14" t="s">
        <v>4</v>
      </c>
      <c r="DB1" s="14" t="s">
        <v>4</v>
      </c>
      <c r="DC1" s="14" t="s">
        <v>4</v>
      </c>
      <c r="DD1" s="14" t="s">
        <v>4</v>
      </c>
      <c r="DE1" s="14" t="s">
        <v>4</v>
      </c>
      <c r="DF1" s="14" t="s">
        <v>4</v>
      </c>
      <c r="DG1" s="14" t="s">
        <v>4</v>
      </c>
      <c r="DH1" s="14" t="s">
        <v>4</v>
      </c>
      <c r="DI1" s="14" t="s">
        <v>4</v>
      </c>
      <c r="DJ1" s="14" t="s">
        <v>4</v>
      </c>
      <c r="DK1" s="14" t="s">
        <v>4</v>
      </c>
      <c r="DL1" s="14" t="s">
        <v>4</v>
      </c>
      <c r="DM1" s="14" t="s">
        <v>4</v>
      </c>
      <c r="DN1" s="14" t="s">
        <v>4</v>
      </c>
      <c r="DO1" s="14" t="s">
        <v>4</v>
      </c>
      <c r="DP1" s="14" t="s">
        <v>4</v>
      </c>
      <c r="DQ1" s="14" t="s">
        <v>4</v>
      </c>
      <c r="DR1" s="14" t="s">
        <v>4</v>
      </c>
      <c r="DS1" s="14" t="s">
        <v>4</v>
      </c>
      <c r="DT1" s="14" t="s">
        <v>4</v>
      </c>
      <c r="DU1" s="14" t="s">
        <v>4</v>
      </c>
      <c r="DV1" s="14" t="s">
        <v>4</v>
      </c>
      <c r="DW1" s="14" t="s">
        <v>4</v>
      </c>
      <c r="DX1" s="14" t="s">
        <v>4</v>
      </c>
      <c r="DY1" s="14" t="s">
        <v>4</v>
      </c>
      <c r="DZ1" s="14" t="s">
        <v>4</v>
      </c>
      <c r="EA1" s="14" t="s">
        <v>4</v>
      </c>
      <c r="EB1" s="14" t="s">
        <v>4</v>
      </c>
      <c r="EC1" s="14" t="s">
        <v>4</v>
      </c>
      <c r="ED1" s="14" t="s">
        <v>4</v>
      </c>
      <c r="EE1" s="14" t="s">
        <v>4</v>
      </c>
      <c r="EF1" s="15" t="s">
        <v>4</v>
      </c>
      <c r="EG1" s="15" t="s">
        <v>4</v>
      </c>
      <c r="EH1" s="15" t="s">
        <v>4</v>
      </c>
      <c r="EI1" s="16" t="s">
        <v>4</v>
      </c>
      <c r="EJ1" s="17"/>
      <c r="EK1" s="18"/>
      <c r="EL1" s="18"/>
      <c r="EM1" s="19"/>
      <c r="EN1" s="20" t="s">
        <v>1</v>
      </c>
      <c r="EO1" s="5" t="s">
        <v>1</v>
      </c>
      <c r="EP1" s="5" t="s">
        <v>1</v>
      </c>
      <c r="EQ1" s="5" t="s">
        <v>1</v>
      </c>
      <c r="ER1" s="5" t="s">
        <v>1</v>
      </c>
      <c r="ES1" s="21" t="s">
        <v>1</v>
      </c>
      <c r="ET1" s="20"/>
    </row>
    <row r="2" spans="1:151" s="22" customFormat="1" ht="26" hidden="1" customHeight="1">
      <c r="A2" s="23" t="s">
        <v>5</v>
      </c>
      <c r="B2" s="24" t="s">
        <v>5</v>
      </c>
      <c r="C2" s="24" t="s">
        <v>5</v>
      </c>
      <c r="D2" s="24" t="s">
        <v>5</v>
      </c>
      <c r="E2" s="24" t="s">
        <v>5</v>
      </c>
      <c r="F2" s="24" t="s">
        <v>5</v>
      </c>
      <c r="G2" s="24" t="s">
        <v>5</v>
      </c>
      <c r="H2" s="24" t="s">
        <v>5</v>
      </c>
      <c r="I2" s="24" t="s">
        <v>5</v>
      </c>
      <c r="J2" s="24" t="s">
        <v>5</v>
      </c>
      <c r="K2" s="24" t="s">
        <v>5</v>
      </c>
      <c r="L2" s="24" t="s">
        <v>5</v>
      </c>
      <c r="M2" s="24" t="s">
        <v>5</v>
      </c>
      <c r="N2" s="24" t="s">
        <v>1</v>
      </c>
      <c r="O2" s="25" t="s">
        <v>6</v>
      </c>
      <c r="P2" s="25" t="s">
        <v>7</v>
      </c>
      <c r="Q2" s="26" t="s">
        <v>8</v>
      </c>
      <c r="R2" s="27"/>
      <c r="S2" s="28" t="s">
        <v>9</v>
      </c>
      <c r="T2" s="29" t="s">
        <v>9</v>
      </c>
      <c r="U2" s="29" t="s">
        <v>9</v>
      </c>
      <c r="V2" s="30" t="s">
        <v>10</v>
      </c>
      <c r="W2" s="30" t="s">
        <v>10</v>
      </c>
      <c r="X2" s="30" t="s">
        <v>10</v>
      </c>
      <c r="Y2" s="30" t="s">
        <v>10</v>
      </c>
      <c r="Z2" s="30" t="s">
        <v>10</v>
      </c>
      <c r="AA2" s="30" t="s">
        <v>10</v>
      </c>
      <c r="AB2" s="30" t="s">
        <v>10</v>
      </c>
      <c r="AC2" s="30" t="s">
        <v>10</v>
      </c>
      <c r="AD2" s="30" t="s">
        <v>10</v>
      </c>
      <c r="AE2" s="30" t="s">
        <v>10</v>
      </c>
      <c r="AF2" s="30" t="s">
        <v>10</v>
      </c>
      <c r="AG2" s="30" t="s">
        <v>10</v>
      </c>
      <c r="AH2" s="30" t="s">
        <v>10</v>
      </c>
      <c r="AI2" s="30" t="s">
        <v>10</v>
      </c>
      <c r="AJ2" s="30" t="s">
        <v>10</v>
      </c>
      <c r="AK2" s="30" t="s">
        <v>10</v>
      </c>
      <c r="AL2" s="30" t="s">
        <v>10</v>
      </c>
      <c r="AM2" s="31" t="s">
        <v>11</v>
      </c>
      <c r="AN2" s="31" t="s">
        <v>11</v>
      </c>
      <c r="AO2" s="31" t="s">
        <v>11</v>
      </c>
      <c r="AP2" s="31" t="s">
        <v>11</v>
      </c>
      <c r="AQ2" s="31" t="s">
        <v>11</v>
      </c>
      <c r="AR2" s="31" t="s">
        <v>11</v>
      </c>
      <c r="AS2" s="31" t="s">
        <v>11</v>
      </c>
      <c r="AT2" s="31" t="s">
        <v>11</v>
      </c>
      <c r="AU2" s="31" t="s">
        <v>11</v>
      </c>
      <c r="AV2" s="31" t="s">
        <v>11</v>
      </c>
      <c r="AW2" s="31" t="s">
        <v>11</v>
      </c>
      <c r="AX2" s="25" t="s">
        <v>7</v>
      </c>
      <c r="AY2" s="32" t="s">
        <v>12</v>
      </c>
      <c r="AZ2" s="33"/>
      <c r="BA2" s="33"/>
      <c r="BB2" s="33"/>
      <c r="BC2" s="33" t="s">
        <v>12</v>
      </c>
      <c r="BD2" s="33" t="s">
        <v>12</v>
      </c>
      <c r="BE2" s="33" t="s">
        <v>9</v>
      </c>
      <c r="BF2" s="34" t="s">
        <v>9</v>
      </c>
      <c r="BG2" s="35" t="s">
        <v>13</v>
      </c>
      <c r="BH2" s="36" t="s">
        <v>13</v>
      </c>
      <c r="BI2" s="36"/>
      <c r="BJ2" s="36" t="s">
        <v>13</v>
      </c>
      <c r="BK2" s="36" t="s">
        <v>13</v>
      </c>
      <c r="BL2" s="36" t="s">
        <v>13</v>
      </c>
      <c r="BM2" s="36" t="s">
        <v>13</v>
      </c>
      <c r="BN2" s="36" t="s">
        <v>13</v>
      </c>
      <c r="BO2" s="36" t="s">
        <v>13</v>
      </c>
      <c r="BP2" s="36" t="s">
        <v>13</v>
      </c>
      <c r="BQ2" s="36"/>
      <c r="BR2" s="36" t="s">
        <v>13</v>
      </c>
      <c r="BS2" s="36" t="s">
        <v>13</v>
      </c>
      <c r="BT2" s="36" t="s">
        <v>13</v>
      </c>
      <c r="BU2" s="36" t="s">
        <v>13</v>
      </c>
      <c r="BV2" s="36" t="s">
        <v>13</v>
      </c>
      <c r="BW2" s="36"/>
      <c r="BX2" s="36" t="s">
        <v>13</v>
      </c>
      <c r="BY2" s="37"/>
      <c r="BZ2" s="38" t="s">
        <v>14</v>
      </c>
      <c r="CA2" s="38" t="s">
        <v>14</v>
      </c>
      <c r="CB2" s="38" t="s">
        <v>14</v>
      </c>
      <c r="CC2" s="38" t="s">
        <v>14</v>
      </c>
      <c r="CD2" s="38" t="s">
        <v>14</v>
      </c>
      <c r="CE2" s="38" t="s">
        <v>14</v>
      </c>
      <c r="CF2" s="38" t="s">
        <v>14</v>
      </c>
      <c r="CG2" s="38" t="s">
        <v>14</v>
      </c>
      <c r="CH2" s="38" t="s">
        <v>14</v>
      </c>
      <c r="CI2" s="38" t="s">
        <v>14</v>
      </c>
      <c r="CJ2" s="38" t="s">
        <v>14</v>
      </c>
      <c r="CK2" s="38" t="s">
        <v>14</v>
      </c>
      <c r="CL2" s="38" t="s">
        <v>14</v>
      </c>
      <c r="CM2" s="38" t="s">
        <v>14</v>
      </c>
      <c r="CN2" s="39" t="s">
        <v>15</v>
      </c>
      <c r="CO2" s="39" t="s">
        <v>15</v>
      </c>
      <c r="CP2" s="39" t="s">
        <v>15</v>
      </c>
      <c r="CQ2" s="39" t="s">
        <v>15</v>
      </c>
      <c r="CR2" s="39" t="s">
        <v>15</v>
      </c>
      <c r="CS2" s="39" t="s">
        <v>15</v>
      </c>
      <c r="CT2" s="39" t="s">
        <v>15</v>
      </c>
      <c r="CU2" s="39" t="s">
        <v>15</v>
      </c>
      <c r="CV2" s="40" t="s">
        <v>15</v>
      </c>
      <c r="CW2" s="41" t="s">
        <v>16</v>
      </c>
      <c r="CX2" s="42" t="s">
        <v>16</v>
      </c>
      <c r="CY2" s="42" t="s">
        <v>16</v>
      </c>
      <c r="CZ2" s="42" t="s">
        <v>16</v>
      </c>
      <c r="DA2" s="42" t="s">
        <v>16</v>
      </c>
      <c r="DB2" s="42" t="s">
        <v>16</v>
      </c>
      <c r="DC2" s="42" t="s">
        <v>16</v>
      </c>
      <c r="DD2" s="42" t="s">
        <v>16</v>
      </c>
      <c r="DE2" s="42" t="s">
        <v>16</v>
      </c>
      <c r="DF2" s="42" t="s">
        <v>16</v>
      </c>
      <c r="DG2" s="42" t="s">
        <v>16</v>
      </c>
      <c r="DH2" s="42" t="s">
        <v>16</v>
      </c>
      <c r="DI2" s="43" t="s">
        <v>12</v>
      </c>
      <c r="DJ2" s="42" t="s">
        <v>16</v>
      </c>
      <c r="DK2" s="42" t="s">
        <v>16</v>
      </c>
      <c r="DL2" s="42" t="s">
        <v>16</v>
      </c>
      <c r="DM2" s="42" t="s">
        <v>16</v>
      </c>
      <c r="DN2" s="42" t="s">
        <v>16</v>
      </c>
      <c r="DO2" s="44" t="s">
        <v>17</v>
      </c>
      <c r="DP2" s="44" t="s">
        <v>17</v>
      </c>
      <c r="DQ2" s="44" t="s">
        <v>18</v>
      </c>
      <c r="DR2" s="44" t="s">
        <v>18</v>
      </c>
      <c r="DS2" s="44" t="s">
        <v>18</v>
      </c>
      <c r="DT2" s="43" t="s">
        <v>12</v>
      </c>
      <c r="DU2" s="43" t="s">
        <v>7</v>
      </c>
      <c r="DV2" s="44" t="s">
        <v>17</v>
      </c>
      <c r="DW2" s="44" t="s">
        <v>17</v>
      </c>
      <c r="DX2" s="44" t="s">
        <v>17</v>
      </c>
      <c r="DY2" s="44" t="s">
        <v>17</v>
      </c>
      <c r="DZ2" s="44" t="s">
        <v>17</v>
      </c>
      <c r="EA2" s="44" t="s">
        <v>17</v>
      </c>
      <c r="EB2" s="44" t="s">
        <v>17</v>
      </c>
      <c r="EC2" s="44" t="s">
        <v>17</v>
      </c>
      <c r="ED2" s="44" t="s">
        <v>17</v>
      </c>
      <c r="EE2" s="44" t="s">
        <v>17</v>
      </c>
      <c r="EF2" s="44" t="s">
        <v>17</v>
      </c>
      <c r="EG2" s="44" t="s">
        <v>17</v>
      </c>
      <c r="EH2" s="44" t="s">
        <v>17</v>
      </c>
      <c r="EI2" s="45" t="s">
        <v>17</v>
      </c>
      <c r="EJ2" s="46"/>
      <c r="EK2" s="47"/>
      <c r="EL2" s="47"/>
      <c r="EM2" s="48"/>
      <c r="EN2" s="49" t="s">
        <v>7</v>
      </c>
      <c r="EO2" s="50" t="s">
        <v>7</v>
      </c>
      <c r="EP2" s="50" t="s">
        <v>7</v>
      </c>
      <c r="EQ2" s="50" t="s">
        <v>7</v>
      </c>
      <c r="ER2" s="50" t="s">
        <v>7</v>
      </c>
      <c r="ES2" s="51" t="s">
        <v>12</v>
      </c>
      <c r="ET2" s="52"/>
    </row>
    <row r="3" spans="1:151" s="22" customFormat="1" ht="16" hidden="1" customHeight="1">
      <c r="A3" s="23"/>
      <c r="B3" s="24"/>
      <c r="C3" s="24"/>
      <c r="D3" s="24"/>
      <c r="E3" s="24"/>
      <c r="F3" s="24"/>
      <c r="G3" s="24"/>
      <c r="H3" s="24"/>
      <c r="I3" s="24"/>
      <c r="J3" s="24"/>
      <c r="K3" s="24"/>
      <c r="L3" s="24"/>
      <c r="M3" s="24"/>
      <c r="N3" s="24"/>
      <c r="O3" s="25"/>
      <c r="P3" s="25"/>
      <c r="Q3" s="26"/>
      <c r="R3" s="27"/>
      <c r="S3" s="28"/>
      <c r="T3" s="29"/>
      <c r="U3" s="29"/>
      <c r="V3" s="30" t="s">
        <v>19</v>
      </c>
      <c r="W3" s="30" t="s">
        <v>19</v>
      </c>
      <c r="X3" s="30" t="s">
        <v>19</v>
      </c>
      <c r="Y3" s="30" t="s">
        <v>19</v>
      </c>
      <c r="Z3" s="30" t="s">
        <v>19</v>
      </c>
      <c r="AA3" s="30" t="s">
        <v>19</v>
      </c>
      <c r="AB3" s="30" t="s">
        <v>19</v>
      </c>
      <c r="AC3" s="30" t="s">
        <v>19</v>
      </c>
      <c r="AD3" s="30" t="s">
        <v>19</v>
      </c>
      <c r="AE3" s="30" t="s">
        <v>19</v>
      </c>
      <c r="AF3" s="30" t="s">
        <v>19</v>
      </c>
      <c r="AG3" s="30" t="s">
        <v>19</v>
      </c>
      <c r="AH3" s="30" t="s">
        <v>19</v>
      </c>
      <c r="AI3" s="30" t="s">
        <v>19</v>
      </c>
      <c r="AJ3" s="30" t="s">
        <v>19</v>
      </c>
      <c r="AK3" s="30" t="s">
        <v>19</v>
      </c>
      <c r="AL3" s="30" t="s">
        <v>19</v>
      </c>
      <c r="AM3" s="53" t="s">
        <v>20</v>
      </c>
      <c r="AN3" s="53" t="s">
        <v>20</v>
      </c>
      <c r="AO3" s="53" t="s">
        <v>20</v>
      </c>
      <c r="AP3" s="53" t="s">
        <v>20</v>
      </c>
      <c r="AQ3" s="53" t="s">
        <v>20</v>
      </c>
      <c r="AR3" s="53" t="s">
        <v>20</v>
      </c>
      <c r="AS3" s="53" t="s">
        <v>20</v>
      </c>
      <c r="AT3" s="53" t="s">
        <v>20</v>
      </c>
      <c r="AU3" s="53" t="s">
        <v>20</v>
      </c>
      <c r="AV3" s="53" t="s">
        <v>20</v>
      </c>
      <c r="AW3" s="53" t="s">
        <v>20</v>
      </c>
      <c r="AX3" s="25"/>
      <c r="AY3" s="32"/>
      <c r="AZ3" s="33"/>
      <c r="BA3" s="33"/>
      <c r="BB3" s="33"/>
      <c r="BC3" s="33"/>
      <c r="BD3" s="33"/>
      <c r="BE3" s="33"/>
      <c r="BF3" s="34"/>
      <c r="BG3" s="35"/>
      <c r="BH3" s="36"/>
      <c r="BI3" s="36"/>
      <c r="BJ3" s="36"/>
      <c r="BK3" s="36"/>
      <c r="BL3" s="36"/>
      <c r="BM3" s="36"/>
      <c r="BN3" s="36"/>
      <c r="BO3" s="36"/>
      <c r="BP3" s="36"/>
      <c r="BQ3" s="36"/>
      <c r="BR3" s="36"/>
      <c r="BS3" s="36"/>
      <c r="BT3" s="36"/>
      <c r="BU3" s="36"/>
      <c r="BV3" s="36"/>
      <c r="BW3" s="36"/>
      <c r="BX3" s="36"/>
      <c r="BY3" s="37"/>
      <c r="BZ3" s="38"/>
      <c r="CA3" s="38"/>
      <c r="CB3" s="38"/>
      <c r="CC3" s="38"/>
      <c r="CD3" s="38"/>
      <c r="CE3" s="38"/>
      <c r="CF3" s="38"/>
      <c r="CG3" s="38"/>
      <c r="CH3" s="38"/>
      <c r="CI3" s="38"/>
      <c r="CJ3" s="38"/>
      <c r="CK3" s="38"/>
      <c r="CL3" s="38"/>
      <c r="CM3" s="38"/>
      <c r="CN3" s="39"/>
      <c r="CO3" s="39"/>
      <c r="CP3" s="39"/>
      <c r="CQ3" s="39"/>
      <c r="CR3" s="39"/>
      <c r="CS3" s="39"/>
      <c r="CT3" s="39"/>
      <c r="CU3" s="39"/>
      <c r="CV3" s="40"/>
      <c r="CW3" s="41"/>
      <c r="CX3" s="42"/>
      <c r="CY3" s="42"/>
      <c r="CZ3" s="42"/>
      <c r="DA3" s="42"/>
      <c r="DB3" s="42"/>
      <c r="DC3" s="42"/>
      <c r="DD3" s="42"/>
      <c r="DE3" s="42"/>
      <c r="DF3" s="42"/>
      <c r="DG3" s="42"/>
      <c r="DH3" s="44"/>
      <c r="DI3" s="43" t="s">
        <v>21</v>
      </c>
      <c r="DJ3" s="43"/>
      <c r="DK3" s="43"/>
      <c r="DL3" s="43"/>
      <c r="DM3" s="43"/>
      <c r="DN3" s="43"/>
      <c r="DO3" s="44" t="s">
        <v>22</v>
      </c>
      <c r="DP3" s="44" t="s">
        <v>22</v>
      </c>
      <c r="DQ3" s="44" t="s">
        <v>22</v>
      </c>
      <c r="DR3" s="44" t="s">
        <v>22</v>
      </c>
      <c r="DS3" s="44" t="s">
        <v>22</v>
      </c>
      <c r="DT3" s="43" t="s">
        <v>21</v>
      </c>
      <c r="DU3" s="43"/>
      <c r="DV3" s="44" t="s">
        <v>22</v>
      </c>
      <c r="DW3" s="44" t="s">
        <v>22</v>
      </c>
      <c r="DX3" s="44" t="s">
        <v>22</v>
      </c>
      <c r="DY3" s="44" t="s">
        <v>22</v>
      </c>
      <c r="DZ3" s="44" t="s">
        <v>22</v>
      </c>
      <c r="EA3" s="44" t="s">
        <v>22</v>
      </c>
      <c r="EB3" s="44" t="s">
        <v>22</v>
      </c>
      <c r="EC3" s="44" t="s">
        <v>22</v>
      </c>
      <c r="ED3" s="44" t="s">
        <v>22</v>
      </c>
      <c r="EE3" s="44" t="s">
        <v>22</v>
      </c>
      <c r="EF3" s="44" t="s">
        <v>23</v>
      </c>
      <c r="EG3" s="44" t="s">
        <v>24</v>
      </c>
      <c r="EH3" s="44" t="s">
        <v>25</v>
      </c>
      <c r="EI3" s="45" t="s">
        <v>26</v>
      </c>
      <c r="EJ3" s="46"/>
      <c r="EK3" s="47"/>
      <c r="EL3" s="47"/>
      <c r="EM3" s="48"/>
      <c r="EN3" s="49"/>
      <c r="EO3" s="50"/>
      <c r="EP3" s="50"/>
      <c r="EQ3" s="50"/>
      <c r="ER3" s="50"/>
      <c r="ES3" s="51"/>
      <c r="ET3" s="52"/>
    </row>
    <row r="4" spans="1:151" s="22" customFormat="1" ht="170">
      <c r="A4" s="54" t="s">
        <v>27</v>
      </c>
      <c r="B4" s="55" t="s">
        <v>28</v>
      </c>
      <c r="C4" s="55" t="s">
        <v>28</v>
      </c>
      <c r="D4" s="55" t="s">
        <v>29</v>
      </c>
      <c r="E4" s="55" t="s">
        <v>28</v>
      </c>
      <c r="F4" s="55" t="s">
        <v>28</v>
      </c>
      <c r="G4" s="55" t="s">
        <v>30</v>
      </c>
      <c r="H4" s="55" t="s">
        <v>27</v>
      </c>
      <c r="I4" s="55" t="s">
        <v>27</v>
      </c>
      <c r="J4" s="55" t="s">
        <v>27</v>
      </c>
      <c r="K4" s="55" t="s">
        <v>27</v>
      </c>
      <c r="L4" s="55" t="s">
        <v>27</v>
      </c>
      <c r="M4" s="55" t="s">
        <v>29</v>
      </c>
      <c r="N4" s="56" t="s">
        <v>31</v>
      </c>
      <c r="O4" s="57" t="s">
        <v>32</v>
      </c>
      <c r="P4" s="58" t="s">
        <v>33</v>
      </c>
      <c r="Q4" s="59"/>
      <c r="R4" s="60"/>
      <c r="S4" s="61" t="s">
        <v>34</v>
      </c>
      <c r="T4" s="62" t="s">
        <v>34</v>
      </c>
      <c r="U4" s="63" t="s">
        <v>34</v>
      </c>
      <c r="V4" s="64" t="s">
        <v>3426</v>
      </c>
      <c r="W4" s="64" t="s">
        <v>3426</v>
      </c>
      <c r="X4" s="64" t="s">
        <v>3426</v>
      </c>
      <c r="Y4" s="64" t="s">
        <v>3426</v>
      </c>
      <c r="Z4" s="64" t="s">
        <v>3425</v>
      </c>
      <c r="AA4" s="64" t="s">
        <v>3425</v>
      </c>
      <c r="AB4" s="64" t="s">
        <v>3425</v>
      </c>
      <c r="AC4" s="64" t="s">
        <v>3425</v>
      </c>
      <c r="AD4" s="65" t="s">
        <v>36</v>
      </c>
      <c r="AE4" s="65" t="s">
        <v>36</v>
      </c>
      <c r="AF4" s="65" t="s">
        <v>36</v>
      </c>
      <c r="AG4" s="65" t="s">
        <v>36</v>
      </c>
      <c r="AH4" s="65" t="s">
        <v>36</v>
      </c>
      <c r="AI4" s="65" t="s">
        <v>36</v>
      </c>
      <c r="AJ4" s="66" t="s">
        <v>37</v>
      </c>
      <c r="AK4" s="66" t="s">
        <v>37</v>
      </c>
      <c r="AL4" s="66" t="s">
        <v>37</v>
      </c>
      <c r="AM4" s="31" t="s">
        <v>11</v>
      </c>
      <c r="AN4" s="31" t="s">
        <v>11</v>
      </c>
      <c r="AO4" s="31" t="s">
        <v>11</v>
      </c>
      <c r="AP4" s="31" t="s">
        <v>11</v>
      </c>
      <c r="AQ4" s="31" t="s">
        <v>11</v>
      </c>
      <c r="AR4" s="31" t="s">
        <v>11</v>
      </c>
      <c r="AS4" s="67" t="s">
        <v>38</v>
      </c>
      <c r="AT4" s="67" t="s">
        <v>38</v>
      </c>
      <c r="AU4" s="67" t="s">
        <v>38</v>
      </c>
      <c r="AV4" s="67" t="s">
        <v>38</v>
      </c>
      <c r="AW4" s="67" t="s">
        <v>38</v>
      </c>
      <c r="AX4" s="68" t="s">
        <v>12</v>
      </c>
      <c r="AY4" s="68" t="s">
        <v>39</v>
      </c>
      <c r="AZ4" s="69"/>
      <c r="BA4" s="69"/>
      <c r="BB4" s="69"/>
      <c r="BC4" s="69" t="s">
        <v>40</v>
      </c>
      <c r="BD4" s="69" t="s">
        <v>40</v>
      </c>
      <c r="BE4" s="70" t="s">
        <v>41</v>
      </c>
      <c r="BF4" s="71" t="s">
        <v>41</v>
      </c>
      <c r="BG4" s="72" t="s">
        <v>42</v>
      </c>
      <c r="BH4" s="73" t="s">
        <v>42</v>
      </c>
      <c r="BI4" s="73"/>
      <c r="BJ4" s="73" t="s">
        <v>42</v>
      </c>
      <c r="BK4" s="73" t="s">
        <v>42</v>
      </c>
      <c r="BL4" s="73" t="s">
        <v>42</v>
      </c>
      <c r="BM4" s="73" t="s">
        <v>42</v>
      </c>
      <c r="BN4" s="73" t="s">
        <v>42</v>
      </c>
      <c r="BO4" s="73" t="s">
        <v>42</v>
      </c>
      <c r="BP4" s="74" t="s">
        <v>43</v>
      </c>
      <c r="BQ4" s="74" t="s">
        <v>43</v>
      </c>
      <c r="BR4" s="74" t="s">
        <v>43</v>
      </c>
      <c r="BS4" s="74" t="s">
        <v>43</v>
      </c>
      <c r="BT4" s="74" t="s">
        <v>43</v>
      </c>
      <c r="BU4" s="74" t="s">
        <v>43</v>
      </c>
      <c r="BV4" s="74" t="s">
        <v>43</v>
      </c>
      <c r="BW4" s="74"/>
      <c r="BX4" s="74" t="s">
        <v>43</v>
      </c>
      <c r="BY4" s="75" t="s">
        <v>44</v>
      </c>
      <c r="BZ4" s="22" t="s">
        <v>45</v>
      </c>
      <c r="CA4" s="76" t="s">
        <v>46</v>
      </c>
      <c r="CB4" s="76" t="s">
        <v>46</v>
      </c>
      <c r="CC4" s="76" t="s">
        <v>46</v>
      </c>
      <c r="CD4" s="76" t="s">
        <v>46</v>
      </c>
      <c r="CE4" s="76" t="s">
        <v>46</v>
      </c>
      <c r="CF4" s="76" t="s">
        <v>46</v>
      </c>
      <c r="CG4" s="76" t="s">
        <v>47</v>
      </c>
      <c r="CH4" s="76" t="s">
        <v>47</v>
      </c>
      <c r="CI4" s="76" t="s">
        <v>47</v>
      </c>
      <c r="CJ4" s="76" t="s">
        <v>47</v>
      </c>
      <c r="CK4" s="76" t="s">
        <v>47</v>
      </c>
      <c r="CL4" s="76" t="s">
        <v>48</v>
      </c>
      <c r="CM4" s="76" t="s">
        <v>49</v>
      </c>
      <c r="CN4" s="77" t="s">
        <v>34</v>
      </c>
      <c r="CO4" s="39" t="s">
        <v>42</v>
      </c>
      <c r="CP4" s="77" t="s">
        <v>13</v>
      </c>
      <c r="CQ4" s="77" t="s">
        <v>13</v>
      </c>
      <c r="CR4" s="77" t="s">
        <v>13</v>
      </c>
      <c r="CS4" s="77" t="s">
        <v>13</v>
      </c>
      <c r="CT4" s="77" t="s">
        <v>13</v>
      </c>
      <c r="CU4" s="77" t="s">
        <v>13</v>
      </c>
      <c r="CV4" s="78" t="s">
        <v>13</v>
      </c>
      <c r="CW4" s="79" t="s">
        <v>50</v>
      </c>
      <c r="CX4" s="26" t="s">
        <v>50</v>
      </c>
      <c r="CY4" s="80" t="s">
        <v>50</v>
      </c>
      <c r="CZ4" s="80" t="s">
        <v>51</v>
      </c>
      <c r="DA4" s="80" t="s">
        <v>51</v>
      </c>
      <c r="DB4" s="80" t="s">
        <v>51</v>
      </c>
      <c r="DC4" s="81"/>
      <c r="DD4" s="42" t="s">
        <v>52</v>
      </c>
      <c r="DE4" s="42" t="s">
        <v>52</v>
      </c>
      <c r="DF4" s="42" t="s">
        <v>52</v>
      </c>
      <c r="DG4" s="42" t="s">
        <v>52</v>
      </c>
      <c r="DH4" s="44" t="s">
        <v>53</v>
      </c>
      <c r="DI4" s="43" t="s">
        <v>12</v>
      </c>
      <c r="DJ4" s="42" t="s">
        <v>52</v>
      </c>
      <c r="DK4" s="42" t="s">
        <v>52</v>
      </c>
      <c r="DL4" s="42" t="s">
        <v>52</v>
      </c>
      <c r="DM4" s="42" t="s">
        <v>52</v>
      </c>
      <c r="DN4" s="42" t="s">
        <v>52</v>
      </c>
      <c r="DO4" s="82" t="s">
        <v>54</v>
      </c>
      <c r="DP4" s="82" t="s">
        <v>54</v>
      </c>
      <c r="DQ4" s="82" t="s">
        <v>54</v>
      </c>
      <c r="DR4" s="82" t="s">
        <v>54</v>
      </c>
      <c r="DS4" s="82" t="s">
        <v>54</v>
      </c>
      <c r="DT4" s="43" t="s">
        <v>12</v>
      </c>
      <c r="DU4" s="25" t="s">
        <v>54</v>
      </c>
      <c r="DV4" s="83" t="s">
        <v>55</v>
      </c>
      <c r="DW4" s="83" t="s">
        <v>55</v>
      </c>
      <c r="DX4" s="83" t="s">
        <v>55</v>
      </c>
      <c r="DY4" s="83" t="s">
        <v>55</v>
      </c>
      <c r="DZ4" s="83" t="s">
        <v>55</v>
      </c>
      <c r="EA4" s="83" t="s">
        <v>55</v>
      </c>
      <c r="EB4" s="83" t="s">
        <v>55</v>
      </c>
      <c r="EC4" s="83" t="s">
        <v>55</v>
      </c>
      <c r="ED4" s="83" t="s">
        <v>55</v>
      </c>
      <c r="EE4" s="83" t="s">
        <v>55</v>
      </c>
      <c r="EF4" s="84" t="s">
        <v>56</v>
      </c>
      <c r="EG4" s="84" t="s">
        <v>56</v>
      </c>
      <c r="EH4" s="84" t="s">
        <v>56</v>
      </c>
      <c r="EI4" s="85" t="s">
        <v>56</v>
      </c>
      <c r="EJ4" s="46"/>
      <c r="EK4" s="47"/>
      <c r="EL4" s="47"/>
      <c r="EM4" s="48"/>
      <c r="EN4" s="86" t="s">
        <v>12</v>
      </c>
      <c r="EO4" s="87" t="s">
        <v>12</v>
      </c>
      <c r="EP4" s="87" t="s">
        <v>12</v>
      </c>
      <c r="EQ4" s="87" t="s">
        <v>12</v>
      </c>
      <c r="ER4" s="87" t="s">
        <v>12</v>
      </c>
      <c r="ES4" s="88" t="s">
        <v>57</v>
      </c>
      <c r="ET4" s="52"/>
    </row>
    <row r="5" spans="1:151" s="22" customFormat="1">
      <c r="A5" s="54"/>
      <c r="B5" s="55"/>
      <c r="C5" s="55"/>
      <c r="D5" s="55"/>
      <c r="E5" s="55"/>
      <c r="F5" s="55"/>
      <c r="G5" s="55"/>
      <c r="H5" s="55"/>
      <c r="I5" s="55"/>
      <c r="J5" s="55"/>
      <c r="K5" s="55"/>
      <c r="L5" s="55"/>
      <c r="M5" s="55"/>
      <c r="N5" s="56"/>
      <c r="O5" s="57"/>
      <c r="P5" s="58"/>
      <c r="Q5" s="59"/>
      <c r="R5" s="60"/>
      <c r="S5" s="61"/>
      <c r="T5" s="62"/>
      <c r="U5" s="63"/>
      <c r="V5" s="89" t="s">
        <v>58</v>
      </c>
      <c r="W5" s="89" t="s">
        <v>58</v>
      </c>
      <c r="X5" s="89" t="s">
        <v>58</v>
      </c>
      <c r="Y5" s="89" t="s">
        <v>58</v>
      </c>
      <c r="Z5" s="89" t="s">
        <v>58</v>
      </c>
      <c r="AA5" s="89" t="s">
        <v>58</v>
      </c>
      <c r="AB5" s="89" t="s">
        <v>58</v>
      </c>
      <c r="AC5" s="89" t="s">
        <v>58</v>
      </c>
      <c r="AD5" s="30" t="s">
        <v>19</v>
      </c>
      <c r="AE5" s="30" t="s">
        <v>19</v>
      </c>
      <c r="AF5" s="30" t="s">
        <v>19</v>
      </c>
      <c r="AG5" s="30" t="s">
        <v>19</v>
      </c>
      <c r="AH5" s="30" t="s">
        <v>19</v>
      </c>
      <c r="AI5" s="30" t="s">
        <v>19</v>
      </c>
      <c r="AJ5" s="90" t="s">
        <v>59</v>
      </c>
      <c r="AK5" s="90" t="s">
        <v>59</v>
      </c>
      <c r="AL5" s="90" t="s">
        <v>59</v>
      </c>
      <c r="AM5" s="53" t="s">
        <v>60</v>
      </c>
      <c r="AN5" s="53" t="s">
        <v>60</v>
      </c>
      <c r="AO5" s="53" t="s">
        <v>60</v>
      </c>
      <c r="AP5" s="53" t="s">
        <v>60</v>
      </c>
      <c r="AQ5" s="53" t="s">
        <v>60</v>
      </c>
      <c r="AR5" s="53" t="s">
        <v>60</v>
      </c>
      <c r="AS5" s="91" t="s">
        <v>61</v>
      </c>
      <c r="AT5" s="91" t="s">
        <v>61</v>
      </c>
      <c r="AU5" s="91" t="s">
        <v>61</v>
      </c>
      <c r="AV5" s="91" t="s">
        <v>61</v>
      </c>
      <c r="AW5" s="91" t="s">
        <v>61</v>
      </c>
      <c r="AX5" s="68"/>
      <c r="AY5" s="68"/>
      <c r="AZ5" s="69"/>
      <c r="BA5" s="69"/>
      <c r="BB5" s="69"/>
      <c r="BC5" s="69"/>
      <c r="BD5" s="69"/>
      <c r="BE5" s="70"/>
      <c r="BF5" s="71"/>
      <c r="BG5" s="72"/>
      <c r="BH5" s="73"/>
      <c r="BI5" s="73"/>
      <c r="BJ5" s="73"/>
      <c r="BK5" s="73"/>
      <c r="BL5" s="73"/>
      <c r="BM5" s="73"/>
      <c r="BN5" s="73"/>
      <c r="BO5" s="73"/>
      <c r="BP5" s="74"/>
      <c r="BQ5" s="74"/>
      <c r="BR5" s="74"/>
      <c r="BS5" s="74"/>
      <c r="BT5" s="74"/>
      <c r="BU5" s="74"/>
      <c r="BV5" s="74"/>
      <c r="BW5" s="74"/>
      <c r="BX5" s="74"/>
      <c r="BY5" s="75"/>
      <c r="CA5" s="76"/>
      <c r="CB5" s="76"/>
      <c r="CC5" s="76"/>
      <c r="CD5" s="76"/>
      <c r="CE5" s="76"/>
      <c r="CF5" s="76"/>
      <c r="CG5" s="76"/>
      <c r="CH5" s="76"/>
      <c r="CI5" s="76"/>
      <c r="CJ5" s="76"/>
      <c r="CK5" s="76"/>
      <c r="CL5" s="76"/>
      <c r="CM5" s="76"/>
      <c r="CN5" s="77"/>
      <c r="CO5" s="39"/>
      <c r="CP5" s="77"/>
      <c r="CQ5" s="77"/>
      <c r="CR5" s="77"/>
      <c r="CS5" s="77"/>
      <c r="CT5" s="77"/>
      <c r="CU5" s="77"/>
      <c r="CV5" s="78"/>
      <c r="CW5" s="79"/>
      <c r="CX5" s="26"/>
      <c r="CY5" s="80"/>
      <c r="CZ5" s="80"/>
      <c r="DA5" s="80"/>
      <c r="DB5" s="80"/>
      <c r="DC5" s="81"/>
      <c r="DD5" s="42"/>
      <c r="DE5" s="42"/>
      <c r="DF5" s="42"/>
      <c r="DG5" s="42"/>
      <c r="DH5" s="92"/>
      <c r="DI5" s="43" t="s">
        <v>21</v>
      </c>
      <c r="DJ5" s="93"/>
      <c r="DK5" s="93"/>
      <c r="DL5" s="93"/>
      <c r="DM5" s="93"/>
      <c r="DN5" s="93"/>
      <c r="DO5" s="94" t="s">
        <v>62</v>
      </c>
      <c r="DP5" s="94" t="s">
        <v>62</v>
      </c>
      <c r="DQ5" s="94" t="s">
        <v>62</v>
      </c>
      <c r="DR5" s="94" t="s">
        <v>62</v>
      </c>
      <c r="DS5" s="94" t="s">
        <v>62</v>
      </c>
      <c r="DT5" s="43" t="s">
        <v>21</v>
      </c>
      <c r="DU5" s="95"/>
      <c r="DV5" s="44" t="s">
        <v>22</v>
      </c>
      <c r="DW5" s="44" t="s">
        <v>22</v>
      </c>
      <c r="DX5" s="44" t="s">
        <v>22</v>
      </c>
      <c r="DY5" s="44" t="s">
        <v>22</v>
      </c>
      <c r="DZ5" s="44" t="s">
        <v>22</v>
      </c>
      <c r="EA5" s="44" t="s">
        <v>22</v>
      </c>
      <c r="EB5" s="44" t="s">
        <v>22</v>
      </c>
      <c r="EC5" s="44" t="s">
        <v>22</v>
      </c>
      <c r="ED5" s="44" t="s">
        <v>22</v>
      </c>
      <c r="EE5" s="44" t="s">
        <v>22</v>
      </c>
      <c r="EF5" s="96" t="s">
        <v>63</v>
      </c>
      <c r="EG5" s="96" t="s">
        <v>63</v>
      </c>
      <c r="EH5" s="96" t="s">
        <v>63</v>
      </c>
      <c r="EI5" s="97" t="s">
        <v>63</v>
      </c>
      <c r="EJ5" s="46"/>
      <c r="EK5" s="47"/>
      <c r="EL5" s="47"/>
      <c r="EM5" s="48"/>
      <c r="EN5" s="86"/>
      <c r="EO5" s="87"/>
      <c r="EP5" s="87"/>
      <c r="EQ5" s="87"/>
      <c r="ER5" s="87"/>
      <c r="ES5" s="88"/>
      <c r="ET5" s="52"/>
    </row>
    <row r="6" spans="1:151" s="22" customFormat="1" ht="44" customHeight="1">
      <c r="A6" s="54" t="s">
        <v>27</v>
      </c>
      <c r="B6" s="55" t="s">
        <v>28</v>
      </c>
      <c r="C6" s="55" t="s">
        <v>28</v>
      </c>
      <c r="D6" s="55" t="s">
        <v>29</v>
      </c>
      <c r="E6" s="55" t="s">
        <v>28</v>
      </c>
      <c r="F6" s="55" t="s">
        <v>28</v>
      </c>
      <c r="G6" s="55" t="s">
        <v>30</v>
      </c>
      <c r="H6" s="55" t="s">
        <v>27</v>
      </c>
      <c r="I6" s="55" t="s">
        <v>27</v>
      </c>
      <c r="J6" s="55" t="s">
        <v>27</v>
      </c>
      <c r="K6" s="55" t="s">
        <v>27</v>
      </c>
      <c r="L6" s="55" t="s">
        <v>27</v>
      </c>
      <c r="M6" s="55" t="s">
        <v>29</v>
      </c>
      <c r="N6" s="56" t="s">
        <v>31</v>
      </c>
      <c r="O6" s="57" t="s">
        <v>32</v>
      </c>
      <c r="P6" s="58" t="s">
        <v>33</v>
      </c>
      <c r="Q6" s="59"/>
      <c r="R6" s="60" t="s">
        <v>12</v>
      </c>
      <c r="S6" s="61" t="s">
        <v>34</v>
      </c>
      <c r="T6" s="62" t="s">
        <v>34</v>
      </c>
      <c r="U6" s="63" t="s">
        <v>34</v>
      </c>
      <c r="V6" s="64" t="s">
        <v>35</v>
      </c>
      <c r="W6" s="64" t="s">
        <v>3426</v>
      </c>
      <c r="X6" s="64" t="s">
        <v>3426</v>
      </c>
      <c r="Y6" s="64" t="s">
        <v>3426</v>
      </c>
      <c r="Z6" s="64" t="s">
        <v>3425</v>
      </c>
      <c r="AA6" s="64" t="s">
        <v>3426</v>
      </c>
      <c r="AB6" s="64" t="s">
        <v>3425</v>
      </c>
      <c r="AC6" s="64" t="s">
        <v>3425</v>
      </c>
      <c r="AD6" s="65" t="s">
        <v>36</v>
      </c>
      <c r="AE6" s="65" t="s">
        <v>36</v>
      </c>
      <c r="AF6" s="65" t="s">
        <v>36</v>
      </c>
      <c r="AG6" s="65" t="s">
        <v>36</v>
      </c>
      <c r="AH6" s="65" t="s">
        <v>36</v>
      </c>
      <c r="AI6" s="65" t="s">
        <v>36</v>
      </c>
      <c r="AJ6" s="66" t="s">
        <v>37</v>
      </c>
      <c r="AK6" s="66" t="s">
        <v>37</v>
      </c>
      <c r="AL6" s="66" t="s">
        <v>37</v>
      </c>
      <c r="AM6" s="31" t="s">
        <v>11</v>
      </c>
      <c r="AN6" s="31" t="s">
        <v>11</v>
      </c>
      <c r="AO6" s="31" t="s">
        <v>11</v>
      </c>
      <c r="AP6" s="31" t="s">
        <v>11</v>
      </c>
      <c r="AQ6" s="31" t="s">
        <v>11</v>
      </c>
      <c r="AR6" s="31" t="s">
        <v>11</v>
      </c>
      <c r="AS6" s="67" t="s">
        <v>38</v>
      </c>
      <c r="AT6" s="67" t="s">
        <v>38</v>
      </c>
      <c r="AU6" s="67" t="s">
        <v>38</v>
      </c>
      <c r="AV6" s="67" t="s">
        <v>38</v>
      </c>
      <c r="AW6" s="67" t="s">
        <v>38</v>
      </c>
      <c r="AX6" s="68" t="s">
        <v>12</v>
      </c>
      <c r="AY6" s="68" t="s">
        <v>39</v>
      </c>
      <c r="AZ6" s="69"/>
      <c r="BA6" s="69"/>
      <c r="BB6" s="69"/>
      <c r="BC6" s="69" t="s">
        <v>40</v>
      </c>
      <c r="BD6" s="69" t="s">
        <v>40</v>
      </c>
      <c r="BE6" s="70" t="s">
        <v>41</v>
      </c>
      <c r="BF6" s="71" t="s">
        <v>41</v>
      </c>
      <c r="BG6" s="72" t="s">
        <v>42</v>
      </c>
      <c r="BH6" s="73" t="s">
        <v>42</v>
      </c>
      <c r="BI6" s="73"/>
      <c r="BJ6" s="73" t="s">
        <v>42</v>
      </c>
      <c r="BK6" s="73" t="s">
        <v>42</v>
      </c>
      <c r="BL6" s="73" t="s">
        <v>42</v>
      </c>
      <c r="BM6" s="73" t="s">
        <v>42</v>
      </c>
      <c r="BN6" s="73" t="s">
        <v>42</v>
      </c>
      <c r="BO6" s="73" t="s">
        <v>42</v>
      </c>
      <c r="BP6" s="74" t="s">
        <v>43</v>
      </c>
      <c r="BQ6" s="74" t="s">
        <v>43</v>
      </c>
      <c r="BR6" s="74" t="s">
        <v>43</v>
      </c>
      <c r="BS6" s="74" t="s">
        <v>43</v>
      </c>
      <c r="BT6" s="74" t="s">
        <v>43</v>
      </c>
      <c r="BU6" s="74" t="s">
        <v>43</v>
      </c>
      <c r="BV6" s="74" t="s">
        <v>43</v>
      </c>
      <c r="BW6" s="74"/>
      <c r="BX6" s="74" t="s">
        <v>43</v>
      </c>
      <c r="BY6" s="75" t="s">
        <v>44</v>
      </c>
      <c r="BZ6" s="22" t="s">
        <v>45</v>
      </c>
      <c r="CA6" s="76" t="s">
        <v>46</v>
      </c>
      <c r="CB6" s="76" t="s">
        <v>46</v>
      </c>
      <c r="CC6" s="76" t="s">
        <v>46</v>
      </c>
      <c r="CD6" s="76" t="s">
        <v>46</v>
      </c>
      <c r="CE6" s="76" t="s">
        <v>46</v>
      </c>
      <c r="CF6" s="76" t="s">
        <v>46</v>
      </c>
      <c r="CG6" s="76" t="s">
        <v>47</v>
      </c>
      <c r="CH6" s="76" t="s">
        <v>47</v>
      </c>
      <c r="CI6" s="76" t="s">
        <v>47</v>
      </c>
      <c r="CJ6" s="76" t="s">
        <v>47</v>
      </c>
      <c r="CK6" s="76" t="s">
        <v>47</v>
      </c>
      <c r="CL6" s="76" t="s">
        <v>48</v>
      </c>
      <c r="CM6" s="76" t="s">
        <v>49</v>
      </c>
      <c r="CN6" s="77" t="s">
        <v>34</v>
      </c>
      <c r="CO6" s="39" t="s">
        <v>42</v>
      </c>
      <c r="CP6" s="77" t="s">
        <v>13</v>
      </c>
      <c r="CQ6" s="77" t="s">
        <v>13</v>
      </c>
      <c r="CR6" s="77" t="s">
        <v>13</v>
      </c>
      <c r="CS6" s="77" t="s">
        <v>13</v>
      </c>
      <c r="CT6" s="77" t="s">
        <v>13</v>
      </c>
      <c r="CU6" s="77" t="s">
        <v>13</v>
      </c>
      <c r="CV6" s="78" t="s">
        <v>13</v>
      </c>
      <c r="CW6" s="79" t="s">
        <v>50</v>
      </c>
      <c r="CX6" s="26" t="s">
        <v>50</v>
      </c>
      <c r="CY6" s="80" t="s">
        <v>50</v>
      </c>
      <c r="CZ6" s="80" t="s">
        <v>51</v>
      </c>
      <c r="DA6" s="80" t="s">
        <v>51</v>
      </c>
      <c r="DB6" s="80" t="s">
        <v>51</v>
      </c>
      <c r="DC6" s="81"/>
      <c r="DD6" s="42" t="s">
        <v>52</v>
      </c>
      <c r="DE6" s="42" t="s">
        <v>52</v>
      </c>
      <c r="DF6" s="42" t="s">
        <v>52</v>
      </c>
      <c r="DG6" s="42" t="s">
        <v>52</v>
      </c>
      <c r="DH6" s="44" t="s">
        <v>53</v>
      </c>
      <c r="DI6" s="98" t="s">
        <v>12</v>
      </c>
      <c r="DJ6" s="99" t="s">
        <v>52</v>
      </c>
      <c r="DK6" s="99" t="s">
        <v>52</v>
      </c>
      <c r="DL6" s="99" t="s">
        <v>52</v>
      </c>
      <c r="DM6" s="99" t="s">
        <v>52</v>
      </c>
      <c r="DN6" s="99" t="s">
        <v>52</v>
      </c>
      <c r="DO6" s="82" t="s">
        <v>54</v>
      </c>
      <c r="DP6" s="82" t="s">
        <v>54</v>
      </c>
      <c r="DQ6" s="82" t="s">
        <v>54</v>
      </c>
      <c r="DR6" s="82" t="s">
        <v>54</v>
      </c>
      <c r="DS6" s="82" t="s">
        <v>54</v>
      </c>
      <c r="DT6" s="43" t="s">
        <v>12</v>
      </c>
      <c r="DU6" s="25" t="s">
        <v>54</v>
      </c>
      <c r="DV6" s="100" t="s">
        <v>64</v>
      </c>
      <c r="DW6" s="100" t="s">
        <v>64</v>
      </c>
      <c r="DX6" s="100" t="s">
        <v>64</v>
      </c>
      <c r="DY6" s="100" t="s">
        <v>65</v>
      </c>
      <c r="DZ6" s="100" t="s">
        <v>65</v>
      </c>
      <c r="EA6" s="100" t="s">
        <v>65</v>
      </c>
      <c r="EB6" s="83" t="s">
        <v>66</v>
      </c>
      <c r="EC6" s="83" t="s">
        <v>67</v>
      </c>
      <c r="ED6" s="83" t="s">
        <v>67</v>
      </c>
      <c r="EE6" s="83" t="s">
        <v>67</v>
      </c>
      <c r="EF6" s="84" t="s">
        <v>68</v>
      </c>
      <c r="EG6" s="84" t="s">
        <v>68</v>
      </c>
      <c r="EH6" s="84" t="s">
        <v>69</v>
      </c>
      <c r="EI6" s="85" t="s">
        <v>69</v>
      </c>
      <c r="EJ6" s="46"/>
      <c r="EK6" s="101">
        <f>COUNTIF(EK8:EK1732,"Whole sector")</f>
        <v>378</v>
      </c>
      <c r="EL6" s="101">
        <f>COUNTIF(EL8:EL1732,"Ecosystem approach")</f>
        <v>165</v>
      </c>
      <c r="EM6" s="102">
        <f>COUNTIF($EM8:EM1732,"Technology approach")</f>
        <v>255</v>
      </c>
      <c r="EN6" s="86" t="s">
        <v>12</v>
      </c>
      <c r="EO6" s="87" t="s">
        <v>12</v>
      </c>
      <c r="EP6" s="87" t="s">
        <v>12</v>
      </c>
      <c r="EQ6" s="87" t="s">
        <v>12</v>
      </c>
      <c r="ER6" s="87" t="s">
        <v>12</v>
      </c>
      <c r="ES6" s="88" t="s">
        <v>57</v>
      </c>
      <c r="ET6" s="103" t="s">
        <v>70</v>
      </c>
    </row>
    <row r="7" spans="1:151" s="104" customFormat="1" ht="100" customHeight="1">
      <c r="A7" s="105" t="s">
        <v>71</v>
      </c>
      <c r="B7" s="106" t="s">
        <v>72</v>
      </c>
      <c r="C7" s="106" t="s">
        <v>73</v>
      </c>
      <c r="D7" s="107" t="s">
        <v>29</v>
      </c>
      <c r="E7" s="106" t="s">
        <v>74</v>
      </c>
      <c r="F7" s="106" t="s">
        <v>75</v>
      </c>
      <c r="G7" s="106" t="s">
        <v>76</v>
      </c>
      <c r="H7" s="106" t="s">
        <v>77</v>
      </c>
      <c r="I7" s="106" t="s">
        <v>78</v>
      </c>
      <c r="J7" s="106" t="s">
        <v>79</v>
      </c>
      <c r="K7" s="106" t="s">
        <v>80</v>
      </c>
      <c r="L7" s="108" t="s">
        <v>81</v>
      </c>
      <c r="M7" s="109" t="s">
        <v>82</v>
      </c>
      <c r="N7" s="110" t="s">
        <v>31</v>
      </c>
      <c r="O7" s="111" t="s">
        <v>83</v>
      </c>
      <c r="P7" s="112" t="s">
        <v>84</v>
      </c>
      <c r="Q7" s="113" t="s">
        <v>8</v>
      </c>
      <c r="R7" s="114" t="s">
        <v>85</v>
      </c>
      <c r="S7" s="115" t="s">
        <v>86</v>
      </c>
      <c r="T7" s="116" t="s">
        <v>87</v>
      </c>
      <c r="U7" s="117" t="s">
        <v>88</v>
      </c>
      <c r="V7" s="118" t="s">
        <v>89</v>
      </c>
      <c r="W7" s="118" t="s">
        <v>90</v>
      </c>
      <c r="X7" s="118" t="s">
        <v>91</v>
      </c>
      <c r="Y7" s="119" t="s">
        <v>92</v>
      </c>
      <c r="Z7" s="118" t="s">
        <v>93</v>
      </c>
      <c r="AA7" s="119" t="s">
        <v>94</v>
      </c>
      <c r="AB7" s="118" t="s">
        <v>95</v>
      </c>
      <c r="AC7" s="119" t="s">
        <v>96</v>
      </c>
      <c r="AD7" s="118" t="s">
        <v>97</v>
      </c>
      <c r="AE7" s="119" t="s">
        <v>98</v>
      </c>
      <c r="AF7" s="118" t="s">
        <v>99</v>
      </c>
      <c r="AG7" s="119" t="s">
        <v>100</v>
      </c>
      <c r="AH7" s="118" t="s">
        <v>101</v>
      </c>
      <c r="AI7" s="119" t="s">
        <v>102</v>
      </c>
      <c r="AJ7" s="119" t="s">
        <v>103</v>
      </c>
      <c r="AK7" s="119" t="s">
        <v>104</v>
      </c>
      <c r="AL7" s="118" t="s">
        <v>105</v>
      </c>
      <c r="AM7" s="118" t="s">
        <v>106</v>
      </c>
      <c r="AN7" s="118" t="s">
        <v>107</v>
      </c>
      <c r="AO7" s="119" t="s">
        <v>108</v>
      </c>
      <c r="AP7" s="118" t="s">
        <v>109</v>
      </c>
      <c r="AQ7" s="119" t="s">
        <v>110</v>
      </c>
      <c r="AR7" s="118" t="s">
        <v>111</v>
      </c>
      <c r="AS7" s="118" t="s">
        <v>112</v>
      </c>
      <c r="AT7" s="119" t="s">
        <v>113</v>
      </c>
      <c r="AU7" s="118" t="s">
        <v>114</v>
      </c>
      <c r="AV7" s="119" t="s">
        <v>115</v>
      </c>
      <c r="AW7" s="118" t="s">
        <v>116</v>
      </c>
      <c r="AX7" s="120" t="s">
        <v>117</v>
      </c>
      <c r="AY7" s="121" t="s">
        <v>118</v>
      </c>
      <c r="AZ7" s="113" t="s">
        <v>119</v>
      </c>
      <c r="BA7" s="113" t="s">
        <v>120</v>
      </c>
      <c r="BB7" s="113" t="s">
        <v>121</v>
      </c>
      <c r="BC7" s="113" t="s">
        <v>122</v>
      </c>
      <c r="BD7" s="113" t="s">
        <v>123</v>
      </c>
      <c r="BE7" s="113" t="s">
        <v>124</v>
      </c>
      <c r="BF7" s="114" t="s">
        <v>125</v>
      </c>
      <c r="BG7" s="122" t="s">
        <v>126</v>
      </c>
      <c r="BH7" s="123" t="s">
        <v>127</v>
      </c>
      <c r="BI7" s="123" t="s">
        <v>128</v>
      </c>
      <c r="BJ7" s="124" t="s">
        <v>129</v>
      </c>
      <c r="BK7" s="123" t="s">
        <v>130</v>
      </c>
      <c r="BL7" s="124" t="s">
        <v>131</v>
      </c>
      <c r="BM7" s="124" t="s">
        <v>132</v>
      </c>
      <c r="BN7" s="124" t="s">
        <v>133</v>
      </c>
      <c r="BO7" s="124" t="s">
        <v>134</v>
      </c>
      <c r="BP7" s="125" t="s">
        <v>135</v>
      </c>
      <c r="BQ7" s="125" t="s">
        <v>136</v>
      </c>
      <c r="BR7" s="123" t="s">
        <v>137</v>
      </c>
      <c r="BS7" s="124" t="s">
        <v>138</v>
      </c>
      <c r="BT7" s="123" t="s">
        <v>139</v>
      </c>
      <c r="BU7" s="123" t="s">
        <v>140</v>
      </c>
      <c r="BV7" s="118" t="s">
        <v>141</v>
      </c>
      <c r="BW7" s="118"/>
      <c r="BX7" s="118" t="s">
        <v>142</v>
      </c>
      <c r="BY7" s="118" t="s">
        <v>143</v>
      </c>
      <c r="BZ7" s="119" t="s">
        <v>144</v>
      </c>
      <c r="CA7" s="118" t="s">
        <v>145</v>
      </c>
      <c r="CB7" s="119" t="s">
        <v>146</v>
      </c>
      <c r="CC7" s="118" t="s">
        <v>147</v>
      </c>
      <c r="CD7" s="119" t="s">
        <v>148</v>
      </c>
      <c r="CE7" s="118" t="s">
        <v>149</v>
      </c>
      <c r="CF7" s="119" t="s">
        <v>150</v>
      </c>
      <c r="CG7" s="118" t="s">
        <v>151</v>
      </c>
      <c r="CH7" s="119" t="s">
        <v>152</v>
      </c>
      <c r="CI7" s="118" t="s">
        <v>153</v>
      </c>
      <c r="CJ7" s="118" t="s">
        <v>154</v>
      </c>
      <c r="CK7" s="118" t="s">
        <v>155</v>
      </c>
      <c r="CL7" s="118" t="s">
        <v>156</v>
      </c>
      <c r="CM7" s="119" t="s">
        <v>157</v>
      </c>
      <c r="CN7" s="126" t="s">
        <v>158</v>
      </c>
      <c r="CO7" s="126" t="s">
        <v>159</v>
      </c>
      <c r="CP7" s="126" t="s">
        <v>160</v>
      </c>
      <c r="CQ7" s="126" t="s">
        <v>161</v>
      </c>
      <c r="CR7" s="127" t="s">
        <v>162</v>
      </c>
      <c r="CS7" s="127" t="s">
        <v>163</v>
      </c>
      <c r="CT7" s="113" t="s">
        <v>142</v>
      </c>
      <c r="CU7" s="113" t="s">
        <v>164</v>
      </c>
      <c r="CV7" s="114" t="s">
        <v>165</v>
      </c>
      <c r="CW7" s="128" t="s">
        <v>166</v>
      </c>
      <c r="CX7" s="113" t="s">
        <v>167</v>
      </c>
      <c r="CY7" s="123" t="s">
        <v>168</v>
      </c>
      <c r="CZ7" s="123" t="s">
        <v>169</v>
      </c>
      <c r="DA7" s="117" t="s">
        <v>170</v>
      </c>
      <c r="DB7" s="117" t="s">
        <v>171</v>
      </c>
      <c r="DC7" s="129" t="s">
        <v>172</v>
      </c>
      <c r="DD7" s="118" t="s">
        <v>173</v>
      </c>
      <c r="DE7" s="119" t="s">
        <v>174</v>
      </c>
      <c r="DF7" s="118" t="s">
        <v>175</v>
      </c>
      <c r="DG7" s="119" t="s">
        <v>176</v>
      </c>
      <c r="DH7" s="118" t="s">
        <v>177</v>
      </c>
      <c r="DI7" s="130" t="s">
        <v>178</v>
      </c>
      <c r="DJ7" s="130" t="s">
        <v>179</v>
      </c>
      <c r="DK7" s="130" t="s">
        <v>180</v>
      </c>
      <c r="DL7" s="130" t="s">
        <v>181</v>
      </c>
      <c r="DM7" s="130" t="s">
        <v>182</v>
      </c>
      <c r="DN7" s="130" t="s">
        <v>183</v>
      </c>
      <c r="DO7" s="118" t="s">
        <v>184</v>
      </c>
      <c r="DP7" s="119" t="s">
        <v>185</v>
      </c>
      <c r="DQ7" s="119" t="s">
        <v>186</v>
      </c>
      <c r="DR7" s="118" t="s">
        <v>187</v>
      </c>
      <c r="DS7" s="119" t="s">
        <v>188</v>
      </c>
      <c r="DT7" s="113" t="s">
        <v>189</v>
      </c>
      <c r="DU7" s="120" t="s">
        <v>190</v>
      </c>
      <c r="DV7" s="119" t="s">
        <v>191</v>
      </c>
      <c r="DW7" s="119" t="s">
        <v>192</v>
      </c>
      <c r="DX7" s="118" t="s">
        <v>193</v>
      </c>
      <c r="DY7" s="118" t="s">
        <v>194</v>
      </c>
      <c r="DZ7" s="118" t="s">
        <v>195</v>
      </c>
      <c r="EA7" s="131" t="s">
        <v>196</v>
      </c>
      <c r="EB7" s="119" t="s">
        <v>197</v>
      </c>
      <c r="EC7" s="118" t="s">
        <v>198</v>
      </c>
      <c r="ED7" s="119" t="s">
        <v>199</v>
      </c>
      <c r="EE7" s="118" t="s">
        <v>200</v>
      </c>
      <c r="EF7" s="118" t="s">
        <v>201</v>
      </c>
      <c r="EG7" s="119" t="s">
        <v>202</v>
      </c>
      <c r="EH7" s="119" t="s">
        <v>203</v>
      </c>
      <c r="EI7" s="132" t="s">
        <v>204</v>
      </c>
      <c r="EJ7" s="133" t="s">
        <v>205</v>
      </c>
      <c r="EK7" s="134" t="s">
        <v>206</v>
      </c>
      <c r="EL7" s="134" t="s">
        <v>207</v>
      </c>
      <c r="EM7" s="135" t="s">
        <v>208</v>
      </c>
      <c r="EN7" s="136" t="s">
        <v>209</v>
      </c>
      <c r="EO7" s="118" t="s">
        <v>210</v>
      </c>
      <c r="EP7" s="118" t="s">
        <v>211</v>
      </c>
      <c r="EQ7" s="118" t="s">
        <v>212</v>
      </c>
      <c r="ER7" s="118" t="s">
        <v>213</v>
      </c>
      <c r="ES7" s="137" t="s">
        <v>214</v>
      </c>
      <c r="ET7" s="138"/>
    </row>
    <row r="8" spans="1:151" s="139" customFormat="1" ht="15" hidden="1" customHeight="1">
      <c r="A8" s="1" t="s">
        <v>1272</v>
      </c>
      <c r="B8" t="s">
        <v>1871</v>
      </c>
      <c r="C8" t="s">
        <v>1872</v>
      </c>
      <c r="D8" t="s">
        <v>1873</v>
      </c>
      <c r="E8" t="s">
        <v>1874</v>
      </c>
      <c r="F8" t="s">
        <v>1875</v>
      </c>
      <c r="G8" t="s">
        <v>1278</v>
      </c>
      <c r="H8" t="s">
        <v>255</v>
      </c>
      <c r="I8">
        <v>2019</v>
      </c>
      <c r="J8">
        <v>2</v>
      </c>
      <c r="K8" t="s">
        <v>1876</v>
      </c>
      <c r="L8"/>
      <c r="M8" t="str">
        <f t="shared" ref="M8:M39" si="0">LEFT($D8,FIND(",",$D8)-1)&amp;"_"&amp;I8&amp;L8</f>
        <v>Kucuker_2019</v>
      </c>
      <c r="N8" t="s">
        <v>223</v>
      </c>
      <c r="O8" s="145" t="s">
        <v>226</v>
      </c>
      <c r="P8"/>
      <c r="Q8" s="266" t="s">
        <v>257</v>
      </c>
      <c r="R8" s="271" t="s">
        <v>1156</v>
      </c>
      <c r="S8" s="1" t="s">
        <v>1877</v>
      </c>
      <c r="T8" t="s">
        <v>1878</v>
      </c>
      <c r="U8">
        <v>20</v>
      </c>
      <c r="V8">
        <v>0</v>
      </c>
      <c r="W8">
        <v>0</v>
      </c>
      <c r="X8">
        <v>0</v>
      </c>
      <c r="Y8">
        <v>0</v>
      </c>
      <c r="Z8">
        <v>0</v>
      </c>
      <c r="AA8">
        <v>0</v>
      </c>
      <c r="AB8">
        <v>0</v>
      </c>
      <c r="AC8">
        <v>0</v>
      </c>
      <c r="AD8">
        <v>0</v>
      </c>
      <c r="AE8">
        <v>0</v>
      </c>
      <c r="AF8">
        <v>0</v>
      </c>
      <c r="AG8">
        <v>0</v>
      </c>
      <c r="AH8">
        <v>0</v>
      </c>
      <c r="AI8">
        <v>0</v>
      </c>
      <c r="AJ8">
        <v>0</v>
      </c>
      <c r="AK8">
        <v>0</v>
      </c>
      <c r="AL8">
        <v>0</v>
      </c>
      <c r="AM8">
        <v>0</v>
      </c>
      <c r="AN8">
        <v>0</v>
      </c>
      <c r="AO8">
        <v>0</v>
      </c>
      <c r="AP8">
        <v>0</v>
      </c>
      <c r="AQ8">
        <v>0</v>
      </c>
      <c r="AR8">
        <v>0</v>
      </c>
      <c r="AS8">
        <v>0</v>
      </c>
      <c r="AT8">
        <v>0</v>
      </c>
      <c r="AU8">
        <v>0</v>
      </c>
      <c r="AV8">
        <v>1</v>
      </c>
      <c r="AW8">
        <v>0</v>
      </c>
      <c r="AX8" s="141">
        <f t="shared" ref="AX8:AX39" si="1">COUNTIF(V8:AW8,"&lt;&gt;0")</f>
        <v>1</v>
      </c>
      <c r="AY8" s="141">
        <f t="shared" ref="AY8:AY39" si="2">COUNTIF(V8:AL8,"&lt;&gt;0")</f>
        <v>0</v>
      </c>
      <c r="AZ8">
        <f t="shared" ref="AZ8:AZ39" si="3">COUNTIF(V8:AC8,"&lt;&gt;0")</f>
        <v>0</v>
      </c>
      <c r="BA8">
        <f t="shared" ref="BA8:BA39" si="4">COUNTIF(AD8:AI8,"&lt;&gt;0")</f>
        <v>0</v>
      </c>
      <c r="BB8">
        <f t="shared" ref="BB8:BB39" si="5">COUNTIF(AJ8:AL8,"&lt;&gt;0")</f>
        <v>0</v>
      </c>
      <c r="BC8">
        <f t="shared" ref="BC8:BC39" si="6">COUNTIF(AS8:AW8,"&lt;&gt;0")</f>
        <v>1</v>
      </c>
      <c r="BD8">
        <f t="shared" ref="BD8:BD39" si="7">COUNTIF(AM8:AR8,"&lt;&gt;0")</f>
        <v>0</v>
      </c>
      <c r="BE8" t="str" cm="1">
        <f t="array" ref="BE8">IF(AY8=1,INDEX($V$7:$AL$7,MATCH(TRUE,INDEX($V8:$AW8&lt;&gt;0,),0)),IF(AY8=0,INDEX($AM$7:$AW$7,MATCH(1,$AM8:$AW8,0)),IF(BF8="Multiple strategies","mixed drivers",IF(BF8="Supply chain","multiple supply","multiple silviculture"))))</f>
        <v>Exogenous C price</v>
      </c>
      <c r="BF8" s="2" t="str" cm="1">
        <f t="array" ref="BF8">IF(COUNTIF(AZ8:BB8,"&lt;&gt;0")=1,INDEX($V$4:$AW$4,MATCH(TRUE,INDEX($V8:$AW8&lt;&gt;0,),0)),IF(COUNTIF(AZ8:BB8,"&lt;&gt;0")=0,INDEX($AM$4:$AW$4,MATCH(1,$AM8:$AW8,0)),"Multiple strategies"))</f>
        <v>Demand</v>
      </c>
      <c r="BG8" s="173" t="s">
        <v>322</v>
      </c>
      <c r="BH8" t="s">
        <v>183</v>
      </c>
      <c r="BI8"/>
      <c r="BJ8" t="s">
        <v>1772</v>
      </c>
      <c r="BK8">
        <v>5347</v>
      </c>
      <c r="BL8" s="143">
        <v>6637</v>
      </c>
      <c r="BM8" s="163">
        <f t="shared" ref="BM8:BM17" si="8">BL8/BK8</f>
        <v>1.2412567795025249</v>
      </c>
      <c r="BN8">
        <f t="shared" ref="BN8:BN39" si="9">BL8-BK8</f>
        <v>1290</v>
      </c>
      <c r="BO8" s="143">
        <f t="shared" ref="BO8:BO16" si="10">BN8*10^3</f>
        <v>1290000</v>
      </c>
      <c r="BP8" t="s">
        <v>233</v>
      </c>
      <c r="BQ8"/>
      <c r="BR8" t="s">
        <v>1879</v>
      </c>
      <c r="BS8">
        <v>1418</v>
      </c>
      <c r="BT8" s="143">
        <v>2918</v>
      </c>
      <c r="BU8" s="144">
        <f t="shared" ref="BU8:BU22" si="11">IFERROR(BT8/BS8,"")</f>
        <v>2.0578279266572639</v>
      </c>
      <c r="BV8">
        <f t="shared" ref="BV8:BV39" si="12">BT8-BS8</f>
        <v>1500</v>
      </c>
      <c r="BW8"/>
      <c r="BX8">
        <f t="shared" ref="BX8:BX16" si="13">BV8*10^9/10^6*C_to_CO2</f>
        <v>5505000</v>
      </c>
      <c r="BY8">
        <f t="shared" ref="BY8:BY39" si="14">IFERROR(BX8/BO8,"")</f>
        <v>4.2674418604651159</v>
      </c>
      <c r="BZ8">
        <v>0</v>
      </c>
      <c r="CA8">
        <v>0</v>
      </c>
      <c r="CB8">
        <v>0</v>
      </c>
      <c r="CC8">
        <v>0</v>
      </c>
      <c r="CD8">
        <v>0</v>
      </c>
      <c r="CE8">
        <v>0</v>
      </c>
      <c r="CF8">
        <v>0</v>
      </c>
      <c r="CG8">
        <v>0</v>
      </c>
      <c r="CH8">
        <v>0</v>
      </c>
      <c r="CI8">
        <v>0</v>
      </c>
      <c r="CJ8">
        <v>0</v>
      </c>
      <c r="CK8">
        <v>0</v>
      </c>
      <c r="CL8">
        <v>0</v>
      </c>
      <c r="CM8">
        <v>0</v>
      </c>
      <c r="CN8" t="str">
        <f t="shared" ref="CN8:CN39" si="15">IF($BL8&lt;$BK8,"refNeedCorrection","refOK")</f>
        <v>refOK</v>
      </c>
      <c r="CO8">
        <f t="shared" ref="CO8:CO16" si="16">IF($CN8="refNeedCorrection",BL8,BK8)</f>
        <v>5347</v>
      </c>
      <c r="CP8">
        <f t="shared" ref="CP8:CP16" si="17">IF($CN8="refNeedCorrection",BK8,BL8)</f>
        <v>6637</v>
      </c>
      <c r="CQ8">
        <f t="shared" ref="CQ8:CQ39" si="18">IF($CN8="refOK",$BO8,-$BO8)</f>
        <v>1290000</v>
      </c>
      <c r="CR8">
        <f t="shared" ref="CR8:CR39" si="19">IF($CN8="refOK",$BS8,$BT8)*IF($BP8="Emissions positive",-1,1)</f>
        <v>1418</v>
      </c>
      <c r="CS8">
        <f t="shared" ref="CS8:CS22" si="20">IF($CN8="refOK",$BT8,$BS8)*IF($BP8="Emissions positive",-1,1)</f>
        <v>2918</v>
      </c>
      <c r="CT8">
        <f t="shared" ref="CT8:CT39" si="21">IF($CN8="refNeedCorrection",-BX8,BX8)*IF($BP8="Emissions positive",-1,1)</f>
        <v>5505000</v>
      </c>
      <c r="CU8">
        <f t="shared" ref="CU8:CU39" si="22">IFERROR(CT8/CQ8,"")</f>
        <v>4.2674418604651159</v>
      </c>
      <c r="CV8" s="2">
        <f t="shared" ref="CV8:CV39" si="23">IFERROR((CS8-CR8)/ABS(CR8),"")</f>
        <v>1.0578279266572637</v>
      </c>
      <c r="CW8" s="1" t="s">
        <v>1205</v>
      </c>
      <c r="CX8" s="266" t="str">
        <f t="shared" ref="CX8:CX39" si="24">IF(OR($CW8="prd",$CW8="std",$CW8="cit"),"loc",IF(OR($CW8="eur",$CW8="reg",$CW8="coy"),"reg",$CW8))</f>
        <v>reg</v>
      </c>
      <c r="CY8" t="s">
        <v>1283</v>
      </c>
      <c r="CZ8"/>
      <c r="DA8" s="143"/>
      <c r="DB8">
        <v>100</v>
      </c>
      <c r="DC8" t="str">
        <f t="shared" ref="DC8:DC39" si="25">IF(DB8=0,"0",IF(AND(DB8&gt;=1,DB8&lt;=30),"1-30",IF(AND(DB8&gt;30,DB8&lt;=70),"31-70",IF(AND(DB8&gt;70,DB8&lt;=100),"71-100",IF(DB8&gt;100,"+100")))))</f>
        <v>71-100</v>
      </c>
      <c r="DD8">
        <v>0</v>
      </c>
      <c r="DE8">
        <v>0</v>
      </c>
      <c r="DF8">
        <v>0</v>
      </c>
      <c r="DG8">
        <v>1</v>
      </c>
      <c r="DH8"/>
      <c r="DI8">
        <f t="shared" ref="DI8:DI39" si="26">SUM(DD8:DG8)</f>
        <v>1</v>
      </c>
      <c r="DJ8" t="str">
        <f t="shared" ref="DJ8:DJ39" si="27">IF(DI8=1,INDEX($DD$7:$DG$7,MATCH(1,$DD8:$DG8,0)),"mixedProduct")</f>
        <v>TimberInput</v>
      </c>
      <c r="DK8">
        <f t="shared" ref="DK8:DK39" si="28">IF(DD8=1,DK$7,0)</f>
        <v>0</v>
      </c>
      <c r="DL8">
        <f t="shared" ref="DL8:DL39" si="29">IF(DE8=1,DL$7,0)</f>
        <v>0</v>
      </c>
      <c r="DM8">
        <f t="shared" ref="DM8:DM39" si="30">IF(DF8=1,DM$7,0)</f>
        <v>0</v>
      </c>
      <c r="DN8" t="str">
        <f t="shared" ref="DN8:DN39" si="31">IF(DG8=1,DN$7,0)</f>
        <v>Timber</v>
      </c>
      <c r="DO8">
        <v>0</v>
      </c>
      <c r="DP8" s="143">
        <v>0</v>
      </c>
      <c r="DQ8" s="143">
        <v>0</v>
      </c>
      <c r="DR8">
        <v>0</v>
      </c>
      <c r="DS8" s="143">
        <v>0</v>
      </c>
      <c r="DT8">
        <f t="shared" ref="DT8:DT39" si="32">SUM(DO8:DP8)</f>
        <v>0</v>
      </c>
      <c r="DU8" s="143" t="str">
        <f t="shared" ref="DU8:DU39" si="33">IF(DO8=1,"self-calculated DF",IF(DP8=1,"external DF used","explicit C balance"))</f>
        <v>explicit C balance</v>
      </c>
      <c r="DV8" s="143">
        <v>0</v>
      </c>
      <c r="DW8" s="143">
        <v>0</v>
      </c>
      <c r="DX8" s="143">
        <v>1</v>
      </c>
      <c r="DY8" s="143">
        <v>0</v>
      </c>
      <c r="DZ8">
        <v>0</v>
      </c>
      <c r="EA8" s="143">
        <v>0</v>
      </c>
      <c r="EB8" s="143">
        <v>0</v>
      </c>
      <c r="EC8" s="143">
        <v>0</v>
      </c>
      <c r="ED8" s="143">
        <v>0</v>
      </c>
      <c r="EE8">
        <v>0</v>
      </c>
      <c r="EF8">
        <v>0</v>
      </c>
      <c r="EG8" s="143">
        <v>0</v>
      </c>
      <c r="EH8">
        <v>0</v>
      </c>
      <c r="EI8" s="2">
        <v>0</v>
      </c>
      <c r="EJ8" s="1"/>
      <c r="EK8" t="str">
        <f t="shared" ref="EK8:EK71" si="34">IF(AND(AND(AND(OR($DX8=1,$DW8=1),OR($EC8=1,$EA8=1)),SUM($DV8:$DZ8,$EF8)&gt;=4),SUM($EA8:$EE8)&gt;=2),"Whole sector","")</f>
        <v/>
      </c>
      <c r="EL8" t="str">
        <f t="shared" ref="EL8:EL71" si="35">IF(AND(AND(OR($DX8=1,$DW8=1),AND($EC8=0,$EA8=0)),SUM($DV8:$DZ8,$EF8)&gt;=4),"Ecosystem approach","")</f>
        <v/>
      </c>
      <c r="EM8" s="2" t="str">
        <f t="shared" ref="EM8:EM39" si="36">IF(AND(AND(AND($DX8=0,$DW8=0),OR($EC8=1,$EA8=1)),SUM($EB8:$EE8)&gt;=2),"Technology approach","")</f>
        <v/>
      </c>
      <c r="EN8"/>
      <c r="EO8"/>
      <c r="EP8" t="str">
        <f>IF(ISNUMBER(BU8),IF(ABS(BU8-[1]QC_indicators!$B$2)&gt;3*[1]QC_indicators!$C$2,"C ratio",IF(ISNUMBER(BY8),IF(ABS(BY8-[1]QC_indicators!$B$1)&gt;3*[1]QC_indicators!$C$1,"DF","no"))),IF(ISNUMBER(BY8),IF(ABS(BY8-[1]QC_indicators!$B$1)&gt;3*[1]QC_indicators!$C$1,"DF","no")))</f>
        <v>no</v>
      </c>
      <c r="EQ8" t="s">
        <v>1880</v>
      </c>
      <c r="ER8"/>
      <c r="ES8"/>
      <c r="ET8" s="266" t="s">
        <v>3409</v>
      </c>
      <c r="EU8"/>
    </row>
    <row r="9" spans="1:151" s="139" customFormat="1" ht="15" hidden="1" customHeight="1">
      <c r="A9" s="1" t="s">
        <v>1272</v>
      </c>
      <c r="B9" t="s">
        <v>1871</v>
      </c>
      <c r="C9" t="s">
        <v>1872</v>
      </c>
      <c r="D9" t="s">
        <v>1873</v>
      </c>
      <c r="E9" t="s">
        <v>1874</v>
      </c>
      <c r="F9" t="s">
        <v>1875</v>
      </c>
      <c r="G9" t="s">
        <v>1278</v>
      </c>
      <c r="H9" t="s">
        <v>255</v>
      </c>
      <c r="I9">
        <v>2019</v>
      </c>
      <c r="J9">
        <v>2</v>
      </c>
      <c r="K9" t="s">
        <v>1876</v>
      </c>
      <c r="L9"/>
      <c r="M9" t="str">
        <f t="shared" si="0"/>
        <v>Kucuker_2019</v>
      </c>
      <c r="N9" t="s">
        <v>223</v>
      </c>
      <c r="O9" s="145" t="s">
        <v>226</v>
      </c>
      <c r="P9"/>
      <c r="Q9" s="266" t="s">
        <v>257</v>
      </c>
      <c r="R9" s="271" t="s">
        <v>1156</v>
      </c>
      <c r="S9" s="1" t="s">
        <v>1877</v>
      </c>
      <c r="T9" t="s">
        <v>1881</v>
      </c>
      <c r="U9">
        <v>20</v>
      </c>
      <c r="V9">
        <v>0</v>
      </c>
      <c r="W9">
        <v>0</v>
      </c>
      <c r="X9">
        <v>0</v>
      </c>
      <c r="Y9">
        <v>0</v>
      </c>
      <c r="Z9">
        <v>0</v>
      </c>
      <c r="AA9">
        <v>0</v>
      </c>
      <c r="AB9">
        <v>0</v>
      </c>
      <c r="AC9">
        <v>0</v>
      </c>
      <c r="AD9">
        <v>0</v>
      </c>
      <c r="AE9">
        <v>0</v>
      </c>
      <c r="AF9">
        <v>0</v>
      </c>
      <c r="AG9">
        <v>0</v>
      </c>
      <c r="AH9">
        <v>0</v>
      </c>
      <c r="AI9">
        <v>0</v>
      </c>
      <c r="AJ9">
        <v>0</v>
      </c>
      <c r="AK9">
        <v>0</v>
      </c>
      <c r="AL9">
        <v>0</v>
      </c>
      <c r="AM9">
        <v>0</v>
      </c>
      <c r="AN9">
        <v>0</v>
      </c>
      <c r="AO9">
        <v>0</v>
      </c>
      <c r="AP9">
        <v>0</v>
      </c>
      <c r="AQ9">
        <v>0</v>
      </c>
      <c r="AR9">
        <v>0</v>
      </c>
      <c r="AS9">
        <v>0</v>
      </c>
      <c r="AT9">
        <v>0</v>
      </c>
      <c r="AU9">
        <v>0</v>
      </c>
      <c r="AV9">
        <v>1</v>
      </c>
      <c r="AW9">
        <v>0</v>
      </c>
      <c r="AX9" s="141">
        <f t="shared" si="1"/>
        <v>1</v>
      </c>
      <c r="AY9" s="141">
        <f t="shared" si="2"/>
        <v>0</v>
      </c>
      <c r="AZ9">
        <f t="shared" si="3"/>
        <v>0</v>
      </c>
      <c r="BA9">
        <f t="shared" si="4"/>
        <v>0</v>
      </c>
      <c r="BB9">
        <f t="shared" si="5"/>
        <v>0</v>
      </c>
      <c r="BC9">
        <f t="shared" si="6"/>
        <v>1</v>
      </c>
      <c r="BD9">
        <f t="shared" si="7"/>
        <v>0</v>
      </c>
      <c r="BE9" t="str" cm="1">
        <f t="array" ref="BE9">IF(AY9=1,INDEX($V$7:$AL$7,MATCH(TRUE,INDEX($V9:$AW9&lt;&gt;0,),0)),IF(AY9=0,INDEX($AM$7:$AW$7,MATCH(1,$AM9:$AW9,0)),IF(BF9="Multiple strategies","mixed drivers",IF(BF9="Supply chain","multiple supply","multiple silviculture"))))</f>
        <v>Exogenous C price</v>
      </c>
      <c r="BF9" s="2" t="str" cm="1">
        <f t="array" ref="BF9">IF(COUNTIF(AZ9:BB9,"&lt;&gt;0")=1,INDEX($V$4:$AW$4,MATCH(TRUE,INDEX($V9:$AW9&lt;&gt;0,),0)),IF(COUNTIF(AZ9:BB9,"&lt;&gt;0")=0,INDEX($AM$4:$AW$4,MATCH(1,$AM9:$AW9,0)),"Multiple strategies"))</f>
        <v>Demand</v>
      </c>
      <c r="BG9" s="173" t="s">
        <v>322</v>
      </c>
      <c r="BH9" t="s">
        <v>183</v>
      </c>
      <c r="BI9"/>
      <c r="BJ9" t="s">
        <v>1772</v>
      </c>
      <c r="BK9">
        <v>5918</v>
      </c>
      <c r="BL9" s="143">
        <v>7046</v>
      </c>
      <c r="BM9" s="163">
        <f t="shared" si="8"/>
        <v>1.1906049340993579</v>
      </c>
      <c r="BN9">
        <f t="shared" si="9"/>
        <v>1128</v>
      </c>
      <c r="BO9" s="143">
        <f t="shared" si="10"/>
        <v>1128000</v>
      </c>
      <c r="BP9" t="s">
        <v>233</v>
      </c>
      <c r="BQ9"/>
      <c r="BR9" t="s">
        <v>1879</v>
      </c>
      <c r="BS9">
        <v>1757</v>
      </c>
      <c r="BT9" s="143">
        <v>3167</v>
      </c>
      <c r="BU9" s="144">
        <f t="shared" si="11"/>
        <v>1.8025042686397268</v>
      </c>
      <c r="BV9">
        <f t="shared" si="12"/>
        <v>1410</v>
      </c>
      <c r="BW9"/>
      <c r="BX9">
        <f t="shared" si="13"/>
        <v>5174700</v>
      </c>
      <c r="BY9">
        <f t="shared" si="14"/>
        <v>4.5875000000000004</v>
      </c>
      <c r="BZ9">
        <v>0</v>
      </c>
      <c r="CA9">
        <v>0</v>
      </c>
      <c r="CB9">
        <v>0</v>
      </c>
      <c r="CC9">
        <v>0</v>
      </c>
      <c r="CD9">
        <v>0</v>
      </c>
      <c r="CE9">
        <v>0</v>
      </c>
      <c r="CF9">
        <v>0</v>
      </c>
      <c r="CG9">
        <v>0</v>
      </c>
      <c r="CH9">
        <v>0</v>
      </c>
      <c r="CI9">
        <v>0</v>
      </c>
      <c r="CJ9">
        <v>0</v>
      </c>
      <c r="CK9">
        <v>0</v>
      </c>
      <c r="CL9">
        <v>0</v>
      </c>
      <c r="CM9">
        <v>0</v>
      </c>
      <c r="CN9" t="str">
        <f t="shared" si="15"/>
        <v>refOK</v>
      </c>
      <c r="CO9">
        <f t="shared" si="16"/>
        <v>5918</v>
      </c>
      <c r="CP9">
        <f t="shared" si="17"/>
        <v>7046</v>
      </c>
      <c r="CQ9">
        <f t="shared" si="18"/>
        <v>1128000</v>
      </c>
      <c r="CR9">
        <f t="shared" si="19"/>
        <v>1757</v>
      </c>
      <c r="CS9">
        <f t="shared" si="20"/>
        <v>3167</v>
      </c>
      <c r="CT9">
        <f t="shared" si="21"/>
        <v>5174700</v>
      </c>
      <c r="CU9">
        <f t="shared" si="22"/>
        <v>4.5875000000000004</v>
      </c>
      <c r="CV9" s="2">
        <f t="shared" si="23"/>
        <v>0.80250426863972679</v>
      </c>
      <c r="CW9" s="1" t="s">
        <v>1205</v>
      </c>
      <c r="CX9" s="266" t="str">
        <f t="shared" si="24"/>
        <v>reg</v>
      </c>
      <c r="CY9" t="s">
        <v>1283</v>
      </c>
      <c r="CZ9"/>
      <c r="DA9" s="143"/>
      <c r="DB9">
        <v>100</v>
      </c>
      <c r="DC9" t="str">
        <f t="shared" si="25"/>
        <v>71-100</v>
      </c>
      <c r="DD9">
        <v>0</v>
      </c>
      <c r="DE9">
        <v>0</v>
      </c>
      <c r="DF9">
        <v>0</v>
      </c>
      <c r="DG9">
        <v>1</v>
      </c>
      <c r="DH9"/>
      <c r="DI9">
        <f t="shared" si="26"/>
        <v>1</v>
      </c>
      <c r="DJ9" t="str">
        <f t="shared" si="27"/>
        <v>TimberInput</v>
      </c>
      <c r="DK9">
        <f t="shared" si="28"/>
        <v>0</v>
      </c>
      <c r="DL9">
        <f t="shared" si="29"/>
        <v>0</v>
      </c>
      <c r="DM9">
        <f t="shared" si="30"/>
        <v>0</v>
      </c>
      <c r="DN9" t="str">
        <f t="shared" si="31"/>
        <v>Timber</v>
      </c>
      <c r="DO9">
        <v>0</v>
      </c>
      <c r="DP9" s="143">
        <v>0</v>
      </c>
      <c r="DQ9" s="143">
        <v>0</v>
      </c>
      <c r="DR9">
        <v>0</v>
      </c>
      <c r="DS9" s="143">
        <v>0</v>
      </c>
      <c r="DT9">
        <f t="shared" si="32"/>
        <v>0</v>
      </c>
      <c r="DU9" s="143" t="str">
        <f t="shared" si="33"/>
        <v>explicit C balance</v>
      </c>
      <c r="DV9" s="143">
        <v>0</v>
      </c>
      <c r="DW9" s="143">
        <v>0</v>
      </c>
      <c r="DX9" s="143">
        <v>1</v>
      </c>
      <c r="DY9" s="143">
        <v>0</v>
      </c>
      <c r="DZ9">
        <v>0</v>
      </c>
      <c r="EA9" s="143">
        <v>0</v>
      </c>
      <c r="EB9" s="143">
        <v>0</v>
      </c>
      <c r="EC9" s="143">
        <v>0</v>
      </c>
      <c r="ED9" s="143">
        <v>0</v>
      </c>
      <c r="EE9">
        <v>0</v>
      </c>
      <c r="EF9">
        <v>0</v>
      </c>
      <c r="EG9" s="143">
        <v>0</v>
      </c>
      <c r="EH9">
        <v>0</v>
      </c>
      <c r="EI9" s="2">
        <v>0</v>
      </c>
      <c r="EJ9" s="1"/>
      <c r="EK9" t="str">
        <f t="shared" si="34"/>
        <v/>
      </c>
      <c r="EL9" t="str">
        <f t="shared" si="35"/>
        <v/>
      </c>
      <c r="EM9" s="2" t="str">
        <f t="shared" si="36"/>
        <v/>
      </c>
      <c r="EN9"/>
      <c r="EO9"/>
      <c r="EP9" t="str">
        <f>IF(ISNUMBER(BU9),IF(ABS(BU9-[1]QC_indicators!$B$2)&gt;3*[1]QC_indicators!$C$2,"C ratio",IF(ISNUMBER(BY9),IF(ABS(BY9-[1]QC_indicators!$B$1)&gt;3*[1]QC_indicators!$C$1,"DF","no"))),IF(ISNUMBER(BY9),IF(ABS(BY9-[1]QC_indicators!$B$1)&gt;3*[1]QC_indicators!$C$1,"DF","no")))</f>
        <v>no</v>
      </c>
      <c r="EQ9" t="s">
        <v>1880</v>
      </c>
      <c r="ER9"/>
      <c r="ES9"/>
      <c r="ET9" s="266" t="s">
        <v>3409</v>
      </c>
      <c r="EU9"/>
    </row>
    <row r="10" spans="1:151" s="139" customFormat="1" ht="15" hidden="1" customHeight="1">
      <c r="A10" s="1" t="s">
        <v>1272</v>
      </c>
      <c r="B10" t="s">
        <v>1871</v>
      </c>
      <c r="C10" t="s">
        <v>1872</v>
      </c>
      <c r="D10" t="s">
        <v>1873</v>
      </c>
      <c r="E10" t="s">
        <v>1874</v>
      </c>
      <c r="F10" t="s">
        <v>1875</v>
      </c>
      <c r="G10" t="s">
        <v>1278</v>
      </c>
      <c r="H10" t="s">
        <v>255</v>
      </c>
      <c r="I10">
        <v>2019</v>
      </c>
      <c r="J10">
        <v>2</v>
      </c>
      <c r="K10" t="s">
        <v>1876</v>
      </c>
      <c r="L10"/>
      <c r="M10" t="str">
        <f t="shared" si="0"/>
        <v>Kucuker_2019</v>
      </c>
      <c r="N10" t="s">
        <v>223</v>
      </c>
      <c r="O10" s="145" t="s">
        <v>226</v>
      </c>
      <c r="P10"/>
      <c r="Q10" s="266" t="s">
        <v>257</v>
      </c>
      <c r="R10" s="271" t="s">
        <v>1156</v>
      </c>
      <c r="S10" s="1" t="s">
        <v>1877</v>
      </c>
      <c r="T10" t="s">
        <v>1881</v>
      </c>
      <c r="U10">
        <v>40</v>
      </c>
      <c r="V10">
        <v>0</v>
      </c>
      <c r="W10">
        <v>0</v>
      </c>
      <c r="X10">
        <v>0</v>
      </c>
      <c r="Y10">
        <v>0</v>
      </c>
      <c r="Z10">
        <v>0</v>
      </c>
      <c r="AA10">
        <v>0</v>
      </c>
      <c r="AB10">
        <v>0</v>
      </c>
      <c r="AC10">
        <v>0</v>
      </c>
      <c r="AD10">
        <v>0</v>
      </c>
      <c r="AE10">
        <v>0</v>
      </c>
      <c r="AF10">
        <v>0</v>
      </c>
      <c r="AG10">
        <v>0</v>
      </c>
      <c r="AH10">
        <v>0</v>
      </c>
      <c r="AI10">
        <v>0</v>
      </c>
      <c r="AJ10">
        <v>0</v>
      </c>
      <c r="AK10">
        <v>0</v>
      </c>
      <c r="AL10">
        <v>0</v>
      </c>
      <c r="AM10">
        <v>0</v>
      </c>
      <c r="AN10">
        <v>0</v>
      </c>
      <c r="AO10">
        <v>0</v>
      </c>
      <c r="AP10">
        <v>0</v>
      </c>
      <c r="AQ10">
        <v>0</v>
      </c>
      <c r="AR10">
        <v>0</v>
      </c>
      <c r="AS10">
        <v>0</v>
      </c>
      <c r="AT10">
        <v>0</v>
      </c>
      <c r="AU10">
        <v>0</v>
      </c>
      <c r="AV10">
        <v>1</v>
      </c>
      <c r="AW10">
        <v>0</v>
      </c>
      <c r="AX10" s="141">
        <f t="shared" si="1"/>
        <v>1</v>
      </c>
      <c r="AY10" s="141">
        <f t="shared" si="2"/>
        <v>0</v>
      </c>
      <c r="AZ10">
        <f t="shared" si="3"/>
        <v>0</v>
      </c>
      <c r="BA10">
        <f t="shared" si="4"/>
        <v>0</v>
      </c>
      <c r="BB10">
        <f t="shared" si="5"/>
        <v>0</v>
      </c>
      <c r="BC10">
        <f t="shared" si="6"/>
        <v>1</v>
      </c>
      <c r="BD10">
        <f t="shared" si="7"/>
        <v>0</v>
      </c>
      <c r="BE10" t="str" cm="1">
        <f t="array" ref="BE10">IF(AY10=1,INDEX($V$7:$AL$7,MATCH(TRUE,INDEX($V10:$AW10&lt;&gt;0,),0)),IF(AY10=0,INDEX($AM$7:$AW$7,MATCH(1,$AM10:$AW10,0)),IF(BF10="Multiple strategies","mixed drivers",IF(BF10="Supply chain","multiple supply","multiple silviculture"))))</f>
        <v>Exogenous C price</v>
      </c>
      <c r="BF10" s="2" t="str" cm="1">
        <f t="array" ref="BF10">IF(COUNTIF(AZ10:BB10,"&lt;&gt;0")=1,INDEX($V$4:$AW$4,MATCH(TRUE,INDEX($V10:$AW10&lt;&gt;0,),0)),IF(COUNTIF(AZ10:BB10,"&lt;&gt;0")=0,INDEX($AM$4:$AW$4,MATCH(1,$AM10:$AW10,0)),"Multiple strategies"))</f>
        <v>Demand</v>
      </c>
      <c r="BG10" s="173" t="s">
        <v>322</v>
      </c>
      <c r="BH10" t="s">
        <v>183</v>
      </c>
      <c r="BI10"/>
      <c r="BJ10" t="s">
        <v>1772</v>
      </c>
      <c r="BK10">
        <v>5918</v>
      </c>
      <c r="BL10" s="143">
        <v>7032</v>
      </c>
      <c r="BM10" s="163">
        <f t="shared" si="8"/>
        <v>1.1882392700236566</v>
      </c>
      <c r="BN10">
        <f t="shared" si="9"/>
        <v>1114</v>
      </c>
      <c r="BO10" s="143">
        <f t="shared" si="10"/>
        <v>1114000</v>
      </c>
      <c r="BP10" t="s">
        <v>233</v>
      </c>
      <c r="BQ10"/>
      <c r="BR10" t="s">
        <v>1879</v>
      </c>
      <c r="BS10">
        <v>1757</v>
      </c>
      <c r="BT10" s="143">
        <v>3210</v>
      </c>
      <c r="BU10" s="144">
        <f t="shared" si="11"/>
        <v>1.8269778030734205</v>
      </c>
      <c r="BV10">
        <f t="shared" si="12"/>
        <v>1453</v>
      </c>
      <c r="BW10"/>
      <c r="BX10">
        <f t="shared" si="13"/>
        <v>5332510</v>
      </c>
      <c r="BY10">
        <f t="shared" si="14"/>
        <v>4.7868132854578098</v>
      </c>
      <c r="BZ10">
        <v>0</v>
      </c>
      <c r="CA10">
        <v>0</v>
      </c>
      <c r="CB10">
        <v>0</v>
      </c>
      <c r="CC10">
        <v>0</v>
      </c>
      <c r="CD10">
        <v>0</v>
      </c>
      <c r="CE10">
        <v>0</v>
      </c>
      <c r="CF10">
        <v>0</v>
      </c>
      <c r="CG10">
        <v>0</v>
      </c>
      <c r="CH10">
        <v>0</v>
      </c>
      <c r="CI10">
        <v>0</v>
      </c>
      <c r="CJ10">
        <v>0</v>
      </c>
      <c r="CK10">
        <v>0</v>
      </c>
      <c r="CL10">
        <v>0</v>
      </c>
      <c r="CM10">
        <v>0</v>
      </c>
      <c r="CN10" t="str">
        <f t="shared" si="15"/>
        <v>refOK</v>
      </c>
      <c r="CO10">
        <f t="shared" si="16"/>
        <v>5918</v>
      </c>
      <c r="CP10">
        <f t="shared" si="17"/>
        <v>7032</v>
      </c>
      <c r="CQ10">
        <f t="shared" si="18"/>
        <v>1114000</v>
      </c>
      <c r="CR10">
        <f t="shared" si="19"/>
        <v>1757</v>
      </c>
      <c r="CS10">
        <f t="shared" si="20"/>
        <v>3210</v>
      </c>
      <c r="CT10">
        <f t="shared" si="21"/>
        <v>5332510</v>
      </c>
      <c r="CU10">
        <f t="shared" si="22"/>
        <v>4.7868132854578098</v>
      </c>
      <c r="CV10" s="2">
        <f t="shared" si="23"/>
        <v>0.82697780307342061</v>
      </c>
      <c r="CW10" s="1" t="s">
        <v>1205</v>
      </c>
      <c r="CX10" s="266" t="str">
        <f t="shared" si="24"/>
        <v>reg</v>
      </c>
      <c r="CY10" t="s">
        <v>1283</v>
      </c>
      <c r="CZ10"/>
      <c r="DA10" s="143"/>
      <c r="DB10">
        <v>100</v>
      </c>
      <c r="DC10" t="str">
        <f t="shared" si="25"/>
        <v>71-100</v>
      </c>
      <c r="DD10">
        <v>0</v>
      </c>
      <c r="DE10">
        <v>0</v>
      </c>
      <c r="DF10">
        <v>0</v>
      </c>
      <c r="DG10">
        <v>1</v>
      </c>
      <c r="DH10"/>
      <c r="DI10">
        <f t="shared" si="26"/>
        <v>1</v>
      </c>
      <c r="DJ10" t="str">
        <f t="shared" si="27"/>
        <v>TimberInput</v>
      </c>
      <c r="DK10">
        <f t="shared" si="28"/>
        <v>0</v>
      </c>
      <c r="DL10">
        <f t="shared" si="29"/>
        <v>0</v>
      </c>
      <c r="DM10">
        <f t="shared" si="30"/>
        <v>0</v>
      </c>
      <c r="DN10" t="str">
        <f t="shared" si="31"/>
        <v>Timber</v>
      </c>
      <c r="DO10">
        <v>0</v>
      </c>
      <c r="DP10" s="143">
        <v>0</v>
      </c>
      <c r="DQ10" s="143">
        <v>0</v>
      </c>
      <c r="DR10">
        <v>0</v>
      </c>
      <c r="DS10" s="143">
        <v>0</v>
      </c>
      <c r="DT10">
        <f t="shared" si="32"/>
        <v>0</v>
      </c>
      <c r="DU10" s="143" t="str">
        <f t="shared" si="33"/>
        <v>explicit C balance</v>
      </c>
      <c r="DV10" s="143">
        <v>0</v>
      </c>
      <c r="DW10" s="143">
        <v>0</v>
      </c>
      <c r="DX10" s="143">
        <v>1</v>
      </c>
      <c r="DY10" s="143">
        <v>0</v>
      </c>
      <c r="DZ10">
        <v>0</v>
      </c>
      <c r="EA10" s="143">
        <v>0</v>
      </c>
      <c r="EB10" s="143">
        <v>0</v>
      </c>
      <c r="EC10" s="143">
        <v>0</v>
      </c>
      <c r="ED10" s="143">
        <v>0</v>
      </c>
      <c r="EE10">
        <v>0</v>
      </c>
      <c r="EF10">
        <v>0</v>
      </c>
      <c r="EG10" s="143">
        <v>0</v>
      </c>
      <c r="EH10">
        <v>0</v>
      </c>
      <c r="EI10" s="2">
        <v>0</v>
      </c>
      <c r="EJ10" s="1"/>
      <c r="EK10" t="str">
        <f t="shared" si="34"/>
        <v/>
      </c>
      <c r="EL10" t="str">
        <f t="shared" si="35"/>
        <v/>
      </c>
      <c r="EM10" s="2" t="str">
        <f t="shared" si="36"/>
        <v/>
      </c>
      <c r="EN10"/>
      <c r="EO10"/>
      <c r="EP10" t="str">
        <f>IF(ISNUMBER(BU10),IF(ABS(BU10-[1]QC_indicators!$B$2)&gt;3*[1]QC_indicators!$C$2,"C ratio",IF(ISNUMBER(BY10),IF(ABS(BY10-[1]QC_indicators!$B$1)&gt;3*[1]QC_indicators!$C$1,"DF","no"))),IF(ISNUMBER(BY10),IF(ABS(BY10-[1]QC_indicators!$B$1)&gt;3*[1]QC_indicators!$C$1,"DF","no")))</f>
        <v>no</v>
      </c>
      <c r="EQ10" t="s">
        <v>1880</v>
      </c>
      <c r="ER10"/>
      <c r="ES10"/>
      <c r="ET10" s="266" t="s">
        <v>3409</v>
      </c>
      <c r="EU10"/>
    </row>
    <row r="11" spans="1:151" s="139" customFormat="1" ht="15" hidden="1" customHeight="1">
      <c r="A11" s="1" t="s">
        <v>1272</v>
      </c>
      <c r="B11" t="s">
        <v>1871</v>
      </c>
      <c r="C11" t="s">
        <v>1872</v>
      </c>
      <c r="D11" t="s">
        <v>1873</v>
      </c>
      <c r="E11" t="s">
        <v>1874</v>
      </c>
      <c r="F11" t="s">
        <v>1875</v>
      </c>
      <c r="G11" t="s">
        <v>1278</v>
      </c>
      <c r="H11" t="s">
        <v>255</v>
      </c>
      <c r="I11">
        <v>2019</v>
      </c>
      <c r="J11">
        <v>2</v>
      </c>
      <c r="K11" t="s">
        <v>1876</v>
      </c>
      <c r="L11"/>
      <c r="M11" t="str">
        <f t="shared" si="0"/>
        <v>Kucuker_2019</v>
      </c>
      <c r="N11" t="s">
        <v>223</v>
      </c>
      <c r="O11" s="145" t="s">
        <v>226</v>
      </c>
      <c r="P11"/>
      <c r="Q11" s="266" t="s">
        <v>257</v>
      </c>
      <c r="R11" s="271" t="s">
        <v>1156</v>
      </c>
      <c r="S11" s="1" t="s">
        <v>1877</v>
      </c>
      <c r="T11" t="s">
        <v>1878</v>
      </c>
      <c r="U11">
        <v>40</v>
      </c>
      <c r="V11">
        <v>0</v>
      </c>
      <c r="W11">
        <v>0</v>
      </c>
      <c r="X11">
        <v>0</v>
      </c>
      <c r="Y11">
        <v>0</v>
      </c>
      <c r="Z11">
        <v>0</v>
      </c>
      <c r="AA11">
        <v>0</v>
      </c>
      <c r="AB11">
        <v>0</v>
      </c>
      <c r="AC11">
        <v>0</v>
      </c>
      <c r="AD11">
        <v>0</v>
      </c>
      <c r="AE11">
        <v>0</v>
      </c>
      <c r="AF11">
        <v>0</v>
      </c>
      <c r="AG11">
        <v>0</v>
      </c>
      <c r="AH11">
        <v>0</v>
      </c>
      <c r="AI11">
        <v>0</v>
      </c>
      <c r="AJ11">
        <v>0</v>
      </c>
      <c r="AK11">
        <v>0</v>
      </c>
      <c r="AL11">
        <v>0</v>
      </c>
      <c r="AM11">
        <v>0</v>
      </c>
      <c r="AN11">
        <v>0</v>
      </c>
      <c r="AO11">
        <v>0</v>
      </c>
      <c r="AP11">
        <v>0</v>
      </c>
      <c r="AQ11">
        <v>0</v>
      </c>
      <c r="AR11">
        <v>0</v>
      </c>
      <c r="AS11">
        <v>0</v>
      </c>
      <c r="AT11">
        <v>0</v>
      </c>
      <c r="AU11">
        <v>0</v>
      </c>
      <c r="AV11">
        <v>1</v>
      </c>
      <c r="AW11">
        <v>0</v>
      </c>
      <c r="AX11" s="141">
        <f t="shared" si="1"/>
        <v>1</v>
      </c>
      <c r="AY11" s="141">
        <f t="shared" si="2"/>
        <v>0</v>
      </c>
      <c r="AZ11">
        <f t="shared" si="3"/>
        <v>0</v>
      </c>
      <c r="BA11">
        <f t="shared" si="4"/>
        <v>0</v>
      </c>
      <c r="BB11">
        <f t="shared" si="5"/>
        <v>0</v>
      </c>
      <c r="BC11">
        <f t="shared" si="6"/>
        <v>1</v>
      </c>
      <c r="BD11">
        <f t="shared" si="7"/>
        <v>0</v>
      </c>
      <c r="BE11" t="str" cm="1">
        <f t="array" ref="BE11">IF(AY11=1,INDEX($V$7:$AL$7,MATCH(TRUE,INDEX($V11:$AW11&lt;&gt;0,),0)),IF(AY11=0,INDEX($AM$7:$AW$7,MATCH(1,$AM11:$AW11,0)),IF(BF11="Multiple strategies","mixed drivers",IF(BF11="Supply chain","multiple supply","multiple silviculture"))))</f>
        <v>Exogenous C price</v>
      </c>
      <c r="BF11" s="2" t="str" cm="1">
        <f t="array" ref="BF11">IF(COUNTIF(AZ11:BB11,"&lt;&gt;0")=1,INDEX($V$4:$AW$4,MATCH(TRUE,INDEX($V11:$AW11&lt;&gt;0,),0)),IF(COUNTIF(AZ11:BB11,"&lt;&gt;0")=0,INDEX($AM$4:$AW$4,MATCH(1,$AM11:$AW11,0)),"Multiple strategies"))</f>
        <v>Demand</v>
      </c>
      <c r="BG11" s="173" t="s">
        <v>322</v>
      </c>
      <c r="BH11" t="s">
        <v>183</v>
      </c>
      <c r="BI11"/>
      <c r="BJ11" t="s">
        <v>1772</v>
      </c>
      <c r="BK11">
        <v>5347</v>
      </c>
      <c r="BL11" s="143">
        <v>6509</v>
      </c>
      <c r="BM11" s="163">
        <f t="shared" si="8"/>
        <v>1.2173181223115765</v>
      </c>
      <c r="BN11">
        <f t="shared" si="9"/>
        <v>1162</v>
      </c>
      <c r="BO11" s="143">
        <f t="shared" si="10"/>
        <v>1162000</v>
      </c>
      <c r="BP11" t="s">
        <v>233</v>
      </c>
      <c r="BQ11"/>
      <c r="BR11" t="s">
        <v>1879</v>
      </c>
      <c r="BS11">
        <v>1418</v>
      </c>
      <c r="BT11" s="143">
        <v>2999</v>
      </c>
      <c r="BU11" s="144">
        <f t="shared" si="11"/>
        <v>2.1149506346967559</v>
      </c>
      <c r="BV11">
        <f t="shared" si="12"/>
        <v>1581</v>
      </c>
      <c r="BW11"/>
      <c r="BX11">
        <f t="shared" si="13"/>
        <v>5802270</v>
      </c>
      <c r="BY11">
        <f t="shared" si="14"/>
        <v>4.9933476764199654</v>
      </c>
      <c r="BZ11">
        <v>0</v>
      </c>
      <c r="CA11">
        <v>0</v>
      </c>
      <c r="CB11">
        <v>0</v>
      </c>
      <c r="CC11">
        <v>0</v>
      </c>
      <c r="CD11">
        <v>0</v>
      </c>
      <c r="CE11">
        <v>0</v>
      </c>
      <c r="CF11">
        <v>0</v>
      </c>
      <c r="CG11">
        <v>0</v>
      </c>
      <c r="CH11">
        <v>0</v>
      </c>
      <c r="CI11">
        <v>0</v>
      </c>
      <c r="CJ11">
        <v>0</v>
      </c>
      <c r="CK11">
        <v>0</v>
      </c>
      <c r="CL11">
        <v>0</v>
      </c>
      <c r="CM11">
        <v>0</v>
      </c>
      <c r="CN11" t="str">
        <f t="shared" si="15"/>
        <v>refOK</v>
      </c>
      <c r="CO11">
        <f t="shared" si="16"/>
        <v>5347</v>
      </c>
      <c r="CP11">
        <f t="shared" si="17"/>
        <v>6509</v>
      </c>
      <c r="CQ11">
        <f t="shared" si="18"/>
        <v>1162000</v>
      </c>
      <c r="CR11">
        <f t="shared" si="19"/>
        <v>1418</v>
      </c>
      <c r="CS11">
        <f t="shared" si="20"/>
        <v>2999</v>
      </c>
      <c r="CT11">
        <f t="shared" si="21"/>
        <v>5802270</v>
      </c>
      <c r="CU11">
        <f t="shared" si="22"/>
        <v>4.9933476764199654</v>
      </c>
      <c r="CV11" s="2">
        <f t="shared" si="23"/>
        <v>1.1149506346967559</v>
      </c>
      <c r="CW11" s="1" t="s">
        <v>1205</v>
      </c>
      <c r="CX11" s="266" t="str">
        <f t="shared" si="24"/>
        <v>reg</v>
      </c>
      <c r="CY11" t="s">
        <v>1283</v>
      </c>
      <c r="CZ11"/>
      <c r="DA11" s="143"/>
      <c r="DB11">
        <v>100</v>
      </c>
      <c r="DC11" t="str">
        <f t="shared" si="25"/>
        <v>71-100</v>
      </c>
      <c r="DD11">
        <v>0</v>
      </c>
      <c r="DE11">
        <v>0</v>
      </c>
      <c r="DF11">
        <v>0</v>
      </c>
      <c r="DG11">
        <v>1</v>
      </c>
      <c r="DH11"/>
      <c r="DI11">
        <f t="shared" si="26"/>
        <v>1</v>
      </c>
      <c r="DJ11" t="str">
        <f t="shared" si="27"/>
        <v>TimberInput</v>
      </c>
      <c r="DK11">
        <f t="shared" si="28"/>
        <v>0</v>
      </c>
      <c r="DL11">
        <f t="shared" si="29"/>
        <v>0</v>
      </c>
      <c r="DM11">
        <f t="shared" si="30"/>
        <v>0</v>
      </c>
      <c r="DN11" t="str">
        <f t="shared" si="31"/>
        <v>Timber</v>
      </c>
      <c r="DO11">
        <v>0</v>
      </c>
      <c r="DP11" s="143">
        <v>0</v>
      </c>
      <c r="DQ11" s="143">
        <v>0</v>
      </c>
      <c r="DR11">
        <v>0</v>
      </c>
      <c r="DS11" s="143">
        <v>0</v>
      </c>
      <c r="DT11">
        <f t="shared" si="32"/>
        <v>0</v>
      </c>
      <c r="DU11" s="143" t="str">
        <f t="shared" si="33"/>
        <v>explicit C balance</v>
      </c>
      <c r="DV11" s="143">
        <v>0</v>
      </c>
      <c r="DW11" s="143">
        <v>0</v>
      </c>
      <c r="DX11" s="143">
        <v>1</v>
      </c>
      <c r="DY11" s="143">
        <v>0</v>
      </c>
      <c r="DZ11">
        <v>0</v>
      </c>
      <c r="EA11" s="143">
        <v>0</v>
      </c>
      <c r="EB11" s="143">
        <v>0</v>
      </c>
      <c r="EC11" s="143">
        <v>0</v>
      </c>
      <c r="ED11" s="143">
        <v>0</v>
      </c>
      <c r="EE11">
        <v>0</v>
      </c>
      <c r="EF11">
        <v>0</v>
      </c>
      <c r="EG11" s="143">
        <v>0</v>
      </c>
      <c r="EH11">
        <v>0</v>
      </c>
      <c r="EI11" s="2">
        <v>0</v>
      </c>
      <c r="EJ11" s="1"/>
      <c r="EK11" t="str">
        <f t="shared" si="34"/>
        <v/>
      </c>
      <c r="EL11" t="str">
        <f t="shared" si="35"/>
        <v/>
      </c>
      <c r="EM11" s="2" t="str">
        <f t="shared" si="36"/>
        <v/>
      </c>
      <c r="EN11"/>
      <c r="EO11"/>
      <c r="EP11" t="str">
        <f>IF(ISNUMBER(BU11),IF(ABS(BU11-[1]QC_indicators!$B$2)&gt;3*[1]QC_indicators!$C$2,"C ratio",IF(ISNUMBER(BY11),IF(ABS(BY11-[1]QC_indicators!$B$1)&gt;3*[1]QC_indicators!$C$1,"DF","no"))),IF(ISNUMBER(BY11),IF(ABS(BY11-[1]QC_indicators!$B$1)&gt;3*[1]QC_indicators!$C$1,"DF","no")))</f>
        <v>no</v>
      </c>
      <c r="EQ11" t="s">
        <v>1880</v>
      </c>
      <c r="ER11"/>
      <c r="ES11"/>
      <c r="ET11" s="266" t="s">
        <v>3409</v>
      </c>
      <c r="EU11"/>
    </row>
    <row r="12" spans="1:151" s="139" customFormat="1" ht="15" hidden="1" customHeight="1">
      <c r="A12" s="1" t="s">
        <v>1272</v>
      </c>
      <c r="B12" t="s">
        <v>1871</v>
      </c>
      <c r="C12" t="s">
        <v>1872</v>
      </c>
      <c r="D12" t="s">
        <v>1873</v>
      </c>
      <c r="E12" t="s">
        <v>1874</v>
      </c>
      <c r="F12" t="s">
        <v>1875</v>
      </c>
      <c r="G12" t="s">
        <v>1278</v>
      </c>
      <c r="H12" t="s">
        <v>255</v>
      </c>
      <c r="I12">
        <v>2019</v>
      </c>
      <c r="J12">
        <v>2</v>
      </c>
      <c r="K12" t="s">
        <v>1876</v>
      </c>
      <c r="L12"/>
      <c r="M12" t="str">
        <f t="shared" si="0"/>
        <v>Kucuker_2019</v>
      </c>
      <c r="N12" t="s">
        <v>223</v>
      </c>
      <c r="O12" s="145" t="s">
        <v>226</v>
      </c>
      <c r="P12"/>
      <c r="Q12" s="266" t="s">
        <v>257</v>
      </c>
      <c r="R12" s="271" t="s">
        <v>1156</v>
      </c>
      <c r="S12" s="1" t="s">
        <v>1877</v>
      </c>
      <c r="T12" t="s">
        <v>1881</v>
      </c>
      <c r="U12">
        <v>60</v>
      </c>
      <c r="V12">
        <v>0</v>
      </c>
      <c r="W12">
        <v>0</v>
      </c>
      <c r="X12">
        <v>0</v>
      </c>
      <c r="Y12">
        <v>0</v>
      </c>
      <c r="Z12">
        <v>0</v>
      </c>
      <c r="AA12">
        <v>0</v>
      </c>
      <c r="AB12">
        <v>0</v>
      </c>
      <c r="AC12">
        <v>0</v>
      </c>
      <c r="AD12">
        <v>0</v>
      </c>
      <c r="AE12">
        <v>0</v>
      </c>
      <c r="AF12">
        <v>0</v>
      </c>
      <c r="AG12">
        <v>0</v>
      </c>
      <c r="AH12">
        <v>0</v>
      </c>
      <c r="AI12">
        <v>0</v>
      </c>
      <c r="AJ12">
        <v>0</v>
      </c>
      <c r="AK12">
        <v>0</v>
      </c>
      <c r="AL12">
        <v>0</v>
      </c>
      <c r="AM12">
        <v>0</v>
      </c>
      <c r="AN12">
        <v>0</v>
      </c>
      <c r="AO12">
        <v>0</v>
      </c>
      <c r="AP12">
        <v>0</v>
      </c>
      <c r="AQ12">
        <v>0</v>
      </c>
      <c r="AR12">
        <v>0</v>
      </c>
      <c r="AS12">
        <v>0</v>
      </c>
      <c r="AT12">
        <v>0</v>
      </c>
      <c r="AU12">
        <v>0</v>
      </c>
      <c r="AV12">
        <v>1</v>
      </c>
      <c r="AW12">
        <v>0</v>
      </c>
      <c r="AX12" s="141">
        <f t="shared" si="1"/>
        <v>1</v>
      </c>
      <c r="AY12" s="141">
        <f t="shared" si="2"/>
        <v>0</v>
      </c>
      <c r="AZ12">
        <f t="shared" si="3"/>
        <v>0</v>
      </c>
      <c r="BA12">
        <f t="shared" si="4"/>
        <v>0</v>
      </c>
      <c r="BB12">
        <f t="shared" si="5"/>
        <v>0</v>
      </c>
      <c r="BC12">
        <f t="shared" si="6"/>
        <v>1</v>
      </c>
      <c r="BD12">
        <f t="shared" si="7"/>
        <v>0</v>
      </c>
      <c r="BE12" t="str" cm="1">
        <f t="array" ref="BE12">IF(AY12=1,INDEX($V$7:$AL$7,MATCH(TRUE,INDEX($V12:$AW12&lt;&gt;0,),0)),IF(AY12=0,INDEX($AM$7:$AW$7,MATCH(1,$AM12:$AW12,0)),IF(BF12="Multiple strategies","mixed drivers",IF(BF12="Supply chain","multiple supply","multiple silviculture"))))</f>
        <v>Exogenous C price</v>
      </c>
      <c r="BF12" s="2" t="str" cm="1">
        <f t="array" ref="BF12">IF(COUNTIF(AZ12:BB12,"&lt;&gt;0")=1,INDEX($V$4:$AW$4,MATCH(TRUE,INDEX($V12:$AW12&lt;&gt;0,),0)),IF(COUNTIF(AZ12:BB12,"&lt;&gt;0")=0,INDEX($AM$4:$AW$4,MATCH(1,$AM12:$AW12,0)),"Multiple strategies"))</f>
        <v>Demand</v>
      </c>
      <c r="BG12" s="173" t="s">
        <v>322</v>
      </c>
      <c r="BH12" t="s">
        <v>183</v>
      </c>
      <c r="BI12"/>
      <c r="BJ12" t="s">
        <v>1772</v>
      </c>
      <c r="BK12">
        <v>5918</v>
      </c>
      <c r="BL12" s="143">
        <v>6991</v>
      </c>
      <c r="BM12" s="163">
        <f t="shared" si="8"/>
        <v>1.1813112538019601</v>
      </c>
      <c r="BN12">
        <f t="shared" si="9"/>
        <v>1073</v>
      </c>
      <c r="BO12" s="143">
        <f t="shared" si="10"/>
        <v>1073000</v>
      </c>
      <c r="BP12" t="s">
        <v>233</v>
      </c>
      <c r="BQ12"/>
      <c r="BR12" t="s">
        <v>1879</v>
      </c>
      <c r="BS12">
        <v>1757</v>
      </c>
      <c r="BT12" s="143">
        <v>3283</v>
      </c>
      <c r="BU12" s="144">
        <f t="shared" si="11"/>
        <v>1.8685258964143425</v>
      </c>
      <c r="BV12">
        <f t="shared" si="12"/>
        <v>1526</v>
      </c>
      <c r="BW12"/>
      <c r="BX12">
        <f t="shared" si="13"/>
        <v>5600420</v>
      </c>
      <c r="BY12">
        <f t="shared" si="14"/>
        <v>5.2194035414725066</v>
      </c>
      <c r="BZ12">
        <v>0</v>
      </c>
      <c r="CA12">
        <v>0</v>
      </c>
      <c r="CB12">
        <v>0</v>
      </c>
      <c r="CC12">
        <v>0</v>
      </c>
      <c r="CD12">
        <v>0</v>
      </c>
      <c r="CE12">
        <v>0</v>
      </c>
      <c r="CF12">
        <v>0</v>
      </c>
      <c r="CG12">
        <v>0</v>
      </c>
      <c r="CH12">
        <v>0</v>
      </c>
      <c r="CI12">
        <v>0</v>
      </c>
      <c r="CJ12">
        <v>0</v>
      </c>
      <c r="CK12">
        <v>0</v>
      </c>
      <c r="CL12">
        <v>0</v>
      </c>
      <c r="CM12">
        <v>0</v>
      </c>
      <c r="CN12" t="str">
        <f t="shared" si="15"/>
        <v>refOK</v>
      </c>
      <c r="CO12">
        <f t="shared" si="16"/>
        <v>5918</v>
      </c>
      <c r="CP12">
        <f t="shared" si="17"/>
        <v>6991</v>
      </c>
      <c r="CQ12">
        <f t="shared" si="18"/>
        <v>1073000</v>
      </c>
      <c r="CR12">
        <f t="shared" si="19"/>
        <v>1757</v>
      </c>
      <c r="CS12">
        <f t="shared" si="20"/>
        <v>3283</v>
      </c>
      <c r="CT12">
        <f t="shared" si="21"/>
        <v>5600420</v>
      </c>
      <c r="CU12">
        <f t="shared" si="22"/>
        <v>5.2194035414725066</v>
      </c>
      <c r="CV12" s="2">
        <f t="shared" si="23"/>
        <v>0.86852589641434264</v>
      </c>
      <c r="CW12" s="1" t="s">
        <v>1205</v>
      </c>
      <c r="CX12" s="266" t="str">
        <f t="shared" si="24"/>
        <v>reg</v>
      </c>
      <c r="CY12" t="s">
        <v>1283</v>
      </c>
      <c r="CZ12"/>
      <c r="DA12" s="143"/>
      <c r="DB12">
        <v>100</v>
      </c>
      <c r="DC12" t="str">
        <f t="shared" si="25"/>
        <v>71-100</v>
      </c>
      <c r="DD12">
        <v>0</v>
      </c>
      <c r="DE12">
        <v>0</v>
      </c>
      <c r="DF12">
        <v>0</v>
      </c>
      <c r="DG12">
        <v>1</v>
      </c>
      <c r="DH12"/>
      <c r="DI12">
        <f t="shared" si="26"/>
        <v>1</v>
      </c>
      <c r="DJ12" t="str">
        <f t="shared" si="27"/>
        <v>TimberInput</v>
      </c>
      <c r="DK12">
        <f t="shared" si="28"/>
        <v>0</v>
      </c>
      <c r="DL12">
        <f t="shared" si="29"/>
        <v>0</v>
      </c>
      <c r="DM12">
        <f t="shared" si="30"/>
        <v>0</v>
      </c>
      <c r="DN12" t="str">
        <f t="shared" si="31"/>
        <v>Timber</v>
      </c>
      <c r="DO12">
        <v>0</v>
      </c>
      <c r="DP12" s="143">
        <v>0</v>
      </c>
      <c r="DQ12" s="143">
        <v>0</v>
      </c>
      <c r="DR12">
        <v>0</v>
      </c>
      <c r="DS12" s="143">
        <v>0</v>
      </c>
      <c r="DT12">
        <f t="shared" si="32"/>
        <v>0</v>
      </c>
      <c r="DU12" s="143" t="str">
        <f t="shared" si="33"/>
        <v>explicit C balance</v>
      </c>
      <c r="DV12" s="143">
        <v>0</v>
      </c>
      <c r="DW12" s="143">
        <v>0</v>
      </c>
      <c r="DX12" s="143">
        <v>1</v>
      </c>
      <c r="DY12" s="143">
        <v>0</v>
      </c>
      <c r="DZ12">
        <v>0</v>
      </c>
      <c r="EA12" s="143">
        <v>0</v>
      </c>
      <c r="EB12" s="143">
        <v>0</v>
      </c>
      <c r="EC12" s="143">
        <v>0</v>
      </c>
      <c r="ED12" s="143">
        <v>0</v>
      </c>
      <c r="EE12">
        <v>0</v>
      </c>
      <c r="EF12">
        <v>0</v>
      </c>
      <c r="EG12" s="143">
        <v>0</v>
      </c>
      <c r="EH12">
        <v>0</v>
      </c>
      <c r="EI12" s="2">
        <v>0</v>
      </c>
      <c r="EJ12" s="1"/>
      <c r="EK12" t="str">
        <f t="shared" si="34"/>
        <v/>
      </c>
      <c r="EL12" t="str">
        <f t="shared" si="35"/>
        <v/>
      </c>
      <c r="EM12" s="2" t="str">
        <f t="shared" si="36"/>
        <v/>
      </c>
      <c r="EN12"/>
      <c r="EO12"/>
      <c r="EP12" t="str">
        <f>IF(ISNUMBER(BU12),IF(ABS(BU12-[1]QC_indicators!$B$2)&gt;3*[1]QC_indicators!$C$2,"C ratio",IF(ISNUMBER(BY12),IF(ABS(BY12-[1]QC_indicators!$B$1)&gt;3*[1]QC_indicators!$C$1,"DF","no"))),IF(ISNUMBER(BY12),IF(ABS(BY12-[1]QC_indicators!$B$1)&gt;3*[1]QC_indicators!$C$1,"DF","no")))</f>
        <v>no</v>
      </c>
      <c r="EQ12" t="s">
        <v>1880</v>
      </c>
      <c r="ER12"/>
      <c r="ES12"/>
      <c r="ET12" s="266" t="s">
        <v>3409</v>
      </c>
      <c r="EU12"/>
    </row>
    <row r="13" spans="1:151" s="139" customFormat="1" ht="15" hidden="1" customHeight="1">
      <c r="A13" s="1" t="s">
        <v>1272</v>
      </c>
      <c r="B13" t="s">
        <v>1871</v>
      </c>
      <c r="C13" t="s">
        <v>1872</v>
      </c>
      <c r="D13" t="s">
        <v>1873</v>
      </c>
      <c r="E13" t="s">
        <v>1874</v>
      </c>
      <c r="F13" t="s">
        <v>1875</v>
      </c>
      <c r="G13" t="s">
        <v>1278</v>
      </c>
      <c r="H13" t="s">
        <v>255</v>
      </c>
      <c r="I13">
        <v>2019</v>
      </c>
      <c r="J13">
        <v>2</v>
      </c>
      <c r="K13" t="s">
        <v>1876</v>
      </c>
      <c r="L13"/>
      <c r="M13" t="str">
        <f t="shared" si="0"/>
        <v>Kucuker_2019</v>
      </c>
      <c r="N13" t="s">
        <v>223</v>
      </c>
      <c r="O13" s="145" t="s">
        <v>226</v>
      </c>
      <c r="P13"/>
      <c r="Q13" s="266" t="s">
        <v>257</v>
      </c>
      <c r="R13" s="271" t="s">
        <v>1156</v>
      </c>
      <c r="S13" s="1" t="s">
        <v>1877</v>
      </c>
      <c r="T13" t="s">
        <v>1878</v>
      </c>
      <c r="U13">
        <v>60</v>
      </c>
      <c r="V13">
        <v>0</v>
      </c>
      <c r="W13">
        <v>0</v>
      </c>
      <c r="X13">
        <v>0</v>
      </c>
      <c r="Y13">
        <v>0</v>
      </c>
      <c r="Z13">
        <v>0</v>
      </c>
      <c r="AA13">
        <v>0</v>
      </c>
      <c r="AB13">
        <v>0</v>
      </c>
      <c r="AC13">
        <v>0</v>
      </c>
      <c r="AD13">
        <v>0</v>
      </c>
      <c r="AE13">
        <v>0</v>
      </c>
      <c r="AF13">
        <v>0</v>
      </c>
      <c r="AG13">
        <v>0</v>
      </c>
      <c r="AH13">
        <v>0</v>
      </c>
      <c r="AI13">
        <v>0</v>
      </c>
      <c r="AJ13">
        <v>0</v>
      </c>
      <c r="AK13">
        <v>0</v>
      </c>
      <c r="AL13">
        <v>0</v>
      </c>
      <c r="AM13">
        <v>0</v>
      </c>
      <c r="AN13">
        <v>0</v>
      </c>
      <c r="AO13">
        <v>0</v>
      </c>
      <c r="AP13">
        <v>0</v>
      </c>
      <c r="AQ13">
        <v>0</v>
      </c>
      <c r="AR13">
        <v>0</v>
      </c>
      <c r="AS13">
        <v>0</v>
      </c>
      <c r="AT13">
        <v>0</v>
      </c>
      <c r="AU13">
        <v>0</v>
      </c>
      <c r="AV13">
        <v>1</v>
      </c>
      <c r="AW13">
        <v>0</v>
      </c>
      <c r="AX13" s="141">
        <f t="shared" si="1"/>
        <v>1</v>
      </c>
      <c r="AY13" s="141">
        <f t="shared" si="2"/>
        <v>0</v>
      </c>
      <c r="AZ13">
        <f t="shared" si="3"/>
        <v>0</v>
      </c>
      <c r="BA13">
        <f t="shared" si="4"/>
        <v>0</v>
      </c>
      <c r="BB13">
        <f t="shared" si="5"/>
        <v>0</v>
      </c>
      <c r="BC13">
        <f t="shared" si="6"/>
        <v>1</v>
      </c>
      <c r="BD13">
        <f t="shared" si="7"/>
        <v>0</v>
      </c>
      <c r="BE13" t="str" cm="1">
        <f t="array" ref="BE13">IF(AY13=1,INDEX($V$7:$AL$7,MATCH(TRUE,INDEX($V13:$AW13&lt;&gt;0,),0)),IF(AY13=0,INDEX($AM$7:$AW$7,MATCH(1,$AM13:$AW13,0)),IF(BF13="Multiple strategies","mixed drivers",IF(BF13="Supply chain","multiple supply","multiple silviculture"))))</f>
        <v>Exogenous C price</v>
      </c>
      <c r="BF13" s="2" t="str" cm="1">
        <f t="array" ref="BF13">IF(COUNTIF(AZ13:BB13,"&lt;&gt;0")=1,INDEX($V$4:$AW$4,MATCH(TRUE,INDEX($V13:$AW13&lt;&gt;0,),0)),IF(COUNTIF(AZ13:BB13,"&lt;&gt;0")=0,INDEX($AM$4:$AW$4,MATCH(1,$AM13:$AW13,0)),"Multiple strategies"))</f>
        <v>Demand</v>
      </c>
      <c r="BG13" s="173" t="s">
        <v>322</v>
      </c>
      <c r="BH13" t="s">
        <v>183</v>
      </c>
      <c r="BI13"/>
      <c r="BJ13" t="s">
        <v>1772</v>
      </c>
      <c r="BK13">
        <v>5347</v>
      </c>
      <c r="BL13" s="143">
        <v>6468</v>
      </c>
      <c r="BM13" s="163">
        <f t="shared" si="8"/>
        <v>1.2096502711801009</v>
      </c>
      <c r="BN13">
        <f t="shared" si="9"/>
        <v>1121</v>
      </c>
      <c r="BO13" s="143">
        <f t="shared" si="10"/>
        <v>1121000</v>
      </c>
      <c r="BP13" t="s">
        <v>233</v>
      </c>
      <c r="BQ13"/>
      <c r="BR13" t="s">
        <v>1879</v>
      </c>
      <c r="BS13">
        <v>1418</v>
      </c>
      <c r="BT13" s="143">
        <v>3030</v>
      </c>
      <c r="BU13" s="144">
        <f t="shared" si="11"/>
        <v>2.1368124118476728</v>
      </c>
      <c r="BV13">
        <f t="shared" si="12"/>
        <v>1612</v>
      </c>
      <c r="BW13"/>
      <c r="BX13">
        <f t="shared" si="13"/>
        <v>5916040</v>
      </c>
      <c r="BY13">
        <f t="shared" si="14"/>
        <v>5.2774665477252451</v>
      </c>
      <c r="BZ13">
        <v>0</v>
      </c>
      <c r="CA13">
        <v>0</v>
      </c>
      <c r="CB13">
        <v>0</v>
      </c>
      <c r="CC13">
        <v>0</v>
      </c>
      <c r="CD13">
        <v>0</v>
      </c>
      <c r="CE13">
        <v>0</v>
      </c>
      <c r="CF13">
        <v>0</v>
      </c>
      <c r="CG13">
        <v>0</v>
      </c>
      <c r="CH13">
        <v>0</v>
      </c>
      <c r="CI13">
        <v>0</v>
      </c>
      <c r="CJ13">
        <v>0</v>
      </c>
      <c r="CK13">
        <v>0</v>
      </c>
      <c r="CL13">
        <v>0</v>
      </c>
      <c r="CM13">
        <v>0</v>
      </c>
      <c r="CN13" t="str">
        <f t="shared" si="15"/>
        <v>refOK</v>
      </c>
      <c r="CO13">
        <f t="shared" si="16"/>
        <v>5347</v>
      </c>
      <c r="CP13">
        <f t="shared" si="17"/>
        <v>6468</v>
      </c>
      <c r="CQ13">
        <f t="shared" si="18"/>
        <v>1121000</v>
      </c>
      <c r="CR13">
        <f t="shared" si="19"/>
        <v>1418</v>
      </c>
      <c r="CS13">
        <f t="shared" si="20"/>
        <v>3030</v>
      </c>
      <c r="CT13">
        <f t="shared" si="21"/>
        <v>5916040</v>
      </c>
      <c r="CU13">
        <f t="shared" si="22"/>
        <v>5.2774665477252451</v>
      </c>
      <c r="CV13" s="2">
        <f t="shared" si="23"/>
        <v>1.1368124118476728</v>
      </c>
      <c r="CW13" s="1" t="s">
        <v>1205</v>
      </c>
      <c r="CX13" s="266" t="str">
        <f t="shared" si="24"/>
        <v>reg</v>
      </c>
      <c r="CY13" t="s">
        <v>1283</v>
      </c>
      <c r="CZ13"/>
      <c r="DA13" s="143"/>
      <c r="DB13">
        <v>100</v>
      </c>
      <c r="DC13" t="str">
        <f t="shared" si="25"/>
        <v>71-100</v>
      </c>
      <c r="DD13">
        <v>0</v>
      </c>
      <c r="DE13">
        <v>0</v>
      </c>
      <c r="DF13">
        <v>0</v>
      </c>
      <c r="DG13">
        <v>1</v>
      </c>
      <c r="DH13"/>
      <c r="DI13">
        <f t="shared" si="26"/>
        <v>1</v>
      </c>
      <c r="DJ13" t="str">
        <f t="shared" si="27"/>
        <v>TimberInput</v>
      </c>
      <c r="DK13">
        <f t="shared" si="28"/>
        <v>0</v>
      </c>
      <c r="DL13">
        <f t="shared" si="29"/>
        <v>0</v>
      </c>
      <c r="DM13">
        <f t="shared" si="30"/>
        <v>0</v>
      </c>
      <c r="DN13" t="str">
        <f t="shared" si="31"/>
        <v>Timber</v>
      </c>
      <c r="DO13">
        <v>0</v>
      </c>
      <c r="DP13" s="143">
        <v>0</v>
      </c>
      <c r="DQ13" s="143">
        <v>0</v>
      </c>
      <c r="DR13">
        <v>0</v>
      </c>
      <c r="DS13" s="143">
        <v>0</v>
      </c>
      <c r="DT13">
        <f t="shared" si="32"/>
        <v>0</v>
      </c>
      <c r="DU13" s="143" t="str">
        <f t="shared" si="33"/>
        <v>explicit C balance</v>
      </c>
      <c r="DV13" s="143">
        <v>0</v>
      </c>
      <c r="DW13" s="143">
        <v>0</v>
      </c>
      <c r="DX13" s="143">
        <v>1</v>
      </c>
      <c r="DY13" s="143">
        <v>0</v>
      </c>
      <c r="DZ13">
        <v>0</v>
      </c>
      <c r="EA13" s="143">
        <v>0</v>
      </c>
      <c r="EB13" s="143">
        <v>0</v>
      </c>
      <c r="EC13" s="143">
        <v>0</v>
      </c>
      <c r="ED13" s="143">
        <v>0</v>
      </c>
      <c r="EE13">
        <v>0</v>
      </c>
      <c r="EF13">
        <v>0</v>
      </c>
      <c r="EG13" s="143">
        <v>0</v>
      </c>
      <c r="EH13">
        <v>0</v>
      </c>
      <c r="EI13" s="2">
        <v>0</v>
      </c>
      <c r="EJ13" s="1"/>
      <c r="EK13" t="str">
        <f t="shared" si="34"/>
        <v/>
      </c>
      <c r="EL13" t="str">
        <f t="shared" si="35"/>
        <v/>
      </c>
      <c r="EM13" s="2" t="str">
        <f t="shared" si="36"/>
        <v/>
      </c>
      <c r="EN13"/>
      <c r="EO13"/>
      <c r="EP13" t="str">
        <f>IF(ISNUMBER(BU13),IF(ABS(BU13-[1]QC_indicators!$B$2)&gt;3*[1]QC_indicators!$C$2,"C ratio",IF(ISNUMBER(BY13),IF(ABS(BY13-[1]QC_indicators!$B$1)&gt;3*[1]QC_indicators!$C$1,"DF","no"))),IF(ISNUMBER(BY13),IF(ABS(BY13-[1]QC_indicators!$B$1)&gt;3*[1]QC_indicators!$C$1,"DF","no")))</f>
        <v>no</v>
      </c>
      <c r="EQ13" t="s">
        <v>1880</v>
      </c>
      <c r="ER13"/>
      <c r="ES13"/>
      <c r="ET13" s="266" t="s">
        <v>3409</v>
      </c>
      <c r="EU13"/>
    </row>
    <row r="14" spans="1:151" s="139" customFormat="1" ht="15" hidden="1" customHeight="1">
      <c r="A14" s="1" t="s">
        <v>1272</v>
      </c>
      <c r="B14" t="s">
        <v>1871</v>
      </c>
      <c r="C14" t="s">
        <v>1872</v>
      </c>
      <c r="D14" t="s">
        <v>1873</v>
      </c>
      <c r="E14" t="s">
        <v>1874</v>
      </c>
      <c r="F14" t="s">
        <v>1875</v>
      </c>
      <c r="G14" t="s">
        <v>1278</v>
      </c>
      <c r="H14" t="s">
        <v>255</v>
      </c>
      <c r="I14">
        <v>2019</v>
      </c>
      <c r="J14">
        <v>2</v>
      </c>
      <c r="K14" t="s">
        <v>1876</v>
      </c>
      <c r="L14"/>
      <c r="M14" t="str">
        <f t="shared" si="0"/>
        <v>Kucuker_2019</v>
      </c>
      <c r="N14" t="s">
        <v>223</v>
      </c>
      <c r="O14" s="145" t="s">
        <v>226</v>
      </c>
      <c r="P14"/>
      <c r="Q14" s="266" t="s">
        <v>257</v>
      </c>
      <c r="R14" s="271" t="s">
        <v>1156</v>
      </c>
      <c r="S14" s="1" t="s">
        <v>1877</v>
      </c>
      <c r="T14" t="s">
        <v>1881</v>
      </c>
      <c r="U14">
        <v>100</v>
      </c>
      <c r="V14">
        <v>0</v>
      </c>
      <c r="W14">
        <v>0</v>
      </c>
      <c r="X14">
        <v>0</v>
      </c>
      <c r="Y14">
        <v>0</v>
      </c>
      <c r="Z14">
        <v>0</v>
      </c>
      <c r="AA14">
        <v>0</v>
      </c>
      <c r="AB14">
        <v>0</v>
      </c>
      <c r="AC14">
        <v>0</v>
      </c>
      <c r="AD14">
        <v>0</v>
      </c>
      <c r="AE14">
        <v>0</v>
      </c>
      <c r="AF14">
        <v>0</v>
      </c>
      <c r="AG14">
        <v>0</v>
      </c>
      <c r="AH14">
        <v>0</v>
      </c>
      <c r="AI14">
        <v>0</v>
      </c>
      <c r="AJ14">
        <v>0</v>
      </c>
      <c r="AK14">
        <v>0</v>
      </c>
      <c r="AL14">
        <v>0</v>
      </c>
      <c r="AM14">
        <v>0</v>
      </c>
      <c r="AN14">
        <v>0</v>
      </c>
      <c r="AO14">
        <v>0</v>
      </c>
      <c r="AP14">
        <v>0</v>
      </c>
      <c r="AQ14">
        <v>0</v>
      </c>
      <c r="AR14">
        <v>0</v>
      </c>
      <c r="AS14">
        <v>0</v>
      </c>
      <c r="AT14">
        <v>0</v>
      </c>
      <c r="AU14">
        <v>0</v>
      </c>
      <c r="AV14">
        <v>1</v>
      </c>
      <c r="AW14">
        <v>0</v>
      </c>
      <c r="AX14" s="141">
        <f t="shared" si="1"/>
        <v>1</v>
      </c>
      <c r="AY14" s="141">
        <f t="shared" si="2"/>
        <v>0</v>
      </c>
      <c r="AZ14">
        <f t="shared" si="3"/>
        <v>0</v>
      </c>
      <c r="BA14">
        <f t="shared" si="4"/>
        <v>0</v>
      </c>
      <c r="BB14">
        <f t="shared" si="5"/>
        <v>0</v>
      </c>
      <c r="BC14">
        <f t="shared" si="6"/>
        <v>1</v>
      </c>
      <c r="BD14">
        <f t="shared" si="7"/>
        <v>0</v>
      </c>
      <c r="BE14" t="str" cm="1">
        <f t="array" ref="BE14">IF(AY14=1,INDEX($V$7:$AL$7,MATCH(TRUE,INDEX($V14:$AW14&lt;&gt;0,),0)),IF(AY14=0,INDEX($AM$7:$AW$7,MATCH(1,$AM14:$AW14,0)),IF(BF14="Multiple strategies","mixed drivers",IF(BF14="Supply chain","multiple supply","multiple silviculture"))))</f>
        <v>Exogenous C price</v>
      </c>
      <c r="BF14" s="2" t="str" cm="1">
        <f t="array" ref="BF14">IF(COUNTIF(AZ14:BB14,"&lt;&gt;0")=1,INDEX($V$4:$AW$4,MATCH(TRUE,INDEX($V14:$AW14&lt;&gt;0,),0)),IF(COUNTIF(AZ14:BB14,"&lt;&gt;0")=0,INDEX($AM$4:$AW$4,MATCH(1,$AM14:$AW14,0)),"Multiple strategies"))</f>
        <v>Demand</v>
      </c>
      <c r="BG14" s="173" t="s">
        <v>322</v>
      </c>
      <c r="BH14" t="s">
        <v>183</v>
      </c>
      <c r="BI14"/>
      <c r="BJ14" t="s">
        <v>1772</v>
      </c>
      <c r="BK14">
        <v>5918</v>
      </c>
      <c r="BL14" s="143">
        <v>6986</v>
      </c>
      <c r="BM14" s="163">
        <f t="shared" si="8"/>
        <v>1.1804663737749239</v>
      </c>
      <c r="BN14">
        <f t="shared" si="9"/>
        <v>1068</v>
      </c>
      <c r="BO14" s="143">
        <f t="shared" si="10"/>
        <v>1068000</v>
      </c>
      <c r="BP14" t="s">
        <v>233</v>
      </c>
      <c r="BQ14"/>
      <c r="BR14" t="s">
        <v>1879</v>
      </c>
      <c r="BS14">
        <v>1757</v>
      </c>
      <c r="BT14" s="143">
        <v>3330</v>
      </c>
      <c r="BU14" s="144">
        <f t="shared" si="11"/>
        <v>1.8952760387023335</v>
      </c>
      <c r="BV14">
        <f t="shared" si="12"/>
        <v>1573</v>
      </c>
      <c r="BW14"/>
      <c r="BX14">
        <f t="shared" si="13"/>
        <v>5772910</v>
      </c>
      <c r="BY14">
        <f t="shared" si="14"/>
        <v>5.4053464419475654</v>
      </c>
      <c r="BZ14">
        <v>0</v>
      </c>
      <c r="CA14">
        <v>0</v>
      </c>
      <c r="CB14">
        <v>0</v>
      </c>
      <c r="CC14">
        <v>0</v>
      </c>
      <c r="CD14">
        <v>0</v>
      </c>
      <c r="CE14">
        <v>0</v>
      </c>
      <c r="CF14">
        <v>0</v>
      </c>
      <c r="CG14">
        <v>0</v>
      </c>
      <c r="CH14">
        <v>0</v>
      </c>
      <c r="CI14">
        <v>0</v>
      </c>
      <c r="CJ14">
        <v>0</v>
      </c>
      <c r="CK14">
        <v>0</v>
      </c>
      <c r="CL14">
        <v>0</v>
      </c>
      <c r="CM14">
        <v>0</v>
      </c>
      <c r="CN14" t="str">
        <f t="shared" si="15"/>
        <v>refOK</v>
      </c>
      <c r="CO14">
        <f t="shared" si="16"/>
        <v>5918</v>
      </c>
      <c r="CP14">
        <f t="shared" si="17"/>
        <v>6986</v>
      </c>
      <c r="CQ14">
        <f t="shared" si="18"/>
        <v>1068000</v>
      </c>
      <c r="CR14">
        <f t="shared" si="19"/>
        <v>1757</v>
      </c>
      <c r="CS14">
        <f t="shared" si="20"/>
        <v>3330</v>
      </c>
      <c r="CT14">
        <f t="shared" si="21"/>
        <v>5772910</v>
      </c>
      <c r="CU14">
        <f t="shared" si="22"/>
        <v>5.4053464419475654</v>
      </c>
      <c r="CV14" s="2">
        <f t="shared" si="23"/>
        <v>0.89527603870233352</v>
      </c>
      <c r="CW14" s="1" t="s">
        <v>1205</v>
      </c>
      <c r="CX14" s="266" t="str">
        <f t="shared" si="24"/>
        <v>reg</v>
      </c>
      <c r="CY14" t="s">
        <v>1283</v>
      </c>
      <c r="CZ14"/>
      <c r="DA14" s="143"/>
      <c r="DB14">
        <v>100</v>
      </c>
      <c r="DC14" t="str">
        <f t="shared" si="25"/>
        <v>71-100</v>
      </c>
      <c r="DD14">
        <v>0</v>
      </c>
      <c r="DE14">
        <v>0</v>
      </c>
      <c r="DF14">
        <v>0</v>
      </c>
      <c r="DG14">
        <v>1</v>
      </c>
      <c r="DH14"/>
      <c r="DI14">
        <f t="shared" si="26"/>
        <v>1</v>
      </c>
      <c r="DJ14" t="str">
        <f t="shared" si="27"/>
        <v>TimberInput</v>
      </c>
      <c r="DK14">
        <f t="shared" si="28"/>
        <v>0</v>
      </c>
      <c r="DL14">
        <f t="shared" si="29"/>
        <v>0</v>
      </c>
      <c r="DM14">
        <f t="shared" si="30"/>
        <v>0</v>
      </c>
      <c r="DN14" t="str">
        <f t="shared" si="31"/>
        <v>Timber</v>
      </c>
      <c r="DO14">
        <v>0</v>
      </c>
      <c r="DP14" s="143">
        <v>0</v>
      </c>
      <c r="DQ14" s="143">
        <v>0</v>
      </c>
      <c r="DR14">
        <v>0</v>
      </c>
      <c r="DS14" s="143">
        <v>0</v>
      </c>
      <c r="DT14">
        <f t="shared" si="32"/>
        <v>0</v>
      </c>
      <c r="DU14" s="143" t="str">
        <f t="shared" si="33"/>
        <v>explicit C balance</v>
      </c>
      <c r="DV14" s="143">
        <v>0</v>
      </c>
      <c r="DW14" s="143">
        <v>0</v>
      </c>
      <c r="DX14" s="143">
        <v>1</v>
      </c>
      <c r="DY14" s="143">
        <v>0</v>
      </c>
      <c r="DZ14">
        <v>0</v>
      </c>
      <c r="EA14" s="143">
        <v>0</v>
      </c>
      <c r="EB14" s="143">
        <v>0</v>
      </c>
      <c r="EC14" s="143">
        <v>0</v>
      </c>
      <c r="ED14" s="143">
        <v>0</v>
      </c>
      <c r="EE14">
        <v>0</v>
      </c>
      <c r="EF14">
        <v>0</v>
      </c>
      <c r="EG14" s="143">
        <v>0</v>
      </c>
      <c r="EH14">
        <v>0</v>
      </c>
      <c r="EI14" s="2">
        <v>0</v>
      </c>
      <c r="EJ14" s="1"/>
      <c r="EK14" t="str">
        <f t="shared" si="34"/>
        <v/>
      </c>
      <c r="EL14" t="str">
        <f t="shared" si="35"/>
        <v/>
      </c>
      <c r="EM14" s="2" t="str">
        <f t="shared" si="36"/>
        <v/>
      </c>
      <c r="EN14"/>
      <c r="EO14"/>
      <c r="EP14" t="str">
        <f>IF(ISNUMBER(BU14),IF(ABS(BU14-[1]QC_indicators!$B$2)&gt;3*[1]QC_indicators!$C$2,"C ratio",IF(ISNUMBER(BY14),IF(ABS(BY14-[1]QC_indicators!$B$1)&gt;3*[1]QC_indicators!$C$1,"DF","no"))),IF(ISNUMBER(BY14),IF(ABS(BY14-[1]QC_indicators!$B$1)&gt;3*[1]QC_indicators!$C$1,"DF","no")))</f>
        <v>no</v>
      </c>
      <c r="EQ14" t="s">
        <v>1880</v>
      </c>
      <c r="ER14"/>
      <c r="ES14"/>
      <c r="ET14" s="266" t="s">
        <v>3409</v>
      </c>
      <c r="EU14"/>
    </row>
    <row r="15" spans="1:151" s="139" customFormat="1" ht="15" hidden="1" customHeight="1">
      <c r="A15" s="1" t="s">
        <v>1272</v>
      </c>
      <c r="B15" t="s">
        <v>1871</v>
      </c>
      <c r="C15" t="s">
        <v>1872</v>
      </c>
      <c r="D15" t="s">
        <v>1873</v>
      </c>
      <c r="E15" t="s">
        <v>1874</v>
      </c>
      <c r="F15" t="s">
        <v>1875</v>
      </c>
      <c r="G15" t="s">
        <v>1278</v>
      </c>
      <c r="H15" t="s">
        <v>255</v>
      </c>
      <c r="I15">
        <v>2019</v>
      </c>
      <c r="J15">
        <v>2</v>
      </c>
      <c r="K15" t="s">
        <v>1876</v>
      </c>
      <c r="L15"/>
      <c r="M15" t="str">
        <f t="shared" si="0"/>
        <v>Kucuker_2019</v>
      </c>
      <c r="N15" t="s">
        <v>223</v>
      </c>
      <c r="O15" s="145" t="s">
        <v>226</v>
      </c>
      <c r="P15"/>
      <c r="Q15" s="266" t="s">
        <v>257</v>
      </c>
      <c r="R15" s="271" t="s">
        <v>1156</v>
      </c>
      <c r="S15" s="1" t="s">
        <v>1877</v>
      </c>
      <c r="T15" t="s">
        <v>1878</v>
      </c>
      <c r="U15">
        <v>100</v>
      </c>
      <c r="V15">
        <v>0</v>
      </c>
      <c r="W15">
        <v>0</v>
      </c>
      <c r="X15">
        <v>0</v>
      </c>
      <c r="Y15">
        <v>0</v>
      </c>
      <c r="Z15">
        <v>0</v>
      </c>
      <c r="AA15">
        <v>0</v>
      </c>
      <c r="AB15">
        <v>0</v>
      </c>
      <c r="AC15">
        <v>0</v>
      </c>
      <c r="AD15">
        <v>0</v>
      </c>
      <c r="AE15">
        <v>0</v>
      </c>
      <c r="AF15">
        <v>0</v>
      </c>
      <c r="AG15">
        <v>0</v>
      </c>
      <c r="AH15">
        <v>0</v>
      </c>
      <c r="AI15">
        <v>0</v>
      </c>
      <c r="AJ15">
        <v>0</v>
      </c>
      <c r="AK15">
        <v>0</v>
      </c>
      <c r="AL15">
        <v>0</v>
      </c>
      <c r="AM15">
        <v>0</v>
      </c>
      <c r="AN15">
        <v>0</v>
      </c>
      <c r="AO15">
        <v>0</v>
      </c>
      <c r="AP15">
        <v>0</v>
      </c>
      <c r="AQ15">
        <v>0</v>
      </c>
      <c r="AR15">
        <v>0</v>
      </c>
      <c r="AS15">
        <v>0</v>
      </c>
      <c r="AT15">
        <v>0</v>
      </c>
      <c r="AU15">
        <v>0</v>
      </c>
      <c r="AV15">
        <v>1</v>
      </c>
      <c r="AW15">
        <v>0</v>
      </c>
      <c r="AX15" s="141">
        <f t="shared" si="1"/>
        <v>1</v>
      </c>
      <c r="AY15" s="141">
        <f t="shared" si="2"/>
        <v>0</v>
      </c>
      <c r="AZ15">
        <f t="shared" si="3"/>
        <v>0</v>
      </c>
      <c r="BA15">
        <f t="shared" si="4"/>
        <v>0</v>
      </c>
      <c r="BB15">
        <f t="shared" si="5"/>
        <v>0</v>
      </c>
      <c r="BC15">
        <f t="shared" si="6"/>
        <v>1</v>
      </c>
      <c r="BD15">
        <f t="shared" si="7"/>
        <v>0</v>
      </c>
      <c r="BE15" t="str" cm="1">
        <f t="array" ref="BE15">IF(AY15=1,INDEX($V$7:$AL$7,MATCH(TRUE,INDEX($V15:$AW15&lt;&gt;0,),0)),IF(AY15=0,INDEX($AM$7:$AW$7,MATCH(1,$AM15:$AW15,0)),IF(BF15="Multiple strategies","mixed drivers",IF(BF15="Supply chain","multiple supply","multiple silviculture"))))</f>
        <v>Exogenous C price</v>
      </c>
      <c r="BF15" s="2" t="str" cm="1">
        <f t="array" ref="BF15">IF(COUNTIF(AZ15:BB15,"&lt;&gt;0")=1,INDEX($V$4:$AW$4,MATCH(TRUE,INDEX($V15:$AW15&lt;&gt;0,),0)),IF(COUNTIF(AZ15:BB15,"&lt;&gt;0")=0,INDEX($AM$4:$AW$4,MATCH(1,$AM15:$AW15,0)),"Multiple strategies"))</f>
        <v>Demand</v>
      </c>
      <c r="BG15" s="173" t="s">
        <v>322</v>
      </c>
      <c r="BH15" t="s">
        <v>183</v>
      </c>
      <c r="BI15"/>
      <c r="BJ15" t="s">
        <v>1772</v>
      </c>
      <c r="BK15">
        <v>5347</v>
      </c>
      <c r="BL15" s="143">
        <v>6397</v>
      </c>
      <c r="BM15" s="163">
        <f t="shared" si="8"/>
        <v>1.1963717972694969</v>
      </c>
      <c r="BN15">
        <f t="shared" si="9"/>
        <v>1050</v>
      </c>
      <c r="BO15" s="143">
        <f t="shared" si="10"/>
        <v>1050000</v>
      </c>
      <c r="BP15" t="s">
        <v>233</v>
      </c>
      <c r="BQ15"/>
      <c r="BR15" t="s">
        <v>1879</v>
      </c>
      <c r="BS15">
        <v>1418</v>
      </c>
      <c r="BT15" s="143">
        <v>3066</v>
      </c>
      <c r="BU15" s="144">
        <f t="shared" si="11"/>
        <v>2.1622002820874471</v>
      </c>
      <c r="BV15">
        <f t="shared" si="12"/>
        <v>1648</v>
      </c>
      <c r="BW15"/>
      <c r="BX15">
        <f t="shared" si="13"/>
        <v>6048160</v>
      </c>
      <c r="BY15">
        <f t="shared" si="14"/>
        <v>5.7601523809523814</v>
      </c>
      <c r="BZ15">
        <v>0</v>
      </c>
      <c r="CA15">
        <v>0</v>
      </c>
      <c r="CB15">
        <v>0</v>
      </c>
      <c r="CC15">
        <v>0</v>
      </c>
      <c r="CD15">
        <v>0</v>
      </c>
      <c r="CE15">
        <v>0</v>
      </c>
      <c r="CF15">
        <v>0</v>
      </c>
      <c r="CG15">
        <v>0</v>
      </c>
      <c r="CH15">
        <v>0</v>
      </c>
      <c r="CI15">
        <v>0</v>
      </c>
      <c r="CJ15">
        <v>0</v>
      </c>
      <c r="CK15">
        <v>0</v>
      </c>
      <c r="CL15">
        <v>0</v>
      </c>
      <c r="CM15">
        <v>0</v>
      </c>
      <c r="CN15" t="str">
        <f t="shared" si="15"/>
        <v>refOK</v>
      </c>
      <c r="CO15">
        <f t="shared" si="16"/>
        <v>5347</v>
      </c>
      <c r="CP15">
        <f t="shared" si="17"/>
        <v>6397</v>
      </c>
      <c r="CQ15">
        <f t="shared" si="18"/>
        <v>1050000</v>
      </c>
      <c r="CR15">
        <f t="shared" si="19"/>
        <v>1418</v>
      </c>
      <c r="CS15">
        <f t="shared" si="20"/>
        <v>3066</v>
      </c>
      <c r="CT15">
        <f t="shared" si="21"/>
        <v>6048160</v>
      </c>
      <c r="CU15">
        <f t="shared" si="22"/>
        <v>5.7601523809523814</v>
      </c>
      <c r="CV15" s="2">
        <f t="shared" si="23"/>
        <v>1.1622002820874471</v>
      </c>
      <c r="CW15" s="1" t="s">
        <v>1205</v>
      </c>
      <c r="CX15" s="266" t="str">
        <f t="shared" si="24"/>
        <v>reg</v>
      </c>
      <c r="CY15" t="s">
        <v>1283</v>
      </c>
      <c r="CZ15"/>
      <c r="DA15" s="143"/>
      <c r="DB15">
        <v>100</v>
      </c>
      <c r="DC15" t="str">
        <f t="shared" si="25"/>
        <v>71-100</v>
      </c>
      <c r="DD15">
        <v>0</v>
      </c>
      <c r="DE15">
        <v>0</v>
      </c>
      <c r="DF15">
        <v>0</v>
      </c>
      <c r="DG15">
        <v>1</v>
      </c>
      <c r="DH15"/>
      <c r="DI15">
        <f t="shared" si="26"/>
        <v>1</v>
      </c>
      <c r="DJ15" t="str">
        <f t="shared" si="27"/>
        <v>TimberInput</v>
      </c>
      <c r="DK15">
        <f t="shared" si="28"/>
        <v>0</v>
      </c>
      <c r="DL15">
        <f t="shared" si="29"/>
        <v>0</v>
      </c>
      <c r="DM15">
        <f t="shared" si="30"/>
        <v>0</v>
      </c>
      <c r="DN15" t="str">
        <f t="shared" si="31"/>
        <v>Timber</v>
      </c>
      <c r="DO15">
        <v>0</v>
      </c>
      <c r="DP15" s="143">
        <v>0</v>
      </c>
      <c r="DQ15" s="143">
        <v>0</v>
      </c>
      <c r="DR15">
        <v>0</v>
      </c>
      <c r="DS15" s="143">
        <v>0</v>
      </c>
      <c r="DT15">
        <f t="shared" si="32"/>
        <v>0</v>
      </c>
      <c r="DU15" s="143" t="str">
        <f t="shared" si="33"/>
        <v>explicit C balance</v>
      </c>
      <c r="DV15" s="143">
        <v>0</v>
      </c>
      <c r="DW15" s="143">
        <v>0</v>
      </c>
      <c r="DX15" s="143">
        <v>1</v>
      </c>
      <c r="DY15" s="143">
        <v>0</v>
      </c>
      <c r="DZ15">
        <v>0</v>
      </c>
      <c r="EA15" s="143">
        <v>0</v>
      </c>
      <c r="EB15" s="143">
        <v>0</v>
      </c>
      <c r="EC15" s="143">
        <v>0</v>
      </c>
      <c r="ED15" s="143">
        <v>0</v>
      </c>
      <c r="EE15">
        <v>0</v>
      </c>
      <c r="EF15">
        <v>0</v>
      </c>
      <c r="EG15" s="143">
        <v>0</v>
      </c>
      <c r="EH15">
        <v>0</v>
      </c>
      <c r="EI15" s="2">
        <v>0</v>
      </c>
      <c r="EJ15" s="1"/>
      <c r="EK15" t="str">
        <f t="shared" si="34"/>
        <v/>
      </c>
      <c r="EL15" t="str">
        <f t="shared" si="35"/>
        <v/>
      </c>
      <c r="EM15" s="2" t="str">
        <f t="shared" si="36"/>
        <v/>
      </c>
      <c r="EN15"/>
      <c r="EO15"/>
      <c r="EP15" t="str">
        <f>IF(ISNUMBER(BU15),IF(ABS(BU15-[1]QC_indicators!$B$2)&gt;3*[1]QC_indicators!$C$2,"C ratio",IF(ISNUMBER(BY15),IF(ABS(BY15-[1]QC_indicators!$B$1)&gt;3*[1]QC_indicators!$C$1,"DF","no"))),IF(ISNUMBER(BY15),IF(ABS(BY15-[1]QC_indicators!$B$1)&gt;3*[1]QC_indicators!$C$1,"DF","no")))</f>
        <v>DF</v>
      </c>
      <c r="EQ15" t="s">
        <v>1880</v>
      </c>
      <c r="ER15"/>
      <c r="ES15"/>
      <c r="ET15" s="266" t="s">
        <v>3409</v>
      </c>
      <c r="EU15"/>
    </row>
    <row r="16" spans="1:151" s="139" customFormat="1" ht="15" hidden="1" customHeight="1">
      <c r="A16" s="1" t="s">
        <v>1272</v>
      </c>
      <c r="B16" t="s">
        <v>1871</v>
      </c>
      <c r="C16" t="s">
        <v>1872</v>
      </c>
      <c r="D16" t="s">
        <v>1873</v>
      </c>
      <c r="E16" s="266" t="s">
        <v>1874</v>
      </c>
      <c r="F16" t="s">
        <v>1875</v>
      </c>
      <c r="G16" t="s">
        <v>1278</v>
      </c>
      <c r="H16" t="s">
        <v>255</v>
      </c>
      <c r="I16">
        <v>2019</v>
      </c>
      <c r="J16">
        <v>2</v>
      </c>
      <c r="K16" t="s">
        <v>1876</v>
      </c>
      <c r="L16"/>
      <c r="M16" t="str">
        <f t="shared" si="0"/>
        <v>Kucuker_2019</v>
      </c>
      <c r="N16" t="s">
        <v>223</v>
      </c>
      <c r="O16" s="145" t="s">
        <v>226</v>
      </c>
      <c r="P16"/>
      <c r="Q16" s="266" t="s">
        <v>257</v>
      </c>
      <c r="R16" s="271" t="s">
        <v>1156</v>
      </c>
      <c r="S16" s="1" t="s">
        <v>1882</v>
      </c>
      <c r="T16" t="s">
        <v>1883</v>
      </c>
      <c r="U16" t="s">
        <v>1884</v>
      </c>
      <c r="V16">
        <v>0</v>
      </c>
      <c r="W16">
        <v>0</v>
      </c>
      <c r="X16">
        <v>0</v>
      </c>
      <c r="Y16">
        <v>0</v>
      </c>
      <c r="Z16">
        <v>0</v>
      </c>
      <c r="AA16">
        <v>0</v>
      </c>
      <c r="AB16">
        <v>0</v>
      </c>
      <c r="AC16">
        <v>0</v>
      </c>
      <c r="AD16">
        <v>0</v>
      </c>
      <c r="AE16">
        <v>0</v>
      </c>
      <c r="AF16">
        <v>0</v>
      </c>
      <c r="AG16">
        <v>0</v>
      </c>
      <c r="AH16">
        <v>0</v>
      </c>
      <c r="AI16">
        <v>0</v>
      </c>
      <c r="AJ16">
        <v>0</v>
      </c>
      <c r="AK16">
        <v>0</v>
      </c>
      <c r="AL16">
        <v>0</v>
      </c>
      <c r="AM16">
        <v>0</v>
      </c>
      <c r="AN16">
        <v>0</v>
      </c>
      <c r="AO16">
        <v>0</v>
      </c>
      <c r="AP16">
        <v>0</v>
      </c>
      <c r="AQ16">
        <v>0</v>
      </c>
      <c r="AR16">
        <v>0</v>
      </c>
      <c r="AS16">
        <v>0</v>
      </c>
      <c r="AT16">
        <v>0</v>
      </c>
      <c r="AU16">
        <v>0</v>
      </c>
      <c r="AV16">
        <v>0</v>
      </c>
      <c r="AW16">
        <v>1</v>
      </c>
      <c r="AX16" s="141">
        <f t="shared" si="1"/>
        <v>1</v>
      </c>
      <c r="AY16" s="141">
        <f t="shared" si="2"/>
        <v>0</v>
      </c>
      <c r="AZ16">
        <f t="shared" si="3"/>
        <v>0</v>
      </c>
      <c r="BA16">
        <f t="shared" si="4"/>
        <v>0</v>
      </c>
      <c r="BB16">
        <f t="shared" si="5"/>
        <v>0</v>
      </c>
      <c r="BC16">
        <f t="shared" si="6"/>
        <v>1</v>
      </c>
      <c r="BD16">
        <f t="shared" si="7"/>
        <v>0</v>
      </c>
      <c r="BE16" t="str" cm="1">
        <f t="array" ref="BE16">IF(AY16=1,INDEX($V$7:$AL$7,MATCH(TRUE,INDEX($V16:$AW16&lt;&gt;0,),0)),IF(AY16=0,INDEX($AM$7:$AW$7,MATCH(1,$AM16:$AW16,0)),IF(BF16="Multiple strategies","mixed drivers",IF(BF16="Supply chain","multiple supply","multiple silviculture"))))</f>
        <v>exogenous land use change</v>
      </c>
      <c r="BF16" s="2" t="str" cm="1">
        <f t="array" ref="BF16">IF(COUNTIF(AZ16:BB16,"&lt;&gt;0")=1,INDEX($V$4:$AW$4,MATCH(TRUE,INDEX($V16:$AW16&lt;&gt;0,),0)),IF(COUNTIF(AZ16:BB16,"&lt;&gt;0")=0,INDEX($AM$4:$AW$4,MATCH(1,$AM16:$AW16,0)),"Multiple strategies"))</f>
        <v>Demand</v>
      </c>
      <c r="BG16" s="173" t="s">
        <v>322</v>
      </c>
      <c r="BH16" t="s">
        <v>183</v>
      </c>
      <c r="BI16"/>
      <c r="BJ16" t="s">
        <v>1772</v>
      </c>
      <c r="BK16">
        <v>7228</v>
      </c>
      <c r="BL16" s="143">
        <v>7395</v>
      </c>
      <c r="BM16" s="163">
        <f t="shared" si="8"/>
        <v>1.0231045932484781</v>
      </c>
      <c r="BN16">
        <f t="shared" si="9"/>
        <v>167</v>
      </c>
      <c r="BO16" s="143">
        <f t="shared" si="10"/>
        <v>167000</v>
      </c>
      <c r="BP16" t="s">
        <v>233</v>
      </c>
      <c r="BQ16"/>
      <c r="BR16" t="s">
        <v>1879</v>
      </c>
      <c r="BS16" s="143">
        <v>3952</v>
      </c>
      <c r="BT16">
        <v>4158</v>
      </c>
      <c r="BU16" s="144">
        <f t="shared" si="11"/>
        <v>1.0521255060728745</v>
      </c>
      <c r="BV16">
        <f t="shared" si="12"/>
        <v>206</v>
      </c>
      <c r="BW16"/>
      <c r="BX16">
        <f t="shared" si="13"/>
        <v>756020</v>
      </c>
      <c r="BY16">
        <f t="shared" si="14"/>
        <v>4.527065868263473</v>
      </c>
      <c r="BZ16">
        <v>0</v>
      </c>
      <c r="CA16">
        <v>0</v>
      </c>
      <c r="CB16">
        <v>0</v>
      </c>
      <c r="CC16">
        <v>0</v>
      </c>
      <c r="CD16">
        <v>0</v>
      </c>
      <c r="CE16">
        <v>0</v>
      </c>
      <c r="CF16">
        <v>0</v>
      </c>
      <c r="CG16">
        <v>0</v>
      </c>
      <c r="CH16">
        <v>0</v>
      </c>
      <c r="CI16">
        <v>0</v>
      </c>
      <c r="CJ16">
        <v>0</v>
      </c>
      <c r="CK16">
        <v>0</v>
      </c>
      <c r="CL16">
        <v>0</v>
      </c>
      <c r="CM16">
        <v>0</v>
      </c>
      <c r="CN16" t="str">
        <f t="shared" si="15"/>
        <v>refOK</v>
      </c>
      <c r="CO16">
        <f t="shared" si="16"/>
        <v>7228</v>
      </c>
      <c r="CP16">
        <f t="shared" si="17"/>
        <v>7395</v>
      </c>
      <c r="CQ16">
        <f t="shared" si="18"/>
        <v>167000</v>
      </c>
      <c r="CR16">
        <f t="shared" si="19"/>
        <v>3952</v>
      </c>
      <c r="CS16">
        <f t="shared" si="20"/>
        <v>4158</v>
      </c>
      <c r="CT16">
        <f t="shared" si="21"/>
        <v>756020</v>
      </c>
      <c r="CU16">
        <f t="shared" si="22"/>
        <v>4.527065868263473</v>
      </c>
      <c r="CV16" s="2">
        <f t="shared" si="23"/>
        <v>5.2125506072874493E-2</v>
      </c>
      <c r="CW16" s="1" t="s">
        <v>1205</v>
      </c>
      <c r="CX16" s="266" t="str">
        <f t="shared" si="24"/>
        <v>reg</v>
      </c>
      <c r="CY16" t="s">
        <v>1283</v>
      </c>
      <c r="CZ16"/>
      <c r="DA16" s="143"/>
      <c r="DB16">
        <v>100</v>
      </c>
      <c r="DC16" t="str">
        <f t="shared" si="25"/>
        <v>71-100</v>
      </c>
      <c r="DD16">
        <v>0</v>
      </c>
      <c r="DE16">
        <v>0</v>
      </c>
      <c r="DF16">
        <v>0</v>
      </c>
      <c r="DG16">
        <v>1</v>
      </c>
      <c r="DH16"/>
      <c r="DI16">
        <f t="shared" si="26"/>
        <v>1</v>
      </c>
      <c r="DJ16" t="str">
        <f t="shared" si="27"/>
        <v>TimberInput</v>
      </c>
      <c r="DK16">
        <f t="shared" si="28"/>
        <v>0</v>
      </c>
      <c r="DL16">
        <f t="shared" si="29"/>
        <v>0</v>
      </c>
      <c r="DM16">
        <f t="shared" si="30"/>
        <v>0</v>
      </c>
      <c r="DN16" t="str">
        <f t="shared" si="31"/>
        <v>Timber</v>
      </c>
      <c r="DO16">
        <v>0</v>
      </c>
      <c r="DP16" s="143">
        <v>0</v>
      </c>
      <c r="DQ16" s="143">
        <v>0</v>
      </c>
      <c r="DR16">
        <v>0</v>
      </c>
      <c r="DS16" s="143">
        <v>0</v>
      </c>
      <c r="DT16">
        <f t="shared" si="32"/>
        <v>0</v>
      </c>
      <c r="DU16" s="143" t="str">
        <f t="shared" si="33"/>
        <v>explicit C balance</v>
      </c>
      <c r="DV16" s="143">
        <v>0</v>
      </c>
      <c r="DW16" s="143">
        <v>0</v>
      </c>
      <c r="DX16" s="143">
        <v>1</v>
      </c>
      <c r="DY16" s="143">
        <v>0</v>
      </c>
      <c r="DZ16">
        <v>0</v>
      </c>
      <c r="EA16" s="143">
        <v>0</v>
      </c>
      <c r="EB16" s="143">
        <v>0</v>
      </c>
      <c r="EC16" s="143">
        <v>0</v>
      </c>
      <c r="ED16" s="143">
        <v>0</v>
      </c>
      <c r="EE16">
        <v>0</v>
      </c>
      <c r="EF16">
        <v>0</v>
      </c>
      <c r="EG16" s="143">
        <v>0</v>
      </c>
      <c r="EH16">
        <v>0</v>
      </c>
      <c r="EI16" s="2">
        <v>0</v>
      </c>
      <c r="EJ16" s="1"/>
      <c r="EK16" t="str">
        <f t="shared" si="34"/>
        <v/>
      </c>
      <c r="EL16" t="str">
        <f t="shared" si="35"/>
        <v/>
      </c>
      <c r="EM16" s="2" t="str">
        <f t="shared" si="36"/>
        <v/>
      </c>
      <c r="EN16"/>
      <c r="EO16"/>
      <c r="EP16" t="str">
        <f>IF(ISNUMBER(BU16),IF(ABS(BU16-[1]QC_indicators!$B$2)&gt;3*[1]QC_indicators!$C$2,"C ratio",IF(ISNUMBER(BY16),IF(ABS(BY16-[1]QC_indicators!$B$1)&gt;3*[1]QC_indicators!$C$1,"DF","no"))),IF(ISNUMBER(BY16),IF(ABS(BY16-[1]QC_indicators!$B$1)&gt;3*[1]QC_indicators!$C$1,"DF","no")))</f>
        <v>no</v>
      </c>
      <c r="EQ16" t="s">
        <v>1880</v>
      </c>
      <c r="ER16"/>
      <c r="ES16"/>
      <c r="ET16" s="266" t="s">
        <v>3409</v>
      </c>
      <c r="EU16"/>
    </row>
    <row r="17" spans="1:151" s="139" customFormat="1" ht="15" hidden="1" customHeight="1">
      <c r="A17" s="1" t="s">
        <v>1380</v>
      </c>
      <c r="B17" t="s">
        <v>1381</v>
      </c>
      <c r="C17" t="s">
        <v>1382</v>
      </c>
      <c r="D17" t="s">
        <v>1383</v>
      </c>
      <c r="E17" s="266" t="s">
        <v>1384</v>
      </c>
      <c r="F17" t="s">
        <v>1385</v>
      </c>
      <c r="G17" t="s">
        <v>1386</v>
      </c>
      <c r="H17" t="s">
        <v>255</v>
      </c>
      <c r="I17">
        <v>2021</v>
      </c>
      <c r="J17">
        <v>0</v>
      </c>
      <c r="K17" t="s">
        <v>1387</v>
      </c>
      <c r="L17"/>
      <c r="M17" t="str">
        <f t="shared" si="0"/>
        <v>Delacote_2021</v>
      </c>
      <c r="N17" t="s">
        <v>223</v>
      </c>
      <c r="O17" s="145" t="s">
        <v>224</v>
      </c>
      <c r="P17"/>
      <c r="Q17" s="266" t="s">
        <v>257</v>
      </c>
      <c r="R17" s="271" t="s">
        <v>1156</v>
      </c>
      <c r="S17" s="1" t="s">
        <v>1388</v>
      </c>
      <c r="T17" t="s">
        <v>1389</v>
      </c>
      <c r="U17" t="s">
        <v>1390</v>
      </c>
      <c r="V17">
        <v>0</v>
      </c>
      <c r="W17">
        <v>0</v>
      </c>
      <c r="X17">
        <v>0</v>
      </c>
      <c r="Y17">
        <v>0</v>
      </c>
      <c r="Z17">
        <v>0</v>
      </c>
      <c r="AA17">
        <v>0</v>
      </c>
      <c r="AB17">
        <v>0</v>
      </c>
      <c r="AC17">
        <v>0</v>
      </c>
      <c r="AD17">
        <v>0</v>
      </c>
      <c r="AE17">
        <v>0</v>
      </c>
      <c r="AF17">
        <v>0</v>
      </c>
      <c r="AG17">
        <v>0</v>
      </c>
      <c r="AH17">
        <v>0</v>
      </c>
      <c r="AI17">
        <v>0</v>
      </c>
      <c r="AJ17">
        <v>0</v>
      </c>
      <c r="AK17">
        <v>0</v>
      </c>
      <c r="AL17">
        <v>0</v>
      </c>
      <c r="AM17">
        <v>0</v>
      </c>
      <c r="AN17">
        <v>0</v>
      </c>
      <c r="AO17">
        <v>0</v>
      </c>
      <c r="AP17">
        <v>0</v>
      </c>
      <c r="AQ17">
        <v>0</v>
      </c>
      <c r="AR17">
        <v>0</v>
      </c>
      <c r="AS17">
        <v>0</v>
      </c>
      <c r="AT17">
        <v>0</v>
      </c>
      <c r="AU17">
        <v>0</v>
      </c>
      <c r="AV17">
        <v>0</v>
      </c>
      <c r="AW17">
        <v>1</v>
      </c>
      <c r="AX17" s="141">
        <f t="shared" si="1"/>
        <v>1</v>
      </c>
      <c r="AY17" s="141">
        <f t="shared" si="2"/>
        <v>0</v>
      </c>
      <c r="AZ17">
        <f t="shared" si="3"/>
        <v>0</v>
      </c>
      <c r="BA17">
        <f t="shared" si="4"/>
        <v>0</v>
      </c>
      <c r="BB17">
        <f t="shared" si="5"/>
        <v>0</v>
      </c>
      <c r="BC17">
        <f t="shared" si="6"/>
        <v>1</v>
      </c>
      <c r="BD17">
        <f t="shared" si="7"/>
        <v>0</v>
      </c>
      <c r="BE17" t="str" cm="1">
        <f t="array" ref="BE17">IF(AY17=1,INDEX($V$7:$AL$7,MATCH(TRUE,INDEX($V17:$AW17&lt;&gt;0,),0)),IF(AY17=0,INDEX($AM$7:$AW$7,MATCH(1,$AM17:$AW17,0)),IF(BF17="Multiple strategies","mixed drivers",IF(BF17="Supply chain","multiple supply","multiple silviculture"))))</f>
        <v>exogenous land use change</v>
      </c>
      <c r="BF17" s="2" t="str" cm="1">
        <f t="array" ref="BF17">IF(COUNTIF(AZ17:BB17,"&lt;&gt;0")=1,INDEX($V$4:$AW$4,MATCH(TRUE,INDEX($V17:$AW17&lt;&gt;0,),0)),IF(COUNTIF(AZ17:BB17,"&lt;&gt;0")=0,INDEX($AM$4:$AW$4,MATCH(1,$AM17:$AW17,0)),"Multiple strategies"))</f>
        <v>Demand</v>
      </c>
      <c r="BG17" s="1" t="s">
        <v>322</v>
      </c>
      <c r="BH17" t="s">
        <v>1299</v>
      </c>
      <c r="BI17"/>
      <c r="BJ17" t="s">
        <v>1216</v>
      </c>
      <c r="BK17">
        <v>58.277999999999999</v>
      </c>
      <c r="BL17">
        <f>BK17*(1+1.12/100)</f>
        <v>58.930713600000004</v>
      </c>
      <c r="BM17">
        <f t="shared" si="8"/>
        <v>1.0112000000000001</v>
      </c>
      <c r="BN17">
        <f t="shared" si="9"/>
        <v>0.65271360000000556</v>
      </c>
      <c r="BO17">
        <f>BN17*10^6</f>
        <v>652713.60000000556</v>
      </c>
      <c r="BP17" t="s">
        <v>233</v>
      </c>
      <c r="BQ17"/>
      <c r="BR17" t="s">
        <v>1232</v>
      </c>
      <c r="BS17">
        <v>86.4</v>
      </c>
      <c r="BT17">
        <f>BS17*(1+11.98/100)</f>
        <v>96.750720000000001</v>
      </c>
      <c r="BU17" s="144">
        <f t="shared" si="11"/>
        <v>1.1197999999999999</v>
      </c>
      <c r="BV17">
        <f t="shared" si="12"/>
        <v>10.350719999999995</v>
      </c>
      <c r="BW17"/>
      <c r="BX17">
        <f>BV17*10^6</f>
        <v>10350719.999999996</v>
      </c>
      <c r="BY17">
        <f t="shared" si="14"/>
        <v>15.857981203394425</v>
      </c>
      <c r="BZ17">
        <v>0</v>
      </c>
      <c r="CA17">
        <v>0</v>
      </c>
      <c r="CB17">
        <v>0</v>
      </c>
      <c r="CC17">
        <v>0</v>
      </c>
      <c r="CD17">
        <v>0</v>
      </c>
      <c r="CE17">
        <v>0</v>
      </c>
      <c r="CF17">
        <v>0</v>
      </c>
      <c r="CG17">
        <v>0</v>
      </c>
      <c r="CH17">
        <v>0</v>
      </c>
      <c r="CI17">
        <v>0</v>
      </c>
      <c r="CJ17">
        <v>0</v>
      </c>
      <c r="CK17">
        <v>0</v>
      </c>
      <c r="CL17">
        <v>0</v>
      </c>
      <c r="CM17">
        <v>1</v>
      </c>
      <c r="CN17" t="str">
        <f t="shared" si="15"/>
        <v>refOK</v>
      </c>
      <c r="CO17">
        <f>IF($CN17="refOK",$BK17,$BL17)</f>
        <v>58.277999999999999</v>
      </c>
      <c r="CP17">
        <f>IF($CN17="refOK",$BL17,$BK17)</f>
        <v>58.930713600000004</v>
      </c>
      <c r="CQ17">
        <f t="shared" si="18"/>
        <v>652713.60000000556</v>
      </c>
      <c r="CR17">
        <f t="shared" si="19"/>
        <v>86.4</v>
      </c>
      <c r="CS17">
        <f t="shared" si="20"/>
        <v>96.750720000000001</v>
      </c>
      <c r="CT17">
        <f t="shared" si="21"/>
        <v>10350719.999999996</v>
      </c>
      <c r="CU17">
        <f t="shared" si="22"/>
        <v>15.857981203394425</v>
      </c>
      <c r="CV17" s="2">
        <f t="shared" si="23"/>
        <v>0.11979999999999993</v>
      </c>
      <c r="CW17" s="1" t="s">
        <v>1205</v>
      </c>
      <c r="CX17" s="266" t="str">
        <f t="shared" si="24"/>
        <v>reg</v>
      </c>
      <c r="CY17" t="s">
        <v>731</v>
      </c>
      <c r="CZ17">
        <v>2015</v>
      </c>
      <c r="DA17">
        <v>2100</v>
      </c>
      <c r="DB17">
        <f>DA17-CZ17</f>
        <v>85</v>
      </c>
      <c r="DC17" t="str">
        <f t="shared" si="25"/>
        <v>71-100</v>
      </c>
      <c r="DD17">
        <v>0</v>
      </c>
      <c r="DE17">
        <v>1</v>
      </c>
      <c r="DF17">
        <v>1</v>
      </c>
      <c r="DG17">
        <v>1</v>
      </c>
      <c r="DH17"/>
      <c r="DI17">
        <f t="shared" si="26"/>
        <v>3</v>
      </c>
      <c r="DJ17" t="str">
        <f t="shared" si="27"/>
        <v>mixedProduct</v>
      </c>
      <c r="DK17">
        <f t="shared" si="28"/>
        <v>0</v>
      </c>
      <c r="DL17" t="str">
        <f t="shared" si="29"/>
        <v>Energy</v>
      </c>
      <c r="DM17" t="str">
        <f t="shared" si="30"/>
        <v>Pulp/Paper</v>
      </c>
      <c r="DN17" t="str">
        <f t="shared" si="31"/>
        <v>Timber</v>
      </c>
      <c r="DO17">
        <v>0</v>
      </c>
      <c r="DP17">
        <v>1</v>
      </c>
      <c r="DQ17" t="s">
        <v>1391</v>
      </c>
      <c r="DR17" t="s">
        <v>1391</v>
      </c>
      <c r="DS17" t="s">
        <v>1391</v>
      </c>
      <c r="DT17">
        <f t="shared" si="32"/>
        <v>1</v>
      </c>
      <c r="DU17" s="143" t="str">
        <f t="shared" si="33"/>
        <v>external DF used</v>
      </c>
      <c r="DV17">
        <v>0</v>
      </c>
      <c r="DW17">
        <v>1</v>
      </c>
      <c r="DX17">
        <v>1</v>
      </c>
      <c r="DY17">
        <v>1</v>
      </c>
      <c r="DZ17">
        <v>0</v>
      </c>
      <c r="EA17">
        <v>1</v>
      </c>
      <c r="EB17">
        <v>1</v>
      </c>
      <c r="EC17">
        <v>1</v>
      </c>
      <c r="ED17">
        <v>0</v>
      </c>
      <c r="EE17">
        <v>0</v>
      </c>
      <c r="EF17">
        <v>1</v>
      </c>
      <c r="EG17">
        <v>0</v>
      </c>
      <c r="EH17">
        <v>1</v>
      </c>
      <c r="EI17" s="2">
        <v>1</v>
      </c>
      <c r="EJ17" s="1"/>
      <c r="EK17" t="str">
        <f t="shared" si="34"/>
        <v>Whole sector</v>
      </c>
      <c r="EL17" t="str">
        <f t="shared" si="35"/>
        <v/>
      </c>
      <c r="EM17" s="2" t="str">
        <f t="shared" si="36"/>
        <v/>
      </c>
      <c r="EN17"/>
      <c r="EO17"/>
      <c r="EP17" t="str">
        <f>IF(ISNUMBER(BU17),IF(ABS(BU17-[1]QC_indicators!$B$2)&gt;3*[1]QC_indicators!$C$2,"C ratio",IF(ISNUMBER(BY17),IF(ABS(BY17-[1]QC_indicators!$B$1)&gt;3*[1]QC_indicators!$C$1,"DF","no"))),IF(ISNUMBER(BY17),IF(ABS(BY17-[1]QC_indicators!$B$1)&gt;3*[1]QC_indicators!$C$1,"DF","no")))</f>
        <v>DF</v>
      </c>
      <c r="EQ17" t="s">
        <v>451</v>
      </c>
      <c r="ER17"/>
      <c r="ES17"/>
      <c r="ET17" s="266" t="s">
        <v>3409</v>
      </c>
      <c r="EU17"/>
    </row>
    <row r="18" spans="1:151" s="139" customFormat="1" ht="15" hidden="1" customHeight="1">
      <c r="A18" s="1" t="s">
        <v>1380</v>
      </c>
      <c r="B18" t="s">
        <v>1381</v>
      </c>
      <c r="C18" t="s">
        <v>1382</v>
      </c>
      <c r="D18" t="s">
        <v>1383</v>
      </c>
      <c r="E18" t="s">
        <v>1384</v>
      </c>
      <c r="F18" t="s">
        <v>1385</v>
      </c>
      <c r="G18" t="s">
        <v>1386</v>
      </c>
      <c r="H18" t="s">
        <v>255</v>
      </c>
      <c r="I18">
        <v>2021</v>
      </c>
      <c r="J18">
        <v>0</v>
      </c>
      <c r="K18" t="s">
        <v>1387</v>
      </c>
      <c r="L18"/>
      <c r="M18" t="str">
        <f t="shared" si="0"/>
        <v>Delacote_2021</v>
      </c>
      <c r="N18" t="s">
        <v>223</v>
      </c>
      <c r="O18" s="145" t="s">
        <v>224</v>
      </c>
      <c r="P18"/>
      <c r="Q18" s="266" t="s">
        <v>257</v>
      </c>
      <c r="R18" s="271" t="s">
        <v>1156</v>
      </c>
      <c r="S18" s="1" t="s">
        <v>1392</v>
      </c>
      <c r="T18" t="s">
        <v>1393</v>
      </c>
      <c r="U18" t="s">
        <v>1389</v>
      </c>
      <c r="V18">
        <v>0</v>
      </c>
      <c r="W18">
        <v>0</v>
      </c>
      <c r="X18">
        <v>0</v>
      </c>
      <c r="Y18">
        <v>0</v>
      </c>
      <c r="Z18">
        <v>0</v>
      </c>
      <c r="AA18">
        <v>0</v>
      </c>
      <c r="AB18">
        <v>0</v>
      </c>
      <c r="AC18">
        <v>0</v>
      </c>
      <c r="AD18">
        <v>0</v>
      </c>
      <c r="AE18">
        <v>0</v>
      </c>
      <c r="AF18">
        <v>0</v>
      </c>
      <c r="AG18">
        <v>0</v>
      </c>
      <c r="AH18">
        <v>0</v>
      </c>
      <c r="AI18">
        <v>0</v>
      </c>
      <c r="AJ18">
        <v>0</v>
      </c>
      <c r="AK18">
        <v>0</v>
      </c>
      <c r="AL18">
        <v>0</v>
      </c>
      <c r="AM18">
        <v>0</v>
      </c>
      <c r="AN18">
        <v>0</v>
      </c>
      <c r="AO18">
        <v>0</v>
      </c>
      <c r="AP18">
        <v>0</v>
      </c>
      <c r="AQ18">
        <v>0</v>
      </c>
      <c r="AR18">
        <v>0</v>
      </c>
      <c r="AS18">
        <v>0</v>
      </c>
      <c r="AT18">
        <v>1</v>
      </c>
      <c r="AU18">
        <v>0</v>
      </c>
      <c r="AV18">
        <v>0</v>
      </c>
      <c r="AW18">
        <v>0</v>
      </c>
      <c r="AX18" s="141">
        <f t="shared" si="1"/>
        <v>1</v>
      </c>
      <c r="AY18" s="141">
        <f t="shared" si="2"/>
        <v>0</v>
      </c>
      <c r="AZ18">
        <f t="shared" si="3"/>
        <v>0</v>
      </c>
      <c r="BA18">
        <f t="shared" si="4"/>
        <v>0</v>
      </c>
      <c r="BB18">
        <f t="shared" si="5"/>
        <v>0</v>
      </c>
      <c r="BC18">
        <f t="shared" si="6"/>
        <v>1</v>
      </c>
      <c r="BD18">
        <f t="shared" si="7"/>
        <v>0</v>
      </c>
      <c r="BE18" t="str" cm="1">
        <f t="array" ref="BE18">IF(AY18=1,INDEX($V$7:$AL$7,MATCH(TRUE,INDEX($V18:$AW18&lt;&gt;0,),0)),IF(AY18=0,INDEX($AM$7:$AW$7,MATCH(1,$AM18:$AW18,0)),IF(BF18="Multiple strategies","mixed drivers",IF(BF18="Supply chain","multiple supply","multiple silviculture"))))</f>
        <v>gdp, population</v>
      </c>
      <c r="BF18" s="2" t="str" cm="1">
        <f t="array" ref="BF18">IF(COUNTIF(AZ18:BB18,"&lt;&gt;0")=1,INDEX($V$4:$AW$4,MATCH(TRUE,INDEX($V18:$AW18&lt;&gt;0,),0)),IF(COUNTIF(AZ18:BB18,"&lt;&gt;0")=0,INDEX($AM$4:$AW$4,MATCH(1,$AM18:$AW18,0)),"Multiple strategies"))</f>
        <v>Demand</v>
      </c>
      <c r="BG18" s="1" t="s">
        <v>322</v>
      </c>
      <c r="BH18" t="s">
        <v>1299</v>
      </c>
      <c r="BI18"/>
      <c r="BJ18" t="s">
        <v>1216</v>
      </c>
      <c r="BK18">
        <f>BL18*(1-0.06/100)</f>
        <v>58.243033199999999</v>
      </c>
      <c r="BL18">
        <v>58.277999999999999</v>
      </c>
      <c r="BM18">
        <f>BK18/BL18</f>
        <v>0.99939999999999996</v>
      </c>
      <c r="BN18">
        <f t="shared" si="9"/>
        <v>3.4966799999999409E-2</v>
      </c>
      <c r="BO18">
        <f>BN18*10^6</f>
        <v>34966.799999999406</v>
      </c>
      <c r="BP18" t="s">
        <v>233</v>
      </c>
      <c r="BQ18"/>
      <c r="BR18" t="s">
        <v>1232</v>
      </c>
      <c r="BS18">
        <f>BT18*(1+0.08/100)</f>
        <v>86.469120000000004</v>
      </c>
      <c r="BT18">
        <v>86.4</v>
      </c>
      <c r="BU18" s="144">
        <f t="shared" si="11"/>
        <v>0.99920063948840931</v>
      </c>
      <c r="BV18">
        <f t="shared" si="12"/>
        <v>-6.9119999999998072E-2</v>
      </c>
      <c r="BW18"/>
      <c r="BX18">
        <f>BV18*10^6</f>
        <v>-69119.999999998079</v>
      </c>
      <c r="BY18">
        <f t="shared" si="14"/>
        <v>-1.9767322145577877</v>
      </c>
      <c r="BZ18">
        <v>0</v>
      </c>
      <c r="CA18">
        <v>0</v>
      </c>
      <c r="CB18">
        <v>0</v>
      </c>
      <c r="CC18">
        <v>0</v>
      </c>
      <c r="CD18">
        <v>0</v>
      </c>
      <c r="CE18">
        <v>0</v>
      </c>
      <c r="CF18">
        <v>0</v>
      </c>
      <c r="CG18">
        <v>0</v>
      </c>
      <c r="CH18">
        <v>0</v>
      </c>
      <c r="CI18">
        <v>0</v>
      </c>
      <c r="CJ18">
        <v>0</v>
      </c>
      <c r="CK18">
        <v>0</v>
      </c>
      <c r="CL18">
        <v>0</v>
      </c>
      <c r="CM18">
        <v>1</v>
      </c>
      <c r="CN18" t="str">
        <f t="shared" si="15"/>
        <v>refOK</v>
      </c>
      <c r="CO18">
        <f>IF($CN18="refOK",$BK18,$BL18)</f>
        <v>58.243033199999999</v>
      </c>
      <c r="CP18">
        <f>IF($CN18="refOK",$BL18,$BK18)</f>
        <v>58.277999999999999</v>
      </c>
      <c r="CQ18">
        <f t="shared" si="18"/>
        <v>34966.799999999406</v>
      </c>
      <c r="CR18">
        <f t="shared" si="19"/>
        <v>86.469120000000004</v>
      </c>
      <c r="CS18">
        <f t="shared" si="20"/>
        <v>86.4</v>
      </c>
      <c r="CT18">
        <f t="shared" si="21"/>
        <v>-69119.999999998079</v>
      </c>
      <c r="CU18">
        <f t="shared" si="22"/>
        <v>-1.9767322145577877</v>
      </c>
      <c r="CV18" s="2">
        <f t="shared" si="23"/>
        <v>-7.9936051159070506E-4</v>
      </c>
      <c r="CW18" s="1" t="s">
        <v>1205</v>
      </c>
      <c r="CX18" s="266" t="str">
        <f t="shared" si="24"/>
        <v>reg</v>
      </c>
      <c r="CY18" t="s">
        <v>731</v>
      </c>
      <c r="CZ18">
        <v>2015</v>
      </c>
      <c r="DA18">
        <v>2100</v>
      </c>
      <c r="DB18">
        <f>DA18-CZ18</f>
        <v>85</v>
      </c>
      <c r="DC18" t="str">
        <f t="shared" si="25"/>
        <v>71-100</v>
      </c>
      <c r="DD18">
        <v>0</v>
      </c>
      <c r="DE18">
        <v>1</v>
      </c>
      <c r="DF18">
        <v>1</v>
      </c>
      <c r="DG18">
        <v>1</v>
      </c>
      <c r="DH18"/>
      <c r="DI18">
        <f t="shared" si="26"/>
        <v>3</v>
      </c>
      <c r="DJ18" t="str">
        <f t="shared" si="27"/>
        <v>mixedProduct</v>
      </c>
      <c r="DK18">
        <f t="shared" si="28"/>
        <v>0</v>
      </c>
      <c r="DL18" t="str">
        <f t="shared" si="29"/>
        <v>Energy</v>
      </c>
      <c r="DM18" t="str">
        <f t="shared" si="30"/>
        <v>Pulp/Paper</v>
      </c>
      <c r="DN18" t="str">
        <f t="shared" si="31"/>
        <v>Timber</v>
      </c>
      <c r="DO18">
        <v>0</v>
      </c>
      <c r="DP18">
        <v>1</v>
      </c>
      <c r="DQ18" t="s">
        <v>1391</v>
      </c>
      <c r="DR18" t="s">
        <v>1391</v>
      </c>
      <c r="DS18" t="s">
        <v>1391</v>
      </c>
      <c r="DT18">
        <f t="shared" si="32"/>
        <v>1</v>
      </c>
      <c r="DU18" s="143" t="str">
        <f t="shared" si="33"/>
        <v>external DF used</v>
      </c>
      <c r="DV18">
        <v>0</v>
      </c>
      <c r="DW18">
        <v>1</v>
      </c>
      <c r="DX18">
        <v>1</v>
      </c>
      <c r="DY18">
        <v>1</v>
      </c>
      <c r="DZ18">
        <v>0</v>
      </c>
      <c r="EA18">
        <v>1</v>
      </c>
      <c r="EB18">
        <v>1</v>
      </c>
      <c r="EC18">
        <v>1</v>
      </c>
      <c r="ED18">
        <v>0</v>
      </c>
      <c r="EE18">
        <v>0</v>
      </c>
      <c r="EF18">
        <v>1</v>
      </c>
      <c r="EG18">
        <v>0</v>
      </c>
      <c r="EH18">
        <v>1</v>
      </c>
      <c r="EI18" s="2">
        <v>1</v>
      </c>
      <c r="EJ18" s="1"/>
      <c r="EK18" t="str">
        <f t="shared" si="34"/>
        <v>Whole sector</v>
      </c>
      <c r="EL18" t="str">
        <f t="shared" si="35"/>
        <v/>
      </c>
      <c r="EM18" s="2" t="str">
        <f t="shared" si="36"/>
        <v/>
      </c>
      <c r="EN18"/>
      <c r="EO18"/>
      <c r="EP18" t="str">
        <f>IF(ISNUMBER(BU18),IF(ABS(BU18-[1]QC_indicators!$B$2)&gt;3*[1]QC_indicators!$C$2,"C ratio",IF(ISNUMBER(BY18),IF(ABS(BY18-[1]QC_indicators!$B$1)&gt;3*[1]QC_indicators!$C$1,"DF","no"))),IF(ISNUMBER(BY18),IF(ABS(BY18-[1]QC_indicators!$B$1)&gt;3*[1]QC_indicators!$C$1,"DF","no")))</f>
        <v>no</v>
      </c>
      <c r="EQ18"/>
      <c r="ER18"/>
      <c r="ES18"/>
      <c r="ET18" s="266" t="s">
        <v>3409</v>
      </c>
      <c r="EU18"/>
    </row>
    <row r="19" spans="1:151" s="139" customFormat="1" ht="15" hidden="1" customHeight="1">
      <c r="A19" s="1" t="s">
        <v>1380</v>
      </c>
      <c r="B19" t="s">
        <v>1381</v>
      </c>
      <c r="C19" t="s">
        <v>1382</v>
      </c>
      <c r="D19" t="s">
        <v>1383</v>
      </c>
      <c r="E19" t="s">
        <v>1384</v>
      </c>
      <c r="F19" t="s">
        <v>1385</v>
      </c>
      <c r="G19" t="s">
        <v>1386</v>
      </c>
      <c r="H19" t="s">
        <v>255</v>
      </c>
      <c r="I19">
        <v>2021</v>
      </c>
      <c r="J19">
        <v>0</v>
      </c>
      <c r="K19" t="s">
        <v>1387</v>
      </c>
      <c r="L19"/>
      <c r="M19" t="str">
        <f t="shared" si="0"/>
        <v>Delacote_2021</v>
      </c>
      <c r="N19" t="s">
        <v>223</v>
      </c>
      <c r="O19" s="145" t="s">
        <v>224</v>
      </c>
      <c r="P19"/>
      <c r="Q19" s="266" t="s">
        <v>257</v>
      </c>
      <c r="R19" s="271" t="s">
        <v>1156</v>
      </c>
      <c r="S19" s="1" t="s">
        <v>1394</v>
      </c>
      <c r="T19" t="s">
        <v>1389</v>
      </c>
      <c r="U19" t="s">
        <v>1395</v>
      </c>
      <c r="V19">
        <v>0</v>
      </c>
      <c r="W19">
        <v>0</v>
      </c>
      <c r="X19">
        <v>0</v>
      </c>
      <c r="Y19">
        <v>0</v>
      </c>
      <c r="Z19">
        <v>0</v>
      </c>
      <c r="AA19">
        <v>0</v>
      </c>
      <c r="AB19">
        <v>0</v>
      </c>
      <c r="AC19">
        <v>0</v>
      </c>
      <c r="AD19">
        <v>0</v>
      </c>
      <c r="AE19">
        <v>0</v>
      </c>
      <c r="AF19">
        <v>0</v>
      </c>
      <c r="AG19">
        <v>0</v>
      </c>
      <c r="AH19">
        <v>0</v>
      </c>
      <c r="AI19">
        <v>0</v>
      </c>
      <c r="AJ19">
        <v>0</v>
      </c>
      <c r="AK19">
        <v>0</v>
      </c>
      <c r="AL19">
        <v>0</v>
      </c>
      <c r="AM19">
        <v>0</v>
      </c>
      <c r="AN19">
        <v>0</v>
      </c>
      <c r="AO19">
        <v>0</v>
      </c>
      <c r="AP19">
        <v>0</v>
      </c>
      <c r="AQ19">
        <v>0</v>
      </c>
      <c r="AR19">
        <v>0</v>
      </c>
      <c r="AS19">
        <v>0</v>
      </c>
      <c r="AT19">
        <v>1</v>
      </c>
      <c r="AU19">
        <v>0</v>
      </c>
      <c r="AV19">
        <v>0</v>
      </c>
      <c r="AW19">
        <v>0</v>
      </c>
      <c r="AX19" s="141">
        <f t="shared" si="1"/>
        <v>1</v>
      </c>
      <c r="AY19" s="141">
        <f t="shared" si="2"/>
        <v>0</v>
      </c>
      <c r="AZ19">
        <f t="shared" si="3"/>
        <v>0</v>
      </c>
      <c r="BA19">
        <f t="shared" si="4"/>
        <v>0</v>
      </c>
      <c r="BB19">
        <f t="shared" si="5"/>
        <v>0</v>
      </c>
      <c r="BC19">
        <f t="shared" si="6"/>
        <v>1</v>
      </c>
      <c r="BD19">
        <f t="shared" si="7"/>
        <v>0</v>
      </c>
      <c r="BE19" t="str" cm="1">
        <f t="array" ref="BE19">IF(AY19=1,INDEX($V$7:$AL$7,MATCH(TRUE,INDEX($V19:$AW19&lt;&gt;0,),0)),IF(AY19=0,INDEX($AM$7:$AW$7,MATCH(1,$AM19:$AW19,0)),IF(BF19="Multiple strategies","mixed drivers",IF(BF19="Supply chain","multiple supply","multiple silviculture"))))</f>
        <v>gdp, population</v>
      </c>
      <c r="BF19" s="2" t="str" cm="1">
        <f t="array" ref="BF19">IF(COUNTIF(AZ19:BB19,"&lt;&gt;0")=1,INDEX($V$4:$AW$4,MATCH(TRUE,INDEX($V19:$AW19&lt;&gt;0,),0)),IF(COUNTIF(AZ19:BB19,"&lt;&gt;0")=0,INDEX($AM$4:$AW$4,MATCH(1,$AM19:$AW19,0)),"Multiple strategies"))</f>
        <v>Demand</v>
      </c>
      <c r="BG19" s="1" t="s">
        <v>322</v>
      </c>
      <c r="BH19" t="s">
        <v>1299</v>
      </c>
      <c r="BI19"/>
      <c r="BJ19" t="s">
        <v>1216</v>
      </c>
      <c r="BK19">
        <v>58.277999999999999</v>
      </c>
      <c r="BL19">
        <f>BK19</f>
        <v>58.277999999999999</v>
      </c>
      <c r="BM19">
        <f>BL19/BK19</f>
        <v>1</v>
      </c>
      <c r="BN19">
        <f t="shared" si="9"/>
        <v>0</v>
      </c>
      <c r="BO19">
        <f>BN19*10^6</f>
        <v>0</v>
      </c>
      <c r="BP19" t="s">
        <v>233</v>
      </c>
      <c r="BQ19"/>
      <c r="BR19" t="s">
        <v>1232</v>
      </c>
      <c r="BS19">
        <v>86.4</v>
      </c>
      <c r="BT19">
        <f>BS19*(1+0.12/100)</f>
        <v>86.503680000000017</v>
      </c>
      <c r="BU19" s="144">
        <f t="shared" si="11"/>
        <v>1.0012000000000001</v>
      </c>
      <c r="BV19">
        <f t="shared" si="12"/>
        <v>0.10368000000001132</v>
      </c>
      <c r="BW19"/>
      <c r="BX19">
        <f>BV19*10^6</f>
        <v>103680.00000001132</v>
      </c>
      <c r="BY19" t="str">
        <f t="shared" si="14"/>
        <v/>
      </c>
      <c r="BZ19">
        <v>0</v>
      </c>
      <c r="CA19">
        <v>0</v>
      </c>
      <c r="CB19">
        <v>0</v>
      </c>
      <c r="CC19">
        <v>0</v>
      </c>
      <c r="CD19">
        <v>0</v>
      </c>
      <c r="CE19">
        <v>0</v>
      </c>
      <c r="CF19">
        <v>0</v>
      </c>
      <c r="CG19">
        <v>0</v>
      </c>
      <c r="CH19">
        <v>0</v>
      </c>
      <c r="CI19">
        <v>0</v>
      </c>
      <c r="CJ19">
        <v>0</v>
      </c>
      <c r="CK19">
        <v>0</v>
      </c>
      <c r="CL19">
        <v>0</v>
      </c>
      <c r="CM19">
        <v>1</v>
      </c>
      <c r="CN19" t="str">
        <f t="shared" si="15"/>
        <v>refOK</v>
      </c>
      <c r="CO19">
        <f>IF($CN19="refOK",$BK19,$BL19)</f>
        <v>58.277999999999999</v>
      </c>
      <c r="CP19">
        <f>IF($CN19="refOK",$BL19,$BK19)</f>
        <v>58.277999999999999</v>
      </c>
      <c r="CQ19">
        <f t="shared" si="18"/>
        <v>0</v>
      </c>
      <c r="CR19">
        <f t="shared" si="19"/>
        <v>86.4</v>
      </c>
      <c r="CS19">
        <f t="shared" si="20"/>
        <v>86.503680000000017</v>
      </c>
      <c r="CT19">
        <f t="shared" si="21"/>
        <v>103680.00000001132</v>
      </c>
      <c r="CU19" t="str">
        <f t="shared" si="22"/>
        <v/>
      </c>
      <c r="CV19" s="2">
        <f t="shared" si="23"/>
        <v>1.2000000000001309E-3</v>
      </c>
      <c r="CW19" s="1" t="s">
        <v>1205</v>
      </c>
      <c r="CX19" s="266" t="str">
        <f t="shared" si="24"/>
        <v>reg</v>
      </c>
      <c r="CY19" t="s">
        <v>731</v>
      </c>
      <c r="CZ19">
        <v>2015</v>
      </c>
      <c r="DA19">
        <v>2100</v>
      </c>
      <c r="DB19">
        <f>DA19-CZ19</f>
        <v>85</v>
      </c>
      <c r="DC19" t="str">
        <f t="shared" si="25"/>
        <v>71-100</v>
      </c>
      <c r="DD19">
        <v>0</v>
      </c>
      <c r="DE19">
        <v>1</v>
      </c>
      <c r="DF19">
        <v>1</v>
      </c>
      <c r="DG19">
        <v>1</v>
      </c>
      <c r="DH19"/>
      <c r="DI19">
        <f t="shared" si="26"/>
        <v>3</v>
      </c>
      <c r="DJ19" t="str">
        <f t="shared" si="27"/>
        <v>mixedProduct</v>
      </c>
      <c r="DK19">
        <f t="shared" si="28"/>
        <v>0</v>
      </c>
      <c r="DL19" t="str">
        <f t="shared" si="29"/>
        <v>Energy</v>
      </c>
      <c r="DM19" t="str">
        <f t="shared" si="30"/>
        <v>Pulp/Paper</v>
      </c>
      <c r="DN19" t="str">
        <f t="shared" si="31"/>
        <v>Timber</v>
      </c>
      <c r="DO19">
        <v>0</v>
      </c>
      <c r="DP19">
        <v>1</v>
      </c>
      <c r="DQ19" t="s">
        <v>1391</v>
      </c>
      <c r="DR19" t="s">
        <v>1391</v>
      </c>
      <c r="DS19" t="s">
        <v>1391</v>
      </c>
      <c r="DT19">
        <f t="shared" si="32"/>
        <v>1</v>
      </c>
      <c r="DU19" s="143" t="str">
        <f t="shared" si="33"/>
        <v>external DF used</v>
      </c>
      <c r="DV19">
        <v>0</v>
      </c>
      <c r="DW19">
        <v>1</v>
      </c>
      <c r="DX19">
        <v>1</v>
      </c>
      <c r="DY19">
        <v>1</v>
      </c>
      <c r="DZ19">
        <v>0</v>
      </c>
      <c r="EA19">
        <v>1</v>
      </c>
      <c r="EB19">
        <v>1</v>
      </c>
      <c r="EC19">
        <v>1</v>
      </c>
      <c r="ED19">
        <v>0</v>
      </c>
      <c r="EE19">
        <v>0</v>
      </c>
      <c r="EF19">
        <v>1</v>
      </c>
      <c r="EG19">
        <v>0</v>
      </c>
      <c r="EH19">
        <v>1</v>
      </c>
      <c r="EI19" s="2">
        <v>1</v>
      </c>
      <c r="EJ19" s="1"/>
      <c r="EK19" t="str">
        <f t="shared" si="34"/>
        <v>Whole sector</v>
      </c>
      <c r="EL19" t="str">
        <f t="shared" si="35"/>
        <v/>
      </c>
      <c r="EM19" s="2" t="str">
        <f t="shared" si="36"/>
        <v/>
      </c>
      <c r="EN19"/>
      <c r="EO19"/>
      <c r="EP19" t="b">
        <f>IF(ISNUMBER(BU19),IF(ABS(BU19-[1]QC_indicators!$B$2)&gt;3*[1]QC_indicators!$C$2,"C ratio",IF(ISNUMBER(BY19),IF(ABS(BY19-[1]QC_indicators!$B$1)&gt;3*[1]QC_indicators!$C$1,"DF","no"))),IF(ISNUMBER(BY19),IF(ABS(BY19-[1]QC_indicators!$B$1)&gt;3*[1]QC_indicators!$C$1,"DF","no")))</f>
        <v>0</v>
      </c>
      <c r="EQ19"/>
      <c r="ER19"/>
      <c r="ES19"/>
      <c r="ET19" s="266" t="s">
        <v>3409</v>
      </c>
      <c r="EU19"/>
    </row>
    <row r="20" spans="1:151" s="139" customFormat="1" ht="15" hidden="1" customHeight="1">
      <c r="A20" s="1" t="s">
        <v>928</v>
      </c>
      <c r="B20" t="s">
        <v>929</v>
      </c>
      <c r="C20" t="s">
        <v>930</v>
      </c>
      <c r="D20" t="s">
        <v>931</v>
      </c>
      <c r="E20" t="s">
        <v>932</v>
      </c>
      <c r="F20" t="s">
        <v>933</v>
      </c>
      <c r="G20" t="s">
        <v>934</v>
      </c>
      <c r="H20" t="s">
        <v>255</v>
      </c>
      <c r="I20">
        <v>2015</v>
      </c>
      <c r="J20">
        <v>19</v>
      </c>
      <c r="K20" t="s">
        <v>935</v>
      </c>
      <c r="L20"/>
      <c r="M20" t="str">
        <f t="shared" si="0"/>
        <v>Makipaa_2015</v>
      </c>
      <c r="N20" t="s">
        <v>223</v>
      </c>
      <c r="O20" s="145" t="s">
        <v>226</v>
      </c>
      <c r="P20"/>
      <c r="Q20" t="s">
        <v>257</v>
      </c>
      <c r="R20" s="255" t="s">
        <v>224</v>
      </c>
      <c r="S20" s="1" t="s">
        <v>942</v>
      </c>
      <c r="T20" s="143" t="s">
        <v>943</v>
      </c>
      <c r="U20" t="s">
        <v>944</v>
      </c>
      <c r="V20">
        <v>0</v>
      </c>
      <c r="W20">
        <v>0</v>
      </c>
      <c r="X20">
        <v>0</v>
      </c>
      <c r="Y20">
        <v>0</v>
      </c>
      <c r="Z20">
        <v>0</v>
      </c>
      <c r="AA20">
        <v>0</v>
      </c>
      <c r="AB20">
        <v>0</v>
      </c>
      <c r="AC20">
        <v>0</v>
      </c>
      <c r="AD20">
        <v>0</v>
      </c>
      <c r="AE20">
        <v>0</v>
      </c>
      <c r="AF20">
        <v>0</v>
      </c>
      <c r="AG20">
        <v>0</v>
      </c>
      <c r="AH20">
        <v>0</v>
      </c>
      <c r="AI20">
        <v>0</v>
      </c>
      <c r="AJ20">
        <v>0</v>
      </c>
      <c r="AK20">
        <v>0</v>
      </c>
      <c r="AL20">
        <v>0</v>
      </c>
      <c r="AM20">
        <v>2</v>
      </c>
      <c r="AN20">
        <v>1</v>
      </c>
      <c r="AO20">
        <v>2</v>
      </c>
      <c r="AP20">
        <v>2</v>
      </c>
      <c r="AQ20">
        <v>0</v>
      </c>
      <c r="AR20">
        <v>0</v>
      </c>
      <c r="AS20">
        <v>0</v>
      </c>
      <c r="AT20">
        <v>0</v>
      </c>
      <c r="AU20">
        <v>0</v>
      </c>
      <c r="AV20">
        <v>0</v>
      </c>
      <c r="AW20">
        <v>0</v>
      </c>
      <c r="AX20" s="141">
        <f t="shared" si="1"/>
        <v>4</v>
      </c>
      <c r="AY20" s="141">
        <f t="shared" si="2"/>
        <v>0</v>
      </c>
      <c r="AZ20">
        <f t="shared" si="3"/>
        <v>0</v>
      </c>
      <c r="BA20">
        <f t="shared" si="4"/>
        <v>0</v>
      </c>
      <c r="BB20">
        <f t="shared" si="5"/>
        <v>0</v>
      </c>
      <c r="BC20">
        <f t="shared" si="6"/>
        <v>0</v>
      </c>
      <c r="BD20">
        <f t="shared" si="7"/>
        <v>4</v>
      </c>
      <c r="BE20" t="str">
        <f t="array" ref="BE20">IF(AY20=1,INDEX($V$7:$AL$7,MATCH(TRUE,INDEX($V20:$AW20&lt;&gt;0,),0)),IF(AY20=0,INDEX($AM$7:$AW$7,MATCH(1,$AM20:$AW20,0)),IF(BF20="Multiple strategies","mixed drivers",IF(BF20="Supply chain","multiple supply","multiple silviculture"))))</f>
        <v>Temperature</v>
      </c>
      <c r="BF20" s="2" t="str">
        <f t="array" ref="BF20">IF(COUNTIF(AZ20:BB20,"&lt;&gt;0")=1,INDEX($V$4:$AW$4,MATCH(TRUE,INDEX($V20:$AW20&lt;&gt;0,),0)),IF(COUNTIF(AZ20:BB20,"&lt;&gt;0")=0,INDEX($AM$4:$AW$4,MATCH(1,$AM20:$AW20,0)),"Multiple strategies"))</f>
        <v>Environmental change</v>
      </c>
      <c r="BG20" s="142" t="s">
        <v>322</v>
      </c>
      <c r="BH20" s="234" t="s">
        <v>939</v>
      </c>
      <c r="BI20" s="266" t="s">
        <v>425</v>
      </c>
      <c r="BJ20" s="143" t="s">
        <v>499</v>
      </c>
      <c r="BK20">
        <v>706</v>
      </c>
      <c r="BL20" s="143">
        <v>743.1</v>
      </c>
      <c r="BM20" s="163">
        <f>BL20/BK20</f>
        <v>1.0525495750708216</v>
      </c>
      <c r="BN20">
        <f t="shared" si="9"/>
        <v>37.100000000000023</v>
      </c>
      <c r="BO20" s="159">
        <f>BN20</f>
        <v>37.100000000000023</v>
      </c>
      <c r="BP20" t="s">
        <v>233</v>
      </c>
      <c r="BQ20" s="153" t="s">
        <v>430</v>
      </c>
      <c r="BR20" t="s">
        <v>940</v>
      </c>
      <c r="BS20">
        <v>128.9</v>
      </c>
      <c r="BT20" s="143">
        <v>118.2</v>
      </c>
      <c r="BU20" s="144">
        <f t="shared" si="11"/>
        <v>0.9169899146625291</v>
      </c>
      <c r="BV20">
        <f t="shared" si="12"/>
        <v>-10.700000000000003</v>
      </c>
      <c r="BW20"/>
      <c r="BX20">
        <f>BV20*C_to_CO2</f>
        <v>-39.269000000000013</v>
      </c>
      <c r="BY20">
        <f t="shared" si="14"/>
        <v>-1.0584636118598381</v>
      </c>
      <c r="BZ20">
        <v>0</v>
      </c>
      <c r="CA20">
        <v>0</v>
      </c>
      <c r="CB20">
        <v>0</v>
      </c>
      <c r="CC20">
        <v>0</v>
      </c>
      <c r="CD20">
        <v>0</v>
      </c>
      <c r="CE20">
        <v>0</v>
      </c>
      <c r="CF20">
        <v>0</v>
      </c>
      <c r="CG20">
        <v>0</v>
      </c>
      <c r="CH20">
        <v>0</v>
      </c>
      <c r="CI20">
        <v>0</v>
      </c>
      <c r="CJ20">
        <v>0</v>
      </c>
      <c r="CK20">
        <v>0</v>
      </c>
      <c r="CL20">
        <v>0</v>
      </c>
      <c r="CM20">
        <v>0</v>
      </c>
      <c r="CN20" t="str">
        <f t="shared" si="15"/>
        <v>refOK</v>
      </c>
      <c r="CO20">
        <f>IF($CN20="refNeedCorrection",BL20,BK20)</f>
        <v>706</v>
      </c>
      <c r="CP20">
        <f>IF($CN20="refNeedCorrection",BK20,BL20)</f>
        <v>743.1</v>
      </c>
      <c r="CQ20">
        <f t="shared" si="18"/>
        <v>37.100000000000023</v>
      </c>
      <c r="CR20">
        <f t="shared" si="19"/>
        <v>128.9</v>
      </c>
      <c r="CS20">
        <f t="shared" si="20"/>
        <v>118.2</v>
      </c>
      <c r="CT20">
        <f t="shared" si="21"/>
        <v>-39.269000000000013</v>
      </c>
      <c r="CU20">
        <f t="shared" si="22"/>
        <v>-1.0584636118598381</v>
      </c>
      <c r="CV20" s="2">
        <f t="shared" si="23"/>
        <v>-8.3010085337470924E-2</v>
      </c>
      <c r="CW20" s="1" t="s">
        <v>235</v>
      </c>
      <c r="CX20" t="str">
        <f t="shared" si="24"/>
        <v>loc</v>
      </c>
      <c r="CY20" t="s">
        <v>236</v>
      </c>
      <c r="CZ20"/>
      <c r="DA20" s="143"/>
      <c r="DB20" s="143">
        <v>80</v>
      </c>
      <c r="DC20" t="str">
        <f t="shared" si="25"/>
        <v>71-100</v>
      </c>
      <c r="DD20">
        <v>1</v>
      </c>
      <c r="DE20">
        <v>1</v>
      </c>
      <c r="DF20">
        <v>0</v>
      </c>
      <c r="DG20">
        <v>0</v>
      </c>
      <c r="DH20"/>
      <c r="DI20">
        <f t="shared" si="26"/>
        <v>2</v>
      </c>
      <c r="DJ20" t="str">
        <f t="shared" si="27"/>
        <v>mixedProduct</v>
      </c>
      <c r="DK20" t="str">
        <f t="shared" si="28"/>
        <v>Upstream</v>
      </c>
      <c r="DL20" t="str">
        <f t="shared" si="29"/>
        <v>Energy</v>
      </c>
      <c r="DM20">
        <f t="shared" si="30"/>
        <v>0</v>
      </c>
      <c r="DN20">
        <f t="shared" si="31"/>
        <v>0</v>
      </c>
      <c r="DO20">
        <v>0</v>
      </c>
      <c r="DP20" s="143">
        <v>1</v>
      </c>
      <c r="DQ20" s="143" t="s">
        <v>941</v>
      </c>
      <c r="DR20">
        <v>0</v>
      </c>
      <c r="DS20" s="143">
        <v>0</v>
      </c>
      <c r="DT20">
        <f t="shared" si="32"/>
        <v>1</v>
      </c>
      <c r="DU20" s="143" t="str">
        <f t="shared" si="33"/>
        <v>external DF used</v>
      </c>
      <c r="DV20" s="143">
        <v>1</v>
      </c>
      <c r="DW20" s="143">
        <v>1</v>
      </c>
      <c r="DX20" s="143">
        <v>1</v>
      </c>
      <c r="DY20" s="143">
        <v>0</v>
      </c>
      <c r="DZ20">
        <v>1</v>
      </c>
      <c r="EA20" s="143">
        <v>1</v>
      </c>
      <c r="EB20" s="143">
        <v>0</v>
      </c>
      <c r="EC20" s="143">
        <v>0</v>
      </c>
      <c r="ED20" s="143">
        <v>0</v>
      </c>
      <c r="EE20">
        <v>0</v>
      </c>
      <c r="EF20">
        <v>1</v>
      </c>
      <c r="EG20" s="143">
        <v>0</v>
      </c>
      <c r="EH20">
        <v>0</v>
      </c>
      <c r="EI20" s="2">
        <v>0</v>
      </c>
      <c r="EJ20" s="1"/>
      <c r="EK20" t="str">
        <f t="shared" si="34"/>
        <v/>
      </c>
      <c r="EL20" t="str">
        <f t="shared" si="35"/>
        <v/>
      </c>
      <c r="EM20" s="2" t="str">
        <f t="shared" si="36"/>
        <v/>
      </c>
      <c r="EN20"/>
      <c r="EO20"/>
      <c r="EP20" t="str">
        <f>IF(ISNUMBER(BU20),IF(ABS(BU20-[2]QC_indicators!$B$2)&gt;3*[2]QC_indicators!$C$2,"C ratio",IF(ISNUMBER(BY20),IF(ABS(BY20-[2]QC_indicators!$B$1)&gt;3*[2]QC_indicators!$C$1,"DF","no"))),IF(ISNUMBER(BY20),IF(ABS(BY20-[2]QC_indicators!$B$1)&gt;3*[2]QC_indicators!$C$1,"DF","no")))</f>
        <v>no</v>
      </c>
      <c r="EQ20"/>
      <c r="ER20"/>
      <c r="ES20"/>
      <c r="ET20" s="266" t="s">
        <v>3097</v>
      </c>
      <c r="EU20"/>
    </row>
    <row r="21" spans="1:151" s="139" customFormat="1" ht="15" hidden="1" customHeight="1">
      <c r="A21" s="1" t="s">
        <v>928</v>
      </c>
      <c r="B21" t="s">
        <v>929</v>
      </c>
      <c r="C21" t="s">
        <v>930</v>
      </c>
      <c r="D21" t="s">
        <v>931</v>
      </c>
      <c r="E21" t="s">
        <v>932</v>
      </c>
      <c r="F21" t="s">
        <v>933</v>
      </c>
      <c r="G21" t="s">
        <v>934</v>
      </c>
      <c r="H21" t="s">
        <v>255</v>
      </c>
      <c r="I21">
        <v>2015</v>
      </c>
      <c r="J21">
        <v>19</v>
      </c>
      <c r="K21" t="s">
        <v>935</v>
      </c>
      <c r="L21"/>
      <c r="M21" t="str">
        <f t="shared" si="0"/>
        <v>Makipaa_2015</v>
      </c>
      <c r="N21" t="s">
        <v>223</v>
      </c>
      <c r="O21" s="145" t="s">
        <v>226</v>
      </c>
      <c r="P21"/>
      <c r="Q21" t="s">
        <v>257</v>
      </c>
      <c r="R21" s="255" t="s">
        <v>224</v>
      </c>
      <c r="S21" s="1" t="s">
        <v>942</v>
      </c>
      <c r="T21" t="s">
        <v>945</v>
      </c>
      <c r="U21" s="143" t="s">
        <v>946</v>
      </c>
      <c r="V21">
        <v>0</v>
      </c>
      <c r="W21">
        <v>0</v>
      </c>
      <c r="X21">
        <v>0</v>
      </c>
      <c r="Y21">
        <v>0</v>
      </c>
      <c r="Z21">
        <v>0</v>
      </c>
      <c r="AA21">
        <v>0</v>
      </c>
      <c r="AB21">
        <v>0</v>
      </c>
      <c r="AC21">
        <v>0</v>
      </c>
      <c r="AD21">
        <v>0</v>
      </c>
      <c r="AE21">
        <v>0</v>
      </c>
      <c r="AF21">
        <v>0</v>
      </c>
      <c r="AG21">
        <v>0</v>
      </c>
      <c r="AH21">
        <v>0</v>
      </c>
      <c r="AI21">
        <v>0</v>
      </c>
      <c r="AJ21">
        <v>0</v>
      </c>
      <c r="AK21">
        <v>0</v>
      </c>
      <c r="AL21">
        <v>0</v>
      </c>
      <c r="AM21">
        <v>2</v>
      </c>
      <c r="AN21">
        <v>1</v>
      </c>
      <c r="AO21">
        <v>2</v>
      </c>
      <c r="AP21">
        <v>2</v>
      </c>
      <c r="AQ21">
        <v>0</v>
      </c>
      <c r="AR21">
        <v>0</v>
      </c>
      <c r="AS21">
        <v>0</v>
      </c>
      <c r="AT21">
        <v>0</v>
      </c>
      <c r="AU21">
        <v>0</v>
      </c>
      <c r="AV21">
        <v>0</v>
      </c>
      <c r="AW21">
        <v>0</v>
      </c>
      <c r="AX21" s="141">
        <f t="shared" si="1"/>
        <v>4</v>
      </c>
      <c r="AY21" s="141">
        <f t="shared" si="2"/>
        <v>0</v>
      </c>
      <c r="AZ21">
        <f t="shared" si="3"/>
        <v>0</v>
      </c>
      <c r="BA21">
        <f t="shared" si="4"/>
        <v>0</v>
      </c>
      <c r="BB21">
        <f t="shared" si="5"/>
        <v>0</v>
      </c>
      <c r="BC21">
        <f t="shared" si="6"/>
        <v>0</v>
      </c>
      <c r="BD21">
        <f t="shared" si="7"/>
        <v>4</v>
      </c>
      <c r="BE21" t="str">
        <f t="array" ref="BE21">IF(AY21=1,INDEX($V$7:$AL$7,MATCH(TRUE,INDEX($V21:$AW21&lt;&gt;0,),0)),IF(AY21=0,INDEX($AM$7:$AW$7,MATCH(1,$AM21:$AW21,0)),IF(BF21="Multiple strategies","mixed drivers",IF(BF21="Supply chain","multiple supply","multiple silviculture"))))</f>
        <v>Temperature</v>
      </c>
      <c r="BF21" s="2" t="str">
        <f t="array" ref="BF21">IF(COUNTIF(AZ21:BB21,"&lt;&gt;0")=1,INDEX($V$4:$AW$4,MATCH(TRUE,INDEX($V21:$AW21&lt;&gt;0,),0)),IF(COUNTIF(AZ21:BB21,"&lt;&gt;0")=0,INDEX($AM$4:$AW$4,MATCH(1,$AM21:$AW21,0)),"Multiple strategies"))</f>
        <v>Environmental change</v>
      </c>
      <c r="BG21" s="142" t="s">
        <v>322</v>
      </c>
      <c r="BH21" s="234" t="s">
        <v>939</v>
      </c>
      <c r="BI21" s="266" t="s">
        <v>425</v>
      </c>
      <c r="BJ21" s="143" t="s">
        <v>499</v>
      </c>
      <c r="BK21">
        <v>625.20000000000005</v>
      </c>
      <c r="BL21" s="143">
        <v>636.6</v>
      </c>
      <c r="BM21" s="163">
        <f>BL21/BK21</f>
        <v>1.0182341650671785</v>
      </c>
      <c r="BN21">
        <f t="shared" si="9"/>
        <v>11.399999999999977</v>
      </c>
      <c r="BO21" s="159">
        <f>BN21</f>
        <v>11.399999999999977</v>
      </c>
      <c r="BP21" t="s">
        <v>233</v>
      </c>
      <c r="BQ21" s="153" t="s">
        <v>430</v>
      </c>
      <c r="BR21" t="s">
        <v>940</v>
      </c>
      <c r="BS21" s="143">
        <v>139.5</v>
      </c>
      <c r="BT21">
        <v>141.19999999999999</v>
      </c>
      <c r="BU21" s="144">
        <f t="shared" si="11"/>
        <v>1.0121863799283153</v>
      </c>
      <c r="BV21">
        <f t="shared" si="12"/>
        <v>1.6999999999999886</v>
      </c>
      <c r="BW21"/>
      <c r="BX21">
        <f>BV21*C_to_CO2</f>
        <v>6.2389999999999581</v>
      </c>
      <c r="BY21">
        <f t="shared" si="14"/>
        <v>0.54728070175438337</v>
      </c>
      <c r="BZ21">
        <v>0</v>
      </c>
      <c r="CA21">
        <v>0</v>
      </c>
      <c r="CB21">
        <v>0</v>
      </c>
      <c r="CC21">
        <v>0</v>
      </c>
      <c r="CD21">
        <v>0</v>
      </c>
      <c r="CE21">
        <v>0</v>
      </c>
      <c r="CF21">
        <v>0</v>
      </c>
      <c r="CG21">
        <v>0</v>
      </c>
      <c r="CH21">
        <v>0</v>
      </c>
      <c r="CI21">
        <v>0</v>
      </c>
      <c r="CJ21">
        <v>0</v>
      </c>
      <c r="CK21">
        <v>0</v>
      </c>
      <c r="CL21">
        <v>0</v>
      </c>
      <c r="CM21">
        <v>0</v>
      </c>
      <c r="CN21" t="str">
        <f t="shared" si="15"/>
        <v>refOK</v>
      </c>
      <c r="CO21">
        <f>IF($CN21="refNeedCorrection",BL21,BK21)</f>
        <v>625.20000000000005</v>
      </c>
      <c r="CP21">
        <f>IF($CN21="refNeedCorrection",BK21,BL21)</f>
        <v>636.6</v>
      </c>
      <c r="CQ21">
        <f t="shared" si="18"/>
        <v>11.399999999999977</v>
      </c>
      <c r="CR21">
        <f t="shared" si="19"/>
        <v>139.5</v>
      </c>
      <c r="CS21">
        <f t="shared" si="20"/>
        <v>141.19999999999999</v>
      </c>
      <c r="CT21">
        <f t="shared" si="21"/>
        <v>6.2389999999999581</v>
      </c>
      <c r="CU21">
        <f t="shared" si="22"/>
        <v>0.54728070175438337</v>
      </c>
      <c r="CV21" s="2">
        <f t="shared" si="23"/>
        <v>1.2186379928315332E-2</v>
      </c>
      <c r="CW21" s="1" t="s">
        <v>235</v>
      </c>
      <c r="CX21" t="str">
        <f t="shared" si="24"/>
        <v>loc</v>
      </c>
      <c r="CY21" t="s">
        <v>236</v>
      </c>
      <c r="CZ21"/>
      <c r="DA21" s="143"/>
      <c r="DB21" s="143">
        <v>80</v>
      </c>
      <c r="DC21" t="str">
        <f t="shared" si="25"/>
        <v>71-100</v>
      </c>
      <c r="DD21">
        <v>1</v>
      </c>
      <c r="DE21">
        <v>1</v>
      </c>
      <c r="DF21">
        <v>0</v>
      </c>
      <c r="DG21">
        <v>0</v>
      </c>
      <c r="DH21"/>
      <c r="DI21">
        <f t="shared" si="26"/>
        <v>2</v>
      </c>
      <c r="DJ21" t="str">
        <f t="shared" si="27"/>
        <v>mixedProduct</v>
      </c>
      <c r="DK21" t="str">
        <f t="shared" si="28"/>
        <v>Upstream</v>
      </c>
      <c r="DL21" t="str">
        <f t="shared" si="29"/>
        <v>Energy</v>
      </c>
      <c r="DM21">
        <f t="shared" si="30"/>
        <v>0</v>
      </c>
      <c r="DN21">
        <f t="shared" si="31"/>
        <v>0</v>
      </c>
      <c r="DO21">
        <v>0</v>
      </c>
      <c r="DP21" s="143">
        <v>1</v>
      </c>
      <c r="DQ21" s="143" t="s">
        <v>941</v>
      </c>
      <c r="DR21">
        <v>0</v>
      </c>
      <c r="DS21" s="143">
        <v>0</v>
      </c>
      <c r="DT21">
        <f t="shared" si="32"/>
        <v>1</v>
      </c>
      <c r="DU21" s="143" t="str">
        <f t="shared" si="33"/>
        <v>external DF used</v>
      </c>
      <c r="DV21" s="143">
        <v>1</v>
      </c>
      <c r="DW21" s="143">
        <v>1</v>
      </c>
      <c r="DX21" s="143">
        <v>1</v>
      </c>
      <c r="DY21" s="143">
        <v>0</v>
      </c>
      <c r="DZ21">
        <v>1</v>
      </c>
      <c r="EA21" s="143">
        <v>1</v>
      </c>
      <c r="EB21" s="143">
        <v>0</v>
      </c>
      <c r="EC21" s="143">
        <v>0</v>
      </c>
      <c r="ED21" s="143">
        <v>0</v>
      </c>
      <c r="EE21">
        <v>0</v>
      </c>
      <c r="EF21">
        <v>1</v>
      </c>
      <c r="EG21" s="143">
        <v>0</v>
      </c>
      <c r="EH21">
        <v>0</v>
      </c>
      <c r="EI21" s="2">
        <v>0</v>
      </c>
      <c r="EJ21" s="1"/>
      <c r="EK21" t="str">
        <f t="shared" si="34"/>
        <v/>
      </c>
      <c r="EL21" t="str">
        <f t="shared" si="35"/>
        <v/>
      </c>
      <c r="EM21" s="2" t="str">
        <f t="shared" si="36"/>
        <v/>
      </c>
      <c r="EN21"/>
      <c r="EO21"/>
      <c r="EP21" t="str">
        <f>IF(ISNUMBER(BU21),IF(ABS(BU21-[2]QC_indicators!$B$2)&gt;3*[2]QC_indicators!$C$2,"C ratio",IF(ISNUMBER(BY21),IF(ABS(BY21-[2]QC_indicators!$B$1)&gt;3*[2]QC_indicators!$C$1,"DF","no"))),IF(ISNUMBER(BY21),IF(ABS(BY21-[2]QC_indicators!$B$1)&gt;3*[2]QC_indicators!$C$1,"DF","no")))</f>
        <v>no</v>
      </c>
      <c r="EQ21"/>
      <c r="ER21"/>
      <c r="ES21"/>
      <c r="ET21" s="266" t="s">
        <v>3097</v>
      </c>
      <c r="EU21"/>
    </row>
    <row r="22" spans="1:151" s="139" customFormat="1" ht="15" hidden="1" customHeight="1">
      <c r="A22" s="1" t="s">
        <v>1380</v>
      </c>
      <c r="B22" t="s">
        <v>1924</v>
      </c>
      <c r="C22" t="s">
        <v>1925</v>
      </c>
      <c r="D22" t="s">
        <v>1926</v>
      </c>
      <c r="E22" t="s">
        <v>1927</v>
      </c>
      <c r="F22" t="s">
        <v>1928</v>
      </c>
      <c r="G22" t="s">
        <v>1386</v>
      </c>
      <c r="H22" t="s">
        <v>255</v>
      </c>
      <c r="I22">
        <v>2016</v>
      </c>
      <c r="J22">
        <v>12</v>
      </c>
      <c r="K22" t="s">
        <v>1929</v>
      </c>
      <c r="L22"/>
      <c r="M22" t="str">
        <f t="shared" si="0"/>
        <v>Lobianco_2016</v>
      </c>
      <c r="N22" t="s">
        <v>223</v>
      </c>
      <c r="O22" s="145" t="s">
        <v>226</v>
      </c>
      <c r="P22" t="s">
        <v>514</v>
      </c>
      <c r="Q22" t="s">
        <v>257</v>
      </c>
      <c r="R22" s="264" t="s">
        <v>224</v>
      </c>
      <c r="S22" s="1" t="s">
        <v>1938</v>
      </c>
      <c r="T22" s="143" t="s">
        <v>1157</v>
      </c>
      <c r="U22" s="143" t="s">
        <v>3177</v>
      </c>
      <c r="V22">
        <v>0</v>
      </c>
      <c r="W22">
        <v>0</v>
      </c>
      <c r="X22">
        <v>0</v>
      </c>
      <c r="Y22">
        <v>0</v>
      </c>
      <c r="Z22">
        <v>0</v>
      </c>
      <c r="AA22">
        <v>0</v>
      </c>
      <c r="AB22">
        <v>0</v>
      </c>
      <c r="AC22">
        <v>0</v>
      </c>
      <c r="AD22">
        <v>0</v>
      </c>
      <c r="AE22">
        <v>0</v>
      </c>
      <c r="AF22">
        <v>0</v>
      </c>
      <c r="AG22">
        <v>0</v>
      </c>
      <c r="AH22">
        <v>0</v>
      </c>
      <c r="AI22">
        <v>0</v>
      </c>
      <c r="AJ22">
        <v>0</v>
      </c>
      <c r="AK22">
        <v>0</v>
      </c>
      <c r="AL22">
        <v>0</v>
      </c>
      <c r="AM22">
        <v>0</v>
      </c>
      <c r="AN22">
        <v>1</v>
      </c>
      <c r="AO22">
        <v>0</v>
      </c>
      <c r="AP22">
        <v>0</v>
      </c>
      <c r="AQ22">
        <v>0</v>
      </c>
      <c r="AR22">
        <v>0</v>
      </c>
      <c r="AS22">
        <v>0</v>
      </c>
      <c r="AT22">
        <v>0</v>
      </c>
      <c r="AU22">
        <v>0</v>
      </c>
      <c r="AV22">
        <v>0</v>
      </c>
      <c r="AW22">
        <v>0</v>
      </c>
      <c r="AX22" s="141">
        <f t="shared" si="1"/>
        <v>1</v>
      </c>
      <c r="AY22" s="141">
        <f t="shared" si="2"/>
        <v>0</v>
      </c>
      <c r="AZ22">
        <f t="shared" si="3"/>
        <v>0</v>
      </c>
      <c r="BA22">
        <f t="shared" si="4"/>
        <v>0</v>
      </c>
      <c r="BB22">
        <f t="shared" si="5"/>
        <v>0</v>
      </c>
      <c r="BC22">
        <f t="shared" si="6"/>
        <v>0</v>
      </c>
      <c r="BD22">
        <f t="shared" si="7"/>
        <v>1</v>
      </c>
      <c r="BE22" t="str">
        <f t="array" ref="BE22">IF(AY22=1,INDEX($V$7:$AL$7,MATCH(TRUE,INDEX($V22:$AW22&lt;&gt;0,),0)),IF(AY22=0,INDEX($AM$7:$AW$7,MATCH(1,$AM22:$AW22,0)),IF(BF22="Multiple strategies","mixed drivers",IF(BF22="Supply chain","multiple supply","multiple silviculture"))))</f>
        <v>Temperature</v>
      </c>
      <c r="BF22" s="2" t="str">
        <f t="array" ref="BF22">IF(COUNTIF(AZ22:BB22,"&lt;&gt;0")=1,INDEX($V$4:$AW$4,MATCH(TRUE,INDEX($V22:$AW22&lt;&gt;0,),0)),IF(COUNTIF(AZ22:BB22,"&lt;&gt;0")=0,INDEX($AM$4:$AW$4,MATCH(1,$AM22:$AW22,0)),"Multiple strategies"))</f>
        <v>Environmental change</v>
      </c>
      <c r="BG22" s="142" t="s">
        <v>322</v>
      </c>
      <c r="BH22" s="311" t="s">
        <v>3165</v>
      </c>
      <c r="BI22" s="266" t="s">
        <v>3166</v>
      </c>
      <c r="BJ22" s="143" t="s">
        <v>3167</v>
      </c>
      <c r="BK22">
        <f>53.247</f>
        <v>53.247</v>
      </c>
      <c r="BL22">
        <f>53.247*(1+0.29/100)</f>
        <v>53.401416299999994</v>
      </c>
      <c r="BM22" s="163"/>
      <c r="BN22">
        <f t="shared" si="9"/>
        <v>0.15441629999999407</v>
      </c>
      <c r="BO22" s="143">
        <f>BN22*10^6</f>
        <v>154416.29999999408</v>
      </c>
      <c r="BP22" t="s">
        <v>233</v>
      </c>
      <c r="BQ22" s="266" t="s">
        <v>3168</v>
      </c>
      <c r="BR22" s="143" t="s">
        <v>1931</v>
      </c>
      <c r="BS22">
        <v>89.468999999999994</v>
      </c>
      <c r="BT22">
        <v>90.909450899999996</v>
      </c>
      <c r="BU22" s="144">
        <f t="shared" si="11"/>
        <v>1.0161</v>
      </c>
      <c r="BV22">
        <f t="shared" si="12"/>
        <v>1.4404509000000019</v>
      </c>
      <c r="BW22"/>
      <c r="BX22">
        <f>BV22*10^6</f>
        <v>1440450.9000000018</v>
      </c>
      <c r="BY22">
        <f t="shared" si="14"/>
        <v>9.3283604127288182</v>
      </c>
      <c r="BZ22">
        <v>0</v>
      </c>
      <c r="CA22">
        <v>0</v>
      </c>
      <c r="CB22">
        <v>0</v>
      </c>
      <c r="CC22">
        <v>0</v>
      </c>
      <c r="CD22">
        <v>0</v>
      </c>
      <c r="CE22">
        <v>0</v>
      </c>
      <c r="CF22">
        <v>0</v>
      </c>
      <c r="CG22">
        <v>0</v>
      </c>
      <c r="CH22">
        <v>0</v>
      </c>
      <c r="CI22">
        <v>0</v>
      </c>
      <c r="CJ22">
        <v>0</v>
      </c>
      <c r="CK22">
        <v>0</v>
      </c>
      <c r="CL22">
        <v>0</v>
      </c>
      <c r="CM22">
        <v>0</v>
      </c>
      <c r="CN22" t="str">
        <f t="shared" si="15"/>
        <v>refOK</v>
      </c>
      <c r="CO22">
        <f t="shared" ref="CO22:CO51" si="37">IF($CN22="refOK",$BK22,$BL22)</f>
        <v>53.247</v>
      </c>
      <c r="CP22">
        <f t="shared" ref="CP22:CP51" si="38">IF($CN22="refOK",$BL22,$BK22)</f>
        <v>53.401416299999994</v>
      </c>
      <c r="CQ22">
        <f t="shared" si="18"/>
        <v>154416.29999999408</v>
      </c>
      <c r="CR22">
        <f t="shared" si="19"/>
        <v>89.468999999999994</v>
      </c>
      <c r="CS22">
        <f t="shared" si="20"/>
        <v>90.909450899999996</v>
      </c>
      <c r="CT22">
        <f t="shared" si="21"/>
        <v>1440450.9000000018</v>
      </c>
      <c r="CU22">
        <f t="shared" si="22"/>
        <v>9.3283604127288182</v>
      </c>
      <c r="CV22" s="2">
        <f t="shared" si="23"/>
        <v>1.6100000000000021E-2</v>
      </c>
      <c r="CW22" s="1" t="s">
        <v>1201</v>
      </c>
      <c r="CX22" t="str">
        <f t="shared" si="24"/>
        <v>reg</v>
      </c>
      <c r="CY22" t="s">
        <v>731</v>
      </c>
      <c r="CZ22">
        <v>2007</v>
      </c>
      <c r="DA22" s="143">
        <v>2100</v>
      </c>
      <c r="DB22" s="143">
        <f t="shared" ref="DB22:DB51" si="39">DA22-CZ22</f>
        <v>93</v>
      </c>
      <c r="DC22" t="str">
        <f t="shared" si="25"/>
        <v>71-100</v>
      </c>
      <c r="DD22">
        <v>0</v>
      </c>
      <c r="DE22">
        <v>1</v>
      </c>
      <c r="DF22">
        <v>0</v>
      </c>
      <c r="DG22">
        <v>1</v>
      </c>
      <c r="DH22">
        <v>1</v>
      </c>
      <c r="DI22">
        <f t="shared" si="26"/>
        <v>2</v>
      </c>
      <c r="DJ22" t="str">
        <f t="shared" si="27"/>
        <v>mixedProduct</v>
      </c>
      <c r="DK22">
        <f t="shared" si="28"/>
        <v>0</v>
      </c>
      <c r="DL22" t="str">
        <f t="shared" si="29"/>
        <v>Energy</v>
      </c>
      <c r="DM22">
        <f t="shared" si="30"/>
        <v>0</v>
      </c>
      <c r="DN22" t="str">
        <f t="shared" si="31"/>
        <v>Timber</v>
      </c>
      <c r="DO22">
        <v>0</v>
      </c>
      <c r="DP22" s="143">
        <v>0</v>
      </c>
      <c r="DQ22" s="143">
        <v>0</v>
      </c>
      <c r="DR22">
        <v>0</v>
      </c>
      <c r="DS22" s="143">
        <v>0</v>
      </c>
      <c r="DT22">
        <f t="shared" si="32"/>
        <v>0</v>
      </c>
      <c r="DU22" s="143" t="str">
        <f t="shared" si="33"/>
        <v>explicit C balance</v>
      </c>
      <c r="DV22" s="143">
        <v>0</v>
      </c>
      <c r="DW22" s="143">
        <v>0</v>
      </c>
      <c r="DX22" s="143">
        <v>1</v>
      </c>
      <c r="DY22" s="143">
        <v>1</v>
      </c>
      <c r="DZ22">
        <v>0</v>
      </c>
      <c r="EA22" s="143">
        <v>0</v>
      </c>
      <c r="EB22" s="143">
        <v>0</v>
      </c>
      <c r="EC22" s="143">
        <v>0</v>
      </c>
      <c r="ED22" s="143">
        <v>0</v>
      </c>
      <c r="EE22">
        <v>0</v>
      </c>
      <c r="EF22">
        <v>1</v>
      </c>
      <c r="EG22" s="143">
        <v>0</v>
      </c>
      <c r="EH22">
        <v>0</v>
      </c>
      <c r="EI22" s="2">
        <v>1</v>
      </c>
      <c r="EJ22" s="1"/>
      <c r="EK22" t="str">
        <f t="shared" si="34"/>
        <v/>
      </c>
      <c r="EL22" t="str">
        <f t="shared" si="35"/>
        <v/>
      </c>
      <c r="EM22" s="2" t="str">
        <f t="shared" si="36"/>
        <v/>
      </c>
      <c r="EN22"/>
      <c r="EO22"/>
      <c r="EP22" t="str">
        <f>IF(ISNUMBER(BU22),IF(ABS(BU22-[2]QC_indicators!$B$2)&gt;3*[2]QC_indicators!$C$2,"C ratio",IF(ISNUMBER(BY22),IF(ABS(BY22-[2]QC_indicators!$B$1)&gt;3*[2]QC_indicators!$C$1,"DF","no"))),IF(ISNUMBER(BY22),IF(ABS(BY22-[2]QC_indicators!$B$1)&gt;3*[2]QC_indicators!$C$1,"DF","no")))</f>
        <v>no</v>
      </c>
      <c r="EQ22"/>
      <c r="ER22"/>
      <c r="ES22"/>
      <c r="ET22" s="266" t="s">
        <v>3169</v>
      </c>
      <c r="EU22"/>
    </row>
    <row r="23" spans="1:151" s="139" customFormat="1" ht="15" hidden="1" customHeight="1">
      <c r="A23" s="1" t="s">
        <v>1380</v>
      </c>
      <c r="B23" t="s">
        <v>1924</v>
      </c>
      <c r="C23" t="s">
        <v>1925</v>
      </c>
      <c r="D23" t="s">
        <v>1926</v>
      </c>
      <c r="E23" t="s">
        <v>1927</v>
      </c>
      <c r="F23" t="s">
        <v>1928</v>
      </c>
      <c r="G23" t="s">
        <v>1386</v>
      </c>
      <c r="H23" t="s">
        <v>255</v>
      </c>
      <c r="I23">
        <v>2016</v>
      </c>
      <c r="J23">
        <v>12</v>
      </c>
      <c r="K23" t="s">
        <v>1929</v>
      </c>
      <c r="L23"/>
      <c r="M23" t="str">
        <f t="shared" si="0"/>
        <v>Lobianco_2016</v>
      </c>
      <c r="N23" t="s">
        <v>223</v>
      </c>
      <c r="O23" s="145" t="s">
        <v>226</v>
      </c>
      <c r="P23" t="s">
        <v>514</v>
      </c>
      <c r="Q23" t="s">
        <v>257</v>
      </c>
      <c r="R23" s="264" t="s">
        <v>224</v>
      </c>
      <c r="S23" s="1" t="s">
        <v>1938</v>
      </c>
      <c r="T23" s="143" t="s">
        <v>1157</v>
      </c>
      <c r="U23" s="143" t="s">
        <v>3177</v>
      </c>
      <c r="V23">
        <v>0</v>
      </c>
      <c r="W23">
        <v>0</v>
      </c>
      <c r="X23">
        <v>0</v>
      </c>
      <c r="Y23">
        <v>0</v>
      </c>
      <c r="Z23">
        <v>0</v>
      </c>
      <c r="AA23">
        <v>0</v>
      </c>
      <c r="AB23">
        <v>0</v>
      </c>
      <c r="AC23">
        <v>0</v>
      </c>
      <c r="AD23">
        <v>0</v>
      </c>
      <c r="AE23">
        <v>0</v>
      </c>
      <c r="AF23">
        <v>0</v>
      </c>
      <c r="AG23">
        <v>0</v>
      </c>
      <c r="AH23">
        <v>0</v>
      </c>
      <c r="AI23">
        <v>0</v>
      </c>
      <c r="AJ23">
        <v>0</v>
      </c>
      <c r="AK23">
        <v>0</v>
      </c>
      <c r="AL23">
        <v>0</v>
      </c>
      <c r="AM23">
        <v>0</v>
      </c>
      <c r="AN23">
        <v>1</v>
      </c>
      <c r="AO23">
        <v>0</v>
      </c>
      <c r="AP23">
        <v>0</v>
      </c>
      <c r="AQ23">
        <v>0</v>
      </c>
      <c r="AR23">
        <v>0</v>
      </c>
      <c r="AS23">
        <v>0</v>
      </c>
      <c r="AT23">
        <v>0</v>
      </c>
      <c r="AU23">
        <v>0</v>
      </c>
      <c r="AV23">
        <v>0</v>
      </c>
      <c r="AW23">
        <v>0</v>
      </c>
      <c r="AX23" s="141">
        <f t="shared" si="1"/>
        <v>1</v>
      </c>
      <c r="AY23" s="141">
        <f t="shared" si="2"/>
        <v>0</v>
      </c>
      <c r="AZ23">
        <f t="shared" si="3"/>
        <v>0</v>
      </c>
      <c r="BA23">
        <f t="shared" si="4"/>
        <v>0</v>
      </c>
      <c r="BB23">
        <f t="shared" si="5"/>
        <v>0</v>
      </c>
      <c r="BC23">
        <f t="shared" si="6"/>
        <v>0</v>
      </c>
      <c r="BD23">
        <f t="shared" si="7"/>
        <v>1</v>
      </c>
      <c r="BE23" t="str">
        <f t="array" ref="BE23">IF(AY23=1,INDEX($V$7:$AL$7,MATCH(TRUE,INDEX($V23:$AW23&lt;&gt;0,),0)),IF(AY23=0,INDEX($AM$7:$AW$7,MATCH(1,$AM23:$AW23,0)),IF(BF23="Multiple strategies","mixed drivers",IF(BF23="Supply chain","multiple supply","multiple silviculture"))))</f>
        <v>Temperature</v>
      </c>
      <c r="BF23" s="2" t="str">
        <f t="array" ref="BF23">IF(COUNTIF(AZ23:BB23,"&lt;&gt;0")=1,INDEX($V$4:$AW$4,MATCH(TRUE,INDEX($V23:$AW23&lt;&gt;0,),0)),IF(COUNTIF(AZ23:BB23,"&lt;&gt;0")=0,INDEX($AM$4:$AW$4,MATCH(1,$AM23:$AW23,0)),"Multiple strategies"))</f>
        <v>Environmental change</v>
      </c>
      <c r="BG23" s="142" t="s">
        <v>322</v>
      </c>
      <c r="BH23" s="311" t="s">
        <v>3165</v>
      </c>
      <c r="BI23" s="266" t="s">
        <v>3166</v>
      </c>
      <c r="BJ23" s="143" t="s">
        <v>3167</v>
      </c>
      <c r="BK23">
        <f>53.247</f>
        <v>53.247</v>
      </c>
      <c r="BL23">
        <f>53.247*(1+0.29/100)</f>
        <v>53.401416299999994</v>
      </c>
      <c r="BM23" s="163"/>
      <c r="BN23">
        <f t="shared" si="9"/>
        <v>0.15441629999999407</v>
      </c>
      <c r="BO23" s="143">
        <f>BN23*10^6</f>
        <v>154416.29999999408</v>
      </c>
      <c r="BP23" t="s">
        <v>233</v>
      </c>
      <c r="BQ23" s="266" t="s">
        <v>3168</v>
      </c>
      <c r="BR23" s="143" t="s">
        <v>1931</v>
      </c>
      <c r="BS23" s="144">
        <v>117.962</v>
      </c>
      <c r="BT23">
        <f>117.96*(1+1.29/100)</f>
        <v>119.48168399999999</v>
      </c>
      <c r="BU23"/>
      <c r="BV23">
        <f t="shared" si="12"/>
        <v>1.5196839999999838</v>
      </c>
      <c r="BW23"/>
      <c r="BX23">
        <f>BV23*10^6</f>
        <v>1519683.9999999839</v>
      </c>
      <c r="BY23">
        <f t="shared" si="14"/>
        <v>9.8414739894690015</v>
      </c>
      <c r="BZ23">
        <v>0</v>
      </c>
      <c r="CA23">
        <v>0</v>
      </c>
      <c r="CB23">
        <v>0</v>
      </c>
      <c r="CC23">
        <v>0</v>
      </c>
      <c r="CD23">
        <v>0</v>
      </c>
      <c r="CE23">
        <v>0</v>
      </c>
      <c r="CF23">
        <v>0</v>
      </c>
      <c r="CG23">
        <v>0</v>
      </c>
      <c r="CH23">
        <v>0</v>
      </c>
      <c r="CI23">
        <v>0</v>
      </c>
      <c r="CJ23">
        <v>0</v>
      </c>
      <c r="CK23">
        <v>0</v>
      </c>
      <c r="CL23">
        <v>0</v>
      </c>
      <c r="CM23">
        <v>0</v>
      </c>
      <c r="CN23" t="str">
        <f t="shared" si="15"/>
        <v>refOK</v>
      </c>
      <c r="CO23">
        <f t="shared" si="37"/>
        <v>53.247</v>
      </c>
      <c r="CP23">
        <f t="shared" si="38"/>
        <v>53.401416299999994</v>
      </c>
      <c r="CQ23">
        <f t="shared" si="18"/>
        <v>154416.29999999408</v>
      </c>
      <c r="CR23">
        <f t="shared" si="19"/>
        <v>117.962</v>
      </c>
      <c r="CS23">
        <f>IF($CN23="refOK",$BS23,#REF!)*IF($BP23="Emissions positive",-1,1)</f>
        <v>117.962</v>
      </c>
      <c r="CT23">
        <f t="shared" si="21"/>
        <v>1519683.9999999839</v>
      </c>
      <c r="CU23">
        <f t="shared" si="22"/>
        <v>9.8414739894690015</v>
      </c>
      <c r="CV23" s="2">
        <f t="shared" si="23"/>
        <v>0</v>
      </c>
      <c r="CW23" s="1" t="s">
        <v>1201</v>
      </c>
      <c r="CX23" t="str">
        <f t="shared" si="24"/>
        <v>reg</v>
      </c>
      <c r="CY23" t="s">
        <v>731</v>
      </c>
      <c r="CZ23">
        <v>2007</v>
      </c>
      <c r="DA23" s="143">
        <v>2100</v>
      </c>
      <c r="DB23" s="143">
        <f t="shared" si="39"/>
        <v>93</v>
      </c>
      <c r="DC23" t="str">
        <f t="shared" si="25"/>
        <v>71-100</v>
      </c>
      <c r="DD23">
        <v>0</v>
      </c>
      <c r="DE23">
        <v>1</v>
      </c>
      <c r="DF23">
        <v>0</v>
      </c>
      <c r="DG23">
        <v>1</v>
      </c>
      <c r="DH23">
        <v>1</v>
      </c>
      <c r="DI23">
        <f t="shared" si="26"/>
        <v>2</v>
      </c>
      <c r="DJ23" t="str">
        <f t="shared" si="27"/>
        <v>mixedProduct</v>
      </c>
      <c r="DK23">
        <f t="shared" si="28"/>
        <v>0</v>
      </c>
      <c r="DL23" t="str">
        <f t="shared" si="29"/>
        <v>Energy</v>
      </c>
      <c r="DM23">
        <f t="shared" si="30"/>
        <v>0</v>
      </c>
      <c r="DN23" t="str">
        <f t="shared" si="31"/>
        <v>Timber</v>
      </c>
      <c r="DO23">
        <v>0</v>
      </c>
      <c r="DP23" s="143">
        <v>0</v>
      </c>
      <c r="DQ23" s="143">
        <v>0</v>
      </c>
      <c r="DR23">
        <v>0</v>
      </c>
      <c r="DS23" s="143">
        <v>0</v>
      </c>
      <c r="DT23">
        <f t="shared" si="32"/>
        <v>0</v>
      </c>
      <c r="DU23" s="143" t="str">
        <f t="shared" si="33"/>
        <v>explicit C balance</v>
      </c>
      <c r="DV23" s="143">
        <v>0</v>
      </c>
      <c r="DW23" s="143">
        <v>0</v>
      </c>
      <c r="DX23" s="143">
        <v>1</v>
      </c>
      <c r="DY23" s="143">
        <v>1</v>
      </c>
      <c r="DZ23">
        <v>0</v>
      </c>
      <c r="EA23" s="143">
        <v>1</v>
      </c>
      <c r="EB23" s="143">
        <v>1</v>
      </c>
      <c r="EC23" s="143">
        <v>0</v>
      </c>
      <c r="ED23" s="143">
        <v>0</v>
      </c>
      <c r="EE23">
        <v>0</v>
      </c>
      <c r="EF23">
        <v>1</v>
      </c>
      <c r="EG23" s="143">
        <v>0</v>
      </c>
      <c r="EH23">
        <v>0</v>
      </c>
      <c r="EI23" s="2">
        <v>1</v>
      </c>
      <c r="EJ23" s="1"/>
      <c r="EK23" t="str">
        <f t="shared" si="34"/>
        <v/>
      </c>
      <c r="EL23" t="str">
        <f t="shared" si="35"/>
        <v/>
      </c>
      <c r="EM23" s="2" t="str">
        <f t="shared" si="36"/>
        <v/>
      </c>
      <c r="EN23"/>
      <c r="EO23"/>
      <c r="EP23" t="str">
        <f>IF(ISNUMBER(BT23),IF(ABS(BT23-[2]QC_indicators!$B$2)&gt;3*[2]QC_indicators!$C$2,"C ratio",IF(ISNUMBER(BY23),IF(ABS(BY23-[2]QC_indicators!$B$1)&gt;3*[2]QC_indicators!$C$1,"DF","no"))),IF(ISNUMBER(BY23),IF(ABS(BY23-[2]QC_indicators!$B$1)&gt;3*[2]QC_indicators!$C$1,"DF","no")))</f>
        <v>C ratio</v>
      </c>
      <c r="EQ23"/>
      <c r="ER23"/>
      <c r="ES23"/>
      <c r="ET23" s="266" t="s">
        <v>3169</v>
      </c>
      <c r="EU23"/>
    </row>
    <row r="24" spans="1:151" s="139" customFormat="1" ht="15" customHeight="1">
      <c r="A24" s="1" t="s">
        <v>1893</v>
      </c>
      <c r="B24" t="s">
        <v>1894</v>
      </c>
      <c r="C24"/>
      <c r="D24" t="s">
        <v>1895</v>
      </c>
      <c r="E24" t="s">
        <v>1896</v>
      </c>
      <c r="F24" t="s">
        <v>1897</v>
      </c>
      <c r="G24" t="s">
        <v>1898</v>
      </c>
      <c r="H24" t="s">
        <v>255</v>
      </c>
      <c r="I24">
        <v>2009</v>
      </c>
      <c r="J24">
        <v>31</v>
      </c>
      <c r="K24" t="s">
        <v>1899</v>
      </c>
      <c r="L24"/>
      <c r="M24" t="str">
        <f>LEFT($D24,FIND(",",$D24)-1)&amp;"_"&amp;I24&amp;L24</f>
        <v>Liu_2009</v>
      </c>
      <c r="N24" t="s">
        <v>223</v>
      </c>
      <c r="O24" s="145" t="s">
        <v>226</v>
      </c>
      <c r="P24"/>
      <c r="Q24" t="s">
        <v>257</v>
      </c>
      <c r="R24" s="264" t="s">
        <v>224</v>
      </c>
      <c r="S24" s="1" t="s">
        <v>1324</v>
      </c>
      <c r="T24" s="143" t="s">
        <v>1900</v>
      </c>
      <c r="U24" s="143" t="s">
        <v>1901</v>
      </c>
      <c r="V24">
        <v>1</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c r="AV24">
        <v>0</v>
      </c>
      <c r="AW24">
        <v>0</v>
      </c>
      <c r="AX24" s="141">
        <f>COUNTIF(V24:AW24,"&lt;&gt;0")</f>
        <v>1</v>
      </c>
      <c r="AY24" s="141">
        <f>COUNTIF(V24:AL24,"&lt;&gt;0")</f>
        <v>1</v>
      </c>
      <c r="AZ24">
        <f>COUNTIF(V24:AC24,"&lt;&gt;0")</f>
        <v>1</v>
      </c>
      <c r="BA24">
        <f>COUNTIF(AD24:AI24,"&lt;&gt;0")</f>
        <v>0</v>
      </c>
      <c r="BB24">
        <f>COUNTIF(AJ24:AL24,"&lt;&gt;0")</f>
        <v>0</v>
      </c>
      <c r="BC24">
        <f>COUNTIF(AS24:AW24,"&lt;&gt;0")</f>
        <v>0</v>
      </c>
      <c r="BD24">
        <f>COUNTIF(AM24:AR24,"&lt;&gt;0")</f>
        <v>0</v>
      </c>
      <c r="BE24" t="str">
        <f t="array" ref="BE24">IF(AY24=1,INDEX($V$7:$AL$7,MATCH(TRUE,INDEX($V24:$AW24&lt;&gt;0,),0)),IF(AY24=0,INDEX($AM$7:$AW$7,MATCH(1,$AM24:$AW24,0)),IF(BF24="Multiple strategies","mixed drivers",IF(BF24="Supply chain","multiple supply","multiple silviculture"))))</f>
        <v>area subject to harvest</v>
      </c>
      <c r="BF24" s="2" t="str" cm="1">
        <f t="array" ref="BF24">IF(COUNTIF(AZ24:BB24,"&lt;&gt;0")=1,INDEX($V$4:$AW$4,MATCH(TRUE,INDEX($V24:$AW24&lt;&gt;0,),0)),IF(COUNTIF(AZ24:BB24,"&lt;&gt;0")=0,INDEX($AM$4:$AW$4,MATCH(1,$AM24:$AW24,0)),"Multiple strategies"))</f>
        <v>SilvicultureRemov</v>
      </c>
      <c r="BG24" s="142" t="s">
        <v>322</v>
      </c>
      <c r="BH24" s="266" t="s">
        <v>3159</v>
      </c>
      <c r="BI24" s="266" t="s">
        <v>3160</v>
      </c>
      <c r="BJ24" s="143" t="s">
        <v>1357</v>
      </c>
      <c r="BK24">
        <v>0</v>
      </c>
      <c r="BL24" s="143">
        <f>4.8*10+3.3*390</f>
        <v>1335</v>
      </c>
      <c r="BM24" s="163"/>
      <c r="BN24">
        <f>BL24-BK24</f>
        <v>1335</v>
      </c>
      <c r="BO24">
        <f>BN24*10^6</f>
        <v>1335000000</v>
      </c>
      <c r="BP24" t="s">
        <v>233</v>
      </c>
      <c r="BQ24" s="322" t="s">
        <v>785</v>
      </c>
      <c r="BR24" t="s">
        <v>1902</v>
      </c>
      <c r="BS24" s="143">
        <v>505</v>
      </c>
      <c r="BT24">
        <f>560</f>
        <v>560</v>
      </c>
      <c r="BU24" s="144">
        <f>IFERROR(BT24/BS24,"")</f>
        <v>1.108910891089109</v>
      </c>
      <c r="BV24">
        <f>BT24-BS24</f>
        <v>55</v>
      </c>
      <c r="BW24"/>
      <c r="BX24">
        <f>BV24*10^6*C_to_CO2</f>
        <v>201850000</v>
      </c>
      <c r="BY24">
        <f>IFERROR(BX24/BO24,"")</f>
        <v>0.15119850187265918</v>
      </c>
      <c r="BZ24">
        <v>0</v>
      </c>
      <c r="CA24">
        <v>0</v>
      </c>
      <c r="CB24">
        <v>0</v>
      </c>
      <c r="CC24">
        <v>0</v>
      </c>
      <c r="CD24">
        <v>0</v>
      </c>
      <c r="CE24">
        <v>0</v>
      </c>
      <c r="CF24">
        <v>0</v>
      </c>
      <c r="CG24">
        <v>0</v>
      </c>
      <c r="CH24">
        <v>0</v>
      </c>
      <c r="CI24">
        <v>0</v>
      </c>
      <c r="CJ24">
        <v>0</v>
      </c>
      <c r="CK24">
        <v>0</v>
      </c>
      <c r="CL24">
        <v>0</v>
      </c>
      <c r="CM24">
        <v>0</v>
      </c>
      <c r="CN24" t="str">
        <f>IF($BL24&lt;$BK24,"refNeedCorrection","refOK")</f>
        <v>refOK</v>
      </c>
      <c r="CO24">
        <f>IF($CN24="refOK",$BK24,$BL24)</f>
        <v>0</v>
      </c>
      <c r="CP24">
        <f>IF($CN24="refOK",$BL24,$BK24)</f>
        <v>1335</v>
      </c>
      <c r="CQ24">
        <f>IF($CN24="refOK",$BO24,-$BO24)</f>
        <v>1335000000</v>
      </c>
      <c r="CR24">
        <f>IF($CN24="refOK",$BS24,$BT24)*IF($BP24="Emissions positive",-1,1)</f>
        <v>505</v>
      </c>
      <c r="CS24">
        <f>IF($CN24="refOK",$BT24,$BS24)*IF($BP24="Emissions positive",-1,1)</f>
        <v>560</v>
      </c>
      <c r="CT24">
        <f>IF($CN24="refNeedCorrection",-BX24,BX24)*IF($BP24="Emissions positive",-1,1)</f>
        <v>201850000</v>
      </c>
      <c r="CU24">
        <f>IFERROR(CT24/CQ24,"")</f>
        <v>0.15119850187265918</v>
      </c>
      <c r="CV24" s="2">
        <f>IFERROR((CS24-CR24)/ABS(CR24),"")</f>
        <v>0.10891089108910891</v>
      </c>
      <c r="CW24" s="1" t="s">
        <v>1201</v>
      </c>
      <c r="CX24" t="str">
        <f>IF(OR($CW24="prd",$CW24="std",$CW24="cit"),"loc",IF(OR($CW24="eur",$CW24="reg",$CW24="coy"),"reg",$CW24))</f>
        <v>reg</v>
      </c>
      <c r="CY24" t="s">
        <v>541</v>
      </c>
      <c r="CZ24"/>
      <c r="DA24" s="143"/>
      <c r="DB24" s="143">
        <v>400</v>
      </c>
      <c r="DC24" t="str">
        <f>IF(DB24=0,"0",IF(AND(DB24&gt;=1,DB24&lt;=30),"1-30",IF(AND(DB24&gt;30,DB24&lt;=70),"31-70",IF(AND(DB24&gt;70,DB24&lt;=100),"71-100",IF(DB24&gt;100,"+100")))))</f>
        <v>+100</v>
      </c>
      <c r="DD24">
        <v>0</v>
      </c>
      <c r="DE24">
        <v>0</v>
      </c>
      <c r="DF24">
        <v>0</v>
      </c>
      <c r="DG24">
        <v>1</v>
      </c>
      <c r="DH24"/>
      <c r="DI24">
        <f>SUM(DD24:DG24)</f>
        <v>1</v>
      </c>
      <c r="DJ24" t="str">
        <f>IF(DI24=1,INDEX($DD$7:$DG$7,MATCH(1,$DD24:$DG24,0)),"mixedProduct")</f>
        <v>TimberInput</v>
      </c>
      <c r="DK24">
        <f>IF(DD24=1,DK$7,0)</f>
        <v>0</v>
      </c>
      <c r="DL24">
        <f>IF(DE24=1,DL$7,0)</f>
        <v>0</v>
      </c>
      <c r="DM24">
        <f>IF(DF24=1,DM$7,0)</f>
        <v>0</v>
      </c>
      <c r="DN24" t="str">
        <f>IF(DG24=1,DN$7,0)</f>
        <v>Timber</v>
      </c>
      <c r="DO24">
        <v>0</v>
      </c>
      <c r="DP24" s="143">
        <v>0</v>
      </c>
      <c r="DQ24" s="143">
        <v>0</v>
      </c>
      <c r="DR24">
        <v>0</v>
      </c>
      <c r="DS24" s="143">
        <v>0</v>
      </c>
      <c r="DT24">
        <f>SUM(DO24:DP24)</f>
        <v>0</v>
      </c>
      <c r="DU24" s="143" t="str">
        <f>IF(DO24=1,"self-calculated DF",IF(DP24=1,"external DF used","explicit C balance"))</f>
        <v>explicit C balance</v>
      </c>
      <c r="DV24" s="143">
        <v>1</v>
      </c>
      <c r="DW24" s="143">
        <v>0</v>
      </c>
      <c r="DX24" s="143">
        <v>1</v>
      </c>
      <c r="DY24" s="143">
        <v>1</v>
      </c>
      <c r="DZ24">
        <v>1</v>
      </c>
      <c r="EA24" s="143">
        <v>0</v>
      </c>
      <c r="EB24" s="143">
        <v>0</v>
      </c>
      <c r="EC24" s="143">
        <v>0</v>
      </c>
      <c r="ED24" s="143">
        <v>0</v>
      </c>
      <c r="EE24">
        <v>0</v>
      </c>
      <c r="EF24">
        <v>1</v>
      </c>
      <c r="EG24" s="143">
        <v>0</v>
      </c>
      <c r="EH24">
        <v>0</v>
      </c>
      <c r="EI24" s="2">
        <v>0</v>
      </c>
      <c r="EJ24" s="265" t="s">
        <v>3162</v>
      </c>
      <c r="EK24" t="str">
        <f>IF(AND(AND(AND(OR($DX24=1,$DW24=1),OR($EC24=1,$EA24=1)),SUM($DV24:$DZ24,$EF24)&gt;=4),SUM($EA24:$EE24)&gt;=2),"Whole sector","")</f>
        <v/>
      </c>
      <c r="EL24" t="str">
        <f>IF(AND(AND(OR($DX24=1,$DW24=1),AND($EC24=0,$EA24=0)),SUM($DV24:$DZ24,$EF24)&gt;=4),"Ecosystem approach","")</f>
        <v>Ecosystem approach</v>
      </c>
      <c r="EM24" s="2" t="str">
        <f>IF(AND(AND(AND($DX24=0,$DW24=0),OR($EC24=1,$EA24=1)),SUM($EB24:$EE24)&gt;=2),"Technology approach","")</f>
        <v/>
      </c>
      <c r="EN24"/>
      <c r="EO24"/>
      <c r="EP24" t="str">
        <f>IF(ISNUMBER(BU24),IF(ABS(BU24-[2]QC_indicators!$B$2)&gt;3*[2]QC_indicators!$C$2,"C ratio",IF(ISNUMBER(BY24),IF(ABS(BY24-[2]QC_indicators!$B$1)&gt;3*[2]QC_indicators!$C$1,"DF","no"))),IF(ISNUMBER(BY24),IF(ABS(BY24-[2]QC_indicators!$B$1)&gt;3*[2]QC_indicators!$C$1,"DF","no")))</f>
        <v>no</v>
      </c>
      <c r="EQ24"/>
      <c r="ER24"/>
      <c r="ES24"/>
      <c r="ET24" s="266" t="s">
        <v>3163</v>
      </c>
      <c r="EU24"/>
    </row>
    <row r="25" spans="1:151" s="139" customFormat="1" ht="15" customHeight="1">
      <c r="A25" s="1" t="s">
        <v>1893</v>
      </c>
      <c r="B25" t="s">
        <v>1894</v>
      </c>
      <c r="C25"/>
      <c r="D25" t="s">
        <v>1895</v>
      </c>
      <c r="E25" t="s">
        <v>1896</v>
      </c>
      <c r="F25" t="s">
        <v>1897</v>
      </c>
      <c r="G25" t="s">
        <v>1898</v>
      </c>
      <c r="H25" t="s">
        <v>255</v>
      </c>
      <c r="I25">
        <v>2009</v>
      </c>
      <c r="J25">
        <v>31</v>
      </c>
      <c r="K25" t="s">
        <v>1899</v>
      </c>
      <c r="L25"/>
      <c r="M25" t="str">
        <f>LEFT($D25,FIND(",",$D25)-1)&amp;"_"&amp;I25&amp;L25</f>
        <v>Liu_2009</v>
      </c>
      <c r="N25" t="s">
        <v>223</v>
      </c>
      <c r="O25" s="145" t="s">
        <v>226</v>
      </c>
      <c r="P25"/>
      <c r="Q25" t="s">
        <v>257</v>
      </c>
      <c r="R25" s="264" t="s">
        <v>224</v>
      </c>
      <c r="S25" s="1" t="s">
        <v>1324</v>
      </c>
      <c r="T25" s="143" t="s">
        <v>1900</v>
      </c>
      <c r="U25" s="143" t="s">
        <v>1903</v>
      </c>
      <c r="V25">
        <v>1</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s="141">
        <f>COUNTIF(V25:AW25,"&lt;&gt;0")</f>
        <v>1</v>
      </c>
      <c r="AY25" s="141">
        <f>COUNTIF(V25:AL25,"&lt;&gt;0")</f>
        <v>1</v>
      </c>
      <c r="AZ25">
        <f>COUNTIF(V25:AC25,"&lt;&gt;0")</f>
        <v>1</v>
      </c>
      <c r="BA25">
        <f>COUNTIF(AD25:AI25,"&lt;&gt;0")</f>
        <v>0</v>
      </c>
      <c r="BB25">
        <f>COUNTIF(AJ25:AL25,"&lt;&gt;0")</f>
        <v>0</v>
      </c>
      <c r="BC25">
        <f>COUNTIF(AS25:AW25,"&lt;&gt;0")</f>
        <v>0</v>
      </c>
      <c r="BD25">
        <f>COUNTIF(AM25:AR25,"&lt;&gt;0")</f>
        <v>0</v>
      </c>
      <c r="BE25" t="str">
        <f t="array" ref="BE25">IF(AY25=1,INDEX($V$7:$AL$7,MATCH(TRUE,INDEX($V25:$AW25&lt;&gt;0,),0)),IF(AY25=0,INDEX($AM$7:$AW$7,MATCH(1,$AM25:$AW25,0)),IF(BF25="Multiple strategies","mixed drivers",IF(BF25="Supply chain","multiple supply","multiple silviculture"))))</f>
        <v>area subject to harvest</v>
      </c>
      <c r="BF25" s="2" t="str" cm="1">
        <f t="array" ref="BF25">IF(COUNTIF(AZ25:BB25,"&lt;&gt;0")=1,INDEX($V$4:$AW$4,MATCH(TRUE,INDEX($V25:$AW25&lt;&gt;0,),0)),IF(COUNTIF(AZ25:BB25,"&lt;&gt;0")=0,INDEX($AM$4:$AW$4,MATCH(1,$AM25:$AW25,0)),"Multiple strategies"))</f>
        <v>SilvicultureRemov</v>
      </c>
      <c r="BG25" s="142" t="s">
        <v>322</v>
      </c>
      <c r="BH25" s="266" t="s">
        <v>3159</v>
      </c>
      <c r="BI25" s="266" t="s">
        <v>3160</v>
      </c>
      <c r="BJ25" s="143" t="s">
        <v>1357</v>
      </c>
      <c r="BK25">
        <v>0</v>
      </c>
      <c r="BL25" s="143">
        <f>1.8*400</f>
        <v>720</v>
      </c>
      <c r="BM25" s="163"/>
      <c r="BN25">
        <f>BL25-BK25</f>
        <v>720</v>
      </c>
      <c r="BO25">
        <f>BN25*10^6</f>
        <v>720000000</v>
      </c>
      <c r="BP25" t="s">
        <v>233</v>
      </c>
      <c r="BQ25" s="322" t="s">
        <v>785</v>
      </c>
      <c r="BR25" t="s">
        <v>1902</v>
      </c>
      <c r="BS25" s="143">
        <v>505</v>
      </c>
      <c r="BT25">
        <f>545</f>
        <v>545</v>
      </c>
      <c r="BU25" s="144">
        <f>IFERROR(BT25/BS25,"")</f>
        <v>1.0792079207920793</v>
      </c>
      <c r="BV25">
        <f>BT25-BS25</f>
        <v>40</v>
      </c>
      <c r="BW25"/>
      <c r="BX25">
        <f>BV25*10^6*C_to_CO2</f>
        <v>146800000</v>
      </c>
      <c r="BY25">
        <f>IFERROR(BX25/BO25,"")</f>
        <v>0.2038888888888889</v>
      </c>
      <c r="BZ25">
        <v>0</v>
      </c>
      <c r="CA25">
        <v>0</v>
      </c>
      <c r="CB25">
        <v>0</v>
      </c>
      <c r="CC25">
        <v>0</v>
      </c>
      <c r="CD25">
        <v>0</v>
      </c>
      <c r="CE25">
        <v>0</v>
      </c>
      <c r="CF25">
        <v>0</v>
      </c>
      <c r="CG25">
        <v>0</v>
      </c>
      <c r="CH25">
        <v>0</v>
      </c>
      <c r="CI25">
        <v>0</v>
      </c>
      <c r="CJ25">
        <v>0</v>
      </c>
      <c r="CK25">
        <v>0</v>
      </c>
      <c r="CL25">
        <v>0</v>
      </c>
      <c r="CM25">
        <v>0</v>
      </c>
      <c r="CN25" t="str">
        <f>IF($BL25&lt;$BK25,"refNeedCorrection","refOK")</f>
        <v>refOK</v>
      </c>
      <c r="CO25">
        <f>IF($CN25="refOK",$BK25,$BL25)</f>
        <v>0</v>
      </c>
      <c r="CP25">
        <f>IF($CN25="refOK",$BL25,$BK25)</f>
        <v>720</v>
      </c>
      <c r="CQ25">
        <f>IF($CN25="refOK",$BO25,-$BO25)</f>
        <v>720000000</v>
      </c>
      <c r="CR25">
        <f>IF($CN25="refOK",$BS25,$BT25)*IF($BP25="Emissions positive",-1,1)</f>
        <v>505</v>
      </c>
      <c r="CS25">
        <f>IF($CN25="refOK",$BT25,$BS25)*IF($BP25="Emissions positive",-1,1)</f>
        <v>545</v>
      </c>
      <c r="CT25">
        <f>IF($CN25="refNeedCorrection",-BX25,BX25)*IF($BP25="Emissions positive",-1,1)</f>
        <v>146800000</v>
      </c>
      <c r="CU25">
        <f>IFERROR(CT25/CQ25,"")</f>
        <v>0.2038888888888889</v>
      </c>
      <c r="CV25" s="2">
        <f>IFERROR((CS25-CR25)/ABS(CR25),"")</f>
        <v>7.9207920792079209E-2</v>
      </c>
      <c r="CW25" s="1" t="s">
        <v>1201</v>
      </c>
      <c r="CX25" t="str">
        <f>IF(OR($CW25="prd",$CW25="std",$CW25="cit"),"loc",IF(OR($CW25="eur",$CW25="reg",$CW25="coy"),"reg",$CW25))</f>
        <v>reg</v>
      </c>
      <c r="CY25" t="s">
        <v>541</v>
      </c>
      <c r="CZ25"/>
      <c r="DA25" s="143"/>
      <c r="DB25" s="143">
        <v>400</v>
      </c>
      <c r="DC25" t="str">
        <f>IF(DB25=0,"0",IF(AND(DB25&gt;=1,DB25&lt;=30),"1-30",IF(AND(DB25&gt;30,DB25&lt;=70),"31-70",IF(AND(DB25&gt;70,DB25&lt;=100),"71-100",IF(DB25&gt;100,"+100")))))</f>
        <v>+100</v>
      </c>
      <c r="DD25">
        <v>0</v>
      </c>
      <c r="DE25">
        <v>0</v>
      </c>
      <c r="DF25">
        <v>0</v>
      </c>
      <c r="DG25">
        <v>1</v>
      </c>
      <c r="DH25"/>
      <c r="DI25">
        <f>SUM(DD25:DG25)</f>
        <v>1</v>
      </c>
      <c r="DJ25" t="str">
        <f>IF(DI25=1,INDEX($DD$7:$DG$7,MATCH(1,$DD25:$DG25,0)),"mixedProduct")</f>
        <v>TimberInput</v>
      </c>
      <c r="DK25">
        <f>IF(DD25=1,DK$7,0)</f>
        <v>0</v>
      </c>
      <c r="DL25">
        <f>IF(DE25=1,DL$7,0)</f>
        <v>0</v>
      </c>
      <c r="DM25">
        <f>IF(DF25=1,DM$7,0)</f>
        <v>0</v>
      </c>
      <c r="DN25" t="str">
        <f>IF(DG25=1,DN$7,0)</f>
        <v>Timber</v>
      </c>
      <c r="DO25">
        <v>0</v>
      </c>
      <c r="DP25" s="143">
        <v>0</v>
      </c>
      <c r="DQ25" s="143">
        <v>0</v>
      </c>
      <c r="DR25">
        <v>0</v>
      </c>
      <c r="DS25" s="143">
        <v>0</v>
      </c>
      <c r="DT25">
        <f>SUM(DO25:DP25)</f>
        <v>0</v>
      </c>
      <c r="DU25" s="143" t="str">
        <f>IF(DO25=1,"self-calculated DF",IF(DP25=1,"external DF used","explicit C balance"))</f>
        <v>explicit C balance</v>
      </c>
      <c r="DV25" s="143">
        <v>1</v>
      </c>
      <c r="DW25" s="143">
        <v>0</v>
      </c>
      <c r="DX25" s="143">
        <v>1</v>
      </c>
      <c r="DY25" s="143">
        <v>1</v>
      </c>
      <c r="DZ25">
        <v>1</v>
      </c>
      <c r="EA25" s="143">
        <v>0</v>
      </c>
      <c r="EB25" s="143">
        <v>0</v>
      </c>
      <c r="EC25" s="143">
        <v>0</v>
      </c>
      <c r="ED25" s="143">
        <v>0</v>
      </c>
      <c r="EE25">
        <v>0</v>
      </c>
      <c r="EF25">
        <v>1</v>
      </c>
      <c r="EG25" s="143">
        <v>0</v>
      </c>
      <c r="EH25">
        <v>0</v>
      </c>
      <c r="EI25" s="2">
        <v>0</v>
      </c>
      <c r="EJ25" s="265" t="s">
        <v>3162</v>
      </c>
      <c r="EK25" t="str">
        <f>IF(AND(AND(AND(OR($DX25=1,$DW25=1),OR($EC25=1,$EA25=1)),SUM($DV25:$DZ25,$EF25)&gt;=4),SUM($EA25:$EE25)&gt;=2),"Whole sector","")</f>
        <v/>
      </c>
      <c r="EL25" t="str">
        <f>IF(AND(AND(OR($DX25=1,$DW25=1),AND($EC25=0,$EA25=0)),SUM($DV25:$DZ25,$EF25)&gt;=4),"Ecosystem approach","")</f>
        <v>Ecosystem approach</v>
      </c>
      <c r="EM25" s="2" t="str">
        <f>IF(AND(AND(AND($DX25=0,$DW25=0),OR($EC25=1,$EA25=1)),SUM($EB25:$EE25)&gt;=2),"Technology approach","")</f>
        <v/>
      </c>
      <c r="EN25"/>
      <c r="EO25"/>
      <c r="EP25" t="str">
        <f>IF(ISNUMBER(BU25),IF(ABS(BU25-[2]QC_indicators!$B$2)&gt;3*[2]QC_indicators!$C$2,"C ratio",IF(ISNUMBER(BY25),IF(ABS(BY25-[2]QC_indicators!$B$1)&gt;3*[2]QC_indicators!$C$1,"DF","no"))),IF(ISNUMBER(BY25),IF(ABS(BY25-[2]QC_indicators!$B$1)&gt;3*[2]QC_indicators!$C$1,"DF","no")))</f>
        <v>no</v>
      </c>
      <c r="EQ25"/>
      <c r="ER25"/>
      <c r="ES25"/>
      <c r="ET25" s="266" t="s">
        <v>3163</v>
      </c>
      <c r="EU25"/>
    </row>
    <row r="26" spans="1:151" s="139" customFormat="1" ht="15" hidden="1" customHeight="1">
      <c r="A26" s="1" t="s">
        <v>1104</v>
      </c>
      <c r="B26" t="s">
        <v>2383</v>
      </c>
      <c r="C26" t="s">
        <v>2384</v>
      </c>
      <c r="D26" t="s">
        <v>2385</v>
      </c>
      <c r="E26" t="s">
        <v>2386</v>
      </c>
      <c r="F26" t="s">
        <v>2387</v>
      </c>
      <c r="G26" t="s">
        <v>1110</v>
      </c>
      <c r="H26" t="s">
        <v>255</v>
      </c>
      <c r="I26">
        <v>2016</v>
      </c>
      <c r="J26">
        <v>13</v>
      </c>
      <c r="K26" t="s">
        <v>2388</v>
      </c>
      <c r="L26"/>
      <c r="M26" t="str">
        <f>LEFT($D26,FIND(",",$D26)-1)&amp;"_"&amp;I26&amp;L26</f>
        <v>Torssonen_2016</v>
      </c>
      <c r="N26" t="s">
        <v>223</v>
      </c>
      <c r="O26" s="145" t="s">
        <v>1156</v>
      </c>
      <c r="P26"/>
      <c r="Q26" s="266" t="s">
        <v>257</v>
      </c>
      <c r="R26" s="271" t="s">
        <v>342</v>
      </c>
      <c r="S26" s="1" t="s">
        <v>2402</v>
      </c>
      <c r="T26" s="266" t="s">
        <v>2403</v>
      </c>
      <c r="U26" t="s">
        <v>2404</v>
      </c>
      <c r="V26">
        <v>0</v>
      </c>
      <c r="W26">
        <v>0</v>
      </c>
      <c r="X26">
        <v>0</v>
      </c>
      <c r="Y26">
        <v>0</v>
      </c>
      <c r="Z26">
        <v>0</v>
      </c>
      <c r="AA26">
        <v>0</v>
      </c>
      <c r="AB26">
        <v>0</v>
      </c>
      <c r="AC26">
        <v>0</v>
      </c>
      <c r="AD26">
        <v>0</v>
      </c>
      <c r="AE26">
        <v>0</v>
      </c>
      <c r="AF26">
        <v>0</v>
      </c>
      <c r="AG26">
        <v>0</v>
      </c>
      <c r="AH26">
        <v>0</v>
      </c>
      <c r="AI26">
        <v>0</v>
      </c>
      <c r="AJ26">
        <v>0</v>
      </c>
      <c r="AK26">
        <v>0</v>
      </c>
      <c r="AL26">
        <v>0</v>
      </c>
      <c r="AM26">
        <v>0</v>
      </c>
      <c r="AN26">
        <v>1</v>
      </c>
      <c r="AO26">
        <v>1</v>
      </c>
      <c r="AP26">
        <v>0</v>
      </c>
      <c r="AQ26">
        <v>0</v>
      </c>
      <c r="AR26">
        <v>0</v>
      </c>
      <c r="AS26">
        <v>0</v>
      </c>
      <c r="AT26">
        <v>0</v>
      </c>
      <c r="AU26">
        <v>0</v>
      </c>
      <c r="AV26">
        <v>0</v>
      </c>
      <c r="AW26">
        <v>0</v>
      </c>
      <c r="AX26" s="141">
        <f>COUNTIF(V26:AW26,"&lt;&gt;0")</f>
        <v>2</v>
      </c>
      <c r="AY26" s="141">
        <f>COUNTIF(V26:AL26,"&lt;&gt;0")</f>
        <v>0</v>
      </c>
      <c r="AZ26">
        <f>COUNTIF(V26:AC26,"&lt;&gt;0")</f>
        <v>0</v>
      </c>
      <c r="BA26">
        <f>COUNTIF(AD26:AI26,"&lt;&gt;0")</f>
        <v>0</v>
      </c>
      <c r="BB26">
        <f>COUNTIF(AJ26:AL26,"&lt;&gt;0")</f>
        <v>0</v>
      </c>
      <c r="BC26">
        <f>COUNTIF(AS26:AW26,"&lt;&gt;0")</f>
        <v>0</v>
      </c>
      <c r="BD26">
        <f>COUNTIF(AM26:AR26,"&lt;&gt;0")</f>
        <v>2</v>
      </c>
      <c r="BE26" t="str" cm="1">
        <f t="array" ref="BE26">IF(AY26=1,INDEX($V$7:$AL$7,MATCH(TRUE,INDEX($V26:$AW26&lt;&gt;0,),0)),IF(AY26=0,INDEX($AM$7:$AW$7,MATCH(1,$AM26:$AW26,0)),IF(BF26="Multiple strategies","mixed drivers",IF(BF26="Supply chain","multiple supply","multiple silviculture"))))</f>
        <v>Temperature</v>
      </c>
      <c r="BF26" s="2" t="str" cm="1">
        <f t="array" ref="BF26">IF(COUNTIF(AZ26:BB26,"&lt;&gt;0")=1,INDEX($V$4:$AW$4,MATCH(TRUE,INDEX($V26:$AW26&lt;&gt;0,),0)),IF(COUNTIF(AZ26:BB26,"&lt;&gt;0")=0,INDEX($AM$4:$AW$4,MATCH(1,$AM26:$AW26,0)),"Multiple strategies"))</f>
        <v>Environmental change</v>
      </c>
      <c r="BG26" s="1" t="s">
        <v>230</v>
      </c>
      <c r="BH26" s="308" t="s">
        <v>2146</v>
      </c>
      <c r="BI26" s="266" t="s">
        <v>2393</v>
      </c>
      <c r="BJ26" s="308" t="s">
        <v>1060</v>
      </c>
      <c r="BK26">
        <v>6.8142857049999996</v>
      </c>
      <c r="BL26">
        <v>6.9346938680000001</v>
      </c>
      <c r="BM26" s="143">
        <f>BL26/BK26</f>
        <v>1.0176699610513322</v>
      </c>
      <c r="BN26">
        <f>BL26-BK26</f>
        <v>0.12040816300000046</v>
      </c>
      <c r="BO26">
        <f>BN26</f>
        <v>0.12040816300000046</v>
      </c>
      <c r="BP26" s="308" t="s">
        <v>396</v>
      </c>
      <c r="BQ26" s="305" t="s">
        <v>3423</v>
      </c>
      <c r="BR26" s="266" t="s">
        <v>2395</v>
      </c>
      <c r="BS26">
        <v>-302.54545454545399</v>
      </c>
      <c r="BT26">
        <v>-301.09090909090901</v>
      </c>
      <c r="BU26" s="144"/>
      <c r="BV26" s="144">
        <f>BT26-BS26</f>
        <v>1.4545454545449843</v>
      </c>
      <c r="BW26" s="144"/>
      <c r="BX26" s="144">
        <f>BV26*10^4/10^6</f>
        <v>1.4545454545449844E-2</v>
      </c>
      <c r="BY26">
        <f>IFERROR(BX26/BO26,"")</f>
        <v>0.12080123293177215</v>
      </c>
      <c r="BZ26">
        <v>0</v>
      </c>
      <c r="CA26">
        <v>0</v>
      </c>
      <c r="CB26">
        <v>0</v>
      </c>
      <c r="CC26">
        <v>0</v>
      </c>
      <c r="CD26">
        <v>0</v>
      </c>
      <c r="CE26">
        <v>0</v>
      </c>
      <c r="CF26">
        <v>0</v>
      </c>
      <c r="CG26">
        <v>0</v>
      </c>
      <c r="CH26">
        <v>0</v>
      </c>
      <c r="CI26">
        <v>0</v>
      </c>
      <c r="CJ26">
        <v>0</v>
      </c>
      <c r="CK26">
        <v>0</v>
      </c>
      <c r="CL26">
        <v>0</v>
      </c>
      <c r="CM26">
        <v>1</v>
      </c>
      <c r="CN26" t="str">
        <f>IF($BL26&lt;$BK26,"refNeedCorrection","refOK")</f>
        <v>refOK</v>
      </c>
      <c r="CO26">
        <f>IF($CN26="refOK",$BK26,$BL26)</f>
        <v>6.8142857049999996</v>
      </c>
      <c r="CP26">
        <f>IF($CN26="refOK",$BL26,$BK26)</f>
        <v>6.9346938680000001</v>
      </c>
      <c r="CQ26">
        <f>IF($CN26="refOK",$BO26,-$BO26)</f>
        <v>0.12040816300000046</v>
      </c>
      <c r="CR26">
        <f>IF($CN26="refOK",$BS26,$BT26)*IF($BP26="Emissions positive",-1,1)</f>
        <v>302.54545454545399</v>
      </c>
      <c r="CS26">
        <f>IF($CN26="refOK",$BT26,$BS26)*IF($BP26="Emissions positive",-1,1)</f>
        <v>301.09090909090901</v>
      </c>
      <c r="CT26">
        <f>IF($CN26="refNeedCorrection",-BX26,BX26)*IF($BP26="Emissions positive",-1,1)</f>
        <v>-1.4545454545449844E-2</v>
      </c>
      <c r="CU26">
        <f>IFERROR(CT26/CQ26,"")</f>
        <v>-0.12080123293177215</v>
      </c>
      <c r="CV26" s="2">
        <f>IFERROR((CS26-CR26)/ABS(CR26),"")</f>
        <v>-4.8076923076907623E-3</v>
      </c>
      <c r="CW26" s="1" t="s">
        <v>1201</v>
      </c>
      <c r="CX26" s="266" t="str">
        <f>IF(OR($CW26="prd",$CW26="std",$CW26="cit"),"loc",IF(OR($CW26="eur",$CW26="reg",$CW26="coy"),"reg",$CW26))</f>
        <v>reg</v>
      </c>
      <c r="CY26" t="s">
        <v>236</v>
      </c>
      <c r="CZ26">
        <v>2020</v>
      </c>
      <c r="DA26">
        <v>2100</v>
      </c>
      <c r="DB26">
        <f>DA26-CZ26</f>
        <v>80</v>
      </c>
      <c r="DC26" t="str">
        <f>IF(DB26=0,"0",IF(AND(DB26&gt;=1,DB26&lt;=30),"1-30",IF(AND(DB26&gt;30,DB26&lt;=70),"31-70",IF(AND(DB26&gt;70,DB26&lt;=100),"71-100",IF(DB26&gt;100,"+100")))))</f>
        <v>71-100</v>
      </c>
      <c r="DD26">
        <v>0</v>
      </c>
      <c r="DE26">
        <v>1</v>
      </c>
      <c r="DF26">
        <v>0</v>
      </c>
      <c r="DG26">
        <v>1</v>
      </c>
      <c r="DH26"/>
      <c r="DI26">
        <f>SUM(DD26:DG26)</f>
        <v>2</v>
      </c>
      <c r="DJ26" t="str">
        <f>IF(DI26=1,INDEX($DD$7:$DG$7,MATCH(1,$DD26:$DG26,0)),"mixedProduct")</f>
        <v>mixedProduct</v>
      </c>
      <c r="DK26">
        <f>IF(DD26=1,DK$7,0)</f>
        <v>0</v>
      </c>
      <c r="DL26" t="str">
        <f>IF(DE26=1,DL$7,0)</f>
        <v>Energy</v>
      </c>
      <c r="DM26">
        <f>IF(DF26=1,DM$7,0)</f>
        <v>0</v>
      </c>
      <c r="DN26" t="str">
        <f>IF(DG26=1,DN$7,0)</f>
        <v>Timber</v>
      </c>
      <c r="DO26">
        <v>1</v>
      </c>
      <c r="DP26">
        <v>0</v>
      </c>
      <c r="DQ26">
        <v>0</v>
      </c>
      <c r="DR26">
        <v>0</v>
      </c>
      <c r="DS26">
        <v>0</v>
      </c>
      <c r="DT26">
        <f>SUM(DO26:DP26)</f>
        <v>1</v>
      </c>
      <c r="DU26" s="143" t="str">
        <f>IF(DO26=1,"self-calculated DF",IF(DP26=1,"external DF used","explicit C balance"))</f>
        <v>self-calculated DF</v>
      </c>
      <c r="DV26">
        <v>1</v>
      </c>
      <c r="DW26">
        <v>0</v>
      </c>
      <c r="DX26">
        <v>1</v>
      </c>
      <c r="DY26">
        <v>0</v>
      </c>
      <c r="DZ26">
        <v>0</v>
      </c>
      <c r="EA26" s="143">
        <v>0</v>
      </c>
      <c r="EB26">
        <v>0</v>
      </c>
      <c r="EC26">
        <v>0</v>
      </c>
      <c r="ED26">
        <v>0</v>
      </c>
      <c r="EE26">
        <v>0</v>
      </c>
      <c r="EF26">
        <v>1</v>
      </c>
      <c r="EG26">
        <v>0</v>
      </c>
      <c r="EH26">
        <v>0</v>
      </c>
      <c r="EI26" s="2">
        <v>0</v>
      </c>
      <c r="EJ26" s="1"/>
      <c r="EK26" t="str">
        <f>IF(AND(AND(AND(OR($DX26=1,$DW26=1),OR($EC26=1,$EA26=1)),SUM($DV26:$DZ26,$EF26)&gt;=4),SUM($EA26:$EE26)&gt;=2),"Whole sector","")</f>
        <v/>
      </c>
      <c r="EL26" t="str">
        <f>IF(AND(AND(OR($DX26=1,$DW26=1),AND($EC26=0,$EA26=0)),SUM($DV26:$DZ26,$EF26)&gt;=4),"Ecosystem approach","")</f>
        <v/>
      </c>
      <c r="EM26" s="2" t="str">
        <f>IF(AND(AND(AND($DX26=0,$DW26=0),OR($EC26=1,$EA26=1)),SUM($EB26:$EE26)&gt;=2),"Technology approach","")</f>
        <v/>
      </c>
      <c r="EN26" t="s">
        <v>2405</v>
      </c>
      <c r="EO26"/>
      <c r="EP26" t="str">
        <f>IF(ISNUMBER(BU26),IF(ABS(BU26-[1]QC_indicators!$B$2)&gt;3*[1]QC_indicators!$C$2,"C ratio",IF(ISNUMBER(BY26),IF(ABS(BY26-[1]QC_indicators!$B$1)&gt;3*[1]QC_indicators!$C$1,"DF","no"))),IF(ISNUMBER(BY26),IF(ABS(BY26-[1]QC_indicators!$B$1)&gt;3*[1]QC_indicators!$C$1,"DF","no")))</f>
        <v>no</v>
      </c>
      <c r="EQ26"/>
      <c r="ER26" s="266" t="s">
        <v>2396</v>
      </c>
      <c r="ES26"/>
      <c r="ET26" s="308" t="s">
        <v>3424</v>
      </c>
      <c r="EU26"/>
    </row>
    <row r="27" spans="1:151" s="139" customFormat="1" ht="15" hidden="1" customHeight="1">
      <c r="A27" s="1" t="s">
        <v>1104</v>
      </c>
      <c r="B27" t="s">
        <v>2383</v>
      </c>
      <c r="C27" t="s">
        <v>2384</v>
      </c>
      <c r="D27" t="s">
        <v>2385</v>
      </c>
      <c r="E27" t="s">
        <v>2386</v>
      </c>
      <c r="F27" t="s">
        <v>2387</v>
      </c>
      <c r="G27" t="s">
        <v>1110</v>
      </c>
      <c r="H27" t="s">
        <v>255</v>
      </c>
      <c r="I27">
        <v>2016</v>
      </c>
      <c r="J27">
        <v>13</v>
      </c>
      <c r="K27" t="s">
        <v>2388</v>
      </c>
      <c r="L27"/>
      <c r="M27" t="str">
        <f>LEFT($D27,FIND(",",$D27)-1)&amp;"_"&amp;I27&amp;L27</f>
        <v>Torssonen_2016</v>
      </c>
      <c r="N27" t="s">
        <v>223</v>
      </c>
      <c r="O27" s="145" t="s">
        <v>1156</v>
      </c>
      <c r="P27"/>
      <c r="Q27" s="266" t="s">
        <v>257</v>
      </c>
      <c r="R27" s="271" t="s">
        <v>342</v>
      </c>
      <c r="S27" s="1" t="s">
        <v>2406</v>
      </c>
      <c r="T27" s="266" t="s">
        <v>2403</v>
      </c>
      <c r="U27" t="s">
        <v>2407</v>
      </c>
      <c r="V27">
        <v>0</v>
      </c>
      <c r="W27">
        <v>0</v>
      </c>
      <c r="X27">
        <v>0</v>
      </c>
      <c r="Y27">
        <v>0</v>
      </c>
      <c r="Z27">
        <v>0</v>
      </c>
      <c r="AA27">
        <v>0</v>
      </c>
      <c r="AB27">
        <v>0</v>
      </c>
      <c r="AC27">
        <v>0</v>
      </c>
      <c r="AD27">
        <v>0</v>
      </c>
      <c r="AE27">
        <v>0</v>
      </c>
      <c r="AF27">
        <v>0</v>
      </c>
      <c r="AG27">
        <v>0</v>
      </c>
      <c r="AH27">
        <v>0</v>
      </c>
      <c r="AI27">
        <v>0</v>
      </c>
      <c r="AJ27">
        <v>0</v>
      </c>
      <c r="AK27">
        <v>0</v>
      </c>
      <c r="AL27">
        <v>0</v>
      </c>
      <c r="AM27">
        <v>0</v>
      </c>
      <c r="AN27">
        <v>1</v>
      </c>
      <c r="AO27">
        <v>1</v>
      </c>
      <c r="AP27">
        <v>0</v>
      </c>
      <c r="AQ27">
        <v>0</v>
      </c>
      <c r="AR27">
        <v>0</v>
      </c>
      <c r="AS27">
        <v>0</v>
      </c>
      <c r="AT27">
        <v>0</v>
      </c>
      <c r="AU27">
        <v>0</v>
      </c>
      <c r="AV27">
        <v>0</v>
      </c>
      <c r="AW27">
        <v>0</v>
      </c>
      <c r="AX27" s="141">
        <f>COUNTIF(V27:AW27,"&lt;&gt;0")</f>
        <v>2</v>
      </c>
      <c r="AY27" s="141">
        <f>COUNTIF(V27:AL27,"&lt;&gt;0")</f>
        <v>0</v>
      </c>
      <c r="AZ27">
        <f>COUNTIF(V27:AC27,"&lt;&gt;0")</f>
        <v>0</v>
      </c>
      <c r="BA27">
        <f>COUNTIF(AD27:AI27,"&lt;&gt;0")</f>
        <v>0</v>
      </c>
      <c r="BB27">
        <f>COUNTIF(AJ27:AL27,"&lt;&gt;0")</f>
        <v>0</v>
      </c>
      <c r="BC27">
        <f>COUNTIF(AS27:AW27,"&lt;&gt;0")</f>
        <v>0</v>
      </c>
      <c r="BD27">
        <f>COUNTIF(AM27:AR27,"&lt;&gt;0")</f>
        <v>2</v>
      </c>
      <c r="BE27" t="str" cm="1">
        <f t="array" ref="BE27">IF(AY27=1,INDEX($V$7:$AL$7,MATCH(TRUE,INDEX($V27:$AW27&lt;&gt;0,),0)),IF(AY27=0,INDEX($AM$7:$AW$7,MATCH(1,$AM27:$AW27,0)),IF(BF27="Multiple strategies","mixed drivers",IF(BF27="Supply chain","multiple supply","multiple silviculture"))))</f>
        <v>Temperature</v>
      </c>
      <c r="BF27" s="2" t="str" cm="1">
        <f t="array" ref="BF27">IF(COUNTIF(AZ27:BB27,"&lt;&gt;0")=1,INDEX($V$4:$AW$4,MATCH(TRUE,INDEX($V27:$AW27&lt;&gt;0,),0)),IF(COUNTIF(AZ27:BB27,"&lt;&gt;0")=0,INDEX($AM$4:$AW$4,MATCH(1,$AM27:$AW27,0)),"Multiple strategies"))</f>
        <v>Environmental change</v>
      </c>
      <c r="BG27" s="1" t="s">
        <v>230</v>
      </c>
      <c r="BH27" s="308" t="s">
        <v>2146</v>
      </c>
      <c r="BI27" s="266" t="s">
        <v>2393</v>
      </c>
      <c r="BJ27" s="308" t="s">
        <v>1060</v>
      </c>
      <c r="BK27">
        <v>6.8142857049999996</v>
      </c>
      <c r="BL27">
        <v>7.0346938679999997</v>
      </c>
      <c r="BM27" s="143">
        <f>BL27/BK27</f>
        <v>1.0323450134822312</v>
      </c>
      <c r="BN27">
        <f>BL27-BK27</f>
        <v>0.2204081630000001</v>
      </c>
      <c r="BO27">
        <f>BN27</f>
        <v>0.2204081630000001</v>
      </c>
      <c r="BP27" s="308" t="s">
        <v>396</v>
      </c>
      <c r="BQ27" s="305" t="s">
        <v>3423</v>
      </c>
      <c r="BR27" s="266" t="s">
        <v>2395</v>
      </c>
      <c r="BS27">
        <v>-302.54545454545399</v>
      </c>
      <c r="BT27">
        <v>-308.36363636363598</v>
      </c>
      <c r="BU27" s="144"/>
      <c r="BV27" s="144">
        <f>BT27-BS27</f>
        <v>-5.8181818181819835</v>
      </c>
      <c r="BW27" s="144"/>
      <c r="BX27" s="144">
        <f>BV27*10^4/10^6</f>
        <v>-5.8181818181819833E-2</v>
      </c>
      <c r="BY27">
        <f>IFERROR(BX27/BO27,"")</f>
        <v>-0.26397306429081668</v>
      </c>
      <c r="BZ27">
        <v>0</v>
      </c>
      <c r="CA27">
        <v>0</v>
      </c>
      <c r="CB27">
        <v>0</v>
      </c>
      <c r="CC27">
        <v>0</v>
      </c>
      <c r="CD27">
        <v>0</v>
      </c>
      <c r="CE27">
        <v>0</v>
      </c>
      <c r="CF27">
        <v>0</v>
      </c>
      <c r="CG27">
        <v>0</v>
      </c>
      <c r="CH27">
        <v>0</v>
      </c>
      <c r="CI27">
        <v>0</v>
      </c>
      <c r="CJ27">
        <v>0</v>
      </c>
      <c r="CK27">
        <v>0</v>
      </c>
      <c r="CL27">
        <v>0</v>
      </c>
      <c r="CM27">
        <v>1</v>
      </c>
      <c r="CN27" t="str">
        <f>IF($BL27&lt;$BK27,"refNeedCorrection","refOK")</f>
        <v>refOK</v>
      </c>
      <c r="CO27">
        <f>IF($CN27="refOK",$BK27,$BL27)</f>
        <v>6.8142857049999996</v>
      </c>
      <c r="CP27">
        <f>IF($CN27="refOK",$BL27,$BK27)</f>
        <v>7.0346938679999997</v>
      </c>
      <c r="CQ27">
        <f>IF($CN27="refOK",$BO27,-$BO27)</f>
        <v>0.2204081630000001</v>
      </c>
      <c r="CR27">
        <f>IF($CN27="refOK",$BS27,$BT27)*IF($BP27="Emissions positive",-1,1)</f>
        <v>302.54545454545399</v>
      </c>
      <c r="CS27">
        <f>IF($CN27="refOK",$BT27,$BS27)*IF($BP27="Emissions positive",-1,1)</f>
        <v>308.36363636363598</v>
      </c>
      <c r="CT27">
        <f>IF($CN27="refNeedCorrection",-BX27,BX27)*IF($BP27="Emissions positive",-1,1)</f>
        <v>5.8181818181819833E-2</v>
      </c>
      <c r="CU27">
        <f>IFERROR(CT27/CQ27,"")</f>
        <v>0.26397306429081668</v>
      </c>
      <c r="CV27" s="2">
        <f>IFERROR((CS27-CR27)/ABS(CR27),"")</f>
        <v>1.9230769230769811E-2</v>
      </c>
      <c r="CW27" s="1" t="s">
        <v>1201</v>
      </c>
      <c r="CX27" s="266" t="str">
        <f>IF(OR($CW27="prd",$CW27="std",$CW27="cit"),"loc",IF(OR($CW27="eur",$CW27="reg",$CW27="coy"),"reg",$CW27))</f>
        <v>reg</v>
      </c>
      <c r="CY27" t="s">
        <v>236</v>
      </c>
      <c r="CZ27">
        <v>2020</v>
      </c>
      <c r="DA27">
        <v>2100</v>
      </c>
      <c r="DB27">
        <f>DA27-CZ27</f>
        <v>80</v>
      </c>
      <c r="DC27" t="str">
        <f>IF(DB27=0,"0",IF(AND(DB27&gt;=1,DB27&lt;=30),"1-30",IF(AND(DB27&gt;30,DB27&lt;=70),"31-70",IF(AND(DB27&gt;70,DB27&lt;=100),"71-100",IF(DB27&gt;100,"+100")))))</f>
        <v>71-100</v>
      </c>
      <c r="DD27">
        <v>0</v>
      </c>
      <c r="DE27">
        <v>1</v>
      </c>
      <c r="DF27">
        <v>0</v>
      </c>
      <c r="DG27">
        <v>1</v>
      </c>
      <c r="DH27"/>
      <c r="DI27">
        <f>SUM(DD27:DG27)</f>
        <v>2</v>
      </c>
      <c r="DJ27" t="str">
        <f>IF(DI27=1,INDEX($DD$7:$DG$7,MATCH(1,$DD27:$DG27,0)),"mixedProduct")</f>
        <v>mixedProduct</v>
      </c>
      <c r="DK27">
        <f>IF(DD27=1,DK$7,0)</f>
        <v>0</v>
      </c>
      <c r="DL27" t="str">
        <f>IF(DE27=1,DL$7,0)</f>
        <v>Energy</v>
      </c>
      <c r="DM27">
        <f>IF(DF27=1,DM$7,0)</f>
        <v>0</v>
      </c>
      <c r="DN27" t="str">
        <f>IF(DG27=1,DN$7,0)</f>
        <v>Timber</v>
      </c>
      <c r="DO27">
        <v>1</v>
      </c>
      <c r="DP27">
        <v>0</v>
      </c>
      <c r="DQ27">
        <v>0</v>
      </c>
      <c r="DR27">
        <v>0</v>
      </c>
      <c r="DS27">
        <v>0</v>
      </c>
      <c r="DT27">
        <f>SUM(DO27:DP27)</f>
        <v>1</v>
      </c>
      <c r="DU27" s="143" t="str">
        <f>IF(DO27=1,"self-calculated DF",IF(DP27=1,"external DF used","explicit C balance"))</f>
        <v>self-calculated DF</v>
      </c>
      <c r="DV27">
        <v>1</v>
      </c>
      <c r="DW27">
        <v>0</v>
      </c>
      <c r="DX27">
        <v>1</v>
      </c>
      <c r="DY27">
        <v>0</v>
      </c>
      <c r="DZ27">
        <v>0</v>
      </c>
      <c r="EA27" s="143">
        <v>0</v>
      </c>
      <c r="EB27">
        <v>0</v>
      </c>
      <c r="EC27">
        <v>0</v>
      </c>
      <c r="ED27">
        <v>0</v>
      </c>
      <c r="EE27">
        <v>0</v>
      </c>
      <c r="EF27">
        <v>1</v>
      </c>
      <c r="EG27">
        <v>0</v>
      </c>
      <c r="EH27">
        <v>0</v>
      </c>
      <c r="EI27" s="2">
        <v>0</v>
      </c>
      <c r="EJ27" s="1"/>
      <c r="EK27" t="str">
        <f>IF(AND(AND(AND(OR($DX27=1,$DW27=1),OR($EC27=1,$EA27=1)),SUM($DV27:$DZ27,$EF27)&gt;=4),SUM($EA27:$EE27)&gt;=2),"Whole sector","")</f>
        <v/>
      </c>
      <c r="EL27" t="str">
        <f>IF(AND(AND(OR($DX27=1,$DW27=1),AND($EC27=0,$EA27=0)),SUM($DV27:$DZ27,$EF27)&gt;=4),"Ecosystem approach","")</f>
        <v/>
      </c>
      <c r="EM27" s="2" t="str">
        <f>IF(AND(AND(AND($DX27=0,$DW27=0),OR($EC27=1,$EA27=1)),SUM($EB27:$EE27)&gt;=2),"Technology approach","")</f>
        <v/>
      </c>
      <c r="EN27" t="s">
        <v>2405</v>
      </c>
      <c r="EO27"/>
      <c r="EP27" t="str">
        <f>IF(ISNUMBER(BU27),IF(ABS(BU27-[1]QC_indicators!$B$2)&gt;3*[1]QC_indicators!$C$2,"C ratio",IF(ISNUMBER(BY27),IF(ABS(BY27-[1]QC_indicators!$B$1)&gt;3*[1]QC_indicators!$C$1,"DF","no"))),IF(ISNUMBER(BY27),IF(ABS(BY27-[1]QC_indicators!$B$1)&gt;3*[1]QC_indicators!$C$1,"DF","no")))</f>
        <v>no</v>
      </c>
      <c r="EQ27"/>
      <c r="ER27" s="266" t="s">
        <v>2396</v>
      </c>
      <c r="ES27"/>
      <c r="ET27" s="308" t="s">
        <v>3424</v>
      </c>
      <c r="EU27"/>
    </row>
    <row r="28" spans="1:151" s="139" customFormat="1" ht="15" hidden="1" customHeight="1">
      <c r="A28" s="1" t="s">
        <v>1104</v>
      </c>
      <c r="B28" t="s">
        <v>2383</v>
      </c>
      <c r="C28" t="s">
        <v>2384</v>
      </c>
      <c r="D28" t="s">
        <v>2385</v>
      </c>
      <c r="E28" t="s">
        <v>2386</v>
      </c>
      <c r="F28" t="s">
        <v>2387</v>
      </c>
      <c r="G28" t="s">
        <v>1110</v>
      </c>
      <c r="H28" t="s">
        <v>255</v>
      </c>
      <c r="I28">
        <v>2016</v>
      </c>
      <c r="J28">
        <v>13</v>
      </c>
      <c r="K28" t="s">
        <v>2388</v>
      </c>
      <c r="L28"/>
      <c r="M28" t="str">
        <f>LEFT($D28,FIND(",",$D28)-1)&amp;"_"&amp;I28&amp;L28</f>
        <v>Torssonen_2016</v>
      </c>
      <c r="N28" t="s">
        <v>223</v>
      </c>
      <c r="O28" s="145" t="s">
        <v>1156</v>
      </c>
      <c r="P28"/>
      <c r="Q28" s="266" t="s">
        <v>257</v>
      </c>
      <c r="R28" s="271" t="s">
        <v>342</v>
      </c>
      <c r="S28" s="1" t="s">
        <v>2402</v>
      </c>
      <c r="T28" s="266" t="s">
        <v>2408</v>
      </c>
      <c r="U28" t="s">
        <v>2409</v>
      </c>
      <c r="V28">
        <v>0</v>
      </c>
      <c r="W28">
        <v>0</v>
      </c>
      <c r="X28">
        <v>0</v>
      </c>
      <c r="Y28">
        <v>0</v>
      </c>
      <c r="Z28">
        <v>0</v>
      </c>
      <c r="AA28">
        <v>0</v>
      </c>
      <c r="AB28">
        <v>0</v>
      </c>
      <c r="AC28">
        <v>0</v>
      </c>
      <c r="AD28">
        <v>0</v>
      </c>
      <c r="AE28">
        <v>0</v>
      </c>
      <c r="AF28">
        <v>0</v>
      </c>
      <c r="AG28">
        <v>0</v>
      </c>
      <c r="AH28">
        <v>0</v>
      </c>
      <c r="AI28">
        <v>0</v>
      </c>
      <c r="AJ28">
        <v>0</v>
      </c>
      <c r="AK28">
        <v>0</v>
      </c>
      <c r="AL28">
        <v>0</v>
      </c>
      <c r="AM28">
        <v>0</v>
      </c>
      <c r="AN28">
        <v>1</v>
      </c>
      <c r="AO28">
        <v>1</v>
      </c>
      <c r="AP28">
        <v>0</v>
      </c>
      <c r="AQ28">
        <v>0</v>
      </c>
      <c r="AR28">
        <v>0</v>
      </c>
      <c r="AS28">
        <v>0</v>
      </c>
      <c r="AT28">
        <v>0</v>
      </c>
      <c r="AU28">
        <v>0</v>
      </c>
      <c r="AV28">
        <v>0</v>
      </c>
      <c r="AW28">
        <v>0</v>
      </c>
      <c r="AX28" s="141">
        <f>COUNTIF(V28:AW28,"&lt;&gt;0")</f>
        <v>2</v>
      </c>
      <c r="AY28" s="141">
        <f>COUNTIF(V28:AL28,"&lt;&gt;0")</f>
        <v>0</v>
      </c>
      <c r="AZ28">
        <f>COUNTIF(V28:AC28,"&lt;&gt;0")</f>
        <v>0</v>
      </c>
      <c r="BA28">
        <f>COUNTIF(AD28:AI28,"&lt;&gt;0")</f>
        <v>0</v>
      </c>
      <c r="BB28">
        <f>COUNTIF(AJ28:AL28,"&lt;&gt;0")</f>
        <v>0</v>
      </c>
      <c r="BC28">
        <f>COUNTIF(AS28:AW28,"&lt;&gt;0")</f>
        <v>0</v>
      </c>
      <c r="BD28">
        <f>COUNTIF(AM28:AR28,"&lt;&gt;0")</f>
        <v>2</v>
      </c>
      <c r="BE28" t="str" cm="1">
        <f t="array" ref="BE28">IF(AY28=1,INDEX($V$7:$AL$7,MATCH(TRUE,INDEX($V28:$AW28&lt;&gt;0,),0)),IF(AY28=0,INDEX($AM$7:$AW$7,MATCH(1,$AM28:$AW28,0)),IF(BF28="Multiple strategies","mixed drivers",IF(BF28="Supply chain","multiple supply","multiple silviculture"))))</f>
        <v>Temperature</v>
      </c>
      <c r="BF28" s="2" t="str" cm="1">
        <f t="array" ref="BF28">IF(COUNTIF(AZ28:BB28,"&lt;&gt;0")=1,INDEX($V$4:$AW$4,MATCH(TRUE,INDEX($V28:$AW28&lt;&gt;0,),0)),IF(COUNTIF(AZ28:BB28,"&lt;&gt;0")=0,INDEX($AM$4:$AW$4,MATCH(1,$AM28:$AW28,0)),"Multiple strategies"))</f>
        <v>Environmental change</v>
      </c>
      <c r="BG28" s="1" t="s">
        <v>230</v>
      </c>
      <c r="BH28" s="308" t="s">
        <v>2146</v>
      </c>
      <c r="BI28" s="266" t="s">
        <v>2393</v>
      </c>
      <c r="BJ28" s="308" t="s">
        <v>1060</v>
      </c>
      <c r="BK28">
        <v>6.697959172</v>
      </c>
      <c r="BL28">
        <v>7.0183673349999998</v>
      </c>
      <c r="BM28" s="143">
        <f>BL28/BK28</f>
        <v>1.047836684991964</v>
      </c>
      <c r="BN28">
        <f>BL28-BK28</f>
        <v>0.32040816299999975</v>
      </c>
      <c r="BO28">
        <f>BN28</f>
        <v>0.32040816299999975</v>
      </c>
      <c r="BP28" s="308" t="s">
        <v>396</v>
      </c>
      <c r="BQ28" s="153" t="s">
        <v>3423</v>
      </c>
      <c r="BR28" s="266" t="s">
        <v>2395</v>
      </c>
      <c r="BS28">
        <v>-334.54545454545399</v>
      </c>
      <c r="BT28">
        <v>-337.45454545454498</v>
      </c>
      <c r="BU28" s="144"/>
      <c r="BV28" s="144">
        <f>BT28-BS28</f>
        <v>-2.9090909090909918</v>
      </c>
      <c r="BW28" s="144"/>
      <c r="BX28" s="144">
        <f>BV28*10^4/10^6</f>
        <v>-2.9090909090909917E-2</v>
      </c>
      <c r="BY28">
        <f>IFERROR(BX28/BO28,"")</f>
        <v>-9.0793283225152843E-2</v>
      </c>
      <c r="BZ28">
        <v>0</v>
      </c>
      <c r="CA28">
        <v>0</v>
      </c>
      <c r="CB28">
        <v>0</v>
      </c>
      <c r="CC28">
        <v>0</v>
      </c>
      <c r="CD28">
        <v>0</v>
      </c>
      <c r="CE28">
        <v>0</v>
      </c>
      <c r="CF28">
        <v>0</v>
      </c>
      <c r="CG28">
        <v>0</v>
      </c>
      <c r="CH28">
        <v>0</v>
      </c>
      <c r="CI28">
        <v>0</v>
      </c>
      <c r="CJ28">
        <v>0</v>
      </c>
      <c r="CK28">
        <v>0</v>
      </c>
      <c r="CL28">
        <v>0</v>
      </c>
      <c r="CM28">
        <v>1</v>
      </c>
      <c r="CN28" t="str">
        <f>IF($BL28&lt;$BK28,"refNeedCorrection","refOK")</f>
        <v>refOK</v>
      </c>
      <c r="CO28">
        <f>IF($CN28="refOK",$BK28,$BL28)</f>
        <v>6.697959172</v>
      </c>
      <c r="CP28">
        <f>IF($CN28="refOK",$BL28,$BK28)</f>
        <v>7.0183673349999998</v>
      </c>
      <c r="CQ28">
        <f>IF($CN28="refOK",$BO28,-$BO28)</f>
        <v>0.32040816299999975</v>
      </c>
      <c r="CR28">
        <f>IF($CN28="refOK",$BS28,$BT28)*IF($BP28="Emissions positive",-1,1)</f>
        <v>334.54545454545399</v>
      </c>
      <c r="CS28">
        <f>IF($CN28="refOK",$BT28,$BS28)*IF($BP28="Emissions positive",-1,1)</f>
        <v>337.45454545454498</v>
      </c>
      <c r="CT28">
        <f>IF($CN28="refNeedCorrection",-BX28,BX28)*IF($BP28="Emissions positive",-1,1)</f>
        <v>2.9090909090909917E-2</v>
      </c>
      <c r="CU28">
        <f>IFERROR(CT28/CQ28,"")</f>
        <v>9.0793283225152843E-2</v>
      </c>
      <c r="CV28" s="2">
        <f>IFERROR((CS28-CR28)/ABS(CR28),"")</f>
        <v>8.6956521739133055E-3</v>
      </c>
      <c r="CW28" s="1" t="s">
        <v>1201</v>
      </c>
      <c r="CX28" s="266" t="str">
        <f>IF(OR($CW28="prd",$CW28="std",$CW28="cit"),"loc",IF(OR($CW28="eur",$CW28="reg",$CW28="coy"),"reg",$CW28))</f>
        <v>reg</v>
      </c>
      <c r="CY28" t="s">
        <v>236</v>
      </c>
      <c r="CZ28">
        <v>2020</v>
      </c>
      <c r="DA28">
        <v>2100</v>
      </c>
      <c r="DB28">
        <f>DA28-CZ28</f>
        <v>80</v>
      </c>
      <c r="DC28" t="str">
        <f>IF(DB28=0,"0",IF(AND(DB28&gt;=1,DB28&lt;=30),"1-30",IF(AND(DB28&gt;30,DB28&lt;=70),"31-70",IF(AND(DB28&gt;70,DB28&lt;=100),"71-100",IF(DB28&gt;100,"+100")))))</f>
        <v>71-100</v>
      </c>
      <c r="DD28">
        <v>0</v>
      </c>
      <c r="DE28">
        <v>1</v>
      </c>
      <c r="DF28">
        <v>0</v>
      </c>
      <c r="DG28">
        <v>1</v>
      </c>
      <c r="DH28"/>
      <c r="DI28">
        <f>SUM(DD28:DG28)</f>
        <v>2</v>
      </c>
      <c r="DJ28" t="str">
        <f>IF(DI28=1,INDEX($DD$7:$DG$7,MATCH(1,$DD28:$DG28,0)),"mixedProduct")</f>
        <v>mixedProduct</v>
      </c>
      <c r="DK28">
        <f>IF(DD28=1,DK$7,0)</f>
        <v>0</v>
      </c>
      <c r="DL28" t="str">
        <f>IF(DE28=1,DL$7,0)</f>
        <v>Energy</v>
      </c>
      <c r="DM28">
        <f>IF(DF28=1,DM$7,0)</f>
        <v>0</v>
      </c>
      <c r="DN28" t="str">
        <f>IF(DG28=1,DN$7,0)</f>
        <v>Timber</v>
      </c>
      <c r="DO28">
        <v>1</v>
      </c>
      <c r="DP28">
        <v>0</v>
      </c>
      <c r="DQ28">
        <v>0</v>
      </c>
      <c r="DR28">
        <v>0</v>
      </c>
      <c r="DS28">
        <v>0</v>
      </c>
      <c r="DT28">
        <f>SUM(DO28:DP28)</f>
        <v>1</v>
      </c>
      <c r="DU28" s="143" t="str">
        <f>IF(DO28=1,"self-calculated DF",IF(DP28=1,"external DF used","explicit C balance"))</f>
        <v>self-calculated DF</v>
      </c>
      <c r="DV28">
        <v>1</v>
      </c>
      <c r="DW28">
        <v>0</v>
      </c>
      <c r="DX28">
        <v>1</v>
      </c>
      <c r="DY28">
        <v>0</v>
      </c>
      <c r="DZ28">
        <v>0</v>
      </c>
      <c r="EA28" s="143">
        <v>0</v>
      </c>
      <c r="EB28">
        <v>0</v>
      </c>
      <c r="EC28">
        <v>0</v>
      </c>
      <c r="ED28">
        <v>0</v>
      </c>
      <c r="EE28">
        <v>0</v>
      </c>
      <c r="EF28">
        <v>1</v>
      </c>
      <c r="EG28">
        <v>0</v>
      </c>
      <c r="EH28">
        <v>0</v>
      </c>
      <c r="EI28" s="2">
        <v>0</v>
      </c>
      <c r="EJ28" s="1"/>
      <c r="EK28" t="str">
        <f>IF(AND(AND(AND(OR($DX28=1,$DW28=1),OR($EC28=1,$EA28=1)),SUM($DV28:$DZ28,$EF28)&gt;=4),SUM($EA28:$EE28)&gt;=2),"Whole sector","")</f>
        <v/>
      </c>
      <c r="EL28" t="str">
        <f>IF(AND(AND(OR($DX28=1,$DW28=1),AND($EC28=0,$EA28=0)),SUM($DV28:$DZ28,$EF28)&gt;=4),"Ecosystem approach","")</f>
        <v/>
      </c>
      <c r="EM28" s="2" t="str">
        <f>IF(AND(AND(AND($DX28=0,$DW28=0),OR($EC28=1,$EA28=1)),SUM($EB28:$EE28)&gt;=2),"Technology approach","")</f>
        <v/>
      </c>
      <c r="EN28" t="s">
        <v>2405</v>
      </c>
      <c r="EO28"/>
      <c r="EP28" t="str">
        <f>IF(ISNUMBER(BU28),IF(ABS(BU28-[1]QC_indicators!$B$2)&gt;3*[1]QC_indicators!$C$2,"C ratio",IF(ISNUMBER(BY28),IF(ABS(BY28-[1]QC_indicators!$B$1)&gt;3*[1]QC_indicators!$C$1,"DF","no"))),IF(ISNUMBER(BY28),IF(ABS(BY28-[1]QC_indicators!$B$1)&gt;3*[1]QC_indicators!$C$1,"DF","no")))</f>
        <v>no</v>
      </c>
      <c r="EQ28"/>
      <c r="ER28" s="266" t="s">
        <v>2396</v>
      </c>
      <c r="ES28"/>
      <c r="ET28" s="308" t="s">
        <v>3424</v>
      </c>
      <c r="EU28"/>
    </row>
    <row r="29" spans="1:151" s="139" customFormat="1" ht="15" hidden="1" customHeight="1">
      <c r="A29" s="1" t="s">
        <v>1104</v>
      </c>
      <c r="B29" t="s">
        <v>2383</v>
      </c>
      <c r="C29" t="s">
        <v>2384</v>
      </c>
      <c r="D29" t="s">
        <v>2385</v>
      </c>
      <c r="E29" t="s">
        <v>2386</v>
      </c>
      <c r="F29" t="s">
        <v>2387</v>
      </c>
      <c r="G29" t="s">
        <v>1110</v>
      </c>
      <c r="H29" t="s">
        <v>255</v>
      </c>
      <c r="I29">
        <v>2016</v>
      </c>
      <c r="J29">
        <v>13</v>
      </c>
      <c r="K29" t="s">
        <v>2388</v>
      </c>
      <c r="L29"/>
      <c r="M29" t="str">
        <f>LEFT($D29,FIND(",",$D29)-1)&amp;"_"&amp;I29&amp;L29</f>
        <v>Torssonen_2016</v>
      </c>
      <c r="N29" t="s">
        <v>223</v>
      </c>
      <c r="O29" s="145" t="s">
        <v>1156</v>
      </c>
      <c r="P29"/>
      <c r="Q29" s="266" t="s">
        <v>257</v>
      </c>
      <c r="R29" s="271" t="s">
        <v>342</v>
      </c>
      <c r="S29" s="1" t="s">
        <v>2406</v>
      </c>
      <c r="T29" s="266" t="s">
        <v>2408</v>
      </c>
      <c r="U29" t="s">
        <v>2410</v>
      </c>
      <c r="V29">
        <v>0</v>
      </c>
      <c r="W29">
        <v>0</v>
      </c>
      <c r="X29">
        <v>0</v>
      </c>
      <c r="Y29">
        <v>0</v>
      </c>
      <c r="Z29">
        <v>0</v>
      </c>
      <c r="AA29">
        <v>0</v>
      </c>
      <c r="AB29">
        <v>0</v>
      </c>
      <c r="AC29">
        <v>0</v>
      </c>
      <c r="AD29">
        <v>0</v>
      </c>
      <c r="AE29">
        <v>0</v>
      </c>
      <c r="AF29">
        <v>0</v>
      </c>
      <c r="AG29">
        <v>0</v>
      </c>
      <c r="AH29">
        <v>0</v>
      </c>
      <c r="AI29">
        <v>0</v>
      </c>
      <c r="AJ29">
        <v>0</v>
      </c>
      <c r="AK29">
        <v>0</v>
      </c>
      <c r="AL29">
        <v>0</v>
      </c>
      <c r="AM29">
        <v>0</v>
      </c>
      <c r="AN29">
        <v>1</v>
      </c>
      <c r="AO29">
        <v>1</v>
      </c>
      <c r="AP29">
        <v>0</v>
      </c>
      <c r="AQ29">
        <v>0</v>
      </c>
      <c r="AR29">
        <v>0</v>
      </c>
      <c r="AS29">
        <v>0</v>
      </c>
      <c r="AT29">
        <v>0</v>
      </c>
      <c r="AU29">
        <v>0</v>
      </c>
      <c r="AV29">
        <v>0</v>
      </c>
      <c r="AW29">
        <v>0</v>
      </c>
      <c r="AX29" s="141">
        <f>COUNTIF(V29:AW29,"&lt;&gt;0")</f>
        <v>2</v>
      </c>
      <c r="AY29" s="141">
        <f>COUNTIF(V29:AL29,"&lt;&gt;0")</f>
        <v>0</v>
      </c>
      <c r="AZ29">
        <f>COUNTIF(V29:AC29,"&lt;&gt;0")</f>
        <v>0</v>
      </c>
      <c r="BA29">
        <f>COUNTIF(AD29:AI29,"&lt;&gt;0")</f>
        <v>0</v>
      </c>
      <c r="BB29">
        <f>COUNTIF(AJ29:AL29,"&lt;&gt;0")</f>
        <v>0</v>
      </c>
      <c r="BC29">
        <f>COUNTIF(AS29:AW29,"&lt;&gt;0")</f>
        <v>0</v>
      </c>
      <c r="BD29">
        <f>COUNTIF(AM29:AR29,"&lt;&gt;0")</f>
        <v>2</v>
      </c>
      <c r="BE29" t="str" cm="1">
        <f t="array" ref="BE29">IF(AY29=1,INDEX($V$7:$AL$7,MATCH(TRUE,INDEX($V29:$AW29&lt;&gt;0,),0)),IF(AY29=0,INDEX($AM$7:$AW$7,MATCH(1,$AM29:$AW29,0)),IF(BF29="Multiple strategies","mixed drivers",IF(BF29="Supply chain","multiple supply","multiple silviculture"))))</f>
        <v>Temperature</v>
      </c>
      <c r="BF29" s="2" t="str" cm="1">
        <f t="array" ref="BF29">IF(COUNTIF(AZ29:BB29,"&lt;&gt;0")=1,INDEX($V$4:$AW$4,MATCH(TRUE,INDEX($V29:$AW29&lt;&gt;0,),0)),IF(COUNTIF(AZ29:BB29,"&lt;&gt;0")=0,INDEX($AM$4:$AW$4,MATCH(1,$AM29:$AW29,0)),"Multiple strategies"))</f>
        <v>Environmental change</v>
      </c>
      <c r="BG29" s="1" t="s">
        <v>230</v>
      </c>
      <c r="BH29" s="308" t="s">
        <v>2146</v>
      </c>
      <c r="BI29" s="266" t="s">
        <v>2393</v>
      </c>
      <c r="BJ29" s="308" t="s">
        <v>1060</v>
      </c>
      <c r="BK29">
        <v>6.697959172</v>
      </c>
      <c r="BL29">
        <v>6.9183673350000001</v>
      </c>
      <c r="BM29" s="143">
        <f>BL29/BK29</f>
        <v>1.0329067641859313</v>
      </c>
      <c r="BN29">
        <f>BL29-BK29</f>
        <v>0.2204081630000001</v>
      </c>
      <c r="BO29">
        <f>BN29</f>
        <v>0.2204081630000001</v>
      </c>
      <c r="BP29" s="308" t="s">
        <v>396</v>
      </c>
      <c r="BQ29" s="153" t="s">
        <v>3423</v>
      </c>
      <c r="BR29" s="266" t="s">
        <v>2395</v>
      </c>
      <c r="BS29">
        <v>-334.54545454545399</v>
      </c>
      <c r="BT29">
        <v>-338.90909090909099</v>
      </c>
      <c r="BU29" s="144"/>
      <c r="BV29" s="144">
        <f>BT29-BS29</f>
        <v>-4.3636363636369992</v>
      </c>
      <c r="BW29" s="144"/>
      <c r="BX29" s="144">
        <f>BV29*10^4/10^6</f>
        <v>-4.3636363636369989E-2</v>
      </c>
      <c r="BY29">
        <f>IFERROR(BX29/BO29,"")</f>
        <v>-0.19797979821813572</v>
      </c>
      <c r="BZ29">
        <v>0</v>
      </c>
      <c r="CA29">
        <v>0</v>
      </c>
      <c r="CB29">
        <v>0</v>
      </c>
      <c r="CC29">
        <v>0</v>
      </c>
      <c r="CD29">
        <v>0</v>
      </c>
      <c r="CE29">
        <v>0</v>
      </c>
      <c r="CF29">
        <v>0</v>
      </c>
      <c r="CG29">
        <v>0</v>
      </c>
      <c r="CH29">
        <v>0</v>
      </c>
      <c r="CI29">
        <v>0</v>
      </c>
      <c r="CJ29">
        <v>0</v>
      </c>
      <c r="CK29">
        <v>0</v>
      </c>
      <c r="CL29">
        <v>0</v>
      </c>
      <c r="CM29">
        <v>1</v>
      </c>
      <c r="CN29" t="str">
        <f>IF($BL29&lt;$BK29,"refNeedCorrection","refOK")</f>
        <v>refOK</v>
      </c>
      <c r="CO29">
        <f>IF($CN29="refOK",$BK29,$BL29)</f>
        <v>6.697959172</v>
      </c>
      <c r="CP29">
        <f>IF($CN29="refOK",$BL29,$BK29)</f>
        <v>6.9183673350000001</v>
      </c>
      <c r="CQ29">
        <f>IF($CN29="refOK",$BO29,-$BO29)</f>
        <v>0.2204081630000001</v>
      </c>
      <c r="CR29">
        <f>IF($CN29="refOK",$BS29,$BT29)*IF($BP29="Emissions positive",-1,1)</f>
        <v>334.54545454545399</v>
      </c>
      <c r="CS29">
        <f>IF($CN29="refOK",$BT29,$BS29)*IF($BP29="Emissions positive",-1,1)</f>
        <v>338.90909090909099</v>
      </c>
      <c r="CT29">
        <f>IF($CN29="refNeedCorrection",-BX29,BX29)*IF($BP29="Emissions positive",-1,1)</f>
        <v>4.3636363636369989E-2</v>
      </c>
      <c r="CU29">
        <f>IFERROR(CT29/CQ29,"")</f>
        <v>0.19797979821813572</v>
      </c>
      <c r="CV29" s="2">
        <f>IFERROR((CS29-CR29)/ABS(CR29),"")</f>
        <v>1.3043478260871487E-2</v>
      </c>
      <c r="CW29" s="1" t="s">
        <v>1201</v>
      </c>
      <c r="CX29" s="266" t="str">
        <f>IF(OR($CW29="prd",$CW29="std",$CW29="cit"),"loc",IF(OR($CW29="eur",$CW29="reg",$CW29="coy"),"reg",$CW29))</f>
        <v>reg</v>
      </c>
      <c r="CY29" t="s">
        <v>236</v>
      </c>
      <c r="CZ29">
        <v>2020</v>
      </c>
      <c r="DA29">
        <v>2100</v>
      </c>
      <c r="DB29">
        <f>DA29-CZ29</f>
        <v>80</v>
      </c>
      <c r="DC29" t="str">
        <f>IF(DB29=0,"0",IF(AND(DB29&gt;=1,DB29&lt;=30),"1-30",IF(AND(DB29&gt;30,DB29&lt;=70),"31-70",IF(AND(DB29&gt;70,DB29&lt;=100),"71-100",IF(DB29&gt;100,"+100")))))</f>
        <v>71-100</v>
      </c>
      <c r="DD29">
        <v>0</v>
      </c>
      <c r="DE29">
        <v>1</v>
      </c>
      <c r="DF29">
        <v>0</v>
      </c>
      <c r="DG29">
        <v>1</v>
      </c>
      <c r="DH29"/>
      <c r="DI29">
        <f>SUM(DD29:DG29)</f>
        <v>2</v>
      </c>
      <c r="DJ29" t="str">
        <f>IF(DI29=1,INDEX($DD$7:$DG$7,MATCH(1,$DD29:$DG29,0)),"mixedProduct")</f>
        <v>mixedProduct</v>
      </c>
      <c r="DK29">
        <f>IF(DD29=1,DK$7,0)</f>
        <v>0</v>
      </c>
      <c r="DL29" t="str">
        <f>IF(DE29=1,DL$7,0)</f>
        <v>Energy</v>
      </c>
      <c r="DM29">
        <f>IF(DF29=1,DM$7,0)</f>
        <v>0</v>
      </c>
      <c r="DN29" t="str">
        <f>IF(DG29=1,DN$7,0)</f>
        <v>Timber</v>
      </c>
      <c r="DO29">
        <v>1</v>
      </c>
      <c r="DP29">
        <v>0</v>
      </c>
      <c r="DQ29">
        <v>0</v>
      </c>
      <c r="DR29">
        <v>0</v>
      </c>
      <c r="DS29">
        <v>0</v>
      </c>
      <c r="DT29">
        <f>SUM(DO29:DP29)</f>
        <v>1</v>
      </c>
      <c r="DU29" s="143" t="str">
        <f>IF(DO29=1,"self-calculated DF",IF(DP29=1,"external DF used","explicit C balance"))</f>
        <v>self-calculated DF</v>
      </c>
      <c r="DV29">
        <v>1</v>
      </c>
      <c r="DW29">
        <v>0</v>
      </c>
      <c r="DX29">
        <v>1</v>
      </c>
      <c r="DY29">
        <v>0</v>
      </c>
      <c r="DZ29">
        <v>0</v>
      </c>
      <c r="EA29" s="143">
        <v>0</v>
      </c>
      <c r="EB29">
        <v>0</v>
      </c>
      <c r="EC29">
        <v>0</v>
      </c>
      <c r="ED29">
        <v>0</v>
      </c>
      <c r="EE29">
        <v>0</v>
      </c>
      <c r="EF29">
        <v>1</v>
      </c>
      <c r="EG29">
        <v>0</v>
      </c>
      <c r="EH29">
        <v>0</v>
      </c>
      <c r="EI29" s="2">
        <v>0</v>
      </c>
      <c r="EJ29" s="1"/>
      <c r="EK29" t="str">
        <f>IF(AND(AND(AND(OR($DX29=1,$DW29=1),OR($EC29=1,$EA29=1)),SUM($DV29:$DZ29,$EF29)&gt;=4),SUM($EA29:$EE29)&gt;=2),"Whole sector","")</f>
        <v/>
      </c>
      <c r="EL29" t="str">
        <f>IF(AND(AND(OR($DX29=1,$DW29=1),AND($EC29=0,$EA29=0)),SUM($DV29:$DZ29,$EF29)&gt;=4),"Ecosystem approach","")</f>
        <v/>
      </c>
      <c r="EM29" s="2" t="str">
        <f>IF(AND(AND(AND($DX29=0,$DW29=0),OR($EC29=1,$EA29=1)),SUM($EB29:$EE29)&gt;=2),"Technology approach","")</f>
        <v/>
      </c>
      <c r="EN29" t="s">
        <v>2405</v>
      </c>
      <c r="EO29"/>
      <c r="EP29" t="str">
        <f>IF(ISNUMBER(BU29),IF(ABS(BU29-[1]QC_indicators!$B$2)&gt;3*[1]QC_indicators!$C$2,"C ratio",IF(ISNUMBER(BY29),IF(ABS(BY29-[1]QC_indicators!$B$1)&gt;3*[1]QC_indicators!$C$1,"DF","no"))),IF(ISNUMBER(BY29),IF(ABS(BY29-[1]QC_indicators!$B$1)&gt;3*[1]QC_indicators!$C$1,"DF","no")))</f>
        <v>no</v>
      </c>
      <c r="EQ29"/>
      <c r="ER29" s="266" t="s">
        <v>2396</v>
      </c>
      <c r="ES29"/>
      <c r="ET29" s="308" t="s">
        <v>3424</v>
      </c>
      <c r="EU29"/>
    </row>
    <row r="30" spans="1:151" s="139" customFormat="1" ht="15" hidden="1" customHeight="1">
      <c r="A30" s="1" t="s">
        <v>1104</v>
      </c>
      <c r="B30" t="s">
        <v>2383</v>
      </c>
      <c r="C30" t="s">
        <v>2384</v>
      </c>
      <c r="D30" t="s">
        <v>2385</v>
      </c>
      <c r="E30" t="s">
        <v>2386</v>
      </c>
      <c r="F30" t="s">
        <v>2387</v>
      </c>
      <c r="G30" t="s">
        <v>1110</v>
      </c>
      <c r="H30" t="s">
        <v>255</v>
      </c>
      <c r="I30">
        <v>2016</v>
      </c>
      <c r="J30">
        <v>13</v>
      </c>
      <c r="K30" t="s">
        <v>2388</v>
      </c>
      <c r="L30"/>
      <c r="M30" t="str">
        <f>LEFT($D30,FIND(",",$D30)-1)&amp;"_"&amp;I30&amp;L30</f>
        <v>Torssonen_2016</v>
      </c>
      <c r="N30" t="s">
        <v>223</v>
      </c>
      <c r="O30" s="145" t="s">
        <v>1156</v>
      </c>
      <c r="P30"/>
      <c r="Q30" s="266" t="s">
        <v>257</v>
      </c>
      <c r="R30" s="271" t="s">
        <v>342</v>
      </c>
      <c r="S30" s="1" t="s">
        <v>2402</v>
      </c>
      <c r="T30" s="266" t="s">
        <v>2411</v>
      </c>
      <c r="U30" t="s">
        <v>2412</v>
      </c>
      <c r="V30">
        <v>0</v>
      </c>
      <c r="W30">
        <v>0</v>
      </c>
      <c r="X30">
        <v>0</v>
      </c>
      <c r="Y30">
        <v>0</v>
      </c>
      <c r="Z30">
        <v>0</v>
      </c>
      <c r="AA30">
        <v>0</v>
      </c>
      <c r="AB30">
        <v>0</v>
      </c>
      <c r="AC30">
        <v>0</v>
      </c>
      <c r="AD30">
        <v>0</v>
      </c>
      <c r="AE30">
        <v>0</v>
      </c>
      <c r="AF30">
        <v>0</v>
      </c>
      <c r="AG30">
        <v>0</v>
      </c>
      <c r="AH30">
        <v>0</v>
      </c>
      <c r="AI30">
        <v>0</v>
      </c>
      <c r="AJ30">
        <v>0</v>
      </c>
      <c r="AK30">
        <v>0</v>
      </c>
      <c r="AL30">
        <v>0</v>
      </c>
      <c r="AM30">
        <v>0</v>
      </c>
      <c r="AN30">
        <v>1</v>
      </c>
      <c r="AO30">
        <v>1</v>
      </c>
      <c r="AP30">
        <v>0</v>
      </c>
      <c r="AQ30">
        <v>0</v>
      </c>
      <c r="AR30">
        <v>0</v>
      </c>
      <c r="AS30">
        <v>0</v>
      </c>
      <c r="AT30">
        <v>0</v>
      </c>
      <c r="AU30">
        <v>0</v>
      </c>
      <c r="AV30">
        <v>0</v>
      </c>
      <c r="AW30">
        <v>0</v>
      </c>
      <c r="AX30" s="141">
        <f>COUNTIF(V30:AW30,"&lt;&gt;0")</f>
        <v>2</v>
      </c>
      <c r="AY30" s="141">
        <f>COUNTIF(V30:AL30,"&lt;&gt;0")</f>
        <v>0</v>
      </c>
      <c r="AZ30">
        <f>COUNTIF(V30:AC30,"&lt;&gt;0")</f>
        <v>0</v>
      </c>
      <c r="BA30">
        <f>COUNTIF(AD30:AI30,"&lt;&gt;0")</f>
        <v>0</v>
      </c>
      <c r="BB30">
        <f>COUNTIF(AJ30:AL30,"&lt;&gt;0")</f>
        <v>0</v>
      </c>
      <c r="BC30">
        <f>COUNTIF(AS30:AW30,"&lt;&gt;0")</f>
        <v>0</v>
      </c>
      <c r="BD30">
        <f>COUNTIF(AM30:AR30,"&lt;&gt;0")</f>
        <v>2</v>
      </c>
      <c r="BE30" t="str" cm="1">
        <f t="array" ref="BE30">IF(AY30=1,INDEX($V$7:$AL$7,MATCH(TRUE,INDEX($V30:$AW30&lt;&gt;0,),0)),IF(AY30=0,INDEX($AM$7:$AW$7,MATCH(1,$AM30:$AW30,0)),IF(BF30="Multiple strategies","mixed drivers",IF(BF30="Supply chain","multiple supply","multiple silviculture"))))</f>
        <v>Temperature</v>
      </c>
      <c r="BF30" s="2" t="str" cm="1">
        <f t="array" ref="BF30">IF(COUNTIF(AZ30:BB30,"&lt;&gt;0")=1,INDEX($V$4:$AW$4,MATCH(TRUE,INDEX($V30:$AW30&lt;&gt;0,),0)),IF(COUNTIF(AZ30:BB30,"&lt;&gt;0")=0,INDEX($AM$4:$AW$4,MATCH(1,$AM30:$AW30,0)),"Multiple strategies"))</f>
        <v>Environmental change</v>
      </c>
      <c r="BG30" s="1" t="s">
        <v>230</v>
      </c>
      <c r="BH30" s="308" t="s">
        <v>2146</v>
      </c>
      <c r="BI30" s="266" t="s">
        <v>2393</v>
      </c>
      <c r="BJ30" s="308" t="s">
        <v>1060</v>
      </c>
      <c r="BK30">
        <v>7.9367346699999999</v>
      </c>
      <c r="BL30">
        <v>8.1979591589999998</v>
      </c>
      <c r="BM30" s="143">
        <f>BL30/BK30</f>
        <v>1.032913345331727</v>
      </c>
      <c r="BN30">
        <f>BL30-BK30</f>
        <v>0.26122448899999995</v>
      </c>
      <c r="BO30">
        <f>BN30</f>
        <v>0.26122448899999995</v>
      </c>
      <c r="BP30" s="308" t="s">
        <v>396</v>
      </c>
      <c r="BQ30" s="153" t="s">
        <v>3423</v>
      </c>
      <c r="BR30" s="266" t="s">
        <v>2395</v>
      </c>
      <c r="BS30">
        <v>-402.90909090909099</v>
      </c>
      <c r="BT30">
        <v>-407.27272727272702</v>
      </c>
      <c r="BU30" s="144"/>
      <c r="BV30" s="144">
        <f>BT30-BS30</f>
        <v>-4.3636363636360329</v>
      </c>
      <c r="BW30" s="144"/>
      <c r="BX30" s="144">
        <f>BV30*10^4/10^6</f>
        <v>-4.363636363636033E-2</v>
      </c>
      <c r="BY30">
        <f>IFERROR(BX30/BO30,"")</f>
        <v>-0.16704545505440854</v>
      </c>
      <c r="BZ30">
        <v>0</v>
      </c>
      <c r="CA30">
        <v>0</v>
      </c>
      <c r="CB30">
        <v>0</v>
      </c>
      <c r="CC30">
        <v>0</v>
      </c>
      <c r="CD30">
        <v>0</v>
      </c>
      <c r="CE30">
        <v>0</v>
      </c>
      <c r="CF30">
        <v>0</v>
      </c>
      <c r="CG30">
        <v>0</v>
      </c>
      <c r="CH30">
        <v>0</v>
      </c>
      <c r="CI30">
        <v>0</v>
      </c>
      <c r="CJ30">
        <v>0</v>
      </c>
      <c r="CK30">
        <v>0</v>
      </c>
      <c r="CL30">
        <v>0</v>
      </c>
      <c r="CM30">
        <v>1</v>
      </c>
      <c r="CN30" t="str">
        <f>IF($BL30&lt;$BK30,"refNeedCorrection","refOK")</f>
        <v>refOK</v>
      </c>
      <c r="CO30">
        <f>IF($CN30="refOK",$BK30,$BL30)</f>
        <v>7.9367346699999999</v>
      </c>
      <c r="CP30">
        <f>IF($CN30="refOK",$BL30,$BK30)</f>
        <v>8.1979591589999998</v>
      </c>
      <c r="CQ30">
        <f>IF($CN30="refOK",$BO30,-$BO30)</f>
        <v>0.26122448899999995</v>
      </c>
      <c r="CR30">
        <f>IF($CN30="refOK",$BS30,$BT30)*IF($BP30="Emissions positive",-1,1)</f>
        <v>402.90909090909099</v>
      </c>
      <c r="CS30">
        <f>IF($CN30="refOK",$BT30,$BS30)*IF($BP30="Emissions positive",-1,1)</f>
        <v>407.27272727272702</v>
      </c>
      <c r="CT30">
        <f>IF($CN30="refNeedCorrection",-BX30,BX30)*IF($BP30="Emissions positive",-1,1)</f>
        <v>4.363636363636033E-2</v>
      </c>
      <c r="CU30">
        <f>IFERROR(CT30/CQ30,"")</f>
        <v>0.16704545505440854</v>
      </c>
      <c r="CV30" s="2">
        <f>IFERROR((CS30-CR30)/ABS(CR30),"")</f>
        <v>1.083032490974647E-2</v>
      </c>
      <c r="CW30" s="1" t="s">
        <v>1201</v>
      </c>
      <c r="CX30" s="266" t="str">
        <f>IF(OR($CW30="prd",$CW30="std",$CW30="cit"),"loc",IF(OR($CW30="eur",$CW30="reg",$CW30="coy"),"reg",$CW30))</f>
        <v>reg</v>
      </c>
      <c r="CY30" t="s">
        <v>236</v>
      </c>
      <c r="CZ30">
        <v>2020</v>
      </c>
      <c r="DA30">
        <v>2100</v>
      </c>
      <c r="DB30">
        <f>DA30-CZ30</f>
        <v>80</v>
      </c>
      <c r="DC30" t="str">
        <f>IF(DB30=0,"0",IF(AND(DB30&gt;=1,DB30&lt;=30),"1-30",IF(AND(DB30&gt;30,DB30&lt;=70),"31-70",IF(AND(DB30&gt;70,DB30&lt;=100),"71-100",IF(DB30&gt;100,"+100")))))</f>
        <v>71-100</v>
      </c>
      <c r="DD30">
        <v>0</v>
      </c>
      <c r="DE30">
        <v>1</v>
      </c>
      <c r="DF30">
        <v>0</v>
      </c>
      <c r="DG30">
        <v>1</v>
      </c>
      <c r="DH30"/>
      <c r="DI30">
        <f>SUM(DD30:DG30)</f>
        <v>2</v>
      </c>
      <c r="DJ30" t="str">
        <f>IF(DI30=1,INDEX($DD$7:$DG$7,MATCH(1,$DD30:$DG30,0)),"mixedProduct")</f>
        <v>mixedProduct</v>
      </c>
      <c r="DK30">
        <f>IF(DD30=1,DK$7,0)</f>
        <v>0</v>
      </c>
      <c r="DL30" t="str">
        <f>IF(DE30=1,DL$7,0)</f>
        <v>Energy</v>
      </c>
      <c r="DM30">
        <f>IF(DF30=1,DM$7,0)</f>
        <v>0</v>
      </c>
      <c r="DN30" t="str">
        <f>IF(DG30=1,DN$7,0)</f>
        <v>Timber</v>
      </c>
      <c r="DO30">
        <v>1</v>
      </c>
      <c r="DP30">
        <v>0</v>
      </c>
      <c r="DQ30">
        <v>0</v>
      </c>
      <c r="DR30">
        <v>0</v>
      </c>
      <c r="DS30">
        <v>0</v>
      </c>
      <c r="DT30">
        <f>SUM(DO30:DP30)</f>
        <v>1</v>
      </c>
      <c r="DU30" s="143" t="str">
        <f>IF(DO30=1,"self-calculated DF",IF(DP30=1,"external DF used","explicit C balance"))</f>
        <v>self-calculated DF</v>
      </c>
      <c r="DV30">
        <v>1</v>
      </c>
      <c r="DW30">
        <v>0</v>
      </c>
      <c r="DX30">
        <v>1</v>
      </c>
      <c r="DY30">
        <v>0</v>
      </c>
      <c r="DZ30">
        <v>0</v>
      </c>
      <c r="EA30" s="143">
        <v>0</v>
      </c>
      <c r="EB30">
        <v>0</v>
      </c>
      <c r="EC30">
        <v>0</v>
      </c>
      <c r="ED30">
        <v>0</v>
      </c>
      <c r="EE30">
        <v>0</v>
      </c>
      <c r="EF30">
        <v>1</v>
      </c>
      <c r="EG30">
        <v>0</v>
      </c>
      <c r="EH30">
        <v>0</v>
      </c>
      <c r="EI30" s="2">
        <v>0</v>
      </c>
      <c r="EJ30" s="1"/>
      <c r="EK30" t="str">
        <f>IF(AND(AND(AND(OR($DX30=1,$DW30=1),OR($EC30=1,$EA30=1)),SUM($DV30:$DZ30,$EF30)&gt;=4),SUM($EA30:$EE30)&gt;=2),"Whole sector","")</f>
        <v/>
      </c>
      <c r="EL30" t="str">
        <f>IF(AND(AND(OR($DX30=1,$DW30=1),AND($EC30=0,$EA30=0)),SUM($DV30:$DZ30,$EF30)&gt;=4),"Ecosystem approach","")</f>
        <v/>
      </c>
      <c r="EM30" s="2" t="str">
        <f>IF(AND(AND(AND($DX30=0,$DW30=0),OR($EC30=1,$EA30=1)),SUM($EB30:$EE30)&gt;=2),"Technology approach","")</f>
        <v/>
      </c>
      <c r="EN30" t="s">
        <v>2405</v>
      </c>
      <c r="EO30"/>
      <c r="EP30" t="str">
        <f>IF(ISNUMBER(BU30),IF(ABS(BU30-[1]QC_indicators!$B$2)&gt;3*[1]QC_indicators!$C$2,"C ratio",IF(ISNUMBER(BY30),IF(ABS(BY30-[1]QC_indicators!$B$1)&gt;3*[1]QC_indicators!$C$1,"DF","no"))),IF(ISNUMBER(BY30),IF(ABS(BY30-[1]QC_indicators!$B$1)&gt;3*[1]QC_indicators!$C$1,"DF","no")))</f>
        <v>no</v>
      </c>
      <c r="EQ30"/>
      <c r="ER30" s="266" t="s">
        <v>2396</v>
      </c>
      <c r="ES30"/>
      <c r="ET30" s="308" t="s">
        <v>3424</v>
      </c>
      <c r="EU30"/>
    </row>
    <row r="31" spans="1:151" s="139" customFormat="1" ht="15" hidden="1" customHeight="1">
      <c r="A31" s="1" t="s">
        <v>1104</v>
      </c>
      <c r="B31" t="s">
        <v>2383</v>
      </c>
      <c r="C31" t="s">
        <v>2384</v>
      </c>
      <c r="D31" t="s">
        <v>2385</v>
      </c>
      <c r="E31" t="s">
        <v>2386</v>
      </c>
      <c r="F31" t="s">
        <v>2387</v>
      </c>
      <c r="G31" t="s">
        <v>1110</v>
      </c>
      <c r="H31" t="s">
        <v>255</v>
      </c>
      <c r="I31">
        <v>2016</v>
      </c>
      <c r="J31">
        <v>13</v>
      </c>
      <c r="K31" t="s">
        <v>2388</v>
      </c>
      <c r="L31"/>
      <c r="M31" t="str">
        <f>LEFT($D31,FIND(",",$D31)-1)&amp;"_"&amp;I31&amp;L31</f>
        <v>Torssonen_2016</v>
      </c>
      <c r="N31" t="s">
        <v>223</v>
      </c>
      <c r="O31" s="145" t="s">
        <v>1156</v>
      </c>
      <c r="P31"/>
      <c r="Q31" s="266" t="s">
        <v>257</v>
      </c>
      <c r="R31" s="271" t="s">
        <v>342</v>
      </c>
      <c r="S31" s="1" t="s">
        <v>2406</v>
      </c>
      <c r="T31" s="266" t="s">
        <v>2411</v>
      </c>
      <c r="U31" t="s">
        <v>2413</v>
      </c>
      <c r="V31">
        <v>0</v>
      </c>
      <c r="W31">
        <v>0</v>
      </c>
      <c r="X31">
        <v>0</v>
      </c>
      <c r="Y31">
        <v>0</v>
      </c>
      <c r="Z31">
        <v>0</v>
      </c>
      <c r="AA31">
        <v>0</v>
      </c>
      <c r="AB31">
        <v>0</v>
      </c>
      <c r="AC31">
        <v>0</v>
      </c>
      <c r="AD31">
        <v>0</v>
      </c>
      <c r="AE31">
        <v>0</v>
      </c>
      <c r="AF31">
        <v>0</v>
      </c>
      <c r="AG31">
        <v>0</v>
      </c>
      <c r="AH31">
        <v>0</v>
      </c>
      <c r="AI31">
        <v>0</v>
      </c>
      <c r="AJ31">
        <v>0</v>
      </c>
      <c r="AK31">
        <v>0</v>
      </c>
      <c r="AL31">
        <v>0</v>
      </c>
      <c r="AM31">
        <v>0</v>
      </c>
      <c r="AN31">
        <v>1</v>
      </c>
      <c r="AO31">
        <v>1</v>
      </c>
      <c r="AP31">
        <v>0</v>
      </c>
      <c r="AQ31">
        <v>0</v>
      </c>
      <c r="AR31">
        <v>0</v>
      </c>
      <c r="AS31">
        <v>0</v>
      </c>
      <c r="AT31">
        <v>0</v>
      </c>
      <c r="AU31">
        <v>0</v>
      </c>
      <c r="AV31">
        <v>0</v>
      </c>
      <c r="AW31">
        <v>0</v>
      </c>
      <c r="AX31" s="141">
        <f>COUNTIF(V31:AW31,"&lt;&gt;0")</f>
        <v>2</v>
      </c>
      <c r="AY31" s="141">
        <f>COUNTIF(V31:AL31,"&lt;&gt;0")</f>
        <v>0</v>
      </c>
      <c r="AZ31">
        <f>COUNTIF(V31:AC31,"&lt;&gt;0")</f>
        <v>0</v>
      </c>
      <c r="BA31">
        <f>COUNTIF(AD31:AI31,"&lt;&gt;0")</f>
        <v>0</v>
      </c>
      <c r="BB31">
        <f>COUNTIF(AJ31:AL31,"&lt;&gt;0")</f>
        <v>0</v>
      </c>
      <c r="BC31">
        <f>COUNTIF(AS31:AW31,"&lt;&gt;0")</f>
        <v>0</v>
      </c>
      <c r="BD31">
        <f>COUNTIF(AM31:AR31,"&lt;&gt;0")</f>
        <v>2</v>
      </c>
      <c r="BE31" t="str" cm="1">
        <f t="array" ref="BE31">IF(AY31=1,INDEX($V$7:$AL$7,MATCH(TRUE,INDEX($V31:$AW31&lt;&gt;0,),0)),IF(AY31=0,INDEX($AM$7:$AW$7,MATCH(1,$AM31:$AW31,0)),IF(BF31="Multiple strategies","mixed drivers",IF(BF31="Supply chain","multiple supply","multiple silviculture"))))</f>
        <v>Temperature</v>
      </c>
      <c r="BF31" s="2" t="str" cm="1">
        <f t="array" ref="BF31">IF(COUNTIF(AZ31:BB31,"&lt;&gt;0")=1,INDEX($V$4:$AW$4,MATCH(TRUE,INDEX($V31:$AW31&lt;&gt;0,),0)),IF(COUNTIF(AZ31:BB31,"&lt;&gt;0")=0,INDEX($AM$4:$AW$4,MATCH(1,$AM31:$AW31,0)),"Multiple strategies"))</f>
        <v>Environmental change</v>
      </c>
      <c r="BG31" s="1" t="s">
        <v>230</v>
      </c>
      <c r="BH31" s="308" t="s">
        <v>2146</v>
      </c>
      <c r="BI31" s="266" t="s">
        <v>2393</v>
      </c>
      <c r="BJ31" s="308" t="s">
        <v>1060</v>
      </c>
      <c r="BK31">
        <v>7.9367346699999999</v>
      </c>
      <c r="BL31">
        <v>8.0979591590000002</v>
      </c>
      <c r="BM31" s="143">
        <f>BL31/BK31</f>
        <v>1.0203137052835358</v>
      </c>
      <c r="BN31">
        <f>BL31-BK31</f>
        <v>0.1612244890000003</v>
      </c>
      <c r="BO31">
        <f>BN31</f>
        <v>0.1612244890000003</v>
      </c>
      <c r="BP31" s="308" t="s">
        <v>396</v>
      </c>
      <c r="BQ31" s="153" t="s">
        <v>3423</v>
      </c>
      <c r="BR31" s="266" t="s">
        <v>2395</v>
      </c>
      <c r="BS31">
        <v>-402.90909090909099</v>
      </c>
      <c r="BT31">
        <v>-411.636363636363</v>
      </c>
      <c r="BU31" s="144"/>
      <c r="BV31" s="144">
        <f>BT31-BS31</f>
        <v>-8.727272727272009</v>
      </c>
      <c r="BW31" s="144"/>
      <c r="BX31" s="144">
        <f>BV31*10^4/10^6</f>
        <v>-8.7272727272720091E-2</v>
      </c>
      <c r="BY31">
        <f>IFERROR(BX31/BO31,"")</f>
        <v>-0.54131185537651128</v>
      </c>
      <c r="BZ31">
        <v>0</v>
      </c>
      <c r="CA31">
        <v>0</v>
      </c>
      <c r="CB31">
        <v>0</v>
      </c>
      <c r="CC31">
        <v>0</v>
      </c>
      <c r="CD31">
        <v>0</v>
      </c>
      <c r="CE31">
        <v>0</v>
      </c>
      <c r="CF31">
        <v>0</v>
      </c>
      <c r="CG31">
        <v>0</v>
      </c>
      <c r="CH31">
        <v>0</v>
      </c>
      <c r="CI31">
        <v>0</v>
      </c>
      <c r="CJ31">
        <v>0</v>
      </c>
      <c r="CK31">
        <v>0</v>
      </c>
      <c r="CL31">
        <v>0</v>
      </c>
      <c r="CM31">
        <v>1</v>
      </c>
      <c r="CN31" t="str">
        <f>IF($BL31&lt;$BK31,"refNeedCorrection","refOK")</f>
        <v>refOK</v>
      </c>
      <c r="CO31">
        <f>IF($CN31="refOK",$BK31,$BL31)</f>
        <v>7.9367346699999999</v>
      </c>
      <c r="CP31">
        <f>IF($CN31="refOK",$BL31,$BK31)</f>
        <v>8.0979591590000002</v>
      </c>
      <c r="CQ31">
        <f>IF($CN31="refOK",$BO31,-$BO31)</f>
        <v>0.1612244890000003</v>
      </c>
      <c r="CR31">
        <f>IF($CN31="refOK",$BS31,$BT31)*IF($BP31="Emissions positive",-1,1)</f>
        <v>402.90909090909099</v>
      </c>
      <c r="CS31">
        <f>IF($CN31="refOK",$BT31,$BS31)*IF($BP31="Emissions positive",-1,1)</f>
        <v>411.636363636363</v>
      </c>
      <c r="CT31">
        <f>IF($CN31="refNeedCorrection",-BX31,BX31)*IF($BP31="Emissions positive",-1,1)</f>
        <v>8.7272727272720091E-2</v>
      </c>
      <c r="CU31">
        <f>IFERROR(CT31/CQ31,"")</f>
        <v>0.54131185537651128</v>
      </c>
      <c r="CV31" s="2">
        <f>IFERROR((CS31-CR31)/ABS(CR31),"")</f>
        <v>2.1660649819492797E-2</v>
      </c>
      <c r="CW31" s="1" t="s">
        <v>1201</v>
      </c>
      <c r="CX31" s="266" t="str">
        <f>IF(OR($CW31="prd",$CW31="std",$CW31="cit"),"loc",IF(OR($CW31="eur",$CW31="reg",$CW31="coy"),"reg",$CW31))</f>
        <v>reg</v>
      </c>
      <c r="CY31" t="s">
        <v>236</v>
      </c>
      <c r="CZ31">
        <v>2020</v>
      </c>
      <c r="DA31">
        <v>2100</v>
      </c>
      <c r="DB31">
        <f>DA31-CZ31</f>
        <v>80</v>
      </c>
      <c r="DC31" t="str">
        <f>IF(DB31=0,"0",IF(AND(DB31&gt;=1,DB31&lt;=30),"1-30",IF(AND(DB31&gt;30,DB31&lt;=70),"31-70",IF(AND(DB31&gt;70,DB31&lt;=100),"71-100",IF(DB31&gt;100,"+100")))))</f>
        <v>71-100</v>
      </c>
      <c r="DD31">
        <v>0</v>
      </c>
      <c r="DE31">
        <v>1</v>
      </c>
      <c r="DF31">
        <v>0</v>
      </c>
      <c r="DG31">
        <v>1</v>
      </c>
      <c r="DH31"/>
      <c r="DI31">
        <f>SUM(DD31:DG31)</f>
        <v>2</v>
      </c>
      <c r="DJ31" t="str">
        <f>IF(DI31=1,INDEX($DD$7:$DG$7,MATCH(1,$DD31:$DG31,0)),"mixedProduct")</f>
        <v>mixedProduct</v>
      </c>
      <c r="DK31">
        <f>IF(DD31=1,DK$7,0)</f>
        <v>0</v>
      </c>
      <c r="DL31" t="str">
        <f>IF(DE31=1,DL$7,0)</f>
        <v>Energy</v>
      </c>
      <c r="DM31">
        <f>IF(DF31=1,DM$7,0)</f>
        <v>0</v>
      </c>
      <c r="DN31" t="str">
        <f>IF(DG31=1,DN$7,0)</f>
        <v>Timber</v>
      </c>
      <c r="DO31">
        <v>1</v>
      </c>
      <c r="DP31">
        <v>0</v>
      </c>
      <c r="DQ31">
        <v>0</v>
      </c>
      <c r="DR31">
        <v>0</v>
      </c>
      <c r="DS31">
        <v>0</v>
      </c>
      <c r="DT31">
        <f>SUM(DO31:DP31)</f>
        <v>1</v>
      </c>
      <c r="DU31" s="143" t="str">
        <f>IF(DO31=1,"self-calculated DF",IF(DP31=1,"external DF used","explicit C balance"))</f>
        <v>self-calculated DF</v>
      </c>
      <c r="DV31">
        <v>1</v>
      </c>
      <c r="DW31">
        <v>0</v>
      </c>
      <c r="DX31">
        <v>1</v>
      </c>
      <c r="DY31">
        <v>0</v>
      </c>
      <c r="DZ31">
        <v>0</v>
      </c>
      <c r="EA31" s="143">
        <v>0</v>
      </c>
      <c r="EB31">
        <v>0</v>
      </c>
      <c r="EC31">
        <v>0</v>
      </c>
      <c r="ED31">
        <v>0</v>
      </c>
      <c r="EE31">
        <v>0</v>
      </c>
      <c r="EF31">
        <v>1</v>
      </c>
      <c r="EG31">
        <v>0</v>
      </c>
      <c r="EH31">
        <v>0</v>
      </c>
      <c r="EI31" s="2">
        <v>0</v>
      </c>
      <c r="EJ31" s="1"/>
      <c r="EK31" t="str">
        <f>IF(AND(AND(AND(OR($DX31=1,$DW31=1),OR($EC31=1,$EA31=1)),SUM($DV31:$DZ31,$EF31)&gt;=4),SUM($EA31:$EE31)&gt;=2),"Whole sector","")</f>
        <v/>
      </c>
      <c r="EL31" t="str">
        <f>IF(AND(AND(OR($DX31=1,$DW31=1),AND($EC31=0,$EA31=0)),SUM($DV31:$DZ31,$EF31)&gt;=4),"Ecosystem approach","")</f>
        <v/>
      </c>
      <c r="EM31" s="2" t="str">
        <f>IF(AND(AND(AND($DX31=0,$DW31=0),OR($EC31=1,$EA31=1)),SUM($EB31:$EE31)&gt;=2),"Technology approach","")</f>
        <v/>
      </c>
      <c r="EN31" t="s">
        <v>2405</v>
      </c>
      <c r="EO31"/>
      <c r="EP31" t="str">
        <f>IF(ISNUMBER(BU31),IF(ABS(BU31-[1]QC_indicators!$B$2)&gt;3*[1]QC_indicators!$C$2,"C ratio",IF(ISNUMBER(BY31),IF(ABS(BY31-[1]QC_indicators!$B$1)&gt;3*[1]QC_indicators!$C$1,"DF","no"))),IF(ISNUMBER(BY31),IF(ABS(BY31-[1]QC_indicators!$B$1)&gt;3*[1]QC_indicators!$C$1,"DF","no")))</f>
        <v>no</v>
      </c>
      <c r="EQ31"/>
      <c r="ER31" s="266" t="s">
        <v>2396</v>
      </c>
      <c r="ES31"/>
      <c r="ET31" s="308" t="s">
        <v>3424</v>
      </c>
      <c r="EU31"/>
    </row>
    <row r="32" spans="1:151" s="139" customFormat="1" ht="15" hidden="1" customHeight="1">
      <c r="A32" s="1" t="s">
        <v>1104</v>
      </c>
      <c r="B32" t="s">
        <v>2383</v>
      </c>
      <c r="C32" t="s">
        <v>2384</v>
      </c>
      <c r="D32" t="s">
        <v>2385</v>
      </c>
      <c r="E32" t="s">
        <v>2386</v>
      </c>
      <c r="F32" t="s">
        <v>2387</v>
      </c>
      <c r="G32" t="s">
        <v>1110</v>
      </c>
      <c r="H32" t="s">
        <v>255</v>
      </c>
      <c r="I32">
        <v>2016</v>
      </c>
      <c r="J32">
        <v>13</v>
      </c>
      <c r="K32" t="s">
        <v>2388</v>
      </c>
      <c r="L32"/>
      <c r="M32" t="str">
        <f>LEFT($D32,FIND(",",$D32)-1)&amp;"_"&amp;I32&amp;L32</f>
        <v>Torssonen_2016</v>
      </c>
      <c r="N32" t="s">
        <v>223</v>
      </c>
      <c r="O32" s="145" t="s">
        <v>1156</v>
      </c>
      <c r="P32"/>
      <c r="Q32" s="266" t="s">
        <v>257</v>
      </c>
      <c r="R32" s="271" t="s">
        <v>342</v>
      </c>
      <c r="S32" s="1" t="s">
        <v>2402</v>
      </c>
      <c r="T32" s="266" t="s">
        <v>2414</v>
      </c>
      <c r="U32" t="s">
        <v>2415</v>
      </c>
      <c r="V32">
        <v>0</v>
      </c>
      <c r="W32">
        <v>0</v>
      </c>
      <c r="X32">
        <v>0</v>
      </c>
      <c r="Y32">
        <v>0</v>
      </c>
      <c r="Z32">
        <v>0</v>
      </c>
      <c r="AA32">
        <v>0</v>
      </c>
      <c r="AB32">
        <v>0</v>
      </c>
      <c r="AC32">
        <v>0</v>
      </c>
      <c r="AD32">
        <v>0</v>
      </c>
      <c r="AE32">
        <v>0</v>
      </c>
      <c r="AF32">
        <v>0</v>
      </c>
      <c r="AG32">
        <v>0</v>
      </c>
      <c r="AH32">
        <v>0</v>
      </c>
      <c r="AI32">
        <v>0</v>
      </c>
      <c r="AJ32">
        <v>0</v>
      </c>
      <c r="AK32">
        <v>0</v>
      </c>
      <c r="AL32">
        <v>0</v>
      </c>
      <c r="AM32">
        <v>0</v>
      </c>
      <c r="AN32">
        <v>1</v>
      </c>
      <c r="AO32">
        <v>1</v>
      </c>
      <c r="AP32">
        <v>0</v>
      </c>
      <c r="AQ32">
        <v>0</v>
      </c>
      <c r="AR32">
        <v>0</v>
      </c>
      <c r="AS32">
        <v>0</v>
      </c>
      <c r="AT32">
        <v>0</v>
      </c>
      <c r="AU32">
        <v>0</v>
      </c>
      <c r="AV32">
        <v>0</v>
      </c>
      <c r="AW32">
        <v>0</v>
      </c>
      <c r="AX32" s="141">
        <f>COUNTIF(V32:AW32,"&lt;&gt;0")</f>
        <v>2</v>
      </c>
      <c r="AY32" s="141">
        <f>COUNTIF(V32:AL32,"&lt;&gt;0")</f>
        <v>0</v>
      </c>
      <c r="AZ32">
        <f>COUNTIF(V32:AC32,"&lt;&gt;0")</f>
        <v>0</v>
      </c>
      <c r="BA32">
        <f>COUNTIF(AD32:AI32,"&lt;&gt;0")</f>
        <v>0</v>
      </c>
      <c r="BB32">
        <f>COUNTIF(AJ32:AL32,"&lt;&gt;0")</f>
        <v>0</v>
      </c>
      <c r="BC32">
        <f>COUNTIF(AS32:AW32,"&lt;&gt;0")</f>
        <v>0</v>
      </c>
      <c r="BD32">
        <f>COUNTIF(AM32:AR32,"&lt;&gt;0")</f>
        <v>2</v>
      </c>
      <c r="BE32" t="str" cm="1">
        <f t="array" ref="BE32">IF(AY32=1,INDEX($V$7:$AL$7,MATCH(TRUE,INDEX($V32:$AW32&lt;&gt;0,),0)),IF(AY32=0,INDEX($AM$7:$AW$7,MATCH(1,$AM32:$AW32,0)),IF(BF32="Multiple strategies","mixed drivers",IF(BF32="Supply chain","multiple supply","multiple silviculture"))))</f>
        <v>Temperature</v>
      </c>
      <c r="BF32" s="2" t="str" cm="1">
        <f t="array" ref="BF32">IF(COUNTIF(AZ32:BB32,"&lt;&gt;0")=1,INDEX($V$4:$AW$4,MATCH(TRUE,INDEX($V32:$AW32&lt;&gt;0,),0)),IF(COUNTIF(AZ32:BB32,"&lt;&gt;0")=0,INDEX($AM$4:$AW$4,MATCH(1,$AM32:$AW32,0)),"Multiple strategies"))</f>
        <v>Environmental change</v>
      </c>
      <c r="BG32" s="1" t="s">
        <v>230</v>
      </c>
      <c r="BH32" s="308" t="s">
        <v>2146</v>
      </c>
      <c r="BI32" s="266" t="s">
        <v>2393</v>
      </c>
      <c r="BJ32" s="308" t="s">
        <v>1060</v>
      </c>
      <c r="BK32">
        <v>8.0857142559999993</v>
      </c>
      <c r="BL32">
        <v>8.4469387449999989</v>
      </c>
      <c r="BM32" s="143">
        <f>BL32/BK32</f>
        <v>1.0446744069309588</v>
      </c>
      <c r="BN32">
        <f>BL32-BK32</f>
        <v>0.36122448899999959</v>
      </c>
      <c r="BO32">
        <f>BN32</f>
        <v>0.36122448899999959</v>
      </c>
      <c r="BP32" s="308" t="s">
        <v>396</v>
      </c>
      <c r="BQ32" s="153" t="s">
        <v>3423</v>
      </c>
      <c r="BR32" s="266" t="s">
        <v>2395</v>
      </c>
      <c r="BS32">
        <v>-456.72727272727298</v>
      </c>
      <c r="BT32">
        <v>-464</v>
      </c>
      <c r="BU32" s="144"/>
      <c r="BV32" s="144">
        <f>BT32-BS32</f>
        <v>-7.2727272727270247</v>
      </c>
      <c r="BW32" s="144"/>
      <c r="BX32" s="144">
        <f>BV32*10^4/10^6</f>
        <v>-7.2727272727270253E-2</v>
      </c>
      <c r="BY32">
        <f>IFERROR(BX32/BO32,"")</f>
        <v>-0.20133538821967947</v>
      </c>
      <c r="BZ32">
        <v>0</v>
      </c>
      <c r="CA32">
        <v>0</v>
      </c>
      <c r="CB32">
        <v>0</v>
      </c>
      <c r="CC32">
        <v>0</v>
      </c>
      <c r="CD32">
        <v>0</v>
      </c>
      <c r="CE32">
        <v>0</v>
      </c>
      <c r="CF32">
        <v>0</v>
      </c>
      <c r="CG32">
        <v>0</v>
      </c>
      <c r="CH32">
        <v>0</v>
      </c>
      <c r="CI32">
        <v>0</v>
      </c>
      <c r="CJ32">
        <v>0</v>
      </c>
      <c r="CK32">
        <v>0</v>
      </c>
      <c r="CL32">
        <v>0</v>
      </c>
      <c r="CM32">
        <v>1</v>
      </c>
      <c r="CN32" t="str">
        <f>IF($BL32&lt;$BK32,"refNeedCorrection","refOK")</f>
        <v>refOK</v>
      </c>
      <c r="CO32">
        <f>IF($CN32="refOK",$BK32,$BL32)</f>
        <v>8.0857142559999993</v>
      </c>
      <c r="CP32">
        <f>IF($CN32="refOK",$BL32,$BK32)</f>
        <v>8.4469387449999989</v>
      </c>
      <c r="CQ32">
        <f>IF($CN32="refOK",$BO32,-$BO32)</f>
        <v>0.36122448899999959</v>
      </c>
      <c r="CR32">
        <f>IF($CN32="refOK",$BS32,$BT32)*IF($BP32="Emissions positive",-1,1)</f>
        <v>456.72727272727298</v>
      </c>
      <c r="CS32">
        <f>IF($CN32="refOK",$BT32,$BS32)*IF($BP32="Emissions positive",-1,1)</f>
        <v>464</v>
      </c>
      <c r="CT32">
        <f>IF($CN32="refNeedCorrection",-BX32,BX32)*IF($BP32="Emissions positive",-1,1)</f>
        <v>7.2727272727270253E-2</v>
      </c>
      <c r="CU32">
        <f>IFERROR(CT32/CQ32,"")</f>
        <v>0.20133538821967947</v>
      </c>
      <c r="CV32" s="2">
        <f>IFERROR((CS32-CR32)/ABS(CR32),"")</f>
        <v>1.592356687898034E-2</v>
      </c>
      <c r="CW32" s="1" t="s">
        <v>1201</v>
      </c>
      <c r="CX32" s="266" t="str">
        <f>IF(OR($CW32="prd",$CW32="std",$CW32="cit"),"loc",IF(OR($CW32="eur",$CW32="reg",$CW32="coy"),"reg",$CW32))</f>
        <v>reg</v>
      </c>
      <c r="CY32" t="s">
        <v>236</v>
      </c>
      <c r="CZ32">
        <v>2020</v>
      </c>
      <c r="DA32">
        <v>2100</v>
      </c>
      <c r="DB32">
        <f>DA32-CZ32</f>
        <v>80</v>
      </c>
      <c r="DC32" t="str">
        <f>IF(DB32=0,"0",IF(AND(DB32&gt;=1,DB32&lt;=30),"1-30",IF(AND(DB32&gt;30,DB32&lt;=70),"31-70",IF(AND(DB32&gt;70,DB32&lt;=100),"71-100",IF(DB32&gt;100,"+100")))))</f>
        <v>71-100</v>
      </c>
      <c r="DD32">
        <v>0</v>
      </c>
      <c r="DE32">
        <v>1</v>
      </c>
      <c r="DF32">
        <v>0</v>
      </c>
      <c r="DG32">
        <v>1</v>
      </c>
      <c r="DH32"/>
      <c r="DI32">
        <f>SUM(DD32:DG32)</f>
        <v>2</v>
      </c>
      <c r="DJ32" t="str">
        <f>IF(DI32=1,INDEX($DD$7:$DG$7,MATCH(1,$DD32:$DG32,0)),"mixedProduct")</f>
        <v>mixedProduct</v>
      </c>
      <c r="DK32">
        <f>IF(DD32=1,DK$7,0)</f>
        <v>0</v>
      </c>
      <c r="DL32" t="str">
        <f>IF(DE32=1,DL$7,0)</f>
        <v>Energy</v>
      </c>
      <c r="DM32">
        <f>IF(DF32=1,DM$7,0)</f>
        <v>0</v>
      </c>
      <c r="DN32" t="str">
        <f>IF(DG32=1,DN$7,0)</f>
        <v>Timber</v>
      </c>
      <c r="DO32">
        <v>1</v>
      </c>
      <c r="DP32">
        <v>0</v>
      </c>
      <c r="DQ32">
        <v>0</v>
      </c>
      <c r="DR32">
        <v>0</v>
      </c>
      <c r="DS32">
        <v>0</v>
      </c>
      <c r="DT32">
        <f>SUM(DO32:DP32)</f>
        <v>1</v>
      </c>
      <c r="DU32" s="143" t="str">
        <f>IF(DO32=1,"self-calculated DF",IF(DP32=1,"external DF used","explicit C balance"))</f>
        <v>self-calculated DF</v>
      </c>
      <c r="DV32">
        <v>1</v>
      </c>
      <c r="DW32">
        <v>0</v>
      </c>
      <c r="DX32">
        <v>1</v>
      </c>
      <c r="DY32">
        <v>0</v>
      </c>
      <c r="DZ32">
        <v>0</v>
      </c>
      <c r="EA32" s="143">
        <v>0</v>
      </c>
      <c r="EB32">
        <v>0</v>
      </c>
      <c r="EC32">
        <v>0</v>
      </c>
      <c r="ED32">
        <v>0</v>
      </c>
      <c r="EE32">
        <v>0</v>
      </c>
      <c r="EF32">
        <v>1</v>
      </c>
      <c r="EG32">
        <v>0</v>
      </c>
      <c r="EH32">
        <v>0</v>
      </c>
      <c r="EI32" s="2">
        <v>0</v>
      </c>
      <c r="EJ32" s="1"/>
      <c r="EK32" t="str">
        <f>IF(AND(AND(AND(OR($DX32=1,$DW32=1),OR($EC32=1,$EA32=1)),SUM($DV32:$DZ32,$EF32)&gt;=4),SUM($EA32:$EE32)&gt;=2),"Whole sector","")</f>
        <v/>
      </c>
      <c r="EL32" t="str">
        <f>IF(AND(AND(OR($DX32=1,$DW32=1),AND($EC32=0,$EA32=0)),SUM($DV32:$DZ32,$EF32)&gt;=4),"Ecosystem approach","")</f>
        <v/>
      </c>
      <c r="EM32" s="2" t="str">
        <f>IF(AND(AND(AND($DX32=0,$DW32=0),OR($EC32=1,$EA32=1)),SUM($EB32:$EE32)&gt;=2),"Technology approach","")</f>
        <v/>
      </c>
      <c r="EN32" t="s">
        <v>2405</v>
      </c>
      <c r="EO32"/>
      <c r="EP32" t="str">
        <f>IF(ISNUMBER(BU32),IF(ABS(BU32-[1]QC_indicators!$B$2)&gt;3*[1]QC_indicators!$C$2,"C ratio",IF(ISNUMBER(BY32),IF(ABS(BY32-[1]QC_indicators!$B$1)&gt;3*[1]QC_indicators!$C$1,"DF","no"))),IF(ISNUMBER(BY32),IF(ABS(BY32-[1]QC_indicators!$B$1)&gt;3*[1]QC_indicators!$C$1,"DF","no")))</f>
        <v>no</v>
      </c>
      <c r="EQ32"/>
      <c r="ER32" s="266" t="s">
        <v>2396</v>
      </c>
      <c r="ES32"/>
      <c r="ET32" s="308" t="s">
        <v>3424</v>
      </c>
      <c r="EU32"/>
    </row>
    <row r="33" spans="1:151" s="139" customFormat="1" ht="15" hidden="1" customHeight="1">
      <c r="A33" s="1" t="s">
        <v>1104</v>
      </c>
      <c r="B33" t="s">
        <v>2383</v>
      </c>
      <c r="C33" t="s">
        <v>2384</v>
      </c>
      <c r="D33" t="s">
        <v>2385</v>
      </c>
      <c r="E33" t="s">
        <v>2386</v>
      </c>
      <c r="F33" t="s">
        <v>2387</v>
      </c>
      <c r="G33" t="s">
        <v>1110</v>
      </c>
      <c r="H33" t="s">
        <v>255</v>
      </c>
      <c r="I33">
        <v>2016</v>
      </c>
      <c r="J33">
        <v>13</v>
      </c>
      <c r="K33" t="s">
        <v>2388</v>
      </c>
      <c r="L33"/>
      <c r="M33" t="str">
        <f>LEFT($D33,FIND(",",$D33)-1)&amp;"_"&amp;I33&amp;L33</f>
        <v>Torssonen_2016</v>
      </c>
      <c r="N33" t="s">
        <v>223</v>
      </c>
      <c r="O33" s="145" t="s">
        <v>1156</v>
      </c>
      <c r="P33"/>
      <c r="Q33" s="266" t="s">
        <v>257</v>
      </c>
      <c r="R33" s="271" t="s">
        <v>342</v>
      </c>
      <c r="S33" s="1" t="s">
        <v>2406</v>
      </c>
      <c r="T33" s="266" t="s">
        <v>2414</v>
      </c>
      <c r="U33" t="s">
        <v>2416</v>
      </c>
      <c r="V33">
        <v>0</v>
      </c>
      <c r="W33">
        <v>0</v>
      </c>
      <c r="X33">
        <v>0</v>
      </c>
      <c r="Y33">
        <v>0</v>
      </c>
      <c r="Z33">
        <v>0</v>
      </c>
      <c r="AA33">
        <v>0</v>
      </c>
      <c r="AB33">
        <v>0</v>
      </c>
      <c r="AC33">
        <v>0</v>
      </c>
      <c r="AD33">
        <v>0</v>
      </c>
      <c r="AE33">
        <v>0</v>
      </c>
      <c r="AF33">
        <v>0</v>
      </c>
      <c r="AG33">
        <v>0</v>
      </c>
      <c r="AH33">
        <v>0</v>
      </c>
      <c r="AI33">
        <v>0</v>
      </c>
      <c r="AJ33">
        <v>0</v>
      </c>
      <c r="AK33">
        <v>0</v>
      </c>
      <c r="AL33">
        <v>0</v>
      </c>
      <c r="AM33">
        <v>0</v>
      </c>
      <c r="AN33">
        <v>1</v>
      </c>
      <c r="AO33">
        <v>1</v>
      </c>
      <c r="AP33">
        <v>0</v>
      </c>
      <c r="AQ33">
        <v>0</v>
      </c>
      <c r="AR33">
        <v>0</v>
      </c>
      <c r="AS33">
        <v>0</v>
      </c>
      <c r="AT33">
        <v>0</v>
      </c>
      <c r="AU33">
        <v>0</v>
      </c>
      <c r="AV33">
        <v>0</v>
      </c>
      <c r="AW33">
        <v>0</v>
      </c>
      <c r="AX33" s="141">
        <f>COUNTIF(V33:AW33,"&lt;&gt;0")</f>
        <v>2</v>
      </c>
      <c r="AY33" s="141">
        <f>COUNTIF(V33:AL33,"&lt;&gt;0")</f>
        <v>0</v>
      </c>
      <c r="AZ33">
        <f>COUNTIF(V33:AC33,"&lt;&gt;0")</f>
        <v>0</v>
      </c>
      <c r="BA33">
        <f>COUNTIF(AD33:AI33,"&lt;&gt;0")</f>
        <v>0</v>
      </c>
      <c r="BB33">
        <f>COUNTIF(AJ33:AL33,"&lt;&gt;0")</f>
        <v>0</v>
      </c>
      <c r="BC33">
        <f>COUNTIF(AS33:AW33,"&lt;&gt;0")</f>
        <v>0</v>
      </c>
      <c r="BD33">
        <f>COUNTIF(AM33:AR33,"&lt;&gt;0")</f>
        <v>2</v>
      </c>
      <c r="BE33" t="str" cm="1">
        <f t="array" ref="BE33">IF(AY33=1,INDEX($V$7:$AL$7,MATCH(TRUE,INDEX($V33:$AW33&lt;&gt;0,),0)),IF(AY33=0,INDEX($AM$7:$AW$7,MATCH(1,$AM33:$AW33,0)),IF(BF33="Multiple strategies","mixed drivers",IF(BF33="Supply chain","multiple supply","multiple silviculture"))))</f>
        <v>Temperature</v>
      </c>
      <c r="BF33" s="2" t="str" cm="1">
        <f t="array" ref="BF33">IF(COUNTIF(AZ33:BB33,"&lt;&gt;0")=1,INDEX($V$4:$AW$4,MATCH(TRUE,INDEX($V33:$AW33&lt;&gt;0,),0)),IF(COUNTIF(AZ33:BB33,"&lt;&gt;0")=0,INDEX($AM$4:$AW$4,MATCH(1,$AM33:$AW33,0)),"Multiple strategies"))</f>
        <v>Environmental change</v>
      </c>
      <c r="BG33" s="1" t="s">
        <v>230</v>
      </c>
      <c r="BH33" s="308" t="s">
        <v>2146</v>
      </c>
      <c r="BI33" s="266" t="s">
        <v>2393</v>
      </c>
      <c r="BJ33" s="308" t="s">
        <v>1060</v>
      </c>
      <c r="BK33">
        <v>8.0857142559999993</v>
      </c>
      <c r="BL33">
        <v>8.3265305820000002</v>
      </c>
      <c r="BM33" s="143">
        <f>BL33/BK33</f>
        <v>1.0297829379539727</v>
      </c>
      <c r="BN33">
        <f>BL33-BK33</f>
        <v>0.24081632600000091</v>
      </c>
      <c r="BO33">
        <f>BN33</f>
        <v>0.24081632600000091</v>
      </c>
      <c r="BP33" s="308" t="s">
        <v>396</v>
      </c>
      <c r="BQ33" s="153" t="s">
        <v>3423</v>
      </c>
      <c r="BR33" s="266" t="s">
        <v>2395</v>
      </c>
      <c r="BS33">
        <v>-456.72727272727298</v>
      </c>
      <c r="BT33">
        <v>-465.45454545454498</v>
      </c>
      <c r="BU33" s="144"/>
      <c r="BV33" s="144">
        <f>BT33-BS33</f>
        <v>-8.727272727272009</v>
      </c>
      <c r="BW33" s="144"/>
      <c r="BX33" s="144">
        <f>BV33*10^4/10^6</f>
        <v>-8.7272727272720091E-2</v>
      </c>
      <c r="BY33">
        <f>IFERROR(BX33/BO33,"")</f>
        <v>-0.36240369879540374</v>
      </c>
      <c r="BZ33">
        <v>0</v>
      </c>
      <c r="CA33">
        <v>0</v>
      </c>
      <c r="CB33">
        <v>0</v>
      </c>
      <c r="CC33">
        <v>0</v>
      </c>
      <c r="CD33">
        <v>0</v>
      </c>
      <c r="CE33">
        <v>0</v>
      </c>
      <c r="CF33">
        <v>0</v>
      </c>
      <c r="CG33">
        <v>0</v>
      </c>
      <c r="CH33">
        <v>0</v>
      </c>
      <c r="CI33">
        <v>0</v>
      </c>
      <c r="CJ33">
        <v>0</v>
      </c>
      <c r="CK33">
        <v>0</v>
      </c>
      <c r="CL33">
        <v>0</v>
      </c>
      <c r="CM33">
        <v>1</v>
      </c>
      <c r="CN33" t="str">
        <f>IF($BL33&lt;$BK33,"refNeedCorrection","refOK")</f>
        <v>refOK</v>
      </c>
      <c r="CO33">
        <f>IF($CN33="refOK",$BK33,$BL33)</f>
        <v>8.0857142559999993</v>
      </c>
      <c r="CP33">
        <f>IF($CN33="refOK",$BL33,$BK33)</f>
        <v>8.3265305820000002</v>
      </c>
      <c r="CQ33">
        <f>IF($CN33="refOK",$BO33,-$BO33)</f>
        <v>0.24081632600000091</v>
      </c>
      <c r="CR33">
        <f>IF($CN33="refOK",$BS33,$BT33)*IF($BP33="Emissions positive",-1,1)</f>
        <v>456.72727272727298</v>
      </c>
      <c r="CS33">
        <f>IF($CN33="refOK",$BT33,$BS33)*IF($BP33="Emissions positive",-1,1)</f>
        <v>465.45454545454498</v>
      </c>
      <c r="CT33">
        <f>IF($CN33="refNeedCorrection",-BX33,BX33)*IF($BP33="Emissions positive",-1,1)</f>
        <v>8.7272727272720091E-2</v>
      </c>
      <c r="CU33">
        <f>IFERROR(CT33/CQ33,"")</f>
        <v>0.36240369879540374</v>
      </c>
      <c r="CV33" s="2">
        <f>IFERROR((CS33-CR33)/ABS(CR33),"")</f>
        <v>1.9108280254775487E-2</v>
      </c>
      <c r="CW33" s="1" t="s">
        <v>1201</v>
      </c>
      <c r="CX33" s="266" t="str">
        <f>IF(OR($CW33="prd",$CW33="std",$CW33="cit"),"loc",IF(OR($CW33="eur",$CW33="reg",$CW33="coy"),"reg",$CW33))</f>
        <v>reg</v>
      </c>
      <c r="CY33" t="s">
        <v>236</v>
      </c>
      <c r="CZ33">
        <v>2020</v>
      </c>
      <c r="DA33">
        <v>2100</v>
      </c>
      <c r="DB33">
        <f>DA33-CZ33</f>
        <v>80</v>
      </c>
      <c r="DC33" t="str">
        <f>IF(DB33=0,"0",IF(AND(DB33&gt;=1,DB33&lt;=30),"1-30",IF(AND(DB33&gt;30,DB33&lt;=70),"31-70",IF(AND(DB33&gt;70,DB33&lt;=100),"71-100",IF(DB33&gt;100,"+100")))))</f>
        <v>71-100</v>
      </c>
      <c r="DD33">
        <v>0</v>
      </c>
      <c r="DE33">
        <v>1</v>
      </c>
      <c r="DF33">
        <v>0</v>
      </c>
      <c r="DG33">
        <v>1</v>
      </c>
      <c r="DH33"/>
      <c r="DI33">
        <f>SUM(DD33:DG33)</f>
        <v>2</v>
      </c>
      <c r="DJ33" t="str">
        <f>IF(DI33=1,INDEX($DD$7:$DG$7,MATCH(1,$DD33:$DG33,0)),"mixedProduct")</f>
        <v>mixedProduct</v>
      </c>
      <c r="DK33">
        <f>IF(DD33=1,DK$7,0)</f>
        <v>0</v>
      </c>
      <c r="DL33" t="str">
        <f>IF(DE33=1,DL$7,0)</f>
        <v>Energy</v>
      </c>
      <c r="DM33">
        <f>IF(DF33=1,DM$7,0)</f>
        <v>0</v>
      </c>
      <c r="DN33" t="str">
        <f>IF(DG33=1,DN$7,0)</f>
        <v>Timber</v>
      </c>
      <c r="DO33">
        <v>1</v>
      </c>
      <c r="DP33">
        <v>0</v>
      </c>
      <c r="DQ33">
        <v>0</v>
      </c>
      <c r="DR33">
        <v>0</v>
      </c>
      <c r="DS33">
        <v>0</v>
      </c>
      <c r="DT33">
        <f>SUM(DO33:DP33)</f>
        <v>1</v>
      </c>
      <c r="DU33" s="143" t="str">
        <f>IF(DO33=1,"self-calculated DF",IF(DP33=1,"external DF used","explicit C balance"))</f>
        <v>self-calculated DF</v>
      </c>
      <c r="DV33">
        <v>1</v>
      </c>
      <c r="DW33">
        <v>0</v>
      </c>
      <c r="DX33">
        <v>1</v>
      </c>
      <c r="DY33">
        <v>0</v>
      </c>
      <c r="DZ33">
        <v>0</v>
      </c>
      <c r="EA33" s="143">
        <v>0</v>
      </c>
      <c r="EB33">
        <v>0</v>
      </c>
      <c r="EC33">
        <v>0</v>
      </c>
      <c r="ED33">
        <v>0</v>
      </c>
      <c r="EE33">
        <v>0</v>
      </c>
      <c r="EF33">
        <v>1</v>
      </c>
      <c r="EG33">
        <v>0</v>
      </c>
      <c r="EH33">
        <v>0</v>
      </c>
      <c r="EI33" s="2">
        <v>0</v>
      </c>
      <c r="EJ33" s="1"/>
      <c r="EK33" t="str">
        <f>IF(AND(AND(AND(OR($DX33=1,$DW33=1),OR($EC33=1,$EA33=1)),SUM($DV33:$DZ33,$EF33)&gt;=4),SUM($EA33:$EE33)&gt;=2),"Whole sector","")</f>
        <v/>
      </c>
      <c r="EL33" t="str">
        <f>IF(AND(AND(OR($DX33=1,$DW33=1),AND($EC33=0,$EA33=0)),SUM($DV33:$DZ33,$EF33)&gt;=4),"Ecosystem approach","")</f>
        <v/>
      </c>
      <c r="EM33" s="2" t="str">
        <f>IF(AND(AND(AND($DX33=0,$DW33=0),OR($EC33=1,$EA33=1)),SUM($EB33:$EE33)&gt;=2),"Technology approach","")</f>
        <v/>
      </c>
      <c r="EN33" t="s">
        <v>2405</v>
      </c>
      <c r="EO33"/>
      <c r="EP33" t="str">
        <f>IF(ISNUMBER(BU33),IF(ABS(BU33-[1]QC_indicators!$B$2)&gt;3*[1]QC_indicators!$C$2,"C ratio",IF(ISNUMBER(BY33),IF(ABS(BY33-[1]QC_indicators!$B$1)&gt;3*[1]QC_indicators!$C$1,"DF","no"))),IF(ISNUMBER(BY33),IF(ABS(BY33-[1]QC_indicators!$B$1)&gt;3*[1]QC_indicators!$C$1,"DF","no")))</f>
        <v>no</v>
      </c>
      <c r="EQ33"/>
      <c r="ER33" s="266" t="s">
        <v>2396</v>
      </c>
      <c r="ES33"/>
      <c r="ET33" s="308" t="s">
        <v>3424</v>
      </c>
      <c r="EU33"/>
    </row>
    <row r="34" spans="1:151" s="139" customFormat="1" ht="15" hidden="1" customHeight="1">
      <c r="A34" s="1" t="s">
        <v>1104</v>
      </c>
      <c r="B34" t="s">
        <v>2383</v>
      </c>
      <c r="C34" t="s">
        <v>2384</v>
      </c>
      <c r="D34" t="s">
        <v>2385</v>
      </c>
      <c r="E34" t="s">
        <v>2386</v>
      </c>
      <c r="F34" t="s">
        <v>2387</v>
      </c>
      <c r="G34" t="s">
        <v>1110</v>
      </c>
      <c r="H34" t="s">
        <v>255</v>
      </c>
      <c r="I34">
        <v>2016</v>
      </c>
      <c r="J34">
        <v>13</v>
      </c>
      <c r="K34" t="s">
        <v>2388</v>
      </c>
      <c r="L34"/>
      <c r="M34" t="str">
        <f>LEFT($D34,FIND(",",$D34)-1)&amp;"_"&amp;I34&amp;L34</f>
        <v>Torssonen_2016</v>
      </c>
      <c r="N34" t="s">
        <v>223</v>
      </c>
      <c r="O34" s="145" t="s">
        <v>1156</v>
      </c>
      <c r="P34"/>
      <c r="Q34" s="266" t="s">
        <v>257</v>
      </c>
      <c r="R34" s="271" t="s">
        <v>342</v>
      </c>
      <c r="S34" s="1" t="s">
        <v>2402</v>
      </c>
      <c r="T34" s="266" t="s">
        <v>2421</v>
      </c>
      <c r="U34" s="266" t="s">
        <v>2422</v>
      </c>
      <c r="V34">
        <v>0</v>
      </c>
      <c r="W34">
        <v>0</v>
      </c>
      <c r="X34">
        <v>0</v>
      </c>
      <c r="Y34">
        <v>0</v>
      </c>
      <c r="Z34">
        <v>0</v>
      </c>
      <c r="AA34">
        <v>0</v>
      </c>
      <c r="AB34">
        <v>0</v>
      </c>
      <c r="AC34">
        <v>0</v>
      </c>
      <c r="AD34">
        <v>0</v>
      </c>
      <c r="AE34">
        <v>0</v>
      </c>
      <c r="AF34">
        <v>0</v>
      </c>
      <c r="AG34">
        <v>0</v>
      </c>
      <c r="AH34">
        <v>0</v>
      </c>
      <c r="AI34">
        <v>0</v>
      </c>
      <c r="AJ34">
        <v>0</v>
      </c>
      <c r="AK34">
        <v>0</v>
      </c>
      <c r="AL34">
        <v>0</v>
      </c>
      <c r="AM34">
        <v>0</v>
      </c>
      <c r="AN34">
        <v>1</v>
      </c>
      <c r="AO34">
        <v>1</v>
      </c>
      <c r="AP34">
        <v>0</v>
      </c>
      <c r="AQ34">
        <v>0</v>
      </c>
      <c r="AR34">
        <v>0</v>
      </c>
      <c r="AS34">
        <v>0</v>
      </c>
      <c r="AT34">
        <v>0</v>
      </c>
      <c r="AU34">
        <v>0</v>
      </c>
      <c r="AV34">
        <v>0</v>
      </c>
      <c r="AW34">
        <v>0</v>
      </c>
      <c r="AX34" s="141">
        <f>COUNTIF(V34:AW34,"&lt;&gt;0")</f>
        <v>2</v>
      </c>
      <c r="AY34" s="141">
        <f>COUNTIF(V34:AL34,"&lt;&gt;0")</f>
        <v>0</v>
      </c>
      <c r="AZ34">
        <f>COUNTIF(V34:AC34,"&lt;&gt;0")</f>
        <v>0</v>
      </c>
      <c r="BA34">
        <f>COUNTIF(AD34:AI34,"&lt;&gt;0")</f>
        <v>0</v>
      </c>
      <c r="BB34">
        <f>COUNTIF(AJ34:AL34,"&lt;&gt;0")</f>
        <v>0</v>
      </c>
      <c r="BC34">
        <f>COUNTIF(AS34:AW34,"&lt;&gt;0")</f>
        <v>0</v>
      </c>
      <c r="BD34">
        <f>COUNTIF(AM34:AR34,"&lt;&gt;0")</f>
        <v>2</v>
      </c>
      <c r="BE34" t="str" cm="1">
        <f t="array" ref="BE34">IF(AY34=1,INDEX($V$7:$AL$7,MATCH(TRUE,INDEX($V34:$AW34&lt;&gt;0,),0)),IF(AY34=0,INDEX($AM$7:$AW$7,MATCH(1,$AM34:$AW34,0)),IF(BF34="Multiple strategies","mixed drivers",IF(BF34="Supply chain","multiple supply","multiple silviculture"))))</f>
        <v>Temperature</v>
      </c>
      <c r="BF34" s="2" t="str" cm="1">
        <f t="array" ref="BF34">IF(COUNTIF(AZ34:BB34,"&lt;&gt;0")=1,INDEX($V$4:$AW$4,MATCH(TRUE,INDEX($V34:$AW34&lt;&gt;0,),0)),IF(COUNTIF(AZ34:BB34,"&lt;&gt;0")=0,INDEX($AM$4:$AW$4,MATCH(1,$AM34:$AW34,0)),"Multiple strategies"))</f>
        <v>Environmental change</v>
      </c>
      <c r="BG34" s="1" t="s">
        <v>230</v>
      </c>
      <c r="BH34" s="308" t="s">
        <v>2146</v>
      </c>
      <c r="BI34" s="266" t="s">
        <v>2393</v>
      </c>
      <c r="BJ34" s="308" t="s">
        <v>1060</v>
      </c>
      <c r="BK34">
        <v>7.0346938679999997</v>
      </c>
      <c r="BL34">
        <v>7.0346938679999997</v>
      </c>
      <c r="BM34" s="143">
        <f>BL34/BK34</f>
        <v>1</v>
      </c>
      <c r="BN34">
        <f>BL34-BK34</f>
        <v>0</v>
      </c>
      <c r="BO34">
        <f>+BN34*t_to_m3</f>
        <v>0</v>
      </c>
      <c r="BP34" s="308" t="s">
        <v>396</v>
      </c>
      <c r="BQ34" s="153" t="s">
        <v>3423</v>
      </c>
      <c r="BR34" s="266" t="s">
        <v>2395</v>
      </c>
      <c r="BS34">
        <v>-324.36363636363598</v>
      </c>
      <c r="BT34">
        <v>-315.636363636363</v>
      </c>
      <c r="BU34" s="144"/>
      <c r="BV34" s="144">
        <f>BT34-BS34</f>
        <v>8.7272727272729753</v>
      </c>
      <c r="BW34" s="144"/>
      <c r="BX34" s="144">
        <f>BV34*10^4/10^6</f>
        <v>8.727272727272975E-2</v>
      </c>
      <c r="BY34" t="str">
        <f>IFERROR(BX34/BO34,"")</f>
        <v/>
      </c>
      <c r="BZ34">
        <v>0</v>
      </c>
      <c r="CA34">
        <v>0</v>
      </c>
      <c r="CB34">
        <v>0</v>
      </c>
      <c r="CC34">
        <v>0</v>
      </c>
      <c r="CD34">
        <v>0</v>
      </c>
      <c r="CE34">
        <v>0</v>
      </c>
      <c r="CF34">
        <v>0</v>
      </c>
      <c r="CG34">
        <v>0</v>
      </c>
      <c r="CH34">
        <v>0</v>
      </c>
      <c r="CI34">
        <v>0</v>
      </c>
      <c r="CJ34">
        <v>0</v>
      </c>
      <c r="CK34">
        <v>0</v>
      </c>
      <c r="CL34">
        <v>0</v>
      </c>
      <c r="CM34">
        <v>1</v>
      </c>
      <c r="CN34" t="str">
        <f>IF($BL34&lt;$BK34,"refNeedCorrection","refOK")</f>
        <v>refOK</v>
      </c>
      <c r="CO34">
        <f>IF($CN34="refOK",$BK34,$BL34)</f>
        <v>7.0346938679999997</v>
      </c>
      <c r="CP34">
        <f>IF($CN34="refOK",$BL34,$BK34)</f>
        <v>7.0346938679999997</v>
      </c>
      <c r="CQ34">
        <f>IF($CN34="refOK",$BO34,-$BO34)</f>
        <v>0</v>
      </c>
      <c r="CR34">
        <f>IF($CN34="refOK",$BS34,$BT34)*IF($BP34="Emissions positive",-1,1)</f>
        <v>324.36363636363598</v>
      </c>
      <c r="CS34">
        <f>IF($CN34="refOK",$BT34,$BS34)*IF($BP34="Emissions positive",-1,1)</f>
        <v>315.636363636363</v>
      </c>
      <c r="CT34">
        <f>IF($CN34="refNeedCorrection",-BX34,BX34)*IF($BP34="Emissions positive",-1,1)</f>
        <v>-8.727272727272975E-2</v>
      </c>
      <c r="CU34" t="str">
        <f>IFERROR(CT34/CQ34,"")</f>
        <v/>
      </c>
      <c r="CV34" s="2">
        <f>IFERROR((CS34-CR34)/ABS(CR34),"")</f>
        <v>-2.6905829596413352E-2</v>
      </c>
      <c r="CW34" s="1" t="s">
        <v>1201</v>
      </c>
      <c r="CX34" s="266" t="str">
        <f>IF(OR($CW34="prd",$CW34="std",$CW34="cit"),"loc",IF(OR($CW34="eur",$CW34="reg",$CW34="coy"),"reg",$CW34))</f>
        <v>reg</v>
      </c>
      <c r="CY34" t="s">
        <v>236</v>
      </c>
      <c r="CZ34">
        <v>2020</v>
      </c>
      <c r="DA34">
        <v>2100</v>
      </c>
      <c r="DB34">
        <f>DA34-CZ34</f>
        <v>80</v>
      </c>
      <c r="DC34" t="str">
        <f>IF(DB34=0,"0",IF(AND(DB34&gt;=1,DB34&lt;=30),"1-30",IF(AND(DB34&gt;30,DB34&lt;=70),"31-70",IF(AND(DB34&gt;70,DB34&lt;=100),"71-100",IF(DB34&gt;100,"+100")))))</f>
        <v>71-100</v>
      </c>
      <c r="DD34">
        <v>0</v>
      </c>
      <c r="DE34">
        <v>1</v>
      </c>
      <c r="DF34">
        <v>0</v>
      </c>
      <c r="DG34">
        <v>1</v>
      </c>
      <c r="DH34"/>
      <c r="DI34">
        <f>SUM(DD34:DG34)</f>
        <v>2</v>
      </c>
      <c r="DJ34" t="str">
        <f>IF(DI34=1,INDEX($DD$7:$DG$7,MATCH(1,$DD34:$DG34,0)),"mixedProduct")</f>
        <v>mixedProduct</v>
      </c>
      <c r="DK34">
        <f>IF(DD34=1,DK$7,0)</f>
        <v>0</v>
      </c>
      <c r="DL34" t="str">
        <f>IF(DE34=1,DL$7,0)</f>
        <v>Energy</v>
      </c>
      <c r="DM34">
        <f>IF(DF34=1,DM$7,0)</f>
        <v>0</v>
      </c>
      <c r="DN34" t="str">
        <f>IF(DG34=1,DN$7,0)</f>
        <v>Timber</v>
      </c>
      <c r="DO34">
        <v>1</v>
      </c>
      <c r="DP34">
        <v>0</v>
      </c>
      <c r="DQ34">
        <v>0</v>
      </c>
      <c r="DR34">
        <v>0</v>
      </c>
      <c r="DS34">
        <v>0</v>
      </c>
      <c r="DT34">
        <f>SUM(DO34:DP34)</f>
        <v>1</v>
      </c>
      <c r="DU34" s="143" t="str">
        <f>IF(DO34=1,"self-calculated DF",IF(DP34=1,"external DF used","explicit C balance"))</f>
        <v>self-calculated DF</v>
      </c>
      <c r="DV34">
        <v>1</v>
      </c>
      <c r="DW34">
        <v>0</v>
      </c>
      <c r="DX34">
        <v>1</v>
      </c>
      <c r="DY34">
        <v>0</v>
      </c>
      <c r="DZ34">
        <v>0</v>
      </c>
      <c r="EA34" s="143">
        <v>0</v>
      </c>
      <c r="EB34">
        <v>0</v>
      </c>
      <c r="EC34">
        <v>0</v>
      </c>
      <c r="ED34">
        <v>0</v>
      </c>
      <c r="EE34">
        <v>0</v>
      </c>
      <c r="EF34">
        <v>1</v>
      </c>
      <c r="EG34">
        <v>0</v>
      </c>
      <c r="EH34">
        <v>0</v>
      </c>
      <c r="EI34" s="2">
        <v>0</v>
      </c>
      <c r="EJ34" s="1"/>
      <c r="EK34" t="str">
        <f>IF(AND(AND(AND(OR($DX34=1,$DW34=1),OR($EC34=1,$EA34=1)),SUM($DV34:$DZ34,$EF34)&gt;=4),SUM($EA34:$EE34)&gt;=2),"Whole sector","")</f>
        <v/>
      </c>
      <c r="EL34" t="str">
        <f>IF(AND(AND(OR($DX34=1,$DW34=1),AND($EC34=0,$EA34=0)),SUM($DV34:$DZ34,$EF34)&gt;=4),"Ecosystem approach","")</f>
        <v/>
      </c>
      <c r="EM34" s="2" t="str">
        <f>IF(AND(AND(AND($DX34=0,$DW34=0),OR($EC34=1,$EA34=1)),SUM($EB34:$EE34)&gt;=2),"Technology approach","")</f>
        <v/>
      </c>
      <c r="EN34" t="s">
        <v>2405</v>
      </c>
      <c r="EO34"/>
      <c r="EP34" t="b">
        <f>IF(ISNUMBER(BU34),IF(ABS(BU34-[1]QC_indicators!$B$2)&gt;3*[1]QC_indicators!$C$2,"C ratio",IF(ISNUMBER(BY34),IF(ABS(BY34-[1]QC_indicators!$B$1)&gt;3*[1]QC_indicators!$C$1,"DF","no"))),IF(ISNUMBER(BY34),IF(ABS(BY34-[1]QC_indicators!$B$1)&gt;3*[1]QC_indicators!$C$1,"DF","no")))</f>
        <v>0</v>
      </c>
      <c r="EQ34"/>
      <c r="ER34" s="266" t="s">
        <v>2396</v>
      </c>
      <c r="ES34"/>
      <c r="ET34" s="308" t="s">
        <v>3424</v>
      </c>
      <c r="EU34"/>
    </row>
    <row r="35" spans="1:151" s="139" customFormat="1" ht="15" hidden="1" customHeight="1">
      <c r="A35" s="1" t="s">
        <v>1104</v>
      </c>
      <c r="B35" t="s">
        <v>2383</v>
      </c>
      <c r="C35" t="s">
        <v>2384</v>
      </c>
      <c r="D35" t="s">
        <v>2385</v>
      </c>
      <c r="E35" t="s">
        <v>2386</v>
      </c>
      <c r="F35" t="s">
        <v>2387</v>
      </c>
      <c r="G35" t="s">
        <v>1110</v>
      </c>
      <c r="H35" t="s">
        <v>255</v>
      </c>
      <c r="I35">
        <v>2016</v>
      </c>
      <c r="J35">
        <v>13</v>
      </c>
      <c r="K35" t="s">
        <v>2388</v>
      </c>
      <c r="L35"/>
      <c r="M35" t="str">
        <f>LEFT($D35,FIND(",",$D35)-1)&amp;"_"&amp;I35&amp;L35</f>
        <v>Torssonen_2016</v>
      </c>
      <c r="N35" t="s">
        <v>223</v>
      </c>
      <c r="O35" s="145" t="s">
        <v>1156</v>
      </c>
      <c r="P35"/>
      <c r="Q35" s="266" t="s">
        <v>257</v>
      </c>
      <c r="R35" s="271" t="s">
        <v>342</v>
      </c>
      <c r="S35" s="1" t="s">
        <v>2406</v>
      </c>
      <c r="T35" s="266" t="s">
        <v>2421</v>
      </c>
      <c r="U35" t="s">
        <v>2423</v>
      </c>
      <c r="V35">
        <v>0</v>
      </c>
      <c r="W35">
        <v>0</v>
      </c>
      <c r="X35">
        <v>0</v>
      </c>
      <c r="Y35">
        <v>0</v>
      </c>
      <c r="Z35">
        <v>0</v>
      </c>
      <c r="AA35">
        <v>0</v>
      </c>
      <c r="AB35">
        <v>0</v>
      </c>
      <c r="AC35">
        <v>0</v>
      </c>
      <c r="AD35">
        <v>0</v>
      </c>
      <c r="AE35">
        <v>0</v>
      </c>
      <c r="AF35">
        <v>0</v>
      </c>
      <c r="AG35">
        <v>0</v>
      </c>
      <c r="AH35">
        <v>0</v>
      </c>
      <c r="AI35">
        <v>0</v>
      </c>
      <c r="AJ35">
        <v>0</v>
      </c>
      <c r="AK35">
        <v>0</v>
      </c>
      <c r="AL35">
        <v>0</v>
      </c>
      <c r="AM35">
        <v>0</v>
      </c>
      <c r="AN35">
        <v>1</v>
      </c>
      <c r="AO35">
        <v>1</v>
      </c>
      <c r="AP35">
        <v>0</v>
      </c>
      <c r="AQ35">
        <v>0</v>
      </c>
      <c r="AR35">
        <v>0</v>
      </c>
      <c r="AS35">
        <v>0</v>
      </c>
      <c r="AT35">
        <v>0</v>
      </c>
      <c r="AU35">
        <v>0</v>
      </c>
      <c r="AV35">
        <v>0</v>
      </c>
      <c r="AW35">
        <v>0</v>
      </c>
      <c r="AX35" s="141">
        <f>COUNTIF(V35:AW35,"&lt;&gt;0")</f>
        <v>2</v>
      </c>
      <c r="AY35" s="141">
        <f>COUNTIF(V35:AL35,"&lt;&gt;0")</f>
        <v>0</v>
      </c>
      <c r="AZ35">
        <f>COUNTIF(V35:AC35,"&lt;&gt;0")</f>
        <v>0</v>
      </c>
      <c r="BA35">
        <f>COUNTIF(AD35:AI35,"&lt;&gt;0")</f>
        <v>0</v>
      </c>
      <c r="BB35">
        <f>COUNTIF(AJ35:AL35,"&lt;&gt;0")</f>
        <v>0</v>
      </c>
      <c r="BC35">
        <f>COUNTIF(AS35:AW35,"&lt;&gt;0")</f>
        <v>0</v>
      </c>
      <c r="BD35">
        <f>COUNTIF(AM35:AR35,"&lt;&gt;0")</f>
        <v>2</v>
      </c>
      <c r="BE35" t="str" cm="1">
        <f t="array" ref="BE35">IF(AY35=1,INDEX($V$7:$AL$7,MATCH(TRUE,INDEX($V35:$AW35&lt;&gt;0,),0)),IF(AY35=0,INDEX($AM$7:$AW$7,MATCH(1,$AM35:$AW35,0)),IF(BF35="Multiple strategies","mixed drivers",IF(BF35="Supply chain","multiple supply","multiple silviculture"))))</f>
        <v>Temperature</v>
      </c>
      <c r="BF35" s="2" t="str" cm="1">
        <f t="array" ref="BF35">IF(COUNTIF(AZ35:BB35,"&lt;&gt;0")=1,INDEX($V$4:$AW$4,MATCH(TRUE,INDEX($V35:$AW35&lt;&gt;0,),0)),IF(COUNTIF(AZ35:BB35,"&lt;&gt;0")=0,INDEX($AM$4:$AW$4,MATCH(1,$AM35:$AW35,0)),"Multiple strategies"))</f>
        <v>Environmental change</v>
      </c>
      <c r="BG35" s="1" t="s">
        <v>230</v>
      </c>
      <c r="BH35" s="308" t="s">
        <v>2146</v>
      </c>
      <c r="BI35" s="266" t="s">
        <v>2393</v>
      </c>
      <c r="BJ35" s="308" t="s">
        <v>1060</v>
      </c>
      <c r="BK35">
        <v>7.0346938679999997</v>
      </c>
      <c r="BL35">
        <v>7.1551020310000002</v>
      </c>
      <c r="BM35" s="143">
        <f>BL35/BK35</f>
        <v>1.0171163330287509</v>
      </c>
      <c r="BN35">
        <f>BL35-BK35</f>
        <v>0.12040816300000046</v>
      </c>
      <c r="BO35">
        <f>+BN35*t_to_m3</f>
        <v>0.24573094489796013</v>
      </c>
      <c r="BP35" s="308" t="s">
        <v>396</v>
      </c>
      <c r="BQ35" s="153" t="s">
        <v>3423</v>
      </c>
      <c r="BR35" s="266" t="s">
        <v>2395</v>
      </c>
      <c r="BS35">
        <v>-324.36363636363598</v>
      </c>
      <c r="BT35">
        <v>-320</v>
      </c>
      <c r="BU35" s="144"/>
      <c r="BV35" s="144">
        <f>BT35-BS35</f>
        <v>4.3636363636359761</v>
      </c>
      <c r="BW35" s="144"/>
      <c r="BX35" s="144">
        <f>BV35*10^4/10^6</f>
        <v>4.3636363636359761E-2</v>
      </c>
      <c r="BY35">
        <f>IFERROR(BX35/BO35,"")</f>
        <v>0.17757781240974668</v>
      </c>
      <c r="BZ35">
        <v>0</v>
      </c>
      <c r="CA35">
        <v>0</v>
      </c>
      <c r="CB35">
        <v>0</v>
      </c>
      <c r="CC35">
        <v>0</v>
      </c>
      <c r="CD35">
        <v>0</v>
      </c>
      <c r="CE35">
        <v>0</v>
      </c>
      <c r="CF35">
        <v>0</v>
      </c>
      <c r="CG35">
        <v>0</v>
      </c>
      <c r="CH35">
        <v>0</v>
      </c>
      <c r="CI35">
        <v>0</v>
      </c>
      <c r="CJ35">
        <v>0</v>
      </c>
      <c r="CK35">
        <v>0</v>
      </c>
      <c r="CL35">
        <v>0</v>
      </c>
      <c r="CM35">
        <v>1</v>
      </c>
      <c r="CN35" t="str">
        <f>IF($BL35&lt;$BK35,"refNeedCorrection","refOK")</f>
        <v>refOK</v>
      </c>
      <c r="CO35">
        <f>IF($CN35="refOK",$BK35,$BL35)</f>
        <v>7.0346938679999997</v>
      </c>
      <c r="CP35">
        <f>IF($CN35="refOK",$BL35,$BK35)</f>
        <v>7.1551020310000002</v>
      </c>
      <c r="CQ35">
        <f>IF($CN35="refOK",$BO35,-$BO35)</f>
        <v>0.24573094489796013</v>
      </c>
      <c r="CR35">
        <f>IF($CN35="refOK",$BS35,$BT35)*IF($BP35="Emissions positive",-1,1)</f>
        <v>324.36363636363598</v>
      </c>
      <c r="CS35">
        <f>IF($CN35="refOK",$BT35,$BS35)*IF($BP35="Emissions positive",-1,1)</f>
        <v>320</v>
      </c>
      <c r="CT35">
        <f>IF($CN35="refNeedCorrection",-BX35,BX35)*IF($BP35="Emissions positive",-1,1)</f>
        <v>-4.3636363636359761E-2</v>
      </c>
      <c r="CU35">
        <f>IFERROR(CT35/CQ35,"")</f>
        <v>-0.17757781240974668</v>
      </c>
      <c r="CV35" s="2">
        <f>IFERROR((CS35-CR35)/ABS(CR35),"")</f>
        <v>-1.3452914798205099E-2</v>
      </c>
      <c r="CW35" s="1" t="s">
        <v>1201</v>
      </c>
      <c r="CX35" s="266" t="str">
        <f>IF(OR($CW35="prd",$CW35="std",$CW35="cit"),"loc",IF(OR($CW35="eur",$CW35="reg",$CW35="coy"),"reg",$CW35))</f>
        <v>reg</v>
      </c>
      <c r="CY35" t="s">
        <v>236</v>
      </c>
      <c r="CZ35">
        <v>2020</v>
      </c>
      <c r="DA35">
        <v>2100</v>
      </c>
      <c r="DB35">
        <f>DA35-CZ35</f>
        <v>80</v>
      </c>
      <c r="DC35" t="str">
        <f>IF(DB35=0,"0",IF(AND(DB35&gt;=1,DB35&lt;=30),"1-30",IF(AND(DB35&gt;30,DB35&lt;=70),"31-70",IF(AND(DB35&gt;70,DB35&lt;=100),"71-100",IF(DB35&gt;100,"+100")))))</f>
        <v>71-100</v>
      </c>
      <c r="DD35">
        <v>0</v>
      </c>
      <c r="DE35">
        <v>1</v>
      </c>
      <c r="DF35">
        <v>0</v>
      </c>
      <c r="DG35">
        <v>1</v>
      </c>
      <c r="DH35"/>
      <c r="DI35">
        <f>SUM(DD35:DG35)</f>
        <v>2</v>
      </c>
      <c r="DJ35" t="str">
        <f>IF(DI35=1,INDEX($DD$7:$DG$7,MATCH(1,$DD35:$DG35,0)),"mixedProduct")</f>
        <v>mixedProduct</v>
      </c>
      <c r="DK35">
        <f>IF(DD35=1,DK$7,0)</f>
        <v>0</v>
      </c>
      <c r="DL35" t="str">
        <f>IF(DE35=1,DL$7,0)</f>
        <v>Energy</v>
      </c>
      <c r="DM35">
        <f>IF(DF35=1,DM$7,0)</f>
        <v>0</v>
      </c>
      <c r="DN35" t="str">
        <f>IF(DG35=1,DN$7,0)</f>
        <v>Timber</v>
      </c>
      <c r="DO35">
        <v>1</v>
      </c>
      <c r="DP35">
        <v>0</v>
      </c>
      <c r="DQ35">
        <v>0</v>
      </c>
      <c r="DR35">
        <v>0</v>
      </c>
      <c r="DS35">
        <v>0</v>
      </c>
      <c r="DT35">
        <f>SUM(DO35:DP35)</f>
        <v>1</v>
      </c>
      <c r="DU35" s="143" t="str">
        <f>IF(DO35=1,"self-calculated DF",IF(DP35=1,"external DF used","explicit C balance"))</f>
        <v>self-calculated DF</v>
      </c>
      <c r="DV35">
        <v>1</v>
      </c>
      <c r="DW35">
        <v>0</v>
      </c>
      <c r="DX35">
        <v>1</v>
      </c>
      <c r="DY35">
        <v>0</v>
      </c>
      <c r="DZ35">
        <v>0</v>
      </c>
      <c r="EA35" s="143">
        <v>0</v>
      </c>
      <c r="EB35">
        <v>0</v>
      </c>
      <c r="EC35">
        <v>0</v>
      </c>
      <c r="ED35">
        <v>0</v>
      </c>
      <c r="EE35">
        <v>0</v>
      </c>
      <c r="EF35">
        <v>1</v>
      </c>
      <c r="EG35">
        <v>0</v>
      </c>
      <c r="EH35">
        <v>0</v>
      </c>
      <c r="EI35" s="2">
        <v>0</v>
      </c>
      <c r="EJ35" s="1"/>
      <c r="EK35" t="str">
        <f>IF(AND(AND(AND(OR($DX35=1,$DW35=1),OR($EC35=1,$EA35=1)),SUM($DV35:$DZ35,$EF35)&gt;=4),SUM($EA35:$EE35)&gt;=2),"Whole sector","")</f>
        <v/>
      </c>
      <c r="EL35" t="str">
        <f>IF(AND(AND(OR($DX35=1,$DW35=1),AND($EC35=0,$EA35=0)),SUM($DV35:$DZ35,$EF35)&gt;=4),"Ecosystem approach","")</f>
        <v/>
      </c>
      <c r="EM35" s="2" t="str">
        <f>IF(AND(AND(AND($DX35=0,$DW35=0),OR($EC35=1,$EA35=1)),SUM($EB35:$EE35)&gt;=2),"Technology approach","")</f>
        <v/>
      </c>
      <c r="EN35" t="s">
        <v>2405</v>
      </c>
      <c r="EO35"/>
      <c r="EP35" t="str">
        <f>IF(ISNUMBER(BU35),IF(ABS(BU35-[1]QC_indicators!$B$2)&gt;3*[1]QC_indicators!$C$2,"C ratio",IF(ISNUMBER(BY35),IF(ABS(BY35-[1]QC_indicators!$B$1)&gt;3*[1]QC_indicators!$C$1,"DF","no"))),IF(ISNUMBER(BY35),IF(ABS(BY35-[1]QC_indicators!$B$1)&gt;3*[1]QC_indicators!$C$1,"DF","no")))</f>
        <v>no</v>
      </c>
      <c r="EQ35"/>
      <c r="ER35" s="266" t="s">
        <v>2396</v>
      </c>
      <c r="ES35"/>
      <c r="ET35" s="308" t="s">
        <v>3424</v>
      </c>
      <c r="EU35"/>
    </row>
    <row r="36" spans="1:151" s="139" customFormat="1" ht="15" hidden="1" customHeight="1">
      <c r="A36" s="1" t="s">
        <v>1104</v>
      </c>
      <c r="B36" t="s">
        <v>2383</v>
      </c>
      <c r="C36" t="s">
        <v>2384</v>
      </c>
      <c r="D36" t="s">
        <v>2385</v>
      </c>
      <c r="E36" t="s">
        <v>2386</v>
      </c>
      <c r="F36" t="s">
        <v>2387</v>
      </c>
      <c r="G36" t="s">
        <v>1110</v>
      </c>
      <c r="H36" t="s">
        <v>255</v>
      </c>
      <c r="I36">
        <v>2016</v>
      </c>
      <c r="J36">
        <v>13</v>
      </c>
      <c r="K36" t="s">
        <v>2388</v>
      </c>
      <c r="L36"/>
      <c r="M36" t="str">
        <f>LEFT($D36,FIND(",",$D36)-1)&amp;"_"&amp;I36&amp;L36</f>
        <v>Torssonen_2016</v>
      </c>
      <c r="N36" t="s">
        <v>223</v>
      </c>
      <c r="O36" s="145" t="s">
        <v>1156</v>
      </c>
      <c r="P36"/>
      <c r="Q36" s="266" t="s">
        <v>257</v>
      </c>
      <c r="R36" s="271" t="s">
        <v>342</v>
      </c>
      <c r="S36" s="1" t="s">
        <v>2402</v>
      </c>
      <c r="T36" s="266" t="s">
        <v>2424</v>
      </c>
      <c r="U36" t="s">
        <v>2425</v>
      </c>
      <c r="V36">
        <v>0</v>
      </c>
      <c r="W36">
        <v>0</v>
      </c>
      <c r="X36">
        <v>0</v>
      </c>
      <c r="Y36">
        <v>0</v>
      </c>
      <c r="Z36">
        <v>0</v>
      </c>
      <c r="AA36">
        <v>0</v>
      </c>
      <c r="AB36">
        <v>0</v>
      </c>
      <c r="AC36">
        <v>0</v>
      </c>
      <c r="AD36">
        <v>0</v>
      </c>
      <c r="AE36">
        <v>0</v>
      </c>
      <c r="AF36">
        <v>0</v>
      </c>
      <c r="AG36">
        <v>0</v>
      </c>
      <c r="AH36">
        <v>0</v>
      </c>
      <c r="AI36">
        <v>0</v>
      </c>
      <c r="AJ36">
        <v>0</v>
      </c>
      <c r="AK36">
        <v>0</v>
      </c>
      <c r="AL36">
        <v>0</v>
      </c>
      <c r="AM36">
        <v>0</v>
      </c>
      <c r="AN36">
        <v>1</v>
      </c>
      <c r="AO36">
        <v>1</v>
      </c>
      <c r="AP36">
        <v>0</v>
      </c>
      <c r="AQ36">
        <v>0</v>
      </c>
      <c r="AR36">
        <v>0</v>
      </c>
      <c r="AS36">
        <v>0</v>
      </c>
      <c r="AT36">
        <v>0</v>
      </c>
      <c r="AU36">
        <v>0</v>
      </c>
      <c r="AV36">
        <v>0</v>
      </c>
      <c r="AW36">
        <v>0</v>
      </c>
      <c r="AX36" s="141">
        <f>COUNTIF(V36:AW36,"&lt;&gt;0")</f>
        <v>2</v>
      </c>
      <c r="AY36" s="141">
        <f>COUNTIF(V36:AL36,"&lt;&gt;0")</f>
        <v>0</v>
      </c>
      <c r="AZ36">
        <f>COUNTIF(V36:AC36,"&lt;&gt;0")</f>
        <v>0</v>
      </c>
      <c r="BA36">
        <f>COUNTIF(AD36:AI36,"&lt;&gt;0")</f>
        <v>0</v>
      </c>
      <c r="BB36">
        <f>COUNTIF(AJ36:AL36,"&lt;&gt;0")</f>
        <v>0</v>
      </c>
      <c r="BC36">
        <f>COUNTIF(AS36:AW36,"&lt;&gt;0")</f>
        <v>0</v>
      </c>
      <c r="BD36">
        <f>COUNTIF(AM36:AR36,"&lt;&gt;0")</f>
        <v>2</v>
      </c>
      <c r="BE36" t="str" cm="1">
        <f t="array" ref="BE36">IF(AY36=1,INDEX($V$7:$AL$7,MATCH(TRUE,INDEX($V36:$AW36&lt;&gt;0,),0)),IF(AY36=0,INDEX($AM$7:$AW$7,MATCH(1,$AM36:$AW36,0)),IF(BF36="Multiple strategies","mixed drivers",IF(BF36="Supply chain","multiple supply","multiple silviculture"))))</f>
        <v>Temperature</v>
      </c>
      <c r="BF36" s="2" t="str" cm="1">
        <f t="array" ref="BF36">IF(COUNTIF(AZ36:BB36,"&lt;&gt;0")=1,INDEX($V$4:$AW$4,MATCH(TRUE,INDEX($V36:$AW36&lt;&gt;0,),0)),IF(COUNTIF(AZ36:BB36,"&lt;&gt;0")=0,INDEX($AM$4:$AW$4,MATCH(1,$AM36:$AW36,0)),"Multiple strategies"))</f>
        <v>Environmental change</v>
      </c>
      <c r="BG36" s="1" t="s">
        <v>230</v>
      </c>
      <c r="BH36" s="308" t="s">
        <v>2146</v>
      </c>
      <c r="BI36" s="266" t="s">
        <v>2393</v>
      </c>
      <c r="BJ36" s="308" t="s">
        <v>1060</v>
      </c>
      <c r="BK36">
        <v>6.9183673350000001</v>
      </c>
      <c r="BL36">
        <v>7.0387754979999997</v>
      </c>
      <c r="BM36" s="143">
        <f>BL36/BK36</f>
        <v>1.0174041297851959</v>
      </c>
      <c r="BN36">
        <f>BL36-BK36</f>
        <v>0.12040816299999957</v>
      </c>
      <c r="BO36">
        <f>+BN36*t_to_m3</f>
        <v>0.2457309448979583</v>
      </c>
      <c r="BP36" s="308" t="s">
        <v>396</v>
      </c>
      <c r="BQ36" s="153" t="s">
        <v>3423</v>
      </c>
      <c r="BR36" s="266" t="s">
        <v>2395</v>
      </c>
      <c r="BS36">
        <v>-353.45454545454498</v>
      </c>
      <c r="BT36">
        <v>-354.90909090909099</v>
      </c>
      <c r="BU36" s="144"/>
      <c r="BV36" s="144">
        <f>BT36-BS36</f>
        <v>-1.4545454545460075</v>
      </c>
      <c r="BW36" s="144"/>
      <c r="BX36" s="144">
        <f>BV36*10^4/10^6</f>
        <v>-1.4545454545460074E-2</v>
      </c>
      <c r="BY36">
        <f>IFERROR(BX36/BO36,"")</f>
        <v>-5.919260413661042E-2</v>
      </c>
      <c r="BZ36">
        <v>0</v>
      </c>
      <c r="CA36">
        <v>0</v>
      </c>
      <c r="CB36">
        <v>0</v>
      </c>
      <c r="CC36">
        <v>0</v>
      </c>
      <c r="CD36">
        <v>0</v>
      </c>
      <c r="CE36">
        <v>0</v>
      </c>
      <c r="CF36">
        <v>0</v>
      </c>
      <c r="CG36">
        <v>0</v>
      </c>
      <c r="CH36">
        <v>0</v>
      </c>
      <c r="CI36">
        <v>0</v>
      </c>
      <c r="CJ36">
        <v>0</v>
      </c>
      <c r="CK36">
        <v>0</v>
      </c>
      <c r="CL36">
        <v>0</v>
      </c>
      <c r="CM36">
        <v>1</v>
      </c>
      <c r="CN36" t="str">
        <f>IF($BL36&lt;$BK36,"refNeedCorrection","refOK")</f>
        <v>refOK</v>
      </c>
      <c r="CO36">
        <f>IF($CN36="refOK",$BK36,$BL36)</f>
        <v>6.9183673350000001</v>
      </c>
      <c r="CP36">
        <f>IF($CN36="refOK",$BL36,$BK36)</f>
        <v>7.0387754979999997</v>
      </c>
      <c r="CQ36">
        <f>IF($CN36="refOK",$BO36,-$BO36)</f>
        <v>0.2457309448979583</v>
      </c>
      <c r="CR36">
        <f>IF($CN36="refOK",$BS36,$BT36)*IF($BP36="Emissions positive",-1,1)</f>
        <v>353.45454545454498</v>
      </c>
      <c r="CS36">
        <f>IF($CN36="refOK",$BT36,$BS36)*IF($BP36="Emissions positive",-1,1)</f>
        <v>354.90909090909099</v>
      </c>
      <c r="CT36">
        <f>IF($CN36="refNeedCorrection",-BX36,BX36)*IF($BP36="Emissions positive",-1,1)</f>
        <v>1.4545454545460074E-2</v>
      </c>
      <c r="CU36">
        <f>IFERROR(CT36/CQ36,"")</f>
        <v>5.919260413661042E-2</v>
      </c>
      <c r="CV36" s="2">
        <f>IFERROR((CS36-CR36)/ABS(CR36),"")</f>
        <v>4.1152263374501291E-3</v>
      </c>
      <c r="CW36" s="1" t="s">
        <v>1201</v>
      </c>
      <c r="CX36" s="266" t="str">
        <f>IF(OR($CW36="prd",$CW36="std",$CW36="cit"),"loc",IF(OR($CW36="eur",$CW36="reg",$CW36="coy"),"reg",$CW36))</f>
        <v>reg</v>
      </c>
      <c r="CY36" t="s">
        <v>236</v>
      </c>
      <c r="CZ36">
        <v>2020</v>
      </c>
      <c r="DA36">
        <v>2100</v>
      </c>
      <c r="DB36">
        <f>DA36-CZ36</f>
        <v>80</v>
      </c>
      <c r="DC36" t="str">
        <f>IF(DB36=0,"0",IF(AND(DB36&gt;=1,DB36&lt;=30),"1-30",IF(AND(DB36&gt;30,DB36&lt;=70),"31-70",IF(AND(DB36&gt;70,DB36&lt;=100),"71-100",IF(DB36&gt;100,"+100")))))</f>
        <v>71-100</v>
      </c>
      <c r="DD36">
        <v>0</v>
      </c>
      <c r="DE36">
        <v>1</v>
      </c>
      <c r="DF36">
        <v>0</v>
      </c>
      <c r="DG36">
        <v>1</v>
      </c>
      <c r="DH36"/>
      <c r="DI36">
        <f>SUM(DD36:DG36)</f>
        <v>2</v>
      </c>
      <c r="DJ36" t="str">
        <f>IF(DI36=1,INDEX($DD$7:$DG$7,MATCH(1,$DD36:$DG36,0)),"mixedProduct")</f>
        <v>mixedProduct</v>
      </c>
      <c r="DK36">
        <f>IF(DD36=1,DK$7,0)</f>
        <v>0</v>
      </c>
      <c r="DL36" t="str">
        <f>IF(DE36=1,DL$7,0)</f>
        <v>Energy</v>
      </c>
      <c r="DM36">
        <f>IF(DF36=1,DM$7,0)</f>
        <v>0</v>
      </c>
      <c r="DN36" t="str">
        <f>IF(DG36=1,DN$7,0)</f>
        <v>Timber</v>
      </c>
      <c r="DO36">
        <v>1</v>
      </c>
      <c r="DP36">
        <v>0</v>
      </c>
      <c r="DQ36">
        <v>0</v>
      </c>
      <c r="DR36">
        <v>0</v>
      </c>
      <c r="DS36">
        <v>0</v>
      </c>
      <c r="DT36">
        <f>SUM(DO36:DP36)</f>
        <v>1</v>
      </c>
      <c r="DU36" s="143" t="str">
        <f>IF(DO36=1,"self-calculated DF",IF(DP36=1,"external DF used","explicit C balance"))</f>
        <v>self-calculated DF</v>
      </c>
      <c r="DV36">
        <v>1</v>
      </c>
      <c r="DW36">
        <v>0</v>
      </c>
      <c r="DX36">
        <v>1</v>
      </c>
      <c r="DY36">
        <v>0</v>
      </c>
      <c r="DZ36">
        <v>0</v>
      </c>
      <c r="EA36" s="143">
        <v>0</v>
      </c>
      <c r="EB36">
        <v>0</v>
      </c>
      <c r="EC36">
        <v>0</v>
      </c>
      <c r="ED36">
        <v>0</v>
      </c>
      <c r="EE36">
        <v>0</v>
      </c>
      <c r="EF36">
        <v>1</v>
      </c>
      <c r="EG36">
        <v>0</v>
      </c>
      <c r="EH36">
        <v>0</v>
      </c>
      <c r="EI36" s="2">
        <v>0</v>
      </c>
      <c r="EJ36" s="1"/>
      <c r="EK36" t="str">
        <f>IF(AND(AND(AND(OR($DX36=1,$DW36=1),OR($EC36=1,$EA36=1)),SUM($DV36:$DZ36,$EF36)&gt;=4),SUM($EA36:$EE36)&gt;=2),"Whole sector","")</f>
        <v/>
      </c>
      <c r="EL36" t="str">
        <f>IF(AND(AND(OR($DX36=1,$DW36=1),AND($EC36=0,$EA36=0)),SUM($DV36:$DZ36,$EF36)&gt;=4),"Ecosystem approach","")</f>
        <v/>
      </c>
      <c r="EM36" s="2" t="str">
        <f>IF(AND(AND(AND($DX36=0,$DW36=0),OR($EC36=1,$EA36=1)),SUM($EB36:$EE36)&gt;=2),"Technology approach","")</f>
        <v/>
      </c>
      <c r="EN36" t="s">
        <v>2405</v>
      </c>
      <c r="EO36"/>
      <c r="EP36" t="str">
        <f>IF(ISNUMBER(BU36),IF(ABS(BU36-[1]QC_indicators!$B$2)&gt;3*[1]QC_indicators!$C$2,"C ratio",IF(ISNUMBER(BY36),IF(ABS(BY36-[1]QC_indicators!$B$1)&gt;3*[1]QC_indicators!$C$1,"DF","no"))),IF(ISNUMBER(BY36),IF(ABS(BY36-[1]QC_indicators!$B$1)&gt;3*[1]QC_indicators!$C$1,"DF","no")))</f>
        <v>no</v>
      </c>
      <c r="EQ36"/>
      <c r="ER36" s="266" t="s">
        <v>2396</v>
      </c>
      <c r="ES36"/>
      <c r="ET36" s="308" t="s">
        <v>3424</v>
      </c>
      <c r="EU36"/>
    </row>
    <row r="37" spans="1:151" s="139" customFormat="1" ht="15" hidden="1" customHeight="1">
      <c r="A37" s="1" t="s">
        <v>1104</v>
      </c>
      <c r="B37" t="s">
        <v>2383</v>
      </c>
      <c r="C37" t="s">
        <v>2384</v>
      </c>
      <c r="D37" t="s">
        <v>2385</v>
      </c>
      <c r="E37" t="s">
        <v>2386</v>
      </c>
      <c r="F37" t="s">
        <v>2387</v>
      </c>
      <c r="G37" t="s">
        <v>1110</v>
      </c>
      <c r="H37" t="s">
        <v>255</v>
      </c>
      <c r="I37">
        <v>2016</v>
      </c>
      <c r="J37">
        <v>13</v>
      </c>
      <c r="K37" t="s">
        <v>2388</v>
      </c>
      <c r="L37"/>
      <c r="M37" t="str">
        <f>LEFT($D37,FIND(",",$D37)-1)&amp;"_"&amp;I37&amp;L37</f>
        <v>Torssonen_2016</v>
      </c>
      <c r="N37" t="s">
        <v>223</v>
      </c>
      <c r="O37" s="145" t="s">
        <v>1156</v>
      </c>
      <c r="P37"/>
      <c r="Q37" s="266" t="s">
        <v>257</v>
      </c>
      <c r="R37" s="271" t="s">
        <v>342</v>
      </c>
      <c r="S37" s="1" t="s">
        <v>2406</v>
      </c>
      <c r="T37" s="266" t="s">
        <v>2424</v>
      </c>
      <c r="U37" t="s">
        <v>2426</v>
      </c>
      <c r="V37">
        <v>0</v>
      </c>
      <c r="W37">
        <v>0</v>
      </c>
      <c r="X37">
        <v>0</v>
      </c>
      <c r="Y37">
        <v>0</v>
      </c>
      <c r="Z37">
        <v>0</v>
      </c>
      <c r="AA37">
        <v>0</v>
      </c>
      <c r="AB37">
        <v>0</v>
      </c>
      <c r="AC37">
        <v>0</v>
      </c>
      <c r="AD37">
        <v>0</v>
      </c>
      <c r="AE37">
        <v>0</v>
      </c>
      <c r="AF37">
        <v>0</v>
      </c>
      <c r="AG37">
        <v>0</v>
      </c>
      <c r="AH37">
        <v>0</v>
      </c>
      <c r="AI37">
        <v>0</v>
      </c>
      <c r="AJ37">
        <v>0</v>
      </c>
      <c r="AK37">
        <v>0</v>
      </c>
      <c r="AL37">
        <v>0</v>
      </c>
      <c r="AM37">
        <v>0</v>
      </c>
      <c r="AN37">
        <v>1</v>
      </c>
      <c r="AO37">
        <v>1</v>
      </c>
      <c r="AP37">
        <v>0</v>
      </c>
      <c r="AQ37">
        <v>0</v>
      </c>
      <c r="AR37">
        <v>0</v>
      </c>
      <c r="AS37">
        <v>0</v>
      </c>
      <c r="AT37">
        <v>0</v>
      </c>
      <c r="AU37">
        <v>0</v>
      </c>
      <c r="AV37">
        <v>0</v>
      </c>
      <c r="AW37">
        <v>0</v>
      </c>
      <c r="AX37" s="141">
        <f>COUNTIF(V37:AW37,"&lt;&gt;0")</f>
        <v>2</v>
      </c>
      <c r="AY37" s="141">
        <f>COUNTIF(V37:AL37,"&lt;&gt;0")</f>
        <v>0</v>
      </c>
      <c r="AZ37">
        <f>COUNTIF(V37:AC37,"&lt;&gt;0")</f>
        <v>0</v>
      </c>
      <c r="BA37">
        <f>COUNTIF(AD37:AI37,"&lt;&gt;0")</f>
        <v>0</v>
      </c>
      <c r="BB37">
        <f>COUNTIF(AJ37:AL37,"&lt;&gt;0")</f>
        <v>0</v>
      </c>
      <c r="BC37">
        <f>COUNTIF(AS37:AW37,"&lt;&gt;0")</f>
        <v>0</v>
      </c>
      <c r="BD37">
        <f>COUNTIF(AM37:AR37,"&lt;&gt;0")</f>
        <v>2</v>
      </c>
      <c r="BE37" t="str" cm="1">
        <f t="array" ref="BE37">IF(AY37=1,INDEX($V$7:$AL$7,MATCH(TRUE,INDEX($V37:$AW37&lt;&gt;0,),0)),IF(AY37=0,INDEX($AM$7:$AW$7,MATCH(1,$AM37:$AW37,0)),IF(BF37="Multiple strategies","mixed drivers",IF(BF37="Supply chain","multiple supply","multiple silviculture"))))</f>
        <v>Temperature</v>
      </c>
      <c r="BF37" s="2" t="str" cm="1">
        <f t="array" ref="BF37">IF(COUNTIF(AZ37:BB37,"&lt;&gt;0")=1,INDEX($V$4:$AW$4,MATCH(TRUE,INDEX($V37:$AW37&lt;&gt;0,),0)),IF(COUNTIF(AZ37:BB37,"&lt;&gt;0")=0,INDEX($AM$4:$AW$4,MATCH(1,$AM37:$AW37,0)),"Multiple strategies"))</f>
        <v>Environmental change</v>
      </c>
      <c r="BG37" s="1" t="s">
        <v>230</v>
      </c>
      <c r="BH37" s="308" t="s">
        <v>2146</v>
      </c>
      <c r="BI37" s="266" t="s">
        <v>2393</v>
      </c>
      <c r="BJ37" s="308" t="s">
        <v>1060</v>
      </c>
      <c r="BK37">
        <v>6.9183673350000001</v>
      </c>
      <c r="BL37">
        <v>7.0183673349999998</v>
      </c>
      <c r="BM37" s="143">
        <f>BL37/BK37</f>
        <v>1.014454277311079</v>
      </c>
      <c r="BN37">
        <f>BL37-BK37</f>
        <v>9.9999999999999645E-2</v>
      </c>
      <c r="BO37">
        <f>+BN37*t_to_m3</f>
        <v>0.20408163265306051</v>
      </c>
      <c r="BP37" s="308" t="s">
        <v>396</v>
      </c>
      <c r="BQ37" s="153" t="s">
        <v>3423</v>
      </c>
      <c r="BR37" s="266" t="s">
        <v>2395</v>
      </c>
      <c r="BS37">
        <v>-353.45454545454498</v>
      </c>
      <c r="BT37">
        <v>-359.27272727272702</v>
      </c>
      <c r="BU37" s="144"/>
      <c r="BV37" s="144">
        <f>BT37-BS37</f>
        <v>-5.8181818181820404</v>
      </c>
      <c r="BW37" s="144"/>
      <c r="BX37" s="144">
        <f>BV37*10^4/10^6</f>
        <v>-5.8181818181820402E-2</v>
      </c>
      <c r="BY37">
        <f>IFERROR(BX37/BO37,"")</f>
        <v>-0.285090909090921</v>
      </c>
      <c r="BZ37">
        <v>0</v>
      </c>
      <c r="CA37">
        <v>0</v>
      </c>
      <c r="CB37">
        <v>0</v>
      </c>
      <c r="CC37">
        <v>0</v>
      </c>
      <c r="CD37">
        <v>0</v>
      </c>
      <c r="CE37">
        <v>0</v>
      </c>
      <c r="CF37">
        <v>0</v>
      </c>
      <c r="CG37">
        <v>0</v>
      </c>
      <c r="CH37">
        <v>0</v>
      </c>
      <c r="CI37">
        <v>0</v>
      </c>
      <c r="CJ37">
        <v>0</v>
      </c>
      <c r="CK37">
        <v>0</v>
      </c>
      <c r="CL37">
        <v>0</v>
      </c>
      <c r="CM37">
        <v>1</v>
      </c>
      <c r="CN37" t="str">
        <f>IF($BL37&lt;$BK37,"refNeedCorrection","refOK")</f>
        <v>refOK</v>
      </c>
      <c r="CO37">
        <f>IF($CN37="refOK",$BK37,$BL37)</f>
        <v>6.9183673350000001</v>
      </c>
      <c r="CP37">
        <f>IF($CN37="refOK",$BL37,$BK37)</f>
        <v>7.0183673349999998</v>
      </c>
      <c r="CQ37">
        <f>IF($CN37="refOK",$BO37,-$BO37)</f>
        <v>0.20408163265306051</v>
      </c>
      <c r="CR37">
        <f>IF($CN37="refOK",$BS37,$BT37)*IF($BP37="Emissions positive",-1,1)</f>
        <v>353.45454545454498</v>
      </c>
      <c r="CS37">
        <f>IF($CN37="refOK",$BT37,$BS37)*IF($BP37="Emissions positive",-1,1)</f>
        <v>359.27272727272702</v>
      </c>
      <c r="CT37">
        <f>IF($CN37="refNeedCorrection",-BX37,BX37)*IF($BP37="Emissions positive",-1,1)</f>
        <v>5.8181818181820402E-2</v>
      </c>
      <c r="CU37">
        <f>IFERROR(CT37/CQ37,"")</f>
        <v>0.285090909090921</v>
      </c>
      <c r="CV37" s="2">
        <f>IFERROR((CS37-CR37)/ABS(CR37),"")</f>
        <v>1.6460905349794889E-2</v>
      </c>
      <c r="CW37" s="1" t="s">
        <v>1201</v>
      </c>
      <c r="CX37" s="266" t="str">
        <f>IF(OR($CW37="prd",$CW37="std",$CW37="cit"),"loc",IF(OR($CW37="eur",$CW37="reg",$CW37="coy"),"reg",$CW37))</f>
        <v>reg</v>
      </c>
      <c r="CY37" t="s">
        <v>236</v>
      </c>
      <c r="CZ37">
        <v>2020</v>
      </c>
      <c r="DA37">
        <v>2100</v>
      </c>
      <c r="DB37">
        <f>DA37-CZ37</f>
        <v>80</v>
      </c>
      <c r="DC37" t="str">
        <f>IF(DB37=0,"0",IF(AND(DB37&gt;=1,DB37&lt;=30),"1-30",IF(AND(DB37&gt;30,DB37&lt;=70),"31-70",IF(AND(DB37&gt;70,DB37&lt;=100),"71-100",IF(DB37&gt;100,"+100")))))</f>
        <v>71-100</v>
      </c>
      <c r="DD37">
        <v>0</v>
      </c>
      <c r="DE37">
        <v>1</v>
      </c>
      <c r="DF37">
        <v>0</v>
      </c>
      <c r="DG37">
        <v>1</v>
      </c>
      <c r="DH37"/>
      <c r="DI37">
        <f>SUM(DD37:DG37)</f>
        <v>2</v>
      </c>
      <c r="DJ37" t="str">
        <f>IF(DI37=1,INDEX($DD$7:$DG$7,MATCH(1,$DD37:$DG37,0)),"mixedProduct")</f>
        <v>mixedProduct</v>
      </c>
      <c r="DK37">
        <f>IF(DD37=1,DK$7,0)</f>
        <v>0</v>
      </c>
      <c r="DL37" t="str">
        <f>IF(DE37=1,DL$7,0)</f>
        <v>Energy</v>
      </c>
      <c r="DM37">
        <f>IF(DF37=1,DM$7,0)</f>
        <v>0</v>
      </c>
      <c r="DN37" t="str">
        <f>IF(DG37=1,DN$7,0)</f>
        <v>Timber</v>
      </c>
      <c r="DO37">
        <v>1</v>
      </c>
      <c r="DP37">
        <v>0</v>
      </c>
      <c r="DQ37">
        <v>0</v>
      </c>
      <c r="DR37">
        <v>0</v>
      </c>
      <c r="DS37">
        <v>0</v>
      </c>
      <c r="DT37">
        <f>SUM(DO37:DP37)</f>
        <v>1</v>
      </c>
      <c r="DU37" s="143" t="str">
        <f>IF(DO37=1,"self-calculated DF",IF(DP37=1,"external DF used","explicit C balance"))</f>
        <v>self-calculated DF</v>
      </c>
      <c r="DV37">
        <v>1</v>
      </c>
      <c r="DW37">
        <v>0</v>
      </c>
      <c r="DX37">
        <v>1</v>
      </c>
      <c r="DY37">
        <v>0</v>
      </c>
      <c r="DZ37">
        <v>0</v>
      </c>
      <c r="EA37" s="143">
        <v>0</v>
      </c>
      <c r="EB37">
        <v>0</v>
      </c>
      <c r="EC37">
        <v>0</v>
      </c>
      <c r="ED37">
        <v>0</v>
      </c>
      <c r="EE37">
        <v>0</v>
      </c>
      <c r="EF37">
        <v>1</v>
      </c>
      <c r="EG37">
        <v>0</v>
      </c>
      <c r="EH37">
        <v>0</v>
      </c>
      <c r="EI37" s="2">
        <v>0</v>
      </c>
      <c r="EJ37" s="1"/>
      <c r="EK37" t="str">
        <f>IF(AND(AND(AND(OR($DX37=1,$DW37=1),OR($EC37=1,$EA37=1)),SUM($DV37:$DZ37,$EF37)&gt;=4),SUM($EA37:$EE37)&gt;=2),"Whole sector","")</f>
        <v/>
      </c>
      <c r="EL37" t="str">
        <f>IF(AND(AND(OR($DX37=1,$DW37=1),AND($EC37=0,$EA37=0)),SUM($DV37:$DZ37,$EF37)&gt;=4),"Ecosystem approach","")</f>
        <v/>
      </c>
      <c r="EM37" s="2" t="str">
        <f>IF(AND(AND(AND($DX37=0,$DW37=0),OR($EC37=1,$EA37=1)),SUM($EB37:$EE37)&gt;=2),"Technology approach","")</f>
        <v/>
      </c>
      <c r="EN37" t="s">
        <v>2405</v>
      </c>
      <c r="EO37"/>
      <c r="EP37" t="str">
        <f>IF(ISNUMBER(BU37),IF(ABS(BU37-[1]QC_indicators!$B$2)&gt;3*[1]QC_indicators!$C$2,"C ratio",IF(ISNUMBER(BY37),IF(ABS(BY37-[1]QC_indicators!$B$1)&gt;3*[1]QC_indicators!$C$1,"DF","no"))),IF(ISNUMBER(BY37),IF(ABS(BY37-[1]QC_indicators!$B$1)&gt;3*[1]QC_indicators!$C$1,"DF","no")))</f>
        <v>no</v>
      </c>
      <c r="EQ37"/>
      <c r="ER37" s="266" t="s">
        <v>2396</v>
      </c>
      <c r="ES37"/>
      <c r="ET37" s="308" t="s">
        <v>3424</v>
      </c>
      <c r="EU37"/>
    </row>
    <row r="38" spans="1:151" s="139" customFormat="1" ht="15" hidden="1" customHeight="1">
      <c r="A38" s="1" t="s">
        <v>1104</v>
      </c>
      <c r="B38" t="s">
        <v>2383</v>
      </c>
      <c r="C38" t="s">
        <v>2384</v>
      </c>
      <c r="D38" t="s">
        <v>2385</v>
      </c>
      <c r="E38" t="s">
        <v>2386</v>
      </c>
      <c r="F38" t="s">
        <v>2387</v>
      </c>
      <c r="G38" t="s">
        <v>1110</v>
      </c>
      <c r="H38" t="s">
        <v>255</v>
      </c>
      <c r="I38">
        <v>2016</v>
      </c>
      <c r="J38">
        <v>13</v>
      </c>
      <c r="K38" t="s">
        <v>2388</v>
      </c>
      <c r="L38"/>
      <c r="M38" t="str">
        <f>LEFT($D38,FIND(",",$D38)-1)&amp;"_"&amp;I38&amp;L38</f>
        <v>Torssonen_2016</v>
      </c>
      <c r="N38" t="s">
        <v>223</v>
      </c>
      <c r="O38" s="145" t="s">
        <v>1156</v>
      </c>
      <c r="P38"/>
      <c r="Q38" s="266" t="s">
        <v>257</v>
      </c>
      <c r="R38" s="271" t="s">
        <v>342</v>
      </c>
      <c r="S38" s="1" t="s">
        <v>2402</v>
      </c>
      <c r="T38" s="266" t="s">
        <v>2427</v>
      </c>
      <c r="U38" t="s">
        <v>2428</v>
      </c>
      <c r="V38">
        <v>0</v>
      </c>
      <c r="W38">
        <v>0</v>
      </c>
      <c r="X38">
        <v>0</v>
      </c>
      <c r="Y38">
        <v>0</v>
      </c>
      <c r="Z38">
        <v>0</v>
      </c>
      <c r="AA38">
        <v>0</v>
      </c>
      <c r="AB38">
        <v>0</v>
      </c>
      <c r="AC38">
        <v>0</v>
      </c>
      <c r="AD38">
        <v>0</v>
      </c>
      <c r="AE38">
        <v>0</v>
      </c>
      <c r="AF38">
        <v>0</v>
      </c>
      <c r="AG38">
        <v>0</v>
      </c>
      <c r="AH38">
        <v>0</v>
      </c>
      <c r="AI38">
        <v>0</v>
      </c>
      <c r="AJ38">
        <v>0</v>
      </c>
      <c r="AK38">
        <v>0</v>
      </c>
      <c r="AL38">
        <v>0</v>
      </c>
      <c r="AM38">
        <v>0</v>
      </c>
      <c r="AN38">
        <v>1</v>
      </c>
      <c r="AO38">
        <v>1</v>
      </c>
      <c r="AP38">
        <v>0</v>
      </c>
      <c r="AQ38">
        <v>0</v>
      </c>
      <c r="AR38">
        <v>0</v>
      </c>
      <c r="AS38">
        <v>0</v>
      </c>
      <c r="AT38">
        <v>0</v>
      </c>
      <c r="AU38">
        <v>0</v>
      </c>
      <c r="AV38">
        <v>0</v>
      </c>
      <c r="AW38">
        <v>0</v>
      </c>
      <c r="AX38" s="141">
        <f>COUNTIF(V38:AW38,"&lt;&gt;0")</f>
        <v>2</v>
      </c>
      <c r="AY38" s="141">
        <f>COUNTIF(V38:AL38,"&lt;&gt;0")</f>
        <v>0</v>
      </c>
      <c r="AZ38">
        <f>COUNTIF(V38:AC38,"&lt;&gt;0")</f>
        <v>0</v>
      </c>
      <c r="BA38">
        <f>COUNTIF(AD38:AI38,"&lt;&gt;0")</f>
        <v>0</v>
      </c>
      <c r="BB38">
        <f>COUNTIF(AJ38:AL38,"&lt;&gt;0")</f>
        <v>0</v>
      </c>
      <c r="BC38">
        <f>COUNTIF(AS38:AW38,"&lt;&gt;0")</f>
        <v>0</v>
      </c>
      <c r="BD38">
        <f>COUNTIF(AM38:AR38,"&lt;&gt;0")</f>
        <v>2</v>
      </c>
      <c r="BE38" t="str" cm="1">
        <f t="array" ref="BE38">IF(AY38=1,INDEX($V$7:$AL$7,MATCH(TRUE,INDEX($V38:$AW38&lt;&gt;0,),0)),IF(AY38=0,INDEX($AM$7:$AW$7,MATCH(1,$AM38:$AW38,0)),IF(BF38="Multiple strategies","mixed drivers",IF(BF38="Supply chain","multiple supply","multiple silviculture"))))</f>
        <v>Temperature</v>
      </c>
      <c r="BF38" s="2" t="str" cm="1">
        <f t="array" ref="BF38">IF(COUNTIF(AZ38:BB38,"&lt;&gt;0")=1,INDEX($V$4:$AW$4,MATCH(TRUE,INDEX($V38:$AW38&lt;&gt;0,),0)),IF(COUNTIF(AZ38:BB38,"&lt;&gt;0")=0,INDEX($AM$4:$AW$4,MATCH(1,$AM38:$AW38,0)),"Multiple strategies"))</f>
        <v>Environmental change</v>
      </c>
      <c r="BG38" s="1" t="s">
        <v>230</v>
      </c>
      <c r="BH38" s="308" t="s">
        <v>2146</v>
      </c>
      <c r="BI38" s="266" t="s">
        <v>2393</v>
      </c>
      <c r="BJ38" s="308" t="s">
        <v>1060</v>
      </c>
      <c r="BK38">
        <v>8.0775509959999994</v>
      </c>
      <c r="BL38">
        <v>8.3591836480000001</v>
      </c>
      <c r="BM38" s="143">
        <f>BL38/BK38</f>
        <v>1.0348660939608385</v>
      </c>
      <c r="BN38">
        <f>BL38-BK38</f>
        <v>0.28163265200000076</v>
      </c>
      <c r="BO38">
        <f>+BN38*t_to_m3</f>
        <v>0.57476051428571584</v>
      </c>
      <c r="BP38" s="308" t="s">
        <v>396</v>
      </c>
      <c r="BQ38" s="153" t="s">
        <v>3423</v>
      </c>
      <c r="BR38" s="266" t="s">
        <v>2395</v>
      </c>
      <c r="BS38">
        <v>-421.81818181818102</v>
      </c>
      <c r="BT38">
        <v>-429.09090909090901</v>
      </c>
      <c r="BU38" s="144"/>
      <c r="BV38" s="144">
        <f>BT38-BS38</f>
        <v>-7.272727272727991</v>
      </c>
      <c r="BW38" s="144"/>
      <c r="BX38" s="144">
        <f>BV38*10^4/10^6</f>
        <v>-7.2727272727279912E-2</v>
      </c>
      <c r="BY38">
        <f>IFERROR(BX38/BO38,"")</f>
        <v>-0.12653491483781171</v>
      </c>
      <c r="BZ38">
        <v>0</v>
      </c>
      <c r="CA38">
        <v>0</v>
      </c>
      <c r="CB38">
        <v>0</v>
      </c>
      <c r="CC38">
        <v>0</v>
      </c>
      <c r="CD38">
        <v>0</v>
      </c>
      <c r="CE38">
        <v>0</v>
      </c>
      <c r="CF38">
        <v>0</v>
      </c>
      <c r="CG38">
        <v>0</v>
      </c>
      <c r="CH38">
        <v>0</v>
      </c>
      <c r="CI38">
        <v>0</v>
      </c>
      <c r="CJ38">
        <v>0</v>
      </c>
      <c r="CK38">
        <v>0</v>
      </c>
      <c r="CL38">
        <v>0</v>
      </c>
      <c r="CM38">
        <v>1</v>
      </c>
      <c r="CN38" t="str">
        <f>IF($BL38&lt;$BK38,"refNeedCorrection","refOK")</f>
        <v>refOK</v>
      </c>
      <c r="CO38">
        <f>IF($CN38="refOK",$BK38,$BL38)</f>
        <v>8.0775509959999994</v>
      </c>
      <c r="CP38">
        <f>IF($CN38="refOK",$BL38,$BK38)</f>
        <v>8.3591836480000001</v>
      </c>
      <c r="CQ38">
        <f>IF($CN38="refOK",$BO38,-$BO38)</f>
        <v>0.57476051428571584</v>
      </c>
      <c r="CR38">
        <f>IF($CN38="refOK",$BS38,$BT38)*IF($BP38="Emissions positive",-1,1)</f>
        <v>421.81818181818102</v>
      </c>
      <c r="CS38">
        <f>IF($CN38="refOK",$BT38,$BS38)*IF($BP38="Emissions positive",-1,1)</f>
        <v>429.09090909090901</v>
      </c>
      <c r="CT38">
        <f>IF($CN38="refNeedCorrection",-BX38,BX38)*IF($BP38="Emissions positive",-1,1)</f>
        <v>7.2727272727279912E-2</v>
      </c>
      <c r="CU38">
        <f>IFERROR(CT38/CQ38,"")</f>
        <v>0.12653491483781171</v>
      </c>
      <c r="CV38" s="2">
        <f>IFERROR((CS38-CR38)/ABS(CR38),"")</f>
        <v>1.7241379310346562E-2</v>
      </c>
      <c r="CW38" s="1" t="s">
        <v>1201</v>
      </c>
      <c r="CX38" s="266" t="str">
        <f>IF(OR($CW38="prd",$CW38="std",$CW38="cit"),"loc",IF(OR($CW38="eur",$CW38="reg",$CW38="coy"),"reg",$CW38))</f>
        <v>reg</v>
      </c>
      <c r="CY38" t="s">
        <v>236</v>
      </c>
      <c r="CZ38">
        <v>2020</v>
      </c>
      <c r="DA38">
        <v>2100</v>
      </c>
      <c r="DB38">
        <f>DA38-CZ38</f>
        <v>80</v>
      </c>
      <c r="DC38" t="str">
        <f>IF(DB38=0,"0",IF(AND(DB38&gt;=1,DB38&lt;=30),"1-30",IF(AND(DB38&gt;30,DB38&lt;=70),"31-70",IF(AND(DB38&gt;70,DB38&lt;=100),"71-100",IF(DB38&gt;100,"+100")))))</f>
        <v>71-100</v>
      </c>
      <c r="DD38">
        <v>0</v>
      </c>
      <c r="DE38">
        <v>1</v>
      </c>
      <c r="DF38">
        <v>0</v>
      </c>
      <c r="DG38">
        <v>1</v>
      </c>
      <c r="DH38"/>
      <c r="DI38">
        <f>SUM(DD38:DG38)</f>
        <v>2</v>
      </c>
      <c r="DJ38" t="str">
        <f>IF(DI38=1,INDEX($DD$7:$DG$7,MATCH(1,$DD38:$DG38,0)),"mixedProduct")</f>
        <v>mixedProduct</v>
      </c>
      <c r="DK38">
        <f>IF(DD38=1,DK$7,0)</f>
        <v>0</v>
      </c>
      <c r="DL38" t="str">
        <f>IF(DE38=1,DL$7,0)</f>
        <v>Energy</v>
      </c>
      <c r="DM38">
        <f>IF(DF38=1,DM$7,0)</f>
        <v>0</v>
      </c>
      <c r="DN38" t="str">
        <f>IF(DG38=1,DN$7,0)</f>
        <v>Timber</v>
      </c>
      <c r="DO38">
        <v>1</v>
      </c>
      <c r="DP38">
        <v>0</v>
      </c>
      <c r="DQ38">
        <v>0</v>
      </c>
      <c r="DR38">
        <v>0</v>
      </c>
      <c r="DS38">
        <v>0</v>
      </c>
      <c r="DT38">
        <f>SUM(DO38:DP38)</f>
        <v>1</v>
      </c>
      <c r="DU38" s="143" t="str">
        <f>IF(DO38=1,"self-calculated DF",IF(DP38=1,"external DF used","explicit C balance"))</f>
        <v>self-calculated DF</v>
      </c>
      <c r="DV38">
        <v>1</v>
      </c>
      <c r="DW38">
        <v>0</v>
      </c>
      <c r="DX38">
        <v>1</v>
      </c>
      <c r="DY38">
        <v>0</v>
      </c>
      <c r="DZ38">
        <v>0</v>
      </c>
      <c r="EA38" s="143">
        <v>0</v>
      </c>
      <c r="EB38">
        <v>0</v>
      </c>
      <c r="EC38">
        <v>0</v>
      </c>
      <c r="ED38">
        <v>0</v>
      </c>
      <c r="EE38">
        <v>0</v>
      </c>
      <c r="EF38">
        <v>1</v>
      </c>
      <c r="EG38">
        <v>0</v>
      </c>
      <c r="EH38">
        <v>0</v>
      </c>
      <c r="EI38" s="2">
        <v>0</v>
      </c>
      <c r="EJ38" s="1"/>
      <c r="EK38" t="str">
        <f>IF(AND(AND(AND(OR($DX38=1,$DW38=1),OR($EC38=1,$EA38=1)),SUM($DV38:$DZ38,$EF38)&gt;=4),SUM($EA38:$EE38)&gt;=2),"Whole sector","")</f>
        <v/>
      </c>
      <c r="EL38" t="str">
        <f>IF(AND(AND(OR($DX38=1,$DW38=1),AND($EC38=0,$EA38=0)),SUM($DV38:$DZ38,$EF38)&gt;=4),"Ecosystem approach","")</f>
        <v/>
      </c>
      <c r="EM38" s="2" t="str">
        <f>IF(AND(AND(AND($DX38=0,$DW38=0),OR($EC38=1,$EA38=1)),SUM($EB38:$EE38)&gt;=2),"Technology approach","")</f>
        <v/>
      </c>
      <c r="EN38" t="s">
        <v>2405</v>
      </c>
      <c r="EO38"/>
      <c r="EP38" t="str">
        <f>IF(ISNUMBER(BU38),IF(ABS(BU38-[1]QC_indicators!$B$2)&gt;3*[1]QC_indicators!$C$2,"C ratio",IF(ISNUMBER(BY38),IF(ABS(BY38-[1]QC_indicators!$B$1)&gt;3*[1]QC_indicators!$C$1,"DF","no"))),IF(ISNUMBER(BY38),IF(ABS(BY38-[1]QC_indicators!$B$1)&gt;3*[1]QC_indicators!$C$1,"DF","no")))</f>
        <v>no</v>
      </c>
      <c r="EQ38"/>
      <c r="ER38" s="266" t="s">
        <v>2396</v>
      </c>
      <c r="ES38"/>
      <c r="ET38" s="308" t="s">
        <v>3424</v>
      </c>
      <c r="EU38"/>
    </row>
    <row r="39" spans="1:151" s="139" customFormat="1" ht="15" hidden="1" customHeight="1">
      <c r="A39" s="1" t="s">
        <v>1104</v>
      </c>
      <c r="B39" t="s">
        <v>2383</v>
      </c>
      <c r="C39" t="s">
        <v>2384</v>
      </c>
      <c r="D39" t="s">
        <v>2385</v>
      </c>
      <c r="E39" t="s">
        <v>2386</v>
      </c>
      <c r="F39" t="s">
        <v>2387</v>
      </c>
      <c r="G39" t="s">
        <v>1110</v>
      </c>
      <c r="H39" t="s">
        <v>255</v>
      </c>
      <c r="I39">
        <v>2016</v>
      </c>
      <c r="J39">
        <v>13</v>
      </c>
      <c r="K39" t="s">
        <v>2388</v>
      </c>
      <c r="L39"/>
      <c r="M39" t="str">
        <f>LEFT($D39,FIND(",",$D39)-1)&amp;"_"&amp;I39&amp;L39</f>
        <v>Torssonen_2016</v>
      </c>
      <c r="N39" t="s">
        <v>223</v>
      </c>
      <c r="O39" s="145" t="s">
        <v>1156</v>
      </c>
      <c r="P39"/>
      <c r="Q39" s="266" t="s">
        <v>257</v>
      </c>
      <c r="R39" s="271" t="s">
        <v>342</v>
      </c>
      <c r="S39" s="1" t="s">
        <v>2406</v>
      </c>
      <c r="T39" s="266" t="s">
        <v>2427</v>
      </c>
      <c r="U39" t="s">
        <v>2429</v>
      </c>
      <c r="V39">
        <v>0</v>
      </c>
      <c r="W39">
        <v>0</v>
      </c>
      <c r="X39">
        <v>0</v>
      </c>
      <c r="Y39">
        <v>0</v>
      </c>
      <c r="Z39">
        <v>0</v>
      </c>
      <c r="AA39">
        <v>0</v>
      </c>
      <c r="AB39">
        <v>0</v>
      </c>
      <c r="AC39">
        <v>0</v>
      </c>
      <c r="AD39">
        <v>0</v>
      </c>
      <c r="AE39">
        <v>0</v>
      </c>
      <c r="AF39">
        <v>0</v>
      </c>
      <c r="AG39">
        <v>0</v>
      </c>
      <c r="AH39">
        <v>0</v>
      </c>
      <c r="AI39">
        <v>0</v>
      </c>
      <c r="AJ39">
        <v>0</v>
      </c>
      <c r="AK39">
        <v>0</v>
      </c>
      <c r="AL39">
        <v>0</v>
      </c>
      <c r="AM39">
        <v>0</v>
      </c>
      <c r="AN39">
        <v>1</v>
      </c>
      <c r="AO39">
        <v>1</v>
      </c>
      <c r="AP39">
        <v>0</v>
      </c>
      <c r="AQ39">
        <v>0</v>
      </c>
      <c r="AR39">
        <v>0</v>
      </c>
      <c r="AS39">
        <v>0</v>
      </c>
      <c r="AT39">
        <v>0</v>
      </c>
      <c r="AU39">
        <v>0</v>
      </c>
      <c r="AV39">
        <v>0</v>
      </c>
      <c r="AW39">
        <v>0</v>
      </c>
      <c r="AX39" s="141">
        <f>COUNTIF(V39:AW39,"&lt;&gt;0")</f>
        <v>2</v>
      </c>
      <c r="AY39" s="141">
        <f>COUNTIF(V39:AL39,"&lt;&gt;0")</f>
        <v>0</v>
      </c>
      <c r="AZ39">
        <f>COUNTIF(V39:AC39,"&lt;&gt;0")</f>
        <v>0</v>
      </c>
      <c r="BA39">
        <f>COUNTIF(AD39:AI39,"&lt;&gt;0")</f>
        <v>0</v>
      </c>
      <c r="BB39">
        <f>COUNTIF(AJ39:AL39,"&lt;&gt;0")</f>
        <v>0</v>
      </c>
      <c r="BC39">
        <f>COUNTIF(AS39:AW39,"&lt;&gt;0")</f>
        <v>0</v>
      </c>
      <c r="BD39">
        <f>COUNTIF(AM39:AR39,"&lt;&gt;0")</f>
        <v>2</v>
      </c>
      <c r="BE39" t="str" cm="1">
        <f t="array" ref="BE39">IF(AY39=1,INDEX($V$7:$AL$7,MATCH(TRUE,INDEX($V39:$AW39&lt;&gt;0,),0)),IF(AY39=0,INDEX($AM$7:$AW$7,MATCH(1,$AM39:$AW39,0)),IF(BF39="Multiple strategies","mixed drivers",IF(BF39="Supply chain","multiple supply","multiple silviculture"))))</f>
        <v>Temperature</v>
      </c>
      <c r="BF39" s="2" t="str" cm="1">
        <f t="array" ref="BF39">IF(COUNTIF(AZ39:BB39,"&lt;&gt;0")=1,INDEX($V$4:$AW$4,MATCH(TRUE,INDEX($V39:$AW39&lt;&gt;0,),0)),IF(COUNTIF(AZ39:BB39,"&lt;&gt;0")=0,INDEX($AM$4:$AW$4,MATCH(1,$AM39:$AW39,0)),"Multiple strategies"))</f>
        <v>Environmental change</v>
      </c>
      <c r="BG39" s="1" t="s">
        <v>230</v>
      </c>
      <c r="BH39" s="308" t="s">
        <v>2146</v>
      </c>
      <c r="BI39" s="266" t="s">
        <v>2393</v>
      </c>
      <c r="BJ39" s="308" t="s">
        <v>1060</v>
      </c>
      <c r="BK39">
        <v>8.0775509959999994</v>
      </c>
      <c r="BL39">
        <v>8.3591836480000001</v>
      </c>
      <c r="BM39" s="143">
        <f>BL39/BK39</f>
        <v>1.0348660939608385</v>
      </c>
      <c r="BN39">
        <f>BL39-BK39</f>
        <v>0.28163265200000076</v>
      </c>
      <c r="BO39">
        <f>+BN39*t_to_m3</f>
        <v>0.57476051428571584</v>
      </c>
      <c r="BP39" s="308" t="s">
        <v>396</v>
      </c>
      <c r="BQ39" s="153" t="s">
        <v>3423</v>
      </c>
      <c r="BR39" s="266" t="s">
        <v>2395</v>
      </c>
      <c r="BS39">
        <v>-421.81818181818102</v>
      </c>
      <c r="BT39">
        <v>-430.54545454545399</v>
      </c>
      <c r="BU39" s="144"/>
      <c r="BV39" s="144">
        <f>BT39-BS39</f>
        <v>-8.7272727272729753</v>
      </c>
      <c r="BW39" s="144"/>
      <c r="BX39" s="144">
        <f>BV39*10^4/10^6</f>
        <v>-8.727272727272975E-2</v>
      </c>
      <c r="BY39">
        <f>IFERROR(BX39/BO39,"")</f>
        <v>-0.15184189780536336</v>
      </c>
      <c r="BZ39">
        <v>0</v>
      </c>
      <c r="CA39">
        <v>0</v>
      </c>
      <c r="CB39">
        <v>0</v>
      </c>
      <c r="CC39">
        <v>0</v>
      </c>
      <c r="CD39">
        <v>0</v>
      </c>
      <c r="CE39">
        <v>0</v>
      </c>
      <c r="CF39">
        <v>0</v>
      </c>
      <c r="CG39">
        <v>0</v>
      </c>
      <c r="CH39">
        <v>0</v>
      </c>
      <c r="CI39">
        <v>0</v>
      </c>
      <c r="CJ39">
        <v>0</v>
      </c>
      <c r="CK39">
        <v>0</v>
      </c>
      <c r="CL39">
        <v>0</v>
      </c>
      <c r="CM39">
        <v>1</v>
      </c>
      <c r="CN39" t="str">
        <f>IF($BL39&lt;$BK39,"refNeedCorrection","refOK")</f>
        <v>refOK</v>
      </c>
      <c r="CO39">
        <f>IF($CN39="refOK",$BK39,$BL39)</f>
        <v>8.0775509959999994</v>
      </c>
      <c r="CP39">
        <f>IF($CN39="refOK",$BL39,$BK39)</f>
        <v>8.3591836480000001</v>
      </c>
      <c r="CQ39">
        <f>IF($CN39="refOK",$BO39,-$BO39)</f>
        <v>0.57476051428571584</v>
      </c>
      <c r="CR39">
        <f>IF($CN39="refOK",$BS39,$BT39)*IF($BP39="Emissions positive",-1,1)</f>
        <v>421.81818181818102</v>
      </c>
      <c r="CS39">
        <f>IF($CN39="refOK",$BT39,$BS39)*IF($BP39="Emissions positive",-1,1)</f>
        <v>430.54545454545399</v>
      </c>
      <c r="CT39">
        <f>IF($CN39="refNeedCorrection",-BX39,BX39)*IF($BP39="Emissions positive",-1,1)</f>
        <v>8.727272727272975E-2</v>
      </c>
      <c r="CU39">
        <f>IFERROR(CT39/CQ39,"")</f>
        <v>0.15184189780536336</v>
      </c>
      <c r="CV39" s="2">
        <f>IFERROR((CS39-CR39)/ABS(CR39),"")</f>
        <v>2.0689655172414421E-2</v>
      </c>
      <c r="CW39" s="1" t="s">
        <v>1201</v>
      </c>
      <c r="CX39" s="266" t="str">
        <f>IF(OR($CW39="prd",$CW39="std",$CW39="cit"),"loc",IF(OR($CW39="eur",$CW39="reg",$CW39="coy"),"reg",$CW39))</f>
        <v>reg</v>
      </c>
      <c r="CY39" t="s">
        <v>236</v>
      </c>
      <c r="CZ39">
        <v>2020</v>
      </c>
      <c r="DA39">
        <v>2100</v>
      </c>
      <c r="DB39">
        <f>DA39-CZ39</f>
        <v>80</v>
      </c>
      <c r="DC39" t="str">
        <f>IF(DB39=0,"0",IF(AND(DB39&gt;=1,DB39&lt;=30),"1-30",IF(AND(DB39&gt;30,DB39&lt;=70),"31-70",IF(AND(DB39&gt;70,DB39&lt;=100),"71-100",IF(DB39&gt;100,"+100")))))</f>
        <v>71-100</v>
      </c>
      <c r="DD39">
        <v>0</v>
      </c>
      <c r="DE39">
        <v>1</v>
      </c>
      <c r="DF39">
        <v>0</v>
      </c>
      <c r="DG39">
        <v>1</v>
      </c>
      <c r="DH39"/>
      <c r="DI39">
        <f>SUM(DD39:DG39)</f>
        <v>2</v>
      </c>
      <c r="DJ39" t="str">
        <f>IF(DI39=1,INDEX($DD$7:$DG$7,MATCH(1,$DD39:$DG39,0)),"mixedProduct")</f>
        <v>mixedProduct</v>
      </c>
      <c r="DK39">
        <f>IF(DD39=1,DK$7,0)</f>
        <v>0</v>
      </c>
      <c r="DL39" t="str">
        <f>IF(DE39=1,DL$7,0)</f>
        <v>Energy</v>
      </c>
      <c r="DM39">
        <f>IF(DF39=1,DM$7,0)</f>
        <v>0</v>
      </c>
      <c r="DN39" t="str">
        <f>IF(DG39=1,DN$7,0)</f>
        <v>Timber</v>
      </c>
      <c r="DO39">
        <v>1</v>
      </c>
      <c r="DP39">
        <v>0</v>
      </c>
      <c r="DQ39">
        <v>0</v>
      </c>
      <c r="DR39">
        <v>0</v>
      </c>
      <c r="DS39">
        <v>0</v>
      </c>
      <c r="DT39">
        <f>SUM(DO39:DP39)</f>
        <v>1</v>
      </c>
      <c r="DU39" s="143" t="str">
        <f>IF(DO39=1,"self-calculated DF",IF(DP39=1,"external DF used","explicit C balance"))</f>
        <v>self-calculated DF</v>
      </c>
      <c r="DV39">
        <v>1</v>
      </c>
      <c r="DW39">
        <v>0</v>
      </c>
      <c r="DX39">
        <v>1</v>
      </c>
      <c r="DY39">
        <v>0</v>
      </c>
      <c r="DZ39">
        <v>0</v>
      </c>
      <c r="EA39" s="143">
        <v>0</v>
      </c>
      <c r="EB39">
        <v>0</v>
      </c>
      <c r="EC39">
        <v>0</v>
      </c>
      <c r="ED39">
        <v>0</v>
      </c>
      <c r="EE39">
        <v>0</v>
      </c>
      <c r="EF39">
        <v>1</v>
      </c>
      <c r="EG39">
        <v>0</v>
      </c>
      <c r="EH39">
        <v>0</v>
      </c>
      <c r="EI39" s="2">
        <v>0</v>
      </c>
      <c r="EJ39" s="1"/>
      <c r="EK39" t="str">
        <f>IF(AND(AND(AND(OR($DX39=1,$DW39=1),OR($EC39=1,$EA39=1)),SUM($DV39:$DZ39,$EF39)&gt;=4),SUM($EA39:$EE39)&gt;=2),"Whole sector","")</f>
        <v/>
      </c>
      <c r="EL39" t="str">
        <f>IF(AND(AND(OR($DX39=1,$DW39=1),AND($EC39=0,$EA39=0)),SUM($DV39:$DZ39,$EF39)&gt;=4),"Ecosystem approach","")</f>
        <v/>
      </c>
      <c r="EM39" s="2" t="str">
        <f>IF(AND(AND(AND($DX39=0,$DW39=0),OR($EC39=1,$EA39=1)),SUM($EB39:$EE39)&gt;=2),"Technology approach","")</f>
        <v/>
      </c>
      <c r="EN39" t="s">
        <v>2405</v>
      </c>
      <c r="EO39"/>
      <c r="EP39" t="str">
        <f>IF(ISNUMBER(BU39),IF(ABS(BU39-[1]QC_indicators!$B$2)&gt;3*[1]QC_indicators!$C$2,"C ratio",IF(ISNUMBER(BY39),IF(ABS(BY39-[1]QC_indicators!$B$1)&gt;3*[1]QC_indicators!$C$1,"DF","no"))),IF(ISNUMBER(BY39),IF(ABS(BY39-[1]QC_indicators!$B$1)&gt;3*[1]QC_indicators!$C$1,"DF","no")))</f>
        <v>no</v>
      </c>
      <c r="EQ39"/>
      <c r="ER39" s="266" t="s">
        <v>2396</v>
      </c>
      <c r="ES39"/>
      <c r="ET39" s="308" t="s">
        <v>3424</v>
      </c>
      <c r="EU39"/>
    </row>
    <row r="40" spans="1:151" s="139" customFormat="1" ht="15" hidden="1" customHeight="1">
      <c r="A40" s="1" t="s">
        <v>1104</v>
      </c>
      <c r="B40" t="s">
        <v>2383</v>
      </c>
      <c r="C40" t="s">
        <v>2384</v>
      </c>
      <c r="D40" t="s">
        <v>2385</v>
      </c>
      <c r="E40" t="s">
        <v>2386</v>
      </c>
      <c r="F40" t="s">
        <v>2387</v>
      </c>
      <c r="G40" t="s">
        <v>1110</v>
      </c>
      <c r="H40" t="s">
        <v>255</v>
      </c>
      <c r="I40">
        <v>2016</v>
      </c>
      <c r="J40">
        <v>13</v>
      </c>
      <c r="K40" t="s">
        <v>2388</v>
      </c>
      <c r="L40"/>
      <c r="M40" t="str">
        <f>LEFT($D40,FIND(",",$D40)-1)&amp;"_"&amp;I40&amp;L40</f>
        <v>Torssonen_2016</v>
      </c>
      <c r="N40" t="s">
        <v>223</v>
      </c>
      <c r="O40" s="145" t="s">
        <v>1156</v>
      </c>
      <c r="P40"/>
      <c r="Q40" s="266" t="s">
        <v>257</v>
      </c>
      <c r="R40" s="271" t="s">
        <v>342</v>
      </c>
      <c r="S40" s="1" t="s">
        <v>2402</v>
      </c>
      <c r="T40" s="266" t="s">
        <v>2430</v>
      </c>
      <c r="U40" t="s">
        <v>2431</v>
      </c>
      <c r="V40">
        <v>0</v>
      </c>
      <c r="W40">
        <v>0</v>
      </c>
      <c r="X40">
        <v>0</v>
      </c>
      <c r="Y40">
        <v>0</v>
      </c>
      <c r="Z40">
        <v>0</v>
      </c>
      <c r="AA40">
        <v>0</v>
      </c>
      <c r="AB40">
        <v>0</v>
      </c>
      <c r="AC40">
        <v>0</v>
      </c>
      <c r="AD40">
        <v>0</v>
      </c>
      <c r="AE40">
        <v>0</v>
      </c>
      <c r="AF40">
        <v>0</v>
      </c>
      <c r="AG40">
        <v>0</v>
      </c>
      <c r="AH40">
        <v>0</v>
      </c>
      <c r="AI40">
        <v>0</v>
      </c>
      <c r="AJ40">
        <v>0</v>
      </c>
      <c r="AK40">
        <v>0</v>
      </c>
      <c r="AL40">
        <v>0</v>
      </c>
      <c r="AM40">
        <v>0</v>
      </c>
      <c r="AN40">
        <v>1</v>
      </c>
      <c r="AO40">
        <v>1</v>
      </c>
      <c r="AP40">
        <v>0</v>
      </c>
      <c r="AQ40">
        <v>0</v>
      </c>
      <c r="AR40">
        <v>0</v>
      </c>
      <c r="AS40">
        <v>0</v>
      </c>
      <c r="AT40">
        <v>0</v>
      </c>
      <c r="AU40">
        <v>0</v>
      </c>
      <c r="AV40">
        <v>0</v>
      </c>
      <c r="AW40">
        <v>0</v>
      </c>
      <c r="AX40" s="141">
        <f>COUNTIF(V40:AW40,"&lt;&gt;0")</f>
        <v>2</v>
      </c>
      <c r="AY40" s="141">
        <f>COUNTIF(V40:AL40,"&lt;&gt;0")</f>
        <v>0</v>
      </c>
      <c r="AZ40">
        <f>COUNTIF(V40:AC40,"&lt;&gt;0")</f>
        <v>0</v>
      </c>
      <c r="BA40">
        <f>COUNTIF(AD40:AI40,"&lt;&gt;0")</f>
        <v>0</v>
      </c>
      <c r="BB40">
        <f>COUNTIF(AJ40:AL40,"&lt;&gt;0")</f>
        <v>0</v>
      </c>
      <c r="BC40">
        <f>COUNTIF(AS40:AW40,"&lt;&gt;0")</f>
        <v>0</v>
      </c>
      <c r="BD40">
        <f>COUNTIF(AM40:AR40,"&lt;&gt;0")</f>
        <v>2</v>
      </c>
      <c r="BE40" t="str" cm="1">
        <f t="array" ref="BE40">IF(AY40=1,INDEX($V$7:$AL$7,MATCH(TRUE,INDEX($V40:$AW40&lt;&gt;0,),0)),IF(AY40=0,INDEX($AM$7:$AW$7,MATCH(1,$AM40:$AW40,0)),IF(BF40="Multiple strategies","mixed drivers",IF(BF40="Supply chain","multiple supply","multiple silviculture"))))</f>
        <v>Temperature</v>
      </c>
      <c r="BF40" s="2" t="str" cm="1">
        <f t="array" ref="BF40">IF(COUNTIF(AZ40:BB40,"&lt;&gt;0")=1,INDEX($V$4:$AW$4,MATCH(TRUE,INDEX($V40:$AW40&lt;&gt;0,),0)),IF(COUNTIF(AZ40:BB40,"&lt;&gt;0")=0,INDEX($AM$4:$AW$4,MATCH(1,$AM40:$AW40,0)),"Multiple strategies"))</f>
        <v>Environmental change</v>
      </c>
      <c r="BG40" s="1" t="s">
        <v>230</v>
      </c>
      <c r="BH40" s="308" t="s">
        <v>2146</v>
      </c>
      <c r="BI40" s="266" t="s">
        <v>2393</v>
      </c>
      <c r="BJ40" s="308" t="s">
        <v>1060</v>
      </c>
      <c r="BK40">
        <v>8.3265305820000002</v>
      </c>
      <c r="BL40">
        <v>8.5877550710000001</v>
      </c>
      <c r="BM40" s="143">
        <f>BL40/BK40</f>
        <v>1.0313725490379757</v>
      </c>
      <c r="BN40">
        <f>BL40-BK40</f>
        <v>0.26122448899999995</v>
      </c>
      <c r="BO40">
        <f>+BN40*t_to_m3</f>
        <v>0.53311120204081619</v>
      </c>
      <c r="BP40" s="308" t="s">
        <v>396</v>
      </c>
      <c r="BQ40" s="153" t="s">
        <v>3423</v>
      </c>
      <c r="BR40" s="266" t="s">
        <v>2395</v>
      </c>
      <c r="BS40">
        <v>-478.54545454545399</v>
      </c>
      <c r="BT40">
        <v>-482.90909090909099</v>
      </c>
      <c r="BU40" s="144"/>
      <c r="BV40" s="144">
        <f>BT40-BS40</f>
        <v>-4.3636363636369992</v>
      </c>
      <c r="BW40" s="144"/>
      <c r="BX40" s="144">
        <f>BV40*10^4/10^6</f>
        <v>-4.3636363636369989E-2</v>
      </c>
      <c r="BY40">
        <f>IFERROR(BX40/BO40,"")</f>
        <v>-8.1852272976678311E-2</v>
      </c>
      <c r="BZ40">
        <v>0</v>
      </c>
      <c r="CA40">
        <v>0</v>
      </c>
      <c r="CB40">
        <v>0</v>
      </c>
      <c r="CC40">
        <v>0</v>
      </c>
      <c r="CD40">
        <v>0</v>
      </c>
      <c r="CE40">
        <v>0</v>
      </c>
      <c r="CF40">
        <v>0</v>
      </c>
      <c r="CG40">
        <v>0</v>
      </c>
      <c r="CH40">
        <v>0</v>
      </c>
      <c r="CI40">
        <v>0</v>
      </c>
      <c r="CJ40">
        <v>0</v>
      </c>
      <c r="CK40">
        <v>0</v>
      </c>
      <c r="CL40">
        <v>0</v>
      </c>
      <c r="CM40">
        <v>1</v>
      </c>
      <c r="CN40" t="str">
        <f>IF($BL40&lt;$BK40,"refNeedCorrection","refOK")</f>
        <v>refOK</v>
      </c>
      <c r="CO40">
        <f>IF($CN40="refOK",$BK40,$BL40)</f>
        <v>8.3265305820000002</v>
      </c>
      <c r="CP40">
        <f>IF($CN40="refOK",$BL40,$BK40)</f>
        <v>8.5877550710000001</v>
      </c>
      <c r="CQ40">
        <f>IF($CN40="refOK",$BO40,-$BO40)</f>
        <v>0.53311120204081619</v>
      </c>
      <c r="CR40">
        <f>IF($CN40="refOK",$BS40,$BT40)*IF($BP40="Emissions positive",-1,1)</f>
        <v>478.54545454545399</v>
      </c>
      <c r="CS40">
        <f>IF($CN40="refOK",$BT40,$BS40)*IF($BP40="Emissions positive",-1,1)</f>
        <v>482.90909090909099</v>
      </c>
      <c r="CT40">
        <f>IF($CN40="refNeedCorrection",-BX40,BX40)*IF($BP40="Emissions positive",-1,1)</f>
        <v>4.3636363636369989E-2</v>
      </c>
      <c r="CU40">
        <f>IFERROR(CT40/CQ40,"")</f>
        <v>8.1852272976678311E-2</v>
      </c>
      <c r="CV40" s="2">
        <f>IFERROR((CS40-CR40)/ABS(CR40),"")</f>
        <v>9.1185410334359892E-3</v>
      </c>
      <c r="CW40" s="1" t="s">
        <v>1201</v>
      </c>
      <c r="CX40" s="266" t="str">
        <f>IF(OR($CW40="prd",$CW40="std",$CW40="cit"),"loc",IF(OR($CW40="eur",$CW40="reg",$CW40="coy"),"reg",$CW40))</f>
        <v>reg</v>
      </c>
      <c r="CY40" t="s">
        <v>236</v>
      </c>
      <c r="CZ40">
        <v>2020</v>
      </c>
      <c r="DA40">
        <v>2100</v>
      </c>
      <c r="DB40">
        <f>DA40-CZ40</f>
        <v>80</v>
      </c>
      <c r="DC40" t="str">
        <f>IF(DB40=0,"0",IF(AND(DB40&gt;=1,DB40&lt;=30),"1-30",IF(AND(DB40&gt;30,DB40&lt;=70),"31-70",IF(AND(DB40&gt;70,DB40&lt;=100),"71-100",IF(DB40&gt;100,"+100")))))</f>
        <v>71-100</v>
      </c>
      <c r="DD40">
        <v>0</v>
      </c>
      <c r="DE40">
        <v>1</v>
      </c>
      <c r="DF40">
        <v>0</v>
      </c>
      <c r="DG40">
        <v>1</v>
      </c>
      <c r="DH40"/>
      <c r="DI40">
        <f>SUM(DD40:DG40)</f>
        <v>2</v>
      </c>
      <c r="DJ40" t="str">
        <f>IF(DI40=1,INDEX($DD$7:$DG$7,MATCH(1,$DD40:$DG40,0)),"mixedProduct")</f>
        <v>mixedProduct</v>
      </c>
      <c r="DK40">
        <f>IF(DD40=1,DK$7,0)</f>
        <v>0</v>
      </c>
      <c r="DL40" t="str">
        <f>IF(DE40=1,DL$7,0)</f>
        <v>Energy</v>
      </c>
      <c r="DM40">
        <f>IF(DF40=1,DM$7,0)</f>
        <v>0</v>
      </c>
      <c r="DN40" t="str">
        <f>IF(DG40=1,DN$7,0)</f>
        <v>Timber</v>
      </c>
      <c r="DO40">
        <v>1</v>
      </c>
      <c r="DP40">
        <v>0</v>
      </c>
      <c r="DQ40">
        <v>0</v>
      </c>
      <c r="DR40">
        <v>0</v>
      </c>
      <c r="DS40">
        <v>0</v>
      </c>
      <c r="DT40">
        <f>SUM(DO40:DP40)</f>
        <v>1</v>
      </c>
      <c r="DU40" s="143" t="str">
        <f>IF(DO40=1,"self-calculated DF",IF(DP40=1,"external DF used","explicit C balance"))</f>
        <v>self-calculated DF</v>
      </c>
      <c r="DV40">
        <v>1</v>
      </c>
      <c r="DW40">
        <v>0</v>
      </c>
      <c r="DX40">
        <v>1</v>
      </c>
      <c r="DY40">
        <v>0</v>
      </c>
      <c r="DZ40">
        <v>0</v>
      </c>
      <c r="EA40" s="143">
        <v>0</v>
      </c>
      <c r="EB40">
        <v>0</v>
      </c>
      <c r="EC40">
        <v>0</v>
      </c>
      <c r="ED40">
        <v>0</v>
      </c>
      <c r="EE40">
        <v>0</v>
      </c>
      <c r="EF40">
        <v>1</v>
      </c>
      <c r="EG40">
        <v>0</v>
      </c>
      <c r="EH40">
        <v>0</v>
      </c>
      <c r="EI40" s="2">
        <v>0</v>
      </c>
      <c r="EJ40" s="1"/>
      <c r="EK40" t="str">
        <f>IF(AND(AND(AND(OR($DX40=1,$DW40=1),OR($EC40=1,$EA40=1)),SUM($DV40:$DZ40,$EF40)&gt;=4),SUM($EA40:$EE40)&gt;=2),"Whole sector","")</f>
        <v/>
      </c>
      <c r="EL40" t="str">
        <f>IF(AND(AND(OR($DX40=1,$DW40=1),AND($EC40=0,$EA40=0)),SUM($DV40:$DZ40,$EF40)&gt;=4),"Ecosystem approach","")</f>
        <v/>
      </c>
      <c r="EM40" s="2" t="str">
        <f>IF(AND(AND(AND($DX40=0,$DW40=0),OR($EC40=1,$EA40=1)),SUM($EB40:$EE40)&gt;=2),"Technology approach","")</f>
        <v/>
      </c>
      <c r="EN40" t="s">
        <v>2405</v>
      </c>
      <c r="EO40"/>
      <c r="EP40" t="str">
        <f>IF(ISNUMBER(BU40),IF(ABS(BU40-[1]QC_indicators!$B$2)&gt;3*[1]QC_indicators!$C$2,"C ratio",IF(ISNUMBER(BY40),IF(ABS(BY40-[1]QC_indicators!$B$1)&gt;3*[1]QC_indicators!$C$1,"DF","no"))),IF(ISNUMBER(BY40),IF(ABS(BY40-[1]QC_indicators!$B$1)&gt;3*[1]QC_indicators!$C$1,"DF","no")))</f>
        <v>no</v>
      </c>
      <c r="EQ40"/>
      <c r="ER40" s="266" t="s">
        <v>2396</v>
      </c>
      <c r="ES40"/>
      <c r="ET40" s="308" t="s">
        <v>3424</v>
      </c>
      <c r="EU40"/>
    </row>
    <row r="41" spans="1:151" s="139" customFormat="1" ht="15" hidden="1" customHeight="1">
      <c r="A41" s="1" t="s">
        <v>1104</v>
      </c>
      <c r="B41" t="s">
        <v>2383</v>
      </c>
      <c r="C41" t="s">
        <v>2384</v>
      </c>
      <c r="D41" t="s">
        <v>2385</v>
      </c>
      <c r="E41" t="s">
        <v>2386</v>
      </c>
      <c r="F41" t="s">
        <v>2387</v>
      </c>
      <c r="G41" t="s">
        <v>1110</v>
      </c>
      <c r="H41" t="s">
        <v>255</v>
      </c>
      <c r="I41">
        <v>2016</v>
      </c>
      <c r="J41">
        <v>13</v>
      </c>
      <c r="K41" t="s">
        <v>2388</v>
      </c>
      <c r="L41"/>
      <c r="M41" t="str">
        <f>LEFT($D41,FIND(",",$D41)-1)&amp;"_"&amp;I41&amp;L41</f>
        <v>Torssonen_2016</v>
      </c>
      <c r="N41" t="s">
        <v>223</v>
      </c>
      <c r="O41" s="145" t="s">
        <v>1156</v>
      </c>
      <c r="P41"/>
      <c r="Q41" s="266" t="s">
        <v>257</v>
      </c>
      <c r="R41" s="271" t="s">
        <v>342</v>
      </c>
      <c r="S41" s="1" t="s">
        <v>2406</v>
      </c>
      <c r="T41" s="266" t="s">
        <v>2430</v>
      </c>
      <c r="U41" t="s">
        <v>2432</v>
      </c>
      <c r="V41">
        <v>0</v>
      </c>
      <c r="W41">
        <v>0</v>
      </c>
      <c r="X41">
        <v>0</v>
      </c>
      <c r="Y41">
        <v>0</v>
      </c>
      <c r="Z41">
        <v>0</v>
      </c>
      <c r="AA41">
        <v>0</v>
      </c>
      <c r="AB41">
        <v>0</v>
      </c>
      <c r="AC41">
        <v>0</v>
      </c>
      <c r="AD41">
        <v>0</v>
      </c>
      <c r="AE41">
        <v>0</v>
      </c>
      <c r="AF41">
        <v>0</v>
      </c>
      <c r="AG41">
        <v>0</v>
      </c>
      <c r="AH41">
        <v>0</v>
      </c>
      <c r="AI41">
        <v>0</v>
      </c>
      <c r="AJ41">
        <v>0</v>
      </c>
      <c r="AK41">
        <v>0</v>
      </c>
      <c r="AL41">
        <v>0</v>
      </c>
      <c r="AM41">
        <v>0</v>
      </c>
      <c r="AN41">
        <v>1</v>
      </c>
      <c r="AO41">
        <v>1</v>
      </c>
      <c r="AP41">
        <v>0</v>
      </c>
      <c r="AQ41">
        <v>0</v>
      </c>
      <c r="AR41">
        <v>0</v>
      </c>
      <c r="AS41">
        <v>0</v>
      </c>
      <c r="AT41">
        <v>0</v>
      </c>
      <c r="AU41">
        <v>0</v>
      </c>
      <c r="AV41">
        <v>0</v>
      </c>
      <c r="AW41">
        <v>0</v>
      </c>
      <c r="AX41" s="141">
        <f>COUNTIF(V41:AW41,"&lt;&gt;0")</f>
        <v>2</v>
      </c>
      <c r="AY41" s="141">
        <f>COUNTIF(V41:AL41,"&lt;&gt;0")</f>
        <v>0</v>
      </c>
      <c r="AZ41">
        <f>COUNTIF(V41:AC41,"&lt;&gt;0")</f>
        <v>0</v>
      </c>
      <c r="BA41">
        <f>COUNTIF(AD41:AI41,"&lt;&gt;0")</f>
        <v>0</v>
      </c>
      <c r="BB41">
        <f>COUNTIF(AJ41:AL41,"&lt;&gt;0")</f>
        <v>0</v>
      </c>
      <c r="BC41">
        <f>COUNTIF(AS41:AW41,"&lt;&gt;0")</f>
        <v>0</v>
      </c>
      <c r="BD41">
        <f>COUNTIF(AM41:AR41,"&lt;&gt;0")</f>
        <v>2</v>
      </c>
      <c r="BE41" t="str" cm="1">
        <f t="array" ref="BE41">IF(AY41=1,INDEX($V$7:$AL$7,MATCH(TRUE,INDEX($V41:$AW41&lt;&gt;0,),0)),IF(AY41=0,INDEX($AM$7:$AW$7,MATCH(1,$AM41:$AW41,0)),IF(BF41="Multiple strategies","mixed drivers",IF(BF41="Supply chain","multiple supply","multiple silviculture"))))</f>
        <v>Temperature</v>
      </c>
      <c r="BF41" s="2" t="str" cm="1">
        <f t="array" ref="BF41">IF(COUNTIF(AZ41:BB41,"&lt;&gt;0")=1,INDEX($V$4:$AW$4,MATCH(TRUE,INDEX($V41:$AW41&lt;&gt;0,),0)),IF(COUNTIF(AZ41:BB41,"&lt;&gt;0")=0,INDEX($AM$4:$AW$4,MATCH(1,$AM41:$AW41,0)),"Multiple strategies"))</f>
        <v>Environmental change</v>
      </c>
      <c r="BG41" s="1" t="s">
        <v>230</v>
      </c>
      <c r="BH41" s="308" t="s">
        <v>2146</v>
      </c>
      <c r="BI41" s="266" t="s">
        <v>2393</v>
      </c>
      <c r="BJ41" s="308" t="s">
        <v>1060</v>
      </c>
      <c r="BK41">
        <v>8.3265305820000002</v>
      </c>
      <c r="BL41">
        <v>8.4877550709999987</v>
      </c>
      <c r="BM41" s="143">
        <f>BL41/BK41</f>
        <v>1.0193627450727831</v>
      </c>
      <c r="BN41">
        <f>BL41-BK41</f>
        <v>0.16122448899999853</v>
      </c>
      <c r="BO41">
        <f>+BN41*t_to_m3</f>
        <v>0.32902956938775213</v>
      </c>
      <c r="BP41" s="308" t="s">
        <v>396</v>
      </c>
      <c r="BQ41" s="153" t="s">
        <v>3423</v>
      </c>
      <c r="BR41" s="266" t="s">
        <v>2395</v>
      </c>
      <c r="BS41">
        <v>-478.54545454545399</v>
      </c>
      <c r="BT41">
        <v>-490.18181818181802</v>
      </c>
      <c r="BU41" s="144"/>
      <c r="BV41" s="144">
        <f>BT41-BS41</f>
        <v>-11.636363636364024</v>
      </c>
      <c r="BW41" s="144"/>
      <c r="BX41" s="144">
        <f>BV41*10^4/10^6</f>
        <v>-0.11636363636364024</v>
      </c>
      <c r="BY41">
        <f>IFERROR(BX41/BO41,"")</f>
        <v>-0.35365707884603209</v>
      </c>
      <c r="BZ41">
        <v>0</v>
      </c>
      <c r="CA41">
        <v>0</v>
      </c>
      <c r="CB41">
        <v>0</v>
      </c>
      <c r="CC41">
        <v>0</v>
      </c>
      <c r="CD41">
        <v>0</v>
      </c>
      <c r="CE41">
        <v>0</v>
      </c>
      <c r="CF41">
        <v>0</v>
      </c>
      <c r="CG41">
        <v>0</v>
      </c>
      <c r="CH41">
        <v>0</v>
      </c>
      <c r="CI41">
        <v>0</v>
      </c>
      <c r="CJ41">
        <v>0</v>
      </c>
      <c r="CK41">
        <v>0</v>
      </c>
      <c r="CL41">
        <v>0</v>
      </c>
      <c r="CM41">
        <v>1</v>
      </c>
      <c r="CN41" t="str">
        <f>IF($BL41&lt;$BK41,"refNeedCorrection","refOK")</f>
        <v>refOK</v>
      </c>
      <c r="CO41">
        <f>IF($CN41="refOK",$BK41,$BL41)</f>
        <v>8.3265305820000002</v>
      </c>
      <c r="CP41">
        <f>IF($CN41="refOK",$BL41,$BK41)</f>
        <v>8.4877550709999987</v>
      </c>
      <c r="CQ41">
        <f>IF($CN41="refOK",$BO41,-$BO41)</f>
        <v>0.32902956938775213</v>
      </c>
      <c r="CR41">
        <f>IF($CN41="refOK",$BS41,$BT41)*IF($BP41="Emissions positive",-1,1)</f>
        <v>478.54545454545399</v>
      </c>
      <c r="CS41">
        <f>IF($CN41="refOK",$BT41,$BS41)*IF($BP41="Emissions positive",-1,1)</f>
        <v>490.18181818181802</v>
      </c>
      <c r="CT41">
        <f>IF($CN41="refNeedCorrection",-BX41,BX41)*IF($BP41="Emissions positive",-1,1)</f>
        <v>0.11636363636364024</v>
      </c>
      <c r="CU41">
        <f>IFERROR(CT41/CQ41,"")</f>
        <v>0.35365707884603209</v>
      </c>
      <c r="CV41" s="2">
        <f>IFERROR((CS41-CR41)/ABS(CR41),"")</f>
        <v>2.4316109422493241E-2</v>
      </c>
      <c r="CW41" s="1" t="s">
        <v>1201</v>
      </c>
      <c r="CX41" s="266" t="str">
        <f>IF(OR($CW41="prd",$CW41="std",$CW41="cit"),"loc",IF(OR($CW41="eur",$CW41="reg",$CW41="coy"),"reg",$CW41))</f>
        <v>reg</v>
      </c>
      <c r="CY41" t="s">
        <v>236</v>
      </c>
      <c r="CZ41">
        <v>2020</v>
      </c>
      <c r="DA41">
        <v>2100</v>
      </c>
      <c r="DB41">
        <f>DA41-CZ41</f>
        <v>80</v>
      </c>
      <c r="DC41" t="str">
        <f>IF(DB41=0,"0",IF(AND(DB41&gt;=1,DB41&lt;=30),"1-30",IF(AND(DB41&gt;30,DB41&lt;=70),"31-70",IF(AND(DB41&gt;70,DB41&lt;=100),"71-100",IF(DB41&gt;100,"+100")))))</f>
        <v>71-100</v>
      </c>
      <c r="DD41">
        <v>0</v>
      </c>
      <c r="DE41">
        <v>1</v>
      </c>
      <c r="DF41">
        <v>0</v>
      </c>
      <c r="DG41">
        <v>1</v>
      </c>
      <c r="DH41"/>
      <c r="DI41">
        <f>SUM(DD41:DG41)</f>
        <v>2</v>
      </c>
      <c r="DJ41" t="str">
        <f>IF(DI41=1,INDEX($DD$7:$DG$7,MATCH(1,$DD41:$DG41,0)),"mixedProduct")</f>
        <v>mixedProduct</v>
      </c>
      <c r="DK41">
        <f>IF(DD41=1,DK$7,0)</f>
        <v>0</v>
      </c>
      <c r="DL41" t="str">
        <f>IF(DE41=1,DL$7,0)</f>
        <v>Energy</v>
      </c>
      <c r="DM41">
        <f>IF(DF41=1,DM$7,0)</f>
        <v>0</v>
      </c>
      <c r="DN41" t="str">
        <f>IF(DG41=1,DN$7,0)</f>
        <v>Timber</v>
      </c>
      <c r="DO41">
        <v>1</v>
      </c>
      <c r="DP41">
        <v>0</v>
      </c>
      <c r="DQ41">
        <v>0</v>
      </c>
      <c r="DR41">
        <v>0</v>
      </c>
      <c r="DS41">
        <v>0</v>
      </c>
      <c r="DT41">
        <f>SUM(DO41:DP41)</f>
        <v>1</v>
      </c>
      <c r="DU41" s="143" t="str">
        <f>IF(DO41=1,"self-calculated DF",IF(DP41=1,"external DF used","explicit C balance"))</f>
        <v>self-calculated DF</v>
      </c>
      <c r="DV41">
        <v>1</v>
      </c>
      <c r="DW41">
        <v>0</v>
      </c>
      <c r="DX41">
        <v>1</v>
      </c>
      <c r="DY41">
        <v>0</v>
      </c>
      <c r="DZ41">
        <v>0</v>
      </c>
      <c r="EA41" s="143">
        <v>0</v>
      </c>
      <c r="EB41">
        <v>0</v>
      </c>
      <c r="EC41">
        <v>0</v>
      </c>
      <c r="ED41">
        <v>0</v>
      </c>
      <c r="EE41">
        <v>0</v>
      </c>
      <c r="EF41">
        <v>1</v>
      </c>
      <c r="EG41">
        <v>0</v>
      </c>
      <c r="EH41">
        <v>0</v>
      </c>
      <c r="EI41" s="2">
        <v>0</v>
      </c>
      <c r="EJ41" s="1"/>
      <c r="EK41" t="str">
        <f>IF(AND(AND(AND(OR($DX41=1,$DW41=1),OR($EC41=1,$EA41=1)),SUM($DV41:$DZ41,$EF41)&gt;=4),SUM($EA41:$EE41)&gt;=2),"Whole sector","")</f>
        <v/>
      </c>
      <c r="EL41" t="str">
        <f>IF(AND(AND(OR($DX41=1,$DW41=1),AND($EC41=0,$EA41=0)),SUM($DV41:$DZ41,$EF41)&gt;=4),"Ecosystem approach","")</f>
        <v/>
      </c>
      <c r="EM41" s="2" t="str">
        <f>IF(AND(AND(AND($DX41=0,$DW41=0),OR($EC41=1,$EA41=1)),SUM($EB41:$EE41)&gt;=2),"Technology approach","")</f>
        <v/>
      </c>
      <c r="EN41" t="s">
        <v>2405</v>
      </c>
      <c r="EO41"/>
      <c r="EP41" t="str">
        <f>IF(ISNUMBER(BU41),IF(ABS(BU41-[1]QC_indicators!$B$2)&gt;3*[1]QC_indicators!$C$2,"C ratio",IF(ISNUMBER(BY41),IF(ABS(BY41-[1]QC_indicators!$B$1)&gt;3*[1]QC_indicators!$C$1,"DF","no"))),IF(ISNUMBER(BY41),IF(ABS(BY41-[1]QC_indicators!$B$1)&gt;3*[1]QC_indicators!$C$1,"DF","no")))</f>
        <v>no</v>
      </c>
      <c r="EQ41"/>
      <c r="ER41" s="266" t="s">
        <v>2396</v>
      </c>
      <c r="ES41"/>
      <c r="ET41" s="308" t="s">
        <v>3424</v>
      </c>
      <c r="EU41"/>
    </row>
    <row r="42" spans="1:151" s="139" customFormat="1" ht="15" customHeight="1">
      <c r="A42" s="1" t="s">
        <v>1893</v>
      </c>
      <c r="B42" t="s">
        <v>1894</v>
      </c>
      <c r="C42"/>
      <c r="D42" t="s">
        <v>1895</v>
      </c>
      <c r="E42" t="s">
        <v>1896</v>
      </c>
      <c r="F42" t="s">
        <v>1897</v>
      </c>
      <c r="G42" t="s">
        <v>1898</v>
      </c>
      <c r="H42" t="s">
        <v>255</v>
      </c>
      <c r="I42">
        <v>2009</v>
      </c>
      <c r="J42">
        <v>31</v>
      </c>
      <c r="K42" t="s">
        <v>1899</v>
      </c>
      <c r="L42"/>
      <c r="M42" t="str">
        <f>LEFT($D42,FIND(",",$D42)-1)&amp;"_"&amp;I42&amp;L42</f>
        <v>Liu_2009</v>
      </c>
      <c r="N42" t="s">
        <v>223</v>
      </c>
      <c r="O42" s="145" t="s">
        <v>226</v>
      </c>
      <c r="P42"/>
      <c r="Q42" t="s">
        <v>257</v>
      </c>
      <c r="R42" s="264" t="s">
        <v>224</v>
      </c>
      <c r="S42" s="1" t="s">
        <v>1904</v>
      </c>
      <c r="T42" s="143" t="s">
        <v>1905</v>
      </c>
      <c r="U42" s="143" t="s">
        <v>1906</v>
      </c>
      <c r="V42">
        <v>0</v>
      </c>
      <c r="W42">
        <v>0</v>
      </c>
      <c r="X42">
        <v>0</v>
      </c>
      <c r="Y42">
        <v>0</v>
      </c>
      <c r="Z42">
        <v>0</v>
      </c>
      <c r="AA42">
        <v>0</v>
      </c>
      <c r="AB42">
        <v>0</v>
      </c>
      <c r="AC42">
        <v>0</v>
      </c>
      <c r="AD42">
        <v>0</v>
      </c>
      <c r="AE42">
        <v>0</v>
      </c>
      <c r="AF42">
        <v>0</v>
      </c>
      <c r="AG42">
        <v>0</v>
      </c>
      <c r="AH42">
        <v>0</v>
      </c>
      <c r="AI42">
        <v>1</v>
      </c>
      <c r="AJ42">
        <v>0</v>
      </c>
      <c r="AK42">
        <v>0</v>
      </c>
      <c r="AL42">
        <v>0</v>
      </c>
      <c r="AM42">
        <v>0</v>
      </c>
      <c r="AN42">
        <v>0</v>
      </c>
      <c r="AO42">
        <v>0</v>
      </c>
      <c r="AP42">
        <v>0</v>
      </c>
      <c r="AQ42">
        <v>0</v>
      </c>
      <c r="AR42">
        <v>0</v>
      </c>
      <c r="AS42">
        <v>0</v>
      </c>
      <c r="AT42">
        <v>0</v>
      </c>
      <c r="AU42">
        <v>0</v>
      </c>
      <c r="AV42">
        <v>0</v>
      </c>
      <c r="AW42">
        <v>0</v>
      </c>
      <c r="AX42" s="141">
        <f>COUNTIF(V42:AW42,"&lt;&gt;0")</f>
        <v>1</v>
      </c>
      <c r="AY42" s="141">
        <f>COUNTIF(V42:AL42,"&lt;&gt;0")</f>
        <v>1</v>
      </c>
      <c r="AZ42">
        <f>COUNTIF(V42:AC42,"&lt;&gt;0")</f>
        <v>0</v>
      </c>
      <c r="BA42">
        <f>COUNTIF(AD42:AI42,"&lt;&gt;0")</f>
        <v>1</v>
      </c>
      <c r="BB42">
        <f>COUNTIF(AJ42:AL42,"&lt;&gt;0")</f>
        <v>0</v>
      </c>
      <c r="BC42">
        <f>COUNTIF(AS42:AW42,"&lt;&gt;0")</f>
        <v>0</v>
      </c>
      <c r="BD42">
        <f>COUNTIF(AM42:AR42,"&lt;&gt;0")</f>
        <v>0</v>
      </c>
      <c r="BE42" t="str">
        <f t="array" ref="BE42">IF(AY42=1,INDEX($V$7:$AL$7,MATCH(TRUE,INDEX($V42:$AW42&lt;&gt;0,),0)),IF(AY42=0,INDEX($AM$7:$AW$7,MATCH(1,$AM42:$AW42,0)),IF(BF42="Multiple strategies","mixed drivers",IF(BF42="Supply chain","multiple supply","multiple silviculture"))))</f>
        <v>products lifespan</v>
      </c>
      <c r="BF42" s="2" t="str" cm="1">
        <f t="array" ref="BF42">IF(COUNTIF(AZ42:BB42,"&lt;&gt;0")=1,INDEX($V$4:$AW$4,MATCH(TRUE,INDEX($V42:$AW42&lt;&gt;0,),0)),IF(COUNTIF(AZ42:BB42,"&lt;&gt;0")=0,INDEX($AM$4:$AW$4,MATCH(1,$AM42:$AW42,0)),"Multiple strategies"))</f>
        <v>Supply chain</v>
      </c>
      <c r="BG42" s="142" t="s">
        <v>322</v>
      </c>
      <c r="BH42" s="266" t="s">
        <v>3159</v>
      </c>
      <c r="BI42" s="266" t="s">
        <v>3160</v>
      </c>
      <c r="BJ42" s="143" t="s">
        <v>1357</v>
      </c>
      <c r="BK42" s="143">
        <f>4.8*10+3.3*390</f>
        <v>1335</v>
      </c>
      <c r="BL42" s="143">
        <f>4.8*10+3.3*390</f>
        <v>1335</v>
      </c>
      <c r="BM42" s="163">
        <f>BL42/BK42</f>
        <v>1</v>
      </c>
      <c r="BN42">
        <f>BL42-BK42</f>
        <v>0</v>
      </c>
      <c r="BO42">
        <f>BN42*10^6</f>
        <v>0</v>
      </c>
      <c r="BP42" t="s">
        <v>233</v>
      </c>
      <c r="BQ42" s="153" t="s">
        <v>3161</v>
      </c>
      <c r="BR42" t="s">
        <v>1902</v>
      </c>
      <c r="BS42" s="143">
        <f>500</f>
        <v>500</v>
      </c>
      <c r="BT42">
        <f>560</f>
        <v>560</v>
      </c>
      <c r="BU42" s="144">
        <f>IFERROR(BT42/BS42,"")</f>
        <v>1.1200000000000001</v>
      </c>
      <c r="BV42">
        <f>BT42-BS42</f>
        <v>60</v>
      </c>
      <c r="BW42"/>
      <c r="BX42">
        <f>BV42*10^6*C_to_CO2</f>
        <v>220200000</v>
      </c>
      <c r="BY42" t="str">
        <f>IFERROR(BX42/BO42,"")</f>
        <v/>
      </c>
      <c r="BZ42">
        <v>0</v>
      </c>
      <c r="CA42">
        <v>0</v>
      </c>
      <c r="CB42">
        <v>0</v>
      </c>
      <c r="CC42">
        <v>0</v>
      </c>
      <c r="CD42">
        <v>0</v>
      </c>
      <c r="CE42">
        <v>0</v>
      </c>
      <c r="CF42">
        <v>0</v>
      </c>
      <c r="CG42">
        <v>0</v>
      </c>
      <c r="CH42">
        <v>0</v>
      </c>
      <c r="CI42">
        <v>0</v>
      </c>
      <c r="CJ42">
        <v>0</v>
      </c>
      <c r="CK42">
        <v>0</v>
      </c>
      <c r="CL42">
        <v>0</v>
      </c>
      <c r="CM42">
        <v>0</v>
      </c>
      <c r="CN42" t="str">
        <f>IF($BL42&lt;$BK42,"refNeedCorrection","refOK")</f>
        <v>refOK</v>
      </c>
      <c r="CO42">
        <f>IF($CN42="refOK",$BK42,$BL42)</f>
        <v>1335</v>
      </c>
      <c r="CP42">
        <f>IF($CN42="refOK",$BL42,$BK42)</f>
        <v>1335</v>
      </c>
      <c r="CQ42">
        <f>IF($CN42="refOK",$BO42,-$BO42)</f>
        <v>0</v>
      </c>
      <c r="CR42">
        <f>IF($CN42="refOK",$BS42,$BT42)*IF($BP42="Emissions positive",-1,1)</f>
        <v>500</v>
      </c>
      <c r="CS42">
        <f>IF($CN42="refOK",$BT42,$BS42)*IF($BP42="Emissions positive",-1,1)</f>
        <v>560</v>
      </c>
      <c r="CT42">
        <f>IF($CN42="refNeedCorrection",-BX42,BX42)*IF($BP42="Emissions positive",-1,1)</f>
        <v>220200000</v>
      </c>
      <c r="CU42" t="str">
        <f>IFERROR(CT42/CQ42,"")</f>
        <v/>
      </c>
      <c r="CV42" s="2">
        <f>IFERROR((CS42-CR42)/ABS(CR42),"")</f>
        <v>0.12</v>
      </c>
      <c r="CW42" s="1" t="s">
        <v>1201</v>
      </c>
      <c r="CX42" t="str">
        <f>IF(OR($CW42="prd",$CW42="std",$CW42="cit"),"loc",IF(OR($CW42="eur",$CW42="reg",$CW42="coy"),"reg",$CW42))</f>
        <v>reg</v>
      </c>
      <c r="CY42" t="s">
        <v>541</v>
      </c>
      <c r="CZ42"/>
      <c r="DA42" s="143"/>
      <c r="DB42" s="143">
        <v>400</v>
      </c>
      <c r="DC42" t="str">
        <f>IF(DB42=0,"0",IF(AND(DB42&gt;=1,DB42&lt;=30),"1-30",IF(AND(DB42&gt;30,DB42&lt;=70),"31-70",IF(AND(DB42&gt;70,DB42&lt;=100),"71-100",IF(DB42&gt;100,"+100")))))</f>
        <v>+100</v>
      </c>
      <c r="DD42">
        <v>0</v>
      </c>
      <c r="DE42">
        <v>0</v>
      </c>
      <c r="DF42">
        <v>0</v>
      </c>
      <c r="DG42">
        <v>1</v>
      </c>
      <c r="DH42"/>
      <c r="DI42">
        <f>SUM(DD42:DG42)</f>
        <v>1</v>
      </c>
      <c r="DJ42" t="str">
        <f>IF(DI42=1,INDEX($DD$7:$DG$7,MATCH(1,$DD42:$DG42,0)),"mixedProduct")</f>
        <v>TimberInput</v>
      </c>
      <c r="DK42">
        <f>IF(DD42=1,DK$7,0)</f>
        <v>0</v>
      </c>
      <c r="DL42">
        <f>IF(DE42=1,DL$7,0)</f>
        <v>0</v>
      </c>
      <c r="DM42">
        <f>IF(DF42=1,DM$7,0)</f>
        <v>0</v>
      </c>
      <c r="DN42" t="str">
        <f>IF(DG42=1,DN$7,0)</f>
        <v>Timber</v>
      </c>
      <c r="DO42">
        <v>0</v>
      </c>
      <c r="DP42" s="143">
        <v>0</v>
      </c>
      <c r="DQ42" s="143">
        <v>0</v>
      </c>
      <c r="DR42">
        <v>0</v>
      </c>
      <c r="DS42" s="143">
        <v>0</v>
      </c>
      <c r="DT42">
        <f>SUM(DO42:DP42)</f>
        <v>0</v>
      </c>
      <c r="DU42" s="143" t="str">
        <f>IF(DO42=1,"self-calculated DF",IF(DP42=1,"external DF used","explicit C balance"))</f>
        <v>explicit C balance</v>
      </c>
      <c r="DV42" s="143">
        <v>1</v>
      </c>
      <c r="DW42" s="143">
        <v>0</v>
      </c>
      <c r="DX42" s="143">
        <v>1</v>
      </c>
      <c r="DY42" s="143">
        <v>1</v>
      </c>
      <c r="DZ42">
        <v>1</v>
      </c>
      <c r="EA42" s="143">
        <v>0</v>
      </c>
      <c r="EB42" s="143">
        <v>0</v>
      </c>
      <c r="EC42" s="143">
        <v>0</v>
      </c>
      <c r="ED42" s="143">
        <v>0</v>
      </c>
      <c r="EE42">
        <v>0</v>
      </c>
      <c r="EF42">
        <v>1</v>
      </c>
      <c r="EG42" s="143">
        <v>0</v>
      </c>
      <c r="EH42">
        <v>0</v>
      </c>
      <c r="EI42" s="2">
        <v>0</v>
      </c>
      <c r="EJ42" s="265" t="s">
        <v>3162</v>
      </c>
      <c r="EK42" t="str">
        <f>IF(AND(AND(AND(OR($DX42=1,$DW42=1),OR($EC42=1,$EA42=1)),SUM($DV42:$DZ42,$EF42)&gt;=4),SUM($EA42:$EE42)&gt;=2),"Whole sector","")</f>
        <v/>
      </c>
      <c r="EL42" t="str">
        <f>IF(AND(AND(OR($DX42=1,$DW42=1),AND($EC42=0,$EA42=0)),SUM($DV42:$DZ42,$EF42)&gt;=4),"Ecosystem approach","")</f>
        <v>Ecosystem approach</v>
      </c>
      <c r="EM42" s="2" t="str">
        <f>IF(AND(AND(AND($DX42=0,$DW42=0),OR($EC42=1,$EA42=1)),SUM($EB42:$EE42)&gt;=2),"Technology approach","")</f>
        <v/>
      </c>
      <c r="EN42"/>
      <c r="EO42"/>
      <c r="EP42" t="b">
        <f>IF(ISNUMBER(BU42),IF(ABS(BU42-[2]QC_indicators!$B$2)&gt;3*[2]QC_indicators!$C$2,"C ratio",IF(ISNUMBER(BY42),IF(ABS(BY42-[2]QC_indicators!$B$1)&gt;3*[2]QC_indicators!$C$1,"DF","no"))),IF(ISNUMBER(BY42),IF(ABS(BY42-[2]QC_indicators!$B$1)&gt;3*[2]QC_indicators!$C$1,"DF","no")))</f>
        <v>0</v>
      </c>
      <c r="EQ42"/>
      <c r="ER42"/>
      <c r="ES42"/>
      <c r="ET42" s="266" t="s">
        <v>3163</v>
      </c>
      <c r="EU42"/>
    </row>
    <row r="43" spans="1:151" s="139" customFormat="1" ht="15" hidden="1" customHeight="1">
      <c r="A43" s="1" t="s">
        <v>1380</v>
      </c>
      <c r="B43" t="s">
        <v>1381</v>
      </c>
      <c r="C43" t="s">
        <v>1382</v>
      </c>
      <c r="D43" t="s">
        <v>1383</v>
      </c>
      <c r="E43" t="s">
        <v>1384</v>
      </c>
      <c r="F43" t="s">
        <v>1385</v>
      </c>
      <c r="G43" t="s">
        <v>1386</v>
      </c>
      <c r="H43" t="s">
        <v>255</v>
      </c>
      <c r="I43">
        <v>2021</v>
      </c>
      <c r="J43">
        <v>0</v>
      </c>
      <c r="K43" t="s">
        <v>1387</v>
      </c>
      <c r="L43"/>
      <c r="M43" t="str">
        <f>LEFT($D43,FIND(",",$D43)-1)&amp;"_"&amp;I43&amp;L43</f>
        <v>Delacote_2021</v>
      </c>
      <c r="N43" t="s">
        <v>223</v>
      </c>
      <c r="O43" s="145" t="s">
        <v>224</v>
      </c>
      <c r="P43"/>
      <c r="Q43" s="266" t="s">
        <v>257</v>
      </c>
      <c r="R43" s="271" t="s">
        <v>1156</v>
      </c>
      <c r="S43" s="1" t="s">
        <v>1399</v>
      </c>
      <c r="T43" t="s">
        <v>1400</v>
      </c>
      <c r="U43" t="s">
        <v>1389</v>
      </c>
      <c r="V43">
        <v>0</v>
      </c>
      <c r="W43">
        <v>0</v>
      </c>
      <c r="X43">
        <v>0</v>
      </c>
      <c r="Y43">
        <v>0</v>
      </c>
      <c r="Z43">
        <v>0</v>
      </c>
      <c r="AA43">
        <v>0</v>
      </c>
      <c r="AB43">
        <v>0</v>
      </c>
      <c r="AC43">
        <v>0</v>
      </c>
      <c r="AD43">
        <v>0</v>
      </c>
      <c r="AE43">
        <v>0</v>
      </c>
      <c r="AF43">
        <v>0</v>
      </c>
      <c r="AG43">
        <v>0</v>
      </c>
      <c r="AH43">
        <v>0</v>
      </c>
      <c r="AI43">
        <v>0</v>
      </c>
      <c r="AJ43">
        <v>0</v>
      </c>
      <c r="AK43">
        <v>0</v>
      </c>
      <c r="AL43">
        <v>0</v>
      </c>
      <c r="AM43">
        <v>0</v>
      </c>
      <c r="AN43">
        <v>1</v>
      </c>
      <c r="AO43">
        <v>2</v>
      </c>
      <c r="AP43">
        <v>0</v>
      </c>
      <c r="AQ43">
        <v>0</v>
      </c>
      <c r="AR43">
        <v>0</v>
      </c>
      <c r="AS43">
        <v>0</v>
      </c>
      <c r="AT43">
        <v>0</v>
      </c>
      <c r="AU43">
        <v>0</v>
      </c>
      <c r="AV43">
        <v>0</v>
      </c>
      <c r="AW43">
        <v>0</v>
      </c>
      <c r="AX43" s="141">
        <f>COUNTIF(V43:AW43,"&lt;&gt;0")</f>
        <v>2</v>
      </c>
      <c r="AY43" s="141">
        <f>COUNTIF(V43:AL43,"&lt;&gt;0")</f>
        <v>0</v>
      </c>
      <c r="AZ43">
        <f>COUNTIF(V43:AC43,"&lt;&gt;0")</f>
        <v>0</v>
      </c>
      <c r="BA43">
        <f>COUNTIF(AD43:AI43,"&lt;&gt;0")</f>
        <v>0</v>
      </c>
      <c r="BB43">
        <f>COUNTIF(AJ43:AL43,"&lt;&gt;0")</f>
        <v>0</v>
      </c>
      <c r="BC43">
        <f>COUNTIF(AS43:AW43,"&lt;&gt;0")</f>
        <v>0</v>
      </c>
      <c r="BD43">
        <f>COUNTIF(AM43:AR43,"&lt;&gt;0")</f>
        <v>2</v>
      </c>
      <c r="BE43" t="str" cm="1">
        <f t="array" ref="BE43">IF(AY43=1,INDEX($V$7:$AL$7,MATCH(TRUE,INDEX($V43:$AW43&lt;&gt;0,),0)),IF(AY43=0,INDEX($AM$7:$AW$7,MATCH(1,$AM43:$AW43,0)),IF(BF43="Multiple strategies","mixed drivers",IF(BF43="Supply chain","multiple supply","multiple silviculture"))))</f>
        <v>Temperature</v>
      </c>
      <c r="BF43" s="2" t="str" cm="1">
        <f t="array" ref="BF43">IF(COUNTIF(AZ43:BB43,"&lt;&gt;0")=1,INDEX($V$4:$AW$4,MATCH(TRUE,INDEX($V43:$AW43&lt;&gt;0,),0)),IF(COUNTIF(AZ43:BB43,"&lt;&gt;0")=0,INDEX($AM$4:$AW$4,MATCH(1,$AM43:$AW43,0)),"Multiple strategies"))</f>
        <v>Environmental change</v>
      </c>
      <c r="BG43" s="1" t="s">
        <v>322</v>
      </c>
      <c r="BH43" t="s">
        <v>1299</v>
      </c>
      <c r="BI43"/>
      <c r="BJ43" t="s">
        <v>1216</v>
      </c>
      <c r="BK43">
        <v>51.780999999999999</v>
      </c>
      <c r="BL43">
        <v>58.277999999999999</v>
      </c>
      <c r="BM43">
        <f>BL43/BK43</f>
        <v>1.1254707325080628</v>
      </c>
      <c r="BN43">
        <f>BL43-BK43</f>
        <v>6.4969999999999999</v>
      </c>
      <c r="BO43">
        <f>BN43*10^6</f>
        <v>6497000</v>
      </c>
      <c r="BP43" t="s">
        <v>233</v>
      </c>
      <c r="BQ43"/>
      <c r="BR43" t="s">
        <v>1232</v>
      </c>
      <c r="BS43">
        <v>123.172</v>
      </c>
      <c r="BT43">
        <f>BS43*(1-29.85/100)</f>
        <v>86.405158</v>
      </c>
      <c r="BU43" s="144">
        <f>IFERROR(BT43/BS43,"")</f>
        <v>0.70150000000000001</v>
      </c>
      <c r="BV43">
        <f>BT43-BS43</f>
        <v>-36.766841999999997</v>
      </c>
      <c r="BW43"/>
      <c r="BX43">
        <f>BV43*10^6</f>
        <v>-36766842</v>
      </c>
      <c r="BY43">
        <f>IFERROR(BX43/BO43,"")</f>
        <v>-5.6590490995844238</v>
      </c>
      <c r="BZ43">
        <v>0</v>
      </c>
      <c r="CA43">
        <v>0</v>
      </c>
      <c r="CB43">
        <v>0</v>
      </c>
      <c r="CC43">
        <v>0</v>
      </c>
      <c r="CD43">
        <v>0</v>
      </c>
      <c r="CE43">
        <v>0</v>
      </c>
      <c r="CF43">
        <v>0</v>
      </c>
      <c r="CG43">
        <v>0</v>
      </c>
      <c r="CH43">
        <v>0</v>
      </c>
      <c r="CI43">
        <v>0</v>
      </c>
      <c r="CJ43">
        <v>0</v>
      </c>
      <c r="CK43">
        <v>0</v>
      </c>
      <c r="CL43">
        <v>0</v>
      </c>
      <c r="CM43">
        <v>1</v>
      </c>
      <c r="CN43" t="str">
        <f>IF($BL43&lt;$BK43,"refNeedCorrection","refOK")</f>
        <v>refOK</v>
      </c>
      <c r="CO43">
        <f>IF($CN43="refOK",$BK43,$BL43)</f>
        <v>51.780999999999999</v>
      </c>
      <c r="CP43">
        <f>IF($CN43="refOK",$BL43,$BK43)</f>
        <v>58.277999999999999</v>
      </c>
      <c r="CQ43">
        <f>IF($CN43="refOK",$BO43,-$BO43)</f>
        <v>6497000</v>
      </c>
      <c r="CR43">
        <f>IF($CN43="refOK",$BS43,$BT43)*IF($BP43="Emissions positive",-1,1)</f>
        <v>123.172</v>
      </c>
      <c r="CS43">
        <f>IF($CN43="refOK",$BT43,$BS43)*IF($BP43="Emissions positive",-1,1)</f>
        <v>86.405158</v>
      </c>
      <c r="CT43">
        <f>IF($CN43="refNeedCorrection",-BX43,BX43)*IF($BP43="Emissions positive",-1,1)</f>
        <v>-36766842</v>
      </c>
      <c r="CU43">
        <f>IFERROR(CT43/CQ43,"")</f>
        <v>-5.6590490995844238</v>
      </c>
      <c r="CV43" s="2">
        <f>IFERROR((CS43-CR43)/ABS(CR43),"")</f>
        <v>-0.29849999999999999</v>
      </c>
      <c r="CW43" s="1" t="s">
        <v>1205</v>
      </c>
      <c r="CX43" s="266" t="str">
        <f>IF(OR($CW43="prd",$CW43="std",$CW43="cit"),"loc",IF(OR($CW43="eur",$CW43="reg",$CW43="coy"),"reg",$CW43))</f>
        <v>reg</v>
      </c>
      <c r="CY43" t="s">
        <v>731</v>
      </c>
      <c r="CZ43">
        <v>2015</v>
      </c>
      <c r="DA43">
        <v>2100</v>
      </c>
      <c r="DB43">
        <f>DA43-CZ43</f>
        <v>85</v>
      </c>
      <c r="DC43" t="str">
        <f>IF(DB43=0,"0",IF(AND(DB43&gt;=1,DB43&lt;=30),"1-30",IF(AND(DB43&gt;30,DB43&lt;=70),"31-70",IF(AND(DB43&gt;70,DB43&lt;=100),"71-100",IF(DB43&gt;100,"+100")))))</f>
        <v>71-100</v>
      </c>
      <c r="DD43">
        <v>0</v>
      </c>
      <c r="DE43">
        <v>1</v>
      </c>
      <c r="DF43">
        <v>1</v>
      </c>
      <c r="DG43">
        <v>1</v>
      </c>
      <c r="DH43"/>
      <c r="DI43">
        <f>SUM(DD43:DG43)</f>
        <v>3</v>
      </c>
      <c r="DJ43" t="str">
        <f>IF(DI43=1,INDEX($DD$7:$DG$7,MATCH(1,$DD43:$DG43,0)),"mixedProduct")</f>
        <v>mixedProduct</v>
      </c>
      <c r="DK43">
        <f>IF(DD43=1,DK$7,0)</f>
        <v>0</v>
      </c>
      <c r="DL43" t="str">
        <f>IF(DE43=1,DL$7,0)</f>
        <v>Energy</v>
      </c>
      <c r="DM43" t="str">
        <f>IF(DF43=1,DM$7,0)</f>
        <v>Pulp/Paper</v>
      </c>
      <c r="DN43" t="str">
        <f>IF(DG43=1,DN$7,0)</f>
        <v>Timber</v>
      </c>
      <c r="DO43">
        <v>0</v>
      </c>
      <c r="DP43">
        <v>1</v>
      </c>
      <c r="DQ43" t="s">
        <v>1391</v>
      </c>
      <c r="DR43" t="s">
        <v>1391</v>
      </c>
      <c r="DS43" t="s">
        <v>1391</v>
      </c>
      <c r="DT43">
        <f>SUM(DO43:DP43)</f>
        <v>1</v>
      </c>
      <c r="DU43" s="143" t="str">
        <f>IF(DO43=1,"self-calculated DF",IF(DP43=1,"external DF used","explicit C balance"))</f>
        <v>external DF used</v>
      </c>
      <c r="DV43">
        <v>0</v>
      </c>
      <c r="DW43">
        <v>1</v>
      </c>
      <c r="DX43">
        <v>1</v>
      </c>
      <c r="DY43">
        <v>1</v>
      </c>
      <c r="DZ43">
        <v>0</v>
      </c>
      <c r="EA43">
        <v>1</v>
      </c>
      <c r="EB43">
        <v>1</v>
      </c>
      <c r="EC43">
        <v>1</v>
      </c>
      <c r="ED43">
        <v>0</v>
      </c>
      <c r="EE43">
        <v>0</v>
      </c>
      <c r="EF43">
        <v>1</v>
      </c>
      <c r="EG43">
        <v>0</v>
      </c>
      <c r="EH43">
        <v>1</v>
      </c>
      <c r="EI43" s="2">
        <v>1</v>
      </c>
      <c r="EJ43" s="1"/>
      <c r="EK43" t="str">
        <f>IF(AND(AND(AND(OR($DX43=1,$DW43=1),OR($EC43=1,$EA43=1)),SUM($DV43:$DZ43,$EF43)&gt;=4),SUM($EA43:$EE43)&gt;=2),"Whole sector","")</f>
        <v>Whole sector</v>
      </c>
      <c r="EL43" t="str">
        <f>IF(AND(AND(OR($DX43=1,$DW43=1),AND($EC43=0,$EA43=0)),SUM($DV43:$DZ43,$EF43)&gt;=4),"Ecosystem approach","")</f>
        <v/>
      </c>
      <c r="EM43" s="2" t="str">
        <f>IF(AND(AND(AND($DX43=0,$DW43=0),OR($EC43=1,$EA43=1)),SUM($EB43:$EE43)&gt;=2),"Technology approach","")</f>
        <v/>
      </c>
      <c r="EN43"/>
      <c r="EO43"/>
      <c r="EP43" t="str">
        <f>IF(ISNUMBER(BU43),IF(ABS(BU43-[1]QC_indicators!$B$2)&gt;3*[1]QC_indicators!$C$2,"C ratio",IF(ISNUMBER(BY43),IF(ABS(BY43-[1]QC_indicators!$B$1)&gt;3*[1]QC_indicators!$C$1,"DF","no"))),IF(ISNUMBER(BY43),IF(ABS(BY43-[1]QC_indicators!$B$1)&gt;3*[1]QC_indicators!$C$1,"DF","no")))</f>
        <v>no</v>
      </c>
      <c r="EQ43"/>
      <c r="ER43"/>
      <c r="ES43"/>
      <c r="ET43" s="266" t="s">
        <v>3409</v>
      </c>
      <c r="EU43"/>
    </row>
    <row r="44" spans="1:151" s="139" customFormat="1" ht="15" customHeight="1">
      <c r="A44" s="1" t="s">
        <v>1810</v>
      </c>
      <c r="B44" t="s">
        <v>2477</v>
      </c>
      <c r="C44" t="s">
        <v>2478</v>
      </c>
      <c r="D44" t="s">
        <v>2479</v>
      </c>
      <c r="E44" t="s">
        <v>2480</v>
      </c>
      <c r="F44" t="s">
        <v>2481</v>
      </c>
      <c r="G44" t="s">
        <v>1816</v>
      </c>
      <c r="H44" t="s">
        <v>255</v>
      </c>
      <c r="I44">
        <v>2010</v>
      </c>
      <c r="J44">
        <v>100</v>
      </c>
      <c r="K44" t="s">
        <v>2482</v>
      </c>
      <c r="L44"/>
      <c r="M44" t="str">
        <f>LEFT($D44,FIND(",",$D44)-1)&amp;"_"&amp;I44&amp;L44</f>
        <v>Werner_2010</v>
      </c>
      <c r="N44" t="s">
        <v>223</v>
      </c>
      <c r="O44" s="145" t="s">
        <v>1156</v>
      </c>
      <c r="P44"/>
      <c r="Q44" t="s">
        <v>257</v>
      </c>
      <c r="R44" s="264" t="s">
        <v>224</v>
      </c>
      <c r="S44" s="1" t="s">
        <v>2483</v>
      </c>
      <c r="T44" t="s">
        <v>2484</v>
      </c>
      <c r="U44" t="s">
        <v>1157</v>
      </c>
      <c r="V44">
        <v>1</v>
      </c>
      <c r="W44">
        <v>0</v>
      </c>
      <c r="X44">
        <v>2</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s="141">
        <f>COUNTIF(V44:AW44,"&lt;&gt;0")</f>
        <v>2</v>
      </c>
      <c r="AY44" s="141">
        <f>COUNTIF(V44:AL44,"&lt;&gt;0")</f>
        <v>2</v>
      </c>
      <c r="AZ44">
        <f>COUNTIF(V44:AC44,"&lt;&gt;0")</f>
        <v>2</v>
      </c>
      <c r="BA44">
        <f>COUNTIF(AD44:AI44,"&lt;&gt;0")</f>
        <v>0</v>
      </c>
      <c r="BB44">
        <f>COUNTIF(AJ44:AL44,"&lt;&gt;0")</f>
        <v>0</v>
      </c>
      <c r="BC44">
        <f>COUNTIF(AS44:AW44,"&lt;&gt;0")</f>
        <v>0</v>
      </c>
      <c r="BD44">
        <f>COUNTIF(AM44:AR44,"&lt;&gt;0")</f>
        <v>0</v>
      </c>
      <c r="BE44" t="str">
        <f t="array" ref="BE44">IF(AY44=1,INDEX($V$7:$AL$7,MATCH(TRUE,INDEX($V44:$AW44&lt;&gt;0,),0)),IF(AY44=0,INDEX($AM$7:$AW$7,MATCH(1,$AM44:$AW44,0)),IF(BF44="Multiple strategies","mixed drivers",IF(BF44="Supply chain","multiple supply","multiple silviculture"))))</f>
        <v>multiple silviculture</v>
      </c>
      <c r="BF44" s="2" t="str" cm="1">
        <f t="array" ref="BF44">IF(COUNTIF(AZ44:BB44,"&lt;&gt;0")=1,INDEX($V$4:$AW$4,MATCH(TRUE,INDEX($V44:$AW44&lt;&gt;0,),0)),IF(COUNTIF(AZ44:BB44,"&lt;&gt;0")=0,INDEX($AM$4:$AW$4,MATCH(1,$AM44:$AW44,0)),"Multiple strategies"))</f>
        <v>SilvicultureRemov</v>
      </c>
      <c r="BG44" s="1" t="s">
        <v>322</v>
      </c>
      <c r="BH44" t="s">
        <v>2455</v>
      </c>
      <c r="BI44" s="266" t="s">
        <v>3254</v>
      </c>
      <c r="BJ44" t="s">
        <v>1325</v>
      </c>
      <c r="BK44">
        <v>300</v>
      </c>
      <c r="BL44">
        <v>517.5</v>
      </c>
      <c r="BM44" s="143">
        <f>BL44/BK44</f>
        <v>1.7250000000000001</v>
      </c>
      <c r="BN44">
        <f>BL44-BK44</f>
        <v>217.5</v>
      </c>
      <c r="BO44">
        <f>BN44*10^6</f>
        <v>217500000</v>
      </c>
      <c r="BP44" t="s">
        <v>233</v>
      </c>
      <c r="BQ44" s="153" t="s">
        <v>3255</v>
      </c>
      <c r="BR44" t="s">
        <v>2327</v>
      </c>
      <c r="BS44">
        <v>350.30815678968798</v>
      </c>
      <c r="BT44">
        <v>73.410781675763403</v>
      </c>
      <c r="BU44" s="144">
        <f>IFERROR(BT44/BS44,"")</f>
        <v>0.20956058331189961</v>
      </c>
      <c r="BV44" s="144">
        <f>BT44-BS44</f>
        <v>-276.89737511392457</v>
      </c>
      <c r="BW44" s="144"/>
      <c r="BX44">
        <f>BV44*10^6</f>
        <v>-276897375.11392456</v>
      </c>
      <c r="BY44">
        <f>IFERROR(BX44/BO44,"")</f>
        <v>-1.2730913798341359</v>
      </c>
      <c r="BZ44">
        <v>0</v>
      </c>
      <c r="CA44">
        <v>0</v>
      </c>
      <c r="CB44">
        <v>0</v>
      </c>
      <c r="CC44">
        <v>0</v>
      </c>
      <c r="CD44">
        <v>0</v>
      </c>
      <c r="CE44">
        <v>0</v>
      </c>
      <c r="CF44">
        <v>0</v>
      </c>
      <c r="CG44">
        <v>0</v>
      </c>
      <c r="CH44">
        <v>0</v>
      </c>
      <c r="CI44">
        <v>0</v>
      </c>
      <c r="CJ44">
        <v>0</v>
      </c>
      <c r="CK44">
        <v>0</v>
      </c>
      <c r="CL44">
        <v>0</v>
      </c>
      <c r="CM44">
        <v>1</v>
      </c>
      <c r="CN44" t="str">
        <f>IF($BL44&lt;$BK44,"refNeedCorrection","refOK")</f>
        <v>refOK</v>
      </c>
      <c r="CO44">
        <f>IF($CN44="refNeedCorrection",BL44,BK44)</f>
        <v>300</v>
      </c>
      <c r="CP44">
        <f>IF($CN44="refNeedCorrection",BK44,BL44)</f>
        <v>517.5</v>
      </c>
      <c r="CQ44">
        <f>IF($CN44="refOK",$BO44,-$BO44)</f>
        <v>217500000</v>
      </c>
      <c r="CR44">
        <f>IF($CN44="refOK",$BS44,$BT44)*IF($BP44="Emissions positive",-1,1)</f>
        <v>350.30815678968798</v>
      </c>
      <c r="CS44">
        <f>IF($CN44="refOK",$BT44,$BS44)*IF($BP44="Emissions positive",-1,1)</f>
        <v>73.410781675763403</v>
      </c>
      <c r="CT44">
        <f>IF($CN44="refNeedCorrection",-BX44,BX44)*IF($BP44="Emissions positive",-1,1)</f>
        <v>-276897375.11392456</v>
      </c>
      <c r="CU44">
        <f>IFERROR(CT44/CQ44,"")</f>
        <v>-1.2730913798341359</v>
      </c>
      <c r="CV44" s="2">
        <f>IFERROR((CS44-CR44)/ABS(CR44),"")</f>
        <v>-0.79043941668810036</v>
      </c>
      <c r="CW44" s="1" t="s">
        <v>1205</v>
      </c>
      <c r="CX44" t="str">
        <f>IF(OR($CW44="prd",$CW44="std",$CW44="cit"),"loc",IF(OR($CW44="eur",$CW44="reg",$CW44="coy"),"reg",$CW44))</f>
        <v>reg</v>
      </c>
      <c r="CY44" t="s">
        <v>641</v>
      </c>
      <c r="CZ44">
        <v>2000</v>
      </c>
      <c r="DA44">
        <v>2090</v>
      </c>
      <c r="DB44">
        <f>DA44-CZ44</f>
        <v>90</v>
      </c>
      <c r="DC44" t="str">
        <f>IF(DB44=0,"0",IF(AND(DB44&gt;=1,DB44&lt;=30),"1-30",IF(AND(DB44&gt;30,DB44&lt;=70),"31-70",IF(AND(DB44&gt;70,DB44&lt;=100),"71-100",IF(DB44&gt;100,"+100")))))</f>
        <v>71-100</v>
      </c>
      <c r="DD44">
        <v>1</v>
      </c>
      <c r="DE44">
        <v>0</v>
      </c>
      <c r="DF44">
        <v>0</v>
      </c>
      <c r="DG44">
        <v>0</v>
      </c>
      <c r="DH44">
        <v>0</v>
      </c>
      <c r="DI44">
        <f>SUM(DD44:DG44)</f>
        <v>1</v>
      </c>
      <c r="DJ44" t="str">
        <f>IF(DI44=1,INDEX($DD$7:$DG$7,MATCH(1,$DD44:$DG44,0)),"mixedProduct")</f>
        <v>UpstreamInput</v>
      </c>
      <c r="DK44" t="str">
        <f>IF(DD44=1,DK$7,0)</f>
        <v>Upstream</v>
      </c>
      <c r="DL44">
        <f>IF(DE44=1,DL$7,0)</f>
        <v>0</v>
      </c>
      <c r="DM44">
        <f>IF(DF44=1,DM$7,0)</f>
        <v>0</v>
      </c>
      <c r="DN44">
        <f>IF(DG44=1,DN$7,0)</f>
        <v>0</v>
      </c>
      <c r="DO44">
        <v>0</v>
      </c>
      <c r="DP44">
        <v>0</v>
      </c>
      <c r="DQ44"/>
      <c r="DR44"/>
      <c r="DS44"/>
      <c r="DT44">
        <f>SUM(DO44:DP44)</f>
        <v>0</v>
      </c>
      <c r="DU44" s="143" t="str">
        <f>IF(DO44=1,"self-calculated DF",IF(DP44=1,"external DF used","explicit C balance"))</f>
        <v>explicit C balance</v>
      </c>
      <c r="DV44">
        <v>1</v>
      </c>
      <c r="DW44">
        <v>1</v>
      </c>
      <c r="DX44">
        <v>1</v>
      </c>
      <c r="DY44">
        <v>0</v>
      </c>
      <c r="DZ44">
        <v>0</v>
      </c>
      <c r="EA44" s="143">
        <v>0</v>
      </c>
      <c r="EB44">
        <v>0</v>
      </c>
      <c r="EC44">
        <v>0</v>
      </c>
      <c r="ED44">
        <v>0</v>
      </c>
      <c r="EE44">
        <v>0</v>
      </c>
      <c r="EF44">
        <v>1</v>
      </c>
      <c r="EG44">
        <v>0</v>
      </c>
      <c r="EH44">
        <v>0</v>
      </c>
      <c r="EI44" s="2">
        <v>0</v>
      </c>
      <c r="EJ44" s="1"/>
      <c r="EK44" t="str">
        <f>IF(AND(AND(AND(OR($DX44=1,$DW44=1),OR($EC44=1,$EA44=1)),SUM($DV44:$DZ44,$EF44)&gt;=4),SUM($EA44:$EE44)&gt;=2),"Whole sector","")</f>
        <v/>
      </c>
      <c r="EL44" t="str">
        <f>IF(AND(AND(OR($DX44=1,$DW44=1),AND($EC44=0,$EA44=0)),SUM($DV44:$DZ44,$EF44)&gt;=4),"Ecosystem approach","")</f>
        <v>Ecosystem approach</v>
      </c>
      <c r="EM44" s="2" t="str">
        <f>IF(AND(AND(AND($DX44=0,$DW44=0),OR($EC44=1,$EA44=1)),SUM($EB44:$EE44)&gt;=2),"Technology approach","")</f>
        <v/>
      </c>
      <c r="EN44" t="s">
        <v>2487</v>
      </c>
      <c r="EO44"/>
      <c r="EP44" t="str">
        <f>IF(ISNUMBER(BU44),IF(ABS(BU44-[2]QC_indicators!$B$2)&gt;3*[2]QC_indicators!$C$2,"C ratio",IF(ISNUMBER(BY44),IF(ABS(BY44-[2]QC_indicators!$B$1)&gt;3*[2]QC_indicators!$C$1,"DF","no"))),IF(ISNUMBER(BY44),IF(ABS(BY44-[2]QC_indicators!$B$1)&gt;3*[2]QC_indicators!$C$1,"DF","no")))</f>
        <v>no</v>
      </c>
      <c r="EQ44"/>
      <c r="ER44"/>
      <c r="ES44"/>
      <c r="ET44" s="266" t="s">
        <v>3256</v>
      </c>
      <c r="EU44"/>
    </row>
    <row r="45" spans="1:151" s="139" customFormat="1" ht="15" customHeight="1">
      <c r="A45" s="1" t="s">
        <v>1810</v>
      </c>
      <c r="B45" t="s">
        <v>2477</v>
      </c>
      <c r="C45" t="s">
        <v>2478</v>
      </c>
      <c r="D45" t="s">
        <v>2479</v>
      </c>
      <c r="E45" t="s">
        <v>2480</v>
      </c>
      <c r="F45" t="s">
        <v>2481</v>
      </c>
      <c r="G45" t="s">
        <v>1816</v>
      </c>
      <c r="H45" t="s">
        <v>255</v>
      </c>
      <c r="I45">
        <v>2010</v>
      </c>
      <c r="J45">
        <v>100</v>
      </c>
      <c r="K45" t="s">
        <v>2482</v>
      </c>
      <c r="L45"/>
      <c r="M45" t="str">
        <f>LEFT($D45,FIND(",",$D45)-1)&amp;"_"&amp;I45&amp;L45</f>
        <v>Werner_2010</v>
      </c>
      <c r="N45" t="s">
        <v>223</v>
      </c>
      <c r="O45" s="145" t="s">
        <v>1156</v>
      </c>
      <c r="P45"/>
      <c r="Q45" t="s">
        <v>257</v>
      </c>
      <c r="R45" s="264" t="s">
        <v>224</v>
      </c>
      <c r="S45" s="265" t="s">
        <v>3257</v>
      </c>
      <c r="T45" t="s">
        <v>2484</v>
      </c>
      <c r="U45" t="s">
        <v>2490</v>
      </c>
      <c r="V45">
        <v>2</v>
      </c>
      <c r="W45">
        <v>0</v>
      </c>
      <c r="X45">
        <v>1</v>
      </c>
      <c r="Y45">
        <v>2</v>
      </c>
      <c r="Z45">
        <v>0</v>
      </c>
      <c r="AA45">
        <v>0</v>
      </c>
      <c r="AB45">
        <v>0</v>
      </c>
      <c r="AC45">
        <v>0</v>
      </c>
      <c r="AD45">
        <v>0</v>
      </c>
      <c r="AE45">
        <v>0</v>
      </c>
      <c r="AF45">
        <v>0</v>
      </c>
      <c r="AG45">
        <v>0</v>
      </c>
      <c r="AH45">
        <v>0</v>
      </c>
      <c r="AI45">
        <v>0</v>
      </c>
      <c r="AJ45">
        <v>0</v>
      </c>
      <c r="AK45">
        <v>0</v>
      </c>
      <c r="AL45">
        <v>0</v>
      </c>
      <c r="AM45">
        <v>0</v>
      </c>
      <c r="AN45">
        <v>0</v>
      </c>
      <c r="AO45">
        <v>0</v>
      </c>
      <c r="AP45">
        <v>0</v>
      </c>
      <c r="AQ45">
        <v>0</v>
      </c>
      <c r="AR45">
        <v>0</v>
      </c>
      <c r="AS45">
        <v>0</v>
      </c>
      <c r="AT45">
        <v>0</v>
      </c>
      <c r="AU45">
        <v>0</v>
      </c>
      <c r="AV45">
        <v>0</v>
      </c>
      <c r="AW45">
        <v>0</v>
      </c>
      <c r="AX45" s="141">
        <f>COUNTIF(V45:AW45,"&lt;&gt;0")</f>
        <v>3</v>
      </c>
      <c r="AY45" s="141">
        <f>COUNTIF(V45:AL45,"&lt;&gt;0")</f>
        <v>3</v>
      </c>
      <c r="AZ45">
        <f>COUNTIF(V45:AC45,"&lt;&gt;0")</f>
        <v>3</v>
      </c>
      <c r="BA45">
        <f>COUNTIF(AD45:AI45,"&lt;&gt;0")</f>
        <v>0</v>
      </c>
      <c r="BB45">
        <f>COUNTIF(AJ45:AL45,"&lt;&gt;0")</f>
        <v>0</v>
      </c>
      <c r="BC45">
        <f>COUNTIF(AS45:AW45,"&lt;&gt;0")</f>
        <v>0</v>
      </c>
      <c r="BD45">
        <f>COUNTIF(AM45:AR45,"&lt;&gt;0")</f>
        <v>0</v>
      </c>
      <c r="BE45" t="str">
        <f t="array" ref="BE45">IF(AY45=1,INDEX($V$7:$AL$7,MATCH(TRUE,INDEX($V45:$AW45&lt;&gt;0,),0)),IF(AY45=0,INDEX($AM$7:$AW$7,MATCH(1,$AM45:$AW45,0)),IF(BF45="Multiple strategies","mixed drivers",IF(BF45="Supply chain","multiple supply","multiple silviculture"))))</f>
        <v>multiple silviculture</v>
      </c>
      <c r="BF45" s="2" t="str" cm="1">
        <f t="array" ref="BF45">IF(COUNTIF(AZ45:BB45,"&lt;&gt;0")=1,INDEX($V$4:$AW$4,MATCH(TRUE,INDEX($V45:$AW45&lt;&gt;0,),0)),IF(COUNTIF(AZ45:BB45,"&lt;&gt;0")=0,INDEX($AM$4:$AW$4,MATCH(1,$AM45:$AW45,0)),"Multiple strategies"))</f>
        <v>SilvicultureRemov</v>
      </c>
      <c r="BG45" s="1" t="s">
        <v>322</v>
      </c>
      <c r="BH45" t="s">
        <v>2455</v>
      </c>
      <c r="BI45" s="266" t="s">
        <v>3254</v>
      </c>
      <c r="BJ45" t="s">
        <v>1325</v>
      </c>
      <c r="BK45">
        <v>300</v>
      </c>
      <c r="BL45">
        <v>765</v>
      </c>
      <c r="BM45" s="143">
        <f>BL45/BK45</f>
        <v>2.5499999999999998</v>
      </c>
      <c r="BN45">
        <f>BL45-BK45</f>
        <v>465</v>
      </c>
      <c r="BO45">
        <f>BN45*10^6</f>
        <v>465000000</v>
      </c>
      <c r="BP45" t="s">
        <v>233</v>
      </c>
      <c r="BQ45" s="153" t="s">
        <v>3255</v>
      </c>
      <c r="BR45" t="s">
        <v>2327</v>
      </c>
      <c r="BS45">
        <v>350.30815678968798</v>
      </c>
      <c r="BT45">
        <v>39.211061963691201</v>
      </c>
      <c r="BU45" s="144">
        <f>IFERROR(BT45/BS45,"")</f>
        <v>0.11193305437998141</v>
      </c>
      <c r="BV45" s="144">
        <f>BT45-BS45</f>
        <v>-311.09709482599681</v>
      </c>
      <c r="BW45" s="144"/>
      <c r="BX45">
        <f>BV45*10^6</f>
        <v>-311097094.82599682</v>
      </c>
      <c r="BY45">
        <f>IFERROR(BX45/BO45,"")</f>
        <v>-0.66902601037848775</v>
      </c>
      <c r="BZ45">
        <v>0</v>
      </c>
      <c r="CA45">
        <v>0</v>
      </c>
      <c r="CB45">
        <v>0</v>
      </c>
      <c r="CC45">
        <v>0</v>
      </c>
      <c r="CD45">
        <v>0</v>
      </c>
      <c r="CE45">
        <v>0</v>
      </c>
      <c r="CF45">
        <v>0</v>
      </c>
      <c r="CG45">
        <v>0</v>
      </c>
      <c r="CH45">
        <v>0</v>
      </c>
      <c r="CI45">
        <v>0</v>
      </c>
      <c r="CJ45">
        <v>0</v>
      </c>
      <c r="CK45">
        <v>0</v>
      </c>
      <c r="CL45">
        <v>0</v>
      </c>
      <c r="CM45">
        <v>1</v>
      </c>
      <c r="CN45" t="str">
        <f>IF($BL45&lt;$BK45,"refNeedCorrection","refOK")</f>
        <v>refOK</v>
      </c>
      <c r="CO45">
        <f>IF($CN45="refNeedCorrection",BL45,BK45)</f>
        <v>300</v>
      </c>
      <c r="CP45">
        <f>IF($CN45="refNeedCorrection",BK45,BL45)</f>
        <v>765</v>
      </c>
      <c r="CQ45">
        <f>IF($CN45="refOK",$BO45,-$BO45)</f>
        <v>465000000</v>
      </c>
      <c r="CR45">
        <f>IF($CN45="refOK",$BS45,$BT45)*IF($BP45="Emissions positive",-1,1)</f>
        <v>350.30815678968798</v>
      </c>
      <c r="CS45">
        <f>IF($CN45="refOK",$BT45,$BS45)*IF($BP45="Emissions positive",-1,1)</f>
        <v>39.211061963691201</v>
      </c>
      <c r="CT45">
        <f>IF($CN45="refNeedCorrection",-BX45,BX45)*IF($BP45="Emissions positive",-1,1)</f>
        <v>-311097094.82599682</v>
      </c>
      <c r="CU45">
        <f>IFERROR(CT45/CQ45,"")</f>
        <v>-0.66902601037848775</v>
      </c>
      <c r="CV45" s="2">
        <f>IFERROR((CS45-CR45)/ABS(CR45),"")</f>
        <v>-0.88806694562001864</v>
      </c>
      <c r="CW45" s="1" t="s">
        <v>1205</v>
      </c>
      <c r="CX45" t="str">
        <f>IF(OR($CW45="prd",$CW45="std",$CW45="cit"),"loc",IF(OR($CW45="eur",$CW45="reg",$CW45="coy"),"reg",$CW45))</f>
        <v>reg</v>
      </c>
      <c r="CY45" t="s">
        <v>641</v>
      </c>
      <c r="CZ45">
        <v>2000</v>
      </c>
      <c r="DA45">
        <v>2090</v>
      </c>
      <c r="DB45">
        <f>DA45-CZ45</f>
        <v>90</v>
      </c>
      <c r="DC45" t="str">
        <f>IF(DB45=0,"0",IF(AND(DB45&gt;=1,DB45&lt;=30),"1-30",IF(AND(DB45&gt;30,DB45&lt;=70),"31-70",IF(AND(DB45&gt;70,DB45&lt;=100),"71-100",IF(DB45&gt;100,"+100")))))</f>
        <v>71-100</v>
      </c>
      <c r="DD45">
        <v>0</v>
      </c>
      <c r="DE45">
        <v>1</v>
      </c>
      <c r="DF45">
        <v>0</v>
      </c>
      <c r="DG45">
        <v>0</v>
      </c>
      <c r="DH45">
        <v>0</v>
      </c>
      <c r="DI45">
        <f>SUM(DD45:DG45)</f>
        <v>1</v>
      </c>
      <c r="DJ45" t="str">
        <f>IF(DI45=1,INDEX($DD$7:$DG$7,MATCH(1,$DD45:$DG45,0)),"mixedProduct")</f>
        <v>EnergyInput</v>
      </c>
      <c r="DK45">
        <f>IF(DD45=1,DK$7,0)</f>
        <v>0</v>
      </c>
      <c r="DL45" t="str">
        <f>IF(DE45=1,DL$7,0)</f>
        <v>Energy</v>
      </c>
      <c r="DM45">
        <f>IF(DF45=1,DM$7,0)</f>
        <v>0</v>
      </c>
      <c r="DN45">
        <f>IF(DG45=1,DN$7,0)</f>
        <v>0</v>
      </c>
      <c r="DO45">
        <v>0</v>
      </c>
      <c r="DP45">
        <v>0</v>
      </c>
      <c r="DQ45"/>
      <c r="DR45"/>
      <c r="DS45"/>
      <c r="DT45">
        <f>SUM(DO45:DP45)</f>
        <v>0</v>
      </c>
      <c r="DU45" s="143" t="str">
        <f>IF(DO45=1,"self-calculated DF",IF(DP45=1,"external DF used","explicit C balance"))</f>
        <v>explicit C balance</v>
      </c>
      <c r="DV45">
        <v>1</v>
      </c>
      <c r="DW45">
        <v>1</v>
      </c>
      <c r="DX45">
        <v>1</v>
      </c>
      <c r="DY45">
        <v>0</v>
      </c>
      <c r="DZ45">
        <v>0</v>
      </c>
      <c r="EA45" s="143">
        <v>0</v>
      </c>
      <c r="EB45">
        <v>0</v>
      </c>
      <c r="EC45">
        <v>0</v>
      </c>
      <c r="ED45">
        <v>0</v>
      </c>
      <c r="EE45">
        <v>0</v>
      </c>
      <c r="EF45">
        <v>1</v>
      </c>
      <c r="EG45">
        <v>0</v>
      </c>
      <c r="EH45">
        <v>0</v>
      </c>
      <c r="EI45" s="2">
        <v>0</v>
      </c>
      <c r="EJ45" s="1"/>
      <c r="EK45" t="str">
        <f>IF(AND(AND(AND(OR($DX45=1,$DW45=1),OR($EC45=1,$EA45=1)),SUM($DV45:$DZ45,$EF45)&gt;=4),SUM($EA45:$EE45)&gt;=2),"Whole sector","")</f>
        <v/>
      </c>
      <c r="EL45" t="str">
        <f>IF(AND(AND(OR($DX45=1,$DW45=1),AND($EC45=0,$EA45=0)),SUM($DV45:$DZ45,$EF45)&gt;=4),"Ecosystem approach","")</f>
        <v>Ecosystem approach</v>
      </c>
      <c r="EM45" s="2" t="str">
        <f>IF(AND(AND(AND($DX45=0,$DW45=0),OR($EC45=1,$EA45=1)),SUM($EB45:$EE45)&gt;=2),"Technology approach","")</f>
        <v/>
      </c>
      <c r="EN45" t="s">
        <v>2487</v>
      </c>
      <c r="EO45"/>
      <c r="EP45" t="str">
        <f>IF(ISNUMBER(BU45),IF(ABS(BU45-[2]QC_indicators!$B$2)&gt;3*[2]QC_indicators!$C$2,"C ratio",IF(ISNUMBER(BY45),IF(ABS(BY45-[2]QC_indicators!$B$1)&gt;3*[2]QC_indicators!$C$1,"DF","no"))),IF(ISNUMBER(BY45),IF(ABS(BY45-[2]QC_indicators!$B$1)&gt;3*[2]QC_indicators!$C$1,"DF","no")))</f>
        <v>no</v>
      </c>
      <c r="EQ45"/>
      <c r="ER45"/>
      <c r="ES45"/>
      <c r="ET45" s="266" t="s">
        <v>3256</v>
      </c>
      <c r="EU45"/>
    </row>
    <row r="46" spans="1:151" s="139" customFormat="1" ht="15" customHeight="1">
      <c r="A46" s="1" t="s">
        <v>1810</v>
      </c>
      <c r="B46" t="s">
        <v>2477</v>
      </c>
      <c r="C46" t="s">
        <v>2478</v>
      </c>
      <c r="D46" t="s">
        <v>2479</v>
      </c>
      <c r="E46" t="s">
        <v>2480</v>
      </c>
      <c r="F46" t="s">
        <v>2481</v>
      </c>
      <c r="G46" t="s">
        <v>1816</v>
      </c>
      <c r="H46" t="s">
        <v>255</v>
      </c>
      <c r="I46">
        <v>2010</v>
      </c>
      <c r="J46">
        <v>100</v>
      </c>
      <c r="K46" t="s">
        <v>2482</v>
      </c>
      <c r="L46"/>
      <c r="M46" t="str">
        <f>LEFT($D46,FIND(",",$D46)-1)&amp;"_"&amp;I46&amp;L46</f>
        <v>Werner_2010</v>
      </c>
      <c r="N46" t="s">
        <v>223</v>
      </c>
      <c r="O46" s="145" t="s">
        <v>1156</v>
      </c>
      <c r="P46"/>
      <c r="Q46" t="s">
        <v>257</v>
      </c>
      <c r="R46" s="264" t="s">
        <v>224</v>
      </c>
      <c r="S46" s="1" t="s">
        <v>2483</v>
      </c>
      <c r="T46" t="s">
        <v>2484</v>
      </c>
      <c r="U46" t="s">
        <v>2488</v>
      </c>
      <c r="V46">
        <v>1</v>
      </c>
      <c r="W46">
        <v>0</v>
      </c>
      <c r="X46">
        <v>2</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c r="AV46">
        <v>0</v>
      </c>
      <c r="AW46">
        <v>0</v>
      </c>
      <c r="AX46" s="141">
        <f>COUNTIF(V46:AW46,"&lt;&gt;0")</f>
        <v>2</v>
      </c>
      <c r="AY46" s="141">
        <f>COUNTIF(V46:AL46,"&lt;&gt;0")</f>
        <v>2</v>
      </c>
      <c r="AZ46">
        <f>COUNTIF(V46:AC46,"&lt;&gt;0")</f>
        <v>2</v>
      </c>
      <c r="BA46">
        <f>COUNTIF(AD46:AI46,"&lt;&gt;0")</f>
        <v>0</v>
      </c>
      <c r="BB46">
        <f>COUNTIF(AJ46:AL46,"&lt;&gt;0")</f>
        <v>0</v>
      </c>
      <c r="BC46">
        <f>COUNTIF(AS46:AW46,"&lt;&gt;0")</f>
        <v>0</v>
      </c>
      <c r="BD46">
        <f>COUNTIF(AM46:AR46,"&lt;&gt;0")</f>
        <v>0</v>
      </c>
      <c r="BE46" t="str">
        <f t="array" ref="BE46">IF(AY46=1,INDEX($V$7:$AL$7,MATCH(TRUE,INDEX($V46:$AW46&lt;&gt;0,),0)),IF(AY46=0,INDEX($AM$7:$AW$7,MATCH(1,$AM46:$AW46,0)),IF(BF46="Multiple strategies","mixed drivers",IF(BF46="Supply chain","multiple supply","multiple silviculture"))))</f>
        <v>multiple silviculture</v>
      </c>
      <c r="BF46" s="2" t="str" cm="1">
        <f t="array" ref="BF46">IF(COUNTIF(AZ46:BB46,"&lt;&gt;0")=1,INDEX($V$4:$AW$4,MATCH(TRUE,INDEX($V46:$AW46&lt;&gt;0,),0)),IF(COUNTIF(AZ46:BB46,"&lt;&gt;0")=0,INDEX($AM$4:$AW$4,MATCH(1,$AM46:$AW46,0)),"Multiple strategies"))</f>
        <v>SilvicultureRemov</v>
      </c>
      <c r="BG46" s="1" t="s">
        <v>322</v>
      </c>
      <c r="BH46" t="s">
        <v>2455</v>
      </c>
      <c r="BI46" s="266" t="s">
        <v>3254</v>
      </c>
      <c r="BJ46" t="s">
        <v>1325</v>
      </c>
      <c r="BK46">
        <v>300</v>
      </c>
      <c r="BL46">
        <v>712.5</v>
      </c>
      <c r="BM46" s="143">
        <f>BL46/BK46</f>
        <v>2.375</v>
      </c>
      <c r="BN46">
        <f>BL46-BK46</f>
        <v>412.5</v>
      </c>
      <c r="BO46">
        <f>BN46*10^6</f>
        <v>412500000</v>
      </c>
      <c r="BP46" t="s">
        <v>233</v>
      </c>
      <c r="BQ46" s="153" t="s">
        <v>3255</v>
      </c>
      <c r="BR46" t="s">
        <v>2327</v>
      </c>
      <c r="BS46">
        <v>350.30815678968798</v>
      </c>
      <c r="BT46">
        <v>103.43853301218</v>
      </c>
      <c r="BU46" s="144">
        <f>IFERROR(BT46/BS46,"")</f>
        <v>0.29527868822729314</v>
      </c>
      <c r="BV46" s="144">
        <f>BT46-BS46</f>
        <v>-246.86962377750797</v>
      </c>
      <c r="BW46" s="144"/>
      <c r="BX46">
        <f>BV46*10^6</f>
        <v>-246869623.77750796</v>
      </c>
      <c r="BY46">
        <f>IFERROR(BX46/BO46,"")</f>
        <v>-0.59847181521820114</v>
      </c>
      <c r="BZ46">
        <v>0</v>
      </c>
      <c r="CA46">
        <v>0</v>
      </c>
      <c r="CB46">
        <v>0</v>
      </c>
      <c r="CC46">
        <v>0</v>
      </c>
      <c r="CD46">
        <v>0</v>
      </c>
      <c r="CE46">
        <v>0</v>
      </c>
      <c r="CF46">
        <v>0</v>
      </c>
      <c r="CG46">
        <v>0</v>
      </c>
      <c r="CH46">
        <v>0</v>
      </c>
      <c r="CI46">
        <v>0</v>
      </c>
      <c r="CJ46">
        <v>0</v>
      </c>
      <c r="CK46">
        <v>0</v>
      </c>
      <c r="CL46">
        <v>0</v>
      </c>
      <c r="CM46">
        <v>1</v>
      </c>
      <c r="CN46" t="str">
        <f>IF($BL46&lt;$BK46,"refNeedCorrection","refOK")</f>
        <v>refOK</v>
      </c>
      <c r="CO46">
        <f>IF($CN46="refNeedCorrection",BL46,BK46)</f>
        <v>300</v>
      </c>
      <c r="CP46">
        <f>IF($CN46="refNeedCorrection",BK46,BL46)</f>
        <v>712.5</v>
      </c>
      <c r="CQ46">
        <f>IF($CN46="refOK",$BO46,-$BO46)</f>
        <v>412500000</v>
      </c>
      <c r="CR46">
        <f>IF($CN46="refOK",$BS46,$BT46)*IF($BP46="Emissions positive",-1,1)</f>
        <v>350.30815678968798</v>
      </c>
      <c r="CS46">
        <f>IF($CN46="refOK",$BT46,$BS46)*IF($BP46="Emissions positive",-1,1)</f>
        <v>103.43853301218</v>
      </c>
      <c r="CT46">
        <f>IF($CN46="refNeedCorrection",-BX46,BX46)*IF($BP46="Emissions positive",-1,1)</f>
        <v>-246869623.77750796</v>
      </c>
      <c r="CU46">
        <f>IFERROR(CT46/CQ46,"")</f>
        <v>-0.59847181521820114</v>
      </c>
      <c r="CV46" s="2">
        <f>IFERROR((CS46-CR46)/ABS(CR46),"")</f>
        <v>-0.7047213117727068</v>
      </c>
      <c r="CW46" s="1" t="s">
        <v>1205</v>
      </c>
      <c r="CX46" t="str">
        <f>IF(OR($CW46="prd",$CW46="std",$CW46="cit"),"loc",IF(OR($CW46="eur",$CW46="reg",$CW46="coy"),"reg",$CW46))</f>
        <v>reg</v>
      </c>
      <c r="CY46" t="s">
        <v>641</v>
      </c>
      <c r="CZ46">
        <v>2000</v>
      </c>
      <c r="DA46">
        <v>2090</v>
      </c>
      <c r="DB46">
        <f>DA46-CZ46</f>
        <v>90</v>
      </c>
      <c r="DC46" t="str">
        <f>IF(DB46=0,"0",IF(AND(DB46&gt;=1,DB46&lt;=30),"1-30",IF(AND(DB46&gt;30,DB46&lt;=70),"31-70",IF(AND(DB46&gt;70,DB46&lt;=100),"71-100",IF(DB46&gt;100,"+100")))))</f>
        <v>71-100</v>
      </c>
      <c r="DD46">
        <v>1</v>
      </c>
      <c r="DE46">
        <v>0</v>
      </c>
      <c r="DF46">
        <v>0</v>
      </c>
      <c r="DG46">
        <v>0</v>
      </c>
      <c r="DH46">
        <v>0</v>
      </c>
      <c r="DI46">
        <f>SUM(DD46:DG46)</f>
        <v>1</v>
      </c>
      <c r="DJ46" t="str">
        <f>IF(DI46=1,INDEX($DD$7:$DG$7,MATCH(1,$DD46:$DG46,0)),"mixedProduct")</f>
        <v>UpstreamInput</v>
      </c>
      <c r="DK46" t="str">
        <f>IF(DD46=1,DK$7,0)</f>
        <v>Upstream</v>
      </c>
      <c r="DL46">
        <f>IF(DE46=1,DL$7,0)</f>
        <v>0</v>
      </c>
      <c r="DM46">
        <f>IF(DF46=1,DM$7,0)</f>
        <v>0</v>
      </c>
      <c r="DN46">
        <f>IF(DG46=1,DN$7,0)</f>
        <v>0</v>
      </c>
      <c r="DO46">
        <v>0</v>
      </c>
      <c r="DP46">
        <v>0</v>
      </c>
      <c r="DQ46"/>
      <c r="DR46"/>
      <c r="DS46"/>
      <c r="DT46">
        <f>SUM(DO46:DP46)</f>
        <v>0</v>
      </c>
      <c r="DU46" s="143" t="str">
        <f>IF(DO46=1,"self-calculated DF",IF(DP46=1,"external DF used","explicit C balance"))</f>
        <v>explicit C balance</v>
      </c>
      <c r="DV46">
        <v>1</v>
      </c>
      <c r="DW46">
        <v>1</v>
      </c>
      <c r="DX46">
        <v>1</v>
      </c>
      <c r="DY46">
        <v>0</v>
      </c>
      <c r="DZ46">
        <v>0</v>
      </c>
      <c r="EA46" s="143">
        <v>0</v>
      </c>
      <c r="EB46">
        <v>0</v>
      </c>
      <c r="EC46">
        <v>0</v>
      </c>
      <c r="ED46">
        <v>0</v>
      </c>
      <c r="EE46">
        <v>0</v>
      </c>
      <c r="EF46">
        <v>1</v>
      </c>
      <c r="EG46">
        <v>0</v>
      </c>
      <c r="EH46">
        <v>0</v>
      </c>
      <c r="EI46" s="2">
        <v>0</v>
      </c>
      <c r="EJ46" s="1"/>
      <c r="EK46" t="str">
        <f>IF(AND(AND(AND(OR($DX46=1,$DW46=1),OR($EC46=1,$EA46=1)),SUM($DV46:$DZ46,$EF46)&gt;=4),SUM($EA46:$EE46)&gt;=2),"Whole sector","")</f>
        <v/>
      </c>
      <c r="EL46" t="str">
        <f>IF(AND(AND(OR($DX46=1,$DW46=1),AND($EC46=0,$EA46=0)),SUM($DV46:$DZ46,$EF46)&gt;=4),"Ecosystem approach","")</f>
        <v>Ecosystem approach</v>
      </c>
      <c r="EM46" s="2" t="str">
        <f>IF(AND(AND(AND($DX46=0,$DW46=0),OR($EC46=1,$EA46=1)),SUM($EB46:$EE46)&gt;=2),"Technology approach","")</f>
        <v/>
      </c>
      <c r="EN46" t="s">
        <v>2487</v>
      </c>
      <c r="EO46"/>
      <c r="EP46" t="str">
        <f>IF(ISNUMBER(BU46),IF(ABS(BU46-[2]QC_indicators!$B$2)&gt;3*[2]QC_indicators!$C$2,"C ratio",IF(ISNUMBER(BY46),IF(ABS(BY46-[2]QC_indicators!$B$1)&gt;3*[2]QC_indicators!$C$1,"DF","no"))),IF(ISNUMBER(BY46),IF(ABS(BY46-[2]QC_indicators!$B$1)&gt;3*[2]QC_indicators!$C$1,"DF","no")))</f>
        <v>no</v>
      </c>
      <c r="EQ46"/>
      <c r="ER46"/>
      <c r="ES46"/>
      <c r="ET46" s="266" t="s">
        <v>3256</v>
      </c>
      <c r="EU46"/>
    </row>
    <row r="47" spans="1:151" s="139" customFormat="1" ht="15" customHeight="1">
      <c r="A47" s="1" t="s">
        <v>1810</v>
      </c>
      <c r="B47" t="s">
        <v>2477</v>
      </c>
      <c r="C47" t="s">
        <v>2478</v>
      </c>
      <c r="D47" t="s">
        <v>2479</v>
      </c>
      <c r="E47" t="s">
        <v>2480</v>
      </c>
      <c r="F47" t="s">
        <v>2481</v>
      </c>
      <c r="G47" t="s">
        <v>1816</v>
      </c>
      <c r="H47" t="s">
        <v>255</v>
      </c>
      <c r="I47">
        <v>2010</v>
      </c>
      <c r="J47">
        <v>100</v>
      </c>
      <c r="K47" t="s">
        <v>2482</v>
      </c>
      <c r="L47"/>
      <c r="M47" t="str">
        <f>LEFT($D47,FIND(",",$D47)-1)&amp;"_"&amp;I47&amp;L47</f>
        <v>Werner_2010</v>
      </c>
      <c r="N47" t="s">
        <v>223</v>
      </c>
      <c r="O47" s="145" t="s">
        <v>1156</v>
      </c>
      <c r="P47"/>
      <c r="Q47" t="s">
        <v>257</v>
      </c>
      <c r="R47" s="264" t="s">
        <v>224</v>
      </c>
      <c r="S47" s="1" t="s">
        <v>2483</v>
      </c>
      <c r="T47" t="s">
        <v>2484</v>
      </c>
      <c r="U47" t="s">
        <v>1157</v>
      </c>
      <c r="V47">
        <v>1</v>
      </c>
      <c r="W47">
        <v>0</v>
      </c>
      <c r="X47">
        <v>2</v>
      </c>
      <c r="Y47">
        <v>0</v>
      </c>
      <c r="Z47">
        <v>0</v>
      </c>
      <c r="AA47">
        <v>0</v>
      </c>
      <c r="AB47">
        <v>0</v>
      </c>
      <c r="AC47">
        <v>0</v>
      </c>
      <c r="AD47">
        <v>0</v>
      </c>
      <c r="AE47">
        <v>0</v>
      </c>
      <c r="AF47">
        <v>0</v>
      </c>
      <c r="AG47">
        <v>0</v>
      </c>
      <c r="AH47">
        <v>0</v>
      </c>
      <c r="AI47">
        <v>0</v>
      </c>
      <c r="AJ47">
        <v>0</v>
      </c>
      <c r="AK47">
        <v>0</v>
      </c>
      <c r="AL47">
        <v>0</v>
      </c>
      <c r="AM47">
        <v>0</v>
      </c>
      <c r="AN47">
        <v>0</v>
      </c>
      <c r="AO47">
        <v>0</v>
      </c>
      <c r="AP47">
        <v>0</v>
      </c>
      <c r="AQ47">
        <v>0</v>
      </c>
      <c r="AR47">
        <v>0</v>
      </c>
      <c r="AS47">
        <v>0</v>
      </c>
      <c r="AT47">
        <v>0</v>
      </c>
      <c r="AU47">
        <v>0</v>
      </c>
      <c r="AV47">
        <v>0</v>
      </c>
      <c r="AW47">
        <v>0</v>
      </c>
      <c r="AX47" s="141">
        <f>COUNTIF(V47:AW47,"&lt;&gt;0")</f>
        <v>2</v>
      </c>
      <c r="AY47" s="141">
        <f>COUNTIF(V47:AL47,"&lt;&gt;0")</f>
        <v>2</v>
      </c>
      <c r="AZ47">
        <f>COUNTIF(V47:AC47,"&lt;&gt;0")</f>
        <v>2</v>
      </c>
      <c r="BA47">
        <f>COUNTIF(AD47:AI47,"&lt;&gt;0")</f>
        <v>0</v>
      </c>
      <c r="BB47">
        <f>COUNTIF(AJ47:AL47,"&lt;&gt;0")</f>
        <v>0</v>
      </c>
      <c r="BC47">
        <f>COUNTIF(AS47:AW47,"&lt;&gt;0")</f>
        <v>0</v>
      </c>
      <c r="BD47">
        <f>COUNTIF(AM47:AR47,"&lt;&gt;0")</f>
        <v>0</v>
      </c>
      <c r="BE47" t="str">
        <f t="array" ref="BE47">IF(AY47=1,INDEX($V$7:$AL$7,MATCH(TRUE,INDEX($V47:$AW47&lt;&gt;0,),0)),IF(AY47=0,INDEX($AM$7:$AW$7,MATCH(1,$AM47:$AW47,0)),IF(BF47="Multiple strategies","mixed drivers",IF(BF47="Supply chain","multiple supply","multiple silviculture"))))</f>
        <v>multiple silviculture</v>
      </c>
      <c r="BF47" s="2" t="str" cm="1">
        <f t="array" ref="BF47">IF(COUNTIF(AZ47:BB47,"&lt;&gt;0")=1,INDEX($V$4:$AW$4,MATCH(TRUE,INDEX($V47:$AW47&lt;&gt;0,),0)),IF(COUNTIF(AZ47:BB47,"&lt;&gt;0")=0,INDEX($AM$4:$AW$4,MATCH(1,$AM47:$AW47,0)),"Multiple strategies"))</f>
        <v>SilvicultureRemov</v>
      </c>
      <c r="BG47" s="1" t="s">
        <v>322</v>
      </c>
      <c r="BH47" t="s">
        <v>2455</v>
      </c>
      <c r="BI47" s="266" t="s">
        <v>3254</v>
      </c>
      <c r="BJ47" t="s">
        <v>1325</v>
      </c>
      <c r="BK47">
        <v>300</v>
      </c>
      <c r="BL47">
        <v>517.5</v>
      </c>
      <c r="BM47" s="143">
        <f>BL47/BK47</f>
        <v>1.7250000000000001</v>
      </c>
      <c r="BN47">
        <f>BL47-BK47</f>
        <v>217.5</v>
      </c>
      <c r="BO47">
        <f>BN47*10^6</f>
        <v>217500000</v>
      </c>
      <c r="BP47" t="s">
        <v>233</v>
      </c>
      <c r="BQ47" s="153" t="s">
        <v>3255</v>
      </c>
      <c r="BR47" t="s">
        <v>2327</v>
      </c>
      <c r="BS47">
        <v>345.6503741652154</v>
      </c>
      <c r="BT47">
        <v>116.6008790402431</v>
      </c>
      <c r="BU47" s="144">
        <f>IFERROR(BT47/BS47,"")</f>
        <v>0.33733763292415742</v>
      </c>
      <c r="BV47" s="144">
        <f>BT47-BS47</f>
        <v>-229.04949512497228</v>
      </c>
      <c r="BW47" s="144"/>
      <c r="BX47">
        <f>BV47*10^6</f>
        <v>-229049495.12497228</v>
      </c>
      <c r="BY47">
        <f>IFERROR(BX47/BO47,"")</f>
        <v>-1.0531011270113668</v>
      </c>
      <c r="BZ47">
        <v>0</v>
      </c>
      <c r="CA47">
        <v>0</v>
      </c>
      <c r="CB47">
        <v>0</v>
      </c>
      <c r="CC47">
        <v>0</v>
      </c>
      <c r="CD47">
        <v>0</v>
      </c>
      <c r="CE47">
        <v>0</v>
      </c>
      <c r="CF47">
        <v>0</v>
      </c>
      <c r="CG47">
        <v>0</v>
      </c>
      <c r="CH47">
        <v>0</v>
      </c>
      <c r="CI47">
        <v>0</v>
      </c>
      <c r="CJ47">
        <v>0</v>
      </c>
      <c r="CK47">
        <v>0</v>
      </c>
      <c r="CL47">
        <v>0</v>
      </c>
      <c r="CM47">
        <v>1</v>
      </c>
      <c r="CN47" t="str">
        <f>IF($BL47&lt;$BK47,"refNeedCorrection","refOK")</f>
        <v>refOK</v>
      </c>
      <c r="CO47">
        <f>IF($CN47="refNeedCorrection",BL47,BK47)</f>
        <v>300</v>
      </c>
      <c r="CP47">
        <f>IF($CN47="refNeedCorrection",BK47,BL47)</f>
        <v>517.5</v>
      </c>
      <c r="CQ47">
        <f>IF($CN47="refOK",$BO47,-$BO47)</f>
        <v>217500000</v>
      </c>
      <c r="CR47">
        <f>IF($CN47="refOK",$BS47,$BT47)*IF($BP47="Emissions positive",-1,1)</f>
        <v>345.6503741652154</v>
      </c>
      <c r="CS47">
        <f>IF($CN47="refOK",$BT47,$BS47)*IF($BP47="Emissions positive",-1,1)</f>
        <v>116.6008790402431</v>
      </c>
      <c r="CT47">
        <f>IF($CN47="refNeedCorrection",-BX47,BX47)*IF($BP47="Emissions positive",-1,1)</f>
        <v>-229049495.12497228</v>
      </c>
      <c r="CU47">
        <f>IFERROR(CT47/CQ47,"")</f>
        <v>-1.0531011270113668</v>
      </c>
      <c r="CV47" s="2">
        <f>IFERROR((CS47-CR47)/ABS(CR47),"")</f>
        <v>-0.66266236707584247</v>
      </c>
      <c r="CW47" s="1" t="s">
        <v>1205</v>
      </c>
      <c r="CX47" t="str">
        <f>IF(OR($CW47="prd",$CW47="std",$CW47="cit"),"loc",IF(OR($CW47="eur",$CW47="reg",$CW47="coy"),"reg",$CW47))</f>
        <v>reg</v>
      </c>
      <c r="CY47" t="s">
        <v>641</v>
      </c>
      <c r="CZ47">
        <v>2000</v>
      </c>
      <c r="DA47">
        <v>2090</v>
      </c>
      <c r="DB47">
        <f>DA47-CZ47</f>
        <v>90</v>
      </c>
      <c r="DC47" t="str">
        <f>IF(DB47=0,"0",IF(AND(DB47&gt;=1,DB47&lt;=30),"1-30",IF(AND(DB47&gt;30,DB47&lt;=70),"31-70",IF(AND(DB47&gt;70,DB47&lt;=100),"71-100",IF(DB47&gt;100,"+100")))))</f>
        <v>71-100</v>
      </c>
      <c r="DD47">
        <v>1</v>
      </c>
      <c r="DE47">
        <v>0</v>
      </c>
      <c r="DF47">
        <v>0</v>
      </c>
      <c r="DG47">
        <v>0</v>
      </c>
      <c r="DH47">
        <v>0</v>
      </c>
      <c r="DI47">
        <f>SUM(DD47:DG47)</f>
        <v>1</v>
      </c>
      <c r="DJ47" t="str">
        <f>IF(DI47=1,INDEX($DD$7:$DG$7,MATCH(1,$DD47:$DG47,0)),"mixedProduct")</f>
        <v>UpstreamInput</v>
      </c>
      <c r="DK47" t="str">
        <f>IF(DD47=1,DK$7,0)</f>
        <v>Upstream</v>
      </c>
      <c r="DL47">
        <f>IF(DE47=1,DL$7,0)</f>
        <v>0</v>
      </c>
      <c r="DM47">
        <f>IF(DF47=1,DM$7,0)</f>
        <v>0</v>
      </c>
      <c r="DN47">
        <f>IF(DG47=1,DN$7,0)</f>
        <v>0</v>
      </c>
      <c r="DO47">
        <v>0</v>
      </c>
      <c r="DP47">
        <v>0</v>
      </c>
      <c r="DQ47"/>
      <c r="DR47"/>
      <c r="DS47"/>
      <c r="DT47">
        <f>SUM(DO47:DP47)</f>
        <v>0</v>
      </c>
      <c r="DU47" s="143" t="str">
        <f>IF(DO47=1,"self-calculated DF",IF(DP47=1,"external DF used","explicit C balance"))</f>
        <v>explicit C balance</v>
      </c>
      <c r="DV47">
        <v>1</v>
      </c>
      <c r="DW47">
        <v>1</v>
      </c>
      <c r="DX47">
        <v>1</v>
      </c>
      <c r="DY47">
        <v>1</v>
      </c>
      <c r="DZ47">
        <v>0</v>
      </c>
      <c r="EA47" s="143">
        <v>0</v>
      </c>
      <c r="EB47">
        <v>0</v>
      </c>
      <c r="EC47">
        <v>0</v>
      </c>
      <c r="ED47">
        <v>0</v>
      </c>
      <c r="EE47">
        <v>0</v>
      </c>
      <c r="EF47">
        <v>1</v>
      </c>
      <c r="EG47">
        <v>0</v>
      </c>
      <c r="EH47">
        <v>0</v>
      </c>
      <c r="EI47" s="2">
        <v>0</v>
      </c>
      <c r="EJ47" s="1"/>
      <c r="EK47" t="str">
        <f>IF(AND(AND(AND(OR($DX47=1,$DW47=1),OR($EC47=1,$EA47=1)),SUM($DV47:$DZ47,$EF47)&gt;=4),SUM($EA47:$EE47)&gt;=2),"Whole sector","")</f>
        <v/>
      </c>
      <c r="EL47" t="str">
        <f>IF(AND(AND(OR($DX47=1,$DW47=1),AND($EC47=0,$EA47=0)),SUM($DV47:$DZ47,$EF47)&gt;=4),"Ecosystem approach","")</f>
        <v>Ecosystem approach</v>
      </c>
      <c r="EM47" s="2" t="str">
        <f>IF(AND(AND(AND($DX47=0,$DW47=0),OR($EC47=1,$EA47=1)),SUM($EB47:$EE47)&gt;=2),"Technology approach","")</f>
        <v/>
      </c>
      <c r="EN47" t="s">
        <v>2487</v>
      </c>
      <c r="EO47"/>
      <c r="EP47" t="str">
        <f>IF(ISNUMBER(BU47),IF(ABS(BU47-[2]QC_indicators!$B$2)&gt;3*[2]QC_indicators!$C$2,"C ratio",IF(ISNUMBER(BY47),IF(ABS(BY47-[2]QC_indicators!$B$1)&gt;3*[2]QC_indicators!$C$1,"DF","no"))),IF(ISNUMBER(BY47),IF(ABS(BY47-[2]QC_indicators!$B$1)&gt;3*[2]QC_indicators!$C$1,"DF","no")))</f>
        <v>no</v>
      </c>
      <c r="EQ47"/>
      <c r="ER47"/>
      <c r="ES47"/>
      <c r="ET47" s="266" t="s">
        <v>3256</v>
      </c>
      <c r="EU47"/>
    </row>
    <row r="48" spans="1:151" s="139" customFormat="1" ht="15" hidden="1" customHeight="1">
      <c r="A48" s="1" t="s">
        <v>1638</v>
      </c>
      <c r="B48" t="s">
        <v>1639</v>
      </c>
      <c r="C48" t="s">
        <v>1640</v>
      </c>
      <c r="D48" t="s">
        <v>1641</v>
      </c>
      <c r="E48" t="s">
        <v>1642</v>
      </c>
      <c r="F48" t="s">
        <v>1643</v>
      </c>
      <c r="G48" t="s">
        <v>1644</v>
      </c>
      <c r="H48" t="s">
        <v>255</v>
      </c>
      <c r="I48">
        <v>2022</v>
      </c>
      <c r="J48">
        <v>0</v>
      </c>
      <c r="K48" t="s">
        <v>1645</v>
      </c>
      <c r="L48"/>
      <c r="M48" t="str">
        <f>LEFT($D48,FIND(",",$D48)-1)&amp;"_"&amp;I48&amp;L48</f>
        <v>Gregor_2022</v>
      </c>
      <c r="N48" t="s">
        <v>223</v>
      </c>
      <c r="O48" s="161" t="s">
        <v>224</v>
      </c>
      <c r="P48"/>
      <c r="Q48" s="266" t="s">
        <v>390</v>
      </c>
      <c r="R48" s="271" t="s">
        <v>1156</v>
      </c>
      <c r="S48" s="154" t="s">
        <v>1646</v>
      </c>
      <c r="T48" s="296" t="s">
        <v>1657</v>
      </c>
      <c r="U48" s="266" t="s">
        <v>1658</v>
      </c>
      <c r="V48">
        <v>0</v>
      </c>
      <c r="W48">
        <v>0</v>
      </c>
      <c r="X48">
        <v>0</v>
      </c>
      <c r="Y48">
        <v>0</v>
      </c>
      <c r="Z48">
        <v>0</v>
      </c>
      <c r="AA48">
        <v>0</v>
      </c>
      <c r="AB48">
        <v>0</v>
      </c>
      <c r="AC48">
        <v>0</v>
      </c>
      <c r="AD48">
        <v>0</v>
      </c>
      <c r="AE48">
        <v>0</v>
      </c>
      <c r="AF48">
        <v>0</v>
      </c>
      <c r="AG48">
        <v>0</v>
      </c>
      <c r="AH48">
        <v>0</v>
      </c>
      <c r="AI48">
        <v>0</v>
      </c>
      <c r="AJ48">
        <v>0</v>
      </c>
      <c r="AK48">
        <v>0</v>
      </c>
      <c r="AL48">
        <v>0</v>
      </c>
      <c r="AM48">
        <v>0</v>
      </c>
      <c r="AN48">
        <v>1</v>
      </c>
      <c r="AO48">
        <v>2</v>
      </c>
      <c r="AP48">
        <v>2</v>
      </c>
      <c r="AQ48">
        <v>2</v>
      </c>
      <c r="AR48">
        <v>0</v>
      </c>
      <c r="AS48">
        <v>0</v>
      </c>
      <c r="AT48">
        <v>0</v>
      </c>
      <c r="AU48">
        <v>0</v>
      </c>
      <c r="AV48">
        <v>0</v>
      </c>
      <c r="AW48">
        <v>0</v>
      </c>
      <c r="AX48" s="141">
        <f>COUNTIF(V48:AW48,"&lt;&gt;0")</f>
        <v>4</v>
      </c>
      <c r="AY48">
        <f>COUNTIF(V48:AL48,"&lt;&gt;0")</f>
        <v>0</v>
      </c>
      <c r="AZ48">
        <f>COUNTIF(V48:AC48,"&lt;&gt;0")</f>
        <v>0</v>
      </c>
      <c r="BA48">
        <f>COUNTIF(AD48:AI48,"&lt;&gt;0")</f>
        <v>0</v>
      </c>
      <c r="BB48">
        <f>COUNTIF(AJ48:AL48,"&lt;&gt;0")</f>
        <v>0</v>
      </c>
      <c r="BC48">
        <f>COUNTIF(AS48:AW48,"&lt;&gt;0")</f>
        <v>0</v>
      </c>
      <c r="BD48">
        <f>COUNTIF(AM48:AR48,"&lt;&gt;0")</f>
        <v>4</v>
      </c>
      <c r="BE48" t="str" cm="1">
        <f t="array" ref="BE48">IF(AY48=1,INDEX($V$7:$AL$7,MATCH(TRUE,INDEX($V48:$AW48&lt;&gt;0,),0)),IF(AY48=0,INDEX($AM$7:$AW$7,MATCH(1,$AM48:$AW48,0)),IF(BF48="Multiple strategies","mixed drivers",IF(BF48="Supply chain","multiple supply","multiple silviculture"))))</f>
        <v>Temperature</v>
      </c>
      <c r="BF48" s="2" t="str" cm="1">
        <f t="array" ref="BF48">IF(COUNTIF(AZ48:BB48,"&lt;&gt;0")=1,INDEX($V$4:$AW$4,MATCH(TRUE,INDEX($V48:$AW48&lt;&gt;0,),0)),IF(COUNTIF(AZ48:BB48,"&lt;&gt;0")=0,INDEX($AM$4:$AW$4,MATCH(1,$AM48:$AW48,0)),"Multiple strategies"))</f>
        <v>Environmental change</v>
      </c>
      <c r="BG48" s="1" t="s">
        <v>322</v>
      </c>
      <c r="BH48" s="266" t="s">
        <v>1649</v>
      </c>
      <c r="BI48" s="266" t="s">
        <v>1659</v>
      </c>
      <c r="BJ48" s="266" t="s">
        <v>1650</v>
      </c>
      <c r="BK48">
        <f>2.84*(2115-2020)</f>
        <v>269.8</v>
      </c>
      <c r="BL48">
        <f>3.25*(2115-2020)</f>
        <v>308.75</v>
      </c>
      <c r="BM48"/>
      <c r="BN48">
        <f>BL48-BK48</f>
        <v>38.949999999999989</v>
      </c>
      <c r="BO48">
        <f>BL48-BK48</f>
        <v>38.949999999999989</v>
      </c>
      <c r="BP48" s="266" t="s">
        <v>233</v>
      </c>
      <c r="BQ48" s="266" t="s">
        <v>1660</v>
      </c>
      <c r="BR48" s="266" t="s">
        <v>1652</v>
      </c>
      <c r="BS48" s="266">
        <f>1.5*10000</f>
        <v>15000</v>
      </c>
      <c r="BT48" s="266">
        <f>2.1*10000</f>
        <v>21000</v>
      </c>
      <c r="BU48"/>
      <c r="BV48">
        <f>BT48-BS48</f>
        <v>6000</v>
      </c>
      <c r="BW48"/>
      <c r="BX48">
        <f>BV48/1000*C_to_CO2</f>
        <v>22.02</v>
      </c>
      <c r="BY48">
        <f>IFERROR(BX48/BO48,"")</f>
        <v>0.56534017971758677</v>
      </c>
      <c r="BZ48">
        <v>0</v>
      </c>
      <c r="CA48">
        <v>0</v>
      </c>
      <c r="CB48">
        <v>0</v>
      </c>
      <c r="CC48">
        <v>0</v>
      </c>
      <c r="CD48">
        <v>0</v>
      </c>
      <c r="CE48">
        <v>0</v>
      </c>
      <c r="CF48">
        <v>0</v>
      </c>
      <c r="CG48">
        <v>0</v>
      </c>
      <c r="CH48">
        <v>0</v>
      </c>
      <c r="CI48">
        <v>0</v>
      </c>
      <c r="CJ48">
        <v>0</v>
      </c>
      <c r="CK48">
        <v>0</v>
      </c>
      <c r="CL48">
        <v>0</v>
      </c>
      <c r="CM48">
        <v>0</v>
      </c>
      <c r="CN48" t="str">
        <f>IF($BL48&lt;$BK48,"refNeedCorrection","refOK")</f>
        <v>refOK</v>
      </c>
      <c r="CO48">
        <f>IF($CN48="refOK",$BK48,$BL48)</f>
        <v>269.8</v>
      </c>
      <c r="CP48">
        <f>IF($CN48="refOK",$BL48,$BK48)</f>
        <v>308.75</v>
      </c>
      <c r="CQ48">
        <f>IF($CN48="refOK",$BO48,-$BO48)</f>
        <v>38.949999999999989</v>
      </c>
      <c r="CR48">
        <f>IF($CN48="refOK",$BS48,$BT48)*IF($BP48="Emissions positive",-1,1)</f>
        <v>15000</v>
      </c>
      <c r="CS48">
        <f>IF($CN48="refOK",$BT48,$BS48)*IF($BP48="Emissions positive",-1,1)</f>
        <v>21000</v>
      </c>
      <c r="CT48">
        <f>IF($CN48="refNeedCorrection",-BX48,BX48)*IF($BP48="Emissions positive",-1,1)</f>
        <v>22.02</v>
      </c>
      <c r="CU48">
        <f>IFERROR(CT48/CQ48,"")</f>
        <v>0.56534017971758677</v>
      </c>
      <c r="CV48" s="2">
        <f>IFERROR((CS48-CR48)/ABS(CR48),"")</f>
        <v>0.4</v>
      </c>
      <c r="CW48" s="162" t="s">
        <v>1464</v>
      </c>
      <c r="CX48" s="266" t="str">
        <f>IF(OR($CW48="prd",$CW48="std",$CW48="cit"),"loc",IF(OR($CW48="eur",$CW48="reg",$CW48="coy"),"reg",$CW48))</f>
        <v>reg</v>
      </c>
      <c r="CY48" s="155" t="s">
        <v>745</v>
      </c>
      <c r="CZ48">
        <v>2010</v>
      </c>
      <c r="DA48">
        <v>2115</v>
      </c>
      <c r="DB48">
        <f>DA48-CZ48</f>
        <v>105</v>
      </c>
      <c r="DC48" t="str">
        <f>IF(DB48=0,"0",IF(AND(DB48&gt;=1,DB48&lt;=30),"1-30",IF(AND(DB48&gt;30,DB48&lt;=70),"31-70",IF(AND(DB48&gt;70,DB48&lt;=100),"71-100",IF(DB48&gt;100,"+100")))))</f>
        <v>+100</v>
      </c>
      <c r="DD48">
        <v>0</v>
      </c>
      <c r="DE48">
        <v>1</v>
      </c>
      <c r="DF48">
        <v>1</v>
      </c>
      <c r="DG48">
        <v>1</v>
      </c>
      <c r="DH48">
        <v>0</v>
      </c>
      <c r="DI48">
        <f>SUM(DD48:DG48)</f>
        <v>3</v>
      </c>
      <c r="DJ48" t="str">
        <f>IF(DI48=1,INDEX($DD$7:$DG$7,MATCH(1,$DD48:$DG48,0)),"mixedProduct")</f>
        <v>mixedProduct</v>
      </c>
      <c r="DK48">
        <f>IF(DD48=1,DK$7,0)</f>
        <v>0</v>
      </c>
      <c r="DL48" t="str">
        <f>IF(DE48=1,DL$7,0)</f>
        <v>Energy</v>
      </c>
      <c r="DM48" t="str">
        <f>IF(DF48=1,DM$7,0)</f>
        <v>Pulp/Paper</v>
      </c>
      <c r="DN48" t="str">
        <f>IF(DG48=1,DN$7,0)</f>
        <v>Timber</v>
      </c>
      <c r="DO48">
        <v>0</v>
      </c>
      <c r="DP48">
        <v>1</v>
      </c>
      <c r="DQ48" s="266" t="s">
        <v>1653</v>
      </c>
      <c r="DR48" s="266" t="s">
        <v>1653</v>
      </c>
      <c r="DS48" s="266" t="s">
        <v>1653</v>
      </c>
      <c r="DT48">
        <f>SUM(DO48:DP48)</f>
        <v>1</v>
      </c>
      <c r="DU48" s="143" t="str">
        <f>IF(DO48=1,"self-calculated DF",IF(DP48=1,"external DF used","explicit C balance"))</f>
        <v>external DF used</v>
      </c>
      <c r="DV48">
        <v>1</v>
      </c>
      <c r="DW48">
        <v>1</v>
      </c>
      <c r="DX48">
        <v>1</v>
      </c>
      <c r="DY48">
        <v>1</v>
      </c>
      <c r="DZ48">
        <v>1</v>
      </c>
      <c r="EA48">
        <v>1</v>
      </c>
      <c r="EB48">
        <v>1</v>
      </c>
      <c r="EC48">
        <v>1</v>
      </c>
      <c r="ED48">
        <v>0</v>
      </c>
      <c r="EE48">
        <v>0</v>
      </c>
      <c r="EF48">
        <v>1</v>
      </c>
      <c r="EG48">
        <v>0</v>
      </c>
      <c r="EH48">
        <v>1</v>
      </c>
      <c r="EI48" s="2">
        <v>0</v>
      </c>
      <c r="EJ48" s="1"/>
      <c r="EK48" t="str">
        <f>IF(AND(AND(AND(OR($DX48=1,$DW48=1),OR($EC48=1,$EA48=1)),SUM($DV48:$DZ48,$EF48)&gt;=4),SUM($EA48:$EE48)&gt;=2),"Whole sector","")</f>
        <v>Whole sector</v>
      </c>
      <c r="EL48" t="str">
        <f>IF(AND(AND(OR($DX48=1,$DW48=1),AND($EC48=0,$EA48=0)),SUM($DV48:$DZ48,$EF48)&gt;=4),"Ecosystem approach","")</f>
        <v/>
      </c>
      <c r="EM48" s="2" t="str">
        <f>IF(AND(AND(AND($DX48=0,$DW48=0),OR($EC48=1,$EA48=1)),SUM($EB48:$EE48)&gt;=2),"Technology approach","")</f>
        <v/>
      </c>
      <c r="EN48"/>
      <c r="EO48"/>
      <c r="EP48" t="str">
        <f>IF(ISNUMBER(BU48),IF(ABS(BU48-[1]QC_indicators!$B$2)&gt;3*[1]QC_indicators!$C$2,"C ratio",IF(ISNUMBER(BY48),IF(ABS(BY48-[1]QC_indicators!$B$1)&gt;3*[1]QC_indicators!$C$1,"DF","no"))),IF(ISNUMBER(BY48),IF(ABS(BY48-[1]QC_indicators!$B$1)&gt;3*[1]QC_indicators!$C$1,"DF","no")))</f>
        <v>no</v>
      </c>
      <c r="EQ48"/>
      <c r="ER48"/>
      <c r="ES48"/>
      <c r="ET48" s="266" t="s">
        <v>3409</v>
      </c>
      <c r="EU48"/>
    </row>
    <row r="49" spans="1:151" s="139" customFormat="1" ht="15" hidden="1" customHeight="1">
      <c r="A49" s="1" t="s">
        <v>1638</v>
      </c>
      <c r="B49" t="s">
        <v>1639</v>
      </c>
      <c r="C49" t="s">
        <v>1640</v>
      </c>
      <c r="D49" t="s">
        <v>1641</v>
      </c>
      <c r="E49" t="s">
        <v>1642</v>
      </c>
      <c r="F49" t="s">
        <v>1643</v>
      </c>
      <c r="G49" t="s">
        <v>1644</v>
      </c>
      <c r="H49" t="s">
        <v>255</v>
      </c>
      <c r="I49">
        <v>2022</v>
      </c>
      <c r="J49">
        <v>0</v>
      </c>
      <c r="K49" t="s">
        <v>1645</v>
      </c>
      <c r="L49"/>
      <c r="M49" t="str">
        <f>LEFT($D49,FIND(",",$D49)-1)&amp;"_"&amp;I49&amp;L49</f>
        <v>Gregor_2022</v>
      </c>
      <c r="N49" t="s">
        <v>223</v>
      </c>
      <c r="O49" s="161" t="s">
        <v>224</v>
      </c>
      <c r="P49"/>
      <c r="Q49" s="266" t="s">
        <v>390</v>
      </c>
      <c r="R49" s="271" t="s">
        <v>1156</v>
      </c>
      <c r="S49" s="154" t="s">
        <v>1646</v>
      </c>
      <c r="T49" s="296" t="s">
        <v>1661</v>
      </c>
      <c r="U49" s="266" t="s">
        <v>1662</v>
      </c>
      <c r="V49">
        <v>0</v>
      </c>
      <c r="W49">
        <v>0</v>
      </c>
      <c r="X49">
        <v>0</v>
      </c>
      <c r="Y49">
        <v>0</v>
      </c>
      <c r="Z49">
        <v>0</v>
      </c>
      <c r="AA49">
        <v>0</v>
      </c>
      <c r="AB49">
        <v>0</v>
      </c>
      <c r="AC49">
        <v>0</v>
      </c>
      <c r="AD49">
        <v>0</v>
      </c>
      <c r="AE49">
        <v>0</v>
      </c>
      <c r="AF49">
        <v>0</v>
      </c>
      <c r="AG49">
        <v>0</v>
      </c>
      <c r="AH49">
        <v>0</v>
      </c>
      <c r="AI49">
        <v>0</v>
      </c>
      <c r="AJ49">
        <v>0</v>
      </c>
      <c r="AK49">
        <v>0</v>
      </c>
      <c r="AL49">
        <v>0</v>
      </c>
      <c r="AM49">
        <v>0</v>
      </c>
      <c r="AN49">
        <v>1</v>
      </c>
      <c r="AO49">
        <v>2</v>
      </c>
      <c r="AP49">
        <v>2</v>
      </c>
      <c r="AQ49">
        <v>2</v>
      </c>
      <c r="AR49">
        <v>0</v>
      </c>
      <c r="AS49">
        <v>0</v>
      </c>
      <c r="AT49">
        <v>0</v>
      </c>
      <c r="AU49">
        <v>0</v>
      </c>
      <c r="AV49">
        <v>0</v>
      </c>
      <c r="AW49">
        <v>0</v>
      </c>
      <c r="AX49" s="141">
        <f>COUNTIF(V49:AW49,"&lt;&gt;0")</f>
        <v>4</v>
      </c>
      <c r="AY49">
        <f>COUNTIF(V49:AL49,"&lt;&gt;0")</f>
        <v>0</v>
      </c>
      <c r="AZ49">
        <f>COUNTIF(V49:AC49,"&lt;&gt;0")</f>
        <v>0</v>
      </c>
      <c r="BA49">
        <f>COUNTIF(AD49:AI49,"&lt;&gt;0")</f>
        <v>0</v>
      </c>
      <c r="BB49">
        <f>COUNTIF(AJ49:AL49,"&lt;&gt;0")</f>
        <v>0</v>
      </c>
      <c r="BC49">
        <f>COUNTIF(AS49:AW49,"&lt;&gt;0")</f>
        <v>0</v>
      </c>
      <c r="BD49">
        <f>COUNTIF(AM49:AR49,"&lt;&gt;0")</f>
        <v>4</v>
      </c>
      <c r="BE49" t="str" cm="1">
        <f t="array" ref="BE49">IF(AY49=1,INDEX($V$7:$AL$7,MATCH(TRUE,INDEX($V49:$AW49&lt;&gt;0,),0)),IF(AY49=0,INDEX($AM$7:$AW$7,MATCH(1,$AM49:$AW49,0)),IF(BF49="Multiple strategies","mixed drivers",IF(BF49="Supply chain","multiple supply","multiple silviculture"))))</f>
        <v>Temperature</v>
      </c>
      <c r="BF49" s="2" t="str" cm="1">
        <f t="array" ref="BF49">IF(COUNTIF(AZ49:BB49,"&lt;&gt;0")=1,INDEX($V$4:$AW$4,MATCH(TRUE,INDEX($V49:$AW49&lt;&gt;0,),0)),IF(COUNTIF(AZ49:BB49,"&lt;&gt;0")=0,INDEX($AM$4:$AW$4,MATCH(1,$AM49:$AW49,0)),"Multiple strategies"))</f>
        <v>Environmental change</v>
      </c>
      <c r="BG49" s="1" t="s">
        <v>322</v>
      </c>
      <c r="BH49" s="266" t="s">
        <v>1649</v>
      </c>
      <c r="BI49" s="266" t="s">
        <v>1659</v>
      </c>
      <c r="BJ49" s="266" t="s">
        <v>1650</v>
      </c>
      <c r="BK49">
        <f>0.07*(2115-2020)</f>
        <v>6.65</v>
      </c>
      <c r="BL49">
        <f>0.08*(2115-2020)</f>
        <v>7.6000000000000005</v>
      </c>
      <c r="BM49"/>
      <c r="BN49">
        <f>BL49-BK49</f>
        <v>0.95000000000000018</v>
      </c>
      <c r="BO49">
        <f>BL49-BK49</f>
        <v>0.95000000000000018</v>
      </c>
      <c r="BP49" s="266" t="s">
        <v>233</v>
      </c>
      <c r="BQ49" s="266" t="s">
        <v>1660</v>
      </c>
      <c r="BR49" s="266" t="s">
        <v>1652</v>
      </c>
      <c r="BS49" s="266">
        <f>1.8*10000</f>
        <v>18000</v>
      </c>
      <c r="BT49" s="266">
        <f>2*10000</f>
        <v>20000</v>
      </c>
      <c r="BU49"/>
      <c r="BV49">
        <f>BT49-BS49</f>
        <v>2000</v>
      </c>
      <c r="BW49"/>
      <c r="BX49">
        <f>BV49/1000*C_to_CO2</f>
        <v>7.34</v>
      </c>
      <c r="BY49">
        <f>IFERROR(BX49/BO49,"")</f>
        <v>7.7263157894736825</v>
      </c>
      <c r="BZ49">
        <v>0</v>
      </c>
      <c r="CA49">
        <v>0</v>
      </c>
      <c r="CB49">
        <v>0</v>
      </c>
      <c r="CC49">
        <v>0</v>
      </c>
      <c r="CD49">
        <v>0</v>
      </c>
      <c r="CE49">
        <v>0</v>
      </c>
      <c r="CF49">
        <v>0</v>
      </c>
      <c r="CG49">
        <v>0</v>
      </c>
      <c r="CH49">
        <v>0</v>
      </c>
      <c r="CI49">
        <v>0</v>
      </c>
      <c r="CJ49">
        <v>0</v>
      </c>
      <c r="CK49">
        <v>0</v>
      </c>
      <c r="CL49">
        <v>0</v>
      </c>
      <c r="CM49">
        <v>0</v>
      </c>
      <c r="CN49" t="str">
        <f>IF($BL49&lt;$BK49,"refNeedCorrection","refOK")</f>
        <v>refOK</v>
      </c>
      <c r="CO49">
        <f>IF($CN49="refOK",$BK49,$BL49)</f>
        <v>6.65</v>
      </c>
      <c r="CP49">
        <f>IF($CN49="refOK",$BL49,$BK49)</f>
        <v>7.6000000000000005</v>
      </c>
      <c r="CQ49">
        <f>IF($CN49="refOK",$BO49,-$BO49)</f>
        <v>0.95000000000000018</v>
      </c>
      <c r="CR49">
        <f>IF($CN49="refOK",$BS49,$BT49)*IF($BP49="Emissions positive",-1,1)</f>
        <v>18000</v>
      </c>
      <c r="CS49">
        <f>IF($CN49="refOK",$BT49,$BS49)*IF($BP49="Emissions positive",-1,1)</f>
        <v>20000</v>
      </c>
      <c r="CT49">
        <f>IF($CN49="refNeedCorrection",-BX49,BX49)*IF($BP49="Emissions positive",-1,1)</f>
        <v>7.34</v>
      </c>
      <c r="CU49">
        <f>IFERROR(CT49/CQ49,"")</f>
        <v>7.7263157894736825</v>
      </c>
      <c r="CV49" s="2">
        <f>IFERROR((CS49-CR49)/ABS(CR49),"")</f>
        <v>0.1111111111111111</v>
      </c>
      <c r="CW49" s="162" t="s">
        <v>1464</v>
      </c>
      <c r="CX49" s="266" t="str">
        <f>IF(OR($CW49="prd",$CW49="std",$CW49="cit"),"loc",IF(OR($CW49="eur",$CW49="reg",$CW49="coy"),"reg",$CW49))</f>
        <v>reg</v>
      </c>
      <c r="CY49" s="155" t="s">
        <v>745</v>
      </c>
      <c r="CZ49">
        <v>2010</v>
      </c>
      <c r="DA49">
        <v>2115</v>
      </c>
      <c r="DB49">
        <f>DA49-CZ49</f>
        <v>105</v>
      </c>
      <c r="DC49" t="str">
        <f>IF(DB49=0,"0",IF(AND(DB49&gt;=1,DB49&lt;=30),"1-30",IF(AND(DB49&gt;30,DB49&lt;=70),"31-70",IF(AND(DB49&gt;70,DB49&lt;=100),"71-100",IF(DB49&gt;100,"+100")))))</f>
        <v>+100</v>
      </c>
      <c r="DD49">
        <v>0</v>
      </c>
      <c r="DE49">
        <v>1</v>
      </c>
      <c r="DF49">
        <v>1</v>
      </c>
      <c r="DG49">
        <v>1</v>
      </c>
      <c r="DH49">
        <v>0</v>
      </c>
      <c r="DI49">
        <f>SUM(DD49:DG49)</f>
        <v>3</v>
      </c>
      <c r="DJ49" t="str">
        <f>IF(DI49=1,INDEX($DD$7:$DG$7,MATCH(1,$DD49:$DG49,0)),"mixedProduct")</f>
        <v>mixedProduct</v>
      </c>
      <c r="DK49">
        <f>IF(DD49=1,DK$7,0)</f>
        <v>0</v>
      </c>
      <c r="DL49" t="str">
        <f>IF(DE49=1,DL$7,0)</f>
        <v>Energy</v>
      </c>
      <c r="DM49" t="str">
        <f>IF(DF49=1,DM$7,0)</f>
        <v>Pulp/Paper</v>
      </c>
      <c r="DN49" t="str">
        <f>IF(DG49=1,DN$7,0)</f>
        <v>Timber</v>
      </c>
      <c r="DO49">
        <v>0</v>
      </c>
      <c r="DP49">
        <v>1</v>
      </c>
      <c r="DQ49" s="266" t="s">
        <v>1653</v>
      </c>
      <c r="DR49" s="266" t="s">
        <v>1653</v>
      </c>
      <c r="DS49" s="266" t="s">
        <v>1653</v>
      </c>
      <c r="DT49">
        <f>SUM(DO49:DP49)</f>
        <v>1</v>
      </c>
      <c r="DU49" s="143" t="str">
        <f>IF(DO49=1,"self-calculated DF",IF(DP49=1,"external DF used","explicit C balance"))</f>
        <v>external DF used</v>
      </c>
      <c r="DV49">
        <v>1</v>
      </c>
      <c r="DW49">
        <v>1</v>
      </c>
      <c r="DX49">
        <v>1</v>
      </c>
      <c r="DY49">
        <v>1</v>
      </c>
      <c r="DZ49">
        <v>1</v>
      </c>
      <c r="EA49">
        <v>1</v>
      </c>
      <c r="EB49">
        <v>1</v>
      </c>
      <c r="EC49">
        <v>1</v>
      </c>
      <c r="ED49">
        <v>0</v>
      </c>
      <c r="EE49">
        <v>0</v>
      </c>
      <c r="EF49">
        <v>1</v>
      </c>
      <c r="EG49">
        <v>0</v>
      </c>
      <c r="EH49">
        <v>1</v>
      </c>
      <c r="EI49" s="2">
        <v>0</v>
      </c>
      <c r="EJ49" s="1"/>
      <c r="EK49" t="str">
        <f>IF(AND(AND(AND(OR($DX49=1,$DW49=1),OR($EC49=1,$EA49=1)),SUM($DV49:$DZ49,$EF49)&gt;=4),SUM($EA49:$EE49)&gt;=2),"Whole sector","")</f>
        <v>Whole sector</v>
      </c>
      <c r="EL49" t="str">
        <f>IF(AND(AND(OR($DX49=1,$DW49=1),AND($EC49=0,$EA49=0)),SUM($DV49:$DZ49,$EF49)&gt;=4),"Ecosystem approach","")</f>
        <v/>
      </c>
      <c r="EM49" s="2" t="str">
        <f>IF(AND(AND(AND($DX49=0,$DW49=0),OR($EC49=1,$EA49=1)),SUM($EB49:$EE49)&gt;=2),"Technology approach","")</f>
        <v/>
      </c>
      <c r="EN49"/>
      <c r="EO49"/>
      <c r="EP49" t="str">
        <f>IF(ISNUMBER(BU49),IF(ABS(BU49-[1]QC_indicators!$B$2)&gt;3*[1]QC_indicators!$C$2,"C ratio",IF(ISNUMBER(BY49),IF(ABS(BY49-[1]QC_indicators!$B$1)&gt;3*[1]QC_indicators!$C$1,"DF","no"))),IF(ISNUMBER(BY49),IF(ABS(BY49-[1]QC_indicators!$B$1)&gt;3*[1]QC_indicators!$C$1,"DF","no")))</f>
        <v>DF</v>
      </c>
      <c r="EQ49"/>
      <c r="ER49"/>
      <c r="ES49"/>
      <c r="ET49" s="266" t="s">
        <v>3409</v>
      </c>
      <c r="EU49"/>
    </row>
    <row r="50" spans="1:151" s="139" customFormat="1" ht="15" customHeight="1">
      <c r="A50" s="1" t="s">
        <v>1810</v>
      </c>
      <c r="B50" t="s">
        <v>2477</v>
      </c>
      <c r="C50" t="s">
        <v>2478</v>
      </c>
      <c r="D50" t="s">
        <v>2479</v>
      </c>
      <c r="E50" t="s">
        <v>2480</v>
      </c>
      <c r="F50" t="s">
        <v>2481</v>
      </c>
      <c r="G50" t="s">
        <v>1816</v>
      </c>
      <c r="H50" t="s">
        <v>255</v>
      </c>
      <c r="I50">
        <v>2010</v>
      </c>
      <c r="J50">
        <v>100</v>
      </c>
      <c r="K50" t="s">
        <v>2482</v>
      </c>
      <c r="L50"/>
      <c r="M50" t="str">
        <f>LEFT($D50,FIND(",",$D50)-1)&amp;"_"&amp;I50&amp;L50</f>
        <v>Werner_2010</v>
      </c>
      <c r="N50" t="s">
        <v>223</v>
      </c>
      <c r="O50" s="145" t="s">
        <v>1156</v>
      </c>
      <c r="P50"/>
      <c r="Q50" t="s">
        <v>257</v>
      </c>
      <c r="R50" s="264" t="s">
        <v>224</v>
      </c>
      <c r="S50" s="265" t="s">
        <v>3257</v>
      </c>
      <c r="T50" t="s">
        <v>2484</v>
      </c>
      <c r="U50" t="s">
        <v>2490</v>
      </c>
      <c r="V50">
        <v>2</v>
      </c>
      <c r="W50">
        <v>0</v>
      </c>
      <c r="X50">
        <v>1</v>
      </c>
      <c r="Y50">
        <v>2</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s="141">
        <f>COUNTIF(V50:AW50,"&lt;&gt;0")</f>
        <v>3</v>
      </c>
      <c r="AY50" s="141">
        <f>COUNTIF(V50:AL50,"&lt;&gt;0")</f>
        <v>3</v>
      </c>
      <c r="AZ50">
        <f>COUNTIF(V50:AC50,"&lt;&gt;0")</f>
        <v>3</v>
      </c>
      <c r="BA50">
        <f>COUNTIF(AD50:AI50,"&lt;&gt;0")</f>
        <v>0</v>
      </c>
      <c r="BB50">
        <f>COUNTIF(AJ50:AL50,"&lt;&gt;0")</f>
        <v>0</v>
      </c>
      <c r="BC50">
        <f>COUNTIF(AS50:AW50,"&lt;&gt;0")</f>
        <v>0</v>
      </c>
      <c r="BD50">
        <f>COUNTIF(AM50:AR50,"&lt;&gt;0")</f>
        <v>0</v>
      </c>
      <c r="BE50" t="str">
        <f t="array" ref="BE50">IF(AY50=1,INDEX($V$7:$AL$7,MATCH(TRUE,INDEX($V50:$AW50&lt;&gt;0,),0)),IF(AY50=0,INDEX($AM$7:$AW$7,MATCH(1,$AM50:$AW50,0)),IF(BF50="Multiple strategies","mixed drivers",IF(BF50="Supply chain","multiple supply","multiple silviculture"))))</f>
        <v>multiple silviculture</v>
      </c>
      <c r="BF50" s="2" t="str" cm="1">
        <f t="array" ref="BF50">IF(COUNTIF(AZ50:BB50,"&lt;&gt;0")=1,INDEX($V$4:$AW$4,MATCH(TRUE,INDEX($V50:$AW50&lt;&gt;0,),0)),IF(COUNTIF(AZ50:BB50,"&lt;&gt;0")=0,INDEX($AM$4:$AW$4,MATCH(1,$AM50:$AW50,0)),"Multiple strategies"))</f>
        <v>SilvicultureRemov</v>
      </c>
      <c r="BG50" s="1" t="s">
        <v>322</v>
      </c>
      <c r="BH50" t="s">
        <v>2455</v>
      </c>
      <c r="BI50" s="266" t="s">
        <v>3254</v>
      </c>
      <c r="BJ50" t="s">
        <v>1325</v>
      </c>
      <c r="BK50">
        <v>300</v>
      </c>
      <c r="BL50">
        <v>765</v>
      </c>
      <c r="BM50" s="143">
        <f>BL50/BK50</f>
        <v>2.5499999999999998</v>
      </c>
      <c r="BN50">
        <f>BL50-BK50</f>
        <v>465</v>
      </c>
      <c r="BO50">
        <f>BN50*10^6</f>
        <v>465000000</v>
      </c>
      <c r="BP50" t="s">
        <v>233</v>
      </c>
      <c r="BQ50" s="153" t="s">
        <v>3255</v>
      </c>
      <c r="BR50" t="s">
        <v>2327</v>
      </c>
      <c r="BS50">
        <v>345.6503741652154</v>
      </c>
      <c r="BT50">
        <v>69.739247716902497</v>
      </c>
      <c r="BU50" s="144">
        <f>IFERROR(BT50/BS50,"")</f>
        <v>0.20176239613606853</v>
      </c>
      <c r="BV50" s="144">
        <f>BT50-BS50</f>
        <v>-275.91112644831287</v>
      </c>
      <c r="BW50" s="144"/>
      <c r="BX50">
        <f>BV50*10^6</f>
        <v>-275911126.44831288</v>
      </c>
      <c r="BY50">
        <f>IFERROR(BX50/BO50,"")</f>
        <v>-0.59335726117916743</v>
      </c>
      <c r="BZ50">
        <v>0</v>
      </c>
      <c r="CA50">
        <v>0</v>
      </c>
      <c r="CB50">
        <v>0</v>
      </c>
      <c r="CC50">
        <v>0</v>
      </c>
      <c r="CD50">
        <v>0</v>
      </c>
      <c r="CE50">
        <v>0</v>
      </c>
      <c r="CF50">
        <v>0</v>
      </c>
      <c r="CG50">
        <v>0</v>
      </c>
      <c r="CH50">
        <v>0</v>
      </c>
      <c r="CI50">
        <v>0</v>
      </c>
      <c r="CJ50">
        <v>0</v>
      </c>
      <c r="CK50">
        <v>0</v>
      </c>
      <c r="CL50">
        <v>0</v>
      </c>
      <c r="CM50">
        <v>1</v>
      </c>
      <c r="CN50" t="str">
        <f>IF($BL50&lt;$BK50,"refNeedCorrection","refOK")</f>
        <v>refOK</v>
      </c>
      <c r="CO50">
        <f>IF($CN50="refNeedCorrection",BL50,BK50)</f>
        <v>300</v>
      </c>
      <c r="CP50">
        <f>IF($CN50="refNeedCorrection",BK50,BL50)</f>
        <v>765</v>
      </c>
      <c r="CQ50">
        <f>IF($CN50="refOK",$BO50,-$BO50)</f>
        <v>465000000</v>
      </c>
      <c r="CR50">
        <f>IF($CN50="refOK",$BS50,$BT50)*IF($BP50="Emissions positive",-1,1)</f>
        <v>345.6503741652154</v>
      </c>
      <c r="CS50">
        <f>IF($CN50="refOK",$BT50,$BS50)*IF($BP50="Emissions positive",-1,1)</f>
        <v>69.739247716902497</v>
      </c>
      <c r="CT50">
        <f>IF($CN50="refNeedCorrection",-BX50,BX50)*IF($BP50="Emissions positive",-1,1)</f>
        <v>-275911126.44831288</v>
      </c>
      <c r="CU50">
        <f>IFERROR(CT50/CQ50,"")</f>
        <v>-0.59335726117916743</v>
      </c>
      <c r="CV50" s="2">
        <f>IFERROR((CS50-CR50)/ABS(CR50),"")</f>
        <v>-0.79823760386393139</v>
      </c>
      <c r="CW50" s="1" t="s">
        <v>1205</v>
      </c>
      <c r="CX50" t="str">
        <f>IF(OR($CW50="prd",$CW50="std",$CW50="cit"),"loc",IF(OR($CW50="eur",$CW50="reg",$CW50="coy"),"reg",$CW50))</f>
        <v>reg</v>
      </c>
      <c r="CY50" t="s">
        <v>641</v>
      </c>
      <c r="CZ50">
        <v>2000</v>
      </c>
      <c r="DA50">
        <v>2090</v>
      </c>
      <c r="DB50">
        <f>DA50-CZ50</f>
        <v>90</v>
      </c>
      <c r="DC50" t="str">
        <f>IF(DB50=0,"0",IF(AND(DB50&gt;=1,DB50&lt;=30),"1-30",IF(AND(DB50&gt;30,DB50&lt;=70),"31-70",IF(AND(DB50&gt;70,DB50&lt;=100),"71-100",IF(DB50&gt;100,"+100")))))</f>
        <v>71-100</v>
      </c>
      <c r="DD50">
        <v>0</v>
      </c>
      <c r="DE50">
        <v>1</v>
      </c>
      <c r="DF50">
        <v>0</v>
      </c>
      <c r="DG50">
        <v>0</v>
      </c>
      <c r="DH50">
        <v>0</v>
      </c>
      <c r="DI50">
        <f>SUM(DD50:DG50)</f>
        <v>1</v>
      </c>
      <c r="DJ50" t="str">
        <f>IF(DI50=1,INDEX($DD$7:$DG$7,MATCH(1,$DD50:$DG50,0)),"mixedProduct")</f>
        <v>EnergyInput</v>
      </c>
      <c r="DK50">
        <f>IF(DD50=1,DK$7,0)</f>
        <v>0</v>
      </c>
      <c r="DL50" t="str">
        <f>IF(DE50=1,DL$7,0)</f>
        <v>Energy</v>
      </c>
      <c r="DM50">
        <f>IF(DF50=1,DM$7,0)</f>
        <v>0</v>
      </c>
      <c r="DN50">
        <f>IF(DG50=1,DN$7,0)</f>
        <v>0</v>
      </c>
      <c r="DO50">
        <v>0</v>
      </c>
      <c r="DP50">
        <v>0</v>
      </c>
      <c r="DQ50"/>
      <c r="DR50"/>
      <c r="DS50"/>
      <c r="DT50">
        <f>SUM(DO50:DP50)</f>
        <v>0</v>
      </c>
      <c r="DU50" s="143" t="str">
        <f>IF(DO50=1,"self-calculated DF",IF(DP50=1,"external DF used","explicit C balance"))</f>
        <v>explicit C balance</v>
      </c>
      <c r="DV50">
        <v>1</v>
      </c>
      <c r="DW50">
        <v>1</v>
      </c>
      <c r="DX50">
        <v>1</v>
      </c>
      <c r="DY50">
        <v>1</v>
      </c>
      <c r="DZ50">
        <v>0</v>
      </c>
      <c r="EA50" s="143">
        <v>0</v>
      </c>
      <c r="EB50">
        <v>0</v>
      </c>
      <c r="EC50">
        <v>0</v>
      </c>
      <c r="ED50">
        <v>0</v>
      </c>
      <c r="EE50">
        <v>0</v>
      </c>
      <c r="EF50">
        <v>1</v>
      </c>
      <c r="EG50">
        <v>0</v>
      </c>
      <c r="EH50">
        <v>0</v>
      </c>
      <c r="EI50" s="2">
        <v>0</v>
      </c>
      <c r="EJ50" s="1"/>
      <c r="EK50" t="str">
        <f>IF(AND(AND(AND(OR($DX50=1,$DW50=1),OR($EC50=1,$EA50=1)),SUM($DV50:$DZ50,$EF50)&gt;=4),SUM($EA50:$EE50)&gt;=2),"Whole sector","")</f>
        <v/>
      </c>
      <c r="EL50" t="str">
        <f>IF(AND(AND(OR($DX50=1,$DW50=1),AND($EC50=0,$EA50=0)),SUM($DV50:$DZ50,$EF50)&gt;=4),"Ecosystem approach","")</f>
        <v>Ecosystem approach</v>
      </c>
      <c r="EM50" s="2" t="str">
        <f>IF(AND(AND(AND($DX50=0,$DW50=0),OR($EC50=1,$EA50=1)),SUM($EB50:$EE50)&gt;=2),"Technology approach","")</f>
        <v/>
      </c>
      <c r="EN50" t="s">
        <v>2487</v>
      </c>
      <c r="EO50"/>
      <c r="EP50" t="str">
        <f>IF(ISNUMBER(BU50),IF(ABS(BU50-[2]QC_indicators!$B$2)&gt;3*[2]QC_indicators!$C$2,"C ratio",IF(ISNUMBER(BY50),IF(ABS(BY50-[2]QC_indicators!$B$1)&gt;3*[2]QC_indicators!$C$1,"DF","no"))),IF(ISNUMBER(BY50),IF(ABS(BY50-[2]QC_indicators!$B$1)&gt;3*[2]QC_indicators!$C$1,"DF","no")))</f>
        <v>no</v>
      </c>
      <c r="EQ50"/>
      <c r="ER50"/>
      <c r="ES50"/>
      <c r="ET50" s="266" t="s">
        <v>3256</v>
      </c>
      <c r="EU50"/>
    </row>
    <row r="51" spans="1:151" s="139" customFormat="1" ht="15" customHeight="1">
      <c r="A51" s="1" t="s">
        <v>1810</v>
      </c>
      <c r="B51" t="s">
        <v>2477</v>
      </c>
      <c r="C51" t="s">
        <v>2478</v>
      </c>
      <c r="D51" t="s">
        <v>2479</v>
      </c>
      <c r="E51" t="s">
        <v>2480</v>
      </c>
      <c r="F51" t="s">
        <v>2481</v>
      </c>
      <c r="G51" t="s">
        <v>1816</v>
      </c>
      <c r="H51" t="s">
        <v>255</v>
      </c>
      <c r="I51">
        <v>2010</v>
      </c>
      <c r="J51">
        <v>100</v>
      </c>
      <c r="K51" t="s">
        <v>2482</v>
      </c>
      <c r="L51"/>
      <c r="M51" t="str">
        <f>LEFT($D51,FIND(",",$D51)-1)&amp;"_"&amp;I51&amp;L51</f>
        <v>Werner_2010</v>
      </c>
      <c r="N51" t="s">
        <v>223</v>
      </c>
      <c r="O51" s="145" t="s">
        <v>1156</v>
      </c>
      <c r="P51"/>
      <c r="Q51" t="s">
        <v>257</v>
      </c>
      <c r="R51" s="264" t="s">
        <v>224</v>
      </c>
      <c r="S51" s="265" t="s">
        <v>3257</v>
      </c>
      <c r="T51" t="s">
        <v>2484</v>
      </c>
      <c r="U51" t="s">
        <v>2489</v>
      </c>
      <c r="V51">
        <v>2</v>
      </c>
      <c r="W51">
        <v>0</v>
      </c>
      <c r="X51">
        <v>1</v>
      </c>
      <c r="Y51">
        <v>2</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s="141">
        <f>COUNTIF(V51:AW51,"&lt;&gt;0")</f>
        <v>3</v>
      </c>
      <c r="AY51" s="141">
        <f>COUNTIF(V51:AL51,"&lt;&gt;0")</f>
        <v>3</v>
      </c>
      <c r="AZ51">
        <f>COUNTIF(V51:AC51,"&lt;&gt;0")</f>
        <v>3</v>
      </c>
      <c r="BA51">
        <f>COUNTIF(AD51:AI51,"&lt;&gt;0")</f>
        <v>0</v>
      </c>
      <c r="BB51">
        <f>COUNTIF(AJ51:AL51,"&lt;&gt;0")</f>
        <v>0</v>
      </c>
      <c r="BC51">
        <f>COUNTIF(AS51:AW51,"&lt;&gt;0")</f>
        <v>0</v>
      </c>
      <c r="BD51">
        <f>COUNTIF(AM51:AR51,"&lt;&gt;0")</f>
        <v>0</v>
      </c>
      <c r="BE51" t="str">
        <f t="array" ref="BE51">IF(AY51=1,INDEX($V$7:$AL$7,MATCH(TRUE,INDEX($V51:$AW51&lt;&gt;0,),0)),IF(AY51=0,INDEX($AM$7:$AW$7,MATCH(1,$AM51:$AW51,0)),IF(BF51="Multiple strategies","mixed drivers",IF(BF51="Supply chain","multiple supply","multiple silviculture"))))</f>
        <v>multiple silviculture</v>
      </c>
      <c r="BF51" s="2" t="str" cm="1">
        <f t="array" ref="BF51">IF(COUNTIF(AZ51:BB51,"&lt;&gt;0")=1,INDEX($V$4:$AW$4,MATCH(TRUE,INDEX($V51:$AW51&lt;&gt;0,),0)),IF(COUNTIF(AZ51:BB51,"&lt;&gt;0")=0,INDEX($AM$4:$AW$4,MATCH(1,$AM51:$AW51,0)),"Multiple strategies"))</f>
        <v>SilvicultureRemov</v>
      </c>
      <c r="BG51" s="1" t="s">
        <v>322</v>
      </c>
      <c r="BH51" t="s">
        <v>2455</v>
      </c>
      <c r="BI51" s="266" t="s">
        <v>3254</v>
      </c>
      <c r="BJ51" t="s">
        <v>1325</v>
      </c>
      <c r="BK51">
        <v>300</v>
      </c>
      <c r="BL51">
        <v>765</v>
      </c>
      <c r="BM51" s="143">
        <f>BL51/BK51</f>
        <v>2.5499999999999998</v>
      </c>
      <c r="BN51">
        <f>BL51-BK51</f>
        <v>465</v>
      </c>
      <c r="BO51">
        <f>BN51*10^6</f>
        <v>465000000</v>
      </c>
      <c r="BP51" t="s">
        <v>233</v>
      </c>
      <c r="BQ51" s="153" t="s">
        <v>3255</v>
      </c>
      <c r="BR51" t="s">
        <v>2327</v>
      </c>
      <c r="BS51">
        <v>345.6503741652154</v>
      </c>
      <c r="BT51">
        <v>154.92997037322621</v>
      </c>
      <c r="BU51" s="144">
        <f>IFERROR(BT51/BS51,"")</f>
        <v>0.44822740535837563</v>
      </c>
      <c r="BV51" s="144">
        <f>BT51-BS51</f>
        <v>-190.72040379198918</v>
      </c>
      <c r="BW51" s="144"/>
      <c r="BX51">
        <f>BV51*10^6</f>
        <v>-190720403.79198918</v>
      </c>
      <c r="BY51">
        <f>IFERROR(BX51/BO51,"")</f>
        <v>-0.4101514060042778</v>
      </c>
      <c r="BZ51">
        <v>0</v>
      </c>
      <c r="CA51">
        <v>0</v>
      </c>
      <c r="CB51">
        <v>0</v>
      </c>
      <c r="CC51">
        <v>0</v>
      </c>
      <c r="CD51">
        <v>0</v>
      </c>
      <c r="CE51">
        <v>0</v>
      </c>
      <c r="CF51">
        <v>0</v>
      </c>
      <c r="CG51">
        <v>0</v>
      </c>
      <c r="CH51">
        <v>0</v>
      </c>
      <c r="CI51">
        <v>0</v>
      </c>
      <c r="CJ51">
        <v>0</v>
      </c>
      <c r="CK51">
        <v>0</v>
      </c>
      <c r="CL51">
        <v>0</v>
      </c>
      <c r="CM51">
        <v>1</v>
      </c>
      <c r="CN51" t="str">
        <f>IF($BL51&lt;$BK51,"refNeedCorrection","refOK")</f>
        <v>refOK</v>
      </c>
      <c r="CO51">
        <f>IF($CN51="refNeedCorrection",BL51,BK51)</f>
        <v>300</v>
      </c>
      <c r="CP51">
        <f>IF($CN51="refNeedCorrection",BK51,BL51)</f>
        <v>765</v>
      </c>
      <c r="CQ51">
        <f>IF($CN51="refOK",$BO51,-$BO51)</f>
        <v>465000000</v>
      </c>
      <c r="CR51">
        <f>IF($CN51="refOK",$BS51,$BT51)*IF($BP51="Emissions positive",-1,1)</f>
        <v>345.6503741652154</v>
      </c>
      <c r="CS51">
        <f>IF($CN51="refOK",$BT51,$BS51)*IF($BP51="Emissions positive",-1,1)</f>
        <v>154.92997037322621</v>
      </c>
      <c r="CT51">
        <f>IF($CN51="refNeedCorrection",-BX51,BX51)*IF($BP51="Emissions positive",-1,1)</f>
        <v>-190720403.79198918</v>
      </c>
      <c r="CU51">
        <f>IFERROR(CT51/CQ51,"")</f>
        <v>-0.4101514060042778</v>
      </c>
      <c r="CV51" s="2">
        <f>IFERROR((CS51-CR51)/ABS(CR51),"")</f>
        <v>-0.55177259464162431</v>
      </c>
      <c r="CW51" s="1" t="s">
        <v>1205</v>
      </c>
      <c r="CX51" t="str">
        <f>IF(OR($CW51="prd",$CW51="std",$CW51="cit"),"loc",IF(OR($CW51="eur",$CW51="reg",$CW51="coy"),"reg",$CW51))</f>
        <v>reg</v>
      </c>
      <c r="CY51" t="s">
        <v>641</v>
      </c>
      <c r="CZ51">
        <v>2000</v>
      </c>
      <c r="DA51">
        <v>2090</v>
      </c>
      <c r="DB51">
        <f>DA51-CZ51</f>
        <v>90</v>
      </c>
      <c r="DC51" t="str">
        <f>IF(DB51=0,"0",IF(AND(DB51&gt;=1,DB51&lt;=30),"1-30",IF(AND(DB51&gt;30,DB51&lt;=70),"31-70",IF(AND(DB51&gt;70,DB51&lt;=100),"71-100",IF(DB51&gt;100,"+100")))))</f>
        <v>71-100</v>
      </c>
      <c r="DD51">
        <v>0</v>
      </c>
      <c r="DE51">
        <v>0</v>
      </c>
      <c r="DF51">
        <v>0</v>
      </c>
      <c r="DG51">
        <v>1</v>
      </c>
      <c r="DH51">
        <v>0</v>
      </c>
      <c r="DI51">
        <f>SUM(DD51:DG51)</f>
        <v>1</v>
      </c>
      <c r="DJ51" t="str">
        <f>IF(DI51=1,INDEX($DD$7:$DG$7,MATCH(1,$DD51:$DG51,0)),"mixedProduct")</f>
        <v>TimberInput</v>
      </c>
      <c r="DK51">
        <f>IF(DD51=1,DK$7,0)</f>
        <v>0</v>
      </c>
      <c r="DL51">
        <f>IF(DE51=1,DL$7,0)</f>
        <v>0</v>
      </c>
      <c r="DM51">
        <f>IF(DF51=1,DM$7,0)</f>
        <v>0</v>
      </c>
      <c r="DN51" t="str">
        <f>IF(DG51=1,DN$7,0)</f>
        <v>Timber</v>
      </c>
      <c r="DO51">
        <v>0</v>
      </c>
      <c r="DP51">
        <v>0</v>
      </c>
      <c r="DQ51"/>
      <c r="DR51"/>
      <c r="DS51"/>
      <c r="DT51">
        <f>SUM(DO51:DP51)</f>
        <v>0</v>
      </c>
      <c r="DU51" s="143" t="str">
        <f>IF(DO51=1,"self-calculated DF",IF(DP51=1,"external DF used","explicit C balance"))</f>
        <v>explicit C balance</v>
      </c>
      <c r="DV51">
        <v>1</v>
      </c>
      <c r="DW51">
        <v>1</v>
      </c>
      <c r="DX51">
        <v>1</v>
      </c>
      <c r="DY51">
        <v>1</v>
      </c>
      <c r="DZ51">
        <v>0</v>
      </c>
      <c r="EA51" s="143">
        <v>0</v>
      </c>
      <c r="EB51">
        <v>0</v>
      </c>
      <c r="EC51">
        <v>0</v>
      </c>
      <c r="ED51">
        <v>0</v>
      </c>
      <c r="EE51">
        <v>0</v>
      </c>
      <c r="EF51">
        <v>1</v>
      </c>
      <c r="EG51">
        <v>0</v>
      </c>
      <c r="EH51">
        <v>0</v>
      </c>
      <c r="EI51" s="2">
        <v>0</v>
      </c>
      <c r="EJ51" s="1"/>
      <c r="EK51" t="str">
        <f>IF(AND(AND(AND(OR($DX51=1,$DW51=1),OR($EC51=1,$EA51=1)),SUM($DV51:$DZ51,$EF51)&gt;=4),SUM($EA51:$EE51)&gt;=2),"Whole sector","")</f>
        <v/>
      </c>
      <c r="EL51" t="str">
        <f>IF(AND(AND(OR($DX51=1,$DW51=1),AND($EC51=0,$EA51=0)),SUM($DV51:$DZ51,$EF51)&gt;=4),"Ecosystem approach","")</f>
        <v>Ecosystem approach</v>
      </c>
      <c r="EM51" s="2" t="str">
        <f>IF(AND(AND(AND($DX51=0,$DW51=0),OR($EC51=1,$EA51=1)),SUM($EB51:$EE51)&gt;=2),"Technology approach","")</f>
        <v/>
      </c>
      <c r="EN51" t="s">
        <v>2487</v>
      </c>
      <c r="EO51"/>
      <c r="EP51" t="str">
        <f>IF(ISNUMBER(BU51),IF(ABS(BU51-[2]QC_indicators!$B$2)&gt;3*[2]QC_indicators!$C$2,"C ratio",IF(ISNUMBER(BY51),IF(ABS(BY51-[2]QC_indicators!$B$1)&gt;3*[2]QC_indicators!$C$1,"DF","no"))),IF(ISNUMBER(BY51),IF(ABS(BY51-[2]QC_indicators!$B$1)&gt;3*[2]QC_indicators!$C$1,"DF","no")))</f>
        <v>no</v>
      </c>
      <c r="EQ51"/>
      <c r="ER51"/>
      <c r="ES51"/>
      <c r="ET51" s="266" t="s">
        <v>3256</v>
      </c>
      <c r="EU51"/>
    </row>
    <row r="52" spans="1:151" s="139" customFormat="1" ht="15" hidden="1" customHeight="1">
      <c r="A52" s="1" t="s">
        <v>1762</v>
      </c>
      <c r="B52" t="s">
        <v>1763</v>
      </c>
      <c r="C52" t="s">
        <v>1764</v>
      </c>
      <c r="D52" t="s">
        <v>1765</v>
      </c>
      <c r="E52" t="s">
        <v>1766</v>
      </c>
      <c r="F52" t="s">
        <v>1767</v>
      </c>
      <c r="G52" t="s">
        <v>1768</v>
      </c>
      <c r="H52" t="s">
        <v>255</v>
      </c>
      <c r="I52">
        <v>2021</v>
      </c>
      <c r="J52">
        <v>6</v>
      </c>
      <c r="K52" t="s">
        <v>1769</v>
      </c>
      <c r="L52"/>
      <c r="M52" t="str">
        <f>LEFT($D52,FIND(",",$D52)-1)&amp;"_"&amp;I52&amp;L52</f>
        <v>Jonsson_2021</v>
      </c>
      <c r="N52" t="s">
        <v>223</v>
      </c>
      <c r="O52" s="145" t="s">
        <v>514</v>
      </c>
      <c r="P52"/>
      <c r="Q52" t="s">
        <v>257</v>
      </c>
      <c r="R52" s="2" t="s">
        <v>275</v>
      </c>
      <c r="S52" s="1" t="s">
        <v>1775</v>
      </c>
      <c r="T52" t="s">
        <v>1113</v>
      </c>
      <c r="U52" t="s">
        <v>1771</v>
      </c>
      <c r="V52">
        <v>0</v>
      </c>
      <c r="W52">
        <v>1</v>
      </c>
      <c r="X52">
        <v>0</v>
      </c>
      <c r="Y52">
        <v>0</v>
      </c>
      <c r="Z52">
        <v>0</v>
      </c>
      <c r="AA52">
        <v>0</v>
      </c>
      <c r="AB52">
        <v>0</v>
      </c>
      <c r="AC52">
        <v>0</v>
      </c>
      <c r="AD52">
        <v>0</v>
      </c>
      <c r="AE52">
        <v>0</v>
      </c>
      <c r="AF52">
        <v>2</v>
      </c>
      <c r="AG52">
        <v>0</v>
      </c>
      <c r="AH52">
        <v>0</v>
      </c>
      <c r="AI52">
        <v>0</v>
      </c>
      <c r="AJ52">
        <v>0</v>
      </c>
      <c r="AK52">
        <v>0</v>
      </c>
      <c r="AL52">
        <v>0</v>
      </c>
      <c r="AM52">
        <v>0</v>
      </c>
      <c r="AN52">
        <v>0</v>
      </c>
      <c r="AO52">
        <v>0</v>
      </c>
      <c r="AP52">
        <v>0</v>
      </c>
      <c r="AQ52">
        <v>0</v>
      </c>
      <c r="AR52">
        <v>0</v>
      </c>
      <c r="AS52">
        <v>0</v>
      </c>
      <c r="AT52">
        <v>0</v>
      </c>
      <c r="AU52">
        <v>0</v>
      </c>
      <c r="AV52">
        <v>0</v>
      </c>
      <c r="AW52">
        <v>0</v>
      </c>
      <c r="AX52" s="141">
        <f>COUNTIF(V52:AW52,"&lt;&gt;0")</f>
        <v>2</v>
      </c>
      <c r="AY52" s="141">
        <f>COUNTIF(V52:AL52,"&lt;&gt;0")</f>
        <v>2</v>
      </c>
      <c r="AZ52">
        <f>COUNTIF(V52:AC52,"&lt;&gt;0")</f>
        <v>1</v>
      </c>
      <c r="BA52">
        <f>COUNTIF(AD52:AI52,"&lt;&gt;0")</f>
        <v>1</v>
      </c>
      <c r="BB52">
        <f>COUNTIF(AJ52:AL52,"&lt;&gt;0")</f>
        <v>0</v>
      </c>
      <c r="BC52">
        <f>COUNTIF(AS52:AW52,"&lt;&gt;0")</f>
        <v>0</v>
      </c>
      <c r="BD52">
        <f>COUNTIF(AM52:AR52,"&lt;&gt;0")</f>
        <v>0</v>
      </c>
      <c r="BE52" t="str">
        <f t="array" ref="BE52">IF(AY52=1,INDEX($V$7:$AL$7,MATCH(TRUE,INDEX($V52:$AW52&lt;&gt;0,),0)),IF(AY52=0,INDEX($AM$7:$AW$7,MATCH(1,$AM52:$AW52,0)),IF(BF52="Multiple strategies","mixed drivers",IF(BF52="Supply chain","multiple supply","multiple silviculture"))))</f>
        <v>mixed drivers</v>
      </c>
      <c r="BF52" s="2" t="str">
        <f t="array" ref="BF52">IF(COUNTIF(AZ52:BB52,"&lt;&gt;0")=1,INDEX($V$4:$AW$4,MATCH(TRUE,INDEX($V52:$AW52&lt;&gt;0,),0)),IF(COUNTIF(AZ52:BB52,"&lt;&gt;0")=0,INDEX($AM$4:$AW$4,MATCH(1,$AM52:$AW52,0)),"Multiple strategies"))</f>
        <v>Multiple strategies</v>
      </c>
      <c r="BG52" s="1" t="s">
        <v>230</v>
      </c>
      <c r="BH52" t="s">
        <v>230</v>
      </c>
      <c r="BI52" s="266" t="s">
        <v>2130</v>
      </c>
      <c r="BJ52" t="s">
        <v>1772</v>
      </c>
      <c r="BK52">
        <v>284950</v>
      </c>
      <c r="BL52">
        <v>322592</v>
      </c>
      <c r="BM52" t="e">
        <f>#REF!</f>
        <v>#REF!</v>
      </c>
      <c r="BN52">
        <f>BL52-BK52</f>
        <v>37642</v>
      </c>
      <c r="BO52">
        <f>BN52*1000</f>
        <v>37642000</v>
      </c>
      <c r="BP52" t="s">
        <v>233</v>
      </c>
      <c r="BQ52" s="266" t="s">
        <v>2130</v>
      </c>
      <c r="BR52" t="s">
        <v>1302</v>
      </c>
      <c r="BS52">
        <v>72</v>
      </c>
      <c r="BT52">
        <v>100</v>
      </c>
      <c r="BU52" s="144">
        <f>IFERROR(BT52/BS52,"")</f>
        <v>1.3888888888888888</v>
      </c>
      <c r="BV52">
        <f>BT52-BS52</f>
        <v>28</v>
      </c>
      <c r="BW52"/>
      <c r="BX52">
        <f>BV52*10^6</f>
        <v>28000000</v>
      </c>
      <c r="BY52">
        <f>IFERROR(BX52/BO52,"")</f>
        <v>0.74384995483768135</v>
      </c>
      <c r="BZ52">
        <v>0</v>
      </c>
      <c r="CA52">
        <v>0</v>
      </c>
      <c r="CB52">
        <v>0</v>
      </c>
      <c r="CC52">
        <v>0</v>
      </c>
      <c r="CD52">
        <v>0</v>
      </c>
      <c r="CE52">
        <v>0</v>
      </c>
      <c r="CF52">
        <v>0</v>
      </c>
      <c r="CG52">
        <v>0</v>
      </c>
      <c r="CH52">
        <v>0</v>
      </c>
      <c r="CI52">
        <v>0</v>
      </c>
      <c r="CJ52">
        <v>0</v>
      </c>
      <c r="CK52">
        <v>0</v>
      </c>
      <c r="CL52">
        <v>0</v>
      </c>
      <c r="CM52">
        <v>1</v>
      </c>
      <c r="CN52" t="str">
        <f>IF($BL52&lt;$BK52,"refNeedCorrection","refOK")</f>
        <v>refOK</v>
      </c>
      <c r="CO52">
        <f>IF($CN52="refNeedCorrection",BL52,BK52)</f>
        <v>284950</v>
      </c>
      <c r="CP52">
        <f>IF($CN52="refNeedCorrection",BK52,BL52)</f>
        <v>322592</v>
      </c>
      <c r="CQ52">
        <f>IF($CN52="refOK",$BO52,-$BO52)</f>
        <v>37642000</v>
      </c>
      <c r="CR52">
        <f>IF($CN52="refOK",$BS52,$BT52)*IF($BP52="Emissions positive",-1,1)</f>
        <v>72</v>
      </c>
      <c r="CS52">
        <f>IF($CN52="refOK",$BT52,$BS52)*IF($BP52="Emissions positive",-1,1)</f>
        <v>100</v>
      </c>
      <c r="CT52">
        <f>IF($CN52="refNeedCorrection",-BX52,BX52)*IF($BP52="Emissions positive",-1,1)</f>
        <v>28000000</v>
      </c>
      <c r="CU52">
        <f>IFERROR(CT52/CQ52,"")</f>
        <v>0.74384995483768135</v>
      </c>
      <c r="CV52" s="2">
        <f>IFERROR((CS52-CR52)/ABS(CR52),"")</f>
        <v>0.3888888888888889</v>
      </c>
      <c r="CW52" s="1" t="s">
        <v>1233</v>
      </c>
      <c r="CX52" t="str">
        <f>IF(OR($CW52="prd",$CW52="std",$CW52="cit"),"loc",IF(OR($CW52="eur",$CW52="reg",$CW52="coy"),"reg",$CW52))</f>
        <v>reg</v>
      </c>
      <c r="CY52" t="s">
        <v>745</v>
      </c>
      <c r="CZ52">
        <v>2000</v>
      </c>
      <c r="DA52">
        <v>2030</v>
      </c>
      <c r="DB52">
        <v>30</v>
      </c>
      <c r="DC52" t="str">
        <f>IF(DB52=0,"0",IF(AND(DB52&gt;=1,DB52&lt;=30),"1-30",IF(AND(DB52&gt;30,DB52&lt;=70),"31-70",IF(AND(DB52&gt;70,DB52&lt;=100),"71-100",IF(DB52&gt;100,"+100")))))</f>
        <v>1-30</v>
      </c>
      <c r="DD52">
        <v>0</v>
      </c>
      <c r="DE52">
        <v>0</v>
      </c>
      <c r="DF52">
        <v>0</v>
      </c>
      <c r="DG52">
        <v>1</v>
      </c>
      <c r="DH52">
        <v>1</v>
      </c>
      <c r="DI52">
        <f>SUM(DD52:DG52)</f>
        <v>1</v>
      </c>
      <c r="DJ52" t="str">
        <f>IF(DI52=1,INDEX($DD$7:$DG$7,MATCH(1,$DD52:$DG52,0)),"mixedProduct")</f>
        <v>TimberInput</v>
      </c>
      <c r="DK52">
        <f>IF(DD52=1,DK$7,0)</f>
        <v>0</v>
      </c>
      <c r="DL52">
        <f>IF(DE52=1,DL$7,0)</f>
        <v>0</v>
      </c>
      <c r="DM52">
        <f>IF(DF52=1,DM$7,0)</f>
        <v>0</v>
      </c>
      <c r="DN52" t="str">
        <f>IF(DG52=1,DN$7,0)</f>
        <v>Timber</v>
      </c>
      <c r="DO52">
        <v>0</v>
      </c>
      <c r="DP52">
        <v>1</v>
      </c>
      <c r="DQ52" t="s">
        <v>1773</v>
      </c>
      <c r="DR52" t="s">
        <v>1773</v>
      </c>
      <c r="DS52">
        <v>0</v>
      </c>
      <c r="DT52">
        <f>SUM(DO52:DP52)</f>
        <v>1</v>
      </c>
      <c r="DU52" s="143" t="str">
        <f>IF(DO52=1,"self-calculated DF",IF(DP52=1,"external DF used","explicit C balance"))</f>
        <v>external DF used</v>
      </c>
      <c r="DV52">
        <v>0</v>
      </c>
      <c r="DW52">
        <v>0</v>
      </c>
      <c r="DX52">
        <v>0</v>
      </c>
      <c r="DY52">
        <v>1</v>
      </c>
      <c r="DZ52">
        <v>0</v>
      </c>
      <c r="EA52" s="143">
        <v>0</v>
      </c>
      <c r="EB52">
        <v>0</v>
      </c>
      <c r="EC52">
        <v>0</v>
      </c>
      <c r="ED52">
        <v>0</v>
      </c>
      <c r="EE52">
        <v>0</v>
      </c>
      <c r="EF52">
        <v>1</v>
      </c>
      <c r="EG52">
        <v>0</v>
      </c>
      <c r="EH52">
        <v>0</v>
      </c>
      <c r="EI52" s="2">
        <v>0</v>
      </c>
      <c r="EJ52" s="1" t="s">
        <v>1774</v>
      </c>
      <c r="EK52" t="str">
        <f>IF(AND(AND(AND(OR($DX52=1,$DW52=1),OR($EC52=1,$EA52=1)),SUM($DV52:$DZ52,$EF52)&gt;=4),SUM($EA52:$EE52)&gt;=2),"Whole sector","")</f>
        <v/>
      </c>
      <c r="EL52" t="str">
        <f>IF(AND(AND(OR($DX52=1,$DW52=1),AND($EC52=0,$EA52=0)),SUM($DV52:$DZ52,$EF52)&gt;=4),"Ecosystem approach","")</f>
        <v/>
      </c>
      <c r="EM52" s="2" t="str">
        <f>IF(AND(AND(AND($DX52=0,$DW52=0),OR($EC52=1,$EA52=1)),SUM($EB52:$EE52)&gt;=2),"Technology approach","")</f>
        <v/>
      </c>
      <c r="EN52"/>
      <c r="EO52"/>
      <c r="EP52" t="str">
        <f>IF(ISNUMBER(BU52),IF(ABS(BU52-[3]QC_indicators!$B$2)&gt;3*[3]QC_indicators!$C$2,"C ratio",IF(ISNUMBER(BY52),IF(ABS(BY52-[3]QC_indicators!$B$1)&gt;3*[3]QC_indicators!$C$1,"DF","no"))),IF(ISNUMBER(BY52),IF(ABS(BY52-[3]QC_indicators!$B$1)&gt;3*[3]QC_indicators!$C$1,"DF","no")))</f>
        <v>no</v>
      </c>
      <c r="EQ52"/>
      <c r="ER52"/>
      <c r="ES52"/>
      <c r="ET52" s="266" t="s">
        <v>3272</v>
      </c>
      <c r="EU52"/>
    </row>
    <row r="53" spans="1:151" s="139" customFormat="1" ht="15" hidden="1" customHeight="1">
      <c r="A53" s="1" t="s">
        <v>1762</v>
      </c>
      <c r="B53" t="s">
        <v>1763</v>
      </c>
      <c r="C53" t="s">
        <v>1764</v>
      </c>
      <c r="D53" t="s">
        <v>1765</v>
      </c>
      <c r="E53" t="s">
        <v>1766</v>
      </c>
      <c r="F53" t="s">
        <v>1767</v>
      </c>
      <c r="G53" t="s">
        <v>1768</v>
      </c>
      <c r="H53" t="s">
        <v>255</v>
      </c>
      <c r="I53">
        <v>2021</v>
      </c>
      <c r="J53">
        <v>6</v>
      </c>
      <c r="K53" t="s">
        <v>1769</v>
      </c>
      <c r="L53"/>
      <c r="M53" t="str">
        <f>LEFT($D53,FIND(",",$D53)-1)&amp;"_"&amp;I53&amp;L53</f>
        <v>Jonsson_2021</v>
      </c>
      <c r="N53" t="s">
        <v>223</v>
      </c>
      <c r="O53" s="145" t="s">
        <v>514</v>
      </c>
      <c r="P53"/>
      <c r="Q53" t="s">
        <v>257</v>
      </c>
      <c r="R53" s="2" t="s">
        <v>275</v>
      </c>
      <c r="S53" s="1" t="s">
        <v>1778</v>
      </c>
      <c r="T53" t="s">
        <v>1113</v>
      </c>
      <c r="U53" t="s">
        <v>1777</v>
      </c>
      <c r="V53">
        <v>0</v>
      </c>
      <c r="W53">
        <v>1</v>
      </c>
      <c r="X53">
        <v>0</v>
      </c>
      <c r="Y53">
        <v>0</v>
      </c>
      <c r="Z53">
        <v>0</v>
      </c>
      <c r="AA53">
        <v>0</v>
      </c>
      <c r="AB53">
        <v>0</v>
      </c>
      <c r="AC53">
        <v>0</v>
      </c>
      <c r="AD53">
        <v>0</v>
      </c>
      <c r="AE53">
        <v>0</v>
      </c>
      <c r="AF53">
        <v>2</v>
      </c>
      <c r="AG53">
        <v>0</v>
      </c>
      <c r="AH53">
        <v>0</v>
      </c>
      <c r="AI53">
        <v>0</v>
      </c>
      <c r="AJ53">
        <v>0</v>
      </c>
      <c r="AK53">
        <v>0</v>
      </c>
      <c r="AL53">
        <v>0</v>
      </c>
      <c r="AM53">
        <v>0</v>
      </c>
      <c r="AN53">
        <v>0</v>
      </c>
      <c r="AO53">
        <v>0</v>
      </c>
      <c r="AP53">
        <v>0</v>
      </c>
      <c r="AQ53">
        <v>0</v>
      </c>
      <c r="AR53">
        <v>0</v>
      </c>
      <c r="AS53">
        <v>0</v>
      </c>
      <c r="AT53">
        <v>0</v>
      </c>
      <c r="AU53">
        <v>0</v>
      </c>
      <c r="AV53">
        <v>0</v>
      </c>
      <c r="AW53">
        <v>0</v>
      </c>
      <c r="AX53" s="141">
        <f>COUNTIF(V53:AW53,"&lt;&gt;0")</f>
        <v>2</v>
      </c>
      <c r="AY53" s="141">
        <f>COUNTIF(V53:AL53,"&lt;&gt;0")</f>
        <v>2</v>
      </c>
      <c r="AZ53">
        <f>COUNTIF(V53:AC53,"&lt;&gt;0")</f>
        <v>1</v>
      </c>
      <c r="BA53">
        <f>COUNTIF(AD53:AI53,"&lt;&gt;0")</f>
        <v>1</v>
      </c>
      <c r="BB53">
        <f>COUNTIF(AJ53:AL53,"&lt;&gt;0")</f>
        <v>0</v>
      </c>
      <c r="BC53">
        <f>COUNTIF(AS53:AW53,"&lt;&gt;0")</f>
        <v>0</v>
      </c>
      <c r="BD53">
        <f>COUNTIF(AM53:AR53,"&lt;&gt;0")</f>
        <v>0</v>
      </c>
      <c r="BE53" t="str">
        <f t="array" ref="BE53">IF(AY53=1,INDEX($V$7:$AL$7,MATCH(TRUE,INDEX($V53:$AW53&lt;&gt;0,),0)),IF(AY53=0,INDEX($AM$7:$AW$7,MATCH(1,$AM53:$AW53,0)),IF(BF53="Multiple strategies","mixed drivers",IF(BF53="Supply chain","multiple supply","multiple silviculture"))))</f>
        <v>mixed drivers</v>
      </c>
      <c r="BF53" s="2" t="str">
        <f t="array" ref="BF53">IF(COUNTIF(AZ53:BB53,"&lt;&gt;0")=1,INDEX($V$4:$AW$4,MATCH(TRUE,INDEX($V53:$AW53&lt;&gt;0,),0)),IF(COUNTIF(AZ53:BB53,"&lt;&gt;0")=0,INDEX($AM$4:$AW$4,MATCH(1,$AM53:$AW53,0)),"Multiple strategies"))</f>
        <v>Multiple strategies</v>
      </c>
      <c r="BG53" s="1" t="s">
        <v>230</v>
      </c>
      <c r="BH53" t="s">
        <v>230</v>
      </c>
      <c r="BI53" s="266" t="s">
        <v>2130</v>
      </c>
      <c r="BJ53" t="s">
        <v>1772</v>
      </c>
      <c r="BK53">
        <v>284950</v>
      </c>
      <c r="BL53">
        <v>333260</v>
      </c>
      <c r="BM53" t="e">
        <f>#REF!</f>
        <v>#REF!</v>
      </c>
      <c r="BN53">
        <f>BL53-BK53</f>
        <v>48310</v>
      </c>
      <c r="BO53">
        <f>BN53*1000</f>
        <v>48310000</v>
      </c>
      <c r="BP53" t="s">
        <v>233</v>
      </c>
      <c r="BQ53" s="266" t="s">
        <v>2130</v>
      </c>
      <c r="BR53" t="s">
        <v>1302</v>
      </c>
      <c r="BS53">
        <v>72</v>
      </c>
      <c r="BT53">
        <v>107</v>
      </c>
      <c r="BU53" s="144">
        <f>IFERROR(BT53/BS53,"")</f>
        <v>1.4861111111111112</v>
      </c>
      <c r="BV53">
        <f>BT53-BS53</f>
        <v>35</v>
      </c>
      <c r="BW53"/>
      <c r="BX53">
        <f>BV53*10^6</f>
        <v>35000000</v>
      </c>
      <c r="BY53">
        <f>IFERROR(BX53/BO53,"")</f>
        <v>0.724487683709377</v>
      </c>
      <c r="BZ53">
        <v>0</v>
      </c>
      <c r="CA53">
        <v>0</v>
      </c>
      <c r="CB53">
        <v>0</v>
      </c>
      <c r="CC53">
        <v>0</v>
      </c>
      <c r="CD53">
        <v>0</v>
      </c>
      <c r="CE53">
        <v>0</v>
      </c>
      <c r="CF53">
        <v>0</v>
      </c>
      <c r="CG53">
        <v>0</v>
      </c>
      <c r="CH53">
        <v>0</v>
      </c>
      <c r="CI53">
        <v>0</v>
      </c>
      <c r="CJ53">
        <v>0</v>
      </c>
      <c r="CK53">
        <v>0</v>
      </c>
      <c r="CL53">
        <v>0</v>
      </c>
      <c r="CM53">
        <v>1</v>
      </c>
      <c r="CN53" t="str">
        <f>IF($BL53&lt;$BK53,"refNeedCorrection","refOK")</f>
        <v>refOK</v>
      </c>
      <c r="CO53">
        <f>IF($CN53="refNeedCorrection",BL53,BK53)</f>
        <v>284950</v>
      </c>
      <c r="CP53">
        <f>IF($CN53="refNeedCorrection",BK53,BL53)</f>
        <v>333260</v>
      </c>
      <c r="CQ53">
        <f>IF($CN53="refOK",$BO53,-$BO53)</f>
        <v>48310000</v>
      </c>
      <c r="CR53">
        <f>IF($CN53="refOK",$BS53,$BT53)*IF($BP53="Emissions positive",-1,1)</f>
        <v>72</v>
      </c>
      <c r="CS53">
        <f>IF($CN53="refOK",$BT53,$BS53)*IF($BP53="Emissions positive",-1,1)</f>
        <v>107</v>
      </c>
      <c r="CT53">
        <f>IF($CN53="refNeedCorrection",-BX53,BX53)*IF($BP53="Emissions positive",-1,1)</f>
        <v>35000000</v>
      </c>
      <c r="CU53">
        <f>IFERROR(CT53/CQ53,"")</f>
        <v>0.724487683709377</v>
      </c>
      <c r="CV53" s="2">
        <f>IFERROR((CS53-CR53)/ABS(CR53),"")</f>
        <v>0.4861111111111111</v>
      </c>
      <c r="CW53" s="1" t="s">
        <v>1233</v>
      </c>
      <c r="CX53" t="str">
        <f>IF(OR($CW53="prd",$CW53="std",$CW53="cit"),"loc",IF(OR($CW53="eur",$CW53="reg",$CW53="coy"),"reg",$CW53))</f>
        <v>reg</v>
      </c>
      <c r="CY53" t="s">
        <v>745</v>
      </c>
      <c r="CZ53">
        <v>2000</v>
      </c>
      <c r="DA53">
        <v>2030</v>
      </c>
      <c r="DB53">
        <v>30</v>
      </c>
      <c r="DC53" t="str">
        <f>IF(DB53=0,"0",IF(AND(DB53&gt;=1,DB53&lt;=30),"1-30",IF(AND(DB53&gt;30,DB53&lt;=70),"31-70",IF(AND(DB53&gt;70,DB53&lt;=100),"71-100",IF(DB53&gt;100,"+100")))))</f>
        <v>1-30</v>
      </c>
      <c r="DD53">
        <v>0</v>
      </c>
      <c r="DE53">
        <v>1</v>
      </c>
      <c r="DF53">
        <v>0</v>
      </c>
      <c r="DG53">
        <v>1</v>
      </c>
      <c r="DH53">
        <v>1</v>
      </c>
      <c r="DI53">
        <f>SUM(DD53:DG53)</f>
        <v>2</v>
      </c>
      <c r="DJ53" t="str">
        <f>IF(DI53=1,INDEX($DD$7:$DG$7,MATCH(1,$DD53:$DG53,0)),"mixedProduct")</f>
        <v>mixedProduct</v>
      </c>
      <c r="DK53">
        <f>IF(DD53=1,DK$7,0)</f>
        <v>0</v>
      </c>
      <c r="DL53" t="str">
        <f>IF(DE53=1,DL$7,0)</f>
        <v>Energy</v>
      </c>
      <c r="DM53">
        <f>IF(DF53=1,DM$7,0)</f>
        <v>0</v>
      </c>
      <c r="DN53" t="str">
        <f>IF(DG53=1,DN$7,0)</f>
        <v>Timber</v>
      </c>
      <c r="DO53">
        <v>0</v>
      </c>
      <c r="DP53">
        <v>1</v>
      </c>
      <c r="DQ53" t="s">
        <v>1773</v>
      </c>
      <c r="DR53" t="s">
        <v>1773</v>
      </c>
      <c r="DS53">
        <v>0</v>
      </c>
      <c r="DT53">
        <f>SUM(DO53:DP53)</f>
        <v>1</v>
      </c>
      <c r="DU53" s="143" t="str">
        <f>IF(DO53=1,"self-calculated DF",IF(DP53=1,"external DF used","explicit C balance"))</f>
        <v>external DF used</v>
      </c>
      <c r="DV53">
        <v>0</v>
      </c>
      <c r="DW53">
        <v>0</v>
      </c>
      <c r="DX53">
        <v>0</v>
      </c>
      <c r="DY53">
        <v>1</v>
      </c>
      <c r="DZ53">
        <v>0</v>
      </c>
      <c r="EA53" s="143">
        <v>0</v>
      </c>
      <c r="EB53">
        <v>0</v>
      </c>
      <c r="EC53">
        <v>0</v>
      </c>
      <c r="ED53">
        <v>0</v>
      </c>
      <c r="EE53">
        <v>0</v>
      </c>
      <c r="EF53">
        <v>1</v>
      </c>
      <c r="EG53">
        <v>0</v>
      </c>
      <c r="EH53">
        <v>0</v>
      </c>
      <c r="EI53" s="2">
        <v>0</v>
      </c>
      <c r="EJ53" s="1" t="s">
        <v>1774</v>
      </c>
      <c r="EK53" t="str">
        <f>IF(AND(AND(AND(OR($DX53=1,$DW53=1),OR($EC53=1,$EA53=1)),SUM($DV53:$DZ53,$EF53)&gt;=4),SUM($EA53:$EE53)&gt;=2),"Whole sector","")</f>
        <v/>
      </c>
      <c r="EL53" t="str">
        <f>IF(AND(AND(OR($DX53=1,$DW53=1),AND($EC53=0,$EA53=0)),SUM($DV53:$DZ53,$EF53)&gt;=4),"Ecosystem approach","")</f>
        <v/>
      </c>
      <c r="EM53" s="2" t="str">
        <f>IF(AND(AND(AND($DX53=0,$DW53=0),OR($EC53=1,$EA53=1)),SUM($EB53:$EE53)&gt;=2),"Technology approach","")</f>
        <v/>
      </c>
      <c r="EN53"/>
      <c r="EO53"/>
      <c r="EP53" t="str">
        <f>IF(ISNUMBER(BU53),IF(ABS(BU53-[3]QC_indicators!$B$2)&gt;3*[3]QC_indicators!$C$2,"C ratio",IF(ISNUMBER(BY53),IF(ABS(BY53-[3]QC_indicators!$B$1)&gt;3*[3]QC_indicators!$C$1,"DF","no"))),IF(ISNUMBER(BY53),IF(ABS(BY53-[3]QC_indicators!$B$1)&gt;3*[3]QC_indicators!$C$1,"DF","no")))</f>
        <v>no</v>
      </c>
      <c r="EQ53"/>
      <c r="ER53"/>
      <c r="ES53"/>
      <c r="ET53" s="266" t="s">
        <v>3272</v>
      </c>
      <c r="EU53"/>
    </row>
    <row r="54" spans="1:151" s="139" customFormat="1" ht="15" hidden="1" customHeight="1">
      <c r="A54" s="1" t="s">
        <v>1762</v>
      </c>
      <c r="B54" t="s">
        <v>1763</v>
      </c>
      <c r="C54" t="s">
        <v>1764</v>
      </c>
      <c r="D54" t="s">
        <v>1765</v>
      </c>
      <c r="E54" t="s">
        <v>1766</v>
      </c>
      <c r="F54" t="s">
        <v>1767</v>
      </c>
      <c r="G54" t="s">
        <v>1768</v>
      </c>
      <c r="H54" t="s">
        <v>255</v>
      </c>
      <c r="I54">
        <v>2021</v>
      </c>
      <c r="J54">
        <v>6</v>
      </c>
      <c r="K54" t="s">
        <v>1769</v>
      </c>
      <c r="L54"/>
      <c r="M54" t="str">
        <f>LEFT($D54,FIND(",",$D54)-1)&amp;"_"&amp;I54&amp;L54</f>
        <v>Jonsson_2021</v>
      </c>
      <c r="N54" t="s">
        <v>223</v>
      </c>
      <c r="O54" s="145" t="s">
        <v>514</v>
      </c>
      <c r="P54"/>
      <c r="Q54" t="s">
        <v>257</v>
      </c>
      <c r="R54" s="2" t="s">
        <v>275</v>
      </c>
      <c r="S54" s="1" t="s">
        <v>1781</v>
      </c>
      <c r="T54" t="s">
        <v>1113</v>
      </c>
      <c r="U54" t="s">
        <v>1780</v>
      </c>
      <c r="V54">
        <v>0</v>
      </c>
      <c r="W54">
        <v>1</v>
      </c>
      <c r="X54">
        <v>0</v>
      </c>
      <c r="Y54">
        <v>0</v>
      </c>
      <c r="Z54">
        <v>0</v>
      </c>
      <c r="AA54">
        <v>0</v>
      </c>
      <c r="AB54">
        <v>0</v>
      </c>
      <c r="AC54">
        <v>0</v>
      </c>
      <c r="AD54">
        <v>0</v>
      </c>
      <c r="AE54">
        <v>0</v>
      </c>
      <c r="AF54">
        <v>2</v>
      </c>
      <c r="AG54">
        <v>0</v>
      </c>
      <c r="AH54">
        <v>0</v>
      </c>
      <c r="AI54">
        <v>0</v>
      </c>
      <c r="AJ54">
        <v>0</v>
      </c>
      <c r="AK54">
        <v>0</v>
      </c>
      <c r="AL54">
        <v>0</v>
      </c>
      <c r="AM54">
        <v>0</v>
      </c>
      <c r="AN54">
        <v>0</v>
      </c>
      <c r="AO54">
        <v>0</v>
      </c>
      <c r="AP54">
        <v>0</v>
      </c>
      <c r="AQ54">
        <v>0</v>
      </c>
      <c r="AR54">
        <v>0</v>
      </c>
      <c r="AS54">
        <v>0</v>
      </c>
      <c r="AT54">
        <v>0</v>
      </c>
      <c r="AU54">
        <v>0</v>
      </c>
      <c r="AV54">
        <v>0</v>
      </c>
      <c r="AW54">
        <v>0</v>
      </c>
      <c r="AX54" s="141">
        <f>COUNTIF(V54:AW54,"&lt;&gt;0")</f>
        <v>2</v>
      </c>
      <c r="AY54" s="141">
        <f>COUNTIF(V54:AL54,"&lt;&gt;0")</f>
        <v>2</v>
      </c>
      <c r="AZ54">
        <f>COUNTIF(V54:AC54,"&lt;&gt;0")</f>
        <v>1</v>
      </c>
      <c r="BA54">
        <f>COUNTIF(AD54:AI54,"&lt;&gt;0")</f>
        <v>1</v>
      </c>
      <c r="BB54">
        <f>COUNTIF(AJ54:AL54,"&lt;&gt;0")</f>
        <v>0</v>
      </c>
      <c r="BC54">
        <f>COUNTIF(AS54:AW54,"&lt;&gt;0")</f>
        <v>0</v>
      </c>
      <c r="BD54">
        <f>COUNTIF(AM54:AR54,"&lt;&gt;0")</f>
        <v>0</v>
      </c>
      <c r="BE54" t="str">
        <f t="array" ref="BE54">IF(AY54=1,INDEX($V$7:$AL$7,MATCH(TRUE,INDEX($V54:$AW54&lt;&gt;0,),0)),IF(AY54=0,INDEX($AM$7:$AW$7,MATCH(1,$AM54:$AW54,0)),IF(BF54="Multiple strategies","mixed drivers",IF(BF54="Supply chain","multiple supply","multiple silviculture"))))</f>
        <v>mixed drivers</v>
      </c>
      <c r="BF54" s="2" t="str">
        <f t="array" ref="BF54">IF(COUNTIF(AZ54:BB54,"&lt;&gt;0")=1,INDEX($V$4:$AW$4,MATCH(TRUE,INDEX($V54:$AW54&lt;&gt;0,),0)),IF(COUNTIF(AZ54:BB54,"&lt;&gt;0")=0,INDEX($AM$4:$AW$4,MATCH(1,$AM54:$AW54,0)),"Multiple strategies"))</f>
        <v>Multiple strategies</v>
      </c>
      <c r="BG54" s="1" t="s">
        <v>230</v>
      </c>
      <c r="BH54" t="s">
        <v>230</v>
      </c>
      <c r="BI54" s="266" t="s">
        <v>2130</v>
      </c>
      <c r="BJ54" t="s">
        <v>1772</v>
      </c>
      <c r="BK54">
        <v>284950</v>
      </c>
      <c r="BL54">
        <v>286950</v>
      </c>
      <c r="BM54" t="e">
        <f>#REF!</f>
        <v>#REF!</v>
      </c>
      <c r="BN54">
        <f>BL54-BK54</f>
        <v>2000</v>
      </c>
      <c r="BO54">
        <f>BN54*1000</f>
        <v>2000000</v>
      </c>
      <c r="BP54" t="s">
        <v>233</v>
      </c>
      <c r="BQ54" s="266" t="s">
        <v>2130</v>
      </c>
      <c r="BR54" t="s">
        <v>1302</v>
      </c>
      <c r="BS54">
        <v>72</v>
      </c>
      <c r="BT54">
        <v>74</v>
      </c>
      <c r="BU54" s="144">
        <f>IFERROR(BT54/BS54,"")</f>
        <v>1.0277777777777777</v>
      </c>
      <c r="BV54">
        <f>BT54-BS54</f>
        <v>2</v>
      </c>
      <c r="BW54"/>
      <c r="BX54">
        <f>BV54*10^6</f>
        <v>2000000</v>
      </c>
      <c r="BY54">
        <f>IFERROR(BX54/BO54,"")</f>
        <v>1</v>
      </c>
      <c r="BZ54">
        <v>0</v>
      </c>
      <c r="CA54">
        <v>0</v>
      </c>
      <c r="CB54">
        <v>0</v>
      </c>
      <c r="CC54">
        <v>0</v>
      </c>
      <c r="CD54">
        <v>0</v>
      </c>
      <c r="CE54">
        <v>0</v>
      </c>
      <c r="CF54">
        <v>0</v>
      </c>
      <c r="CG54">
        <v>0</v>
      </c>
      <c r="CH54">
        <v>0</v>
      </c>
      <c r="CI54">
        <v>0</v>
      </c>
      <c r="CJ54">
        <v>0</v>
      </c>
      <c r="CK54">
        <v>0</v>
      </c>
      <c r="CL54">
        <v>0</v>
      </c>
      <c r="CM54">
        <v>1</v>
      </c>
      <c r="CN54" t="str">
        <f>IF($BL54&lt;$BK54,"refNeedCorrection","refOK")</f>
        <v>refOK</v>
      </c>
      <c r="CO54">
        <f>IF($CN54="refNeedCorrection",BL54,BK54)</f>
        <v>284950</v>
      </c>
      <c r="CP54">
        <f>IF($CN54="refNeedCorrection",BK54,BL54)</f>
        <v>286950</v>
      </c>
      <c r="CQ54">
        <f>IF($CN54="refOK",$BO54,-$BO54)</f>
        <v>2000000</v>
      </c>
      <c r="CR54">
        <f>IF($CN54="refOK",$BS54,$BT54)*IF($BP54="Emissions positive",-1,1)</f>
        <v>72</v>
      </c>
      <c r="CS54">
        <f>IF($CN54="refOK",$BT54,$BS54)*IF($BP54="Emissions positive",-1,1)</f>
        <v>74</v>
      </c>
      <c r="CT54">
        <f>IF($CN54="refNeedCorrection",-BX54,BX54)*IF($BP54="Emissions positive",-1,1)</f>
        <v>2000000</v>
      </c>
      <c r="CU54">
        <f>IFERROR(CT54/CQ54,"")</f>
        <v>1</v>
      </c>
      <c r="CV54" s="2">
        <f>IFERROR((CS54-CR54)/ABS(CR54),"")</f>
        <v>2.7777777777777776E-2</v>
      </c>
      <c r="CW54" s="1" t="s">
        <v>1233</v>
      </c>
      <c r="CX54" t="str">
        <f>IF(OR($CW54="prd",$CW54="std",$CW54="cit"),"loc",IF(OR($CW54="eur",$CW54="reg",$CW54="coy"),"reg",$CW54))</f>
        <v>reg</v>
      </c>
      <c r="CY54" t="s">
        <v>745</v>
      </c>
      <c r="CZ54">
        <v>2000</v>
      </c>
      <c r="DA54">
        <v>2030</v>
      </c>
      <c r="DB54">
        <v>30</v>
      </c>
      <c r="DC54" t="str">
        <f>IF(DB54=0,"0",IF(AND(DB54&gt;=1,DB54&lt;=30),"1-30",IF(AND(DB54&gt;30,DB54&lt;=70),"31-70",IF(AND(DB54&gt;70,DB54&lt;=100),"71-100",IF(DB54&gt;100,"+100")))))</f>
        <v>1-30</v>
      </c>
      <c r="DD54">
        <v>0</v>
      </c>
      <c r="DE54">
        <v>1</v>
      </c>
      <c r="DF54">
        <v>0</v>
      </c>
      <c r="DG54">
        <v>0</v>
      </c>
      <c r="DH54">
        <v>1</v>
      </c>
      <c r="DI54">
        <f>SUM(DD54:DG54)</f>
        <v>1</v>
      </c>
      <c r="DJ54" t="str">
        <f>IF(DI54=1,INDEX($DD$7:$DG$7,MATCH(1,$DD54:$DG54,0)),"mixedProduct")</f>
        <v>EnergyInput</v>
      </c>
      <c r="DK54">
        <f>IF(DD54=1,DK$7,0)</f>
        <v>0</v>
      </c>
      <c r="DL54" t="str">
        <f>IF(DE54=1,DL$7,0)</f>
        <v>Energy</v>
      </c>
      <c r="DM54">
        <f>IF(DF54=1,DM$7,0)</f>
        <v>0</v>
      </c>
      <c r="DN54">
        <f>IF(DG54=1,DN$7,0)</f>
        <v>0</v>
      </c>
      <c r="DO54">
        <v>0</v>
      </c>
      <c r="DP54">
        <v>1</v>
      </c>
      <c r="DQ54" t="s">
        <v>1773</v>
      </c>
      <c r="DR54" t="s">
        <v>1773</v>
      </c>
      <c r="DS54">
        <v>0</v>
      </c>
      <c r="DT54">
        <f>SUM(DO54:DP54)</f>
        <v>1</v>
      </c>
      <c r="DU54" s="143" t="str">
        <f>IF(DO54=1,"self-calculated DF",IF(DP54=1,"external DF used","explicit C balance"))</f>
        <v>external DF used</v>
      </c>
      <c r="DV54">
        <v>0</v>
      </c>
      <c r="DW54">
        <v>0</v>
      </c>
      <c r="DX54">
        <v>0</v>
      </c>
      <c r="DY54">
        <v>1</v>
      </c>
      <c r="DZ54">
        <v>0</v>
      </c>
      <c r="EA54" s="143">
        <v>0</v>
      </c>
      <c r="EB54">
        <v>0</v>
      </c>
      <c r="EC54">
        <v>0</v>
      </c>
      <c r="ED54">
        <v>0</v>
      </c>
      <c r="EE54">
        <v>0</v>
      </c>
      <c r="EF54">
        <v>1</v>
      </c>
      <c r="EG54">
        <v>0</v>
      </c>
      <c r="EH54">
        <v>0</v>
      </c>
      <c r="EI54" s="2">
        <v>0</v>
      </c>
      <c r="EJ54" s="1" t="s">
        <v>1774</v>
      </c>
      <c r="EK54" t="str">
        <f>IF(AND(AND(AND(OR($DX54=1,$DW54=1),OR($EC54=1,$EA54=1)),SUM($DV54:$DZ54,$EF54)&gt;=4),SUM($EA54:$EE54)&gt;=2),"Whole sector","")</f>
        <v/>
      </c>
      <c r="EL54" t="str">
        <f>IF(AND(AND(OR($DX54=1,$DW54=1),AND($EC54=0,$EA54=0)),SUM($DV54:$DZ54,$EF54)&gt;=4),"Ecosystem approach","")</f>
        <v/>
      </c>
      <c r="EM54" s="2" t="str">
        <f>IF(AND(AND(AND($DX54=0,$DW54=0),OR($EC54=1,$EA54=1)),SUM($EB54:$EE54)&gt;=2),"Technology approach","")</f>
        <v/>
      </c>
      <c r="EN54"/>
      <c r="EO54"/>
      <c r="EP54" t="str">
        <f>IF(ISNUMBER(BU54),IF(ABS(BU54-[3]QC_indicators!$B$2)&gt;3*[3]QC_indicators!$C$2,"C ratio",IF(ISNUMBER(BY54),IF(ABS(BY54-[3]QC_indicators!$B$1)&gt;3*[3]QC_indicators!$C$1,"DF","no"))),IF(ISNUMBER(BY54),IF(ABS(BY54-[3]QC_indicators!$B$1)&gt;3*[3]QC_indicators!$C$1,"DF","no")))</f>
        <v>no</v>
      </c>
      <c r="EQ54"/>
      <c r="ER54"/>
      <c r="ES54"/>
      <c r="ET54" s="266" t="s">
        <v>3153</v>
      </c>
      <c r="EU54"/>
    </row>
    <row r="55" spans="1:151" s="139" customFormat="1" ht="15" customHeight="1">
      <c r="A55" s="1" t="s">
        <v>1810</v>
      </c>
      <c r="B55" t="s">
        <v>2477</v>
      </c>
      <c r="C55" t="s">
        <v>2478</v>
      </c>
      <c r="D55" t="s">
        <v>2479</v>
      </c>
      <c r="E55" t="s">
        <v>2480</v>
      </c>
      <c r="F55" t="s">
        <v>2481</v>
      </c>
      <c r="G55" t="s">
        <v>1816</v>
      </c>
      <c r="H55" t="s">
        <v>255</v>
      </c>
      <c r="I55">
        <v>2010</v>
      </c>
      <c r="J55">
        <v>100</v>
      </c>
      <c r="K55" t="s">
        <v>2482</v>
      </c>
      <c r="L55"/>
      <c r="M55" t="str">
        <f>LEFT($D55,FIND(",",$D55)-1)&amp;"_"&amp;I55&amp;L55</f>
        <v>Werner_2010</v>
      </c>
      <c r="N55" t="s">
        <v>223</v>
      </c>
      <c r="O55" s="145" t="s">
        <v>1156</v>
      </c>
      <c r="P55"/>
      <c r="Q55" t="s">
        <v>257</v>
      </c>
      <c r="R55" s="264" t="s">
        <v>224</v>
      </c>
      <c r="S55" s="1" t="s">
        <v>2483</v>
      </c>
      <c r="T55" t="s">
        <v>2484</v>
      </c>
      <c r="U55" t="s">
        <v>2488</v>
      </c>
      <c r="V55">
        <v>1</v>
      </c>
      <c r="W55">
        <v>0</v>
      </c>
      <c r="X55">
        <v>2</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s="141">
        <f>COUNTIF(V55:AW55,"&lt;&gt;0")</f>
        <v>2</v>
      </c>
      <c r="AY55" s="141">
        <f>COUNTIF(V55:AL55,"&lt;&gt;0")</f>
        <v>2</v>
      </c>
      <c r="AZ55">
        <f>COUNTIF(V55:AC55,"&lt;&gt;0")</f>
        <v>2</v>
      </c>
      <c r="BA55">
        <f>COUNTIF(AD55:AI55,"&lt;&gt;0")</f>
        <v>0</v>
      </c>
      <c r="BB55">
        <f>COUNTIF(AJ55:AL55,"&lt;&gt;0")</f>
        <v>0</v>
      </c>
      <c r="BC55">
        <f>COUNTIF(AS55:AW55,"&lt;&gt;0")</f>
        <v>0</v>
      </c>
      <c r="BD55">
        <f>COUNTIF(AM55:AR55,"&lt;&gt;0")</f>
        <v>0</v>
      </c>
      <c r="BE55" t="str">
        <f t="array" ref="BE55">IF(AY55=1,INDEX($V$7:$AL$7,MATCH(TRUE,INDEX($V55:$AW55&lt;&gt;0,),0)),IF(AY55=0,INDEX($AM$7:$AW$7,MATCH(1,$AM55:$AW55,0)),IF(BF55="Multiple strategies","mixed drivers",IF(BF55="Supply chain","multiple supply","multiple silviculture"))))</f>
        <v>multiple silviculture</v>
      </c>
      <c r="BF55" s="2" t="str" cm="1">
        <f t="array" ref="BF55">IF(COUNTIF(AZ55:BB55,"&lt;&gt;0")=1,INDEX($V$4:$AW$4,MATCH(TRUE,INDEX($V55:$AW55&lt;&gt;0,),0)),IF(COUNTIF(AZ55:BB55,"&lt;&gt;0")=0,INDEX($AM$4:$AW$4,MATCH(1,$AM55:$AW55,0)),"Multiple strategies"))</f>
        <v>SilvicultureRemov</v>
      </c>
      <c r="BG55" s="1" t="s">
        <v>322</v>
      </c>
      <c r="BH55" t="s">
        <v>2455</v>
      </c>
      <c r="BI55" s="266" t="s">
        <v>3254</v>
      </c>
      <c r="BJ55" t="s">
        <v>1325</v>
      </c>
      <c r="BK55">
        <v>300</v>
      </c>
      <c r="BL55">
        <v>712.5</v>
      </c>
      <c r="BM55" s="143">
        <f>BL55/BK55</f>
        <v>2.375</v>
      </c>
      <c r="BN55">
        <f>BL55-BK55</f>
        <v>412.5</v>
      </c>
      <c r="BO55">
        <f>BN55*10^6</f>
        <v>412500000</v>
      </c>
      <c r="BP55" t="s">
        <v>233</v>
      </c>
      <c r="BQ55" s="153" t="s">
        <v>3255</v>
      </c>
      <c r="BR55" t="s">
        <v>2327</v>
      </c>
      <c r="BS55">
        <v>345.6503741652154</v>
      </c>
      <c r="BT55">
        <v>219.15744142171502</v>
      </c>
      <c r="BU55" s="144">
        <f>IFERROR(BT55/BS55,"")</f>
        <v>0.63404369791586346</v>
      </c>
      <c r="BV55" s="144">
        <f>BT55-BS55</f>
        <v>-126.49293274350038</v>
      </c>
      <c r="BW55" s="144"/>
      <c r="BX55">
        <f>BV55*10^6</f>
        <v>-126492932.74350038</v>
      </c>
      <c r="BY55">
        <f>IFERROR(BX55/BO55,"")</f>
        <v>-0.30664953392363731</v>
      </c>
      <c r="BZ55">
        <v>0</v>
      </c>
      <c r="CA55">
        <v>0</v>
      </c>
      <c r="CB55">
        <v>0</v>
      </c>
      <c r="CC55">
        <v>0</v>
      </c>
      <c r="CD55">
        <v>0</v>
      </c>
      <c r="CE55">
        <v>0</v>
      </c>
      <c r="CF55">
        <v>0</v>
      </c>
      <c r="CG55">
        <v>0</v>
      </c>
      <c r="CH55">
        <v>0</v>
      </c>
      <c r="CI55">
        <v>0</v>
      </c>
      <c r="CJ55">
        <v>0</v>
      </c>
      <c r="CK55">
        <v>0</v>
      </c>
      <c r="CL55">
        <v>0</v>
      </c>
      <c r="CM55">
        <v>1</v>
      </c>
      <c r="CN55" t="str">
        <f>IF($BL55&lt;$BK55,"refNeedCorrection","refOK")</f>
        <v>refOK</v>
      </c>
      <c r="CO55">
        <f>IF($CN55="refNeedCorrection",BL55,BK55)</f>
        <v>300</v>
      </c>
      <c r="CP55">
        <f>IF($CN55="refNeedCorrection",BK55,BL55)</f>
        <v>712.5</v>
      </c>
      <c r="CQ55">
        <f>IF($CN55="refOK",$BO55,-$BO55)</f>
        <v>412500000</v>
      </c>
      <c r="CR55">
        <f>IF($CN55="refOK",$BS55,$BT55)*IF($BP55="Emissions positive",-1,1)</f>
        <v>345.6503741652154</v>
      </c>
      <c r="CS55">
        <f>IF($CN55="refOK",$BT55,$BS55)*IF($BP55="Emissions positive",-1,1)</f>
        <v>219.15744142171502</v>
      </c>
      <c r="CT55">
        <f>IF($CN55="refNeedCorrection",-BX55,BX55)*IF($BP55="Emissions positive",-1,1)</f>
        <v>-126492932.74350038</v>
      </c>
      <c r="CU55">
        <f>IFERROR(CT55/CQ55,"")</f>
        <v>-0.30664953392363731</v>
      </c>
      <c r="CV55" s="2">
        <f>IFERROR((CS55-CR55)/ABS(CR55),"")</f>
        <v>-0.36595630208413649</v>
      </c>
      <c r="CW55" s="1" t="s">
        <v>1205</v>
      </c>
      <c r="CX55" t="str">
        <f>IF(OR($CW55="prd",$CW55="std",$CW55="cit"),"loc",IF(OR($CW55="eur",$CW55="reg",$CW55="coy"),"reg",$CW55))</f>
        <v>reg</v>
      </c>
      <c r="CY55" t="s">
        <v>641</v>
      </c>
      <c r="CZ55">
        <v>2000</v>
      </c>
      <c r="DA55">
        <v>2090</v>
      </c>
      <c r="DB55">
        <f>DA55-CZ55</f>
        <v>90</v>
      </c>
      <c r="DC55" t="str">
        <f>IF(DB55=0,"0",IF(AND(DB55&gt;=1,DB55&lt;=30),"1-30",IF(AND(DB55&gt;30,DB55&lt;=70),"31-70",IF(AND(DB55&gt;70,DB55&lt;=100),"71-100",IF(DB55&gt;100,"+100")))))</f>
        <v>71-100</v>
      </c>
      <c r="DD55">
        <v>1</v>
      </c>
      <c r="DE55">
        <v>0</v>
      </c>
      <c r="DF55">
        <v>0</v>
      </c>
      <c r="DG55">
        <v>0</v>
      </c>
      <c r="DH55">
        <v>0</v>
      </c>
      <c r="DI55">
        <f>SUM(DD55:DG55)</f>
        <v>1</v>
      </c>
      <c r="DJ55" t="str">
        <f>IF(DI55=1,INDEX($DD$7:$DG$7,MATCH(1,$DD55:$DG55,0)),"mixedProduct")</f>
        <v>UpstreamInput</v>
      </c>
      <c r="DK55" t="str">
        <f>IF(DD55=1,DK$7,0)</f>
        <v>Upstream</v>
      </c>
      <c r="DL55">
        <f>IF(DE55=1,DL$7,0)</f>
        <v>0</v>
      </c>
      <c r="DM55">
        <f>IF(DF55=1,DM$7,0)</f>
        <v>0</v>
      </c>
      <c r="DN55">
        <f>IF(DG55=1,DN$7,0)</f>
        <v>0</v>
      </c>
      <c r="DO55">
        <v>0</v>
      </c>
      <c r="DP55">
        <v>0</v>
      </c>
      <c r="DQ55"/>
      <c r="DR55"/>
      <c r="DS55"/>
      <c r="DT55">
        <f>SUM(DO55:DP55)</f>
        <v>0</v>
      </c>
      <c r="DU55" s="143" t="str">
        <f>IF(DO55=1,"self-calculated DF",IF(DP55=1,"external DF used","explicit C balance"))</f>
        <v>explicit C balance</v>
      </c>
      <c r="DV55">
        <v>1</v>
      </c>
      <c r="DW55">
        <v>1</v>
      </c>
      <c r="DX55">
        <v>1</v>
      </c>
      <c r="DY55">
        <v>1</v>
      </c>
      <c r="DZ55">
        <v>0</v>
      </c>
      <c r="EA55" s="143">
        <v>0</v>
      </c>
      <c r="EB55">
        <v>0</v>
      </c>
      <c r="EC55">
        <v>0</v>
      </c>
      <c r="ED55">
        <v>0</v>
      </c>
      <c r="EE55">
        <v>0</v>
      </c>
      <c r="EF55">
        <v>1</v>
      </c>
      <c r="EG55">
        <v>0</v>
      </c>
      <c r="EH55">
        <v>0</v>
      </c>
      <c r="EI55" s="2">
        <v>0</v>
      </c>
      <c r="EJ55" s="1"/>
      <c r="EK55" t="str">
        <f>IF(AND(AND(AND(OR($DX55=1,$DW55=1),OR($EC55=1,$EA55=1)),SUM($DV55:$DZ55,$EF55)&gt;=4),SUM($EA55:$EE55)&gt;=2),"Whole sector","")</f>
        <v/>
      </c>
      <c r="EL55" t="str">
        <f>IF(AND(AND(OR($DX55=1,$DW55=1),AND($EC55=0,$EA55=0)),SUM($DV55:$DZ55,$EF55)&gt;=4),"Ecosystem approach","")</f>
        <v>Ecosystem approach</v>
      </c>
      <c r="EM55" s="2" t="str">
        <f>IF(AND(AND(AND($DX55=0,$DW55=0),OR($EC55=1,$EA55=1)),SUM($EB55:$EE55)&gt;=2),"Technology approach","")</f>
        <v/>
      </c>
      <c r="EN55" t="s">
        <v>2487</v>
      </c>
      <c r="EO55"/>
      <c r="EP55" t="str">
        <f>IF(ISNUMBER(BU55),IF(ABS(BU55-[2]QC_indicators!$B$2)&gt;3*[2]QC_indicators!$C$2,"C ratio",IF(ISNUMBER(BY55),IF(ABS(BY55-[2]QC_indicators!$B$1)&gt;3*[2]QC_indicators!$C$1,"DF","no"))),IF(ISNUMBER(BY55),IF(ABS(BY55-[2]QC_indicators!$B$1)&gt;3*[2]QC_indicators!$C$1,"DF","no")))</f>
        <v>no</v>
      </c>
      <c r="EQ55"/>
      <c r="ER55"/>
      <c r="ES55"/>
      <c r="ET55" s="266" t="s">
        <v>3256</v>
      </c>
      <c r="EU55"/>
    </row>
    <row r="56" spans="1:151" s="139" customFormat="1" ht="15" customHeight="1">
      <c r="A56" s="1" t="s">
        <v>1810</v>
      </c>
      <c r="B56" t="s">
        <v>2477</v>
      </c>
      <c r="C56" t="s">
        <v>2478</v>
      </c>
      <c r="D56" t="s">
        <v>2479</v>
      </c>
      <c r="E56" t="s">
        <v>2480</v>
      </c>
      <c r="F56" t="s">
        <v>2481</v>
      </c>
      <c r="G56" t="s">
        <v>1816</v>
      </c>
      <c r="H56" t="s">
        <v>255</v>
      </c>
      <c r="I56">
        <v>2010</v>
      </c>
      <c r="J56">
        <v>100</v>
      </c>
      <c r="K56" t="s">
        <v>2482</v>
      </c>
      <c r="L56"/>
      <c r="M56" t="str">
        <f>LEFT($D56,FIND(",",$D56)-1)&amp;"_"&amp;I56&amp;L56</f>
        <v>Werner_2010</v>
      </c>
      <c r="N56" t="s">
        <v>223</v>
      </c>
      <c r="O56" s="145" t="s">
        <v>1156</v>
      </c>
      <c r="P56"/>
      <c r="Q56" t="s">
        <v>257</v>
      </c>
      <c r="R56" s="264" t="s">
        <v>224</v>
      </c>
      <c r="S56" s="1" t="s">
        <v>2483</v>
      </c>
      <c r="T56" t="s">
        <v>2484</v>
      </c>
      <c r="U56" t="s">
        <v>1157</v>
      </c>
      <c r="V56">
        <v>1</v>
      </c>
      <c r="W56">
        <v>0</v>
      </c>
      <c r="X56">
        <v>2</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s="141">
        <f>COUNTIF(V56:AW56,"&lt;&gt;0")</f>
        <v>2</v>
      </c>
      <c r="AY56" s="141">
        <f>COUNTIF(V56:AL56,"&lt;&gt;0")</f>
        <v>2</v>
      </c>
      <c r="AZ56">
        <f>COUNTIF(V56:AC56,"&lt;&gt;0")</f>
        <v>2</v>
      </c>
      <c r="BA56">
        <f>COUNTIF(AD56:AI56,"&lt;&gt;0")</f>
        <v>0</v>
      </c>
      <c r="BB56">
        <f>COUNTIF(AJ56:AL56,"&lt;&gt;0")</f>
        <v>0</v>
      </c>
      <c r="BC56">
        <f>COUNTIF(AS56:AW56,"&lt;&gt;0")</f>
        <v>0</v>
      </c>
      <c r="BD56">
        <f>COUNTIF(AM56:AR56,"&lt;&gt;0")</f>
        <v>0</v>
      </c>
      <c r="BE56" t="str">
        <f t="array" ref="BE56">IF(AY56=1,INDEX($V$7:$AL$7,MATCH(TRUE,INDEX($V56:$AW56&lt;&gt;0,),0)),IF(AY56=0,INDEX($AM$7:$AW$7,MATCH(1,$AM56:$AW56,0)),IF(BF56="Multiple strategies","mixed drivers",IF(BF56="Supply chain","multiple supply","multiple silviculture"))))</f>
        <v>multiple silviculture</v>
      </c>
      <c r="BF56" s="2" t="str" cm="1">
        <f t="array" ref="BF56">IF(COUNTIF(AZ56:BB56,"&lt;&gt;0")=1,INDEX($V$4:$AW$4,MATCH(TRUE,INDEX($V56:$AW56&lt;&gt;0,),0)),IF(COUNTIF(AZ56:BB56,"&lt;&gt;0")=0,INDEX($AM$4:$AW$4,MATCH(1,$AM56:$AW56,0)),"Multiple strategies"))</f>
        <v>SilvicultureRemov</v>
      </c>
      <c r="BG56" s="1" t="s">
        <v>322</v>
      </c>
      <c r="BH56" t="s">
        <v>2455</v>
      </c>
      <c r="BI56" s="266" t="s">
        <v>3254</v>
      </c>
      <c r="BJ56" t="s">
        <v>1325</v>
      </c>
      <c r="BK56">
        <v>210</v>
      </c>
      <c r="BL56">
        <v>340.5</v>
      </c>
      <c r="BM56" s="143">
        <f>BL56/BK56</f>
        <v>1.6214285714285714</v>
      </c>
      <c r="BN56">
        <f>BL56-BK56</f>
        <v>130.5</v>
      </c>
      <c r="BO56">
        <f>BN56*10^6</f>
        <v>130500000</v>
      </c>
      <c r="BP56" t="s">
        <v>233</v>
      </c>
      <c r="BQ56" s="153" t="s">
        <v>3255</v>
      </c>
      <c r="BR56" t="s">
        <v>2327</v>
      </c>
      <c r="BS56">
        <v>385.778591846273</v>
      </c>
      <c r="BT56">
        <v>124.386230701242</v>
      </c>
      <c r="BU56" s="144">
        <f>IFERROR(BT56/BS56,"")</f>
        <v>0.32242906509132591</v>
      </c>
      <c r="BV56" s="144">
        <f>BT56-BS56</f>
        <v>-261.39236114503103</v>
      </c>
      <c r="BW56" s="144"/>
      <c r="BX56">
        <f>BV56*10^6</f>
        <v>-261392361.14503103</v>
      </c>
      <c r="BY56">
        <f>IFERROR(BX56/BO56,"")</f>
        <v>-2.0030065988124983</v>
      </c>
      <c r="BZ56">
        <v>0</v>
      </c>
      <c r="CA56">
        <v>0</v>
      </c>
      <c r="CB56">
        <v>0</v>
      </c>
      <c r="CC56">
        <v>0</v>
      </c>
      <c r="CD56">
        <v>0</v>
      </c>
      <c r="CE56">
        <v>0</v>
      </c>
      <c r="CF56">
        <v>0</v>
      </c>
      <c r="CG56">
        <v>0</v>
      </c>
      <c r="CH56">
        <v>0</v>
      </c>
      <c r="CI56">
        <v>0</v>
      </c>
      <c r="CJ56">
        <v>0</v>
      </c>
      <c r="CK56">
        <v>0</v>
      </c>
      <c r="CL56">
        <v>0</v>
      </c>
      <c r="CM56">
        <v>1</v>
      </c>
      <c r="CN56" t="str">
        <f>IF($BL56&lt;$BK56,"refNeedCorrection","refOK")</f>
        <v>refOK</v>
      </c>
      <c r="CO56">
        <f>IF($CN56="refOK",$BK56,$BL56)</f>
        <v>210</v>
      </c>
      <c r="CP56">
        <f>IF($CN56="refOK",$BL56,$BK56)</f>
        <v>340.5</v>
      </c>
      <c r="CQ56">
        <f>IF($CN56="refOK",$BO56,-$BO56)</f>
        <v>130500000</v>
      </c>
      <c r="CR56">
        <f>IF($CN56="refOK",$BS56,$BT56)*IF($BP56="Emissions positive",-1,1)</f>
        <v>385.778591846273</v>
      </c>
      <c r="CS56">
        <f>IF($CN56="refOK",$BT56,$BS56)*IF($BP56="Emissions positive",-1,1)</f>
        <v>124.386230701242</v>
      </c>
      <c r="CT56">
        <f>IF($CN56="refNeedCorrection",-BX56,BX56)*IF($BP56="Emissions positive",-1,1)</f>
        <v>-261392361.14503103</v>
      </c>
      <c r="CU56">
        <f>IFERROR(CT56/CQ56,"")</f>
        <v>-2.0030065988124983</v>
      </c>
      <c r="CV56" s="2">
        <f>IFERROR((CS56-CR56)/ABS(CR56),"")</f>
        <v>-0.67757093490867415</v>
      </c>
      <c r="CW56" s="1" t="s">
        <v>1205</v>
      </c>
      <c r="CX56" t="str">
        <f>IF(OR($CW56="prd",$CW56="std",$CW56="cit"),"loc",IF(OR($CW56="eur",$CW56="reg",$CW56="coy"),"reg",$CW56))</f>
        <v>reg</v>
      </c>
      <c r="CY56" t="s">
        <v>641</v>
      </c>
      <c r="CZ56">
        <v>2000</v>
      </c>
      <c r="DA56">
        <v>2060</v>
      </c>
      <c r="DB56">
        <f>DA56-CZ56</f>
        <v>60</v>
      </c>
      <c r="DC56" t="str">
        <f>IF(DB56=0,"0",IF(AND(DB56&gt;=1,DB56&lt;=30),"1-30",IF(AND(DB56&gt;30,DB56&lt;=70),"31-70",IF(AND(DB56&gt;70,DB56&lt;=100),"71-100",IF(DB56&gt;100,"+100")))))</f>
        <v>31-70</v>
      </c>
      <c r="DD56">
        <v>1</v>
      </c>
      <c r="DE56">
        <v>0</v>
      </c>
      <c r="DF56">
        <v>0</v>
      </c>
      <c r="DG56">
        <v>0</v>
      </c>
      <c r="DH56">
        <v>0</v>
      </c>
      <c r="DI56">
        <f>SUM(DD56:DG56)</f>
        <v>1</v>
      </c>
      <c r="DJ56" t="str">
        <f>IF(DI56=1,INDEX($DD$7:$DG$7,MATCH(1,$DD56:$DG56,0)),"mixedProduct")</f>
        <v>UpstreamInput</v>
      </c>
      <c r="DK56" t="str">
        <f>IF(DD56=1,DK$7,0)</f>
        <v>Upstream</v>
      </c>
      <c r="DL56">
        <f>IF(DE56=1,DL$7,0)</f>
        <v>0</v>
      </c>
      <c r="DM56">
        <f>IF(DF56=1,DM$7,0)</f>
        <v>0</v>
      </c>
      <c r="DN56">
        <f>IF(DG56=1,DN$7,0)</f>
        <v>0</v>
      </c>
      <c r="DO56">
        <v>0</v>
      </c>
      <c r="DP56">
        <v>0</v>
      </c>
      <c r="DQ56"/>
      <c r="DR56"/>
      <c r="DS56"/>
      <c r="DT56">
        <f>SUM(DO56:DP56)</f>
        <v>0</v>
      </c>
      <c r="DU56" s="143" t="str">
        <f>IF(DO56=1,"self-calculated DF",IF(DP56=1,"external DF used","explicit C balance"))</f>
        <v>explicit C balance</v>
      </c>
      <c r="DV56">
        <v>1</v>
      </c>
      <c r="DW56">
        <v>1</v>
      </c>
      <c r="DX56">
        <v>1</v>
      </c>
      <c r="DY56">
        <v>0</v>
      </c>
      <c r="DZ56">
        <v>0</v>
      </c>
      <c r="EA56" s="143">
        <v>0</v>
      </c>
      <c r="EB56">
        <v>0</v>
      </c>
      <c r="EC56">
        <v>0</v>
      </c>
      <c r="ED56">
        <v>0</v>
      </c>
      <c r="EE56">
        <v>0</v>
      </c>
      <c r="EF56">
        <v>1</v>
      </c>
      <c r="EG56">
        <v>0</v>
      </c>
      <c r="EH56">
        <v>0</v>
      </c>
      <c r="EI56" s="2">
        <v>0</v>
      </c>
      <c r="EJ56" s="1"/>
      <c r="EK56" t="str">
        <f>IF(AND(AND(AND(OR($DX56=1,$DW56=1),OR($EC56=1,$EA56=1)),SUM($DV56:$DZ56,$EF56)&gt;=4),SUM($EA56:$EE56)&gt;=2),"Whole sector","")</f>
        <v/>
      </c>
      <c r="EL56" t="str">
        <f>IF(AND(AND(OR($DX56=1,$DW56=1),AND($EC56=0,$EA56=0)),SUM($DV56:$DZ56,$EF56)&gt;=4),"Ecosystem approach","")</f>
        <v>Ecosystem approach</v>
      </c>
      <c r="EM56" s="2" t="str">
        <f>IF(AND(AND(AND($DX56=0,$DW56=0),OR($EC56=1,$EA56=1)),SUM($EB56:$EE56)&gt;=2),"Technology approach","")</f>
        <v/>
      </c>
      <c r="EN56" t="s">
        <v>2487</v>
      </c>
      <c r="EO56"/>
      <c r="EP56" t="str">
        <f>IF(ISNUMBER(BU56),IF(ABS(BU56-[2]QC_indicators!$B$2)&gt;3*[2]QC_indicators!$C$2,"C ratio",IF(ISNUMBER(BY56),IF(ABS(BY56-[2]QC_indicators!$B$1)&gt;3*[2]QC_indicators!$C$1,"DF","no"))),IF(ISNUMBER(BY56),IF(ABS(BY56-[2]QC_indicators!$B$1)&gt;3*[2]QC_indicators!$C$1,"DF","no")))</f>
        <v>no</v>
      </c>
      <c r="EQ56"/>
      <c r="ER56"/>
      <c r="ES56"/>
      <c r="ET56" s="266" t="s">
        <v>3256</v>
      </c>
      <c r="EU56"/>
    </row>
    <row r="57" spans="1:151" s="139" customFormat="1" ht="15" customHeight="1">
      <c r="A57" s="1" t="s">
        <v>1810</v>
      </c>
      <c r="B57" t="s">
        <v>2477</v>
      </c>
      <c r="C57" t="s">
        <v>2478</v>
      </c>
      <c r="D57" t="s">
        <v>2479</v>
      </c>
      <c r="E57" t="s">
        <v>2480</v>
      </c>
      <c r="F57" t="s">
        <v>2481</v>
      </c>
      <c r="G57" t="s">
        <v>1816</v>
      </c>
      <c r="H57" t="s">
        <v>255</v>
      </c>
      <c r="I57">
        <v>2010</v>
      </c>
      <c r="J57">
        <v>100</v>
      </c>
      <c r="K57" t="s">
        <v>2482</v>
      </c>
      <c r="L57"/>
      <c r="M57" t="str">
        <f>LEFT($D57,FIND(",",$D57)-1)&amp;"_"&amp;I57&amp;L57</f>
        <v>Werner_2010</v>
      </c>
      <c r="N57" t="s">
        <v>223</v>
      </c>
      <c r="O57" s="145" t="s">
        <v>1156</v>
      </c>
      <c r="P57"/>
      <c r="Q57" t="s">
        <v>257</v>
      </c>
      <c r="R57" s="264" t="s">
        <v>224</v>
      </c>
      <c r="S57" s="265" t="s">
        <v>3257</v>
      </c>
      <c r="T57" t="s">
        <v>2484</v>
      </c>
      <c r="U57" t="s">
        <v>2489</v>
      </c>
      <c r="V57">
        <v>2</v>
      </c>
      <c r="W57">
        <v>0</v>
      </c>
      <c r="X57">
        <v>1</v>
      </c>
      <c r="Y57">
        <v>2</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s="141">
        <f>COUNTIF(V57:AW57,"&lt;&gt;0")</f>
        <v>3</v>
      </c>
      <c r="AY57" s="141">
        <f>COUNTIF(V57:AL57,"&lt;&gt;0")</f>
        <v>3</v>
      </c>
      <c r="AZ57">
        <f>COUNTIF(V57:AC57,"&lt;&gt;0")</f>
        <v>3</v>
      </c>
      <c r="BA57">
        <f>COUNTIF(AD57:AI57,"&lt;&gt;0")</f>
        <v>0</v>
      </c>
      <c r="BB57">
        <f>COUNTIF(AJ57:AL57,"&lt;&gt;0")</f>
        <v>0</v>
      </c>
      <c r="BC57">
        <f>COUNTIF(AS57:AW57,"&lt;&gt;0")</f>
        <v>0</v>
      </c>
      <c r="BD57">
        <f>COUNTIF(AM57:AR57,"&lt;&gt;0")</f>
        <v>0</v>
      </c>
      <c r="BE57" t="str">
        <f t="array" ref="BE57">IF(AY57=1,INDEX($V$7:$AL$7,MATCH(TRUE,INDEX($V57:$AW57&lt;&gt;0,),0)),IF(AY57=0,INDEX($AM$7:$AW$7,MATCH(1,$AM57:$AW57,0)),IF(BF57="Multiple strategies","mixed drivers",IF(BF57="Supply chain","multiple supply","multiple silviculture"))))</f>
        <v>multiple silviculture</v>
      </c>
      <c r="BF57" s="2" t="str" cm="1">
        <f t="array" ref="BF57">IF(COUNTIF(AZ57:BB57,"&lt;&gt;0")=1,INDEX($V$4:$AW$4,MATCH(TRUE,INDEX($V57:$AW57&lt;&gt;0,),0)),IF(COUNTIF(AZ57:BB57,"&lt;&gt;0")=0,INDEX($AM$4:$AW$4,MATCH(1,$AM57:$AW57,0)),"Multiple strategies"))</f>
        <v>SilvicultureRemov</v>
      </c>
      <c r="BG57" s="1" t="s">
        <v>322</v>
      </c>
      <c r="BH57" t="s">
        <v>2455</v>
      </c>
      <c r="BI57" s="266" t="s">
        <v>3254</v>
      </c>
      <c r="BJ57" t="s">
        <v>1325</v>
      </c>
      <c r="BK57">
        <v>210</v>
      </c>
      <c r="BL57">
        <v>489</v>
      </c>
      <c r="BM57" s="143">
        <f>BL57/BK57</f>
        <v>2.3285714285714287</v>
      </c>
      <c r="BN57">
        <f>BL57-BK57</f>
        <v>279</v>
      </c>
      <c r="BO57">
        <f>BN57*10^6</f>
        <v>279000000</v>
      </c>
      <c r="BP57" t="s">
        <v>233</v>
      </c>
      <c r="BQ57" s="153" t="s">
        <v>3255</v>
      </c>
      <c r="BR57" t="s">
        <v>2327</v>
      </c>
      <c r="BS57">
        <v>385.778591846273</v>
      </c>
      <c r="BT57">
        <v>74.657916514909303</v>
      </c>
      <c r="BU57" s="144">
        <f>IFERROR(BT57/BS57,"")</f>
        <v>0.19352529687458492</v>
      </c>
      <c r="BV57" s="144">
        <f>BT57-BS57</f>
        <v>-311.12067533136371</v>
      </c>
      <c r="BW57" s="144"/>
      <c r="BX57">
        <f>BV57*10^6</f>
        <v>-311120675.33136374</v>
      </c>
      <c r="BY57">
        <f>IFERROR(BX57/BO57,"")</f>
        <v>-1.1151278685711963</v>
      </c>
      <c r="BZ57">
        <v>0</v>
      </c>
      <c r="CA57">
        <v>0</v>
      </c>
      <c r="CB57">
        <v>0</v>
      </c>
      <c r="CC57">
        <v>0</v>
      </c>
      <c r="CD57">
        <v>0</v>
      </c>
      <c r="CE57">
        <v>0</v>
      </c>
      <c r="CF57">
        <v>0</v>
      </c>
      <c r="CG57">
        <v>0</v>
      </c>
      <c r="CH57">
        <v>0</v>
      </c>
      <c r="CI57">
        <v>0</v>
      </c>
      <c r="CJ57">
        <v>0</v>
      </c>
      <c r="CK57">
        <v>0</v>
      </c>
      <c r="CL57">
        <v>0</v>
      </c>
      <c r="CM57">
        <v>1</v>
      </c>
      <c r="CN57" t="str">
        <f>IF($BL57&lt;$BK57,"refNeedCorrection","refOK")</f>
        <v>refOK</v>
      </c>
      <c r="CO57">
        <f>IF($CN57="refNeedCorrection",BL57,BK57)</f>
        <v>210</v>
      </c>
      <c r="CP57">
        <f>IF($CN57="refNeedCorrection",BK57,BL57)</f>
        <v>489</v>
      </c>
      <c r="CQ57">
        <f>IF($CN57="refOK",$BO57,-$BO57)</f>
        <v>279000000</v>
      </c>
      <c r="CR57">
        <f>IF($CN57="refOK",$BS57,$BT57)*IF($BP57="Emissions positive",-1,1)</f>
        <v>385.778591846273</v>
      </c>
      <c r="CS57">
        <f>IF($CN57="refOK",$BT57,$BS57)*IF($BP57="Emissions positive",-1,1)</f>
        <v>74.657916514909303</v>
      </c>
      <c r="CT57">
        <f>IF($CN57="refNeedCorrection",-BX57,BX57)*IF($BP57="Emissions positive",-1,1)</f>
        <v>-311120675.33136374</v>
      </c>
      <c r="CU57">
        <f>IFERROR(CT57/CQ57,"")</f>
        <v>-1.1151278685711963</v>
      </c>
      <c r="CV57" s="2">
        <f>IFERROR((CS57-CR57)/ABS(CR57),"")</f>
        <v>-0.80647470312541514</v>
      </c>
      <c r="CW57" s="1" t="s">
        <v>1205</v>
      </c>
      <c r="CX57" t="str">
        <f>IF(OR($CW57="prd",$CW57="std",$CW57="cit"),"loc",IF(OR($CW57="eur",$CW57="reg",$CW57="coy"),"reg",$CW57))</f>
        <v>reg</v>
      </c>
      <c r="CY57" t="s">
        <v>641</v>
      </c>
      <c r="CZ57">
        <v>2000</v>
      </c>
      <c r="DA57">
        <v>2060</v>
      </c>
      <c r="DB57">
        <f>DA57-CZ57</f>
        <v>60</v>
      </c>
      <c r="DC57" t="str">
        <f>IF(DB57=0,"0",IF(AND(DB57&gt;=1,DB57&lt;=30),"1-30",IF(AND(DB57&gt;30,DB57&lt;=70),"31-70",IF(AND(DB57&gt;70,DB57&lt;=100),"71-100",IF(DB57&gt;100,"+100")))))</f>
        <v>31-70</v>
      </c>
      <c r="DD57">
        <v>0</v>
      </c>
      <c r="DE57">
        <v>0</v>
      </c>
      <c r="DF57">
        <v>0</v>
      </c>
      <c r="DG57">
        <v>1</v>
      </c>
      <c r="DH57">
        <v>0</v>
      </c>
      <c r="DI57">
        <f>SUM(DD57:DG57)</f>
        <v>1</v>
      </c>
      <c r="DJ57" t="str">
        <f>IF(DI57=1,INDEX($DD$7:$DG$7,MATCH(1,$DD57:$DG57,0)),"mixedProduct")</f>
        <v>TimberInput</v>
      </c>
      <c r="DK57">
        <f>IF(DD57=1,DK$7,0)</f>
        <v>0</v>
      </c>
      <c r="DL57">
        <f>IF(DE57=1,DL$7,0)</f>
        <v>0</v>
      </c>
      <c r="DM57">
        <f>IF(DF57=1,DM$7,0)</f>
        <v>0</v>
      </c>
      <c r="DN57" t="str">
        <f>IF(DG57=1,DN$7,0)</f>
        <v>Timber</v>
      </c>
      <c r="DO57">
        <v>0</v>
      </c>
      <c r="DP57">
        <v>0</v>
      </c>
      <c r="DQ57"/>
      <c r="DR57"/>
      <c r="DS57"/>
      <c r="DT57">
        <f>SUM(DO57:DP57)</f>
        <v>0</v>
      </c>
      <c r="DU57" s="143" t="str">
        <f>IF(DO57=1,"self-calculated DF",IF(DP57=1,"external DF used","explicit C balance"))</f>
        <v>explicit C balance</v>
      </c>
      <c r="DV57">
        <v>1</v>
      </c>
      <c r="DW57">
        <v>1</v>
      </c>
      <c r="DX57">
        <v>1</v>
      </c>
      <c r="DY57">
        <v>0</v>
      </c>
      <c r="DZ57">
        <v>0</v>
      </c>
      <c r="EA57" s="143">
        <v>0</v>
      </c>
      <c r="EB57">
        <v>0</v>
      </c>
      <c r="EC57">
        <v>0</v>
      </c>
      <c r="ED57">
        <v>0</v>
      </c>
      <c r="EE57">
        <v>0</v>
      </c>
      <c r="EF57">
        <v>1</v>
      </c>
      <c r="EG57">
        <v>0</v>
      </c>
      <c r="EH57">
        <v>0</v>
      </c>
      <c r="EI57" s="2">
        <v>0</v>
      </c>
      <c r="EJ57" s="1"/>
      <c r="EK57" t="str">
        <f>IF(AND(AND(AND(OR($DX57=1,$DW57=1),OR($EC57=1,$EA57=1)),SUM($DV57:$DZ57,$EF57)&gt;=4),SUM($EA57:$EE57)&gt;=2),"Whole sector","")</f>
        <v/>
      </c>
      <c r="EL57" t="str">
        <f>IF(AND(AND(OR($DX57=1,$DW57=1),AND($EC57=0,$EA57=0)),SUM($DV57:$DZ57,$EF57)&gt;=4),"Ecosystem approach","")</f>
        <v>Ecosystem approach</v>
      </c>
      <c r="EM57" s="2" t="str">
        <f>IF(AND(AND(AND($DX57=0,$DW57=0),OR($EC57=1,$EA57=1)),SUM($EB57:$EE57)&gt;=2),"Technology approach","")</f>
        <v/>
      </c>
      <c r="EN57" t="s">
        <v>2487</v>
      </c>
      <c r="EO57"/>
      <c r="EP57" t="str">
        <f>IF(ISNUMBER(BU57),IF(ABS(BU57-[2]QC_indicators!$B$2)&gt;3*[2]QC_indicators!$C$2,"C ratio",IF(ISNUMBER(BY57),IF(ABS(BY57-[2]QC_indicators!$B$1)&gt;3*[2]QC_indicators!$C$1,"DF","no"))),IF(ISNUMBER(BY57),IF(ABS(BY57-[2]QC_indicators!$B$1)&gt;3*[2]QC_indicators!$C$1,"DF","no")))</f>
        <v>no</v>
      </c>
      <c r="EQ57"/>
      <c r="ER57"/>
      <c r="ES57"/>
      <c r="ET57" s="266" t="s">
        <v>3256</v>
      </c>
      <c r="EU57"/>
    </row>
    <row r="58" spans="1:151" s="139" customFormat="1" ht="15" customHeight="1">
      <c r="A58" s="1" t="s">
        <v>1810</v>
      </c>
      <c r="B58" t="s">
        <v>2477</v>
      </c>
      <c r="C58" t="s">
        <v>2478</v>
      </c>
      <c r="D58" t="s">
        <v>2479</v>
      </c>
      <c r="E58" t="s">
        <v>2480</v>
      </c>
      <c r="F58" t="s">
        <v>2481</v>
      </c>
      <c r="G58" t="s">
        <v>1816</v>
      </c>
      <c r="H58" t="s">
        <v>255</v>
      </c>
      <c r="I58">
        <v>2010</v>
      </c>
      <c r="J58">
        <v>100</v>
      </c>
      <c r="K58" t="s">
        <v>2482</v>
      </c>
      <c r="L58"/>
      <c r="M58" t="str">
        <f>LEFT($D58,FIND(",",$D58)-1)&amp;"_"&amp;I58&amp;L58</f>
        <v>Werner_2010</v>
      </c>
      <c r="N58" t="s">
        <v>223</v>
      </c>
      <c r="O58" s="145" t="s">
        <v>1156</v>
      </c>
      <c r="P58"/>
      <c r="Q58" t="s">
        <v>257</v>
      </c>
      <c r="R58" s="264" t="s">
        <v>224</v>
      </c>
      <c r="S58" s="265" t="s">
        <v>3257</v>
      </c>
      <c r="T58" t="s">
        <v>2484</v>
      </c>
      <c r="U58" t="s">
        <v>2490</v>
      </c>
      <c r="V58">
        <v>2</v>
      </c>
      <c r="W58">
        <v>0</v>
      </c>
      <c r="X58">
        <v>1</v>
      </c>
      <c r="Y58">
        <v>2</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s="141">
        <f>COUNTIF(V58:AW58,"&lt;&gt;0")</f>
        <v>3</v>
      </c>
      <c r="AY58" s="141">
        <f>COUNTIF(V58:AL58,"&lt;&gt;0")</f>
        <v>3</v>
      </c>
      <c r="AZ58">
        <f>COUNTIF(V58:AC58,"&lt;&gt;0")</f>
        <v>3</v>
      </c>
      <c r="BA58">
        <f>COUNTIF(AD58:AI58,"&lt;&gt;0")</f>
        <v>0</v>
      </c>
      <c r="BB58">
        <f>COUNTIF(AJ58:AL58,"&lt;&gt;0")</f>
        <v>0</v>
      </c>
      <c r="BC58">
        <f>COUNTIF(AS58:AW58,"&lt;&gt;0")</f>
        <v>0</v>
      </c>
      <c r="BD58">
        <f>COUNTIF(AM58:AR58,"&lt;&gt;0")</f>
        <v>0</v>
      </c>
      <c r="BE58" t="str">
        <f t="array" ref="BE58">IF(AY58=1,INDEX($V$7:$AL$7,MATCH(TRUE,INDEX($V58:$AW58&lt;&gt;0,),0)),IF(AY58=0,INDEX($AM$7:$AW$7,MATCH(1,$AM58:$AW58,0)),IF(BF58="Multiple strategies","mixed drivers",IF(BF58="Supply chain","multiple supply","multiple silviculture"))))</f>
        <v>multiple silviculture</v>
      </c>
      <c r="BF58" s="2" t="str" cm="1">
        <f t="array" ref="BF58">IF(COUNTIF(AZ58:BB58,"&lt;&gt;0")=1,INDEX($V$4:$AW$4,MATCH(TRUE,INDEX($V58:$AW58&lt;&gt;0,),0)),IF(COUNTIF(AZ58:BB58,"&lt;&gt;0")=0,INDEX($AM$4:$AW$4,MATCH(1,$AM58:$AW58,0)),"Multiple strategies"))</f>
        <v>SilvicultureRemov</v>
      </c>
      <c r="BG58" s="1" t="s">
        <v>322</v>
      </c>
      <c r="BH58" t="s">
        <v>2455</v>
      </c>
      <c r="BI58" s="266" t="s">
        <v>3254</v>
      </c>
      <c r="BJ58" t="s">
        <v>1325</v>
      </c>
      <c r="BK58">
        <v>210</v>
      </c>
      <c r="BL58">
        <v>489</v>
      </c>
      <c r="BM58" s="143">
        <f>BL58/BK58</f>
        <v>2.3285714285714287</v>
      </c>
      <c r="BN58">
        <f>BL58-BK58</f>
        <v>279</v>
      </c>
      <c r="BO58">
        <f>BN58*10^6</f>
        <v>279000000</v>
      </c>
      <c r="BP58" t="s">
        <v>233</v>
      </c>
      <c r="BQ58" s="153" t="s">
        <v>3255</v>
      </c>
      <c r="BR58" t="s">
        <v>2327</v>
      </c>
      <c r="BS58">
        <v>385.778591846273</v>
      </c>
      <c r="BT58">
        <v>74.657916514909303</v>
      </c>
      <c r="BU58" s="144">
        <f>IFERROR(BT58/BS58,"")</f>
        <v>0.19352529687458492</v>
      </c>
      <c r="BV58" s="144">
        <f>BT58-BS58</f>
        <v>-311.12067533136371</v>
      </c>
      <c r="BW58" s="144"/>
      <c r="BX58">
        <f>BV58*10^6</f>
        <v>-311120675.33136374</v>
      </c>
      <c r="BY58">
        <f>IFERROR(BX58/BO58,"")</f>
        <v>-1.1151278685711963</v>
      </c>
      <c r="BZ58">
        <v>0</v>
      </c>
      <c r="CA58">
        <v>0</v>
      </c>
      <c r="CB58">
        <v>0</v>
      </c>
      <c r="CC58">
        <v>0</v>
      </c>
      <c r="CD58">
        <v>0</v>
      </c>
      <c r="CE58">
        <v>0</v>
      </c>
      <c r="CF58">
        <v>0</v>
      </c>
      <c r="CG58">
        <v>0</v>
      </c>
      <c r="CH58">
        <v>0</v>
      </c>
      <c r="CI58">
        <v>0</v>
      </c>
      <c r="CJ58">
        <v>0</v>
      </c>
      <c r="CK58">
        <v>0</v>
      </c>
      <c r="CL58">
        <v>0</v>
      </c>
      <c r="CM58">
        <v>1</v>
      </c>
      <c r="CN58" t="str">
        <f>IF($BL58&lt;$BK58,"refNeedCorrection","refOK")</f>
        <v>refOK</v>
      </c>
      <c r="CO58">
        <f>IF($CN58="refNeedCorrection",BL58,BK58)</f>
        <v>210</v>
      </c>
      <c r="CP58">
        <f>IF($CN58="refNeedCorrection",BK58,BL58)</f>
        <v>489</v>
      </c>
      <c r="CQ58">
        <f>IF($CN58="refOK",$BO58,-$BO58)</f>
        <v>279000000</v>
      </c>
      <c r="CR58">
        <f>IF($CN58="refOK",$BS58,$BT58)*IF($BP58="Emissions positive",-1,1)</f>
        <v>385.778591846273</v>
      </c>
      <c r="CS58">
        <f>IF($CN58="refOK",$BT58,$BS58)*IF($BP58="Emissions positive",-1,1)</f>
        <v>74.657916514909303</v>
      </c>
      <c r="CT58">
        <f>IF($CN58="refNeedCorrection",-BX58,BX58)*IF($BP58="Emissions positive",-1,1)</f>
        <v>-311120675.33136374</v>
      </c>
      <c r="CU58">
        <f>IFERROR(CT58/CQ58,"")</f>
        <v>-1.1151278685711963</v>
      </c>
      <c r="CV58" s="2">
        <f>IFERROR((CS58-CR58)/ABS(CR58),"")</f>
        <v>-0.80647470312541514</v>
      </c>
      <c r="CW58" s="1" t="s">
        <v>1205</v>
      </c>
      <c r="CX58" t="str">
        <f>IF(OR($CW58="prd",$CW58="std",$CW58="cit"),"loc",IF(OR($CW58="eur",$CW58="reg",$CW58="coy"),"reg",$CW58))</f>
        <v>reg</v>
      </c>
      <c r="CY58" t="s">
        <v>641</v>
      </c>
      <c r="CZ58">
        <v>2000</v>
      </c>
      <c r="DA58">
        <v>2060</v>
      </c>
      <c r="DB58">
        <f>DA58-CZ58</f>
        <v>60</v>
      </c>
      <c r="DC58" t="str">
        <f>IF(DB58=0,"0",IF(AND(DB58&gt;=1,DB58&lt;=30),"1-30",IF(AND(DB58&gt;30,DB58&lt;=70),"31-70",IF(AND(DB58&gt;70,DB58&lt;=100),"71-100",IF(DB58&gt;100,"+100")))))</f>
        <v>31-70</v>
      </c>
      <c r="DD58">
        <v>0</v>
      </c>
      <c r="DE58">
        <v>1</v>
      </c>
      <c r="DF58">
        <v>0</v>
      </c>
      <c r="DG58">
        <v>0</v>
      </c>
      <c r="DH58">
        <v>0</v>
      </c>
      <c r="DI58">
        <f>SUM(DD58:DG58)</f>
        <v>1</v>
      </c>
      <c r="DJ58" t="str">
        <f>IF(DI58=1,INDEX($DD$7:$DG$7,MATCH(1,$DD58:$DG58,0)),"mixedProduct")</f>
        <v>EnergyInput</v>
      </c>
      <c r="DK58">
        <f>IF(DD58=1,DK$7,0)</f>
        <v>0</v>
      </c>
      <c r="DL58" t="str">
        <f>IF(DE58=1,DL$7,0)</f>
        <v>Energy</v>
      </c>
      <c r="DM58">
        <f>IF(DF58=1,DM$7,0)</f>
        <v>0</v>
      </c>
      <c r="DN58">
        <f>IF(DG58=1,DN$7,0)</f>
        <v>0</v>
      </c>
      <c r="DO58">
        <v>0</v>
      </c>
      <c r="DP58">
        <v>0</v>
      </c>
      <c r="DQ58"/>
      <c r="DR58"/>
      <c r="DS58"/>
      <c r="DT58">
        <f>SUM(DO58:DP58)</f>
        <v>0</v>
      </c>
      <c r="DU58" s="143" t="str">
        <f>IF(DO58=1,"self-calculated DF",IF(DP58=1,"external DF used","explicit C balance"))</f>
        <v>explicit C balance</v>
      </c>
      <c r="DV58">
        <v>1</v>
      </c>
      <c r="DW58">
        <v>1</v>
      </c>
      <c r="DX58">
        <v>1</v>
      </c>
      <c r="DY58">
        <v>0</v>
      </c>
      <c r="DZ58">
        <v>0</v>
      </c>
      <c r="EA58" s="143">
        <v>0</v>
      </c>
      <c r="EB58">
        <v>0</v>
      </c>
      <c r="EC58">
        <v>0</v>
      </c>
      <c r="ED58">
        <v>0</v>
      </c>
      <c r="EE58">
        <v>0</v>
      </c>
      <c r="EF58">
        <v>1</v>
      </c>
      <c r="EG58">
        <v>0</v>
      </c>
      <c r="EH58">
        <v>0</v>
      </c>
      <c r="EI58" s="2">
        <v>0</v>
      </c>
      <c r="EJ58" s="1"/>
      <c r="EK58" t="str">
        <f>IF(AND(AND(AND(OR($DX58=1,$DW58=1),OR($EC58=1,$EA58=1)),SUM($DV58:$DZ58,$EF58)&gt;=4),SUM($EA58:$EE58)&gt;=2),"Whole sector","")</f>
        <v/>
      </c>
      <c r="EL58" t="str">
        <f>IF(AND(AND(OR($DX58=1,$DW58=1),AND($EC58=0,$EA58=0)),SUM($DV58:$DZ58,$EF58)&gt;=4),"Ecosystem approach","")</f>
        <v>Ecosystem approach</v>
      </c>
      <c r="EM58" s="2" t="str">
        <f>IF(AND(AND(AND($DX58=0,$DW58=0),OR($EC58=1,$EA58=1)),SUM($EB58:$EE58)&gt;=2),"Technology approach","")</f>
        <v/>
      </c>
      <c r="EN58" t="s">
        <v>2487</v>
      </c>
      <c r="EO58"/>
      <c r="EP58" t="str">
        <f>IF(ISNUMBER(BU58),IF(ABS(BU58-[2]QC_indicators!$B$2)&gt;3*[2]QC_indicators!$C$2,"C ratio",IF(ISNUMBER(BY58),IF(ABS(BY58-[2]QC_indicators!$B$1)&gt;3*[2]QC_indicators!$C$1,"DF","no"))),IF(ISNUMBER(BY58),IF(ABS(BY58-[2]QC_indicators!$B$1)&gt;3*[2]QC_indicators!$C$1,"DF","no")))</f>
        <v>no</v>
      </c>
      <c r="EQ58"/>
      <c r="ER58"/>
      <c r="ES58"/>
      <c r="ET58" s="266" t="s">
        <v>3256</v>
      </c>
      <c r="EU58"/>
    </row>
    <row r="59" spans="1:151" s="139" customFormat="1" ht="15" hidden="1" customHeight="1">
      <c r="A59" s="1" t="s">
        <v>1272</v>
      </c>
      <c r="B59" t="s">
        <v>1273</v>
      </c>
      <c r="C59" t="s">
        <v>1274</v>
      </c>
      <c r="D59" t="s">
        <v>1275</v>
      </c>
      <c r="E59" t="s">
        <v>1276</v>
      </c>
      <c r="F59" t="s">
        <v>1277</v>
      </c>
      <c r="G59" t="s">
        <v>1278</v>
      </c>
      <c r="H59"/>
      <c r="I59">
        <v>2019</v>
      </c>
      <c r="J59"/>
      <c r="K59" t="s">
        <v>1279</v>
      </c>
      <c r="L59"/>
      <c r="M59" t="str">
        <f>LEFT($D59,FIND(",",$D59)-1)&amp;"_"&amp;I59&amp;L59</f>
        <v>Baskent_2019</v>
      </c>
      <c r="N59" t="s">
        <v>223</v>
      </c>
      <c r="O59" s="140" t="s">
        <v>514</v>
      </c>
      <c r="P59"/>
      <c r="Q59" t="s">
        <v>225</v>
      </c>
      <c r="R59" s="271" t="s">
        <v>275</v>
      </c>
      <c r="S59" s="1" t="s">
        <v>1280</v>
      </c>
      <c r="T59" s="143" t="s">
        <v>1281</v>
      </c>
      <c r="U59" t="s">
        <v>1113</v>
      </c>
      <c r="V59" s="143">
        <v>0</v>
      </c>
      <c r="W59" s="143">
        <v>0</v>
      </c>
      <c r="X59" s="143">
        <v>0</v>
      </c>
      <c r="Y59" s="143">
        <v>1</v>
      </c>
      <c r="Z59" s="143">
        <v>2</v>
      </c>
      <c r="AA59" s="143">
        <v>0</v>
      </c>
      <c r="AB59" s="143">
        <v>0</v>
      </c>
      <c r="AC59" s="143">
        <v>0</v>
      </c>
      <c r="AD59">
        <v>0</v>
      </c>
      <c r="AE59">
        <v>0</v>
      </c>
      <c r="AF59">
        <v>2</v>
      </c>
      <c r="AG59">
        <v>0</v>
      </c>
      <c r="AH59">
        <v>0</v>
      </c>
      <c r="AI59">
        <v>0</v>
      </c>
      <c r="AJ59">
        <v>2</v>
      </c>
      <c r="AK59">
        <v>0</v>
      </c>
      <c r="AL59">
        <v>0</v>
      </c>
      <c r="AM59">
        <v>0</v>
      </c>
      <c r="AN59">
        <v>2</v>
      </c>
      <c r="AO59">
        <v>2</v>
      </c>
      <c r="AP59">
        <v>0</v>
      </c>
      <c r="AQ59">
        <v>0</v>
      </c>
      <c r="AR59">
        <v>0</v>
      </c>
      <c r="AS59">
        <v>2</v>
      </c>
      <c r="AT59">
        <v>0</v>
      </c>
      <c r="AU59">
        <v>0</v>
      </c>
      <c r="AV59">
        <v>0</v>
      </c>
      <c r="AW59">
        <v>2</v>
      </c>
      <c r="AX59" s="141">
        <f>COUNTIF(V59:AW59,"&lt;&gt;0")</f>
        <v>8</v>
      </c>
      <c r="AY59" s="141">
        <f>COUNTIF(V59:AL59,"&lt;&gt;0")</f>
        <v>4</v>
      </c>
      <c r="AZ59">
        <f>COUNTIF(V59:AC59,"&lt;&gt;0")</f>
        <v>2</v>
      </c>
      <c r="BA59">
        <f>COUNTIF(AD59:AI59,"&lt;&gt;0")</f>
        <v>1</v>
      </c>
      <c r="BB59">
        <f>COUNTIF(AJ59:AL59,"&lt;&gt;0")</f>
        <v>1</v>
      </c>
      <c r="BC59">
        <f>COUNTIF(AS59:AW59,"&lt;&gt;0")</f>
        <v>2</v>
      </c>
      <c r="BD59">
        <f>COUNTIF(AM59:AR59,"&lt;&gt;0")</f>
        <v>2</v>
      </c>
      <c r="BE59" t="str">
        <f t="array" ref="BE59">IF(AY59=1,INDEX($V$7:$AL$7,MATCH(TRUE,INDEX($V59:$AW59&lt;&gt;0,),0)),IF(AY59=0,INDEX($AM$7:$AW$7,MATCH(1,$AM59:$AW59,0)),IF(BF59="Multiple strategies","mixed drivers",IF(BF59="Supply chain","multiple supply","multiple silviculture"))))</f>
        <v>mixed drivers</v>
      </c>
      <c r="BF59" s="2" t="str">
        <f t="array" ref="BF59">IF(COUNTIF(AZ59:BB59,"&lt;&gt;0")=1,INDEX($V$4:$AW$4,MATCH(TRUE,INDEX($V59:$AW59&lt;&gt;0,),0)),IF(COUNTIF(AZ59:BB59,"&lt;&gt;0")=0,INDEX($AM$4:$AW$4,MATCH(1,$AM59:$AW59,0)),"Multiple strategies"))</f>
        <v>Multiple strategies</v>
      </c>
      <c r="BG59" s="1" t="s">
        <v>322</v>
      </c>
      <c r="BH59" t="s">
        <v>1282</v>
      </c>
      <c r="BI59"/>
      <c r="BJ59" s="143" t="s">
        <v>279</v>
      </c>
      <c r="BK59">
        <v>21.305418719211811</v>
      </c>
      <c r="BL59">
        <v>22.204433497536925</v>
      </c>
      <c r="BM59">
        <f>BL59/BK59</f>
        <v>1.0421965317919071</v>
      </c>
      <c r="BN59">
        <f>BL59-BK59</f>
        <v>0.89901477832511389</v>
      </c>
      <c r="BO59" s="143">
        <f>BN59*tC_to_m3</f>
        <v>3.9036681646770037</v>
      </c>
      <c r="BP59" t="s">
        <v>233</v>
      </c>
      <c r="BQ59" t="s">
        <v>789</v>
      </c>
      <c r="BR59" s="143" t="s">
        <v>279</v>
      </c>
      <c r="BS59">
        <v>34.822007358186738</v>
      </c>
      <c r="BT59">
        <v>33.994657876790122</v>
      </c>
      <c r="BU59" s="144">
        <f>IFERROR(BT59/BS59,"")</f>
        <v>0.9762406149396754</v>
      </c>
      <c r="BV59">
        <f>BT59-BS59</f>
        <v>-0.82734948139661668</v>
      </c>
      <c r="BW59"/>
      <c r="BX59">
        <f>BV59*C_to_CO2</f>
        <v>-3.0363725967255832</v>
      </c>
      <c r="BY59">
        <f>IFERROR(BX59/BO59,"")</f>
        <v>-0.77782548839594257</v>
      </c>
      <c r="BZ59" s="143">
        <v>0</v>
      </c>
      <c r="CA59" s="143">
        <v>0</v>
      </c>
      <c r="CB59" s="143">
        <v>0</v>
      </c>
      <c r="CC59" s="143">
        <v>0</v>
      </c>
      <c r="CD59" s="143">
        <v>0</v>
      </c>
      <c r="CE59" s="143">
        <v>0</v>
      </c>
      <c r="CF59" s="143">
        <v>0</v>
      </c>
      <c r="CG59" s="143">
        <v>1</v>
      </c>
      <c r="CH59" s="143">
        <v>0</v>
      </c>
      <c r="CI59" s="143">
        <v>1</v>
      </c>
      <c r="CJ59" s="143">
        <v>1</v>
      </c>
      <c r="CK59" s="143">
        <v>0</v>
      </c>
      <c r="CL59" s="143">
        <v>1</v>
      </c>
      <c r="CM59" s="143">
        <v>0</v>
      </c>
      <c r="CN59" t="str">
        <f>IF($BL59&lt;$BK59,"refNeedCorrection","refOK")</f>
        <v>refOK</v>
      </c>
      <c r="CO59">
        <f>IF($CN59="refOK",$BK59,$BL59)</f>
        <v>21.305418719211811</v>
      </c>
      <c r="CP59">
        <f>IF($CN59="refOK",$BL59,$BK59)</f>
        <v>22.204433497536925</v>
      </c>
      <c r="CQ59">
        <f>IF($CN59="refOK",$BO59,-$BO59)</f>
        <v>3.9036681646770037</v>
      </c>
      <c r="CR59">
        <f>IF($CN59="refOK",$BS59,$BT59)*IF($BP59="Emissions positive",-1,1)</f>
        <v>34.822007358186738</v>
      </c>
      <c r="CS59">
        <f>IF($CN59="refOK",$BT59,$BS59)*IF($BP59="Emissions positive",-1,1)</f>
        <v>33.994657876790122</v>
      </c>
      <c r="CT59">
        <f>IF($CN59="refNeedCorrection",-BX59,BX59)*IF($BP59="Emissions positive",-1,1)</f>
        <v>-3.0363725967255832</v>
      </c>
      <c r="CU59">
        <f>IFERROR(CT59/CQ59,"")</f>
        <v>-0.77782548839594257</v>
      </c>
      <c r="CV59" s="2">
        <f>IFERROR((CS59-CR59)/ABS(CR59),"")</f>
        <v>-2.3759385060324639E-2</v>
      </c>
      <c r="CW59" s="1" t="s">
        <v>1201</v>
      </c>
      <c r="CX59" t="str">
        <f>IF(OR($CW59="prd",$CW59="std",$CW59="cit"),"loc",IF(OR($CW59="eur",$CW59="reg",$CW59="coy"),"reg",$CW59))</f>
        <v>reg</v>
      </c>
      <c r="CY59" t="s">
        <v>1283</v>
      </c>
      <c r="CZ59">
        <v>2010</v>
      </c>
      <c r="DA59" s="143">
        <v>2100</v>
      </c>
      <c r="DB59" s="143">
        <f>DA59-CZ59</f>
        <v>90</v>
      </c>
      <c r="DC59" t="str">
        <f>IF(DB59=0,"0",IF(AND(DB59&gt;=1,DB59&lt;=30),"1-30",IF(AND(DB59&gt;30,DB59&lt;=70),"31-70",IF(AND(DB59&gt;70,DB59&lt;=100),"71-100",IF(DB59&gt;100,"+100")))))</f>
        <v>71-100</v>
      </c>
      <c r="DD59">
        <v>1</v>
      </c>
      <c r="DE59">
        <v>1</v>
      </c>
      <c r="DF59">
        <v>1</v>
      </c>
      <c r="DG59">
        <v>1</v>
      </c>
      <c r="DH59"/>
      <c r="DI59">
        <f>SUM(DD59:DG59)</f>
        <v>4</v>
      </c>
      <c r="DJ59" t="str">
        <f>IF(DI59=1,INDEX($DD$7:$DG$7,MATCH(1,$DD59:$DG59,0)),"mixedProduct")</f>
        <v>mixedProduct</v>
      </c>
      <c r="DK59" t="str">
        <f>IF(DD59=1,DK$7,0)</f>
        <v>Upstream</v>
      </c>
      <c r="DL59" t="str">
        <f>IF(DE59=1,DL$7,0)</f>
        <v>Energy</v>
      </c>
      <c r="DM59" t="str">
        <f>IF(DF59=1,DM$7,0)</f>
        <v>Pulp/Paper</v>
      </c>
      <c r="DN59" t="str">
        <f>IF(DG59=1,DN$7,0)</f>
        <v>Timber</v>
      </c>
      <c r="DO59" s="143">
        <v>1</v>
      </c>
      <c r="DP59">
        <v>0</v>
      </c>
      <c r="DQ59" s="143">
        <v>0</v>
      </c>
      <c r="DR59" s="143">
        <v>0</v>
      </c>
      <c r="DS59" s="143" t="s">
        <v>1284</v>
      </c>
      <c r="DT59">
        <f>SUM(DO59:DP59)</f>
        <v>1</v>
      </c>
      <c r="DU59" s="143" t="str">
        <f>IF(DO59=1,"self-calculated DF",IF(DP59=1,"external DF used","explicit C balance"))</f>
        <v>self-calculated DF</v>
      </c>
      <c r="DV59" s="143">
        <v>0</v>
      </c>
      <c r="DW59">
        <v>1</v>
      </c>
      <c r="DX59" s="143">
        <v>1</v>
      </c>
      <c r="DY59" s="143">
        <v>1</v>
      </c>
      <c r="DZ59">
        <v>1</v>
      </c>
      <c r="EA59">
        <v>1</v>
      </c>
      <c r="EB59" s="143">
        <v>0</v>
      </c>
      <c r="EC59">
        <v>0</v>
      </c>
      <c r="ED59" s="143">
        <v>0</v>
      </c>
      <c r="EE59">
        <v>0</v>
      </c>
      <c r="EF59">
        <v>1</v>
      </c>
      <c r="EG59" s="143">
        <v>0</v>
      </c>
      <c r="EH59">
        <v>0</v>
      </c>
      <c r="EI59" s="2">
        <v>0</v>
      </c>
      <c r="EJ59" s="1"/>
      <c r="EK59" t="str">
        <f>IF(AND(AND(AND(OR($DX59=1,$DW59=1),OR($EC59=1,$EA59=1)),SUM($DV59:$DZ59,$EF59)&gt;=4),SUM($EA59:$EE59)&gt;=2),"Whole sector","")</f>
        <v/>
      </c>
      <c r="EL59" t="str">
        <f>IF(AND(AND(OR($DX59=1,$DW59=1),AND($EC59=0,$EA59=0)),SUM($DV59:$DZ59,$EF59)&gt;=4),"Ecosystem approach","")</f>
        <v/>
      </c>
      <c r="EM59" s="2" t="str">
        <f>IF(AND(AND(AND($DX59=0,$DW59=0),OR($EC59=1,$EA59=1)),SUM($EB59:$EE59)&gt;=2),"Technology approach","")</f>
        <v/>
      </c>
      <c r="EN59" t="s">
        <v>1285</v>
      </c>
      <c r="EO59"/>
      <c r="EP59" t="str">
        <f>IF(ISNUMBER(BU59),IF(ABS(BU59-[3]QC_indicators!$B$2)&gt;3*[3]QC_indicators!$C$2,"C ratio",IF(ISNUMBER(BY59),IF(ABS(BY59-[3]QC_indicators!$B$1)&gt;3*[3]QC_indicators!$C$1,"DF","no"))),IF(ISNUMBER(BY59),IF(ABS(BY59-[3]QC_indicators!$B$1)&gt;3*[3]QC_indicators!$C$1,"DF","no")))</f>
        <v>no</v>
      </c>
      <c r="EQ59" t="s">
        <v>287</v>
      </c>
      <c r="ER59" t="s">
        <v>1286</v>
      </c>
      <c r="ES59"/>
      <c r="ET59" s="266" t="s">
        <v>3275</v>
      </c>
      <c r="EU59"/>
    </row>
    <row r="60" spans="1:151" s="139" customFormat="1" ht="15" customHeight="1">
      <c r="A60" s="1" t="s">
        <v>1810</v>
      </c>
      <c r="B60" t="s">
        <v>2477</v>
      </c>
      <c r="C60" t="s">
        <v>2478</v>
      </c>
      <c r="D60" t="s">
        <v>2479</v>
      </c>
      <c r="E60" t="s">
        <v>2480</v>
      </c>
      <c r="F60" t="s">
        <v>2481</v>
      </c>
      <c r="G60" t="s">
        <v>1816</v>
      </c>
      <c r="H60" t="s">
        <v>255</v>
      </c>
      <c r="I60">
        <v>2010</v>
      </c>
      <c r="J60">
        <v>100</v>
      </c>
      <c r="K60" t="s">
        <v>2482</v>
      </c>
      <c r="L60"/>
      <c r="M60" t="str">
        <f>LEFT($D60,FIND(",",$D60)-1)&amp;"_"&amp;I60&amp;L60</f>
        <v>Werner_2010</v>
      </c>
      <c r="N60" t="s">
        <v>223</v>
      </c>
      <c r="O60" s="145" t="s">
        <v>1156</v>
      </c>
      <c r="P60"/>
      <c r="Q60" t="s">
        <v>257</v>
      </c>
      <c r="R60" s="264" t="s">
        <v>224</v>
      </c>
      <c r="S60" s="1" t="s">
        <v>2483</v>
      </c>
      <c r="T60" t="s">
        <v>2484</v>
      </c>
      <c r="U60" t="s">
        <v>2488</v>
      </c>
      <c r="V60">
        <v>1</v>
      </c>
      <c r="W60">
        <v>0</v>
      </c>
      <c r="X60">
        <v>2</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s="141">
        <f>COUNTIF(V60:AW60,"&lt;&gt;0")</f>
        <v>2</v>
      </c>
      <c r="AY60" s="141">
        <f>COUNTIF(V60:AL60,"&lt;&gt;0")</f>
        <v>2</v>
      </c>
      <c r="AZ60">
        <f>COUNTIF(V60:AC60,"&lt;&gt;0")</f>
        <v>2</v>
      </c>
      <c r="BA60">
        <f>COUNTIF(AD60:AI60,"&lt;&gt;0")</f>
        <v>0</v>
      </c>
      <c r="BB60">
        <f>COUNTIF(AJ60:AL60,"&lt;&gt;0")</f>
        <v>0</v>
      </c>
      <c r="BC60">
        <f>COUNTIF(AS60:AW60,"&lt;&gt;0")</f>
        <v>0</v>
      </c>
      <c r="BD60">
        <f>COUNTIF(AM60:AR60,"&lt;&gt;0")</f>
        <v>0</v>
      </c>
      <c r="BE60" t="str">
        <f t="array" ref="BE60">IF(AY60=1,INDEX($V$7:$AL$7,MATCH(TRUE,INDEX($V60:$AW60&lt;&gt;0,),0)),IF(AY60=0,INDEX($AM$7:$AW$7,MATCH(1,$AM60:$AW60,0)),IF(BF60="Multiple strategies","mixed drivers",IF(BF60="Supply chain","multiple supply","multiple silviculture"))))</f>
        <v>multiple silviculture</v>
      </c>
      <c r="BF60" s="2" t="str" cm="1">
        <f t="array" ref="BF60">IF(COUNTIF(AZ60:BB60,"&lt;&gt;0")=1,INDEX($V$4:$AW$4,MATCH(TRUE,INDEX($V60:$AW60&lt;&gt;0,),0)),IF(COUNTIF(AZ60:BB60,"&lt;&gt;0")=0,INDEX($AM$4:$AW$4,MATCH(1,$AM60:$AW60,0)),"Multiple strategies"))</f>
        <v>SilvicultureRemov</v>
      </c>
      <c r="BG60" s="1" t="s">
        <v>322</v>
      </c>
      <c r="BH60" t="s">
        <v>2455</v>
      </c>
      <c r="BI60" s="266" t="s">
        <v>3254</v>
      </c>
      <c r="BJ60" t="s">
        <v>1325</v>
      </c>
      <c r="BK60">
        <v>210</v>
      </c>
      <c r="BL60">
        <v>457.5</v>
      </c>
      <c r="BM60" s="143">
        <f>BL60/BK60</f>
        <v>2.1785714285714284</v>
      </c>
      <c r="BN60">
        <f>BL60-BK60</f>
        <v>247.5</v>
      </c>
      <c r="BO60">
        <f>BN60*10^6</f>
        <v>247500000</v>
      </c>
      <c r="BP60" t="s">
        <v>233</v>
      </c>
      <c r="BQ60" s="153" t="s">
        <v>3255</v>
      </c>
      <c r="BR60" t="s">
        <v>2327</v>
      </c>
      <c r="BS60">
        <v>385.778591846273</v>
      </c>
      <c r="BT60">
        <v>116.07299548902699</v>
      </c>
      <c r="BU60" s="144">
        <f>IFERROR(BT60/BS60,"")</f>
        <v>0.30087982574025346</v>
      </c>
      <c r="BV60" s="144">
        <f>BT60-BS60</f>
        <v>-269.70559635724601</v>
      </c>
      <c r="BW60" s="144"/>
      <c r="BX60">
        <f>BV60*10^6</f>
        <v>-269705596.35724598</v>
      </c>
      <c r="BY60">
        <f>IFERROR(BX60/BO60,"")</f>
        <v>-1.089719581241398</v>
      </c>
      <c r="BZ60">
        <v>0</v>
      </c>
      <c r="CA60">
        <v>0</v>
      </c>
      <c r="CB60">
        <v>0</v>
      </c>
      <c r="CC60">
        <v>0</v>
      </c>
      <c r="CD60">
        <v>0</v>
      </c>
      <c r="CE60">
        <v>0</v>
      </c>
      <c r="CF60">
        <v>0</v>
      </c>
      <c r="CG60">
        <v>0</v>
      </c>
      <c r="CH60">
        <v>0</v>
      </c>
      <c r="CI60">
        <v>0</v>
      </c>
      <c r="CJ60">
        <v>0</v>
      </c>
      <c r="CK60">
        <v>0</v>
      </c>
      <c r="CL60">
        <v>0</v>
      </c>
      <c r="CM60">
        <v>1</v>
      </c>
      <c r="CN60" t="str">
        <f>IF($BL60&lt;$BK60,"refNeedCorrection","refOK")</f>
        <v>refOK</v>
      </c>
      <c r="CO60">
        <f>IF($CN60="refNeedCorrection",BL60,BK60)</f>
        <v>210</v>
      </c>
      <c r="CP60">
        <f>IF($CN60="refNeedCorrection",BK60,BL60)</f>
        <v>457.5</v>
      </c>
      <c r="CQ60">
        <f>IF($CN60="refOK",$BO60,-$BO60)</f>
        <v>247500000</v>
      </c>
      <c r="CR60">
        <f>IF($CN60="refOK",$BS60,$BT60)*IF($BP60="Emissions positive",-1,1)</f>
        <v>385.778591846273</v>
      </c>
      <c r="CS60">
        <f>IF($CN60="refOK",$BT60,$BS60)*IF($BP60="Emissions positive",-1,1)</f>
        <v>116.07299548902699</v>
      </c>
      <c r="CT60">
        <f>IF($CN60="refNeedCorrection",-BX60,BX60)*IF($BP60="Emissions positive",-1,1)</f>
        <v>-269705596.35724598</v>
      </c>
      <c r="CU60">
        <f>IFERROR(CT60/CQ60,"")</f>
        <v>-1.089719581241398</v>
      </c>
      <c r="CV60" s="2">
        <f>IFERROR((CS60-CR60)/ABS(CR60),"")</f>
        <v>-0.69912017425974649</v>
      </c>
      <c r="CW60" s="1" t="s">
        <v>1205</v>
      </c>
      <c r="CX60" t="str">
        <f>IF(OR($CW60="prd",$CW60="std",$CW60="cit"),"loc",IF(OR($CW60="eur",$CW60="reg",$CW60="coy"),"reg",$CW60))</f>
        <v>reg</v>
      </c>
      <c r="CY60" t="s">
        <v>641</v>
      </c>
      <c r="CZ60">
        <v>2000</v>
      </c>
      <c r="DA60">
        <v>2060</v>
      </c>
      <c r="DB60">
        <f>DA60-CZ60</f>
        <v>60</v>
      </c>
      <c r="DC60" t="str">
        <f>IF(DB60=0,"0",IF(AND(DB60&gt;=1,DB60&lt;=30),"1-30",IF(AND(DB60&gt;30,DB60&lt;=70),"31-70",IF(AND(DB60&gt;70,DB60&lt;=100),"71-100",IF(DB60&gt;100,"+100")))))</f>
        <v>31-70</v>
      </c>
      <c r="DD60">
        <v>1</v>
      </c>
      <c r="DE60">
        <v>0</v>
      </c>
      <c r="DF60">
        <v>0</v>
      </c>
      <c r="DG60">
        <v>0</v>
      </c>
      <c r="DH60">
        <v>0</v>
      </c>
      <c r="DI60">
        <f>SUM(DD60:DG60)</f>
        <v>1</v>
      </c>
      <c r="DJ60" t="str">
        <f>IF(DI60=1,INDEX($DD$7:$DG$7,MATCH(1,$DD60:$DG60,0)),"mixedProduct")</f>
        <v>UpstreamInput</v>
      </c>
      <c r="DK60" t="str">
        <f>IF(DD60=1,DK$7,0)</f>
        <v>Upstream</v>
      </c>
      <c r="DL60">
        <f>IF(DE60=1,DL$7,0)</f>
        <v>0</v>
      </c>
      <c r="DM60">
        <f>IF(DF60=1,DM$7,0)</f>
        <v>0</v>
      </c>
      <c r="DN60">
        <f>IF(DG60=1,DN$7,0)</f>
        <v>0</v>
      </c>
      <c r="DO60">
        <v>0</v>
      </c>
      <c r="DP60">
        <v>0</v>
      </c>
      <c r="DQ60"/>
      <c r="DR60"/>
      <c r="DS60"/>
      <c r="DT60">
        <f>SUM(DO60:DP60)</f>
        <v>0</v>
      </c>
      <c r="DU60" s="143" t="str">
        <f>IF(DO60=1,"self-calculated DF",IF(DP60=1,"external DF used","explicit C balance"))</f>
        <v>explicit C balance</v>
      </c>
      <c r="DV60">
        <v>1</v>
      </c>
      <c r="DW60">
        <v>1</v>
      </c>
      <c r="DX60">
        <v>1</v>
      </c>
      <c r="DY60">
        <v>0</v>
      </c>
      <c r="DZ60">
        <v>0</v>
      </c>
      <c r="EA60" s="143">
        <v>0</v>
      </c>
      <c r="EB60">
        <v>0</v>
      </c>
      <c r="EC60">
        <v>0</v>
      </c>
      <c r="ED60">
        <v>0</v>
      </c>
      <c r="EE60">
        <v>0</v>
      </c>
      <c r="EF60">
        <v>1</v>
      </c>
      <c r="EG60">
        <v>0</v>
      </c>
      <c r="EH60">
        <v>0</v>
      </c>
      <c r="EI60" s="2">
        <v>0</v>
      </c>
      <c r="EJ60" s="1"/>
      <c r="EK60" t="str">
        <f>IF(AND(AND(AND(OR($DX60=1,$DW60=1),OR($EC60=1,$EA60=1)),SUM($DV60:$DZ60,$EF60)&gt;=4),SUM($EA60:$EE60)&gt;=2),"Whole sector","")</f>
        <v/>
      </c>
      <c r="EL60" t="str">
        <f>IF(AND(AND(OR($DX60=1,$DW60=1),AND($EC60=0,$EA60=0)),SUM($DV60:$DZ60,$EF60)&gt;=4),"Ecosystem approach","")</f>
        <v>Ecosystem approach</v>
      </c>
      <c r="EM60" s="2" t="str">
        <f>IF(AND(AND(AND($DX60=0,$DW60=0),OR($EC60=1,$EA60=1)),SUM($EB60:$EE60)&gt;=2),"Technology approach","")</f>
        <v/>
      </c>
      <c r="EN60" t="s">
        <v>2487</v>
      </c>
      <c r="EO60"/>
      <c r="EP60" t="str">
        <f>IF(ISNUMBER(BU60),IF(ABS(BU60-[2]QC_indicators!$B$2)&gt;3*[2]QC_indicators!$C$2,"C ratio",IF(ISNUMBER(BY60),IF(ABS(BY60-[2]QC_indicators!$B$1)&gt;3*[2]QC_indicators!$C$1,"DF","no"))),IF(ISNUMBER(BY60),IF(ABS(BY60-[2]QC_indicators!$B$1)&gt;3*[2]QC_indicators!$C$1,"DF","no")))</f>
        <v>no</v>
      </c>
      <c r="EQ60"/>
      <c r="ER60"/>
      <c r="ES60"/>
      <c r="ET60" s="266" t="s">
        <v>3256</v>
      </c>
      <c r="EU60"/>
    </row>
    <row r="61" spans="1:151" s="139" customFormat="1" ht="15" hidden="1" customHeight="1">
      <c r="A61" s="1" t="s">
        <v>1272</v>
      </c>
      <c r="B61" t="s">
        <v>1273</v>
      </c>
      <c r="C61" t="s">
        <v>1274</v>
      </c>
      <c r="D61" t="s">
        <v>1275</v>
      </c>
      <c r="E61" t="s">
        <v>1276</v>
      </c>
      <c r="F61" t="s">
        <v>1277</v>
      </c>
      <c r="G61" t="s">
        <v>1278</v>
      </c>
      <c r="H61"/>
      <c r="I61">
        <v>2019</v>
      </c>
      <c r="J61"/>
      <c r="K61" t="s">
        <v>1279</v>
      </c>
      <c r="L61"/>
      <c r="M61" t="str">
        <f>LEFT($D61,FIND(",",$D61)-1)&amp;"_"&amp;I61&amp;L61</f>
        <v>Baskent_2019</v>
      </c>
      <c r="N61" t="s">
        <v>223</v>
      </c>
      <c r="O61" s="140" t="s">
        <v>514</v>
      </c>
      <c r="P61"/>
      <c r="Q61" t="s">
        <v>225</v>
      </c>
      <c r="R61" s="271" t="s">
        <v>275</v>
      </c>
      <c r="S61" s="1" t="s">
        <v>1280</v>
      </c>
      <c r="T61" t="s">
        <v>1113</v>
      </c>
      <c r="U61" s="143" t="s">
        <v>1287</v>
      </c>
      <c r="V61" s="143">
        <v>0</v>
      </c>
      <c r="W61" s="143">
        <v>0</v>
      </c>
      <c r="X61" s="143">
        <v>0</v>
      </c>
      <c r="Y61" s="143">
        <v>1</v>
      </c>
      <c r="Z61" s="143">
        <v>2</v>
      </c>
      <c r="AA61" s="143">
        <v>0</v>
      </c>
      <c r="AB61" s="143">
        <v>0</v>
      </c>
      <c r="AC61" s="143">
        <v>0</v>
      </c>
      <c r="AD61">
        <v>0</v>
      </c>
      <c r="AE61">
        <v>0</v>
      </c>
      <c r="AF61">
        <v>2</v>
      </c>
      <c r="AG61">
        <v>0</v>
      </c>
      <c r="AH61">
        <v>0</v>
      </c>
      <c r="AI61">
        <v>0</v>
      </c>
      <c r="AJ61">
        <v>2</v>
      </c>
      <c r="AK61">
        <v>0</v>
      </c>
      <c r="AL61">
        <v>0</v>
      </c>
      <c r="AM61">
        <v>0</v>
      </c>
      <c r="AN61">
        <v>2</v>
      </c>
      <c r="AO61">
        <v>2</v>
      </c>
      <c r="AP61">
        <v>0</v>
      </c>
      <c r="AQ61">
        <v>0</v>
      </c>
      <c r="AR61">
        <v>0</v>
      </c>
      <c r="AS61">
        <v>2</v>
      </c>
      <c r="AT61">
        <v>0</v>
      </c>
      <c r="AU61">
        <v>0</v>
      </c>
      <c r="AV61">
        <v>0</v>
      </c>
      <c r="AW61">
        <v>2</v>
      </c>
      <c r="AX61" s="141">
        <f>COUNTIF(V61:AW61,"&lt;&gt;0")</f>
        <v>8</v>
      </c>
      <c r="AY61" s="141">
        <f>COUNTIF(V61:AL61,"&lt;&gt;0")</f>
        <v>4</v>
      </c>
      <c r="AZ61">
        <f>COUNTIF(V61:AC61,"&lt;&gt;0")</f>
        <v>2</v>
      </c>
      <c r="BA61">
        <f>COUNTIF(AD61:AI61,"&lt;&gt;0")</f>
        <v>1</v>
      </c>
      <c r="BB61">
        <f>COUNTIF(AJ61:AL61,"&lt;&gt;0")</f>
        <v>1</v>
      </c>
      <c r="BC61">
        <f>COUNTIF(AS61:AW61,"&lt;&gt;0")</f>
        <v>2</v>
      </c>
      <c r="BD61">
        <f>COUNTIF(AM61:AR61,"&lt;&gt;0")</f>
        <v>2</v>
      </c>
      <c r="BE61" t="str">
        <f t="array" ref="BE61">IF(AY61=1,INDEX($V$7:$AL$7,MATCH(TRUE,INDEX($V61:$AW61&lt;&gt;0,),0)),IF(AY61=0,INDEX($AM$7:$AW$7,MATCH(1,$AM61:$AW61,0)),IF(BF61="Multiple strategies","mixed drivers",IF(BF61="Supply chain","multiple supply","multiple silviculture"))))</f>
        <v>mixed drivers</v>
      </c>
      <c r="BF61" s="2" t="str">
        <f t="array" ref="BF61">IF(COUNTIF(AZ61:BB61,"&lt;&gt;0")=1,INDEX($V$4:$AW$4,MATCH(TRUE,INDEX($V61:$AW61&lt;&gt;0,),0)),IF(COUNTIF(AZ61:BB61,"&lt;&gt;0")=0,INDEX($AM$4:$AW$4,MATCH(1,$AM61:$AW61,0)),"Multiple strategies"))</f>
        <v>Multiple strategies</v>
      </c>
      <c r="BG61" s="1" t="s">
        <v>322</v>
      </c>
      <c r="BH61" t="s">
        <v>1282</v>
      </c>
      <c r="BI61"/>
      <c r="BJ61" s="143" t="s">
        <v>279</v>
      </c>
      <c r="BK61">
        <v>22.204433497536925</v>
      </c>
      <c r="BL61">
        <v>22.426108374384221</v>
      </c>
      <c r="BM61" s="143">
        <f>BL61/BK61</f>
        <v>1.0099833610648921</v>
      </c>
      <c r="BN61">
        <f>BL61-BK61</f>
        <v>0.22167487684729537</v>
      </c>
      <c r="BO61" s="143">
        <f>BN61*tC_to_m3</f>
        <v>0.96254831457792178</v>
      </c>
      <c r="BP61" t="s">
        <v>233</v>
      </c>
      <c r="BQ61" t="s">
        <v>789</v>
      </c>
      <c r="BR61" s="143" t="s">
        <v>279</v>
      </c>
      <c r="BS61">
        <v>42.123971298234274</v>
      </c>
      <c r="BT61">
        <v>45.12148839762213</v>
      </c>
      <c r="BU61" s="144">
        <f>IFERROR(BT61/BS61,"")</f>
        <v>1.0711594136783942</v>
      </c>
      <c r="BV61">
        <f>BT61-BS61</f>
        <v>2.9975170993878564</v>
      </c>
      <c r="BW61"/>
      <c r="BX61">
        <f>BV61*C_to_CO2</f>
        <v>11.000887754753432</v>
      </c>
      <c r="BY61">
        <f>IFERROR(BX61/BO61,"")</f>
        <v>11.428920074082027</v>
      </c>
      <c r="BZ61" s="143">
        <v>0</v>
      </c>
      <c r="CA61" s="143">
        <v>0</v>
      </c>
      <c r="CB61" s="143">
        <v>0</v>
      </c>
      <c r="CC61" s="143">
        <v>0</v>
      </c>
      <c r="CD61" s="143">
        <v>0</v>
      </c>
      <c r="CE61" s="143">
        <v>0</v>
      </c>
      <c r="CF61" s="143">
        <v>0</v>
      </c>
      <c r="CG61" s="143">
        <v>1</v>
      </c>
      <c r="CH61" s="143">
        <v>0</v>
      </c>
      <c r="CI61" s="143">
        <v>1</v>
      </c>
      <c r="CJ61" s="143">
        <v>1</v>
      </c>
      <c r="CK61" s="143">
        <v>0</v>
      </c>
      <c r="CL61" s="143">
        <v>1</v>
      </c>
      <c r="CM61" s="143">
        <v>0</v>
      </c>
      <c r="CN61" t="str">
        <f>IF($BL61&lt;$BK61,"refNeedCorrection","refOK")</f>
        <v>refOK</v>
      </c>
      <c r="CO61">
        <f>IF($CN61="refOK",$BK61,$BL61)</f>
        <v>22.204433497536925</v>
      </c>
      <c r="CP61">
        <f>IF($CN61="refOK",$BL61,$BK61)</f>
        <v>22.426108374384221</v>
      </c>
      <c r="CQ61">
        <f>IF($CN61="refOK",$BO61,-$BO61)</f>
        <v>0.96254831457792178</v>
      </c>
      <c r="CR61">
        <f>IF($CN61="refOK",$BS61,$BT61)*IF($BP61="Emissions positive",-1,1)</f>
        <v>42.123971298234274</v>
      </c>
      <c r="CS61">
        <f>IF($CN61="refOK",$BT61,$BS61)*IF($BP61="Emissions positive",-1,1)</f>
        <v>45.12148839762213</v>
      </c>
      <c r="CT61">
        <f>IF($CN61="refNeedCorrection",-BX61,BX61)*IF($BP61="Emissions positive",-1,1)</f>
        <v>11.000887754753432</v>
      </c>
      <c r="CU61">
        <f>IFERROR(CT61/CQ61,"")</f>
        <v>11.428920074082027</v>
      </c>
      <c r="CV61" s="2">
        <f>IFERROR((CS61-CR61)/ABS(CR61),"")</f>
        <v>7.1159413678394193E-2</v>
      </c>
      <c r="CW61" s="1" t="s">
        <v>1201</v>
      </c>
      <c r="CX61" t="str">
        <f>IF(OR($CW61="prd",$CW61="std",$CW61="cit"),"loc",IF(OR($CW61="eur",$CW61="reg",$CW61="coy"),"reg",$CW61))</f>
        <v>reg</v>
      </c>
      <c r="CY61" t="s">
        <v>1283</v>
      </c>
      <c r="CZ61">
        <v>2010</v>
      </c>
      <c r="DA61" s="143">
        <v>2100</v>
      </c>
      <c r="DB61" s="143">
        <f>DA61-CZ61</f>
        <v>90</v>
      </c>
      <c r="DC61" t="str">
        <f>IF(DB61=0,"0",IF(AND(DB61&gt;=1,DB61&lt;=30),"1-30",IF(AND(DB61&gt;30,DB61&lt;=70),"31-70",IF(AND(DB61&gt;70,DB61&lt;=100),"71-100",IF(DB61&gt;100,"+100")))))</f>
        <v>71-100</v>
      </c>
      <c r="DD61">
        <v>1</v>
      </c>
      <c r="DE61">
        <v>1</v>
      </c>
      <c r="DF61">
        <v>1</v>
      </c>
      <c r="DG61">
        <v>1</v>
      </c>
      <c r="DH61"/>
      <c r="DI61">
        <f>SUM(DD61:DG61)</f>
        <v>4</v>
      </c>
      <c r="DJ61" t="str">
        <f>IF(DI61=1,INDEX($DD$7:$DG$7,MATCH(1,$DD61:$DG61,0)),"mixedProduct")</f>
        <v>mixedProduct</v>
      </c>
      <c r="DK61" t="str">
        <f>IF(DD61=1,DK$7,0)</f>
        <v>Upstream</v>
      </c>
      <c r="DL61" t="str">
        <f>IF(DE61=1,DL$7,0)</f>
        <v>Energy</v>
      </c>
      <c r="DM61" t="str">
        <f>IF(DF61=1,DM$7,0)</f>
        <v>Pulp/Paper</v>
      </c>
      <c r="DN61" t="str">
        <f>IF(DG61=1,DN$7,0)</f>
        <v>Timber</v>
      </c>
      <c r="DO61" s="143">
        <v>1</v>
      </c>
      <c r="DP61">
        <v>0</v>
      </c>
      <c r="DQ61" s="143">
        <v>0</v>
      </c>
      <c r="DR61" s="143">
        <v>0</v>
      </c>
      <c r="DS61" s="143" t="s">
        <v>1284</v>
      </c>
      <c r="DT61">
        <f>SUM(DO61:DP61)</f>
        <v>1</v>
      </c>
      <c r="DU61" s="143" t="str">
        <f>IF(DO61=1,"self-calculated DF",IF(DP61=1,"external DF used","explicit C balance"))</f>
        <v>self-calculated DF</v>
      </c>
      <c r="DV61" s="143">
        <v>0</v>
      </c>
      <c r="DW61">
        <v>1</v>
      </c>
      <c r="DX61" s="143">
        <v>1</v>
      </c>
      <c r="DY61" s="143">
        <v>1</v>
      </c>
      <c r="DZ61">
        <v>1</v>
      </c>
      <c r="EA61">
        <v>1</v>
      </c>
      <c r="EB61" s="143">
        <v>0</v>
      </c>
      <c r="EC61">
        <v>0</v>
      </c>
      <c r="ED61" s="143">
        <v>0</v>
      </c>
      <c r="EE61">
        <v>0</v>
      </c>
      <c r="EF61">
        <v>1</v>
      </c>
      <c r="EG61" s="143">
        <v>0</v>
      </c>
      <c r="EH61">
        <v>0</v>
      </c>
      <c r="EI61" s="2">
        <v>0</v>
      </c>
      <c r="EJ61" s="1"/>
      <c r="EK61" t="str">
        <f>IF(AND(AND(AND(OR($DX61=1,$DW61=1),OR($EC61=1,$EA61=1)),SUM($DV61:$DZ61,$EF61)&gt;=4),SUM($EA61:$EE61)&gt;=2),"Whole sector","")</f>
        <v/>
      </c>
      <c r="EL61" t="str">
        <f>IF(AND(AND(OR($DX61=1,$DW61=1),AND($EC61=0,$EA61=0)),SUM($DV61:$DZ61,$EF61)&gt;=4),"Ecosystem approach","")</f>
        <v/>
      </c>
      <c r="EM61" s="2" t="str">
        <f>IF(AND(AND(AND($DX61=0,$DW61=0),OR($EC61=1,$EA61=1)),SUM($EB61:$EE61)&gt;=2),"Technology approach","")</f>
        <v/>
      </c>
      <c r="EN61" t="s">
        <v>1285</v>
      </c>
      <c r="EO61"/>
      <c r="EP61" t="str">
        <f>IF(ISNUMBER(BU61),IF(ABS(BU61-[3]QC_indicators!$B$2)&gt;3*[3]QC_indicators!$C$2,"C ratio",IF(ISNUMBER(BY61),IF(ABS(BY61-[3]QC_indicators!$B$1)&gt;3*[3]QC_indicators!$C$1,"DF","no"))),IF(ISNUMBER(BY61),IF(ABS(BY61-[3]QC_indicators!$B$1)&gt;3*[3]QC_indicators!$C$1,"DF","no")))</f>
        <v>DF</v>
      </c>
      <c r="EQ61" t="s">
        <v>287</v>
      </c>
      <c r="ER61" t="s">
        <v>1286</v>
      </c>
      <c r="ES61"/>
      <c r="ET61" s="266" t="s">
        <v>3275</v>
      </c>
      <c r="EU61"/>
    </row>
    <row r="62" spans="1:151" s="139" customFormat="1" ht="15" hidden="1" customHeight="1">
      <c r="A62" s="1" t="s">
        <v>1272</v>
      </c>
      <c r="B62" t="s">
        <v>1273</v>
      </c>
      <c r="C62" t="s">
        <v>1274</v>
      </c>
      <c r="D62" t="s">
        <v>1275</v>
      </c>
      <c r="E62" t="s">
        <v>1276</v>
      </c>
      <c r="F62" t="s">
        <v>1277</v>
      </c>
      <c r="G62" t="s">
        <v>1278</v>
      </c>
      <c r="H62"/>
      <c r="I62">
        <v>2019</v>
      </c>
      <c r="J62"/>
      <c r="K62" s="266" t="s">
        <v>1279</v>
      </c>
      <c r="L62"/>
      <c r="M62" t="str">
        <f>LEFT($D62,FIND(",",$D62)-1)&amp;"_"&amp;I62&amp;L62</f>
        <v>Baskent_2019</v>
      </c>
      <c r="N62" t="s">
        <v>223</v>
      </c>
      <c r="O62" s="140" t="s">
        <v>514</v>
      </c>
      <c r="P62"/>
      <c r="Q62" t="s">
        <v>225</v>
      </c>
      <c r="R62" s="271" t="s">
        <v>275</v>
      </c>
      <c r="S62" s="1" t="s">
        <v>1280</v>
      </c>
      <c r="T62" s="143" t="s">
        <v>1281</v>
      </c>
      <c r="U62" t="s">
        <v>1113</v>
      </c>
      <c r="V62" s="143">
        <v>0</v>
      </c>
      <c r="W62" s="143">
        <v>0</v>
      </c>
      <c r="X62" s="143">
        <v>0</v>
      </c>
      <c r="Y62" s="143">
        <v>1</v>
      </c>
      <c r="Z62" s="143">
        <v>2</v>
      </c>
      <c r="AA62" s="143">
        <v>0</v>
      </c>
      <c r="AB62" s="143">
        <v>0</v>
      </c>
      <c r="AC62" s="143">
        <v>0</v>
      </c>
      <c r="AD62">
        <v>0</v>
      </c>
      <c r="AE62">
        <v>0</v>
      </c>
      <c r="AF62">
        <v>2</v>
      </c>
      <c r="AG62">
        <v>0</v>
      </c>
      <c r="AH62">
        <v>0</v>
      </c>
      <c r="AI62">
        <v>0</v>
      </c>
      <c r="AJ62">
        <v>2</v>
      </c>
      <c r="AK62">
        <v>0</v>
      </c>
      <c r="AL62">
        <v>0</v>
      </c>
      <c r="AM62">
        <v>0</v>
      </c>
      <c r="AN62">
        <v>2</v>
      </c>
      <c r="AO62">
        <v>2</v>
      </c>
      <c r="AP62">
        <v>0</v>
      </c>
      <c r="AQ62">
        <v>0</v>
      </c>
      <c r="AR62">
        <v>0</v>
      </c>
      <c r="AS62">
        <v>2</v>
      </c>
      <c r="AT62">
        <v>0</v>
      </c>
      <c r="AU62">
        <v>0</v>
      </c>
      <c r="AV62">
        <v>0</v>
      </c>
      <c r="AW62">
        <v>2</v>
      </c>
      <c r="AX62" s="141">
        <f>COUNTIF(V62:AW62,"&lt;&gt;0")</f>
        <v>8</v>
      </c>
      <c r="AY62" s="141">
        <f>COUNTIF(V62:AL62,"&lt;&gt;0")</f>
        <v>4</v>
      </c>
      <c r="AZ62">
        <f>COUNTIF(V62:AC62,"&lt;&gt;0")</f>
        <v>2</v>
      </c>
      <c r="BA62">
        <f>COUNTIF(AD62:AI62,"&lt;&gt;0")</f>
        <v>1</v>
      </c>
      <c r="BB62">
        <f>COUNTIF(AJ62:AL62,"&lt;&gt;0")</f>
        <v>1</v>
      </c>
      <c r="BC62">
        <f>COUNTIF(AS62:AW62,"&lt;&gt;0")</f>
        <v>2</v>
      </c>
      <c r="BD62">
        <f>COUNTIF(AM62:AR62,"&lt;&gt;0")</f>
        <v>2</v>
      </c>
      <c r="BE62" t="str">
        <f t="array" ref="BE62">IF(AY62=1,INDEX($V$7:$AL$7,MATCH(TRUE,INDEX($V62:$AW62&lt;&gt;0,),0)),IF(AY62=0,INDEX($AM$7:$AW$7,MATCH(1,$AM62:$AW62,0)),IF(BF62="Multiple strategies","mixed drivers",IF(BF62="Supply chain","multiple supply","multiple silviculture"))))</f>
        <v>mixed drivers</v>
      </c>
      <c r="BF62" s="2" t="str">
        <f t="array" ref="BF62">IF(COUNTIF(AZ62:BB62,"&lt;&gt;0")=1,INDEX($V$4:$AW$4,MATCH(TRUE,INDEX($V62:$AW62&lt;&gt;0,),0)),IF(COUNTIF(AZ62:BB62,"&lt;&gt;0")=0,INDEX($AM$4:$AW$4,MATCH(1,$AM62:$AW62,0)),"Multiple strategies"))</f>
        <v>Multiple strategies</v>
      </c>
      <c r="BG62" s="1" t="s">
        <v>322</v>
      </c>
      <c r="BH62" t="s">
        <v>1282</v>
      </c>
      <c r="BI62"/>
      <c r="BJ62" s="143" t="s">
        <v>279</v>
      </c>
      <c r="BK62">
        <v>21.305418719211811</v>
      </c>
      <c r="BL62">
        <v>22.204433497536925</v>
      </c>
      <c r="BM62">
        <f>BL62/BK62</f>
        <v>1.0421965317919071</v>
      </c>
      <c r="BN62">
        <f>BL62-BK62</f>
        <v>0.89901477832511389</v>
      </c>
      <c r="BO62" s="143">
        <f>BN62*tC_to_m3</f>
        <v>3.9036681646770037</v>
      </c>
      <c r="BP62" t="s">
        <v>233</v>
      </c>
      <c r="BQ62" t="s">
        <v>789</v>
      </c>
      <c r="BR62" s="143" t="s">
        <v>279</v>
      </c>
      <c r="BS62">
        <v>42.671145411137601</v>
      </c>
      <c r="BT62">
        <v>32.530120481927703</v>
      </c>
      <c r="BU62" s="144">
        <f>IFERROR(BT62/BS62,"")</f>
        <v>0.76234467503740855</v>
      </c>
      <c r="BV62">
        <f>BT62-BS62</f>
        <v>-10.141024929209898</v>
      </c>
      <c r="BW62"/>
      <c r="BX62">
        <f>BV62*C_to_CO2</f>
        <v>-37.217561490200325</v>
      </c>
      <c r="BY62">
        <f>IFERROR(BX62/BO62,"")</f>
        <v>-9.5339972354642413</v>
      </c>
      <c r="BZ62" s="143">
        <v>0</v>
      </c>
      <c r="CA62" s="143">
        <v>0</v>
      </c>
      <c r="CB62" s="143">
        <v>0</v>
      </c>
      <c r="CC62" s="143">
        <v>0</v>
      </c>
      <c r="CD62" s="143">
        <v>0</v>
      </c>
      <c r="CE62" s="143">
        <v>0</v>
      </c>
      <c r="CF62" s="143">
        <v>0</v>
      </c>
      <c r="CG62" s="143">
        <v>1</v>
      </c>
      <c r="CH62" s="143">
        <v>0</v>
      </c>
      <c r="CI62" s="143">
        <v>1</v>
      </c>
      <c r="CJ62" s="143">
        <v>1</v>
      </c>
      <c r="CK62" s="143">
        <v>0</v>
      </c>
      <c r="CL62" s="143">
        <v>1</v>
      </c>
      <c r="CM62" s="143">
        <v>0</v>
      </c>
      <c r="CN62" t="str">
        <f>IF($BL62&lt;$BK62,"refNeedCorrection","refOK")</f>
        <v>refOK</v>
      </c>
      <c r="CO62">
        <f>IF($CN62="refOK",$BK62,$BL62)</f>
        <v>21.305418719211811</v>
      </c>
      <c r="CP62">
        <f>IF($CN62="refOK",$BL62,$BK62)</f>
        <v>22.204433497536925</v>
      </c>
      <c r="CQ62">
        <f>IF($CN62="refOK",$BO62,-$BO62)</f>
        <v>3.9036681646770037</v>
      </c>
      <c r="CR62">
        <f>IF($CN62="refOK",$BS62,$BT62)*IF($BP62="Emissions positive",-1,1)</f>
        <v>42.671145411137601</v>
      </c>
      <c r="CS62">
        <f>IF($CN62="refOK",$BT62,$BS62)*IF($BP62="Emissions positive",-1,1)</f>
        <v>32.530120481927703</v>
      </c>
      <c r="CT62">
        <f>IF($CN62="refNeedCorrection",-BX62,BX62)*IF($BP62="Emissions positive",-1,1)</f>
        <v>-37.217561490200325</v>
      </c>
      <c r="CU62">
        <f>IFERROR(CT62/CQ62,"")</f>
        <v>-9.5339972354642413</v>
      </c>
      <c r="CV62" s="2">
        <f>IFERROR((CS62-CR62)/ABS(CR62),"")</f>
        <v>-0.23765532496259142</v>
      </c>
      <c r="CW62" s="1" t="s">
        <v>1201</v>
      </c>
      <c r="CX62" t="str">
        <f>IF(OR($CW62="prd",$CW62="std",$CW62="cit"),"loc",IF(OR($CW62="eur",$CW62="reg",$CW62="coy"),"reg",$CW62))</f>
        <v>reg</v>
      </c>
      <c r="CY62" t="s">
        <v>1283</v>
      </c>
      <c r="CZ62">
        <v>2010</v>
      </c>
      <c r="DA62" s="143">
        <v>2100</v>
      </c>
      <c r="DB62" s="143">
        <f>DA62-CZ62</f>
        <v>90</v>
      </c>
      <c r="DC62" t="str">
        <f>IF(DB62=0,"0",IF(AND(DB62&gt;=1,DB62&lt;=30),"1-30",IF(AND(DB62&gt;30,DB62&lt;=70),"31-70",IF(AND(DB62&gt;70,DB62&lt;=100),"71-100",IF(DB62&gt;100,"+100")))))</f>
        <v>71-100</v>
      </c>
      <c r="DD62">
        <v>1</v>
      </c>
      <c r="DE62">
        <v>0</v>
      </c>
      <c r="DF62">
        <v>0</v>
      </c>
      <c r="DG62">
        <v>0</v>
      </c>
      <c r="DH62"/>
      <c r="DI62">
        <f>SUM(DD62:DG62)</f>
        <v>1</v>
      </c>
      <c r="DJ62" t="str">
        <f>IF(DI62=1,INDEX($DD$7:$DG$7,MATCH(1,$DD62:$DG62,0)),"mixedProduct")</f>
        <v>UpstreamInput</v>
      </c>
      <c r="DK62" t="str">
        <f>IF(DD62=1,DK$7,0)</f>
        <v>Upstream</v>
      </c>
      <c r="DL62">
        <f>IF(DE62=1,DL$7,0)</f>
        <v>0</v>
      </c>
      <c r="DM62">
        <f>IF(DF62=1,DM$7,0)</f>
        <v>0</v>
      </c>
      <c r="DN62">
        <f>IF(DG62=1,DN$7,0)</f>
        <v>0</v>
      </c>
      <c r="DO62" s="143">
        <v>1</v>
      </c>
      <c r="DP62">
        <v>0</v>
      </c>
      <c r="DQ62" s="143">
        <v>0</v>
      </c>
      <c r="DR62" s="143">
        <v>0</v>
      </c>
      <c r="DS62" s="143" t="s">
        <v>1284</v>
      </c>
      <c r="DT62">
        <f>SUM(DO62:DP62)</f>
        <v>1</v>
      </c>
      <c r="DU62" s="143" t="str">
        <f>IF(DO62=1,"self-calculated DF",IF(DP62=1,"external DF used","explicit C balance"))</f>
        <v>self-calculated DF</v>
      </c>
      <c r="DV62" s="143">
        <v>0</v>
      </c>
      <c r="DW62">
        <v>1</v>
      </c>
      <c r="DX62" s="143">
        <v>1</v>
      </c>
      <c r="DY62" s="143">
        <v>0</v>
      </c>
      <c r="DZ62">
        <v>0</v>
      </c>
      <c r="EA62">
        <v>0</v>
      </c>
      <c r="EB62" s="143">
        <v>0</v>
      </c>
      <c r="EC62">
        <v>0</v>
      </c>
      <c r="ED62" s="143">
        <v>0</v>
      </c>
      <c r="EE62">
        <v>0</v>
      </c>
      <c r="EF62">
        <v>1</v>
      </c>
      <c r="EG62" s="143">
        <v>0</v>
      </c>
      <c r="EH62">
        <v>0</v>
      </c>
      <c r="EI62" s="2">
        <v>0</v>
      </c>
      <c r="EJ62" s="1"/>
      <c r="EK62" t="str">
        <f>IF(AND(AND(AND(OR($DX62=1,$DW62=1),OR($EC62=1,$EA62=1)),SUM($DV62:$DZ62,$EF62)&gt;=4),SUM($EA62:$EE62)&gt;=2),"Whole sector","")</f>
        <v/>
      </c>
      <c r="EL62" t="str">
        <f>IF(AND(AND(OR($DX62=1,$DW62=1),AND($EC62=0,$EA62=0)),SUM($DV62:$DZ62,$EF62)&gt;=4),"Ecosystem approach","")</f>
        <v/>
      </c>
      <c r="EM62" s="2" t="str">
        <f>IF(AND(AND(AND($DX62=0,$DW62=0),OR($EC62=1,$EA62=1)),SUM($EB62:$EE62)&gt;=2),"Technology approach","")</f>
        <v/>
      </c>
      <c r="EN62" t="s">
        <v>1285</v>
      </c>
      <c r="EO62"/>
      <c r="EP62" t="str">
        <f>IF(ISNUMBER(BU62),IF(ABS(BU62-[3]QC_indicators!$B$2)&gt;3*[3]QC_indicators!$C$2,"C ratio",IF(ISNUMBER(BY62),IF(ABS(BY62-[3]QC_indicators!$B$1)&gt;3*[3]QC_indicators!$C$1,"DF","no"))),IF(ISNUMBER(BY62),IF(ABS(BY62-[3]QC_indicators!$B$1)&gt;3*[3]QC_indicators!$C$1,"DF","no")))</f>
        <v>DF</v>
      </c>
      <c r="EQ62" t="s">
        <v>287</v>
      </c>
      <c r="ER62" t="s">
        <v>1286</v>
      </c>
      <c r="ES62"/>
      <c r="ET62" s="266" t="s">
        <v>3275</v>
      </c>
      <c r="EU62"/>
    </row>
    <row r="63" spans="1:151" s="139" customFormat="1" ht="15" hidden="1" customHeight="1">
      <c r="A63" s="1" t="s">
        <v>1272</v>
      </c>
      <c r="B63" t="s">
        <v>1273</v>
      </c>
      <c r="C63" t="s">
        <v>1274</v>
      </c>
      <c r="D63" t="s">
        <v>1275</v>
      </c>
      <c r="E63" t="s">
        <v>1276</v>
      </c>
      <c r="F63" t="s">
        <v>1277</v>
      </c>
      <c r="G63" t="s">
        <v>1278</v>
      </c>
      <c r="H63"/>
      <c r="I63">
        <v>2019</v>
      </c>
      <c r="J63"/>
      <c r="K63" t="s">
        <v>1279</v>
      </c>
      <c r="L63"/>
      <c r="M63" t="str">
        <f>LEFT($D63,FIND(",",$D63)-1)&amp;"_"&amp;I63&amp;L63</f>
        <v>Baskent_2019</v>
      </c>
      <c r="N63" t="s">
        <v>223</v>
      </c>
      <c r="O63" s="140" t="s">
        <v>514</v>
      </c>
      <c r="P63"/>
      <c r="Q63" t="s">
        <v>225</v>
      </c>
      <c r="R63" s="271" t="s">
        <v>275</v>
      </c>
      <c r="S63" s="1" t="s">
        <v>1280</v>
      </c>
      <c r="T63" t="s">
        <v>1113</v>
      </c>
      <c r="U63" s="143" t="s">
        <v>1287</v>
      </c>
      <c r="V63" s="143">
        <v>0</v>
      </c>
      <c r="W63" s="143">
        <v>0</v>
      </c>
      <c r="X63" s="143">
        <v>0</v>
      </c>
      <c r="Y63" s="143">
        <v>1</v>
      </c>
      <c r="Z63" s="143">
        <v>2</v>
      </c>
      <c r="AA63" s="143">
        <v>0</v>
      </c>
      <c r="AB63" s="143">
        <v>0</v>
      </c>
      <c r="AC63" s="143">
        <v>0</v>
      </c>
      <c r="AD63">
        <v>0</v>
      </c>
      <c r="AE63">
        <v>0</v>
      </c>
      <c r="AF63">
        <v>2</v>
      </c>
      <c r="AG63">
        <v>0</v>
      </c>
      <c r="AH63">
        <v>0</v>
      </c>
      <c r="AI63">
        <v>0</v>
      </c>
      <c r="AJ63">
        <v>2</v>
      </c>
      <c r="AK63">
        <v>0</v>
      </c>
      <c r="AL63">
        <v>0</v>
      </c>
      <c r="AM63">
        <v>0</v>
      </c>
      <c r="AN63">
        <v>2</v>
      </c>
      <c r="AO63">
        <v>2</v>
      </c>
      <c r="AP63">
        <v>0</v>
      </c>
      <c r="AQ63">
        <v>0</v>
      </c>
      <c r="AR63">
        <v>0</v>
      </c>
      <c r="AS63">
        <v>2</v>
      </c>
      <c r="AT63">
        <v>0</v>
      </c>
      <c r="AU63">
        <v>0</v>
      </c>
      <c r="AV63">
        <v>0</v>
      </c>
      <c r="AW63">
        <v>2</v>
      </c>
      <c r="AX63" s="141">
        <f>COUNTIF(V63:AW63,"&lt;&gt;0")</f>
        <v>8</v>
      </c>
      <c r="AY63" s="141">
        <f>COUNTIF(V63:AL63,"&lt;&gt;0")</f>
        <v>4</v>
      </c>
      <c r="AZ63">
        <f>COUNTIF(V63:AC63,"&lt;&gt;0")</f>
        <v>2</v>
      </c>
      <c r="BA63">
        <f>COUNTIF(AD63:AI63,"&lt;&gt;0")</f>
        <v>1</v>
      </c>
      <c r="BB63">
        <f>COUNTIF(AJ63:AL63,"&lt;&gt;0")</f>
        <v>1</v>
      </c>
      <c r="BC63">
        <f>COUNTIF(AS63:AW63,"&lt;&gt;0")</f>
        <v>2</v>
      </c>
      <c r="BD63">
        <f>COUNTIF(AM63:AR63,"&lt;&gt;0")</f>
        <v>2</v>
      </c>
      <c r="BE63" t="str">
        <f t="array" ref="BE63">IF(AY63=1,INDEX($V$7:$AL$7,MATCH(TRUE,INDEX($V63:$AW63&lt;&gt;0,),0)),IF(AY63=0,INDEX($AM$7:$AW$7,MATCH(1,$AM63:$AW63,0)),IF(BF63="Multiple strategies","mixed drivers",IF(BF63="Supply chain","multiple supply","multiple silviculture"))))</f>
        <v>mixed drivers</v>
      </c>
      <c r="BF63" s="2" t="str">
        <f t="array" ref="BF63">IF(COUNTIF(AZ63:BB63,"&lt;&gt;0")=1,INDEX($V$4:$AW$4,MATCH(TRUE,INDEX($V63:$AW63&lt;&gt;0,),0)),IF(COUNTIF(AZ63:BB63,"&lt;&gt;0")=0,INDEX($AM$4:$AW$4,MATCH(1,$AM63:$AW63,0)),"Multiple strategies"))</f>
        <v>Multiple strategies</v>
      </c>
      <c r="BG63" s="1" t="s">
        <v>322</v>
      </c>
      <c r="BH63" t="s">
        <v>1282</v>
      </c>
      <c r="BI63"/>
      <c r="BJ63" s="143" t="s">
        <v>279</v>
      </c>
      <c r="BK63">
        <v>22.204433497536925</v>
      </c>
      <c r="BL63">
        <v>22.426108374384221</v>
      </c>
      <c r="BM63" s="143">
        <f>BL63/BK63</f>
        <v>1.0099833610648921</v>
      </c>
      <c r="BN63">
        <f>BL63-BK63</f>
        <v>0.22167487684729537</v>
      </c>
      <c r="BO63" s="143">
        <f>BN63*tC_to_m3</f>
        <v>0.96254831457792178</v>
      </c>
      <c r="BP63" t="s">
        <v>233</v>
      </c>
      <c r="BQ63" t="s">
        <v>789</v>
      </c>
      <c r="BR63" s="143" t="s">
        <v>279</v>
      </c>
      <c r="BS63">
        <v>32.530120481927703</v>
      </c>
      <c r="BT63">
        <v>35.060240963855399</v>
      </c>
      <c r="BU63" s="144">
        <f>IFERROR(BT63/BS63,"")</f>
        <v>1.0777777777777773</v>
      </c>
      <c r="BV63">
        <f>BT63-BS63</f>
        <v>2.5301204819276961</v>
      </c>
      <c r="BW63"/>
      <c r="BX63">
        <f>BV63*C_to_CO2</f>
        <v>9.2855421686746453</v>
      </c>
      <c r="BY63">
        <f>IFERROR(BX63/BO63,"")</f>
        <v>9.6468322971884923</v>
      </c>
      <c r="BZ63" s="143">
        <v>0</v>
      </c>
      <c r="CA63" s="143">
        <v>0</v>
      </c>
      <c r="CB63" s="143">
        <v>0</v>
      </c>
      <c r="CC63" s="143">
        <v>0</v>
      </c>
      <c r="CD63" s="143">
        <v>0</v>
      </c>
      <c r="CE63" s="143">
        <v>0</v>
      </c>
      <c r="CF63" s="143">
        <v>0</v>
      </c>
      <c r="CG63" s="143">
        <v>1</v>
      </c>
      <c r="CH63" s="143">
        <v>0</v>
      </c>
      <c r="CI63" s="143">
        <v>1</v>
      </c>
      <c r="CJ63" s="143">
        <v>1</v>
      </c>
      <c r="CK63" s="143">
        <v>0</v>
      </c>
      <c r="CL63" s="143">
        <v>1</v>
      </c>
      <c r="CM63" s="143">
        <v>0</v>
      </c>
      <c r="CN63" t="str">
        <f>IF($BL63&lt;$BK63,"refNeedCorrection","refOK")</f>
        <v>refOK</v>
      </c>
      <c r="CO63">
        <f>IF($CN63="refOK",$BK63,$BL63)</f>
        <v>22.204433497536925</v>
      </c>
      <c r="CP63">
        <f>IF($CN63="refOK",$BL63,$BK63)</f>
        <v>22.426108374384221</v>
      </c>
      <c r="CQ63">
        <f>IF($CN63="refOK",$BO63,-$BO63)</f>
        <v>0.96254831457792178</v>
      </c>
      <c r="CR63">
        <f>IF($CN63="refOK",$BS63,$BT63)*IF($BP63="Emissions positive",-1,1)</f>
        <v>32.530120481927703</v>
      </c>
      <c r="CS63">
        <f>IF($CN63="refOK",$BT63,$BS63)*IF($BP63="Emissions positive",-1,1)</f>
        <v>35.060240963855399</v>
      </c>
      <c r="CT63">
        <f>IF($CN63="refNeedCorrection",-BX63,BX63)*IF($BP63="Emissions positive",-1,1)</f>
        <v>9.2855421686746453</v>
      </c>
      <c r="CU63">
        <f>IFERROR(CT63/CQ63,"")</f>
        <v>9.6468322971884923</v>
      </c>
      <c r="CV63" s="2">
        <f>IFERROR((CS63-CR63)/ABS(CR63),"")</f>
        <v>7.7777777777777349E-2</v>
      </c>
      <c r="CW63" s="1" t="s">
        <v>1201</v>
      </c>
      <c r="CX63" t="str">
        <f>IF(OR($CW63="prd",$CW63="std",$CW63="cit"),"loc",IF(OR($CW63="eur",$CW63="reg",$CW63="coy"),"reg",$CW63))</f>
        <v>reg</v>
      </c>
      <c r="CY63" t="s">
        <v>1283</v>
      </c>
      <c r="CZ63">
        <v>2010</v>
      </c>
      <c r="DA63" s="143">
        <v>2100</v>
      </c>
      <c r="DB63" s="143">
        <f>DA63-CZ63</f>
        <v>90</v>
      </c>
      <c r="DC63" t="str">
        <f>IF(DB63=0,"0",IF(AND(DB63&gt;=1,DB63&lt;=30),"1-30",IF(AND(DB63&gt;30,DB63&lt;=70),"31-70",IF(AND(DB63&gt;70,DB63&lt;=100),"71-100",IF(DB63&gt;100,"+100")))))</f>
        <v>71-100</v>
      </c>
      <c r="DD63">
        <v>1</v>
      </c>
      <c r="DE63">
        <v>0</v>
      </c>
      <c r="DF63">
        <v>0</v>
      </c>
      <c r="DG63">
        <v>0</v>
      </c>
      <c r="DH63"/>
      <c r="DI63">
        <f>SUM(DD63:DG63)</f>
        <v>1</v>
      </c>
      <c r="DJ63" t="str">
        <f>IF(DI63=1,INDEX($DD$7:$DG$7,MATCH(1,$DD63:$DG63,0)),"mixedProduct")</f>
        <v>UpstreamInput</v>
      </c>
      <c r="DK63" t="str">
        <f>IF(DD63=1,DK$7,0)</f>
        <v>Upstream</v>
      </c>
      <c r="DL63">
        <f>IF(DE63=1,DL$7,0)</f>
        <v>0</v>
      </c>
      <c r="DM63">
        <f>IF(DF63=1,DM$7,0)</f>
        <v>0</v>
      </c>
      <c r="DN63">
        <f>IF(DG63=1,DN$7,0)</f>
        <v>0</v>
      </c>
      <c r="DO63" s="143">
        <v>1</v>
      </c>
      <c r="DP63">
        <v>0</v>
      </c>
      <c r="DQ63" s="143">
        <v>0</v>
      </c>
      <c r="DR63" s="143">
        <v>0</v>
      </c>
      <c r="DS63" s="143" t="s">
        <v>1284</v>
      </c>
      <c r="DT63">
        <f>SUM(DO63:DP63)</f>
        <v>1</v>
      </c>
      <c r="DU63" s="143" t="str">
        <f>IF(DO63=1,"self-calculated DF",IF(DP63=1,"external DF used","explicit C balance"))</f>
        <v>self-calculated DF</v>
      </c>
      <c r="DV63" s="143">
        <v>0</v>
      </c>
      <c r="DW63">
        <v>1</v>
      </c>
      <c r="DX63" s="143">
        <v>1</v>
      </c>
      <c r="DY63" s="143">
        <v>0</v>
      </c>
      <c r="DZ63">
        <v>0</v>
      </c>
      <c r="EA63">
        <v>0</v>
      </c>
      <c r="EB63" s="143">
        <v>0</v>
      </c>
      <c r="EC63">
        <v>0</v>
      </c>
      <c r="ED63" s="143">
        <v>0</v>
      </c>
      <c r="EE63">
        <v>0</v>
      </c>
      <c r="EF63">
        <v>1</v>
      </c>
      <c r="EG63" s="143">
        <v>0</v>
      </c>
      <c r="EH63">
        <v>0</v>
      </c>
      <c r="EI63" s="2">
        <v>0</v>
      </c>
      <c r="EJ63" s="1"/>
      <c r="EK63" t="str">
        <f>IF(AND(AND(AND(OR($DX63=1,$DW63=1),OR($EC63=1,$EA63=1)),SUM($DV63:$DZ63,$EF63)&gt;=4),SUM($EA63:$EE63)&gt;=2),"Whole sector","")</f>
        <v/>
      </c>
      <c r="EL63" t="str">
        <f>IF(AND(AND(OR($DX63=1,$DW63=1),AND($EC63=0,$EA63=0)),SUM($DV63:$DZ63,$EF63)&gt;=4),"Ecosystem approach","")</f>
        <v/>
      </c>
      <c r="EM63" s="2" t="str">
        <f>IF(AND(AND(AND($DX63=0,$DW63=0),OR($EC63=1,$EA63=1)),SUM($EB63:$EE63)&gt;=2),"Technology approach","")</f>
        <v/>
      </c>
      <c r="EN63" t="s">
        <v>1285</v>
      </c>
      <c r="EO63"/>
      <c r="EP63" t="str">
        <f>IF(ISNUMBER(BU63),IF(ABS(BU63-[3]QC_indicators!$B$2)&gt;3*[3]QC_indicators!$C$2,"C ratio",IF(ISNUMBER(BY63),IF(ABS(BY63-[3]QC_indicators!$B$1)&gt;3*[3]QC_indicators!$C$1,"DF","no"))),IF(ISNUMBER(BY63),IF(ABS(BY63-[3]QC_indicators!$B$1)&gt;3*[3]QC_indicators!$C$1,"DF","no")))</f>
        <v>DF</v>
      </c>
      <c r="EQ63" t="s">
        <v>287</v>
      </c>
      <c r="ER63" t="s">
        <v>1286</v>
      </c>
      <c r="ES63"/>
      <c r="ET63" s="266" t="s">
        <v>3275</v>
      </c>
      <c r="EU63"/>
    </row>
    <row r="64" spans="1:151" s="139" customFormat="1" ht="15" customHeight="1">
      <c r="A64" s="1" t="s">
        <v>1810</v>
      </c>
      <c r="B64" t="s">
        <v>2477</v>
      </c>
      <c r="C64" t="s">
        <v>2478</v>
      </c>
      <c r="D64" t="s">
        <v>2479</v>
      </c>
      <c r="E64" t="s">
        <v>2480</v>
      </c>
      <c r="F64" t="s">
        <v>2481</v>
      </c>
      <c r="G64" t="s">
        <v>1816</v>
      </c>
      <c r="H64" t="s">
        <v>255</v>
      </c>
      <c r="I64">
        <v>2010</v>
      </c>
      <c r="J64">
        <v>100</v>
      </c>
      <c r="K64" t="s">
        <v>2482</v>
      </c>
      <c r="L64"/>
      <c r="M64" t="str">
        <f>LEFT($D64,FIND(",",$D64)-1)&amp;"_"&amp;I64&amp;L64</f>
        <v>Werner_2010</v>
      </c>
      <c r="N64" t="s">
        <v>223</v>
      </c>
      <c r="O64" s="145" t="s">
        <v>1156</v>
      </c>
      <c r="P64"/>
      <c r="Q64" t="s">
        <v>257</v>
      </c>
      <c r="R64" s="264" t="s">
        <v>224</v>
      </c>
      <c r="S64" s="1" t="s">
        <v>2483</v>
      </c>
      <c r="T64" t="s">
        <v>2484</v>
      </c>
      <c r="U64" t="s">
        <v>1157</v>
      </c>
      <c r="V64">
        <v>1</v>
      </c>
      <c r="W64">
        <v>0</v>
      </c>
      <c r="X64">
        <v>2</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s="141">
        <f>COUNTIF(V64:AW64,"&lt;&gt;0")</f>
        <v>2</v>
      </c>
      <c r="AY64" s="141">
        <f>COUNTIF(V64:AL64,"&lt;&gt;0")</f>
        <v>2</v>
      </c>
      <c r="AZ64">
        <f>COUNTIF(V64:AC64,"&lt;&gt;0")</f>
        <v>2</v>
      </c>
      <c r="BA64">
        <f>COUNTIF(AD64:AI64,"&lt;&gt;0")</f>
        <v>0</v>
      </c>
      <c r="BB64">
        <f>COUNTIF(AJ64:AL64,"&lt;&gt;0")</f>
        <v>0</v>
      </c>
      <c r="BC64">
        <f>COUNTIF(AS64:AW64,"&lt;&gt;0")</f>
        <v>0</v>
      </c>
      <c r="BD64">
        <f>COUNTIF(AM64:AR64,"&lt;&gt;0")</f>
        <v>0</v>
      </c>
      <c r="BE64" t="str">
        <f t="array" ref="BE64">IF(AY64=1,INDEX($V$7:$AL$7,MATCH(TRUE,INDEX($V64:$AW64&lt;&gt;0,),0)),IF(AY64=0,INDEX($AM$7:$AW$7,MATCH(1,$AM64:$AW64,0)),IF(BF64="Multiple strategies","mixed drivers",IF(BF64="Supply chain","multiple supply","multiple silviculture"))))</f>
        <v>multiple silviculture</v>
      </c>
      <c r="BF64" s="2" t="str" cm="1">
        <f t="array" ref="BF64">IF(COUNTIF(AZ64:BB64,"&lt;&gt;0")=1,INDEX($V$4:$AW$4,MATCH(TRUE,INDEX($V64:$AW64&lt;&gt;0,),0)),IF(COUNTIF(AZ64:BB64,"&lt;&gt;0")=0,INDEX($AM$4:$AW$4,MATCH(1,$AM64:$AW64,0)),"Multiple strategies"))</f>
        <v>SilvicultureRemov</v>
      </c>
      <c r="BG64" s="1" t="s">
        <v>322</v>
      </c>
      <c r="BH64" t="s">
        <v>2455</v>
      </c>
      <c r="BI64" s="266" t="s">
        <v>3254</v>
      </c>
      <c r="BJ64" t="s">
        <v>1325</v>
      </c>
      <c r="BK64">
        <v>210</v>
      </c>
      <c r="BL64">
        <v>340.5</v>
      </c>
      <c r="BM64" s="143">
        <f>BL64/BK64</f>
        <v>1.6214285714285714</v>
      </c>
      <c r="BN64">
        <f>BL64-BK64</f>
        <v>130.5</v>
      </c>
      <c r="BO64">
        <f>BN64*10^6</f>
        <v>130500000</v>
      </c>
      <c r="BP64" t="s">
        <v>233</v>
      </c>
      <c r="BQ64" s="153" t="s">
        <v>3255</v>
      </c>
      <c r="BR64" t="s">
        <v>2327</v>
      </c>
      <c r="BS64">
        <v>385.51880535301569</v>
      </c>
      <c r="BT64">
        <v>160.9167191536873</v>
      </c>
      <c r="BU64" s="144">
        <f>IFERROR(BT64/BS64,"")</f>
        <v>0.41740303435091181</v>
      </c>
      <c r="BV64" s="144">
        <f>BT64-BS64</f>
        <v>-224.6020861993284</v>
      </c>
      <c r="BW64" s="144"/>
      <c r="BX64">
        <f>BV64*10^6</f>
        <v>-224602086.19932839</v>
      </c>
      <c r="BY64">
        <f>IFERROR(BX64/BO64,"")</f>
        <v>-1.721088783136616</v>
      </c>
      <c r="BZ64">
        <v>0</v>
      </c>
      <c r="CA64">
        <v>0</v>
      </c>
      <c r="CB64">
        <v>0</v>
      </c>
      <c r="CC64">
        <v>0</v>
      </c>
      <c r="CD64">
        <v>0</v>
      </c>
      <c r="CE64">
        <v>0</v>
      </c>
      <c r="CF64">
        <v>0</v>
      </c>
      <c r="CG64">
        <v>0</v>
      </c>
      <c r="CH64">
        <v>0</v>
      </c>
      <c r="CI64">
        <v>0</v>
      </c>
      <c r="CJ64">
        <v>0</v>
      </c>
      <c r="CK64">
        <v>0</v>
      </c>
      <c r="CL64">
        <v>0</v>
      </c>
      <c r="CM64">
        <v>1</v>
      </c>
      <c r="CN64" t="str">
        <f>IF($BL64&lt;$BK64,"refNeedCorrection","refOK")</f>
        <v>refOK</v>
      </c>
      <c r="CO64">
        <f>IF($CN64="refOK",$BK64,$BL64)</f>
        <v>210</v>
      </c>
      <c r="CP64">
        <f>IF($CN64="refOK",$BL64,$BK64)</f>
        <v>340.5</v>
      </c>
      <c r="CQ64">
        <f>IF($CN64="refOK",$BO64,-$BO64)</f>
        <v>130500000</v>
      </c>
      <c r="CR64">
        <f>IF($CN64="refOK",$BS64,$BT64)*IF($BP64="Emissions positive",-1,1)</f>
        <v>385.51880535301569</v>
      </c>
      <c r="CS64">
        <f>IF($CN64="refOK",$BT64,$BS64)*IF($BP64="Emissions positive",-1,1)</f>
        <v>160.9167191536873</v>
      </c>
      <c r="CT64">
        <f>IF($CN64="refNeedCorrection",-BX64,BX64)*IF($BP64="Emissions positive",-1,1)</f>
        <v>-224602086.19932839</v>
      </c>
      <c r="CU64">
        <f>IFERROR(CT64/CQ64,"")</f>
        <v>-1.721088783136616</v>
      </c>
      <c r="CV64" s="2">
        <f>IFERROR((CS64-CR64)/ABS(CR64),"")</f>
        <v>-0.58259696564908814</v>
      </c>
      <c r="CW64" s="1" t="s">
        <v>1205</v>
      </c>
      <c r="CX64" t="str">
        <f>IF(OR($CW64="prd",$CW64="std",$CW64="cit"),"loc",IF(OR($CW64="eur",$CW64="reg",$CW64="coy"),"reg",$CW64))</f>
        <v>reg</v>
      </c>
      <c r="CY64" t="s">
        <v>641</v>
      </c>
      <c r="CZ64">
        <v>2000</v>
      </c>
      <c r="DA64">
        <v>2060</v>
      </c>
      <c r="DB64">
        <f>DA64-CZ64</f>
        <v>60</v>
      </c>
      <c r="DC64" t="str">
        <f>IF(DB64=0,"0",IF(AND(DB64&gt;=1,DB64&lt;=30),"1-30",IF(AND(DB64&gt;30,DB64&lt;=70),"31-70",IF(AND(DB64&gt;70,DB64&lt;=100),"71-100",IF(DB64&gt;100,"+100")))))</f>
        <v>31-70</v>
      </c>
      <c r="DD64">
        <v>1</v>
      </c>
      <c r="DE64">
        <v>0</v>
      </c>
      <c r="DF64">
        <v>0</v>
      </c>
      <c r="DG64">
        <v>0</v>
      </c>
      <c r="DH64">
        <v>0</v>
      </c>
      <c r="DI64">
        <f>SUM(DD64:DG64)</f>
        <v>1</v>
      </c>
      <c r="DJ64" t="str">
        <f>IF(DI64=1,INDEX($DD$7:$DG$7,MATCH(1,$DD64:$DG64,0)),"mixedProduct")</f>
        <v>UpstreamInput</v>
      </c>
      <c r="DK64" t="str">
        <f>IF(DD64=1,DK$7,0)</f>
        <v>Upstream</v>
      </c>
      <c r="DL64">
        <f>IF(DE64=1,DL$7,0)</f>
        <v>0</v>
      </c>
      <c r="DM64">
        <f>IF(DF64=1,DM$7,0)</f>
        <v>0</v>
      </c>
      <c r="DN64">
        <f>IF(DG64=1,DN$7,0)</f>
        <v>0</v>
      </c>
      <c r="DO64">
        <v>0</v>
      </c>
      <c r="DP64">
        <v>0</v>
      </c>
      <c r="DQ64"/>
      <c r="DR64"/>
      <c r="DS64"/>
      <c r="DT64">
        <f>SUM(DO64:DP64)</f>
        <v>0</v>
      </c>
      <c r="DU64" s="143" t="str">
        <f>IF(DO64=1,"self-calculated DF",IF(DP64=1,"external DF used","explicit C balance"))</f>
        <v>explicit C balance</v>
      </c>
      <c r="DV64">
        <v>1</v>
      </c>
      <c r="DW64">
        <v>1</v>
      </c>
      <c r="DX64">
        <v>1</v>
      </c>
      <c r="DY64">
        <v>1</v>
      </c>
      <c r="DZ64">
        <v>0</v>
      </c>
      <c r="EA64" s="143">
        <v>0</v>
      </c>
      <c r="EB64">
        <v>0</v>
      </c>
      <c r="EC64">
        <v>0</v>
      </c>
      <c r="ED64">
        <v>0</v>
      </c>
      <c r="EE64">
        <v>0</v>
      </c>
      <c r="EF64">
        <v>1</v>
      </c>
      <c r="EG64">
        <v>0</v>
      </c>
      <c r="EH64">
        <v>0</v>
      </c>
      <c r="EI64" s="2">
        <v>0</v>
      </c>
      <c r="EJ64" s="1"/>
      <c r="EK64" t="str">
        <f>IF(AND(AND(AND(OR($DX64=1,$DW64=1),OR($EC64=1,$EA64=1)),SUM($DV64:$DZ64,$EF64)&gt;=4),SUM($EA64:$EE64)&gt;=2),"Whole sector","")</f>
        <v/>
      </c>
      <c r="EL64" t="str">
        <f>IF(AND(AND(OR($DX64=1,$DW64=1),AND($EC64=0,$EA64=0)),SUM($DV64:$DZ64,$EF64)&gt;=4),"Ecosystem approach","")</f>
        <v>Ecosystem approach</v>
      </c>
      <c r="EM64" s="2" t="str">
        <f>IF(AND(AND(AND($DX64=0,$DW64=0),OR($EC64=1,$EA64=1)),SUM($EB64:$EE64)&gt;=2),"Technology approach","")</f>
        <v/>
      </c>
      <c r="EN64" t="s">
        <v>2487</v>
      </c>
      <c r="EO64"/>
      <c r="EP64" t="str">
        <f>IF(ISNUMBER(BU64),IF(ABS(BU64-[2]QC_indicators!$B$2)&gt;3*[2]QC_indicators!$C$2,"C ratio",IF(ISNUMBER(BY64),IF(ABS(BY64-[2]QC_indicators!$B$1)&gt;3*[2]QC_indicators!$C$1,"DF","no"))),IF(ISNUMBER(BY64),IF(ABS(BY64-[2]QC_indicators!$B$1)&gt;3*[2]QC_indicators!$C$1,"DF","no")))</f>
        <v>no</v>
      </c>
      <c r="EQ64"/>
      <c r="ER64"/>
      <c r="ES64"/>
      <c r="ET64" s="266" t="s">
        <v>3256</v>
      </c>
      <c r="EU64"/>
    </row>
    <row r="65" spans="1:151" s="139" customFormat="1" ht="15" hidden="1" customHeight="1">
      <c r="A65" s="1" t="s">
        <v>1272</v>
      </c>
      <c r="B65" t="s">
        <v>1273</v>
      </c>
      <c r="C65" t="s">
        <v>1274</v>
      </c>
      <c r="D65" t="s">
        <v>1275</v>
      </c>
      <c r="E65" t="s">
        <v>1276</v>
      </c>
      <c r="F65" t="s">
        <v>1277</v>
      </c>
      <c r="G65" t="s">
        <v>1278</v>
      </c>
      <c r="H65"/>
      <c r="I65">
        <v>2019</v>
      </c>
      <c r="J65"/>
      <c r="K65" t="s">
        <v>1279</v>
      </c>
      <c r="L65"/>
      <c r="M65" t="str">
        <f>LEFT($D65,FIND(",",$D65)-1)&amp;"_"&amp;I65&amp;L65</f>
        <v>Baskent_2019</v>
      </c>
      <c r="N65" t="s">
        <v>223</v>
      </c>
      <c r="O65" s="140" t="s">
        <v>514</v>
      </c>
      <c r="P65"/>
      <c r="Q65" t="s">
        <v>225</v>
      </c>
      <c r="R65" s="271" t="s">
        <v>275</v>
      </c>
      <c r="S65" s="1" t="s">
        <v>1280</v>
      </c>
      <c r="T65" t="s">
        <v>1113</v>
      </c>
      <c r="U65" s="143" t="s">
        <v>1287</v>
      </c>
      <c r="V65" s="143">
        <v>0</v>
      </c>
      <c r="W65" s="143">
        <v>0</v>
      </c>
      <c r="X65" s="143">
        <v>0</v>
      </c>
      <c r="Y65" s="143">
        <v>1</v>
      </c>
      <c r="Z65" s="143">
        <v>2</v>
      </c>
      <c r="AA65" s="143">
        <v>0</v>
      </c>
      <c r="AB65" s="143">
        <v>0</v>
      </c>
      <c r="AC65" s="143">
        <v>0</v>
      </c>
      <c r="AD65">
        <v>0</v>
      </c>
      <c r="AE65">
        <v>0</v>
      </c>
      <c r="AF65">
        <v>2</v>
      </c>
      <c r="AG65">
        <v>0</v>
      </c>
      <c r="AH65">
        <v>0</v>
      </c>
      <c r="AI65">
        <v>0</v>
      </c>
      <c r="AJ65">
        <v>2</v>
      </c>
      <c r="AK65">
        <v>0</v>
      </c>
      <c r="AL65">
        <v>0</v>
      </c>
      <c r="AM65">
        <v>0</v>
      </c>
      <c r="AN65">
        <v>2</v>
      </c>
      <c r="AO65">
        <v>2</v>
      </c>
      <c r="AP65">
        <v>0</v>
      </c>
      <c r="AQ65">
        <v>0</v>
      </c>
      <c r="AR65">
        <v>0</v>
      </c>
      <c r="AS65">
        <v>2</v>
      </c>
      <c r="AT65">
        <v>0</v>
      </c>
      <c r="AU65">
        <v>0</v>
      </c>
      <c r="AV65">
        <v>0</v>
      </c>
      <c r="AW65">
        <v>2</v>
      </c>
      <c r="AX65" s="141">
        <f>COUNTIF(V65:AW65,"&lt;&gt;0")</f>
        <v>8</v>
      </c>
      <c r="AY65" s="141">
        <f>COUNTIF(V65:AL65,"&lt;&gt;0")</f>
        <v>4</v>
      </c>
      <c r="AZ65">
        <f>COUNTIF(V65:AC65,"&lt;&gt;0")</f>
        <v>2</v>
      </c>
      <c r="BA65">
        <f>COUNTIF(AD65:AI65,"&lt;&gt;0")</f>
        <v>1</v>
      </c>
      <c r="BB65">
        <f>COUNTIF(AJ65:AL65,"&lt;&gt;0")</f>
        <v>1</v>
      </c>
      <c r="BC65">
        <f>COUNTIF(AS65:AW65,"&lt;&gt;0")</f>
        <v>2</v>
      </c>
      <c r="BD65">
        <f>COUNTIF(AM65:AR65,"&lt;&gt;0")</f>
        <v>2</v>
      </c>
      <c r="BE65" t="str">
        <f t="array" ref="BE65">IF(AY65=1,INDEX($V$7:$AL$7,MATCH(TRUE,INDEX($V65:$AW65&lt;&gt;0,),0)),IF(AY65=0,INDEX($AM$7:$AW$7,MATCH(1,$AM65:$AW65,0)),IF(BF65="Multiple strategies","mixed drivers",IF(BF65="Supply chain","multiple supply","multiple silviculture"))))</f>
        <v>mixed drivers</v>
      </c>
      <c r="BF65" s="2" t="str">
        <f t="array" ref="BF65">IF(COUNTIF(AZ65:BB65,"&lt;&gt;0")=1,INDEX($V$4:$AW$4,MATCH(TRUE,INDEX($V65:$AW65&lt;&gt;0,),0)),IF(COUNTIF(AZ65:BB65,"&lt;&gt;0")=0,INDEX($AM$4:$AW$4,MATCH(1,$AM65:$AW65,0)),"Multiple strategies"))</f>
        <v>Multiple strategies</v>
      </c>
      <c r="BG65" s="1" t="s">
        <v>322</v>
      </c>
      <c r="BH65" t="s">
        <v>1282</v>
      </c>
      <c r="BI65"/>
      <c r="BJ65" s="143" t="s">
        <v>279</v>
      </c>
      <c r="BK65">
        <v>10.270935960591125</v>
      </c>
      <c r="BL65">
        <v>11.20689655172413</v>
      </c>
      <c r="BM65" s="143">
        <f>BL65/BK65</f>
        <v>1.091127098321343</v>
      </c>
      <c r="BN65">
        <f>BL65-BK65</f>
        <v>0.93596059113300534</v>
      </c>
      <c r="BO65" s="143">
        <f>BN65*tC_to_m3</f>
        <v>4.0640928837733625</v>
      </c>
      <c r="BP65" t="s">
        <v>233</v>
      </c>
      <c r="BQ65" t="s">
        <v>789</v>
      </c>
      <c r="BR65" s="143" t="s">
        <v>279</v>
      </c>
      <c r="BS65">
        <v>38.33684792940457</v>
      </c>
      <c r="BT65">
        <v>39.060818992069535</v>
      </c>
      <c r="BU65" s="144">
        <f>IFERROR(BT65/BS65,"")</f>
        <v>1.0188844702099171</v>
      </c>
      <c r="BV65">
        <f>BT65-BS65</f>
        <v>0.72397106266496536</v>
      </c>
      <c r="BW65"/>
      <c r="BX65">
        <f>BV65*C_to_CO2</f>
        <v>2.6569737999804226</v>
      </c>
      <c r="BY65">
        <f>IFERROR(BX65/BO65,"")</f>
        <v>0.65376798118686674</v>
      </c>
      <c r="BZ65" s="143">
        <v>0</v>
      </c>
      <c r="CA65" s="143">
        <v>0</v>
      </c>
      <c r="CB65" s="143">
        <v>0</v>
      </c>
      <c r="CC65" s="143">
        <v>0</v>
      </c>
      <c r="CD65" s="143">
        <v>0</v>
      </c>
      <c r="CE65" s="143">
        <v>0</v>
      </c>
      <c r="CF65" s="143">
        <v>0</v>
      </c>
      <c r="CG65" s="143">
        <v>1</v>
      </c>
      <c r="CH65" s="143">
        <v>0</v>
      </c>
      <c r="CI65" s="143">
        <v>1</v>
      </c>
      <c r="CJ65" s="143">
        <v>1</v>
      </c>
      <c r="CK65" s="143">
        <v>0</v>
      </c>
      <c r="CL65" s="143">
        <v>1</v>
      </c>
      <c r="CM65" s="143">
        <v>0</v>
      </c>
      <c r="CN65" t="str">
        <f>IF($BL65&lt;$BK65,"refNeedCorrection","refOK")</f>
        <v>refOK</v>
      </c>
      <c r="CO65">
        <f>IF($CN65="refOK",$BK65,$BL65)</f>
        <v>10.270935960591125</v>
      </c>
      <c r="CP65">
        <f>IF($CN65="refOK",$BL65,$BK65)</f>
        <v>11.20689655172413</v>
      </c>
      <c r="CQ65">
        <f>IF($CN65="refOK",$BO65,-$BO65)</f>
        <v>4.0640928837733625</v>
      </c>
      <c r="CR65">
        <f>IF($CN65="refOK",$BS65,$BT65)*IF($BP65="Emissions positive",-1,1)</f>
        <v>38.33684792940457</v>
      </c>
      <c r="CS65">
        <f>IF($CN65="refOK",$BT65,$BS65)*IF($BP65="Emissions positive",-1,1)</f>
        <v>39.060818992069535</v>
      </c>
      <c r="CT65">
        <f>IF($CN65="refNeedCorrection",-BX65,BX65)*IF($BP65="Emissions positive",-1,1)</f>
        <v>2.6569737999804226</v>
      </c>
      <c r="CU65">
        <f>IFERROR(CT65/CQ65,"")</f>
        <v>0.65376798118686674</v>
      </c>
      <c r="CV65" s="2">
        <f>IFERROR((CS65-CR65)/ABS(CR65),"")</f>
        <v>1.8884470209917171E-2</v>
      </c>
      <c r="CW65" s="1" t="s">
        <v>1201</v>
      </c>
      <c r="CX65" t="str">
        <f>IF(OR($CW65="prd",$CW65="std",$CW65="cit"),"loc",IF(OR($CW65="eur",$CW65="reg",$CW65="coy"),"reg",$CW65))</f>
        <v>reg</v>
      </c>
      <c r="CY65" t="s">
        <v>1283</v>
      </c>
      <c r="CZ65">
        <v>2010</v>
      </c>
      <c r="DA65" s="143">
        <v>2060</v>
      </c>
      <c r="DB65" s="143">
        <f>DA65-CZ65</f>
        <v>50</v>
      </c>
      <c r="DC65" t="str">
        <f>IF(DB65=0,"0",IF(AND(DB65&gt;=1,DB65&lt;=30),"1-30",IF(AND(DB65&gt;30,DB65&lt;=70),"31-70",IF(AND(DB65&gt;70,DB65&lt;=100),"71-100",IF(DB65&gt;100,"+100")))))</f>
        <v>31-70</v>
      </c>
      <c r="DD65">
        <v>1</v>
      </c>
      <c r="DE65">
        <v>1</v>
      </c>
      <c r="DF65">
        <v>1</v>
      </c>
      <c r="DG65">
        <v>1</v>
      </c>
      <c r="DH65"/>
      <c r="DI65">
        <f>SUM(DD65:DG65)</f>
        <v>4</v>
      </c>
      <c r="DJ65" t="str">
        <f>IF(DI65=1,INDEX($DD$7:$DG$7,MATCH(1,$DD65:$DG65,0)),"mixedProduct")</f>
        <v>mixedProduct</v>
      </c>
      <c r="DK65" t="str">
        <f>IF(DD65=1,DK$7,0)</f>
        <v>Upstream</v>
      </c>
      <c r="DL65" t="str">
        <f>IF(DE65=1,DL$7,0)</f>
        <v>Energy</v>
      </c>
      <c r="DM65" t="str">
        <f>IF(DF65=1,DM$7,0)</f>
        <v>Pulp/Paper</v>
      </c>
      <c r="DN65" t="str">
        <f>IF(DG65=1,DN$7,0)</f>
        <v>Timber</v>
      </c>
      <c r="DO65" s="143">
        <v>1</v>
      </c>
      <c r="DP65">
        <v>0</v>
      </c>
      <c r="DQ65" s="143">
        <v>0</v>
      </c>
      <c r="DR65" s="143">
        <v>0</v>
      </c>
      <c r="DS65" s="143" t="s">
        <v>1284</v>
      </c>
      <c r="DT65">
        <f>SUM(DO65:DP65)</f>
        <v>1</v>
      </c>
      <c r="DU65" s="143" t="str">
        <f>IF(DO65=1,"self-calculated DF",IF(DP65=1,"external DF used","explicit C balance"))</f>
        <v>self-calculated DF</v>
      </c>
      <c r="DV65" s="143">
        <v>0</v>
      </c>
      <c r="DW65">
        <v>1</v>
      </c>
      <c r="DX65" s="143">
        <v>1</v>
      </c>
      <c r="DY65" s="143">
        <v>1</v>
      </c>
      <c r="DZ65">
        <v>1</v>
      </c>
      <c r="EA65">
        <v>1</v>
      </c>
      <c r="EB65" s="143">
        <v>0</v>
      </c>
      <c r="EC65">
        <v>0</v>
      </c>
      <c r="ED65" s="143">
        <v>0</v>
      </c>
      <c r="EE65">
        <v>0</v>
      </c>
      <c r="EF65">
        <v>1</v>
      </c>
      <c r="EG65" s="143">
        <v>0</v>
      </c>
      <c r="EH65">
        <v>0</v>
      </c>
      <c r="EI65" s="2">
        <v>0</v>
      </c>
      <c r="EJ65" s="1"/>
      <c r="EK65" t="str">
        <f>IF(AND(AND(AND(OR($DX65=1,$DW65=1),OR($EC65=1,$EA65=1)),SUM($DV65:$DZ65,$EF65)&gt;=4),SUM($EA65:$EE65)&gt;=2),"Whole sector","")</f>
        <v/>
      </c>
      <c r="EL65" t="str">
        <f>IF(AND(AND(OR($DX65=1,$DW65=1),AND($EC65=0,$EA65=0)),SUM($DV65:$DZ65,$EF65)&gt;=4),"Ecosystem approach","")</f>
        <v/>
      </c>
      <c r="EM65" s="2" t="str">
        <f>IF(AND(AND(AND($DX65=0,$DW65=0),OR($EC65=1,$EA65=1)),SUM($EB65:$EE65)&gt;=2),"Technology approach","")</f>
        <v/>
      </c>
      <c r="EN65" t="s">
        <v>1285</v>
      </c>
      <c r="EO65"/>
      <c r="EP65" t="str">
        <f>IF(ISNUMBER(BU65),IF(ABS(BU65-[3]QC_indicators!$B$2)&gt;3*[3]QC_indicators!$C$2,"C ratio",IF(ISNUMBER(BY65),IF(ABS(BY65-[3]QC_indicators!$B$1)&gt;3*[3]QC_indicators!$C$1,"DF","no"))),IF(ISNUMBER(BY65),IF(ABS(BY65-[3]QC_indicators!$B$1)&gt;3*[3]QC_indicators!$C$1,"DF","no")))</f>
        <v>no</v>
      </c>
      <c r="EQ65" t="s">
        <v>287</v>
      </c>
      <c r="ER65" t="s">
        <v>1286</v>
      </c>
      <c r="ES65"/>
      <c r="ET65" s="266" t="s">
        <v>3275</v>
      </c>
      <c r="EU65"/>
    </row>
    <row r="66" spans="1:151" s="139" customFormat="1" ht="15" customHeight="1">
      <c r="A66" s="1" t="s">
        <v>1810</v>
      </c>
      <c r="B66" t="s">
        <v>2477</v>
      </c>
      <c r="C66" t="s">
        <v>2478</v>
      </c>
      <c r="D66" t="s">
        <v>2479</v>
      </c>
      <c r="E66" t="s">
        <v>2480</v>
      </c>
      <c r="F66" t="s">
        <v>2481</v>
      </c>
      <c r="G66" t="s">
        <v>1816</v>
      </c>
      <c r="H66" t="s">
        <v>255</v>
      </c>
      <c r="I66">
        <v>2010</v>
      </c>
      <c r="J66">
        <v>100</v>
      </c>
      <c r="K66" t="s">
        <v>2482</v>
      </c>
      <c r="L66"/>
      <c r="M66" t="str">
        <f>LEFT($D66,FIND(",",$D66)-1)&amp;"_"&amp;I66&amp;L66</f>
        <v>Werner_2010</v>
      </c>
      <c r="N66" t="s">
        <v>223</v>
      </c>
      <c r="O66" s="145" t="s">
        <v>1156</v>
      </c>
      <c r="P66"/>
      <c r="Q66" t="s">
        <v>257</v>
      </c>
      <c r="R66" s="264" t="s">
        <v>224</v>
      </c>
      <c r="S66" s="265" t="s">
        <v>3257</v>
      </c>
      <c r="T66" t="s">
        <v>2484</v>
      </c>
      <c r="U66" t="s">
        <v>2489</v>
      </c>
      <c r="V66">
        <v>2</v>
      </c>
      <c r="W66">
        <v>0</v>
      </c>
      <c r="X66">
        <v>1</v>
      </c>
      <c r="Y66">
        <v>2</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s="141">
        <f>COUNTIF(V66:AW66,"&lt;&gt;0")</f>
        <v>3</v>
      </c>
      <c r="AY66" s="141">
        <f>COUNTIF(V66:AL66,"&lt;&gt;0")</f>
        <v>3</v>
      </c>
      <c r="AZ66">
        <f>COUNTIF(V66:AC66,"&lt;&gt;0")</f>
        <v>3</v>
      </c>
      <c r="BA66">
        <f>COUNTIF(AD66:AI66,"&lt;&gt;0")</f>
        <v>0</v>
      </c>
      <c r="BB66">
        <f>COUNTIF(AJ66:AL66,"&lt;&gt;0")</f>
        <v>0</v>
      </c>
      <c r="BC66">
        <f>COUNTIF(AS66:AW66,"&lt;&gt;0")</f>
        <v>0</v>
      </c>
      <c r="BD66">
        <f>COUNTIF(AM66:AR66,"&lt;&gt;0")</f>
        <v>0</v>
      </c>
      <c r="BE66" t="str">
        <f t="array" ref="BE66">IF(AY66=1,INDEX($V$7:$AL$7,MATCH(TRUE,INDEX($V66:$AW66&lt;&gt;0,),0)),IF(AY66=0,INDEX($AM$7:$AW$7,MATCH(1,$AM66:$AW66,0)),IF(BF66="Multiple strategies","mixed drivers",IF(BF66="Supply chain","multiple supply","multiple silviculture"))))</f>
        <v>multiple silviculture</v>
      </c>
      <c r="BF66" s="2" t="str" cm="1">
        <f t="array" ref="BF66">IF(COUNTIF(AZ66:BB66,"&lt;&gt;0")=1,INDEX($V$4:$AW$4,MATCH(TRUE,INDEX($V66:$AW66&lt;&gt;0,),0)),IF(COUNTIF(AZ66:BB66,"&lt;&gt;0")=0,INDEX($AM$4:$AW$4,MATCH(1,$AM66:$AW66,0)),"Multiple strategies"))</f>
        <v>SilvicultureRemov</v>
      </c>
      <c r="BG66" s="1" t="s">
        <v>322</v>
      </c>
      <c r="BH66" t="s">
        <v>2455</v>
      </c>
      <c r="BI66" s="266" t="s">
        <v>3254</v>
      </c>
      <c r="BJ66" t="s">
        <v>1325</v>
      </c>
      <c r="BK66">
        <v>210</v>
      </c>
      <c r="BL66">
        <v>489</v>
      </c>
      <c r="BM66" s="143">
        <f>BL66/BK66</f>
        <v>2.3285714285714287</v>
      </c>
      <c r="BN66">
        <f>BL66-BK66</f>
        <v>279</v>
      </c>
      <c r="BO66">
        <f>BN66*10^6</f>
        <v>279000000</v>
      </c>
      <c r="BP66" t="s">
        <v>233</v>
      </c>
      <c r="BQ66" s="153" t="s">
        <v>3255</v>
      </c>
      <c r="BR66" t="s">
        <v>2327</v>
      </c>
      <c r="BS66">
        <v>385.51880535301569</v>
      </c>
      <c r="BT66">
        <v>163.99431767864581</v>
      </c>
      <c r="BU66" s="144">
        <f>IFERROR(BT66/BS66,"")</f>
        <v>0.42538603928407037</v>
      </c>
      <c r="BV66" s="144">
        <f>BT66-BS66</f>
        <v>-221.52448767436988</v>
      </c>
      <c r="BW66" s="144"/>
      <c r="BX66">
        <f>BV66*10^6</f>
        <v>-221524487.67436987</v>
      </c>
      <c r="BY66">
        <f>IFERROR(BX66/BO66,"")</f>
        <v>-0.79399457947802821</v>
      </c>
      <c r="BZ66">
        <v>0</v>
      </c>
      <c r="CA66">
        <v>0</v>
      </c>
      <c r="CB66">
        <v>0</v>
      </c>
      <c r="CC66">
        <v>0</v>
      </c>
      <c r="CD66">
        <v>0</v>
      </c>
      <c r="CE66">
        <v>0</v>
      </c>
      <c r="CF66">
        <v>0</v>
      </c>
      <c r="CG66">
        <v>0</v>
      </c>
      <c r="CH66">
        <v>0</v>
      </c>
      <c r="CI66">
        <v>0</v>
      </c>
      <c r="CJ66">
        <v>0</v>
      </c>
      <c r="CK66">
        <v>0</v>
      </c>
      <c r="CL66">
        <v>0</v>
      </c>
      <c r="CM66">
        <v>1</v>
      </c>
      <c r="CN66" t="str">
        <f>IF($BL66&lt;$BK66,"refNeedCorrection","refOK")</f>
        <v>refOK</v>
      </c>
      <c r="CO66">
        <f>IF($CN66="refNeedCorrection",BL66,BK66)</f>
        <v>210</v>
      </c>
      <c r="CP66">
        <f>IF($CN66="refNeedCorrection",BK66,BL66)</f>
        <v>489</v>
      </c>
      <c r="CQ66">
        <f>IF($CN66="refOK",$BO66,-$BO66)</f>
        <v>279000000</v>
      </c>
      <c r="CR66">
        <f>IF($CN66="refOK",$BS66,$BT66)*IF($BP66="Emissions positive",-1,1)</f>
        <v>385.51880535301569</v>
      </c>
      <c r="CS66">
        <f>IF($CN66="refOK",$BT66,$BS66)*IF($BP66="Emissions positive",-1,1)</f>
        <v>163.99431767864581</v>
      </c>
      <c r="CT66">
        <f>IF($CN66="refNeedCorrection",-BX66,BX66)*IF($BP66="Emissions positive",-1,1)</f>
        <v>-221524487.67436987</v>
      </c>
      <c r="CU66">
        <f>IFERROR(CT66/CQ66,"")</f>
        <v>-0.79399457947802821</v>
      </c>
      <c r="CV66" s="2">
        <f>IFERROR((CS66-CR66)/ABS(CR66),"")</f>
        <v>-0.57461396071592963</v>
      </c>
      <c r="CW66" s="1" t="s">
        <v>1205</v>
      </c>
      <c r="CX66" t="str">
        <f>IF(OR($CW66="prd",$CW66="std",$CW66="cit"),"loc",IF(OR($CW66="eur",$CW66="reg",$CW66="coy"),"reg",$CW66))</f>
        <v>reg</v>
      </c>
      <c r="CY66" t="s">
        <v>641</v>
      </c>
      <c r="CZ66">
        <v>2000</v>
      </c>
      <c r="DA66">
        <v>2060</v>
      </c>
      <c r="DB66">
        <f>DA66-CZ66</f>
        <v>60</v>
      </c>
      <c r="DC66" t="str">
        <f>IF(DB66=0,"0",IF(AND(DB66&gt;=1,DB66&lt;=30),"1-30",IF(AND(DB66&gt;30,DB66&lt;=70),"31-70",IF(AND(DB66&gt;70,DB66&lt;=100),"71-100",IF(DB66&gt;100,"+100")))))</f>
        <v>31-70</v>
      </c>
      <c r="DD66">
        <v>0</v>
      </c>
      <c r="DE66">
        <v>0</v>
      </c>
      <c r="DF66">
        <v>0</v>
      </c>
      <c r="DG66">
        <v>1</v>
      </c>
      <c r="DH66">
        <v>0</v>
      </c>
      <c r="DI66">
        <f>SUM(DD66:DG66)</f>
        <v>1</v>
      </c>
      <c r="DJ66" t="str">
        <f>IF(DI66=1,INDEX($DD$7:$DG$7,MATCH(1,$DD66:$DG66,0)),"mixedProduct")</f>
        <v>TimberInput</v>
      </c>
      <c r="DK66">
        <f>IF(DD66=1,DK$7,0)</f>
        <v>0</v>
      </c>
      <c r="DL66">
        <f>IF(DE66=1,DL$7,0)</f>
        <v>0</v>
      </c>
      <c r="DM66">
        <f>IF(DF66=1,DM$7,0)</f>
        <v>0</v>
      </c>
      <c r="DN66" t="str">
        <f>IF(DG66=1,DN$7,0)</f>
        <v>Timber</v>
      </c>
      <c r="DO66">
        <v>0</v>
      </c>
      <c r="DP66">
        <v>0</v>
      </c>
      <c r="DQ66"/>
      <c r="DR66"/>
      <c r="DS66"/>
      <c r="DT66">
        <f>SUM(DO66:DP66)</f>
        <v>0</v>
      </c>
      <c r="DU66" s="143" t="str">
        <f>IF(DO66=1,"self-calculated DF",IF(DP66=1,"external DF used","explicit C balance"))</f>
        <v>explicit C balance</v>
      </c>
      <c r="DV66">
        <v>1</v>
      </c>
      <c r="DW66">
        <v>1</v>
      </c>
      <c r="DX66">
        <v>1</v>
      </c>
      <c r="DY66">
        <v>1</v>
      </c>
      <c r="DZ66">
        <v>0</v>
      </c>
      <c r="EA66" s="143">
        <v>0</v>
      </c>
      <c r="EB66">
        <v>0</v>
      </c>
      <c r="EC66">
        <v>0</v>
      </c>
      <c r="ED66">
        <v>0</v>
      </c>
      <c r="EE66">
        <v>0</v>
      </c>
      <c r="EF66">
        <v>1</v>
      </c>
      <c r="EG66">
        <v>0</v>
      </c>
      <c r="EH66">
        <v>0</v>
      </c>
      <c r="EI66" s="2">
        <v>0</v>
      </c>
      <c r="EJ66" s="1"/>
      <c r="EK66" t="str">
        <f>IF(AND(AND(AND(OR($DX66=1,$DW66=1),OR($EC66=1,$EA66=1)),SUM($DV66:$DZ66,$EF66)&gt;=4),SUM($EA66:$EE66)&gt;=2),"Whole sector","")</f>
        <v/>
      </c>
      <c r="EL66" t="str">
        <f>IF(AND(AND(OR($DX66=1,$DW66=1),AND($EC66=0,$EA66=0)),SUM($DV66:$DZ66,$EF66)&gt;=4),"Ecosystem approach","")</f>
        <v>Ecosystem approach</v>
      </c>
      <c r="EM66" s="2" t="str">
        <f>IF(AND(AND(AND($DX66=0,$DW66=0),OR($EC66=1,$EA66=1)),SUM($EB66:$EE66)&gt;=2),"Technology approach","")</f>
        <v/>
      </c>
      <c r="EN66" t="s">
        <v>2487</v>
      </c>
      <c r="EO66"/>
      <c r="EP66" t="str">
        <f>IF(ISNUMBER(BU66),IF(ABS(BU66-[2]QC_indicators!$B$2)&gt;3*[2]QC_indicators!$C$2,"C ratio",IF(ISNUMBER(BY66),IF(ABS(BY66-[2]QC_indicators!$B$1)&gt;3*[2]QC_indicators!$C$1,"DF","no"))),IF(ISNUMBER(BY66),IF(ABS(BY66-[2]QC_indicators!$B$1)&gt;3*[2]QC_indicators!$C$1,"DF","no")))</f>
        <v>no</v>
      </c>
      <c r="EQ66"/>
      <c r="ER66"/>
      <c r="ES66"/>
      <c r="ET66" s="266" t="s">
        <v>3256</v>
      </c>
      <c r="EU66"/>
    </row>
    <row r="67" spans="1:151" s="139" customFormat="1" ht="15" hidden="1" customHeight="1">
      <c r="A67" s="1" t="s">
        <v>1272</v>
      </c>
      <c r="B67" t="s">
        <v>1273</v>
      </c>
      <c r="C67" t="s">
        <v>1274</v>
      </c>
      <c r="D67" t="s">
        <v>1275</v>
      </c>
      <c r="E67" t="s">
        <v>1276</v>
      </c>
      <c r="F67" t="s">
        <v>1277</v>
      </c>
      <c r="G67" t="s">
        <v>1278</v>
      </c>
      <c r="H67"/>
      <c r="I67">
        <v>2019</v>
      </c>
      <c r="J67"/>
      <c r="K67" t="s">
        <v>1279</v>
      </c>
      <c r="L67"/>
      <c r="M67" t="str">
        <f>LEFT($D67,FIND(",",$D67)-1)&amp;"_"&amp;I67&amp;L67</f>
        <v>Baskent_2019</v>
      </c>
      <c r="N67" t="s">
        <v>223</v>
      </c>
      <c r="O67" s="140" t="s">
        <v>514</v>
      </c>
      <c r="P67"/>
      <c r="Q67" t="s">
        <v>225</v>
      </c>
      <c r="R67" s="271" t="s">
        <v>275</v>
      </c>
      <c r="S67" s="1" t="s">
        <v>1280</v>
      </c>
      <c r="T67" t="s">
        <v>1113</v>
      </c>
      <c r="U67" s="143" t="s">
        <v>1281</v>
      </c>
      <c r="V67" s="143">
        <v>0</v>
      </c>
      <c r="W67" s="143">
        <v>0</v>
      </c>
      <c r="X67" s="143">
        <v>0</v>
      </c>
      <c r="Y67" s="143">
        <v>1</v>
      </c>
      <c r="Z67" s="143">
        <v>2</v>
      </c>
      <c r="AA67" s="143">
        <v>0</v>
      </c>
      <c r="AB67" s="143">
        <v>0</v>
      </c>
      <c r="AC67" s="143">
        <v>0</v>
      </c>
      <c r="AD67">
        <v>0</v>
      </c>
      <c r="AE67">
        <v>0</v>
      </c>
      <c r="AF67">
        <v>2</v>
      </c>
      <c r="AG67">
        <v>0</v>
      </c>
      <c r="AH67">
        <v>0</v>
      </c>
      <c r="AI67">
        <v>0</v>
      </c>
      <c r="AJ67">
        <v>2</v>
      </c>
      <c r="AK67">
        <v>0</v>
      </c>
      <c r="AL67">
        <v>0</v>
      </c>
      <c r="AM67">
        <v>0</v>
      </c>
      <c r="AN67">
        <v>2</v>
      </c>
      <c r="AO67">
        <v>2</v>
      </c>
      <c r="AP67">
        <v>0</v>
      </c>
      <c r="AQ67">
        <v>0</v>
      </c>
      <c r="AR67">
        <v>0</v>
      </c>
      <c r="AS67">
        <v>2</v>
      </c>
      <c r="AT67">
        <v>0</v>
      </c>
      <c r="AU67">
        <v>0</v>
      </c>
      <c r="AV67">
        <v>0</v>
      </c>
      <c r="AW67">
        <v>2</v>
      </c>
      <c r="AX67" s="141">
        <f>COUNTIF(V67:AW67,"&lt;&gt;0")</f>
        <v>8</v>
      </c>
      <c r="AY67" s="141">
        <f>COUNTIF(V67:AL67,"&lt;&gt;0")</f>
        <v>4</v>
      </c>
      <c r="AZ67">
        <f>COUNTIF(V67:AC67,"&lt;&gt;0")</f>
        <v>2</v>
      </c>
      <c r="BA67">
        <f>COUNTIF(AD67:AI67,"&lt;&gt;0")</f>
        <v>1</v>
      </c>
      <c r="BB67">
        <f>COUNTIF(AJ67:AL67,"&lt;&gt;0")</f>
        <v>1</v>
      </c>
      <c r="BC67">
        <f>COUNTIF(AS67:AW67,"&lt;&gt;0")</f>
        <v>2</v>
      </c>
      <c r="BD67">
        <f>COUNTIF(AM67:AR67,"&lt;&gt;0")</f>
        <v>2</v>
      </c>
      <c r="BE67" t="str">
        <f t="array" ref="BE67">IF(AY67=1,INDEX($V$7:$AL$7,MATCH(TRUE,INDEX($V67:$AW67&lt;&gt;0,),0)),IF(AY67=0,INDEX($AM$7:$AW$7,MATCH(1,$AM67:$AW67,0)),IF(BF67="Multiple strategies","mixed drivers",IF(BF67="Supply chain","multiple supply","multiple silviculture"))))</f>
        <v>mixed drivers</v>
      </c>
      <c r="BF67" s="2" t="str">
        <f t="array" ref="BF67">IF(COUNTIF(AZ67:BB67,"&lt;&gt;0")=1,INDEX($V$4:$AW$4,MATCH(TRUE,INDEX($V67:$AW67&lt;&gt;0,),0)),IF(COUNTIF(AZ67:BB67,"&lt;&gt;0")=0,INDEX($AM$4:$AW$4,MATCH(1,$AM67:$AW67,0)),"Multiple strategies"))</f>
        <v>Multiple strategies</v>
      </c>
      <c r="BG67" s="1" t="s">
        <v>322</v>
      </c>
      <c r="BH67" t="s">
        <v>1282</v>
      </c>
      <c r="BI67"/>
      <c r="BJ67" s="143" t="s">
        <v>279</v>
      </c>
      <c r="BK67">
        <v>10.270935960591125</v>
      </c>
      <c r="BL67">
        <v>10.566502463054182</v>
      </c>
      <c r="BM67" s="143">
        <f>BL67/BK67</f>
        <v>1.0287769784172665</v>
      </c>
      <c r="BN67">
        <f>BL67-BK67</f>
        <v>0.29556650246305693</v>
      </c>
      <c r="BO67" s="143">
        <f>BN67*tC_to_m3</f>
        <v>1.2833977527705469</v>
      </c>
      <c r="BP67" t="s">
        <v>233</v>
      </c>
      <c r="BQ67" t="s">
        <v>789</v>
      </c>
      <c r="BR67" s="143" t="s">
        <v>279</v>
      </c>
      <c r="BS67">
        <v>38.33684792940457</v>
      </c>
      <c r="BT67">
        <v>40.680525417714911</v>
      </c>
      <c r="BU67" s="144">
        <f>IFERROR(BT67/BS67,"")</f>
        <v>1.0611338076783492</v>
      </c>
      <c r="BV67">
        <f>BT67-BS67</f>
        <v>2.3436774883103411</v>
      </c>
      <c r="BW67"/>
      <c r="BX67">
        <f>BV67*C_to_CO2</f>
        <v>8.6012963820989512</v>
      </c>
      <c r="BY67">
        <f>IFERROR(BX67/BO67,"")</f>
        <v>6.7019724504977685</v>
      </c>
      <c r="BZ67" s="143">
        <v>0</v>
      </c>
      <c r="CA67" s="143">
        <v>0</v>
      </c>
      <c r="CB67" s="143">
        <v>0</v>
      </c>
      <c r="CC67" s="143">
        <v>0</v>
      </c>
      <c r="CD67" s="143">
        <v>0</v>
      </c>
      <c r="CE67" s="143">
        <v>0</v>
      </c>
      <c r="CF67" s="143">
        <v>0</v>
      </c>
      <c r="CG67" s="143">
        <v>1</v>
      </c>
      <c r="CH67" s="143">
        <v>0</v>
      </c>
      <c r="CI67" s="143">
        <v>1</v>
      </c>
      <c r="CJ67" s="143">
        <v>1</v>
      </c>
      <c r="CK67" s="143">
        <v>0</v>
      </c>
      <c r="CL67" s="143">
        <v>1</v>
      </c>
      <c r="CM67" s="143">
        <v>0</v>
      </c>
      <c r="CN67" t="str">
        <f>IF($BL67&lt;$BK67,"refNeedCorrection","refOK")</f>
        <v>refOK</v>
      </c>
      <c r="CO67">
        <f>IF($CN67="refOK",$BK67,$BL67)</f>
        <v>10.270935960591125</v>
      </c>
      <c r="CP67">
        <f>IF($CN67="refOK",$BL67,$BK67)</f>
        <v>10.566502463054182</v>
      </c>
      <c r="CQ67">
        <f>IF($CN67="refOK",$BO67,-$BO67)</f>
        <v>1.2833977527705469</v>
      </c>
      <c r="CR67">
        <f>IF($CN67="refOK",$BS67,$BT67)*IF($BP67="Emissions positive",-1,1)</f>
        <v>38.33684792940457</v>
      </c>
      <c r="CS67">
        <f>IF($CN67="refOK",$BT67,$BS67)*IF($BP67="Emissions positive",-1,1)</f>
        <v>40.680525417714911</v>
      </c>
      <c r="CT67">
        <f>IF($CN67="refNeedCorrection",-BX67,BX67)*IF($BP67="Emissions positive",-1,1)</f>
        <v>8.6012963820989512</v>
      </c>
      <c r="CU67">
        <f>IFERROR(CT67/CQ67,"")</f>
        <v>6.7019724504977685</v>
      </c>
      <c r="CV67" s="2">
        <f>IFERROR((CS67-CR67)/ABS(CR67),"")</f>
        <v>6.1133807678349264E-2</v>
      </c>
      <c r="CW67" s="1" t="s">
        <v>1201</v>
      </c>
      <c r="CX67" t="str">
        <f>IF(OR($CW67="prd",$CW67="std",$CW67="cit"),"loc",IF(OR($CW67="eur",$CW67="reg",$CW67="coy"),"reg",$CW67))</f>
        <v>reg</v>
      </c>
      <c r="CY67" t="s">
        <v>1283</v>
      </c>
      <c r="CZ67">
        <v>2010</v>
      </c>
      <c r="DA67" s="143">
        <v>2060</v>
      </c>
      <c r="DB67" s="143">
        <f>DA67-CZ67</f>
        <v>50</v>
      </c>
      <c r="DC67" t="str">
        <f>IF(DB67=0,"0",IF(AND(DB67&gt;=1,DB67&lt;=30),"1-30",IF(AND(DB67&gt;30,DB67&lt;=70),"31-70",IF(AND(DB67&gt;70,DB67&lt;=100),"71-100",IF(DB67&gt;100,"+100")))))</f>
        <v>31-70</v>
      </c>
      <c r="DD67">
        <v>1</v>
      </c>
      <c r="DE67">
        <v>1</v>
      </c>
      <c r="DF67">
        <v>1</v>
      </c>
      <c r="DG67">
        <v>1</v>
      </c>
      <c r="DH67"/>
      <c r="DI67">
        <f>SUM(DD67:DG67)</f>
        <v>4</v>
      </c>
      <c r="DJ67" t="str">
        <f>IF(DI67=1,INDEX($DD$7:$DG$7,MATCH(1,$DD67:$DG67,0)),"mixedProduct")</f>
        <v>mixedProduct</v>
      </c>
      <c r="DK67" t="str">
        <f>IF(DD67=1,DK$7,0)</f>
        <v>Upstream</v>
      </c>
      <c r="DL67" t="str">
        <f>IF(DE67=1,DL$7,0)</f>
        <v>Energy</v>
      </c>
      <c r="DM67" t="str">
        <f>IF(DF67=1,DM$7,0)</f>
        <v>Pulp/Paper</v>
      </c>
      <c r="DN67" t="str">
        <f>IF(DG67=1,DN$7,0)</f>
        <v>Timber</v>
      </c>
      <c r="DO67" s="143">
        <v>1</v>
      </c>
      <c r="DP67">
        <v>0</v>
      </c>
      <c r="DQ67" s="143">
        <v>0</v>
      </c>
      <c r="DR67" s="143">
        <v>0</v>
      </c>
      <c r="DS67" s="143" t="s">
        <v>1284</v>
      </c>
      <c r="DT67">
        <f>SUM(DO67:DP67)</f>
        <v>1</v>
      </c>
      <c r="DU67" s="143" t="str">
        <f>IF(DO67=1,"self-calculated DF",IF(DP67=1,"external DF used","explicit C balance"))</f>
        <v>self-calculated DF</v>
      </c>
      <c r="DV67" s="143">
        <v>0</v>
      </c>
      <c r="DW67">
        <v>1</v>
      </c>
      <c r="DX67" s="143">
        <v>1</v>
      </c>
      <c r="DY67" s="143">
        <v>1</v>
      </c>
      <c r="DZ67">
        <v>1</v>
      </c>
      <c r="EA67">
        <v>1</v>
      </c>
      <c r="EB67" s="143">
        <v>0</v>
      </c>
      <c r="EC67">
        <v>0</v>
      </c>
      <c r="ED67" s="143">
        <v>0</v>
      </c>
      <c r="EE67">
        <v>0</v>
      </c>
      <c r="EF67">
        <v>1</v>
      </c>
      <c r="EG67" s="143">
        <v>0</v>
      </c>
      <c r="EH67">
        <v>0</v>
      </c>
      <c r="EI67" s="2">
        <v>0</v>
      </c>
      <c r="EJ67" s="1"/>
      <c r="EK67" t="str">
        <f>IF(AND(AND(AND(OR($DX67=1,$DW67=1),OR($EC67=1,$EA67=1)),SUM($DV67:$DZ67,$EF67)&gt;=4),SUM($EA67:$EE67)&gt;=2),"Whole sector","")</f>
        <v/>
      </c>
      <c r="EL67" t="str">
        <f>IF(AND(AND(OR($DX67=1,$DW67=1),AND($EC67=0,$EA67=0)),SUM($DV67:$DZ67,$EF67)&gt;=4),"Ecosystem approach","")</f>
        <v/>
      </c>
      <c r="EM67" s="2" t="str">
        <f>IF(AND(AND(AND($DX67=0,$DW67=0),OR($EC67=1,$EA67=1)),SUM($EB67:$EE67)&gt;=2),"Technology approach","")</f>
        <v/>
      </c>
      <c r="EN67" t="s">
        <v>1285</v>
      </c>
      <c r="EO67"/>
      <c r="EP67" t="str">
        <f>IF(ISNUMBER(BU67),IF(ABS(BU67-[3]QC_indicators!$B$2)&gt;3*[3]QC_indicators!$C$2,"C ratio",IF(ISNUMBER(BY67),IF(ABS(BY67-[3]QC_indicators!$B$1)&gt;3*[3]QC_indicators!$C$1,"DF","no"))),IF(ISNUMBER(BY67),IF(ABS(BY67-[3]QC_indicators!$B$1)&gt;3*[3]QC_indicators!$C$1,"DF","no")))</f>
        <v>no</v>
      </c>
      <c r="EQ67" t="s">
        <v>287</v>
      </c>
      <c r="ER67" t="s">
        <v>1286</v>
      </c>
      <c r="ES67"/>
      <c r="ET67" s="266" t="s">
        <v>3275</v>
      </c>
      <c r="EU67"/>
    </row>
    <row r="68" spans="1:151" s="139" customFormat="1" ht="15" hidden="1" customHeight="1">
      <c r="A68" s="1" t="s">
        <v>1272</v>
      </c>
      <c r="B68" t="s">
        <v>1273</v>
      </c>
      <c r="C68" t="s">
        <v>1274</v>
      </c>
      <c r="D68" t="s">
        <v>1275</v>
      </c>
      <c r="E68" t="s">
        <v>1276</v>
      </c>
      <c r="F68" t="s">
        <v>1277</v>
      </c>
      <c r="G68" t="s">
        <v>1278</v>
      </c>
      <c r="H68"/>
      <c r="I68">
        <v>2019</v>
      </c>
      <c r="J68"/>
      <c r="K68" t="s">
        <v>1279</v>
      </c>
      <c r="L68"/>
      <c r="M68" t="str">
        <f>LEFT($D68,FIND(",",$D68)-1)&amp;"_"&amp;I68&amp;L68</f>
        <v>Baskent_2019</v>
      </c>
      <c r="N68" t="s">
        <v>223</v>
      </c>
      <c r="O68" s="140" t="s">
        <v>514</v>
      </c>
      <c r="P68"/>
      <c r="Q68" t="s">
        <v>225</v>
      </c>
      <c r="R68" s="271" t="s">
        <v>275</v>
      </c>
      <c r="S68" s="1" t="s">
        <v>1280</v>
      </c>
      <c r="T68" t="s">
        <v>1113</v>
      </c>
      <c r="U68" s="143" t="s">
        <v>1287</v>
      </c>
      <c r="V68" s="143">
        <v>0</v>
      </c>
      <c r="W68" s="143">
        <v>0</v>
      </c>
      <c r="X68" s="143">
        <v>0</v>
      </c>
      <c r="Y68" s="143">
        <v>1</v>
      </c>
      <c r="Z68" s="143">
        <v>2</v>
      </c>
      <c r="AA68" s="143">
        <v>0</v>
      </c>
      <c r="AB68" s="143">
        <v>0</v>
      </c>
      <c r="AC68" s="143">
        <v>0</v>
      </c>
      <c r="AD68">
        <v>0</v>
      </c>
      <c r="AE68">
        <v>0</v>
      </c>
      <c r="AF68">
        <v>2</v>
      </c>
      <c r="AG68">
        <v>0</v>
      </c>
      <c r="AH68">
        <v>0</v>
      </c>
      <c r="AI68">
        <v>0</v>
      </c>
      <c r="AJ68">
        <v>2</v>
      </c>
      <c r="AK68">
        <v>0</v>
      </c>
      <c r="AL68">
        <v>0</v>
      </c>
      <c r="AM68">
        <v>0</v>
      </c>
      <c r="AN68">
        <v>2</v>
      </c>
      <c r="AO68">
        <v>2</v>
      </c>
      <c r="AP68">
        <v>0</v>
      </c>
      <c r="AQ68">
        <v>0</v>
      </c>
      <c r="AR68">
        <v>0</v>
      </c>
      <c r="AS68">
        <v>2</v>
      </c>
      <c r="AT68">
        <v>0</v>
      </c>
      <c r="AU68">
        <v>0</v>
      </c>
      <c r="AV68">
        <v>0</v>
      </c>
      <c r="AW68">
        <v>2</v>
      </c>
      <c r="AX68" s="141">
        <f>COUNTIF(V68:AW68,"&lt;&gt;0")</f>
        <v>8</v>
      </c>
      <c r="AY68" s="141">
        <f>COUNTIF(V68:AL68,"&lt;&gt;0")</f>
        <v>4</v>
      </c>
      <c r="AZ68">
        <f>COUNTIF(V68:AC68,"&lt;&gt;0")</f>
        <v>2</v>
      </c>
      <c r="BA68">
        <f>COUNTIF(AD68:AI68,"&lt;&gt;0")</f>
        <v>1</v>
      </c>
      <c r="BB68">
        <f>COUNTIF(AJ68:AL68,"&lt;&gt;0")</f>
        <v>1</v>
      </c>
      <c r="BC68">
        <f>COUNTIF(AS68:AW68,"&lt;&gt;0")</f>
        <v>2</v>
      </c>
      <c r="BD68">
        <f>COUNTIF(AM68:AR68,"&lt;&gt;0")</f>
        <v>2</v>
      </c>
      <c r="BE68" t="str">
        <f t="array" ref="BE68">IF(AY68=1,INDEX($V$7:$AL$7,MATCH(TRUE,INDEX($V68:$AW68&lt;&gt;0,),0)),IF(AY68=0,INDEX($AM$7:$AW$7,MATCH(1,$AM68:$AW68,0)),IF(BF68="Multiple strategies","mixed drivers",IF(BF68="Supply chain","multiple supply","multiple silviculture"))))</f>
        <v>mixed drivers</v>
      </c>
      <c r="BF68" s="2" t="str">
        <f t="array" ref="BF68">IF(COUNTIF(AZ68:BB68,"&lt;&gt;0")=1,INDEX($V$4:$AW$4,MATCH(TRUE,INDEX($V68:$AW68&lt;&gt;0,),0)),IF(COUNTIF(AZ68:BB68,"&lt;&gt;0")=0,INDEX($AM$4:$AW$4,MATCH(1,$AM68:$AW68,0)),"Multiple strategies"))</f>
        <v>Multiple strategies</v>
      </c>
      <c r="BG68" s="1" t="s">
        <v>322</v>
      </c>
      <c r="BH68" t="s">
        <v>1282</v>
      </c>
      <c r="BI68"/>
      <c r="BJ68" s="143" t="s">
        <v>279</v>
      </c>
      <c r="BK68">
        <v>10.270935960591125</v>
      </c>
      <c r="BL68">
        <v>11.20689655172413</v>
      </c>
      <c r="BM68" s="143">
        <f>BL68/BK68</f>
        <v>1.091127098321343</v>
      </c>
      <c r="BN68">
        <f>BL68-BK68</f>
        <v>0.93596059113300534</v>
      </c>
      <c r="BO68" s="143">
        <f>BN68*tC_to_m3</f>
        <v>4.0640928837733625</v>
      </c>
      <c r="BP68" t="s">
        <v>233</v>
      </c>
      <c r="BQ68" t="s">
        <v>789</v>
      </c>
      <c r="BR68" s="143" t="s">
        <v>279</v>
      </c>
      <c r="BS68">
        <v>30.8433734939759</v>
      </c>
      <c r="BT68">
        <v>30.8433734939759</v>
      </c>
      <c r="BU68" s="144">
        <f>IFERROR(BT68/BS68,"")</f>
        <v>1</v>
      </c>
      <c r="BV68">
        <f>BT68-BS68</f>
        <v>0</v>
      </c>
      <c r="BW68"/>
      <c r="BX68">
        <f>BV68*C_to_CO2</f>
        <v>0</v>
      </c>
      <c r="BY68">
        <f>IFERROR(BX68/BO68,"")</f>
        <v>0</v>
      </c>
      <c r="BZ68" s="143">
        <v>0</v>
      </c>
      <c r="CA68" s="143">
        <v>0</v>
      </c>
      <c r="CB68" s="143">
        <v>0</v>
      </c>
      <c r="CC68" s="143">
        <v>0</v>
      </c>
      <c r="CD68" s="143">
        <v>0</v>
      </c>
      <c r="CE68" s="143">
        <v>0</v>
      </c>
      <c r="CF68" s="143">
        <v>0</v>
      </c>
      <c r="CG68" s="143">
        <v>1</v>
      </c>
      <c r="CH68" s="143">
        <v>0</v>
      </c>
      <c r="CI68" s="143">
        <v>1</v>
      </c>
      <c r="CJ68" s="143">
        <v>1</v>
      </c>
      <c r="CK68" s="143">
        <v>0</v>
      </c>
      <c r="CL68" s="143">
        <v>1</v>
      </c>
      <c r="CM68" s="143">
        <v>0</v>
      </c>
      <c r="CN68" t="str">
        <f>IF($BL68&lt;$BK68,"refNeedCorrection","refOK")</f>
        <v>refOK</v>
      </c>
      <c r="CO68">
        <f>IF($CN68="refOK",$BK68,$BL68)</f>
        <v>10.270935960591125</v>
      </c>
      <c r="CP68">
        <f>IF($CN68="refOK",$BL68,$BK68)</f>
        <v>11.20689655172413</v>
      </c>
      <c r="CQ68">
        <f>IF($CN68="refOK",$BO68,-$BO68)</f>
        <v>4.0640928837733625</v>
      </c>
      <c r="CR68">
        <f>IF($CN68="refOK",$BS68,$BT68)*IF($BP68="Emissions positive",-1,1)</f>
        <v>30.8433734939759</v>
      </c>
      <c r="CS68">
        <f>IF($CN68="refOK",$BT68,$BS68)*IF($BP68="Emissions positive",-1,1)</f>
        <v>30.8433734939759</v>
      </c>
      <c r="CT68">
        <f>IF($CN68="refNeedCorrection",-BX68,BX68)*IF($BP68="Emissions positive",-1,1)</f>
        <v>0</v>
      </c>
      <c r="CU68">
        <f>IFERROR(CT68/CQ68,"")</f>
        <v>0</v>
      </c>
      <c r="CV68" s="2">
        <f>IFERROR((CS68-CR68)/ABS(CR68),"")</f>
        <v>0</v>
      </c>
      <c r="CW68" s="1" t="s">
        <v>1201</v>
      </c>
      <c r="CX68" t="str">
        <f>IF(OR($CW68="prd",$CW68="std",$CW68="cit"),"loc",IF(OR($CW68="eur",$CW68="reg",$CW68="coy"),"reg",$CW68))</f>
        <v>reg</v>
      </c>
      <c r="CY68" t="s">
        <v>1283</v>
      </c>
      <c r="CZ68">
        <v>2010</v>
      </c>
      <c r="DA68" s="143">
        <v>2060</v>
      </c>
      <c r="DB68" s="143">
        <f>DA68-CZ68</f>
        <v>50</v>
      </c>
      <c r="DC68" t="str">
        <f>IF(DB68=0,"0",IF(AND(DB68&gt;=1,DB68&lt;=30),"1-30",IF(AND(DB68&gt;30,DB68&lt;=70),"31-70",IF(AND(DB68&gt;70,DB68&lt;=100),"71-100",IF(DB68&gt;100,"+100")))))</f>
        <v>31-70</v>
      </c>
      <c r="DD68">
        <v>1</v>
      </c>
      <c r="DE68">
        <v>0</v>
      </c>
      <c r="DF68">
        <v>0</v>
      </c>
      <c r="DG68">
        <v>0</v>
      </c>
      <c r="DH68"/>
      <c r="DI68">
        <f>SUM(DD68:DG68)</f>
        <v>1</v>
      </c>
      <c r="DJ68" t="str">
        <f>IF(DI68=1,INDEX($DD$7:$DG$7,MATCH(1,$DD68:$DG68,0)),"mixedProduct")</f>
        <v>UpstreamInput</v>
      </c>
      <c r="DK68" t="str">
        <f>IF(DD68=1,DK$7,0)</f>
        <v>Upstream</v>
      </c>
      <c r="DL68">
        <f>IF(DE68=1,DL$7,0)</f>
        <v>0</v>
      </c>
      <c r="DM68">
        <f>IF(DF68=1,DM$7,0)</f>
        <v>0</v>
      </c>
      <c r="DN68">
        <f>IF(DG68=1,DN$7,0)</f>
        <v>0</v>
      </c>
      <c r="DO68" s="143">
        <v>1</v>
      </c>
      <c r="DP68">
        <v>0</v>
      </c>
      <c r="DQ68" s="143">
        <v>0</v>
      </c>
      <c r="DR68" s="143">
        <v>0</v>
      </c>
      <c r="DS68" s="143" t="s">
        <v>1284</v>
      </c>
      <c r="DT68">
        <f>SUM(DO68:DP68)</f>
        <v>1</v>
      </c>
      <c r="DU68" s="143" t="str">
        <f>IF(DO68=1,"self-calculated DF",IF(DP68=1,"external DF used","explicit C balance"))</f>
        <v>self-calculated DF</v>
      </c>
      <c r="DV68" s="143">
        <v>0</v>
      </c>
      <c r="DW68">
        <v>1</v>
      </c>
      <c r="DX68" s="143">
        <v>1</v>
      </c>
      <c r="DY68" s="143">
        <v>0</v>
      </c>
      <c r="DZ68">
        <v>0</v>
      </c>
      <c r="EA68">
        <v>0</v>
      </c>
      <c r="EB68" s="143">
        <v>0</v>
      </c>
      <c r="EC68">
        <v>0</v>
      </c>
      <c r="ED68" s="143">
        <v>0</v>
      </c>
      <c r="EE68">
        <v>0</v>
      </c>
      <c r="EF68">
        <v>1</v>
      </c>
      <c r="EG68" s="143">
        <v>0</v>
      </c>
      <c r="EH68">
        <v>0</v>
      </c>
      <c r="EI68" s="2">
        <v>0</v>
      </c>
      <c r="EJ68" s="1"/>
      <c r="EK68" t="str">
        <f>IF(AND(AND(AND(OR($DX68=1,$DW68=1),OR($EC68=1,$EA68=1)),SUM($DV68:$DZ68,$EF68)&gt;=4),SUM($EA68:$EE68)&gt;=2),"Whole sector","")</f>
        <v/>
      </c>
      <c r="EL68" t="str">
        <f>IF(AND(AND(OR($DX68=1,$DW68=1),AND($EC68=0,$EA68=0)),SUM($DV68:$DZ68,$EF68)&gt;=4),"Ecosystem approach","")</f>
        <v/>
      </c>
      <c r="EM68" s="2" t="str">
        <f>IF(AND(AND(AND($DX68=0,$DW68=0),OR($EC68=1,$EA68=1)),SUM($EB68:$EE68)&gt;=2),"Technology approach","")</f>
        <v/>
      </c>
      <c r="EN68" t="s">
        <v>1285</v>
      </c>
      <c r="EO68"/>
      <c r="EP68" t="str">
        <f>IF(ISNUMBER(BU68),IF(ABS(BU68-[3]QC_indicators!$B$2)&gt;3*[3]QC_indicators!$C$2,"C ratio",IF(ISNUMBER(BY68),IF(ABS(BY68-[3]QC_indicators!$B$1)&gt;3*[3]QC_indicators!$C$1,"DF","no"))),IF(ISNUMBER(BY68),IF(ABS(BY68-[3]QC_indicators!$B$1)&gt;3*[3]QC_indicators!$C$1,"DF","no")))</f>
        <v>no</v>
      </c>
      <c r="EQ68" t="s">
        <v>287</v>
      </c>
      <c r="ER68" t="s">
        <v>1286</v>
      </c>
      <c r="ES68"/>
      <c r="ET68" s="266" t="s">
        <v>3275</v>
      </c>
      <c r="EU68"/>
    </row>
    <row r="69" spans="1:151" s="139" customFormat="1" ht="15" hidden="1" customHeight="1">
      <c r="A69" s="1" t="s">
        <v>1272</v>
      </c>
      <c r="B69" t="s">
        <v>1273</v>
      </c>
      <c r="C69" t="s">
        <v>1274</v>
      </c>
      <c r="D69" t="s">
        <v>1275</v>
      </c>
      <c r="E69" t="s">
        <v>1276</v>
      </c>
      <c r="F69" t="s">
        <v>1277</v>
      </c>
      <c r="G69" t="s">
        <v>1278</v>
      </c>
      <c r="H69"/>
      <c r="I69">
        <v>2019</v>
      </c>
      <c r="J69"/>
      <c r="K69" t="s">
        <v>1279</v>
      </c>
      <c r="L69"/>
      <c r="M69" t="str">
        <f>LEFT($D69,FIND(",",$D69)-1)&amp;"_"&amp;I69&amp;L69</f>
        <v>Baskent_2019</v>
      </c>
      <c r="N69" t="s">
        <v>223</v>
      </c>
      <c r="O69" s="140" t="s">
        <v>514</v>
      </c>
      <c r="P69"/>
      <c r="Q69" t="s">
        <v>225</v>
      </c>
      <c r="R69" s="271" t="s">
        <v>275</v>
      </c>
      <c r="S69" s="1" t="s">
        <v>1280</v>
      </c>
      <c r="T69" t="s">
        <v>1113</v>
      </c>
      <c r="U69" s="143" t="s">
        <v>1281</v>
      </c>
      <c r="V69" s="143">
        <v>0</v>
      </c>
      <c r="W69" s="143">
        <v>0</v>
      </c>
      <c r="X69" s="143">
        <v>0</v>
      </c>
      <c r="Y69" s="143">
        <v>1</v>
      </c>
      <c r="Z69" s="143">
        <v>2</v>
      </c>
      <c r="AA69" s="143">
        <v>0</v>
      </c>
      <c r="AB69" s="143">
        <v>0</v>
      </c>
      <c r="AC69" s="143">
        <v>0</v>
      </c>
      <c r="AD69">
        <v>0</v>
      </c>
      <c r="AE69">
        <v>0</v>
      </c>
      <c r="AF69">
        <v>2</v>
      </c>
      <c r="AG69">
        <v>0</v>
      </c>
      <c r="AH69">
        <v>0</v>
      </c>
      <c r="AI69">
        <v>0</v>
      </c>
      <c r="AJ69">
        <v>2</v>
      </c>
      <c r="AK69">
        <v>0</v>
      </c>
      <c r="AL69">
        <v>0</v>
      </c>
      <c r="AM69">
        <v>0</v>
      </c>
      <c r="AN69">
        <v>2</v>
      </c>
      <c r="AO69">
        <v>2</v>
      </c>
      <c r="AP69">
        <v>0</v>
      </c>
      <c r="AQ69">
        <v>0</v>
      </c>
      <c r="AR69">
        <v>0</v>
      </c>
      <c r="AS69">
        <v>2</v>
      </c>
      <c r="AT69">
        <v>0</v>
      </c>
      <c r="AU69">
        <v>0</v>
      </c>
      <c r="AV69">
        <v>0</v>
      </c>
      <c r="AW69">
        <v>2</v>
      </c>
      <c r="AX69" s="141">
        <f>COUNTIF(V69:AW69,"&lt;&gt;0")</f>
        <v>8</v>
      </c>
      <c r="AY69" s="141">
        <f>COUNTIF(V69:AL69,"&lt;&gt;0")</f>
        <v>4</v>
      </c>
      <c r="AZ69">
        <f>COUNTIF(V69:AC69,"&lt;&gt;0")</f>
        <v>2</v>
      </c>
      <c r="BA69">
        <f>COUNTIF(AD69:AI69,"&lt;&gt;0")</f>
        <v>1</v>
      </c>
      <c r="BB69">
        <f>COUNTIF(AJ69:AL69,"&lt;&gt;0")</f>
        <v>1</v>
      </c>
      <c r="BC69">
        <f>COUNTIF(AS69:AW69,"&lt;&gt;0")</f>
        <v>2</v>
      </c>
      <c r="BD69">
        <f>COUNTIF(AM69:AR69,"&lt;&gt;0")</f>
        <v>2</v>
      </c>
      <c r="BE69" t="str">
        <f t="array" ref="BE69">IF(AY69=1,INDEX($V$7:$AL$7,MATCH(TRUE,INDEX($V69:$AW69&lt;&gt;0,),0)),IF(AY69=0,INDEX($AM$7:$AW$7,MATCH(1,$AM69:$AW69,0)),IF(BF69="Multiple strategies","mixed drivers",IF(BF69="Supply chain","multiple supply","multiple silviculture"))))</f>
        <v>mixed drivers</v>
      </c>
      <c r="BF69" s="2" t="str">
        <f t="array" ref="BF69">IF(COUNTIF(AZ69:BB69,"&lt;&gt;0")=1,INDEX($V$4:$AW$4,MATCH(TRUE,INDEX($V69:$AW69&lt;&gt;0,),0)),IF(COUNTIF(AZ69:BB69,"&lt;&gt;0")=0,INDEX($AM$4:$AW$4,MATCH(1,$AM69:$AW69,0)),"Multiple strategies"))</f>
        <v>Multiple strategies</v>
      </c>
      <c r="BG69" s="1" t="s">
        <v>322</v>
      </c>
      <c r="BH69" t="s">
        <v>1282</v>
      </c>
      <c r="BI69"/>
      <c r="BJ69" s="143" t="s">
        <v>279</v>
      </c>
      <c r="BK69">
        <v>10.270935960591125</v>
      </c>
      <c r="BL69">
        <v>10.566502463054182</v>
      </c>
      <c r="BM69" s="143">
        <f>BL69/BK69</f>
        <v>1.0287769784172665</v>
      </c>
      <c r="BN69">
        <f>BL69-BK69</f>
        <v>0.29556650246305693</v>
      </c>
      <c r="BO69" s="143">
        <f>BN69*tC_to_m3</f>
        <v>1.2833977527705469</v>
      </c>
      <c r="BP69" t="s">
        <v>233</v>
      </c>
      <c r="BQ69" t="s">
        <v>789</v>
      </c>
      <c r="BR69" s="143" t="s">
        <v>279</v>
      </c>
      <c r="BS69">
        <v>30.8433734939759</v>
      </c>
      <c r="BT69">
        <v>31.526844706012898</v>
      </c>
      <c r="BU69" s="144">
        <f>IFERROR(BT69/BS69,"")</f>
        <v>1.022159418202762</v>
      </c>
      <c r="BV69">
        <f>BT69-BS69</f>
        <v>0.68347121203699857</v>
      </c>
      <c r="BW69"/>
      <c r="BX69">
        <f>BV69*C_to_CO2</f>
        <v>2.5083393481757845</v>
      </c>
      <c r="BY69">
        <f>IFERROR(BX69/BO69,"")</f>
        <v>1.9544520338771698</v>
      </c>
      <c r="BZ69" s="143">
        <v>0</v>
      </c>
      <c r="CA69" s="143">
        <v>0</v>
      </c>
      <c r="CB69" s="143">
        <v>0</v>
      </c>
      <c r="CC69" s="143">
        <v>0</v>
      </c>
      <c r="CD69" s="143">
        <v>0</v>
      </c>
      <c r="CE69" s="143">
        <v>0</v>
      </c>
      <c r="CF69" s="143">
        <v>0</v>
      </c>
      <c r="CG69" s="143">
        <v>1</v>
      </c>
      <c r="CH69" s="143">
        <v>0</v>
      </c>
      <c r="CI69" s="143">
        <v>1</v>
      </c>
      <c r="CJ69" s="143">
        <v>1</v>
      </c>
      <c r="CK69" s="143">
        <v>0</v>
      </c>
      <c r="CL69" s="143">
        <v>1</v>
      </c>
      <c r="CM69" s="143">
        <v>0</v>
      </c>
      <c r="CN69" t="str">
        <f>IF($BL69&lt;$BK69,"refNeedCorrection","refOK")</f>
        <v>refOK</v>
      </c>
      <c r="CO69">
        <f>IF($CN69="refOK",$BK69,$BL69)</f>
        <v>10.270935960591125</v>
      </c>
      <c r="CP69">
        <f>IF($CN69="refOK",$BL69,$BK69)</f>
        <v>10.566502463054182</v>
      </c>
      <c r="CQ69">
        <f>IF($CN69="refOK",$BO69,-$BO69)</f>
        <v>1.2833977527705469</v>
      </c>
      <c r="CR69">
        <f>IF($CN69="refOK",$BS69,$BT69)*IF($BP69="Emissions positive",-1,1)</f>
        <v>30.8433734939759</v>
      </c>
      <c r="CS69">
        <f>IF($CN69="refOK",$BT69,$BS69)*IF($BP69="Emissions positive",-1,1)</f>
        <v>31.526844706012898</v>
      </c>
      <c r="CT69">
        <f>IF($CN69="refNeedCorrection",-BX69,BX69)*IF($BP69="Emissions positive",-1,1)</f>
        <v>2.5083393481757845</v>
      </c>
      <c r="CU69">
        <f>IFERROR(CT69/CQ69,"")</f>
        <v>1.9544520338771698</v>
      </c>
      <c r="CV69" s="2">
        <f>IFERROR((CS69-CR69)/ABS(CR69),"")</f>
        <v>2.2159418202762064E-2</v>
      </c>
      <c r="CW69" s="1" t="s">
        <v>1201</v>
      </c>
      <c r="CX69" t="str">
        <f>IF(OR($CW69="prd",$CW69="std",$CW69="cit"),"loc",IF(OR($CW69="eur",$CW69="reg",$CW69="coy"),"reg",$CW69))</f>
        <v>reg</v>
      </c>
      <c r="CY69" t="s">
        <v>1283</v>
      </c>
      <c r="CZ69">
        <v>2010</v>
      </c>
      <c r="DA69" s="143">
        <v>2060</v>
      </c>
      <c r="DB69" s="143">
        <f>DA69-CZ69</f>
        <v>50</v>
      </c>
      <c r="DC69" t="str">
        <f>IF(DB69=0,"0",IF(AND(DB69&gt;=1,DB69&lt;=30),"1-30",IF(AND(DB69&gt;30,DB69&lt;=70),"31-70",IF(AND(DB69&gt;70,DB69&lt;=100),"71-100",IF(DB69&gt;100,"+100")))))</f>
        <v>31-70</v>
      </c>
      <c r="DD69">
        <v>1</v>
      </c>
      <c r="DE69">
        <v>0</v>
      </c>
      <c r="DF69">
        <v>0</v>
      </c>
      <c r="DG69">
        <v>0</v>
      </c>
      <c r="DH69"/>
      <c r="DI69">
        <f>SUM(DD69:DG69)</f>
        <v>1</v>
      </c>
      <c r="DJ69" t="str">
        <f>IF(DI69=1,INDEX($DD$7:$DG$7,MATCH(1,$DD69:$DG69,0)),"mixedProduct")</f>
        <v>UpstreamInput</v>
      </c>
      <c r="DK69" t="str">
        <f>IF(DD69=1,DK$7,0)</f>
        <v>Upstream</v>
      </c>
      <c r="DL69">
        <f>IF(DE69=1,DL$7,0)</f>
        <v>0</v>
      </c>
      <c r="DM69">
        <f>IF(DF69=1,DM$7,0)</f>
        <v>0</v>
      </c>
      <c r="DN69">
        <f>IF(DG69=1,DN$7,0)</f>
        <v>0</v>
      </c>
      <c r="DO69" s="143">
        <v>1</v>
      </c>
      <c r="DP69">
        <v>0</v>
      </c>
      <c r="DQ69" s="143">
        <v>0</v>
      </c>
      <c r="DR69" s="143">
        <v>0</v>
      </c>
      <c r="DS69" s="143" t="s">
        <v>1284</v>
      </c>
      <c r="DT69">
        <f>SUM(DO69:DP69)</f>
        <v>1</v>
      </c>
      <c r="DU69" s="143" t="str">
        <f>IF(DO69=1,"self-calculated DF",IF(DP69=1,"external DF used","explicit C balance"))</f>
        <v>self-calculated DF</v>
      </c>
      <c r="DV69" s="143">
        <v>0</v>
      </c>
      <c r="DW69">
        <v>1</v>
      </c>
      <c r="DX69" s="143">
        <v>1</v>
      </c>
      <c r="DY69" s="143">
        <v>0</v>
      </c>
      <c r="DZ69">
        <v>0</v>
      </c>
      <c r="EA69">
        <v>0</v>
      </c>
      <c r="EB69" s="143">
        <v>0</v>
      </c>
      <c r="EC69">
        <v>0</v>
      </c>
      <c r="ED69" s="143">
        <v>0</v>
      </c>
      <c r="EE69">
        <v>0</v>
      </c>
      <c r="EF69">
        <v>1</v>
      </c>
      <c r="EG69" s="143">
        <v>0</v>
      </c>
      <c r="EH69">
        <v>0</v>
      </c>
      <c r="EI69" s="2">
        <v>0</v>
      </c>
      <c r="EJ69" s="1"/>
      <c r="EK69" t="str">
        <f>IF(AND(AND(AND(OR($DX69=1,$DW69=1),OR($EC69=1,$EA69=1)),SUM($DV69:$DZ69,$EF69)&gt;=4),SUM($EA69:$EE69)&gt;=2),"Whole sector","")</f>
        <v/>
      </c>
      <c r="EL69" t="str">
        <f>IF(AND(AND(OR($DX69=1,$DW69=1),AND($EC69=0,$EA69=0)),SUM($DV69:$DZ69,$EF69)&gt;=4),"Ecosystem approach","")</f>
        <v/>
      </c>
      <c r="EM69" s="2" t="str">
        <f>IF(AND(AND(AND($DX69=0,$DW69=0),OR($EC69=1,$EA69=1)),SUM($EB69:$EE69)&gt;=2),"Technology approach","")</f>
        <v/>
      </c>
      <c r="EN69" t="s">
        <v>1285</v>
      </c>
      <c r="EO69"/>
      <c r="EP69" t="str">
        <f>IF(ISNUMBER(BU69),IF(ABS(BU69-[3]QC_indicators!$B$2)&gt;3*[3]QC_indicators!$C$2,"C ratio",IF(ISNUMBER(BY69),IF(ABS(BY69-[3]QC_indicators!$B$1)&gt;3*[3]QC_indicators!$C$1,"DF","no"))),IF(ISNUMBER(BY69),IF(ABS(BY69-[3]QC_indicators!$B$1)&gt;3*[3]QC_indicators!$C$1,"DF","no")))</f>
        <v>no</v>
      </c>
      <c r="EQ69" t="s">
        <v>287</v>
      </c>
      <c r="ER69" t="s">
        <v>1286</v>
      </c>
      <c r="ES69"/>
      <c r="ET69" s="266" t="s">
        <v>3275</v>
      </c>
      <c r="EU69"/>
    </row>
    <row r="70" spans="1:151" s="139" customFormat="1" ht="15" hidden="1" customHeight="1">
      <c r="A70" s="1" t="s">
        <v>1104</v>
      </c>
      <c r="B70" t="s">
        <v>1105</v>
      </c>
      <c r="C70" t="s">
        <v>1106</v>
      </c>
      <c r="D70" t="s">
        <v>1107</v>
      </c>
      <c r="E70" t="s">
        <v>1108</v>
      </c>
      <c r="F70" t="s">
        <v>1109</v>
      </c>
      <c r="G70" t="s">
        <v>1110</v>
      </c>
      <c r="H70" t="s">
        <v>255</v>
      </c>
      <c r="I70">
        <v>2013</v>
      </c>
      <c r="J70">
        <v>11</v>
      </c>
      <c r="K70" t="s">
        <v>1111</v>
      </c>
      <c r="L70"/>
      <c r="M70" t="str">
        <f>LEFT($D70,FIND(",",$D70)-1)&amp;"_"&amp;I70&amp;L70</f>
        <v>Routa_2013</v>
      </c>
      <c r="N70" t="s">
        <v>223</v>
      </c>
      <c r="O70" s="145" t="s">
        <v>342</v>
      </c>
      <c r="P70"/>
      <c r="Q70" s="266" t="s">
        <v>257</v>
      </c>
      <c r="R70" s="271" t="s">
        <v>1156</v>
      </c>
      <c r="S70" s="1" t="s">
        <v>1112</v>
      </c>
      <c r="T70" t="e">
        <f>#REF!</f>
        <v>#REF!</v>
      </c>
      <c r="U70" t="s">
        <v>1113</v>
      </c>
      <c r="V70">
        <v>0</v>
      </c>
      <c r="W70">
        <v>0</v>
      </c>
      <c r="X70">
        <v>2</v>
      </c>
      <c r="Y70">
        <v>0</v>
      </c>
      <c r="Z70">
        <v>2</v>
      </c>
      <c r="AA70">
        <v>0</v>
      </c>
      <c r="AB70">
        <v>1</v>
      </c>
      <c r="AC70">
        <v>0</v>
      </c>
      <c r="AD70">
        <v>0</v>
      </c>
      <c r="AE70">
        <v>0</v>
      </c>
      <c r="AF70">
        <v>0</v>
      </c>
      <c r="AG70">
        <v>0</v>
      </c>
      <c r="AH70">
        <v>0</v>
      </c>
      <c r="AI70">
        <v>0</v>
      </c>
      <c r="AJ70">
        <v>2</v>
      </c>
      <c r="AK70">
        <v>0</v>
      </c>
      <c r="AL70">
        <v>2</v>
      </c>
      <c r="AM70">
        <v>0</v>
      </c>
      <c r="AN70">
        <v>0</v>
      </c>
      <c r="AO70">
        <v>0</v>
      </c>
      <c r="AP70">
        <v>0</v>
      </c>
      <c r="AQ70">
        <v>0</v>
      </c>
      <c r="AR70">
        <v>0</v>
      </c>
      <c r="AS70">
        <v>0</v>
      </c>
      <c r="AT70">
        <v>0</v>
      </c>
      <c r="AU70">
        <v>0</v>
      </c>
      <c r="AV70">
        <v>0</v>
      </c>
      <c r="AW70">
        <v>0</v>
      </c>
      <c r="AX70" s="141">
        <f>COUNTIF(V70:AW70,"&lt;&gt;0")</f>
        <v>5</v>
      </c>
      <c r="AY70" s="141">
        <f>COUNTIF(V70:AL70,"&lt;&gt;0")</f>
        <v>5</v>
      </c>
      <c r="AZ70">
        <f>COUNTIF(V70:AC70,"&lt;&gt;0")</f>
        <v>3</v>
      </c>
      <c r="BA70">
        <f>COUNTIF(AD70:AI70,"&lt;&gt;0")</f>
        <v>0</v>
      </c>
      <c r="BB70">
        <f>COUNTIF(AJ70:AL70,"&lt;&gt;0")</f>
        <v>2</v>
      </c>
      <c r="BC70">
        <f>COUNTIF(AS70:AW70,"&lt;&gt;0")</f>
        <v>0</v>
      </c>
      <c r="BD70">
        <f>COUNTIF(AM70:AR70,"&lt;&gt;0")</f>
        <v>0</v>
      </c>
      <c r="BE70" t="str" cm="1">
        <f t="array" ref="BE70">IF(AY70=1,INDEX($V$7:$AL$7,MATCH(TRUE,INDEX($V70:$AW70&lt;&gt;0,),0)),IF(AY70=0,INDEX($AM$7:$AW$7,MATCH(1,$AM70:$AW70,0)),IF(BF70="Multiple strategies","mixed drivers",IF(BF70="Supply chain","multiple supply","multiple silviculture"))))</f>
        <v>mixed drivers</v>
      </c>
      <c r="BF70" s="2" t="str" cm="1">
        <f t="array" ref="BF70">IF(COUNTIF(AZ70:BB70,"&lt;&gt;0")=1,INDEX($V$4:$AW$4,MATCH(TRUE,INDEX($V70:$AW70&lt;&gt;0,),0)),IF(COUNTIF(AZ70:BB70,"&lt;&gt;0")=0,INDEX($AM$4:$AW$4,MATCH(1,$AM70:$AW70,0)),"Multiple strategies"))</f>
        <v>Multiple strategies</v>
      </c>
      <c r="BG70" s="1" t="s">
        <v>322</v>
      </c>
      <c r="BH70" t="s">
        <v>1114</v>
      </c>
      <c r="BI70"/>
      <c r="BJ70" t="s">
        <v>1115</v>
      </c>
      <c r="BK70">
        <v>2.75</v>
      </c>
      <c r="BL70">
        <v>3.2</v>
      </c>
      <c r="BM70" s="266">
        <f>BL70/BK70</f>
        <v>1.1636363636363638</v>
      </c>
      <c r="BN70">
        <f>BL70-BK70</f>
        <v>0.45000000000000018</v>
      </c>
      <c r="BO70">
        <f>BN70</f>
        <v>0.45000000000000018</v>
      </c>
      <c r="BP70" s="266" t="s">
        <v>233</v>
      </c>
      <c r="BQ70" s="266"/>
      <c r="BR70" t="s">
        <v>1116</v>
      </c>
      <c r="BS70">
        <v>-0.22</v>
      </c>
      <c r="BT70">
        <v>-2.5</v>
      </c>
      <c r="BU70" s="144">
        <f>IFERROR(BT70/BS70,"")</f>
        <v>11.363636363636363</v>
      </c>
      <c r="BV70">
        <f>BT70-BS70</f>
        <v>-2.2799999999999998</v>
      </c>
      <c r="BW70"/>
      <c r="BX70">
        <f>BV70/10^3</f>
        <v>-2.2799999999999999E-3</v>
      </c>
      <c r="BY70">
        <f>IFERROR(BX70/BO70,"")</f>
        <v>-5.0666666666666646E-3</v>
      </c>
      <c r="BZ70">
        <v>0</v>
      </c>
      <c r="CA70">
        <v>0</v>
      </c>
      <c r="CB70">
        <v>0</v>
      </c>
      <c r="CC70">
        <v>0</v>
      </c>
      <c r="CD70">
        <v>0</v>
      </c>
      <c r="CE70">
        <v>0</v>
      </c>
      <c r="CF70">
        <v>0</v>
      </c>
      <c r="CG70">
        <v>0</v>
      </c>
      <c r="CH70">
        <v>0</v>
      </c>
      <c r="CI70">
        <v>0</v>
      </c>
      <c r="CJ70">
        <v>0</v>
      </c>
      <c r="CK70">
        <v>0</v>
      </c>
      <c r="CL70">
        <v>0</v>
      </c>
      <c r="CM70">
        <v>0</v>
      </c>
      <c r="CN70" t="str">
        <f>IF($BL70&lt;$BK70,"refNeedCorrection","refOK")</f>
        <v>refOK</v>
      </c>
      <c r="CO70">
        <f>IF($CN70="refOK",$BK70,$BL70)</f>
        <v>2.75</v>
      </c>
      <c r="CP70">
        <f>IF($CN70="refOK",$BL70,$BK70)</f>
        <v>3.2</v>
      </c>
      <c r="CQ70">
        <f>IF($CN70="refOK",$BO70,-$BO70)</f>
        <v>0.45000000000000018</v>
      </c>
      <c r="CR70">
        <f>IF($CN70="refOK",$BS70,$BT70)*IF($BP70="Emissions positive",-1,1)</f>
        <v>-0.22</v>
      </c>
      <c r="CS70">
        <f>IF($CN70="refOK",$BT70,$BS70)*IF($BP70="Emissions positive",-1,1)</f>
        <v>-2.5</v>
      </c>
      <c r="CT70">
        <f>IF($CN70="refNeedCorrection",-BX70,BX70)*IF($BP70="Emissions positive",-1,1)</f>
        <v>-2.2799999999999999E-3</v>
      </c>
      <c r="CU70">
        <f>IFERROR(CT70/CQ70,"")</f>
        <v>-5.0666666666666646E-3</v>
      </c>
      <c r="CV70" s="2">
        <f>IFERROR((CS70-CR70)/ABS(CR70),"")</f>
        <v>-10.363636363636363</v>
      </c>
      <c r="CW70" s="1" t="s">
        <v>235</v>
      </c>
      <c r="CX70" s="266" t="str">
        <f>IF(OR($CW70="prd",$CW70="std",$CW70="cit"),"loc",IF(OR($CW70="eur",$CW70="reg",$CW70="coy"),"reg",$CW70))</f>
        <v>loc</v>
      </c>
      <c r="CY70" t="s">
        <v>236</v>
      </c>
      <c r="CZ70">
        <v>2001</v>
      </c>
      <c r="DA70">
        <v>2100</v>
      </c>
      <c r="DB70">
        <v>100</v>
      </c>
      <c r="DC70" t="str">
        <f>IF(DB70=0,"0",IF(AND(DB70&gt;=1,DB70&lt;=30),"1-30",IF(AND(DB70&gt;30,DB70&lt;=70),"31-70",IF(AND(DB70&gt;70,DB70&lt;=100),"71-100",IF(DB70&gt;100,"+100")))))</f>
        <v>71-100</v>
      </c>
      <c r="DD70">
        <v>0</v>
      </c>
      <c r="DE70">
        <v>1</v>
      </c>
      <c r="DF70">
        <v>1</v>
      </c>
      <c r="DG70">
        <v>1</v>
      </c>
      <c r="DH70"/>
      <c r="DI70">
        <f>SUM(DD70:DG70)</f>
        <v>3</v>
      </c>
      <c r="DJ70" t="str">
        <f>IF(DI70=1,INDEX($DD$7:$DG$7,MATCH(1,$DD70:$DG70,0)),"mixedProduct")</f>
        <v>mixedProduct</v>
      </c>
      <c r="DK70">
        <f>IF(DD70=1,DK$7,0)</f>
        <v>0</v>
      </c>
      <c r="DL70" t="str">
        <f>IF(DE70=1,DL$7,0)</f>
        <v>Energy</v>
      </c>
      <c r="DM70" t="str">
        <f>IF(DF70=1,DM$7,0)</f>
        <v>Pulp/Paper</v>
      </c>
      <c r="DN70" t="str">
        <f>IF(DG70=1,DN$7,0)</f>
        <v>Timber</v>
      </c>
      <c r="DO70">
        <v>1</v>
      </c>
      <c r="DP70">
        <v>0</v>
      </c>
      <c r="DQ70">
        <v>0</v>
      </c>
      <c r="DR70">
        <v>0</v>
      </c>
      <c r="DS70">
        <v>0</v>
      </c>
      <c r="DT70">
        <f>SUM(DO70:DP70)</f>
        <v>1</v>
      </c>
      <c r="DU70" s="143" t="str">
        <f>IF(DO70=1,"self-calculated DF",IF(DP70=1,"external DF used","explicit C balance"))</f>
        <v>self-calculated DF</v>
      </c>
      <c r="DV70">
        <v>1</v>
      </c>
      <c r="DW70">
        <v>1</v>
      </c>
      <c r="DX70">
        <v>1</v>
      </c>
      <c r="DY70">
        <v>0</v>
      </c>
      <c r="DZ70">
        <v>0</v>
      </c>
      <c r="EA70" s="143">
        <v>0</v>
      </c>
      <c r="EB70">
        <v>1</v>
      </c>
      <c r="EC70">
        <v>1</v>
      </c>
      <c r="ED70">
        <v>0</v>
      </c>
      <c r="EE70">
        <v>0</v>
      </c>
      <c r="EF70">
        <v>1</v>
      </c>
      <c r="EG70">
        <v>1</v>
      </c>
      <c r="EH70">
        <v>0</v>
      </c>
      <c r="EI70" s="2">
        <v>0</v>
      </c>
      <c r="EJ70" s="1"/>
      <c r="EK70" t="str">
        <f>IF(AND(AND(AND(OR($DX70=1,$DW70=1),OR($EC70=1,$EA70=1)),SUM($DV70:$DZ70,$EF70)&gt;=4),SUM($EA70:$EE70)&gt;=2),"Whole sector","")</f>
        <v>Whole sector</v>
      </c>
      <c r="EL70" t="str">
        <f>IF(AND(AND(OR($DX70=1,$DW70=1),AND($EC70=0,$EA70=0)),SUM($DV70:$DZ70,$EF70)&gt;=4),"Ecosystem approach","")</f>
        <v/>
      </c>
      <c r="EM70" s="2" t="str">
        <f>IF(AND(AND(AND($DX70=0,$DW70=0),OR($EC70=1,$EA70=1)),SUM($EB70:$EE70)&gt;=2),"Technology approach","")</f>
        <v/>
      </c>
      <c r="EN70"/>
      <c r="EO70"/>
      <c r="EP70" t="str">
        <f>IF(ISNUMBER(BU70),IF(ABS(BU70-[1]QC_indicators!$B$2)&gt;3*[1]QC_indicators!$C$2,"C ratio",IF(ISNUMBER(BY70),IF(ABS(BY70-[1]QC_indicators!$B$1)&gt;3*[1]QC_indicators!$C$1,"DF","no"))),IF(ISNUMBER(BY70),IF(ABS(BY70-[1]QC_indicators!$B$1)&gt;3*[1]QC_indicators!$C$1,"DF","no")))</f>
        <v>no</v>
      </c>
      <c r="EQ70"/>
      <c r="ER70" s="296" t="s">
        <v>350</v>
      </c>
      <c r="ES70"/>
      <c r="ET70" s="266" t="s">
        <v>3409</v>
      </c>
      <c r="EU70"/>
    </row>
    <row r="71" spans="1:151" s="139" customFormat="1" ht="15" hidden="1" customHeight="1">
      <c r="A71" s="1" t="s">
        <v>1104</v>
      </c>
      <c r="B71" t="s">
        <v>1105</v>
      </c>
      <c r="C71" t="s">
        <v>1106</v>
      </c>
      <c r="D71" t="s">
        <v>1107</v>
      </c>
      <c r="E71" t="s">
        <v>1108</v>
      </c>
      <c r="F71" t="s">
        <v>1109</v>
      </c>
      <c r="G71" t="s">
        <v>1110</v>
      </c>
      <c r="H71" t="s">
        <v>255</v>
      </c>
      <c r="I71">
        <v>2013</v>
      </c>
      <c r="J71">
        <v>11</v>
      </c>
      <c r="K71" t="s">
        <v>1111</v>
      </c>
      <c r="L71"/>
      <c r="M71" t="str">
        <f>LEFT($D71,FIND(",",$D71)-1)&amp;"_"&amp;I71&amp;L71</f>
        <v>Routa_2013</v>
      </c>
      <c r="N71" t="s">
        <v>223</v>
      </c>
      <c r="O71" s="145" t="s">
        <v>342</v>
      </c>
      <c r="P71"/>
      <c r="Q71" s="266" t="s">
        <v>257</v>
      </c>
      <c r="R71" s="271" t="s">
        <v>1156</v>
      </c>
      <c r="S71" s="1" t="s">
        <v>1117</v>
      </c>
      <c r="T71" t="e">
        <f>#REF!</f>
        <v>#REF!</v>
      </c>
      <c r="U71" t="s">
        <v>1113</v>
      </c>
      <c r="V71">
        <v>0</v>
      </c>
      <c r="W71">
        <v>0</v>
      </c>
      <c r="X71">
        <v>2</v>
      </c>
      <c r="Y71">
        <v>0</v>
      </c>
      <c r="Z71">
        <v>2</v>
      </c>
      <c r="AA71">
        <v>0</v>
      </c>
      <c r="AB71">
        <v>1</v>
      </c>
      <c r="AC71">
        <v>0</v>
      </c>
      <c r="AD71">
        <v>0</v>
      </c>
      <c r="AE71">
        <v>0</v>
      </c>
      <c r="AF71">
        <v>0</v>
      </c>
      <c r="AG71">
        <v>0</v>
      </c>
      <c r="AH71">
        <v>0</v>
      </c>
      <c r="AI71">
        <v>0</v>
      </c>
      <c r="AJ71">
        <v>2</v>
      </c>
      <c r="AK71">
        <v>0</v>
      </c>
      <c r="AL71">
        <v>2</v>
      </c>
      <c r="AM71">
        <v>0</v>
      </c>
      <c r="AN71">
        <v>0</v>
      </c>
      <c r="AO71">
        <v>0</v>
      </c>
      <c r="AP71">
        <v>0</v>
      </c>
      <c r="AQ71">
        <v>0</v>
      </c>
      <c r="AR71">
        <v>0</v>
      </c>
      <c r="AS71">
        <v>0</v>
      </c>
      <c r="AT71">
        <v>0</v>
      </c>
      <c r="AU71">
        <v>0</v>
      </c>
      <c r="AV71">
        <v>0</v>
      </c>
      <c r="AW71">
        <v>0</v>
      </c>
      <c r="AX71" s="141">
        <f>COUNTIF(V71:AW71,"&lt;&gt;0")</f>
        <v>5</v>
      </c>
      <c r="AY71" s="141">
        <f>COUNTIF(V71:AL71,"&lt;&gt;0")</f>
        <v>5</v>
      </c>
      <c r="AZ71">
        <f>COUNTIF(V71:AC71,"&lt;&gt;0")</f>
        <v>3</v>
      </c>
      <c r="BA71">
        <f>COUNTIF(AD71:AI71,"&lt;&gt;0")</f>
        <v>0</v>
      </c>
      <c r="BB71">
        <f>COUNTIF(AJ71:AL71,"&lt;&gt;0")</f>
        <v>2</v>
      </c>
      <c r="BC71">
        <f>COUNTIF(AS71:AW71,"&lt;&gt;0")</f>
        <v>0</v>
      </c>
      <c r="BD71">
        <f>COUNTIF(AM71:AR71,"&lt;&gt;0")</f>
        <v>0</v>
      </c>
      <c r="BE71" t="str" cm="1">
        <f t="array" ref="BE71">IF(AY71=1,INDEX($V$7:$AL$7,MATCH(TRUE,INDEX($V71:$AW71&lt;&gt;0,),0)),IF(AY71=0,INDEX($AM$7:$AW$7,MATCH(1,$AM71:$AW71,0)),IF(BF71="Multiple strategies","mixed drivers",IF(BF71="Supply chain","multiple supply","multiple silviculture"))))</f>
        <v>mixed drivers</v>
      </c>
      <c r="BF71" s="2" t="str" cm="1">
        <f t="array" ref="BF71">IF(COUNTIF(AZ71:BB71,"&lt;&gt;0")=1,INDEX($V$4:$AW$4,MATCH(TRUE,INDEX($V71:$AW71&lt;&gt;0,),0)),IF(COUNTIF(AZ71:BB71,"&lt;&gt;0")=0,INDEX($AM$4:$AW$4,MATCH(1,$AM71:$AW71,0)),"Multiple strategies"))</f>
        <v>Multiple strategies</v>
      </c>
      <c r="BG71" s="1" t="s">
        <v>322</v>
      </c>
      <c r="BH71" t="s">
        <v>1114</v>
      </c>
      <c r="BI71"/>
      <c r="BJ71" t="s">
        <v>1115</v>
      </c>
      <c r="BK71">
        <v>2.9</v>
      </c>
      <c r="BL71">
        <v>3.2</v>
      </c>
      <c r="BM71" s="266">
        <f>BL71/BK71</f>
        <v>1.103448275862069</v>
      </c>
      <c r="BN71">
        <f>BL71-BK71</f>
        <v>0.30000000000000027</v>
      </c>
      <c r="BO71">
        <f>BN71</f>
        <v>0.30000000000000027</v>
      </c>
      <c r="BP71" s="266" t="s">
        <v>233</v>
      </c>
      <c r="BQ71" s="266"/>
      <c r="BR71" t="s">
        <v>1116</v>
      </c>
      <c r="BS71">
        <v>-1.2</v>
      </c>
      <c r="BT71">
        <v>-2.5</v>
      </c>
      <c r="BU71" s="144">
        <f>IFERROR(BT71/BS71,"")</f>
        <v>2.0833333333333335</v>
      </c>
      <c r="BV71">
        <f>BT71-BS71</f>
        <v>-1.3</v>
      </c>
      <c r="BW71"/>
      <c r="BX71">
        <f>BV71/10^3</f>
        <v>-1.2999999999999999E-3</v>
      </c>
      <c r="BY71">
        <f>IFERROR(BX71/BO71,"")</f>
        <v>-4.3333333333333297E-3</v>
      </c>
      <c r="BZ71">
        <v>0</v>
      </c>
      <c r="CA71">
        <v>0</v>
      </c>
      <c r="CB71">
        <v>0</v>
      </c>
      <c r="CC71">
        <v>0</v>
      </c>
      <c r="CD71">
        <v>0</v>
      </c>
      <c r="CE71">
        <v>0</v>
      </c>
      <c r="CF71">
        <v>0</v>
      </c>
      <c r="CG71">
        <v>0</v>
      </c>
      <c r="CH71">
        <v>0</v>
      </c>
      <c r="CI71">
        <v>0</v>
      </c>
      <c r="CJ71">
        <v>0</v>
      </c>
      <c r="CK71">
        <v>0</v>
      </c>
      <c r="CL71">
        <v>0</v>
      </c>
      <c r="CM71">
        <v>0</v>
      </c>
      <c r="CN71" t="str">
        <f>IF($BL71&lt;$BK71,"refNeedCorrection","refOK")</f>
        <v>refOK</v>
      </c>
      <c r="CO71">
        <f>IF($CN71="refOK",$BK71,$BL71)</f>
        <v>2.9</v>
      </c>
      <c r="CP71">
        <f>IF($CN71="refOK",$BL71,$BK71)</f>
        <v>3.2</v>
      </c>
      <c r="CQ71">
        <f>IF($CN71="refOK",$BO71,-$BO71)</f>
        <v>0.30000000000000027</v>
      </c>
      <c r="CR71">
        <f>IF($CN71="refOK",$BS71,$BT71)*IF($BP71="Emissions positive",-1,1)</f>
        <v>-1.2</v>
      </c>
      <c r="CS71">
        <f>IF($CN71="refOK",$BT71,$BS71)*IF($BP71="Emissions positive",-1,1)</f>
        <v>-2.5</v>
      </c>
      <c r="CT71">
        <f>IF($CN71="refNeedCorrection",-BX71,BX71)*IF($BP71="Emissions positive",-1,1)</f>
        <v>-1.2999999999999999E-3</v>
      </c>
      <c r="CU71">
        <f>IFERROR(CT71/CQ71,"")</f>
        <v>-4.3333333333333297E-3</v>
      </c>
      <c r="CV71" s="2">
        <f>IFERROR((CS71-CR71)/ABS(CR71),"")</f>
        <v>-1.0833333333333335</v>
      </c>
      <c r="CW71" s="1" t="s">
        <v>235</v>
      </c>
      <c r="CX71" s="266" t="str">
        <f>IF(OR($CW71="prd",$CW71="std",$CW71="cit"),"loc",IF(OR($CW71="eur",$CW71="reg",$CW71="coy"),"reg",$CW71))</f>
        <v>loc</v>
      </c>
      <c r="CY71" t="s">
        <v>236</v>
      </c>
      <c r="CZ71">
        <v>2001</v>
      </c>
      <c r="DA71">
        <v>2100</v>
      </c>
      <c r="DB71">
        <v>100</v>
      </c>
      <c r="DC71" t="str">
        <f>IF(DB71=0,"0",IF(AND(DB71&gt;=1,DB71&lt;=30),"1-30",IF(AND(DB71&gt;30,DB71&lt;=70),"31-70",IF(AND(DB71&gt;70,DB71&lt;=100),"71-100",IF(DB71&gt;100,"+100")))))</f>
        <v>71-100</v>
      </c>
      <c r="DD71">
        <v>0</v>
      </c>
      <c r="DE71">
        <v>1</v>
      </c>
      <c r="DF71">
        <v>1</v>
      </c>
      <c r="DG71">
        <v>1</v>
      </c>
      <c r="DH71"/>
      <c r="DI71">
        <f>SUM(DD71:DG71)</f>
        <v>3</v>
      </c>
      <c r="DJ71" t="str">
        <f>IF(DI71=1,INDEX($DD$7:$DG$7,MATCH(1,$DD71:$DG71,0)),"mixedProduct")</f>
        <v>mixedProduct</v>
      </c>
      <c r="DK71">
        <f>IF(DD71=1,DK$7,0)</f>
        <v>0</v>
      </c>
      <c r="DL71" t="str">
        <f>IF(DE71=1,DL$7,0)</f>
        <v>Energy</v>
      </c>
      <c r="DM71" t="str">
        <f>IF(DF71=1,DM$7,0)</f>
        <v>Pulp/Paper</v>
      </c>
      <c r="DN71" t="str">
        <f>IF(DG71=1,DN$7,0)</f>
        <v>Timber</v>
      </c>
      <c r="DO71">
        <v>1</v>
      </c>
      <c r="DP71">
        <v>0</v>
      </c>
      <c r="DQ71">
        <v>0</v>
      </c>
      <c r="DR71">
        <v>0</v>
      </c>
      <c r="DS71">
        <v>0</v>
      </c>
      <c r="DT71">
        <f>SUM(DO71:DP71)</f>
        <v>1</v>
      </c>
      <c r="DU71" s="143" t="str">
        <f>IF(DO71=1,"self-calculated DF",IF(DP71=1,"external DF used","explicit C balance"))</f>
        <v>self-calculated DF</v>
      </c>
      <c r="DV71">
        <v>1</v>
      </c>
      <c r="DW71">
        <v>1</v>
      </c>
      <c r="DX71">
        <v>1</v>
      </c>
      <c r="DY71">
        <v>0</v>
      </c>
      <c r="DZ71">
        <v>0</v>
      </c>
      <c r="EA71" s="143">
        <v>0</v>
      </c>
      <c r="EB71">
        <v>1</v>
      </c>
      <c r="EC71">
        <v>1</v>
      </c>
      <c r="ED71">
        <v>0</v>
      </c>
      <c r="EE71">
        <v>0</v>
      </c>
      <c r="EF71">
        <v>1</v>
      </c>
      <c r="EG71">
        <v>1</v>
      </c>
      <c r="EH71">
        <v>0</v>
      </c>
      <c r="EI71" s="2">
        <v>0</v>
      </c>
      <c r="EJ71" s="1"/>
      <c r="EK71" t="str">
        <f>IF(AND(AND(AND(OR($DX71=1,$DW71=1),OR($EC71=1,$EA71=1)),SUM($DV71:$DZ71,$EF71)&gt;=4),SUM($EA71:$EE71)&gt;=2),"Whole sector","")</f>
        <v>Whole sector</v>
      </c>
      <c r="EL71" t="str">
        <f>IF(AND(AND(OR($DX71=1,$DW71=1),AND($EC71=0,$EA71=0)),SUM($DV71:$DZ71,$EF71)&gt;=4),"Ecosystem approach","")</f>
        <v/>
      </c>
      <c r="EM71" s="2" t="str">
        <f>IF(AND(AND(AND($DX71=0,$DW71=0),OR($EC71=1,$EA71=1)),SUM($EB71:$EE71)&gt;=2),"Technology approach","")</f>
        <v/>
      </c>
      <c r="EN71"/>
      <c r="EO71"/>
      <c r="EP71" t="str">
        <f>IF(ISNUMBER(BU71),IF(ABS(BU71-[1]QC_indicators!$B$2)&gt;3*[1]QC_indicators!$C$2,"C ratio",IF(ISNUMBER(BY71),IF(ABS(BY71-[1]QC_indicators!$B$1)&gt;3*[1]QC_indicators!$C$1,"DF","no"))),IF(ISNUMBER(BY71),IF(ABS(BY71-[1]QC_indicators!$B$1)&gt;3*[1]QC_indicators!$C$1,"DF","no")))</f>
        <v>no</v>
      </c>
      <c r="EQ71"/>
      <c r="ER71" s="296" t="s">
        <v>350</v>
      </c>
      <c r="ES71" t="s">
        <v>1118</v>
      </c>
      <c r="ET71" s="266" t="s">
        <v>3409</v>
      </c>
      <c r="EU71"/>
    </row>
    <row r="72" spans="1:151" s="139" customFormat="1" ht="15" hidden="1" customHeight="1">
      <c r="A72" s="1" t="s">
        <v>1104</v>
      </c>
      <c r="B72" t="s">
        <v>1105</v>
      </c>
      <c r="C72" t="s">
        <v>1106</v>
      </c>
      <c r="D72" t="s">
        <v>1107</v>
      </c>
      <c r="E72" t="s">
        <v>1108</v>
      </c>
      <c r="F72" t="s">
        <v>1109</v>
      </c>
      <c r="G72" t="s">
        <v>1110</v>
      </c>
      <c r="H72" t="s">
        <v>255</v>
      </c>
      <c r="I72">
        <v>2013</v>
      </c>
      <c r="J72">
        <v>11</v>
      </c>
      <c r="K72" t="s">
        <v>1111</v>
      </c>
      <c r="L72"/>
      <c r="M72" t="str">
        <f>LEFT($D72,FIND(",",$D72)-1)&amp;"_"&amp;I72&amp;L72</f>
        <v>Routa_2013</v>
      </c>
      <c r="N72" t="s">
        <v>223</v>
      </c>
      <c r="O72" s="145" t="s">
        <v>342</v>
      </c>
      <c r="P72"/>
      <c r="Q72" s="266" t="s">
        <v>257</v>
      </c>
      <c r="R72" s="271" t="s">
        <v>1156</v>
      </c>
      <c r="S72" s="1" t="s">
        <v>1119</v>
      </c>
      <c r="T72" t="e">
        <f>#REF!</f>
        <v>#REF!</v>
      </c>
      <c r="U72" t="s">
        <v>1113</v>
      </c>
      <c r="V72">
        <v>0</v>
      </c>
      <c r="W72">
        <v>0</v>
      </c>
      <c r="X72">
        <v>2</v>
      </c>
      <c r="Y72">
        <v>0</v>
      </c>
      <c r="Z72">
        <v>2</v>
      </c>
      <c r="AA72">
        <v>0</v>
      </c>
      <c r="AB72">
        <v>1</v>
      </c>
      <c r="AC72">
        <v>0</v>
      </c>
      <c r="AD72">
        <v>0</v>
      </c>
      <c r="AE72">
        <v>0</v>
      </c>
      <c r="AF72">
        <v>0</v>
      </c>
      <c r="AG72">
        <v>0</v>
      </c>
      <c r="AH72">
        <v>0</v>
      </c>
      <c r="AI72">
        <v>0</v>
      </c>
      <c r="AJ72">
        <v>2</v>
      </c>
      <c r="AK72">
        <v>0</v>
      </c>
      <c r="AL72">
        <v>2</v>
      </c>
      <c r="AM72">
        <v>0</v>
      </c>
      <c r="AN72">
        <v>0</v>
      </c>
      <c r="AO72">
        <v>0</v>
      </c>
      <c r="AP72">
        <v>0</v>
      </c>
      <c r="AQ72">
        <v>0</v>
      </c>
      <c r="AR72">
        <v>0</v>
      </c>
      <c r="AS72">
        <v>0</v>
      </c>
      <c r="AT72">
        <v>0</v>
      </c>
      <c r="AU72">
        <v>0</v>
      </c>
      <c r="AV72">
        <v>0</v>
      </c>
      <c r="AW72">
        <v>0</v>
      </c>
      <c r="AX72" s="141">
        <f>COUNTIF(V72:AW72,"&lt;&gt;0")</f>
        <v>5</v>
      </c>
      <c r="AY72" s="141">
        <f>COUNTIF(V72:AL72,"&lt;&gt;0")</f>
        <v>5</v>
      </c>
      <c r="AZ72">
        <f>COUNTIF(V72:AC72,"&lt;&gt;0")</f>
        <v>3</v>
      </c>
      <c r="BA72">
        <f>COUNTIF(AD72:AI72,"&lt;&gt;0")</f>
        <v>0</v>
      </c>
      <c r="BB72">
        <f>COUNTIF(AJ72:AL72,"&lt;&gt;0")</f>
        <v>2</v>
      </c>
      <c r="BC72">
        <f>COUNTIF(AS72:AW72,"&lt;&gt;0")</f>
        <v>0</v>
      </c>
      <c r="BD72">
        <f>COUNTIF(AM72:AR72,"&lt;&gt;0")</f>
        <v>0</v>
      </c>
      <c r="BE72" t="str" cm="1">
        <f t="array" ref="BE72">IF(AY72=1,INDEX($V$7:$AL$7,MATCH(TRUE,INDEX($V72:$AW72&lt;&gt;0,),0)),IF(AY72=0,INDEX($AM$7:$AW$7,MATCH(1,$AM72:$AW72,0)),IF(BF72="Multiple strategies","mixed drivers",IF(BF72="Supply chain","multiple supply","multiple silviculture"))))</f>
        <v>mixed drivers</v>
      </c>
      <c r="BF72" s="2" t="str" cm="1">
        <f t="array" ref="BF72">IF(COUNTIF(AZ72:BB72,"&lt;&gt;0")=1,INDEX($V$4:$AW$4,MATCH(TRUE,INDEX($V72:$AW72&lt;&gt;0,),0)),IF(COUNTIF(AZ72:BB72,"&lt;&gt;0")=0,INDEX($AM$4:$AW$4,MATCH(1,$AM72:$AW72,0)),"Multiple strategies"))</f>
        <v>Multiple strategies</v>
      </c>
      <c r="BG72" s="1" t="s">
        <v>322</v>
      </c>
      <c r="BH72" t="s">
        <v>1114</v>
      </c>
      <c r="BI72"/>
      <c r="BJ72" t="s">
        <v>1115</v>
      </c>
      <c r="BK72">
        <v>2.8</v>
      </c>
      <c r="BL72">
        <v>3.2</v>
      </c>
      <c r="BM72" s="266">
        <f>BL72/BK72</f>
        <v>1.142857142857143</v>
      </c>
      <c r="BN72">
        <f>BL72-BK72</f>
        <v>0.40000000000000036</v>
      </c>
      <c r="BO72">
        <f>BN72</f>
        <v>0.40000000000000036</v>
      </c>
      <c r="BP72" s="266" t="s">
        <v>233</v>
      </c>
      <c r="BQ72" s="266"/>
      <c r="BR72" t="s">
        <v>1116</v>
      </c>
      <c r="BS72">
        <v>-1.4</v>
      </c>
      <c r="BT72">
        <v>-2.5</v>
      </c>
      <c r="BU72" s="144">
        <f>IFERROR(BT72/BS72,"")</f>
        <v>1.7857142857142858</v>
      </c>
      <c r="BV72">
        <f>BT72-BS72</f>
        <v>-1.1000000000000001</v>
      </c>
      <c r="BW72"/>
      <c r="BX72">
        <f>BV72/10^3</f>
        <v>-1.1000000000000001E-3</v>
      </c>
      <c r="BY72">
        <f>IFERROR(BX72/BO72,"")</f>
        <v>-2.7499999999999977E-3</v>
      </c>
      <c r="BZ72">
        <v>0</v>
      </c>
      <c r="CA72">
        <v>0</v>
      </c>
      <c r="CB72">
        <v>0</v>
      </c>
      <c r="CC72">
        <v>0</v>
      </c>
      <c r="CD72">
        <v>0</v>
      </c>
      <c r="CE72">
        <v>0</v>
      </c>
      <c r="CF72">
        <v>0</v>
      </c>
      <c r="CG72">
        <v>0</v>
      </c>
      <c r="CH72">
        <v>0</v>
      </c>
      <c r="CI72">
        <v>0</v>
      </c>
      <c r="CJ72">
        <v>0</v>
      </c>
      <c r="CK72">
        <v>0</v>
      </c>
      <c r="CL72">
        <v>0</v>
      </c>
      <c r="CM72">
        <v>0</v>
      </c>
      <c r="CN72" t="str">
        <f>IF($BL72&lt;$BK72,"refNeedCorrection","refOK")</f>
        <v>refOK</v>
      </c>
      <c r="CO72">
        <f>IF($CN72="refOK",$BK72,$BL72)</f>
        <v>2.8</v>
      </c>
      <c r="CP72">
        <f>IF($CN72="refOK",$BL72,$BK72)</f>
        <v>3.2</v>
      </c>
      <c r="CQ72">
        <f>IF($CN72="refOK",$BO72,-$BO72)</f>
        <v>0.40000000000000036</v>
      </c>
      <c r="CR72">
        <f>IF($CN72="refOK",$BS72,$BT72)*IF($BP72="Emissions positive",-1,1)</f>
        <v>-1.4</v>
      </c>
      <c r="CS72">
        <f>IF($CN72="refOK",$BT72,$BS72)*IF($BP72="Emissions positive",-1,1)</f>
        <v>-2.5</v>
      </c>
      <c r="CT72">
        <f>IF($CN72="refNeedCorrection",-BX72,BX72)*IF($BP72="Emissions positive",-1,1)</f>
        <v>-1.1000000000000001E-3</v>
      </c>
      <c r="CU72">
        <f>IFERROR(CT72/CQ72,"")</f>
        <v>-2.7499999999999977E-3</v>
      </c>
      <c r="CV72" s="2">
        <f>IFERROR((CS72-CR72)/ABS(CR72),"")</f>
        <v>-0.78571428571428581</v>
      </c>
      <c r="CW72" s="1" t="s">
        <v>235</v>
      </c>
      <c r="CX72" s="266" t="str">
        <f>IF(OR($CW72="prd",$CW72="std",$CW72="cit"),"loc",IF(OR($CW72="eur",$CW72="reg",$CW72="coy"),"reg",$CW72))</f>
        <v>loc</v>
      </c>
      <c r="CY72" t="s">
        <v>236</v>
      </c>
      <c r="CZ72">
        <v>2001</v>
      </c>
      <c r="DA72">
        <v>2100</v>
      </c>
      <c r="DB72">
        <v>100</v>
      </c>
      <c r="DC72" t="str">
        <f>IF(DB72=0,"0",IF(AND(DB72&gt;=1,DB72&lt;=30),"1-30",IF(AND(DB72&gt;30,DB72&lt;=70),"31-70",IF(AND(DB72&gt;70,DB72&lt;=100),"71-100",IF(DB72&gt;100,"+100")))))</f>
        <v>71-100</v>
      </c>
      <c r="DD72">
        <v>0</v>
      </c>
      <c r="DE72">
        <v>1</v>
      </c>
      <c r="DF72">
        <v>1</v>
      </c>
      <c r="DG72">
        <v>1</v>
      </c>
      <c r="DH72"/>
      <c r="DI72">
        <f>SUM(DD72:DG72)</f>
        <v>3</v>
      </c>
      <c r="DJ72" t="str">
        <f>IF(DI72=1,INDEX($DD$7:$DG$7,MATCH(1,$DD72:$DG72,0)),"mixedProduct")</f>
        <v>mixedProduct</v>
      </c>
      <c r="DK72">
        <f>IF(DD72=1,DK$7,0)</f>
        <v>0</v>
      </c>
      <c r="DL72" t="str">
        <f>IF(DE72=1,DL$7,0)</f>
        <v>Energy</v>
      </c>
      <c r="DM72" t="str">
        <f>IF(DF72=1,DM$7,0)</f>
        <v>Pulp/Paper</v>
      </c>
      <c r="DN72" t="str">
        <f>IF(DG72=1,DN$7,0)</f>
        <v>Timber</v>
      </c>
      <c r="DO72">
        <v>1</v>
      </c>
      <c r="DP72">
        <v>0</v>
      </c>
      <c r="DQ72">
        <v>0</v>
      </c>
      <c r="DR72">
        <v>0</v>
      </c>
      <c r="DS72">
        <v>0</v>
      </c>
      <c r="DT72">
        <f>SUM(DO72:DP72)</f>
        <v>1</v>
      </c>
      <c r="DU72" s="143" t="str">
        <f>IF(DO72=1,"self-calculated DF",IF(DP72=1,"external DF used","explicit C balance"))</f>
        <v>self-calculated DF</v>
      </c>
      <c r="DV72">
        <v>1</v>
      </c>
      <c r="DW72">
        <v>1</v>
      </c>
      <c r="DX72">
        <v>1</v>
      </c>
      <c r="DY72">
        <v>0</v>
      </c>
      <c r="DZ72">
        <v>0</v>
      </c>
      <c r="EA72" s="143">
        <v>0</v>
      </c>
      <c r="EB72">
        <v>1</v>
      </c>
      <c r="EC72">
        <v>1</v>
      </c>
      <c r="ED72">
        <v>0</v>
      </c>
      <c r="EE72">
        <v>0</v>
      </c>
      <c r="EF72">
        <v>1</v>
      </c>
      <c r="EG72">
        <v>1</v>
      </c>
      <c r="EH72">
        <v>0</v>
      </c>
      <c r="EI72" s="2">
        <v>0</v>
      </c>
      <c r="EJ72" s="1"/>
      <c r="EK72" t="str">
        <f>IF(AND(AND(AND(OR($DX72=1,$DW72=1),OR($EC72=1,$EA72=1)),SUM($DV72:$DZ72,$EF72)&gt;=4),SUM($EA72:$EE72)&gt;=2),"Whole sector","")</f>
        <v>Whole sector</v>
      </c>
      <c r="EL72" t="str">
        <f>IF(AND(AND(OR($DX72=1,$DW72=1),AND($EC72=0,$EA72=0)),SUM($DV72:$DZ72,$EF72)&gt;=4),"Ecosystem approach","")</f>
        <v/>
      </c>
      <c r="EM72" s="2" t="str">
        <f>IF(AND(AND(AND($DX72=0,$DW72=0),OR($EC72=1,$EA72=1)),SUM($EB72:$EE72)&gt;=2),"Technology approach","")</f>
        <v/>
      </c>
      <c r="EN72"/>
      <c r="EO72"/>
      <c r="EP72" t="str">
        <f>IF(ISNUMBER(BU72),IF(ABS(BU72-[1]QC_indicators!$B$2)&gt;3*[1]QC_indicators!$C$2,"C ratio",IF(ISNUMBER(BY72),IF(ABS(BY72-[1]QC_indicators!$B$1)&gt;3*[1]QC_indicators!$C$1,"DF","no"))),IF(ISNUMBER(BY72),IF(ABS(BY72-[1]QC_indicators!$B$1)&gt;3*[1]QC_indicators!$C$1,"DF","no")))</f>
        <v>no</v>
      </c>
      <c r="EQ72"/>
      <c r="ER72" s="296" t="s">
        <v>350</v>
      </c>
      <c r="ES72"/>
      <c r="ET72" s="266" t="s">
        <v>3409</v>
      </c>
      <c r="EU72"/>
    </row>
    <row r="73" spans="1:151" s="139" customFormat="1" ht="15" hidden="1" customHeight="1">
      <c r="A73" s="1" t="s">
        <v>1104</v>
      </c>
      <c r="B73" t="s">
        <v>1105</v>
      </c>
      <c r="C73" t="s">
        <v>1106</v>
      </c>
      <c r="D73" t="s">
        <v>1107</v>
      </c>
      <c r="E73" t="s">
        <v>1108</v>
      </c>
      <c r="F73" t="s">
        <v>1109</v>
      </c>
      <c r="G73" t="s">
        <v>1110</v>
      </c>
      <c r="H73" t="s">
        <v>255</v>
      </c>
      <c r="I73">
        <v>2013</v>
      </c>
      <c r="J73">
        <v>11</v>
      </c>
      <c r="K73" t="s">
        <v>1111</v>
      </c>
      <c r="L73"/>
      <c r="M73" t="str">
        <f>LEFT($D73,FIND(",",$D73)-1)&amp;"_"&amp;I73&amp;L73</f>
        <v>Routa_2013</v>
      </c>
      <c r="N73" t="s">
        <v>223</v>
      </c>
      <c r="O73" s="145" t="s">
        <v>342</v>
      </c>
      <c r="P73"/>
      <c r="Q73" s="266" t="s">
        <v>257</v>
      </c>
      <c r="R73" s="271" t="s">
        <v>1156</v>
      </c>
      <c r="S73" s="1" t="s">
        <v>1120</v>
      </c>
      <c r="T73" t="e">
        <f>#REF!</f>
        <v>#REF!</v>
      </c>
      <c r="U73" t="s">
        <v>1113</v>
      </c>
      <c r="V73">
        <v>0</v>
      </c>
      <c r="W73">
        <v>0</v>
      </c>
      <c r="X73">
        <v>2</v>
      </c>
      <c r="Y73">
        <v>0</v>
      </c>
      <c r="Z73">
        <v>2</v>
      </c>
      <c r="AA73">
        <v>0</v>
      </c>
      <c r="AB73">
        <v>1</v>
      </c>
      <c r="AC73">
        <v>0</v>
      </c>
      <c r="AD73">
        <v>0</v>
      </c>
      <c r="AE73">
        <v>0</v>
      </c>
      <c r="AF73">
        <v>0</v>
      </c>
      <c r="AG73">
        <v>0</v>
      </c>
      <c r="AH73">
        <v>0</v>
      </c>
      <c r="AI73">
        <v>0</v>
      </c>
      <c r="AJ73">
        <v>2</v>
      </c>
      <c r="AK73">
        <v>0</v>
      </c>
      <c r="AL73">
        <v>2</v>
      </c>
      <c r="AM73">
        <v>0</v>
      </c>
      <c r="AN73">
        <v>0</v>
      </c>
      <c r="AO73">
        <v>0</v>
      </c>
      <c r="AP73">
        <v>0</v>
      </c>
      <c r="AQ73">
        <v>0</v>
      </c>
      <c r="AR73">
        <v>0</v>
      </c>
      <c r="AS73">
        <v>0</v>
      </c>
      <c r="AT73">
        <v>0</v>
      </c>
      <c r="AU73">
        <v>0</v>
      </c>
      <c r="AV73">
        <v>0</v>
      </c>
      <c r="AW73">
        <v>0</v>
      </c>
      <c r="AX73" s="141">
        <f>COUNTIF(V73:AW73,"&lt;&gt;0")</f>
        <v>5</v>
      </c>
      <c r="AY73" s="141">
        <f>COUNTIF(V73:AL73,"&lt;&gt;0")</f>
        <v>5</v>
      </c>
      <c r="AZ73">
        <f>COUNTIF(V73:AC73,"&lt;&gt;0")</f>
        <v>3</v>
      </c>
      <c r="BA73">
        <f>COUNTIF(AD73:AI73,"&lt;&gt;0")</f>
        <v>0</v>
      </c>
      <c r="BB73">
        <f>COUNTIF(AJ73:AL73,"&lt;&gt;0")</f>
        <v>2</v>
      </c>
      <c r="BC73">
        <f>COUNTIF(AS73:AW73,"&lt;&gt;0")</f>
        <v>0</v>
      </c>
      <c r="BD73">
        <f>COUNTIF(AM73:AR73,"&lt;&gt;0")</f>
        <v>0</v>
      </c>
      <c r="BE73" t="str" cm="1">
        <f t="array" ref="BE73">IF(AY73=1,INDEX($V$7:$AL$7,MATCH(TRUE,INDEX($V73:$AW73&lt;&gt;0,),0)),IF(AY73=0,INDEX($AM$7:$AW$7,MATCH(1,$AM73:$AW73,0)),IF(BF73="Multiple strategies","mixed drivers",IF(BF73="Supply chain","multiple supply","multiple silviculture"))))</f>
        <v>mixed drivers</v>
      </c>
      <c r="BF73" s="2" t="str" cm="1">
        <f t="array" ref="BF73">IF(COUNTIF(AZ73:BB73,"&lt;&gt;0")=1,INDEX($V$4:$AW$4,MATCH(TRUE,INDEX($V73:$AW73&lt;&gt;0,),0)),IF(COUNTIF(AZ73:BB73,"&lt;&gt;0")=0,INDEX($AM$4:$AW$4,MATCH(1,$AM73:$AW73,0)),"Multiple strategies"))</f>
        <v>Multiple strategies</v>
      </c>
      <c r="BG73" s="1" t="s">
        <v>322</v>
      </c>
      <c r="BH73" t="s">
        <v>1114</v>
      </c>
      <c r="BI73"/>
      <c r="BJ73" t="s">
        <v>1115</v>
      </c>
      <c r="BK73">
        <v>2.4500000000000002</v>
      </c>
      <c r="BL73">
        <v>3.2</v>
      </c>
      <c r="BM73" s="266">
        <f>BL73/BK73</f>
        <v>1.3061224489795917</v>
      </c>
      <c r="BN73">
        <f>BL73-BK73</f>
        <v>0.75</v>
      </c>
      <c r="BO73">
        <f>BN73</f>
        <v>0.75</v>
      </c>
      <c r="BP73" s="266" t="s">
        <v>233</v>
      </c>
      <c r="BQ73" s="266"/>
      <c r="BR73" t="s">
        <v>1116</v>
      </c>
      <c r="BS73">
        <v>-0.75</v>
      </c>
      <c r="BT73">
        <v>-2.5</v>
      </c>
      <c r="BU73" s="144">
        <f>IFERROR(BT73/BS73,"")</f>
        <v>3.3333333333333335</v>
      </c>
      <c r="BV73">
        <f>BT73-BS73</f>
        <v>-1.75</v>
      </c>
      <c r="BW73"/>
      <c r="BX73">
        <f>BV73/10^3</f>
        <v>-1.75E-3</v>
      </c>
      <c r="BY73">
        <f>IFERROR(BX73/BO73,"")</f>
        <v>-2.3333333333333335E-3</v>
      </c>
      <c r="BZ73">
        <v>0</v>
      </c>
      <c r="CA73">
        <v>0</v>
      </c>
      <c r="CB73">
        <v>0</v>
      </c>
      <c r="CC73">
        <v>0</v>
      </c>
      <c r="CD73">
        <v>0</v>
      </c>
      <c r="CE73">
        <v>0</v>
      </c>
      <c r="CF73">
        <v>0</v>
      </c>
      <c r="CG73">
        <v>0</v>
      </c>
      <c r="CH73">
        <v>0</v>
      </c>
      <c r="CI73">
        <v>0</v>
      </c>
      <c r="CJ73">
        <v>0</v>
      </c>
      <c r="CK73">
        <v>0</v>
      </c>
      <c r="CL73">
        <v>0</v>
      </c>
      <c r="CM73">
        <v>0</v>
      </c>
      <c r="CN73" t="str">
        <f>IF($BL73&lt;$BK73,"refNeedCorrection","refOK")</f>
        <v>refOK</v>
      </c>
      <c r="CO73">
        <f>IF($CN73="refOK",$BK73,$BL73)</f>
        <v>2.4500000000000002</v>
      </c>
      <c r="CP73">
        <f>IF($CN73="refOK",$BL73,$BK73)</f>
        <v>3.2</v>
      </c>
      <c r="CQ73">
        <f>IF($CN73="refOK",$BO73,-$BO73)</f>
        <v>0.75</v>
      </c>
      <c r="CR73">
        <f>IF($CN73="refOK",$BS73,$BT73)*IF($BP73="Emissions positive",-1,1)</f>
        <v>-0.75</v>
      </c>
      <c r="CS73">
        <f>IF($CN73="refOK",$BT73,$BS73)*IF($BP73="Emissions positive",-1,1)</f>
        <v>-2.5</v>
      </c>
      <c r="CT73">
        <f>IF($CN73="refNeedCorrection",-BX73,BX73)*IF($BP73="Emissions positive",-1,1)</f>
        <v>-1.75E-3</v>
      </c>
      <c r="CU73">
        <f>IFERROR(CT73/CQ73,"")</f>
        <v>-2.3333333333333335E-3</v>
      </c>
      <c r="CV73" s="2">
        <f>IFERROR((CS73-CR73)/ABS(CR73),"")</f>
        <v>-2.3333333333333335</v>
      </c>
      <c r="CW73" s="1" t="s">
        <v>235</v>
      </c>
      <c r="CX73" s="266" t="str">
        <f>IF(OR($CW73="prd",$CW73="std",$CW73="cit"),"loc",IF(OR($CW73="eur",$CW73="reg",$CW73="coy"),"reg",$CW73))</f>
        <v>loc</v>
      </c>
      <c r="CY73" t="s">
        <v>236</v>
      </c>
      <c r="CZ73">
        <v>2001</v>
      </c>
      <c r="DA73">
        <v>2100</v>
      </c>
      <c r="DB73">
        <v>100</v>
      </c>
      <c r="DC73" t="str">
        <f>IF(DB73=0,"0",IF(AND(DB73&gt;=1,DB73&lt;=30),"1-30",IF(AND(DB73&gt;30,DB73&lt;=70),"31-70",IF(AND(DB73&gt;70,DB73&lt;=100),"71-100",IF(DB73&gt;100,"+100")))))</f>
        <v>71-100</v>
      </c>
      <c r="DD73">
        <v>0</v>
      </c>
      <c r="DE73">
        <v>1</v>
      </c>
      <c r="DF73">
        <v>1</v>
      </c>
      <c r="DG73">
        <v>1</v>
      </c>
      <c r="DH73"/>
      <c r="DI73">
        <f>SUM(DD73:DG73)</f>
        <v>3</v>
      </c>
      <c r="DJ73" t="str">
        <f>IF(DI73=1,INDEX($DD$7:$DG$7,MATCH(1,$DD73:$DG73,0)),"mixedProduct")</f>
        <v>mixedProduct</v>
      </c>
      <c r="DK73">
        <f>IF(DD73=1,DK$7,0)</f>
        <v>0</v>
      </c>
      <c r="DL73" t="str">
        <f>IF(DE73=1,DL$7,0)</f>
        <v>Energy</v>
      </c>
      <c r="DM73" t="str">
        <f>IF(DF73=1,DM$7,0)</f>
        <v>Pulp/Paper</v>
      </c>
      <c r="DN73" t="str">
        <f>IF(DG73=1,DN$7,0)</f>
        <v>Timber</v>
      </c>
      <c r="DO73">
        <v>1</v>
      </c>
      <c r="DP73">
        <v>0</v>
      </c>
      <c r="DQ73">
        <v>0</v>
      </c>
      <c r="DR73">
        <v>0</v>
      </c>
      <c r="DS73">
        <v>0</v>
      </c>
      <c r="DT73">
        <f>SUM(DO73:DP73)</f>
        <v>1</v>
      </c>
      <c r="DU73" s="143" t="str">
        <f>IF(DO73=1,"self-calculated DF",IF(DP73=1,"external DF used","explicit C balance"))</f>
        <v>self-calculated DF</v>
      </c>
      <c r="DV73">
        <v>1</v>
      </c>
      <c r="DW73">
        <v>1</v>
      </c>
      <c r="DX73">
        <v>1</v>
      </c>
      <c r="DY73">
        <v>0</v>
      </c>
      <c r="DZ73">
        <v>0</v>
      </c>
      <c r="EA73" s="143">
        <v>0</v>
      </c>
      <c r="EB73">
        <v>1</v>
      </c>
      <c r="EC73">
        <v>1</v>
      </c>
      <c r="ED73">
        <v>0</v>
      </c>
      <c r="EE73">
        <v>0</v>
      </c>
      <c r="EF73">
        <v>1</v>
      </c>
      <c r="EG73">
        <v>1</v>
      </c>
      <c r="EH73">
        <v>0</v>
      </c>
      <c r="EI73" s="2">
        <v>0</v>
      </c>
      <c r="EJ73" s="1"/>
      <c r="EK73" t="str">
        <f>IF(AND(AND(AND(OR($DX73=1,$DW73=1),OR($EC73=1,$EA73=1)),SUM($DV73:$DZ73,$EF73)&gt;=4),SUM($EA73:$EE73)&gt;=2),"Whole sector","")</f>
        <v>Whole sector</v>
      </c>
      <c r="EL73" t="str">
        <f>IF(AND(AND(OR($DX73=1,$DW73=1),AND($EC73=0,$EA73=0)),SUM($DV73:$DZ73,$EF73)&gt;=4),"Ecosystem approach","")</f>
        <v/>
      </c>
      <c r="EM73" s="2" t="str">
        <f>IF(AND(AND(AND($DX73=0,$DW73=0),OR($EC73=1,$EA73=1)),SUM($EB73:$EE73)&gt;=2),"Technology approach","")</f>
        <v/>
      </c>
      <c r="EN73"/>
      <c r="EO73"/>
      <c r="EP73" t="str">
        <f>IF(ISNUMBER(BU73),IF(ABS(BU73-[1]QC_indicators!$B$2)&gt;3*[1]QC_indicators!$C$2,"C ratio",IF(ISNUMBER(BY73),IF(ABS(BY73-[1]QC_indicators!$B$1)&gt;3*[1]QC_indicators!$C$1,"DF","no"))),IF(ISNUMBER(BY73),IF(ABS(BY73-[1]QC_indicators!$B$1)&gt;3*[1]QC_indicators!$C$1,"DF","no")))</f>
        <v>no</v>
      </c>
      <c r="EQ73"/>
      <c r="ER73" s="296" t="s">
        <v>350</v>
      </c>
      <c r="ES73"/>
      <c r="ET73" s="266" t="s">
        <v>3409</v>
      </c>
      <c r="EU73"/>
    </row>
    <row r="74" spans="1:151" s="139" customFormat="1" ht="15" hidden="1" customHeight="1">
      <c r="A74" s="1" t="s">
        <v>1104</v>
      </c>
      <c r="B74" t="s">
        <v>1105</v>
      </c>
      <c r="C74" t="s">
        <v>1106</v>
      </c>
      <c r="D74" t="s">
        <v>1107</v>
      </c>
      <c r="E74" t="s">
        <v>1108</v>
      </c>
      <c r="F74" t="s">
        <v>1109</v>
      </c>
      <c r="G74" t="s">
        <v>1110</v>
      </c>
      <c r="H74" t="s">
        <v>255</v>
      </c>
      <c r="I74">
        <v>2013</v>
      </c>
      <c r="J74">
        <v>11</v>
      </c>
      <c r="K74" t="s">
        <v>1111</v>
      </c>
      <c r="L74"/>
      <c r="M74" t="str">
        <f>LEFT($D74,FIND(",",$D74)-1)&amp;"_"&amp;I74&amp;L74</f>
        <v>Routa_2013</v>
      </c>
      <c r="N74" t="s">
        <v>223</v>
      </c>
      <c r="O74" s="145" t="s">
        <v>342</v>
      </c>
      <c r="P74"/>
      <c r="Q74" s="266" t="s">
        <v>257</v>
      </c>
      <c r="R74" s="271" t="s">
        <v>1156</v>
      </c>
      <c r="S74" s="1" t="s">
        <v>1121</v>
      </c>
      <c r="T74" t="e">
        <f>#REF!</f>
        <v>#REF!</v>
      </c>
      <c r="U74" t="s">
        <v>1113</v>
      </c>
      <c r="V74">
        <v>0</v>
      </c>
      <c r="W74">
        <v>0</v>
      </c>
      <c r="X74">
        <v>2</v>
      </c>
      <c r="Y74">
        <v>0</v>
      </c>
      <c r="Z74">
        <v>2</v>
      </c>
      <c r="AA74">
        <v>0</v>
      </c>
      <c r="AB74">
        <v>1</v>
      </c>
      <c r="AC74">
        <v>0</v>
      </c>
      <c r="AD74">
        <v>0</v>
      </c>
      <c r="AE74">
        <v>0</v>
      </c>
      <c r="AF74">
        <v>0</v>
      </c>
      <c r="AG74">
        <v>0</v>
      </c>
      <c r="AH74">
        <v>0</v>
      </c>
      <c r="AI74">
        <v>0</v>
      </c>
      <c r="AJ74">
        <v>2</v>
      </c>
      <c r="AK74">
        <v>0</v>
      </c>
      <c r="AL74">
        <v>2</v>
      </c>
      <c r="AM74">
        <v>0</v>
      </c>
      <c r="AN74">
        <v>0</v>
      </c>
      <c r="AO74">
        <v>0</v>
      </c>
      <c r="AP74">
        <v>0</v>
      </c>
      <c r="AQ74">
        <v>0</v>
      </c>
      <c r="AR74">
        <v>0</v>
      </c>
      <c r="AS74">
        <v>0</v>
      </c>
      <c r="AT74">
        <v>0</v>
      </c>
      <c r="AU74">
        <v>0</v>
      </c>
      <c r="AV74">
        <v>0</v>
      </c>
      <c r="AW74">
        <v>0</v>
      </c>
      <c r="AX74" s="141">
        <f>COUNTIF(V74:AW74,"&lt;&gt;0")</f>
        <v>5</v>
      </c>
      <c r="AY74" s="141">
        <f>COUNTIF(V74:AL74,"&lt;&gt;0")</f>
        <v>5</v>
      </c>
      <c r="AZ74">
        <f>COUNTIF(V74:AC74,"&lt;&gt;0")</f>
        <v>3</v>
      </c>
      <c r="BA74">
        <f>COUNTIF(AD74:AI74,"&lt;&gt;0")</f>
        <v>0</v>
      </c>
      <c r="BB74">
        <f>COUNTIF(AJ74:AL74,"&lt;&gt;0")</f>
        <v>2</v>
      </c>
      <c r="BC74">
        <f>COUNTIF(AS74:AW74,"&lt;&gt;0")</f>
        <v>0</v>
      </c>
      <c r="BD74">
        <f>COUNTIF(AM74:AR74,"&lt;&gt;0")</f>
        <v>0</v>
      </c>
      <c r="BE74" t="str" cm="1">
        <f t="array" ref="BE74">IF(AY74=1,INDEX($V$7:$AL$7,MATCH(TRUE,INDEX($V74:$AW74&lt;&gt;0,),0)),IF(AY74=0,INDEX($AM$7:$AW$7,MATCH(1,$AM74:$AW74,0)),IF(BF74="Multiple strategies","mixed drivers",IF(BF74="Supply chain","multiple supply","multiple silviculture"))))</f>
        <v>mixed drivers</v>
      </c>
      <c r="BF74" s="2" t="str" cm="1">
        <f t="array" ref="BF74">IF(COUNTIF(AZ74:BB74,"&lt;&gt;0")=1,INDEX($V$4:$AW$4,MATCH(TRUE,INDEX($V74:$AW74&lt;&gt;0,),0)),IF(COUNTIF(AZ74:BB74,"&lt;&gt;0")=0,INDEX($AM$4:$AW$4,MATCH(1,$AM74:$AW74,0)),"Multiple strategies"))</f>
        <v>Multiple strategies</v>
      </c>
      <c r="BG74" s="1" t="s">
        <v>322</v>
      </c>
      <c r="BH74" t="s">
        <v>1114</v>
      </c>
      <c r="BI74"/>
      <c r="BJ74" t="s">
        <v>1115</v>
      </c>
      <c r="BK74">
        <v>2.5</v>
      </c>
      <c r="BL74">
        <v>3.2</v>
      </c>
      <c r="BM74" s="266">
        <f>BL74/BK74</f>
        <v>1.28</v>
      </c>
      <c r="BN74">
        <f>BL74-BK74</f>
        <v>0.70000000000000018</v>
      </c>
      <c r="BO74">
        <f>BN74</f>
        <v>0.70000000000000018</v>
      </c>
      <c r="BP74" s="266" t="s">
        <v>233</v>
      </c>
      <c r="BQ74" s="266"/>
      <c r="BR74" t="s">
        <v>1116</v>
      </c>
      <c r="BS74">
        <v>-1.1299999999999999</v>
      </c>
      <c r="BT74">
        <v>-2.5</v>
      </c>
      <c r="BU74" s="144">
        <f>IFERROR(BT74/BS74,"")</f>
        <v>2.2123893805309738</v>
      </c>
      <c r="BV74">
        <f>BT74-BS74</f>
        <v>-1.37</v>
      </c>
      <c r="BW74"/>
      <c r="BX74">
        <f>BV74/10^3</f>
        <v>-1.3700000000000001E-3</v>
      </c>
      <c r="BY74">
        <f>IFERROR(BX74/BO74,"")</f>
        <v>-1.9571428571428569E-3</v>
      </c>
      <c r="BZ74">
        <v>0</v>
      </c>
      <c r="CA74">
        <v>0</v>
      </c>
      <c r="CB74">
        <v>0</v>
      </c>
      <c r="CC74">
        <v>0</v>
      </c>
      <c r="CD74">
        <v>0</v>
      </c>
      <c r="CE74">
        <v>0</v>
      </c>
      <c r="CF74">
        <v>0</v>
      </c>
      <c r="CG74">
        <v>0</v>
      </c>
      <c r="CH74">
        <v>0</v>
      </c>
      <c r="CI74">
        <v>0</v>
      </c>
      <c r="CJ74">
        <v>0</v>
      </c>
      <c r="CK74">
        <v>0</v>
      </c>
      <c r="CL74">
        <v>0</v>
      </c>
      <c r="CM74">
        <v>0</v>
      </c>
      <c r="CN74" t="str">
        <f>IF($BL74&lt;$BK74,"refNeedCorrection","refOK")</f>
        <v>refOK</v>
      </c>
      <c r="CO74">
        <f>IF($CN74="refOK",$BK74,$BL74)</f>
        <v>2.5</v>
      </c>
      <c r="CP74">
        <f>IF($CN74="refOK",$BL74,$BK74)</f>
        <v>3.2</v>
      </c>
      <c r="CQ74">
        <f>IF($CN74="refOK",$BO74,-$BO74)</f>
        <v>0.70000000000000018</v>
      </c>
      <c r="CR74">
        <f>IF($CN74="refOK",$BS74,$BT74)*IF($BP74="Emissions positive",-1,1)</f>
        <v>-1.1299999999999999</v>
      </c>
      <c r="CS74">
        <f>IF($CN74="refOK",$BT74,$BS74)*IF($BP74="Emissions positive",-1,1)</f>
        <v>-2.5</v>
      </c>
      <c r="CT74">
        <f>IF($CN74="refNeedCorrection",-BX74,BX74)*IF($BP74="Emissions positive",-1,1)</f>
        <v>-1.3700000000000001E-3</v>
      </c>
      <c r="CU74">
        <f>IFERROR(CT74/CQ74,"")</f>
        <v>-1.9571428571428569E-3</v>
      </c>
      <c r="CV74" s="2">
        <f>IFERROR((CS74-CR74)/ABS(CR74),"")</f>
        <v>-1.2123893805309736</v>
      </c>
      <c r="CW74" s="1" t="s">
        <v>235</v>
      </c>
      <c r="CX74" s="266" t="str">
        <f>IF(OR($CW74="prd",$CW74="std",$CW74="cit"),"loc",IF(OR($CW74="eur",$CW74="reg",$CW74="coy"),"reg",$CW74))</f>
        <v>loc</v>
      </c>
      <c r="CY74" t="s">
        <v>236</v>
      </c>
      <c r="CZ74">
        <v>2001</v>
      </c>
      <c r="DA74">
        <v>2100</v>
      </c>
      <c r="DB74">
        <v>100</v>
      </c>
      <c r="DC74" t="str">
        <f>IF(DB74=0,"0",IF(AND(DB74&gt;=1,DB74&lt;=30),"1-30",IF(AND(DB74&gt;30,DB74&lt;=70),"31-70",IF(AND(DB74&gt;70,DB74&lt;=100),"71-100",IF(DB74&gt;100,"+100")))))</f>
        <v>71-100</v>
      </c>
      <c r="DD74">
        <v>0</v>
      </c>
      <c r="DE74">
        <v>1</v>
      </c>
      <c r="DF74">
        <v>1</v>
      </c>
      <c r="DG74">
        <v>1</v>
      </c>
      <c r="DH74"/>
      <c r="DI74">
        <f>SUM(DD74:DG74)</f>
        <v>3</v>
      </c>
      <c r="DJ74" t="str">
        <f>IF(DI74=1,INDEX($DD$7:$DG$7,MATCH(1,$DD74:$DG74,0)),"mixedProduct")</f>
        <v>mixedProduct</v>
      </c>
      <c r="DK74">
        <f>IF(DD74=1,DK$7,0)</f>
        <v>0</v>
      </c>
      <c r="DL74" t="str">
        <f>IF(DE74=1,DL$7,0)</f>
        <v>Energy</v>
      </c>
      <c r="DM74" t="str">
        <f>IF(DF74=1,DM$7,0)</f>
        <v>Pulp/Paper</v>
      </c>
      <c r="DN74" t="str">
        <f>IF(DG74=1,DN$7,0)</f>
        <v>Timber</v>
      </c>
      <c r="DO74">
        <v>1</v>
      </c>
      <c r="DP74">
        <v>0</v>
      </c>
      <c r="DQ74">
        <v>0</v>
      </c>
      <c r="DR74">
        <v>0</v>
      </c>
      <c r="DS74">
        <v>0</v>
      </c>
      <c r="DT74">
        <f>SUM(DO74:DP74)</f>
        <v>1</v>
      </c>
      <c r="DU74" s="143" t="str">
        <f>IF(DO74=1,"self-calculated DF",IF(DP74=1,"external DF used","explicit C balance"))</f>
        <v>self-calculated DF</v>
      </c>
      <c r="DV74">
        <v>1</v>
      </c>
      <c r="DW74">
        <v>1</v>
      </c>
      <c r="DX74">
        <v>1</v>
      </c>
      <c r="DY74">
        <v>0</v>
      </c>
      <c r="DZ74">
        <v>0</v>
      </c>
      <c r="EA74" s="143">
        <v>0</v>
      </c>
      <c r="EB74">
        <v>1</v>
      </c>
      <c r="EC74">
        <v>1</v>
      </c>
      <c r="ED74">
        <v>0</v>
      </c>
      <c r="EE74">
        <v>0</v>
      </c>
      <c r="EF74">
        <v>1</v>
      </c>
      <c r="EG74">
        <v>1</v>
      </c>
      <c r="EH74">
        <v>0</v>
      </c>
      <c r="EI74" s="2">
        <v>0</v>
      </c>
      <c r="EJ74" s="1"/>
      <c r="EK74" t="str">
        <f>IF(AND(AND(AND(OR($DX74=1,$DW74=1),OR($EC74=1,$EA74=1)),SUM($DV74:$DZ74,$EF74)&gt;=4),SUM($EA74:$EE74)&gt;=2),"Whole sector","")</f>
        <v>Whole sector</v>
      </c>
      <c r="EL74" t="str">
        <f>IF(AND(AND(OR($DX74=1,$DW74=1),AND($EC74=0,$EA74=0)),SUM($DV74:$DZ74,$EF74)&gt;=4),"Ecosystem approach","")</f>
        <v/>
      </c>
      <c r="EM74" s="2" t="str">
        <f>IF(AND(AND(AND($DX74=0,$DW74=0),OR($EC74=1,$EA74=1)),SUM($EB74:$EE74)&gt;=2),"Technology approach","")</f>
        <v/>
      </c>
      <c r="EN74"/>
      <c r="EO74"/>
      <c r="EP74" t="str">
        <f>IF(ISNUMBER(BU74),IF(ABS(BU74-[1]QC_indicators!$B$2)&gt;3*[1]QC_indicators!$C$2,"C ratio",IF(ISNUMBER(BY74),IF(ABS(BY74-[1]QC_indicators!$B$1)&gt;3*[1]QC_indicators!$C$1,"DF","no"))),IF(ISNUMBER(BY74),IF(ABS(BY74-[1]QC_indicators!$B$1)&gt;3*[1]QC_indicators!$C$1,"DF","no")))</f>
        <v>no</v>
      </c>
      <c r="EQ74"/>
      <c r="ER74" s="296" t="s">
        <v>350</v>
      </c>
      <c r="ES74"/>
      <c r="ET74" s="266" t="s">
        <v>3409</v>
      </c>
      <c r="EU74"/>
    </row>
    <row r="75" spans="1:151" s="139" customFormat="1" ht="15" hidden="1" customHeight="1">
      <c r="A75" s="1" t="s">
        <v>1104</v>
      </c>
      <c r="B75" t="s">
        <v>1105</v>
      </c>
      <c r="C75" t="s">
        <v>1106</v>
      </c>
      <c r="D75" t="s">
        <v>1107</v>
      </c>
      <c r="E75" t="s">
        <v>1108</v>
      </c>
      <c r="F75" t="s">
        <v>1109</v>
      </c>
      <c r="G75" t="s">
        <v>1110</v>
      </c>
      <c r="H75" t="s">
        <v>255</v>
      </c>
      <c r="I75">
        <v>2013</v>
      </c>
      <c r="J75">
        <v>11</v>
      </c>
      <c r="K75" t="s">
        <v>1111</v>
      </c>
      <c r="L75"/>
      <c r="M75" t="str">
        <f>LEFT($D75,FIND(",",$D75)-1)&amp;"_"&amp;I75&amp;L75</f>
        <v>Routa_2013</v>
      </c>
      <c r="N75" t="s">
        <v>223</v>
      </c>
      <c r="O75" s="145" t="s">
        <v>342</v>
      </c>
      <c r="P75"/>
      <c r="Q75" s="266" t="s">
        <v>257</v>
      </c>
      <c r="R75" s="271" t="s">
        <v>1156</v>
      </c>
      <c r="S75" s="1" t="s">
        <v>1122</v>
      </c>
      <c r="T75" t="e">
        <f>#REF!</f>
        <v>#REF!</v>
      </c>
      <c r="U75" t="s">
        <v>1113</v>
      </c>
      <c r="V75">
        <v>0</v>
      </c>
      <c r="W75">
        <v>0</v>
      </c>
      <c r="X75">
        <v>2</v>
      </c>
      <c r="Y75">
        <v>0</v>
      </c>
      <c r="Z75">
        <v>2</v>
      </c>
      <c r="AA75">
        <v>0</v>
      </c>
      <c r="AB75">
        <v>1</v>
      </c>
      <c r="AC75">
        <v>0</v>
      </c>
      <c r="AD75">
        <v>0</v>
      </c>
      <c r="AE75">
        <v>0</v>
      </c>
      <c r="AF75">
        <v>0</v>
      </c>
      <c r="AG75">
        <v>0</v>
      </c>
      <c r="AH75">
        <v>0</v>
      </c>
      <c r="AI75">
        <v>0</v>
      </c>
      <c r="AJ75">
        <v>2</v>
      </c>
      <c r="AK75">
        <v>0</v>
      </c>
      <c r="AL75">
        <v>2</v>
      </c>
      <c r="AM75">
        <v>0</v>
      </c>
      <c r="AN75">
        <v>0</v>
      </c>
      <c r="AO75">
        <v>0</v>
      </c>
      <c r="AP75">
        <v>0</v>
      </c>
      <c r="AQ75">
        <v>0</v>
      </c>
      <c r="AR75">
        <v>0</v>
      </c>
      <c r="AS75">
        <v>0</v>
      </c>
      <c r="AT75">
        <v>0</v>
      </c>
      <c r="AU75">
        <v>0</v>
      </c>
      <c r="AV75">
        <v>0</v>
      </c>
      <c r="AW75">
        <v>0</v>
      </c>
      <c r="AX75" s="141">
        <f>COUNTIF(V75:AW75,"&lt;&gt;0")</f>
        <v>5</v>
      </c>
      <c r="AY75" s="141">
        <f>COUNTIF(V75:AL75,"&lt;&gt;0")</f>
        <v>5</v>
      </c>
      <c r="AZ75">
        <f>COUNTIF(V75:AC75,"&lt;&gt;0")</f>
        <v>3</v>
      </c>
      <c r="BA75">
        <f>COUNTIF(AD75:AI75,"&lt;&gt;0")</f>
        <v>0</v>
      </c>
      <c r="BB75">
        <f>COUNTIF(AJ75:AL75,"&lt;&gt;0")</f>
        <v>2</v>
      </c>
      <c r="BC75">
        <f>COUNTIF(AS75:AW75,"&lt;&gt;0")</f>
        <v>0</v>
      </c>
      <c r="BD75">
        <f>COUNTIF(AM75:AR75,"&lt;&gt;0")</f>
        <v>0</v>
      </c>
      <c r="BE75" t="str" cm="1">
        <f t="array" ref="BE75">IF(AY75=1,INDEX($V$7:$AL$7,MATCH(TRUE,INDEX($V75:$AW75&lt;&gt;0,),0)),IF(AY75=0,INDEX($AM$7:$AW$7,MATCH(1,$AM75:$AW75,0)),IF(BF75="Multiple strategies","mixed drivers",IF(BF75="Supply chain","multiple supply","multiple silviculture"))))</f>
        <v>mixed drivers</v>
      </c>
      <c r="BF75" s="2" t="str" cm="1">
        <f t="array" ref="BF75">IF(COUNTIF(AZ75:BB75,"&lt;&gt;0")=1,INDEX($V$4:$AW$4,MATCH(TRUE,INDEX($V75:$AW75&lt;&gt;0,),0)),IF(COUNTIF(AZ75:BB75,"&lt;&gt;0")=0,INDEX($AM$4:$AW$4,MATCH(1,$AM75:$AW75,0)),"Multiple strategies"))</f>
        <v>Multiple strategies</v>
      </c>
      <c r="BG75" s="1" t="s">
        <v>322</v>
      </c>
      <c r="BH75" t="s">
        <v>1114</v>
      </c>
      <c r="BI75"/>
      <c r="BJ75" t="s">
        <v>1115</v>
      </c>
      <c r="BK75">
        <v>2.2999999999999998</v>
      </c>
      <c r="BL75">
        <v>3.2</v>
      </c>
      <c r="BM75" s="266">
        <f>BL75/BK75</f>
        <v>1.3913043478260871</v>
      </c>
      <c r="BN75">
        <f>BL75-BK75</f>
        <v>0.90000000000000036</v>
      </c>
      <c r="BO75">
        <f>BN75</f>
        <v>0.90000000000000036</v>
      </c>
      <c r="BP75" s="266" t="s">
        <v>233</v>
      </c>
      <c r="BQ75" s="266"/>
      <c r="BR75" t="s">
        <v>1116</v>
      </c>
      <c r="BS75">
        <v>-1.17</v>
      </c>
      <c r="BT75">
        <v>-2.5</v>
      </c>
      <c r="BU75" s="144">
        <f>IFERROR(BT75/BS75,"")</f>
        <v>2.1367521367521367</v>
      </c>
      <c r="BV75">
        <f>BT75-BS75</f>
        <v>-1.33</v>
      </c>
      <c r="BW75"/>
      <c r="BX75">
        <f>BV75/10^3</f>
        <v>-1.33E-3</v>
      </c>
      <c r="BY75">
        <f>IFERROR(BX75/BO75,"")</f>
        <v>-1.4777777777777773E-3</v>
      </c>
      <c r="BZ75">
        <v>0</v>
      </c>
      <c r="CA75">
        <v>0</v>
      </c>
      <c r="CB75">
        <v>0</v>
      </c>
      <c r="CC75">
        <v>0</v>
      </c>
      <c r="CD75">
        <v>0</v>
      </c>
      <c r="CE75">
        <v>0</v>
      </c>
      <c r="CF75">
        <v>0</v>
      </c>
      <c r="CG75">
        <v>0</v>
      </c>
      <c r="CH75">
        <v>0</v>
      </c>
      <c r="CI75">
        <v>0</v>
      </c>
      <c r="CJ75">
        <v>0</v>
      </c>
      <c r="CK75">
        <v>0</v>
      </c>
      <c r="CL75">
        <v>0</v>
      </c>
      <c r="CM75">
        <v>0</v>
      </c>
      <c r="CN75" t="str">
        <f>IF($BL75&lt;$BK75,"refNeedCorrection","refOK")</f>
        <v>refOK</v>
      </c>
      <c r="CO75">
        <f>IF($CN75="refOK",$BK75,$BL75)</f>
        <v>2.2999999999999998</v>
      </c>
      <c r="CP75">
        <f>IF($CN75="refOK",$BL75,$BK75)</f>
        <v>3.2</v>
      </c>
      <c r="CQ75">
        <f>IF($CN75="refOK",$BO75,-$BO75)</f>
        <v>0.90000000000000036</v>
      </c>
      <c r="CR75">
        <f>IF($CN75="refOK",$BS75,$BT75)*IF($BP75="Emissions positive",-1,1)</f>
        <v>-1.17</v>
      </c>
      <c r="CS75">
        <f>IF($CN75="refOK",$BT75,$BS75)*IF($BP75="Emissions positive",-1,1)</f>
        <v>-2.5</v>
      </c>
      <c r="CT75">
        <f>IF($CN75="refNeedCorrection",-BX75,BX75)*IF($BP75="Emissions positive",-1,1)</f>
        <v>-1.33E-3</v>
      </c>
      <c r="CU75">
        <f>IFERROR(CT75/CQ75,"")</f>
        <v>-1.4777777777777773E-3</v>
      </c>
      <c r="CV75" s="2">
        <f>IFERROR((CS75-CR75)/ABS(CR75),"")</f>
        <v>-1.1367521367521369</v>
      </c>
      <c r="CW75" s="1" t="s">
        <v>235</v>
      </c>
      <c r="CX75" s="266" t="str">
        <f>IF(OR($CW75="prd",$CW75="std",$CW75="cit"),"loc",IF(OR($CW75="eur",$CW75="reg",$CW75="coy"),"reg",$CW75))</f>
        <v>loc</v>
      </c>
      <c r="CY75" t="s">
        <v>236</v>
      </c>
      <c r="CZ75">
        <v>2001</v>
      </c>
      <c r="DA75">
        <v>2100</v>
      </c>
      <c r="DB75">
        <v>100</v>
      </c>
      <c r="DC75" t="str">
        <f>IF(DB75=0,"0",IF(AND(DB75&gt;=1,DB75&lt;=30),"1-30",IF(AND(DB75&gt;30,DB75&lt;=70),"31-70",IF(AND(DB75&gt;70,DB75&lt;=100),"71-100",IF(DB75&gt;100,"+100")))))</f>
        <v>71-100</v>
      </c>
      <c r="DD75">
        <v>0</v>
      </c>
      <c r="DE75">
        <v>1</v>
      </c>
      <c r="DF75">
        <v>1</v>
      </c>
      <c r="DG75">
        <v>1</v>
      </c>
      <c r="DH75"/>
      <c r="DI75">
        <f>SUM(DD75:DG75)</f>
        <v>3</v>
      </c>
      <c r="DJ75" t="str">
        <f>IF(DI75=1,INDEX($DD$7:$DG$7,MATCH(1,$DD75:$DG75,0)),"mixedProduct")</f>
        <v>mixedProduct</v>
      </c>
      <c r="DK75">
        <f>IF(DD75=1,DK$7,0)</f>
        <v>0</v>
      </c>
      <c r="DL75" t="str">
        <f>IF(DE75=1,DL$7,0)</f>
        <v>Energy</v>
      </c>
      <c r="DM75" t="str">
        <f>IF(DF75=1,DM$7,0)</f>
        <v>Pulp/Paper</v>
      </c>
      <c r="DN75" t="str">
        <f>IF(DG75=1,DN$7,0)</f>
        <v>Timber</v>
      </c>
      <c r="DO75">
        <v>1</v>
      </c>
      <c r="DP75">
        <v>0</v>
      </c>
      <c r="DQ75">
        <v>0</v>
      </c>
      <c r="DR75">
        <v>0</v>
      </c>
      <c r="DS75">
        <v>0</v>
      </c>
      <c r="DT75">
        <f>SUM(DO75:DP75)</f>
        <v>1</v>
      </c>
      <c r="DU75" s="143" t="str">
        <f>IF(DO75=1,"self-calculated DF",IF(DP75=1,"external DF used","explicit C balance"))</f>
        <v>self-calculated DF</v>
      </c>
      <c r="DV75">
        <v>1</v>
      </c>
      <c r="DW75">
        <v>1</v>
      </c>
      <c r="DX75">
        <v>1</v>
      </c>
      <c r="DY75">
        <v>0</v>
      </c>
      <c r="DZ75">
        <v>0</v>
      </c>
      <c r="EA75" s="143">
        <v>0</v>
      </c>
      <c r="EB75">
        <v>1</v>
      </c>
      <c r="EC75">
        <v>1</v>
      </c>
      <c r="ED75">
        <v>0</v>
      </c>
      <c r="EE75">
        <v>0</v>
      </c>
      <c r="EF75">
        <v>1</v>
      </c>
      <c r="EG75">
        <v>1</v>
      </c>
      <c r="EH75">
        <v>0</v>
      </c>
      <c r="EI75" s="2">
        <v>0</v>
      </c>
      <c r="EJ75" s="1"/>
      <c r="EK75" t="str">
        <f>IF(AND(AND(AND(OR($DX75=1,$DW75=1),OR($EC75=1,$EA75=1)),SUM($DV75:$DZ75,$EF75)&gt;=4),SUM($EA75:$EE75)&gt;=2),"Whole sector","")</f>
        <v>Whole sector</v>
      </c>
      <c r="EL75" t="str">
        <f>IF(AND(AND(OR($DX75=1,$DW75=1),AND($EC75=0,$EA75=0)),SUM($DV75:$DZ75,$EF75)&gt;=4),"Ecosystem approach","")</f>
        <v/>
      </c>
      <c r="EM75" s="2" t="str">
        <f>IF(AND(AND(AND($DX75=0,$DW75=0),OR($EC75=1,$EA75=1)),SUM($EB75:$EE75)&gt;=2),"Technology approach","")</f>
        <v/>
      </c>
      <c r="EN75"/>
      <c r="EO75"/>
      <c r="EP75" t="str">
        <f>IF(ISNUMBER(BU75),IF(ABS(BU75-[1]QC_indicators!$B$2)&gt;3*[1]QC_indicators!$C$2,"C ratio",IF(ISNUMBER(BY75),IF(ABS(BY75-[1]QC_indicators!$B$1)&gt;3*[1]QC_indicators!$C$1,"DF","no"))),IF(ISNUMBER(BY75),IF(ABS(BY75-[1]QC_indicators!$B$1)&gt;3*[1]QC_indicators!$C$1,"DF","no")))</f>
        <v>no</v>
      </c>
      <c r="EQ75"/>
      <c r="ER75" s="296" t="s">
        <v>350</v>
      </c>
      <c r="ES75"/>
      <c r="ET75" s="266" t="s">
        <v>3409</v>
      </c>
      <c r="EU75"/>
    </row>
    <row r="76" spans="1:151" s="139" customFormat="1" ht="15" hidden="1" customHeight="1">
      <c r="A76" s="1" t="s">
        <v>1104</v>
      </c>
      <c r="B76" t="s">
        <v>1105</v>
      </c>
      <c r="C76" t="s">
        <v>1106</v>
      </c>
      <c r="D76" t="s">
        <v>1107</v>
      </c>
      <c r="E76" t="s">
        <v>1108</v>
      </c>
      <c r="F76" t="s">
        <v>1109</v>
      </c>
      <c r="G76" t="s">
        <v>1110</v>
      </c>
      <c r="H76" t="s">
        <v>255</v>
      </c>
      <c r="I76">
        <v>2013</v>
      </c>
      <c r="J76">
        <v>11</v>
      </c>
      <c r="K76" t="s">
        <v>1111</v>
      </c>
      <c r="L76"/>
      <c r="M76" t="str">
        <f>LEFT($D76,FIND(",",$D76)-1)&amp;"_"&amp;I76&amp;L76</f>
        <v>Routa_2013</v>
      </c>
      <c r="N76" t="s">
        <v>223</v>
      </c>
      <c r="O76" s="145" t="s">
        <v>342</v>
      </c>
      <c r="P76"/>
      <c r="Q76" s="266" t="s">
        <v>257</v>
      </c>
      <c r="R76" s="271" t="s">
        <v>1156</v>
      </c>
      <c r="S76" s="1" t="s">
        <v>1123</v>
      </c>
      <c r="T76" t="s">
        <v>1113</v>
      </c>
      <c r="U76" t="e">
        <f>#REF!</f>
        <v>#REF!</v>
      </c>
      <c r="V76">
        <v>0</v>
      </c>
      <c r="W76">
        <v>0</v>
      </c>
      <c r="X76">
        <v>2</v>
      </c>
      <c r="Y76">
        <v>0</v>
      </c>
      <c r="Z76">
        <v>2</v>
      </c>
      <c r="AA76">
        <v>0</v>
      </c>
      <c r="AB76">
        <v>1</v>
      </c>
      <c r="AC76">
        <v>0</v>
      </c>
      <c r="AD76">
        <v>0</v>
      </c>
      <c r="AE76">
        <v>0</v>
      </c>
      <c r="AF76">
        <v>0</v>
      </c>
      <c r="AG76">
        <v>0</v>
      </c>
      <c r="AH76">
        <v>0</v>
      </c>
      <c r="AI76">
        <v>0</v>
      </c>
      <c r="AJ76">
        <v>2</v>
      </c>
      <c r="AK76">
        <v>0</v>
      </c>
      <c r="AL76">
        <v>2</v>
      </c>
      <c r="AM76">
        <v>0</v>
      </c>
      <c r="AN76">
        <v>0</v>
      </c>
      <c r="AO76">
        <v>0</v>
      </c>
      <c r="AP76">
        <v>0</v>
      </c>
      <c r="AQ76">
        <v>0</v>
      </c>
      <c r="AR76">
        <v>0</v>
      </c>
      <c r="AS76">
        <v>0</v>
      </c>
      <c r="AT76">
        <v>0</v>
      </c>
      <c r="AU76">
        <v>0</v>
      </c>
      <c r="AV76">
        <v>0</v>
      </c>
      <c r="AW76">
        <v>0</v>
      </c>
      <c r="AX76" s="141">
        <f>COUNTIF(V76:AW76,"&lt;&gt;0")</f>
        <v>5</v>
      </c>
      <c r="AY76" s="141">
        <f>COUNTIF(V76:AL76,"&lt;&gt;0")</f>
        <v>5</v>
      </c>
      <c r="AZ76">
        <f>COUNTIF(V76:AC76,"&lt;&gt;0")</f>
        <v>3</v>
      </c>
      <c r="BA76">
        <f>COUNTIF(AD76:AI76,"&lt;&gt;0")</f>
        <v>0</v>
      </c>
      <c r="BB76">
        <f>COUNTIF(AJ76:AL76,"&lt;&gt;0")</f>
        <v>2</v>
      </c>
      <c r="BC76">
        <f>COUNTIF(AS76:AW76,"&lt;&gt;0")</f>
        <v>0</v>
      </c>
      <c r="BD76">
        <f>COUNTIF(AM76:AR76,"&lt;&gt;0")</f>
        <v>0</v>
      </c>
      <c r="BE76" t="str" cm="1">
        <f t="array" ref="BE76">IF(AY76=1,INDEX($V$7:$AL$7,MATCH(TRUE,INDEX($V76:$AW76&lt;&gt;0,),0)),IF(AY76=0,INDEX($AM$7:$AW$7,MATCH(1,$AM76:$AW76,0)),IF(BF76="Multiple strategies","mixed drivers",IF(BF76="Supply chain","multiple supply","multiple silviculture"))))</f>
        <v>mixed drivers</v>
      </c>
      <c r="BF76" s="2" t="str" cm="1">
        <f t="array" ref="BF76">IF(COUNTIF(AZ76:BB76,"&lt;&gt;0")=1,INDEX($V$4:$AW$4,MATCH(TRUE,INDEX($V76:$AW76&lt;&gt;0,),0)),IF(COUNTIF(AZ76:BB76,"&lt;&gt;0")=0,INDEX($AM$4:$AW$4,MATCH(1,$AM76:$AW76,0)),"Multiple strategies"))</f>
        <v>Multiple strategies</v>
      </c>
      <c r="BG76" s="1" t="s">
        <v>322</v>
      </c>
      <c r="BH76" t="s">
        <v>1114</v>
      </c>
      <c r="BI76"/>
      <c r="BJ76" t="s">
        <v>1115</v>
      </c>
      <c r="BK76">
        <v>3.2</v>
      </c>
      <c r="BL76">
        <v>3.37</v>
      </c>
      <c r="BM76"/>
      <c r="BN76">
        <f>BL76-BK76</f>
        <v>0.16999999999999993</v>
      </c>
      <c r="BO76">
        <f>BN76</f>
        <v>0.16999999999999993</v>
      </c>
      <c r="BP76" s="266" t="s">
        <v>233</v>
      </c>
      <c r="BQ76" s="266"/>
      <c r="BR76" t="s">
        <v>1116</v>
      </c>
      <c r="BS76">
        <v>-2.5</v>
      </c>
      <c r="BT76">
        <v>-2</v>
      </c>
      <c r="BU76" s="144">
        <v>0.8</v>
      </c>
      <c r="BV76">
        <v>0.5</v>
      </c>
      <c r="BW76"/>
      <c r="BX76">
        <f>BV76/10^3</f>
        <v>5.0000000000000001E-4</v>
      </c>
      <c r="BY76">
        <f>IFERROR(BX76/BO76,"")</f>
        <v>2.9411764705882366E-3</v>
      </c>
      <c r="BZ76">
        <v>0</v>
      </c>
      <c r="CA76">
        <v>0</v>
      </c>
      <c r="CB76">
        <v>0</v>
      </c>
      <c r="CC76">
        <v>0</v>
      </c>
      <c r="CD76">
        <v>0</v>
      </c>
      <c r="CE76">
        <v>0</v>
      </c>
      <c r="CF76">
        <v>0</v>
      </c>
      <c r="CG76">
        <v>0</v>
      </c>
      <c r="CH76">
        <v>0</v>
      </c>
      <c r="CI76">
        <v>0</v>
      </c>
      <c r="CJ76">
        <v>0</v>
      </c>
      <c r="CK76">
        <v>0</v>
      </c>
      <c r="CL76">
        <v>0</v>
      </c>
      <c r="CM76">
        <v>0</v>
      </c>
      <c r="CN76" t="str">
        <f>IF($BL76&lt;$BK76,"refNeedCorrection","refOK")</f>
        <v>refOK</v>
      </c>
      <c r="CO76">
        <f>IF($CN76="refOK",$BK76,$BL76)</f>
        <v>3.2</v>
      </c>
      <c r="CP76">
        <f>IF($CN76="refOK",$BL76,$BK76)</f>
        <v>3.37</v>
      </c>
      <c r="CQ76">
        <f>IF($CN76="refOK",$BO76,-$BO76)</f>
        <v>0.16999999999999993</v>
      </c>
      <c r="CR76">
        <f>IF($CN76="refOK",$BS76,$BT76)*IF($BP76="Emissions positive",-1,1)</f>
        <v>-2.5</v>
      </c>
      <c r="CS76">
        <f>IF($CN76="refOK",$BT76,$BS76)*IF($BP76="Emissions positive",-1,1)</f>
        <v>-2</v>
      </c>
      <c r="CT76">
        <f>IF($CN76="refNeedCorrection",-BX76,BX76)*IF($BP76="Emissions positive",-1,1)</f>
        <v>5.0000000000000001E-4</v>
      </c>
      <c r="CU76">
        <f>IFERROR(CT76/CQ76,"")</f>
        <v>2.9411764705882366E-3</v>
      </c>
      <c r="CV76" s="2">
        <f>IFERROR((CS76-CR76)/ABS(CR76),"")</f>
        <v>0.2</v>
      </c>
      <c r="CW76" s="1" t="s">
        <v>235</v>
      </c>
      <c r="CX76" s="266" t="str">
        <f>IF(OR($CW76="prd",$CW76="std",$CW76="cit"),"loc",IF(OR($CW76="eur",$CW76="reg",$CW76="coy"),"reg",$CW76))</f>
        <v>loc</v>
      </c>
      <c r="CY76" t="s">
        <v>236</v>
      </c>
      <c r="CZ76">
        <v>2001</v>
      </c>
      <c r="DA76">
        <v>2100</v>
      </c>
      <c r="DB76">
        <v>100</v>
      </c>
      <c r="DC76" t="str">
        <f>IF(DB76=0,"0",IF(AND(DB76&gt;=1,DB76&lt;=30),"1-30",IF(AND(DB76&gt;30,DB76&lt;=70),"31-70",IF(AND(DB76&gt;70,DB76&lt;=100),"71-100",IF(DB76&gt;100,"+100")))))</f>
        <v>71-100</v>
      </c>
      <c r="DD76">
        <v>0</v>
      </c>
      <c r="DE76">
        <v>1</v>
      </c>
      <c r="DF76">
        <v>1</v>
      </c>
      <c r="DG76">
        <v>1</v>
      </c>
      <c r="DH76"/>
      <c r="DI76">
        <f>SUM(DD76:DG76)</f>
        <v>3</v>
      </c>
      <c r="DJ76" t="str">
        <f>IF(DI76=1,INDEX($DD$7:$DG$7,MATCH(1,$DD76:$DG76,0)),"mixedProduct")</f>
        <v>mixedProduct</v>
      </c>
      <c r="DK76">
        <f>IF(DD76=1,DK$7,0)</f>
        <v>0</v>
      </c>
      <c r="DL76" t="str">
        <f>IF(DE76=1,DL$7,0)</f>
        <v>Energy</v>
      </c>
      <c r="DM76" t="str">
        <f>IF(DF76=1,DM$7,0)</f>
        <v>Pulp/Paper</v>
      </c>
      <c r="DN76" t="str">
        <f>IF(DG76=1,DN$7,0)</f>
        <v>Timber</v>
      </c>
      <c r="DO76">
        <v>1</v>
      </c>
      <c r="DP76">
        <v>0</v>
      </c>
      <c r="DQ76">
        <v>0</v>
      </c>
      <c r="DR76">
        <v>0</v>
      </c>
      <c r="DS76">
        <v>0</v>
      </c>
      <c r="DT76">
        <f>SUM(DO76:DP76)</f>
        <v>1</v>
      </c>
      <c r="DU76" s="143" t="str">
        <f>IF(DO76=1,"self-calculated DF",IF(DP76=1,"external DF used","explicit C balance"))</f>
        <v>self-calculated DF</v>
      </c>
      <c r="DV76">
        <v>1</v>
      </c>
      <c r="DW76">
        <v>1</v>
      </c>
      <c r="DX76">
        <v>1</v>
      </c>
      <c r="DY76">
        <v>0</v>
      </c>
      <c r="DZ76">
        <v>0</v>
      </c>
      <c r="EA76" s="143">
        <v>0</v>
      </c>
      <c r="EB76">
        <v>1</v>
      </c>
      <c r="EC76">
        <v>1</v>
      </c>
      <c r="ED76">
        <v>0</v>
      </c>
      <c r="EE76">
        <v>0</v>
      </c>
      <c r="EF76">
        <v>1</v>
      </c>
      <c r="EG76">
        <v>1</v>
      </c>
      <c r="EH76">
        <v>0</v>
      </c>
      <c r="EI76" s="2">
        <v>0</v>
      </c>
      <c r="EJ76" s="1"/>
      <c r="EK76" t="str">
        <f>IF(AND(AND(AND(OR($DX76=1,$DW76=1),OR($EC76=1,$EA76=1)),SUM($DV76:$DZ76,$EF76)&gt;=4),SUM($EA76:$EE76)&gt;=2),"Whole sector","")</f>
        <v>Whole sector</v>
      </c>
      <c r="EL76" t="str">
        <f>IF(AND(AND(OR($DX76=1,$DW76=1),AND($EC76=0,$EA76=0)),SUM($DV76:$DZ76,$EF76)&gt;=4),"Ecosystem approach","")</f>
        <v/>
      </c>
      <c r="EM76" s="2" t="str">
        <f>IF(AND(AND(AND($DX76=0,$DW76=0),OR($EC76=1,$EA76=1)),SUM($EB76:$EE76)&gt;=2),"Technology approach","")</f>
        <v/>
      </c>
      <c r="EN76"/>
      <c r="EO76"/>
      <c r="EP76" t="str">
        <f>IF(ISNUMBER(BU76),IF(ABS(BU76-[1]QC_indicators!$B$2)&gt;3*[1]QC_indicators!$C$2,"C ratio",IF(ISNUMBER(BY76),IF(ABS(BY76-[1]QC_indicators!$B$1)&gt;3*[1]QC_indicators!$C$1,"DF","no"))),IF(ISNUMBER(BY76),IF(ABS(BY76-[1]QC_indicators!$B$1)&gt;3*[1]QC_indicators!$C$1,"DF","no")))</f>
        <v>no</v>
      </c>
      <c r="EQ76"/>
      <c r="ER76" s="296" t="s">
        <v>350</v>
      </c>
      <c r="ES76"/>
      <c r="ET76" s="266" t="s">
        <v>3409</v>
      </c>
      <c r="EU76"/>
    </row>
    <row r="77" spans="1:151" s="139" customFormat="1" ht="15" hidden="1" customHeight="1">
      <c r="A77" s="1" t="s">
        <v>1104</v>
      </c>
      <c r="B77" t="s">
        <v>1105</v>
      </c>
      <c r="C77" t="s">
        <v>1106</v>
      </c>
      <c r="D77" t="s">
        <v>1107</v>
      </c>
      <c r="E77" t="s">
        <v>1108</v>
      </c>
      <c r="F77" t="s">
        <v>1109</v>
      </c>
      <c r="G77" t="s">
        <v>1110</v>
      </c>
      <c r="H77" t="s">
        <v>255</v>
      </c>
      <c r="I77">
        <v>2013</v>
      </c>
      <c r="J77">
        <v>11</v>
      </c>
      <c r="K77" t="s">
        <v>1111</v>
      </c>
      <c r="L77"/>
      <c r="M77" t="str">
        <f>LEFT($D77,FIND(",",$D77)-1)&amp;"_"&amp;I77&amp;L77</f>
        <v>Routa_2013</v>
      </c>
      <c r="N77" t="s">
        <v>223</v>
      </c>
      <c r="O77" s="145" t="s">
        <v>342</v>
      </c>
      <c r="P77"/>
      <c r="Q77" s="266" t="s">
        <v>257</v>
      </c>
      <c r="R77" s="271" t="s">
        <v>1156</v>
      </c>
      <c r="S77" s="1" t="s">
        <v>1124</v>
      </c>
      <c r="T77" t="s">
        <v>1113</v>
      </c>
      <c r="U77" t="e">
        <f>#REF!</f>
        <v>#REF!</v>
      </c>
      <c r="V77">
        <v>0</v>
      </c>
      <c r="W77">
        <v>0</v>
      </c>
      <c r="X77">
        <v>2</v>
      </c>
      <c r="Y77">
        <v>0</v>
      </c>
      <c r="Z77">
        <v>2</v>
      </c>
      <c r="AA77">
        <v>0</v>
      </c>
      <c r="AB77">
        <v>1</v>
      </c>
      <c r="AC77">
        <v>0</v>
      </c>
      <c r="AD77">
        <v>0</v>
      </c>
      <c r="AE77">
        <v>0</v>
      </c>
      <c r="AF77">
        <v>0</v>
      </c>
      <c r="AG77">
        <v>0</v>
      </c>
      <c r="AH77">
        <v>0</v>
      </c>
      <c r="AI77">
        <v>0</v>
      </c>
      <c r="AJ77">
        <v>2</v>
      </c>
      <c r="AK77">
        <v>0</v>
      </c>
      <c r="AL77">
        <v>2</v>
      </c>
      <c r="AM77">
        <v>0</v>
      </c>
      <c r="AN77">
        <v>0</v>
      </c>
      <c r="AO77">
        <v>0</v>
      </c>
      <c r="AP77">
        <v>0</v>
      </c>
      <c r="AQ77">
        <v>0</v>
      </c>
      <c r="AR77">
        <v>0</v>
      </c>
      <c r="AS77">
        <v>0</v>
      </c>
      <c r="AT77">
        <v>0</v>
      </c>
      <c r="AU77">
        <v>0</v>
      </c>
      <c r="AV77">
        <v>0</v>
      </c>
      <c r="AW77">
        <v>0</v>
      </c>
      <c r="AX77" s="141">
        <f>COUNTIF(V77:AW77,"&lt;&gt;0")</f>
        <v>5</v>
      </c>
      <c r="AY77" s="141">
        <f>COUNTIF(V77:AL77,"&lt;&gt;0")</f>
        <v>5</v>
      </c>
      <c r="AZ77">
        <f>COUNTIF(V77:AC77,"&lt;&gt;0")</f>
        <v>3</v>
      </c>
      <c r="BA77">
        <f>COUNTIF(AD77:AI77,"&lt;&gt;0")</f>
        <v>0</v>
      </c>
      <c r="BB77">
        <f>COUNTIF(AJ77:AL77,"&lt;&gt;0")</f>
        <v>2</v>
      </c>
      <c r="BC77">
        <f>COUNTIF(AS77:AW77,"&lt;&gt;0")</f>
        <v>0</v>
      </c>
      <c r="BD77">
        <f>COUNTIF(AM77:AR77,"&lt;&gt;0")</f>
        <v>0</v>
      </c>
      <c r="BE77" t="str" cm="1">
        <f t="array" ref="BE77">IF(AY77=1,INDEX($V$7:$AL$7,MATCH(TRUE,INDEX($V77:$AW77&lt;&gt;0,),0)),IF(AY77=0,INDEX($AM$7:$AW$7,MATCH(1,$AM77:$AW77,0)),IF(BF77="Multiple strategies","mixed drivers",IF(BF77="Supply chain","multiple supply","multiple silviculture"))))</f>
        <v>mixed drivers</v>
      </c>
      <c r="BF77" s="2" t="str" cm="1">
        <f t="array" ref="BF77">IF(COUNTIF(AZ77:BB77,"&lt;&gt;0")=1,INDEX($V$4:$AW$4,MATCH(TRUE,INDEX($V77:$AW77&lt;&gt;0,),0)),IF(COUNTIF(AZ77:BB77,"&lt;&gt;0")=0,INDEX($AM$4:$AW$4,MATCH(1,$AM77:$AW77,0)),"Multiple strategies"))</f>
        <v>Multiple strategies</v>
      </c>
      <c r="BG77" s="1" t="s">
        <v>322</v>
      </c>
      <c r="BH77" t="s">
        <v>1114</v>
      </c>
      <c r="BI77"/>
      <c r="BJ77" t="s">
        <v>1115</v>
      </c>
      <c r="BK77">
        <v>3.2</v>
      </c>
      <c r="BL77">
        <v>3.5</v>
      </c>
      <c r="BM77"/>
      <c r="BN77">
        <f>BL77-BK77</f>
        <v>0.29999999999999982</v>
      </c>
      <c r="BO77">
        <f>BN77</f>
        <v>0.29999999999999982</v>
      </c>
      <c r="BP77" s="266" t="s">
        <v>233</v>
      </c>
      <c r="BQ77" s="266"/>
      <c r="BR77" t="s">
        <v>1116</v>
      </c>
      <c r="BS77">
        <v>-2.5</v>
      </c>
      <c r="BT77">
        <v>-0.3</v>
      </c>
      <c r="BU77" s="144">
        <v>0.12</v>
      </c>
      <c r="BV77">
        <v>2.2000000000000002</v>
      </c>
      <c r="BW77"/>
      <c r="BX77">
        <f>BV77/10^3</f>
        <v>2.2000000000000001E-3</v>
      </c>
      <c r="BY77">
        <f>IFERROR(BX77/BO77,"")</f>
        <v>7.3333333333333384E-3</v>
      </c>
      <c r="BZ77">
        <v>0</v>
      </c>
      <c r="CA77">
        <v>0</v>
      </c>
      <c r="CB77">
        <v>0</v>
      </c>
      <c r="CC77">
        <v>0</v>
      </c>
      <c r="CD77">
        <v>0</v>
      </c>
      <c r="CE77">
        <v>0</v>
      </c>
      <c r="CF77">
        <v>0</v>
      </c>
      <c r="CG77">
        <v>0</v>
      </c>
      <c r="CH77">
        <v>0</v>
      </c>
      <c r="CI77">
        <v>0</v>
      </c>
      <c r="CJ77">
        <v>0</v>
      </c>
      <c r="CK77">
        <v>0</v>
      </c>
      <c r="CL77">
        <v>0</v>
      </c>
      <c r="CM77">
        <v>0</v>
      </c>
      <c r="CN77" t="str">
        <f>IF($BL77&lt;$BK77,"refNeedCorrection","refOK")</f>
        <v>refOK</v>
      </c>
      <c r="CO77">
        <f>IF($CN77="refOK",$BK77,$BL77)</f>
        <v>3.2</v>
      </c>
      <c r="CP77">
        <f>IF($CN77="refOK",$BL77,$BK77)</f>
        <v>3.5</v>
      </c>
      <c r="CQ77">
        <f>IF($CN77="refOK",$BO77,-$BO77)</f>
        <v>0.29999999999999982</v>
      </c>
      <c r="CR77">
        <f>IF($CN77="refOK",$BS77,$BT77)*IF($BP77="Emissions positive",-1,1)</f>
        <v>-2.5</v>
      </c>
      <c r="CS77">
        <f>IF($CN77="refOK",$BT77,$BS77)*IF($BP77="Emissions positive",-1,1)</f>
        <v>-0.3</v>
      </c>
      <c r="CT77">
        <f>IF($CN77="refNeedCorrection",-BX77,BX77)*IF($BP77="Emissions positive",-1,1)</f>
        <v>2.2000000000000001E-3</v>
      </c>
      <c r="CU77">
        <f>IFERROR(CT77/CQ77,"")</f>
        <v>7.3333333333333384E-3</v>
      </c>
      <c r="CV77" s="2">
        <f>IFERROR((CS77-CR77)/ABS(CR77),"")</f>
        <v>0.88000000000000012</v>
      </c>
      <c r="CW77" s="1" t="s">
        <v>235</v>
      </c>
      <c r="CX77" s="266" t="str">
        <f>IF(OR($CW77="prd",$CW77="std",$CW77="cit"),"loc",IF(OR($CW77="eur",$CW77="reg",$CW77="coy"),"reg",$CW77))</f>
        <v>loc</v>
      </c>
      <c r="CY77" t="s">
        <v>236</v>
      </c>
      <c r="CZ77">
        <v>2001</v>
      </c>
      <c r="DA77">
        <v>2100</v>
      </c>
      <c r="DB77">
        <v>100</v>
      </c>
      <c r="DC77" t="str">
        <f>IF(DB77=0,"0",IF(AND(DB77&gt;=1,DB77&lt;=30),"1-30",IF(AND(DB77&gt;30,DB77&lt;=70),"31-70",IF(AND(DB77&gt;70,DB77&lt;=100),"71-100",IF(DB77&gt;100,"+100")))))</f>
        <v>71-100</v>
      </c>
      <c r="DD77">
        <v>0</v>
      </c>
      <c r="DE77">
        <v>1</v>
      </c>
      <c r="DF77">
        <v>1</v>
      </c>
      <c r="DG77">
        <v>1</v>
      </c>
      <c r="DH77"/>
      <c r="DI77">
        <f>SUM(DD77:DG77)</f>
        <v>3</v>
      </c>
      <c r="DJ77" t="str">
        <f>IF(DI77=1,INDEX($DD$7:$DG$7,MATCH(1,$DD77:$DG77,0)),"mixedProduct")</f>
        <v>mixedProduct</v>
      </c>
      <c r="DK77">
        <f>IF(DD77=1,DK$7,0)</f>
        <v>0</v>
      </c>
      <c r="DL77" t="str">
        <f>IF(DE77=1,DL$7,0)</f>
        <v>Energy</v>
      </c>
      <c r="DM77" t="str">
        <f>IF(DF77=1,DM$7,0)</f>
        <v>Pulp/Paper</v>
      </c>
      <c r="DN77" t="str">
        <f>IF(DG77=1,DN$7,0)</f>
        <v>Timber</v>
      </c>
      <c r="DO77">
        <v>1</v>
      </c>
      <c r="DP77">
        <v>0</v>
      </c>
      <c r="DQ77">
        <v>0</v>
      </c>
      <c r="DR77">
        <v>0</v>
      </c>
      <c r="DS77">
        <v>0</v>
      </c>
      <c r="DT77">
        <f>SUM(DO77:DP77)</f>
        <v>1</v>
      </c>
      <c r="DU77" s="143" t="str">
        <f>IF(DO77=1,"self-calculated DF",IF(DP77=1,"external DF used","explicit C balance"))</f>
        <v>self-calculated DF</v>
      </c>
      <c r="DV77">
        <v>1</v>
      </c>
      <c r="DW77">
        <v>1</v>
      </c>
      <c r="DX77">
        <v>1</v>
      </c>
      <c r="DY77">
        <v>0</v>
      </c>
      <c r="DZ77">
        <v>0</v>
      </c>
      <c r="EA77" s="143">
        <v>0</v>
      </c>
      <c r="EB77">
        <v>1</v>
      </c>
      <c r="EC77">
        <v>1</v>
      </c>
      <c r="ED77">
        <v>0</v>
      </c>
      <c r="EE77">
        <v>0</v>
      </c>
      <c r="EF77">
        <v>1</v>
      </c>
      <c r="EG77">
        <v>1</v>
      </c>
      <c r="EH77">
        <v>0</v>
      </c>
      <c r="EI77" s="2">
        <v>0</v>
      </c>
      <c r="EJ77" s="1"/>
      <c r="EK77" t="str">
        <f>IF(AND(AND(AND(OR($DX77=1,$DW77=1),OR($EC77=1,$EA77=1)),SUM($DV77:$DZ77,$EF77)&gt;=4),SUM($EA77:$EE77)&gt;=2),"Whole sector","")</f>
        <v>Whole sector</v>
      </c>
      <c r="EL77" t="str">
        <f>IF(AND(AND(OR($DX77=1,$DW77=1),AND($EC77=0,$EA77=0)),SUM($DV77:$DZ77,$EF77)&gt;=4),"Ecosystem approach","")</f>
        <v/>
      </c>
      <c r="EM77" s="2" t="str">
        <f>IF(AND(AND(AND($DX77=0,$DW77=0),OR($EC77=1,$EA77=1)),SUM($EB77:$EE77)&gt;=2),"Technology approach","")</f>
        <v/>
      </c>
      <c r="EN77"/>
      <c r="EO77"/>
      <c r="EP77" t="str">
        <f>IF(ISNUMBER(BU77),IF(ABS(BU77-[1]QC_indicators!$B$2)&gt;3*[1]QC_indicators!$C$2,"C ratio",IF(ISNUMBER(BY77),IF(ABS(BY77-[1]QC_indicators!$B$1)&gt;3*[1]QC_indicators!$C$1,"DF","no"))),IF(ISNUMBER(BY77),IF(ABS(BY77-[1]QC_indicators!$B$1)&gt;3*[1]QC_indicators!$C$1,"DF","no")))</f>
        <v>no</v>
      </c>
      <c r="EQ77"/>
      <c r="ER77" s="296" t="s">
        <v>350</v>
      </c>
      <c r="ES77"/>
      <c r="ET77" s="266" t="s">
        <v>3409</v>
      </c>
      <c r="EU77"/>
    </row>
    <row r="78" spans="1:151" s="139" customFormat="1" ht="15" hidden="1" customHeight="1">
      <c r="A78" s="1" t="s">
        <v>1104</v>
      </c>
      <c r="B78" t="s">
        <v>1105</v>
      </c>
      <c r="C78" t="s">
        <v>1106</v>
      </c>
      <c r="D78" t="s">
        <v>1107</v>
      </c>
      <c r="E78" t="s">
        <v>1108</v>
      </c>
      <c r="F78" t="s">
        <v>1109</v>
      </c>
      <c r="G78" t="s">
        <v>1110</v>
      </c>
      <c r="H78" t="s">
        <v>255</v>
      </c>
      <c r="I78">
        <v>2013</v>
      </c>
      <c r="J78">
        <v>11</v>
      </c>
      <c r="K78" t="s">
        <v>1111</v>
      </c>
      <c r="L78"/>
      <c r="M78" t="str">
        <f>LEFT($D78,FIND(",",$D78)-1)&amp;"_"&amp;I78&amp;L78</f>
        <v>Routa_2013</v>
      </c>
      <c r="N78" t="s">
        <v>223</v>
      </c>
      <c r="O78" s="145" t="s">
        <v>342</v>
      </c>
      <c r="P78"/>
      <c r="Q78" s="266" t="s">
        <v>257</v>
      </c>
      <c r="R78" s="271" t="s">
        <v>1156</v>
      </c>
      <c r="S78" s="1" t="s">
        <v>1125</v>
      </c>
      <c r="T78" t="s">
        <v>1113</v>
      </c>
      <c r="U78" t="e">
        <f>#REF!</f>
        <v>#REF!</v>
      </c>
      <c r="V78">
        <v>0</v>
      </c>
      <c r="W78">
        <v>0</v>
      </c>
      <c r="X78">
        <v>2</v>
      </c>
      <c r="Y78">
        <v>0</v>
      </c>
      <c r="Z78">
        <v>2</v>
      </c>
      <c r="AA78">
        <v>0</v>
      </c>
      <c r="AB78">
        <v>1</v>
      </c>
      <c r="AC78">
        <v>0</v>
      </c>
      <c r="AD78">
        <v>0</v>
      </c>
      <c r="AE78">
        <v>0</v>
      </c>
      <c r="AF78">
        <v>0</v>
      </c>
      <c r="AG78">
        <v>0</v>
      </c>
      <c r="AH78">
        <v>0</v>
      </c>
      <c r="AI78">
        <v>0</v>
      </c>
      <c r="AJ78">
        <v>2</v>
      </c>
      <c r="AK78">
        <v>0</v>
      </c>
      <c r="AL78">
        <v>2</v>
      </c>
      <c r="AM78">
        <v>0</v>
      </c>
      <c r="AN78">
        <v>0</v>
      </c>
      <c r="AO78">
        <v>0</v>
      </c>
      <c r="AP78">
        <v>0</v>
      </c>
      <c r="AQ78">
        <v>0</v>
      </c>
      <c r="AR78">
        <v>0</v>
      </c>
      <c r="AS78">
        <v>0</v>
      </c>
      <c r="AT78">
        <v>0</v>
      </c>
      <c r="AU78">
        <v>0</v>
      </c>
      <c r="AV78">
        <v>0</v>
      </c>
      <c r="AW78">
        <v>0</v>
      </c>
      <c r="AX78" s="141">
        <f>COUNTIF(V78:AW78,"&lt;&gt;0")</f>
        <v>5</v>
      </c>
      <c r="AY78" s="141">
        <f>COUNTIF(V78:AL78,"&lt;&gt;0")</f>
        <v>5</v>
      </c>
      <c r="AZ78">
        <f>COUNTIF(V78:AC78,"&lt;&gt;0")</f>
        <v>3</v>
      </c>
      <c r="BA78">
        <f>COUNTIF(AD78:AI78,"&lt;&gt;0")</f>
        <v>0</v>
      </c>
      <c r="BB78">
        <f>COUNTIF(AJ78:AL78,"&lt;&gt;0")</f>
        <v>2</v>
      </c>
      <c r="BC78">
        <f>COUNTIF(AS78:AW78,"&lt;&gt;0")</f>
        <v>0</v>
      </c>
      <c r="BD78">
        <f>COUNTIF(AM78:AR78,"&lt;&gt;0")</f>
        <v>0</v>
      </c>
      <c r="BE78" t="str" cm="1">
        <f t="array" ref="BE78">IF(AY78=1,INDEX($V$7:$AL$7,MATCH(TRUE,INDEX($V78:$AW78&lt;&gt;0,),0)),IF(AY78=0,INDEX($AM$7:$AW$7,MATCH(1,$AM78:$AW78,0)),IF(BF78="Multiple strategies","mixed drivers",IF(BF78="Supply chain","multiple supply","multiple silviculture"))))</f>
        <v>mixed drivers</v>
      </c>
      <c r="BF78" s="2" t="str" cm="1">
        <f t="array" ref="BF78">IF(COUNTIF(AZ78:BB78,"&lt;&gt;0")=1,INDEX($V$4:$AW$4,MATCH(TRUE,INDEX($V78:$AW78&lt;&gt;0,),0)),IF(COUNTIF(AZ78:BB78,"&lt;&gt;0")=0,INDEX($AM$4:$AW$4,MATCH(1,$AM78:$AW78,0)),"Multiple strategies"))</f>
        <v>Multiple strategies</v>
      </c>
      <c r="BG78" s="1" t="s">
        <v>322</v>
      </c>
      <c r="BH78" t="s">
        <v>1114</v>
      </c>
      <c r="BI78"/>
      <c r="BJ78" t="s">
        <v>1115</v>
      </c>
      <c r="BK78">
        <v>3.2</v>
      </c>
      <c r="BL78">
        <v>3.45</v>
      </c>
      <c r="BM78"/>
      <c r="BN78">
        <f>BL78-BK78</f>
        <v>0.25</v>
      </c>
      <c r="BO78">
        <f>BN78</f>
        <v>0.25</v>
      </c>
      <c r="BP78" s="266" t="s">
        <v>233</v>
      </c>
      <c r="BQ78" s="266"/>
      <c r="BR78" t="s">
        <v>1116</v>
      </c>
      <c r="BS78">
        <v>-2.5</v>
      </c>
      <c r="BT78">
        <v>-0.55000000000000004</v>
      </c>
      <c r="BU78" s="144">
        <v>0.22000000000000003</v>
      </c>
      <c r="BV78">
        <v>1.95</v>
      </c>
      <c r="BW78"/>
      <c r="BX78">
        <f>BV78/10^3</f>
        <v>1.9499999999999999E-3</v>
      </c>
      <c r="BY78">
        <f>IFERROR(BX78/BO78,"")</f>
        <v>7.7999999999999996E-3</v>
      </c>
      <c r="BZ78">
        <v>0</v>
      </c>
      <c r="CA78">
        <v>0</v>
      </c>
      <c r="CB78">
        <v>0</v>
      </c>
      <c r="CC78">
        <v>0</v>
      </c>
      <c r="CD78">
        <v>0</v>
      </c>
      <c r="CE78">
        <v>0</v>
      </c>
      <c r="CF78">
        <v>0</v>
      </c>
      <c r="CG78">
        <v>0</v>
      </c>
      <c r="CH78">
        <v>0</v>
      </c>
      <c r="CI78">
        <v>0</v>
      </c>
      <c r="CJ78">
        <v>0</v>
      </c>
      <c r="CK78">
        <v>0</v>
      </c>
      <c r="CL78">
        <v>0</v>
      </c>
      <c r="CM78">
        <v>0</v>
      </c>
      <c r="CN78" t="str">
        <f>IF($BL78&lt;$BK78,"refNeedCorrection","refOK")</f>
        <v>refOK</v>
      </c>
      <c r="CO78">
        <f>IF($CN78="refOK",$BK78,$BL78)</f>
        <v>3.2</v>
      </c>
      <c r="CP78">
        <f>IF($CN78="refOK",$BL78,$BK78)</f>
        <v>3.45</v>
      </c>
      <c r="CQ78">
        <f>IF($CN78="refOK",$BO78,-$BO78)</f>
        <v>0.25</v>
      </c>
      <c r="CR78">
        <f>IF($CN78="refOK",$BS78,$BT78)*IF($BP78="Emissions positive",-1,1)</f>
        <v>-2.5</v>
      </c>
      <c r="CS78">
        <f>IF($CN78="refOK",$BT78,$BS78)*IF($BP78="Emissions positive",-1,1)</f>
        <v>-0.55000000000000004</v>
      </c>
      <c r="CT78">
        <f>IF($CN78="refNeedCorrection",-BX78,BX78)*IF($BP78="Emissions positive",-1,1)</f>
        <v>1.9499999999999999E-3</v>
      </c>
      <c r="CU78">
        <f>IFERROR(CT78/CQ78,"")</f>
        <v>7.7999999999999996E-3</v>
      </c>
      <c r="CV78" s="2">
        <f>IFERROR((CS78-CR78)/ABS(CR78),"")</f>
        <v>0.78</v>
      </c>
      <c r="CW78" s="1" t="s">
        <v>235</v>
      </c>
      <c r="CX78" s="266" t="str">
        <f>IF(OR($CW78="prd",$CW78="std",$CW78="cit"),"loc",IF(OR($CW78="eur",$CW78="reg",$CW78="coy"),"reg",$CW78))</f>
        <v>loc</v>
      </c>
      <c r="CY78" t="s">
        <v>236</v>
      </c>
      <c r="CZ78">
        <v>2001</v>
      </c>
      <c r="DA78">
        <v>2100</v>
      </c>
      <c r="DB78">
        <v>100</v>
      </c>
      <c r="DC78" t="str">
        <f>IF(DB78=0,"0",IF(AND(DB78&gt;=1,DB78&lt;=30),"1-30",IF(AND(DB78&gt;30,DB78&lt;=70),"31-70",IF(AND(DB78&gt;70,DB78&lt;=100),"71-100",IF(DB78&gt;100,"+100")))))</f>
        <v>71-100</v>
      </c>
      <c r="DD78">
        <v>0</v>
      </c>
      <c r="DE78">
        <v>1</v>
      </c>
      <c r="DF78">
        <v>1</v>
      </c>
      <c r="DG78">
        <v>1</v>
      </c>
      <c r="DH78"/>
      <c r="DI78">
        <f>SUM(DD78:DG78)</f>
        <v>3</v>
      </c>
      <c r="DJ78" t="str">
        <f>IF(DI78=1,INDEX($DD$7:$DG$7,MATCH(1,$DD78:$DG78,0)),"mixedProduct")</f>
        <v>mixedProduct</v>
      </c>
      <c r="DK78">
        <f>IF(DD78=1,DK$7,0)</f>
        <v>0</v>
      </c>
      <c r="DL78" t="str">
        <f>IF(DE78=1,DL$7,0)</f>
        <v>Energy</v>
      </c>
      <c r="DM78" t="str">
        <f>IF(DF78=1,DM$7,0)</f>
        <v>Pulp/Paper</v>
      </c>
      <c r="DN78" t="str">
        <f>IF(DG78=1,DN$7,0)</f>
        <v>Timber</v>
      </c>
      <c r="DO78">
        <v>1</v>
      </c>
      <c r="DP78">
        <v>0</v>
      </c>
      <c r="DQ78">
        <v>0</v>
      </c>
      <c r="DR78">
        <v>0</v>
      </c>
      <c r="DS78">
        <v>0</v>
      </c>
      <c r="DT78">
        <f>SUM(DO78:DP78)</f>
        <v>1</v>
      </c>
      <c r="DU78" s="143" t="str">
        <f>IF(DO78=1,"self-calculated DF",IF(DP78=1,"external DF used","explicit C balance"))</f>
        <v>self-calculated DF</v>
      </c>
      <c r="DV78">
        <v>1</v>
      </c>
      <c r="DW78">
        <v>1</v>
      </c>
      <c r="DX78">
        <v>1</v>
      </c>
      <c r="DY78">
        <v>0</v>
      </c>
      <c r="DZ78">
        <v>0</v>
      </c>
      <c r="EA78" s="143">
        <v>0</v>
      </c>
      <c r="EB78">
        <v>1</v>
      </c>
      <c r="EC78">
        <v>1</v>
      </c>
      <c r="ED78">
        <v>0</v>
      </c>
      <c r="EE78">
        <v>0</v>
      </c>
      <c r="EF78">
        <v>1</v>
      </c>
      <c r="EG78">
        <v>1</v>
      </c>
      <c r="EH78">
        <v>0</v>
      </c>
      <c r="EI78" s="2">
        <v>0</v>
      </c>
      <c r="EJ78" s="1"/>
      <c r="EK78" t="str">
        <f>IF(AND(AND(AND(OR($DX78=1,$DW78=1),OR($EC78=1,$EA78=1)),SUM($DV78:$DZ78,$EF78)&gt;=4),SUM($EA78:$EE78)&gt;=2),"Whole sector","")</f>
        <v>Whole sector</v>
      </c>
      <c r="EL78" t="str">
        <f>IF(AND(AND(OR($DX78=1,$DW78=1),AND($EC78=0,$EA78=0)),SUM($DV78:$DZ78,$EF78)&gt;=4),"Ecosystem approach","")</f>
        <v/>
      </c>
      <c r="EM78" s="2" t="str">
        <f>IF(AND(AND(AND($DX78=0,$DW78=0),OR($EC78=1,$EA78=1)),SUM($EB78:$EE78)&gt;=2),"Technology approach","")</f>
        <v/>
      </c>
      <c r="EN78"/>
      <c r="EO78"/>
      <c r="EP78" t="str">
        <f>IF(ISNUMBER(BU78),IF(ABS(BU78-[1]QC_indicators!$B$2)&gt;3*[1]QC_indicators!$C$2,"C ratio",IF(ISNUMBER(BY78),IF(ABS(BY78-[1]QC_indicators!$B$1)&gt;3*[1]QC_indicators!$C$1,"DF","no"))),IF(ISNUMBER(BY78),IF(ABS(BY78-[1]QC_indicators!$B$1)&gt;3*[1]QC_indicators!$C$1,"DF","no")))</f>
        <v>no</v>
      </c>
      <c r="EQ78"/>
      <c r="ER78" s="296" t="s">
        <v>350</v>
      </c>
      <c r="ES78"/>
      <c r="ET78" s="266" t="s">
        <v>3409</v>
      </c>
      <c r="EU78"/>
    </row>
    <row r="79" spans="1:151" s="139" customFormat="1" ht="15" hidden="1" customHeight="1">
      <c r="A79" s="1" t="s">
        <v>1104</v>
      </c>
      <c r="B79" t="s">
        <v>1105</v>
      </c>
      <c r="C79" t="s">
        <v>1106</v>
      </c>
      <c r="D79" t="s">
        <v>1107</v>
      </c>
      <c r="E79" t="s">
        <v>1108</v>
      </c>
      <c r="F79" t="s">
        <v>1109</v>
      </c>
      <c r="G79" t="s">
        <v>1110</v>
      </c>
      <c r="H79" t="s">
        <v>255</v>
      </c>
      <c r="I79">
        <v>2013</v>
      </c>
      <c r="J79">
        <v>11</v>
      </c>
      <c r="K79" t="s">
        <v>1111</v>
      </c>
      <c r="L79"/>
      <c r="M79" t="str">
        <f>LEFT($D79,FIND(",",$D79)-1)&amp;"_"&amp;I79&amp;L79</f>
        <v>Routa_2013</v>
      </c>
      <c r="N79" t="s">
        <v>223</v>
      </c>
      <c r="O79" s="145" t="s">
        <v>342</v>
      </c>
      <c r="P79"/>
      <c r="Q79" s="266" t="s">
        <v>257</v>
      </c>
      <c r="R79" s="271" t="s">
        <v>1156</v>
      </c>
      <c r="S79" s="1" t="s">
        <v>1126</v>
      </c>
      <c r="T79" t="s">
        <v>1113</v>
      </c>
      <c r="U79" t="e">
        <f>#REF!</f>
        <v>#REF!</v>
      </c>
      <c r="V79">
        <v>0</v>
      </c>
      <c r="W79">
        <v>0</v>
      </c>
      <c r="X79">
        <v>2</v>
      </c>
      <c r="Y79">
        <v>0</v>
      </c>
      <c r="Z79">
        <v>2</v>
      </c>
      <c r="AA79">
        <v>0</v>
      </c>
      <c r="AB79">
        <v>1</v>
      </c>
      <c r="AC79">
        <v>0</v>
      </c>
      <c r="AD79">
        <v>0</v>
      </c>
      <c r="AE79">
        <v>0</v>
      </c>
      <c r="AF79">
        <v>0</v>
      </c>
      <c r="AG79">
        <v>0</v>
      </c>
      <c r="AH79">
        <v>0</v>
      </c>
      <c r="AI79">
        <v>0</v>
      </c>
      <c r="AJ79">
        <v>2</v>
      </c>
      <c r="AK79">
        <v>0</v>
      </c>
      <c r="AL79">
        <v>2</v>
      </c>
      <c r="AM79">
        <v>0</v>
      </c>
      <c r="AN79">
        <v>0</v>
      </c>
      <c r="AO79">
        <v>0</v>
      </c>
      <c r="AP79">
        <v>0</v>
      </c>
      <c r="AQ79">
        <v>0</v>
      </c>
      <c r="AR79">
        <v>0</v>
      </c>
      <c r="AS79">
        <v>0</v>
      </c>
      <c r="AT79">
        <v>0</v>
      </c>
      <c r="AU79">
        <v>0</v>
      </c>
      <c r="AV79">
        <v>0</v>
      </c>
      <c r="AW79">
        <v>0</v>
      </c>
      <c r="AX79" s="141">
        <f>COUNTIF(V79:AW79,"&lt;&gt;0")</f>
        <v>5</v>
      </c>
      <c r="AY79" s="141">
        <f>COUNTIF(V79:AL79,"&lt;&gt;0")</f>
        <v>5</v>
      </c>
      <c r="AZ79">
        <f>COUNTIF(V79:AC79,"&lt;&gt;0")</f>
        <v>3</v>
      </c>
      <c r="BA79">
        <f>COUNTIF(AD79:AI79,"&lt;&gt;0")</f>
        <v>0</v>
      </c>
      <c r="BB79">
        <f>COUNTIF(AJ79:AL79,"&lt;&gt;0")</f>
        <v>2</v>
      </c>
      <c r="BC79">
        <f>COUNTIF(AS79:AW79,"&lt;&gt;0")</f>
        <v>0</v>
      </c>
      <c r="BD79">
        <f>COUNTIF(AM79:AR79,"&lt;&gt;0")</f>
        <v>0</v>
      </c>
      <c r="BE79" t="str" cm="1">
        <f t="array" ref="BE79">IF(AY79=1,INDEX($V$7:$AL$7,MATCH(TRUE,INDEX($V79:$AW79&lt;&gt;0,),0)),IF(AY79=0,INDEX($AM$7:$AW$7,MATCH(1,$AM79:$AW79,0)),IF(BF79="Multiple strategies","mixed drivers",IF(BF79="Supply chain","multiple supply","multiple silviculture"))))</f>
        <v>mixed drivers</v>
      </c>
      <c r="BF79" s="2" t="str" cm="1">
        <f t="array" ref="BF79">IF(COUNTIF(AZ79:BB79,"&lt;&gt;0")=1,INDEX($V$4:$AW$4,MATCH(TRUE,INDEX($V79:$AW79&lt;&gt;0,),0)),IF(COUNTIF(AZ79:BB79,"&lt;&gt;0")=0,INDEX($AM$4:$AW$4,MATCH(1,$AM79:$AW79,0)),"Multiple strategies"))</f>
        <v>Multiple strategies</v>
      </c>
      <c r="BG79" s="1" t="s">
        <v>322</v>
      </c>
      <c r="BH79" t="s">
        <v>1114</v>
      </c>
      <c r="BI79"/>
      <c r="BJ79" t="s">
        <v>1115</v>
      </c>
      <c r="BK79">
        <v>3.2</v>
      </c>
      <c r="BL79">
        <v>3.45</v>
      </c>
      <c r="BM79"/>
      <c r="BN79">
        <f>BL79-BK79</f>
        <v>0.25</v>
      </c>
      <c r="BO79">
        <f>BN79</f>
        <v>0.25</v>
      </c>
      <c r="BP79" s="266" t="s">
        <v>233</v>
      </c>
      <c r="BQ79" s="266"/>
      <c r="BR79" t="s">
        <v>1116</v>
      </c>
      <c r="BS79">
        <v>-2.5</v>
      </c>
      <c r="BT79">
        <v>-0.4</v>
      </c>
      <c r="BU79" s="144">
        <v>0.16</v>
      </c>
      <c r="BV79">
        <v>2.1</v>
      </c>
      <c r="BW79"/>
      <c r="BX79">
        <f>BV79/10^3</f>
        <v>2.1000000000000003E-3</v>
      </c>
      <c r="BY79">
        <f>IFERROR(BX79/BO79,"")</f>
        <v>8.4000000000000012E-3</v>
      </c>
      <c r="BZ79">
        <v>0</v>
      </c>
      <c r="CA79">
        <v>0</v>
      </c>
      <c r="CB79">
        <v>0</v>
      </c>
      <c r="CC79">
        <v>0</v>
      </c>
      <c r="CD79">
        <v>0</v>
      </c>
      <c r="CE79">
        <v>0</v>
      </c>
      <c r="CF79">
        <v>0</v>
      </c>
      <c r="CG79">
        <v>0</v>
      </c>
      <c r="CH79">
        <v>0</v>
      </c>
      <c r="CI79">
        <v>0</v>
      </c>
      <c r="CJ79">
        <v>0</v>
      </c>
      <c r="CK79">
        <v>0</v>
      </c>
      <c r="CL79">
        <v>0</v>
      </c>
      <c r="CM79">
        <v>0</v>
      </c>
      <c r="CN79" t="str">
        <f>IF($BL79&lt;$BK79,"refNeedCorrection","refOK")</f>
        <v>refOK</v>
      </c>
      <c r="CO79">
        <f>IF($CN79="refOK",$BK79,$BL79)</f>
        <v>3.2</v>
      </c>
      <c r="CP79">
        <f>IF($CN79="refOK",$BL79,$BK79)</f>
        <v>3.45</v>
      </c>
      <c r="CQ79">
        <f>IF($CN79="refOK",$BO79,-$BO79)</f>
        <v>0.25</v>
      </c>
      <c r="CR79">
        <f>IF($CN79="refOK",$BS79,$BT79)*IF($BP79="Emissions positive",-1,1)</f>
        <v>-2.5</v>
      </c>
      <c r="CS79">
        <f>IF($CN79="refOK",$BT79,$BS79)*IF($BP79="Emissions positive",-1,1)</f>
        <v>-0.4</v>
      </c>
      <c r="CT79">
        <f>IF($CN79="refNeedCorrection",-BX79,BX79)*IF($BP79="Emissions positive",-1,1)</f>
        <v>2.1000000000000003E-3</v>
      </c>
      <c r="CU79">
        <f>IFERROR(CT79/CQ79,"")</f>
        <v>8.4000000000000012E-3</v>
      </c>
      <c r="CV79" s="2">
        <f>IFERROR((CS79-CR79)/ABS(CR79),"")</f>
        <v>0.84000000000000008</v>
      </c>
      <c r="CW79" s="1" t="s">
        <v>235</v>
      </c>
      <c r="CX79" s="266" t="str">
        <f>IF(OR($CW79="prd",$CW79="std",$CW79="cit"),"loc",IF(OR($CW79="eur",$CW79="reg",$CW79="coy"),"reg",$CW79))</f>
        <v>loc</v>
      </c>
      <c r="CY79" t="s">
        <v>236</v>
      </c>
      <c r="CZ79">
        <v>2001</v>
      </c>
      <c r="DA79">
        <v>2100</v>
      </c>
      <c r="DB79">
        <v>100</v>
      </c>
      <c r="DC79" t="str">
        <f>IF(DB79=0,"0",IF(AND(DB79&gt;=1,DB79&lt;=30),"1-30",IF(AND(DB79&gt;30,DB79&lt;=70),"31-70",IF(AND(DB79&gt;70,DB79&lt;=100),"71-100",IF(DB79&gt;100,"+100")))))</f>
        <v>71-100</v>
      </c>
      <c r="DD79">
        <v>0</v>
      </c>
      <c r="DE79">
        <v>1</v>
      </c>
      <c r="DF79">
        <v>1</v>
      </c>
      <c r="DG79">
        <v>1</v>
      </c>
      <c r="DH79"/>
      <c r="DI79">
        <f>SUM(DD79:DG79)</f>
        <v>3</v>
      </c>
      <c r="DJ79" t="str">
        <f>IF(DI79=1,INDEX($DD$7:$DG$7,MATCH(1,$DD79:$DG79,0)),"mixedProduct")</f>
        <v>mixedProduct</v>
      </c>
      <c r="DK79">
        <f>IF(DD79=1,DK$7,0)</f>
        <v>0</v>
      </c>
      <c r="DL79" t="str">
        <f>IF(DE79=1,DL$7,0)</f>
        <v>Energy</v>
      </c>
      <c r="DM79" t="str">
        <f>IF(DF79=1,DM$7,0)</f>
        <v>Pulp/Paper</v>
      </c>
      <c r="DN79" t="str">
        <f>IF(DG79=1,DN$7,0)</f>
        <v>Timber</v>
      </c>
      <c r="DO79">
        <v>1</v>
      </c>
      <c r="DP79">
        <v>0</v>
      </c>
      <c r="DQ79">
        <v>0</v>
      </c>
      <c r="DR79">
        <v>0</v>
      </c>
      <c r="DS79">
        <v>0</v>
      </c>
      <c r="DT79">
        <f>SUM(DO79:DP79)</f>
        <v>1</v>
      </c>
      <c r="DU79" s="143" t="str">
        <f>IF(DO79=1,"self-calculated DF",IF(DP79=1,"external DF used","explicit C balance"))</f>
        <v>self-calculated DF</v>
      </c>
      <c r="DV79">
        <v>1</v>
      </c>
      <c r="DW79">
        <v>1</v>
      </c>
      <c r="DX79">
        <v>1</v>
      </c>
      <c r="DY79">
        <v>0</v>
      </c>
      <c r="DZ79">
        <v>0</v>
      </c>
      <c r="EA79" s="143">
        <v>0</v>
      </c>
      <c r="EB79">
        <v>1</v>
      </c>
      <c r="EC79">
        <v>1</v>
      </c>
      <c r="ED79">
        <v>0</v>
      </c>
      <c r="EE79">
        <v>0</v>
      </c>
      <c r="EF79">
        <v>1</v>
      </c>
      <c r="EG79">
        <v>1</v>
      </c>
      <c r="EH79">
        <v>0</v>
      </c>
      <c r="EI79" s="2">
        <v>0</v>
      </c>
      <c r="EJ79" s="1"/>
      <c r="EK79" t="str">
        <f>IF(AND(AND(AND(OR($DX79=1,$DW79=1),OR($EC79=1,$EA79=1)),SUM($DV79:$DZ79,$EF79)&gt;=4),SUM($EA79:$EE79)&gt;=2),"Whole sector","")</f>
        <v>Whole sector</v>
      </c>
      <c r="EL79" t="str">
        <f>IF(AND(AND(OR($DX79=1,$DW79=1),AND($EC79=0,$EA79=0)),SUM($DV79:$DZ79,$EF79)&gt;=4),"Ecosystem approach","")</f>
        <v/>
      </c>
      <c r="EM79" s="2" t="str">
        <f>IF(AND(AND(AND($DX79=0,$DW79=0),OR($EC79=1,$EA79=1)),SUM($EB79:$EE79)&gt;=2),"Technology approach","")</f>
        <v/>
      </c>
      <c r="EN79"/>
      <c r="EO79"/>
      <c r="EP79" t="str">
        <f>IF(ISNUMBER(BU79),IF(ABS(BU79-[1]QC_indicators!$B$2)&gt;3*[1]QC_indicators!$C$2,"C ratio",IF(ISNUMBER(BY79),IF(ABS(BY79-[1]QC_indicators!$B$1)&gt;3*[1]QC_indicators!$C$1,"DF","no"))),IF(ISNUMBER(BY79),IF(ABS(BY79-[1]QC_indicators!$B$1)&gt;3*[1]QC_indicators!$C$1,"DF","no")))</f>
        <v>no</v>
      </c>
      <c r="EQ79"/>
      <c r="ER79" s="296" t="s">
        <v>350</v>
      </c>
      <c r="ES79"/>
      <c r="ET79" s="266" t="s">
        <v>3409</v>
      </c>
      <c r="EU79"/>
    </row>
    <row r="80" spans="1:151" s="139" customFormat="1" ht="15" hidden="1" customHeight="1">
      <c r="A80" s="1" t="s">
        <v>1104</v>
      </c>
      <c r="B80" t="s">
        <v>1105</v>
      </c>
      <c r="C80" t="s">
        <v>1106</v>
      </c>
      <c r="D80" t="s">
        <v>1107</v>
      </c>
      <c r="E80" t="s">
        <v>1108</v>
      </c>
      <c r="F80" t="s">
        <v>1109</v>
      </c>
      <c r="G80" t="s">
        <v>1110</v>
      </c>
      <c r="H80" t="s">
        <v>255</v>
      </c>
      <c r="I80">
        <v>2013</v>
      </c>
      <c r="J80">
        <v>11</v>
      </c>
      <c r="K80" t="s">
        <v>1111</v>
      </c>
      <c r="L80"/>
      <c r="M80" t="str">
        <f>LEFT($D80,FIND(",",$D80)-1)&amp;"_"&amp;I80&amp;L80</f>
        <v>Routa_2013</v>
      </c>
      <c r="N80" t="s">
        <v>223</v>
      </c>
      <c r="O80" s="145" t="s">
        <v>342</v>
      </c>
      <c r="P80"/>
      <c r="Q80" s="266" t="s">
        <v>257</v>
      </c>
      <c r="R80" s="271" t="s">
        <v>1156</v>
      </c>
      <c r="S80" s="1" t="s">
        <v>1127</v>
      </c>
      <c r="T80" t="s">
        <v>1113</v>
      </c>
      <c r="U80" t="e">
        <f>#REF!</f>
        <v>#REF!</v>
      </c>
      <c r="V80">
        <v>0</v>
      </c>
      <c r="W80">
        <v>0</v>
      </c>
      <c r="X80">
        <v>2</v>
      </c>
      <c r="Y80">
        <v>0</v>
      </c>
      <c r="Z80">
        <v>2</v>
      </c>
      <c r="AA80">
        <v>0</v>
      </c>
      <c r="AB80">
        <v>1</v>
      </c>
      <c r="AC80">
        <v>0</v>
      </c>
      <c r="AD80">
        <v>0</v>
      </c>
      <c r="AE80">
        <v>0</v>
      </c>
      <c r="AF80">
        <v>0</v>
      </c>
      <c r="AG80">
        <v>0</v>
      </c>
      <c r="AH80">
        <v>0</v>
      </c>
      <c r="AI80">
        <v>0</v>
      </c>
      <c r="AJ80">
        <v>2</v>
      </c>
      <c r="AK80">
        <v>0</v>
      </c>
      <c r="AL80">
        <v>2</v>
      </c>
      <c r="AM80">
        <v>0</v>
      </c>
      <c r="AN80">
        <v>0</v>
      </c>
      <c r="AO80">
        <v>0</v>
      </c>
      <c r="AP80">
        <v>0</v>
      </c>
      <c r="AQ80">
        <v>0</v>
      </c>
      <c r="AR80">
        <v>0</v>
      </c>
      <c r="AS80">
        <v>0</v>
      </c>
      <c r="AT80">
        <v>0</v>
      </c>
      <c r="AU80">
        <v>0</v>
      </c>
      <c r="AV80">
        <v>0</v>
      </c>
      <c r="AW80">
        <v>0</v>
      </c>
      <c r="AX80" s="141">
        <f>COUNTIF(V80:AW80,"&lt;&gt;0")</f>
        <v>5</v>
      </c>
      <c r="AY80" s="141">
        <f>COUNTIF(V80:AL80,"&lt;&gt;0")</f>
        <v>5</v>
      </c>
      <c r="AZ80">
        <f>COUNTIF(V80:AC80,"&lt;&gt;0")</f>
        <v>3</v>
      </c>
      <c r="BA80">
        <f>COUNTIF(AD80:AI80,"&lt;&gt;0")</f>
        <v>0</v>
      </c>
      <c r="BB80">
        <f>COUNTIF(AJ80:AL80,"&lt;&gt;0")</f>
        <v>2</v>
      </c>
      <c r="BC80">
        <f>COUNTIF(AS80:AW80,"&lt;&gt;0")</f>
        <v>0</v>
      </c>
      <c r="BD80">
        <f>COUNTIF(AM80:AR80,"&lt;&gt;0")</f>
        <v>0</v>
      </c>
      <c r="BE80" t="str" cm="1">
        <f t="array" ref="BE80">IF(AY80=1,INDEX($V$7:$AL$7,MATCH(TRUE,INDEX($V80:$AW80&lt;&gt;0,),0)),IF(AY80=0,INDEX($AM$7:$AW$7,MATCH(1,$AM80:$AW80,0)),IF(BF80="Multiple strategies","mixed drivers",IF(BF80="Supply chain","multiple supply","multiple silviculture"))))</f>
        <v>mixed drivers</v>
      </c>
      <c r="BF80" s="2" t="str" cm="1">
        <f t="array" ref="BF80">IF(COUNTIF(AZ80:BB80,"&lt;&gt;0")=1,INDEX($V$4:$AW$4,MATCH(TRUE,INDEX($V80:$AW80&lt;&gt;0,),0)),IF(COUNTIF(AZ80:BB80,"&lt;&gt;0")=0,INDEX($AM$4:$AW$4,MATCH(1,$AM80:$AW80,0)),"Multiple strategies"))</f>
        <v>Multiple strategies</v>
      </c>
      <c r="BG80" s="1" t="s">
        <v>322</v>
      </c>
      <c r="BH80" t="s">
        <v>1128</v>
      </c>
      <c r="BI80"/>
      <c r="BJ80" t="s">
        <v>1115</v>
      </c>
      <c r="BK80">
        <v>3.2</v>
      </c>
      <c r="BL80">
        <v>3.3</v>
      </c>
      <c r="BM80"/>
      <c r="BN80">
        <f>BL80-BK80</f>
        <v>9.9999999999999645E-2</v>
      </c>
      <c r="BO80">
        <f>BN80</f>
        <v>9.9999999999999645E-2</v>
      </c>
      <c r="BP80" s="266" t="s">
        <v>233</v>
      </c>
      <c r="BQ80" s="266"/>
      <c r="BR80" t="s">
        <v>1116</v>
      </c>
      <c r="BS80">
        <v>-2.5</v>
      </c>
      <c r="BT80">
        <v>-0.87</v>
      </c>
      <c r="BU80" s="144">
        <v>0.34799999999999998</v>
      </c>
      <c r="BV80">
        <v>1.63</v>
      </c>
      <c r="BW80"/>
      <c r="BX80">
        <f>BV80/10^3</f>
        <v>1.6299999999999999E-3</v>
      </c>
      <c r="BY80">
        <f>IFERROR(BX80/BO80,"")</f>
        <v>1.6300000000000057E-2</v>
      </c>
      <c r="BZ80">
        <v>0</v>
      </c>
      <c r="CA80">
        <v>0</v>
      </c>
      <c r="CB80">
        <v>0</v>
      </c>
      <c r="CC80">
        <v>0</v>
      </c>
      <c r="CD80">
        <v>0</v>
      </c>
      <c r="CE80">
        <v>0</v>
      </c>
      <c r="CF80">
        <v>0</v>
      </c>
      <c r="CG80">
        <v>0</v>
      </c>
      <c r="CH80">
        <v>0</v>
      </c>
      <c r="CI80">
        <v>0</v>
      </c>
      <c r="CJ80">
        <v>0</v>
      </c>
      <c r="CK80">
        <v>0</v>
      </c>
      <c r="CL80">
        <v>0</v>
      </c>
      <c r="CM80">
        <v>0</v>
      </c>
      <c r="CN80" t="str">
        <f>IF($BL80&lt;$BK80,"refNeedCorrection","refOK")</f>
        <v>refOK</v>
      </c>
      <c r="CO80">
        <f>IF($CN80="refOK",$BK80,$BL80)</f>
        <v>3.2</v>
      </c>
      <c r="CP80">
        <f>IF($CN80="refOK",$BL80,$BK80)</f>
        <v>3.3</v>
      </c>
      <c r="CQ80">
        <f>IF($CN80="refOK",$BO80,-$BO80)</f>
        <v>9.9999999999999645E-2</v>
      </c>
      <c r="CR80">
        <f>IF($CN80="refOK",$BS80,$BT80)*IF($BP80="Emissions positive",-1,1)</f>
        <v>-2.5</v>
      </c>
      <c r="CS80">
        <f>IF($CN80="refOK",$BT80,$BS80)*IF($BP80="Emissions positive",-1,1)</f>
        <v>-0.87</v>
      </c>
      <c r="CT80">
        <f>IF($CN80="refNeedCorrection",-BX80,BX80)*IF($BP80="Emissions positive",-1,1)</f>
        <v>1.6299999999999999E-3</v>
      </c>
      <c r="CU80">
        <f>IFERROR(CT80/CQ80,"")</f>
        <v>1.6300000000000057E-2</v>
      </c>
      <c r="CV80" s="2">
        <f>IFERROR((CS80-CR80)/ABS(CR80),"")</f>
        <v>0.65199999999999991</v>
      </c>
      <c r="CW80" s="1" t="s">
        <v>235</v>
      </c>
      <c r="CX80" s="266" t="str">
        <f>IF(OR($CW80="prd",$CW80="std",$CW80="cit"),"loc",IF(OR($CW80="eur",$CW80="reg",$CW80="coy"),"reg",$CW80))</f>
        <v>loc</v>
      </c>
      <c r="CY80" t="s">
        <v>236</v>
      </c>
      <c r="CZ80">
        <v>2001</v>
      </c>
      <c r="DA80">
        <v>2100</v>
      </c>
      <c r="DB80">
        <v>100</v>
      </c>
      <c r="DC80" t="str">
        <f>IF(DB80=0,"0",IF(AND(DB80&gt;=1,DB80&lt;=30),"1-30",IF(AND(DB80&gt;30,DB80&lt;=70),"31-70",IF(AND(DB80&gt;70,DB80&lt;=100),"71-100",IF(DB80&gt;100,"+100")))))</f>
        <v>71-100</v>
      </c>
      <c r="DD80">
        <v>0</v>
      </c>
      <c r="DE80">
        <v>1</v>
      </c>
      <c r="DF80">
        <v>1</v>
      </c>
      <c r="DG80">
        <v>1</v>
      </c>
      <c r="DH80"/>
      <c r="DI80">
        <f>SUM(DD80:DG80)</f>
        <v>3</v>
      </c>
      <c r="DJ80" t="str">
        <f>IF(DI80=1,INDEX($DD$7:$DG$7,MATCH(1,$DD80:$DG80,0)),"mixedProduct")</f>
        <v>mixedProduct</v>
      </c>
      <c r="DK80">
        <f>IF(DD80=1,DK$7,0)</f>
        <v>0</v>
      </c>
      <c r="DL80" t="str">
        <f>IF(DE80=1,DL$7,0)</f>
        <v>Energy</v>
      </c>
      <c r="DM80" t="str">
        <f>IF(DF80=1,DM$7,0)</f>
        <v>Pulp/Paper</v>
      </c>
      <c r="DN80" t="str">
        <f>IF(DG80=1,DN$7,0)</f>
        <v>Timber</v>
      </c>
      <c r="DO80">
        <v>1</v>
      </c>
      <c r="DP80">
        <v>0</v>
      </c>
      <c r="DQ80">
        <v>0</v>
      </c>
      <c r="DR80">
        <v>0</v>
      </c>
      <c r="DS80">
        <v>0</v>
      </c>
      <c r="DT80">
        <f>SUM(DO80:DP80)</f>
        <v>1</v>
      </c>
      <c r="DU80" s="143" t="str">
        <f>IF(DO80=1,"self-calculated DF",IF(DP80=1,"external DF used","explicit C balance"))</f>
        <v>self-calculated DF</v>
      </c>
      <c r="DV80">
        <v>1</v>
      </c>
      <c r="DW80">
        <v>1</v>
      </c>
      <c r="DX80">
        <v>1</v>
      </c>
      <c r="DY80">
        <v>0</v>
      </c>
      <c r="DZ80">
        <v>0</v>
      </c>
      <c r="EA80" s="143">
        <v>0</v>
      </c>
      <c r="EB80">
        <v>1</v>
      </c>
      <c r="EC80">
        <v>1</v>
      </c>
      <c r="ED80">
        <v>0</v>
      </c>
      <c r="EE80">
        <v>0</v>
      </c>
      <c r="EF80">
        <v>1</v>
      </c>
      <c r="EG80">
        <v>1</v>
      </c>
      <c r="EH80">
        <v>0</v>
      </c>
      <c r="EI80" s="2">
        <v>0</v>
      </c>
      <c r="EJ80" s="1"/>
      <c r="EK80" t="str">
        <f>IF(AND(AND(AND(OR($DX80=1,$DW80=1),OR($EC80=1,$EA80=1)),SUM($DV80:$DZ80,$EF80)&gt;=4),SUM($EA80:$EE80)&gt;=2),"Whole sector","")</f>
        <v>Whole sector</v>
      </c>
      <c r="EL80" t="str">
        <f>IF(AND(AND(OR($DX80=1,$DW80=1),AND($EC80=0,$EA80=0)),SUM($DV80:$DZ80,$EF80)&gt;=4),"Ecosystem approach","")</f>
        <v/>
      </c>
      <c r="EM80" s="2" t="str">
        <f>IF(AND(AND(AND($DX80=0,$DW80=0),OR($EC80=1,$EA80=1)),SUM($EB80:$EE80)&gt;=2),"Technology approach","")</f>
        <v/>
      </c>
      <c r="EN80"/>
      <c r="EO80"/>
      <c r="EP80" t="str">
        <f>IF(ISNUMBER(BU80),IF(ABS(BU80-[1]QC_indicators!$B$2)&gt;3*[1]QC_indicators!$C$2,"C ratio",IF(ISNUMBER(BY80),IF(ABS(BY80-[1]QC_indicators!$B$1)&gt;3*[1]QC_indicators!$C$1,"DF","no"))),IF(ISNUMBER(BY80),IF(ABS(BY80-[1]QC_indicators!$B$1)&gt;3*[1]QC_indicators!$C$1,"DF","no")))</f>
        <v>no</v>
      </c>
      <c r="EQ80"/>
      <c r="ER80" s="296" t="s">
        <v>350</v>
      </c>
      <c r="ES80"/>
      <c r="ET80" s="266" t="s">
        <v>3409</v>
      </c>
      <c r="EU80"/>
    </row>
    <row r="81" spans="1:151" s="139" customFormat="1" ht="15" hidden="1" customHeight="1">
      <c r="A81" s="1" t="s">
        <v>1362</v>
      </c>
      <c r="B81" t="s">
        <v>2219</v>
      </c>
      <c r="C81" t="s">
        <v>2220</v>
      </c>
      <c r="D81" t="s">
        <v>2221</v>
      </c>
      <c r="E81" t="s">
        <v>2222</v>
      </c>
      <c r="F81" t="s">
        <v>2223</v>
      </c>
      <c r="G81" t="s">
        <v>1368</v>
      </c>
      <c r="H81" t="s">
        <v>255</v>
      </c>
      <c r="I81">
        <v>2009</v>
      </c>
      <c r="J81">
        <v>27</v>
      </c>
      <c r="K81" t="s">
        <v>2224</v>
      </c>
      <c r="L81"/>
      <c r="M81" t="str">
        <f>LEFT($D81,FIND(",",$D81)-1)&amp;"_"&amp;I81&amp;L81</f>
        <v>Raymer_2009</v>
      </c>
      <c r="N81" t="s">
        <v>223</v>
      </c>
      <c r="O81" s="145" t="s">
        <v>342</v>
      </c>
      <c r="P81"/>
      <c r="Q81" s="266" t="s">
        <v>257</v>
      </c>
      <c r="R81" s="271" t="s">
        <v>1156</v>
      </c>
      <c r="S81" s="1" t="s">
        <v>2225</v>
      </c>
      <c r="T81" t="s">
        <v>2226</v>
      </c>
      <c r="U81" t="s">
        <v>2227</v>
      </c>
      <c r="V81">
        <v>0</v>
      </c>
      <c r="W81">
        <v>0</v>
      </c>
      <c r="X81">
        <v>0</v>
      </c>
      <c r="Y81">
        <v>0</v>
      </c>
      <c r="Z81">
        <v>2</v>
      </c>
      <c r="AA81">
        <v>2</v>
      </c>
      <c r="AB81">
        <v>2</v>
      </c>
      <c r="AC81">
        <v>0</v>
      </c>
      <c r="AD81">
        <v>0</v>
      </c>
      <c r="AE81">
        <v>0</v>
      </c>
      <c r="AF81">
        <v>1</v>
      </c>
      <c r="AG81">
        <v>0</v>
      </c>
      <c r="AH81">
        <v>0</v>
      </c>
      <c r="AI81">
        <v>0</v>
      </c>
      <c r="AJ81">
        <v>2</v>
      </c>
      <c r="AK81">
        <v>0</v>
      </c>
      <c r="AL81">
        <v>0</v>
      </c>
      <c r="AM81">
        <v>0</v>
      </c>
      <c r="AN81">
        <v>0</v>
      </c>
      <c r="AO81">
        <v>0</v>
      </c>
      <c r="AP81">
        <v>0</v>
      </c>
      <c r="AQ81">
        <v>0</v>
      </c>
      <c r="AR81">
        <v>0</v>
      </c>
      <c r="AS81">
        <v>0</v>
      </c>
      <c r="AT81">
        <v>0</v>
      </c>
      <c r="AU81">
        <v>0</v>
      </c>
      <c r="AV81">
        <v>1</v>
      </c>
      <c r="AW81">
        <v>0</v>
      </c>
      <c r="AX81" s="141">
        <f>COUNTIF(V81:AW81,"&lt;&gt;0")</f>
        <v>6</v>
      </c>
      <c r="AY81" s="141">
        <f>COUNTIF(V81:AL81,"&lt;&gt;0")</f>
        <v>5</v>
      </c>
      <c r="AZ81">
        <f>COUNTIF(V81:AC81,"&lt;&gt;0")</f>
        <v>3</v>
      </c>
      <c r="BA81">
        <f>COUNTIF(AD81:AI81,"&lt;&gt;0")</f>
        <v>1</v>
      </c>
      <c r="BB81">
        <f>COUNTIF(AJ81:AL81,"&lt;&gt;0")</f>
        <v>1</v>
      </c>
      <c r="BC81">
        <f>COUNTIF(AS81:AW81,"&lt;&gt;0")</f>
        <v>1</v>
      </c>
      <c r="BD81">
        <f>COUNTIF(AM81:AR81,"&lt;&gt;0")</f>
        <v>0</v>
      </c>
      <c r="BE81" t="str" cm="1">
        <f t="array" ref="BE81">IF(AY81=1,INDEX($V$7:$AL$7,MATCH(TRUE,INDEX($V81:$AW81&lt;&gt;0,),0)),IF(AY81=0,INDEX($AM$7:$AW$7,MATCH(1,$AM81:$AW81,0)),IF(BF81="Multiple strategies","mixed drivers",IF(BF81="Supply chain","multiple supply","multiple silviculture"))))</f>
        <v>mixed drivers</v>
      </c>
      <c r="BF81" s="2" t="str" cm="1">
        <f t="array" ref="BF81">IF(COUNTIF(AZ81:BB81,"&lt;&gt;0")=1,INDEX($V$4:$AW$4,MATCH(TRUE,INDEX($V81:$AW81&lt;&gt;0,),0)),IF(COUNTIF(AZ81:BB81,"&lt;&gt;0")=0,INDEX($AM$4:$AW$4,MATCH(1,$AM81:$AW81,0)),"Multiple strategies"))</f>
        <v>Multiple strategies</v>
      </c>
      <c r="BG81" s="1" t="s">
        <v>322</v>
      </c>
      <c r="BH81" t="s">
        <v>2228</v>
      </c>
      <c r="BI81"/>
      <c r="BJ81" t="s">
        <v>2229</v>
      </c>
      <c r="BK81">
        <v>150</v>
      </c>
      <c r="BL81">
        <v>206</v>
      </c>
      <c r="BM81"/>
      <c r="BN81">
        <f>BL81-BK81</f>
        <v>56</v>
      </c>
      <c r="BO81" s="143">
        <f>BN81*10^6</f>
        <v>56000000</v>
      </c>
      <c r="BP81" t="s">
        <v>233</v>
      </c>
      <c r="BQ81"/>
      <c r="BR81" t="s">
        <v>1142</v>
      </c>
      <c r="BS81">
        <v>1.5</v>
      </c>
      <c r="BT81">
        <v>2.2999999999999998</v>
      </c>
      <c r="BU81" s="144">
        <f>IFERROR(BT81/BS81,"")</f>
        <v>1.5333333333333332</v>
      </c>
      <c r="BV81">
        <f>BT81-BS81</f>
        <v>0.79999999999999982</v>
      </c>
      <c r="BW81"/>
      <c r="BX81">
        <f>BV81*10^6</f>
        <v>799999.99999999977</v>
      </c>
      <c r="BY81">
        <f>IFERROR(BX81/BO81,"")</f>
        <v>1.4285714285714282E-2</v>
      </c>
      <c r="BZ81">
        <v>0</v>
      </c>
      <c r="CA81">
        <v>0</v>
      </c>
      <c r="CB81">
        <v>0</v>
      </c>
      <c r="CC81">
        <v>0</v>
      </c>
      <c r="CD81">
        <v>0</v>
      </c>
      <c r="CE81">
        <v>0</v>
      </c>
      <c r="CF81">
        <v>0</v>
      </c>
      <c r="CG81">
        <v>0</v>
      </c>
      <c r="CH81">
        <v>0</v>
      </c>
      <c r="CI81">
        <v>0</v>
      </c>
      <c r="CJ81">
        <v>0</v>
      </c>
      <c r="CK81">
        <v>0</v>
      </c>
      <c r="CL81">
        <v>0</v>
      </c>
      <c r="CM81">
        <v>1</v>
      </c>
      <c r="CN81" t="str">
        <f>IF($BL81&lt;$BK81,"refNeedCorrection","refOK")</f>
        <v>refOK</v>
      </c>
      <c r="CO81">
        <f>IF($CN81="refOK",$BK81,$BL81)</f>
        <v>150</v>
      </c>
      <c r="CP81">
        <f>IF($CN81="refOK",$BL81,$BK81)</f>
        <v>206</v>
      </c>
      <c r="CQ81">
        <f>IF($CN81="refOK",$BO81,-$BO81)</f>
        <v>56000000</v>
      </c>
      <c r="CR81">
        <f>IF($CN81="refOK",$BS81,$BT81)*IF($BP81="Emissions positive",-1,1)</f>
        <v>1.5</v>
      </c>
      <c r="CS81">
        <f>IF($CN81="refOK",$BT81,$BS81)*IF($BP81="Emissions positive",-1,1)</f>
        <v>2.2999999999999998</v>
      </c>
      <c r="CT81">
        <f>IF($CN81="refNeedCorrection",-BX81,BX81)*IF($BP81="Emissions positive",-1,1)</f>
        <v>799999.99999999977</v>
      </c>
      <c r="CU81">
        <f>IFERROR(CT81/CQ81,"")</f>
        <v>1.4285714285714282E-2</v>
      </c>
      <c r="CV81" s="2">
        <f>IFERROR((CS81-CR81)/ABS(CR81),"")</f>
        <v>0.53333333333333321</v>
      </c>
      <c r="CW81" s="1" t="s">
        <v>1201</v>
      </c>
      <c r="CX81" s="266" t="str">
        <f>IF(OR($CW81="prd",$CW81="std",$CW81="cit"),"loc",IF(OR($CW81="eur",$CW81="reg",$CW81="coy"),"reg",$CW81))</f>
        <v>reg</v>
      </c>
      <c r="CY81" t="s">
        <v>265</v>
      </c>
      <c r="CZ81"/>
      <c r="DA81"/>
      <c r="DB81">
        <v>120</v>
      </c>
      <c r="DC81" t="str">
        <f>IF(DB81=0,"0",IF(AND(DB81&gt;=1,DB81&lt;=30),"1-30",IF(AND(DB81&gt;30,DB81&lt;=70),"31-70",IF(AND(DB81&gt;70,DB81&lt;=100),"71-100",IF(DB81&gt;100,"+100")))))</f>
        <v>+100</v>
      </c>
      <c r="DD81">
        <v>0</v>
      </c>
      <c r="DE81">
        <v>1</v>
      </c>
      <c r="DF81">
        <v>1</v>
      </c>
      <c r="DG81">
        <v>1</v>
      </c>
      <c r="DH81"/>
      <c r="DI81">
        <f>SUM(DD81:DG81)</f>
        <v>3</v>
      </c>
      <c r="DJ81" t="str">
        <f>IF(DI81=1,INDEX($DD$7:$DG$7,MATCH(1,$DD81:$DG81,0)),"mixedProduct")</f>
        <v>mixedProduct</v>
      </c>
      <c r="DK81">
        <f>IF(DD81=1,DK$7,0)</f>
        <v>0</v>
      </c>
      <c r="DL81" t="str">
        <f>IF(DE81=1,DL$7,0)</f>
        <v>Energy</v>
      </c>
      <c r="DM81" t="str">
        <f>IF(DF81=1,DM$7,0)</f>
        <v>Pulp/Paper</v>
      </c>
      <c r="DN81" t="str">
        <f>IF(DG81=1,DN$7,0)</f>
        <v>Timber</v>
      </c>
      <c r="DO81">
        <v>1</v>
      </c>
      <c r="DP81">
        <v>0</v>
      </c>
      <c r="DQ81">
        <v>0</v>
      </c>
      <c r="DR81">
        <v>0</v>
      </c>
      <c r="DS81">
        <v>0</v>
      </c>
      <c r="DT81">
        <f>SUM(DO81:DP81)</f>
        <v>1</v>
      </c>
      <c r="DU81" s="143" t="str">
        <f>IF(DO81=1,"self-calculated DF",IF(DP81=1,"external DF used","explicit C balance"))</f>
        <v>self-calculated DF</v>
      </c>
      <c r="DV81">
        <v>1</v>
      </c>
      <c r="DW81">
        <v>1</v>
      </c>
      <c r="DX81">
        <v>1</v>
      </c>
      <c r="DY81">
        <v>1</v>
      </c>
      <c r="DZ81">
        <v>1</v>
      </c>
      <c r="EA81">
        <v>1</v>
      </c>
      <c r="EB81">
        <v>1</v>
      </c>
      <c r="EC81">
        <v>1</v>
      </c>
      <c r="ED81">
        <v>0</v>
      </c>
      <c r="EE81">
        <v>0</v>
      </c>
      <c r="EF81">
        <v>1</v>
      </c>
      <c r="EG81">
        <v>0</v>
      </c>
      <c r="EH81">
        <v>0</v>
      </c>
      <c r="EI81" s="2">
        <v>0</v>
      </c>
      <c r="EJ81" s="1"/>
      <c r="EK81" t="str">
        <f>IF(AND(AND(AND(OR($DX81=1,$DW81=1),OR($EC81=1,$EA81=1)),SUM($DV81:$DZ81,$EF81)&gt;=4),SUM($EA81:$EE81)&gt;=2),"Whole sector","")</f>
        <v>Whole sector</v>
      </c>
      <c r="EL81" t="str">
        <f>IF(AND(AND(OR($DX81=1,$DW81=1),AND($EC81=0,$EA81=0)),SUM($DV81:$DZ81,$EF81)&gt;=4),"Ecosystem approach","")</f>
        <v/>
      </c>
      <c r="EM81" s="2" t="str">
        <f>IF(AND(AND(AND($DX81=0,$DW81=0),OR($EC81=1,$EA81=1)),SUM($EB81:$EE81)&gt;=2),"Technology approach","")</f>
        <v/>
      </c>
      <c r="EN81"/>
      <c r="EO81"/>
      <c r="EP81" t="str">
        <f>IF(ISNUMBER(BU81),IF(ABS(BU81-[1]QC_indicators!$B$2)&gt;3*[1]QC_indicators!$C$2,"C ratio",IF(ISNUMBER(BY81),IF(ABS(BY81-[1]QC_indicators!$B$1)&gt;3*[1]QC_indicators!$C$1,"DF","no"))),IF(ISNUMBER(BY81),IF(ABS(BY81-[1]QC_indicators!$B$1)&gt;3*[1]QC_indicators!$C$1,"DF","no")))</f>
        <v>no</v>
      </c>
      <c r="EQ81"/>
      <c r="ER81"/>
      <c r="ES81"/>
      <c r="ET81" s="266" t="s">
        <v>3409</v>
      </c>
      <c r="EU81"/>
    </row>
    <row r="82" spans="1:151" s="139" customFormat="1" ht="15" hidden="1" customHeight="1">
      <c r="A82" s="1" t="s">
        <v>1362</v>
      </c>
      <c r="B82" t="s">
        <v>2219</v>
      </c>
      <c r="C82" t="s">
        <v>2220</v>
      </c>
      <c r="D82" t="s">
        <v>2221</v>
      </c>
      <c r="E82" t="s">
        <v>2222</v>
      </c>
      <c r="F82" t="s">
        <v>2223</v>
      </c>
      <c r="G82" t="s">
        <v>1368</v>
      </c>
      <c r="H82" t="s">
        <v>255</v>
      </c>
      <c r="I82">
        <v>2009</v>
      </c>
      <c r="J82">
        <v>27</v>
      </c>
      <c r="K82" t="s">
        <v>2224</v>
      </c>
      <c r="L82"/>
      <c r="M82" t="str">
        <f>LEFT($D82,FIND(",",$D82)-1)&amp;"_"&amp;I82&amp;L82</f>
        <v>Raymer_2009</v>
      </c>
      <c r="N82" t="s">
        <v>223</v>
      </c>
      <c r="O82" s="145" t="s">
        <v>342</v>
      </c>
      <c r="P82"/>
      <c r="Q82" s="266" t="s">
        <v>257</v>
      </c>
      <c r="R82" s="271" t="s">
        <v>1156</v>
      </c>
      <c r="S82" s="1" t="s">
        <v>2225</v>
      </c>
      <c r="T82" t="s">
        <v>2226</v>
      </c>
      <c r="U82" t="s">
        <v>2230</v>
      </c>
      <c r="V82">
        <v>0</v>
      </c>
      <c r="W82">
        <v>0</v>
      </c>
      <c r="X82">
        <v>0</v>
      </c>
      <c r="Y82">
        <v>0</v>
      </c>
      <c r="Z82">
        <v>2</v>
      </c>
      <c r="AA82">
        <v>2</v>
      </c>
      <c r="AB82">
        <v>2</v>
      </c>
      <c r="AC82">
        <v>0</v>
      </c>
      <c r="AD82">
        <v>0</v>
      </c>
      <c r="AE82">
        <v>0</v>
      </c>
      <c r="AF82">
        <v>1</v>
      </c>
      <c r="AG82">
        <v>0</v>
      </c>
      <c r="AH82">
        <v>0</v>
      </c>
      <c r="AI82">
        <v>0</v>
      </c>
      <c r="AJ82">
        <v>2</v>
      </c>
      <c r="AK82">
        <v>0</v>
      </c>
      <c r="AL82">
        <v>0</v>
      </c>
      <c r="AM82">
        <v>0</v>
      </c>
      <c r="AN82">
        <v>0</v>
      </c>
      <c r="AO82">
        <v>0</v>
      </c>
      <c r="AP82">
        <v>0</v>
      </c>
      <c r="AQ82">
        <v>0</v>
      </c>
      <c r="AR82">
        <v>0</v>
      </c>
      <c r="AS82">
        <v>0</v>
      </c>
      <c r="AT82">
        <v>0</v>
      </c>
      <c r="AU82">
        <v>0</v>
      </c>
      <c r="AV82">
        <v>1</v>
      </c>
      <c r="AW82">
        <v>0</v>
      </c>
      <c r="AX82" s="141">
        <f>COUNTIF(V82:AW82,"&lt;&gt;0")</f>
        <v>6</v>
      </c>
      <c r="AY82" s="141">
        <f>COUNTIF(V82:AL82,"&lt;&gt;0")</f>
        <v>5</v>
      </c>
      <c r="AZ82">
        <f>COUNTIF(V82:AC82,"&lt;&gt;0")</f>
        <v>3</v>
      </c>
      <c r="BA82">
        <f>COUNTIF(AD82:AI82,"&lt;&gt;0")</f>
        <v>1</v>
      </c>
      <c r="BB82">
        <f>COUNTIF(AJ82:AL82,"&lt;&gt;0")</f>
        <v>1</v>
      </c>
      <c r="BC82">
        <f>COUNTIF(AS82:AW82,"&lt;&gt;0")</f>
        <v>1</v>
      </c>
      <c r="BD82">
        <f>COUNTIF(AM82:AR82,"&lt;&gt;0")</f>
        <v>0</v>
      </c>
      <c r="BE82" t="str" cm="1">
        <f t="array" ref="BE82">IF(AY82=1,INDEX($V$7:$AL$7,MATCH(TRUE,INDEX($V82:$AW82&lt;&gt;0,),0)),IF(AY82=0,INDEX($AM$7:$AW$7,MATCH(1,$AM82:$AW82,0)),IF(BF82="Multiple strategies","mixed drivers",IF(BF82="Supply chain","multiple supply","multiple silviculture"))))</f>
        <v>mixed drivers</v>
      </c>
      <c r="BF82" s="2" t="str" cm="1">
        <f t="array" ref="BF82">IF(COUNTIF(AZ82:BB82,"&lt;&gt;0")=1,INDEX($V$4:$AW$4,MATCH(TRUE,INDEX($V82:$AW82&lt;&gt;0,),0)),IF(COUNTIF(AZ82:BB82,"&lt;&gt;0")=0,INDEX($AM$4:$AW$4,MATCH(1,$AM82:$AW82,0)),"Multiple strategies"))</f>
        <v>Multiple strategies</v>
      </c>
      <c r="BG82" s="1" t="s">
        <v>322</v>
      </c>
      <c r="BH82" t="s">
        <v>2228</v>
      </c>
      <c r="BI82"/>
      <c r="BJ82" t="s">
        <v>1357</v>
      </c>
      <c r="BK82">
        <v>150</v>
      </c>
      <c r="BL82">
        <v>207.6</v>
      </c>
      <c r="BM82"/>
      <c r="BN82">
        <f>BL82-BK82</f>
        <v>57.599999999999994</v>
      </c>
      <c r="BO82">
        <f>BN82*10^6</f>
        <v>57599999.999999993</v>
      </c>
      <c r="BP82" t="s">
        <v>233</v>
      </c>
      <c r="BQ82"/>
      <c r="BR82" t="s">
        <v>1142</v>
      </c>
      <c r="BS82">
        <v>1.5</v>
      </c>
      <c r="BT82">
        <v>2.4</v>
      </c>
      <c r="BU82" s="144">
        <f>IFERROR(BT82/BS82,"")</f>
        <v>1.5999999999999999</v>
      </c>
      <c r="BV82">
        <f>BT82-BS82</f>
        <v>0.89999999999999991</v>
      </c>
      <c r="BW82"/>
      <c r="BX82">
        <f>BV82*10^6</f>
        <v>899999.99999999988</v>
      </c>
      <c r="BY82">
        <f>IFERROR(BX82/BO82,"")</f>
        <v>1.5625E-2</v>
      </c>
      <c r="BZ82">
        <v>0</v>
      </c>
      <c r="CA82">
        <v>0</v>
      </c>
      <c r="CB82">
        <v>0</v>
      </c>
      <c r="CC82">
        <v>0</v>
      </c>
      <c r="CD82">
        <v>0</v>
      </c>
      <c r="CE82">
        <v>0</v>
      </c>
      <c r="CF82">
        <v>0</v>
      </c>
      <c r="CG82">
        <v>0</v>
      </c>
      <c r="CH82">
        <v>0</v>
      </c>
      <c r="CI82">
        <v>0</v>
      </c>
      <c r="CJ82">
        <v>0</v>
      </c>
      <c r="CK82">
        <v>0</v>
      </c>
      <c r="CL82">
        <v>0</v>
      </c>
      <c r="CM82">
        <v>1</v>
      </c>
      <c r="CN82" t="str">
        <f>IF($BL82&lt;$BK82,"refNeedCorrection","refOK")</f>
        <v>refOK</v>
      </c>
      <c r="CO82">
        <f>IF($CN82="refOK",$BK82,$BL82)</f>
        <v>150</v>
      </c>
      <c r="CP82">
        <f>IF($CN82="refOK",$BL82,$BK82)</f>
        <v>207.6</v>
      </c>
      <c r="CQ82">
        <f>IF($CN82="refOK",$BO82,-$BO82)</f>
        <v>57599999.999999993</v>
      </c>
      <c r="CR82">
        <f>IF($CN82="refOK",$BS82,$BT82)*IF($BP82="Emissions positive",-1,1)</f>
        <v>1.5</v>
      </c>
      <c r="CS82">
        <f>IF($CN82="refOK",$BT82,$BS82)*IF($BP82="Emissions positive",-1,1)</f>
        <v>2.4</v>
      </c>
      <c r="CT82">
        <f>IF($CN82="refNeedCorrection",-BX82,BX82)*IF($BP82="Emissions positive",-1,1)</f>
        <v>899999.99999999988</v>
      </c>
      <c r="CU82">
        <f>IFERROR(CT82/CQ82,"")</f>
        <v>1.5625E-2</v>
      </c>
      <c r="CV82" s="2">
        <f>IFERROR((CS82-CR82)/ABS(CR82),"")</f>
        <v>0.6</v>
      </c>
      <c r="CW82" s="1" t="s">
        <v>1201</v>
      </c>
      <c r="CX82" s="266" t="str">
        <f>IF(OR($CW82="prd",$CW82="std",$CW82="cit"),"loc",IF(OR($CW82="eur",$CW82="reg",$CW82="coy"),"reg",$CW82))</f>
        <v>reg</v>
      </c>
      <c r="CY82" t="s">
        <v>265</v>
      </c>
      <c r="CZ82"/>
      <c r="DA82"/>
      <c r="DB82">
        <v>120</v>
      </c>
      <c r="DC82" t="str">
        <f>IF(DB82=0,"0",IF(AND(DB82&gt;=1,DB82&lt;=30),"1-30",IF(AND(DB82&gt;30,DB82&lt;=70),"31-70",IF(AND(DB82&gt;70,DB82&lt;=100),"71-100",IF(DB82&gt;100,"+100")))))</f>
        <v>+100</v>
      </c>
      <c r="DD82">
        <v>0</v>
      </c>
      <c r="DE82">
        <v>1</v>
      </c>
      <c r="DF82">
        <v>1</v>
      </c>
      <c r="DG82">
        <v>1</v>
      </c>
      <c r="DH82"/>
      <c r="DI82">
        <f>SUM(DD82:DG82)</f>
        <v>3</v>
      </c>
      <c r="DJ82" t="str">
        <f>IF(DI82=1,INDEX($DD$7:$DG$7,MATCH(1,$DD82:$DG82,0)),"mixedProduct")</f>
        <v>mixedProduct</v>
      </c>
      <c r="DK82">
        <f>IF(DD82=1,DK$7,0)</f>
        <v>0</v>
      </c>
      <c r="DL82" t="str">
        <f>IF(DE82=1,DL$7,0)</f>
        <v>Energy</v>
      </c>
      <c r="DM82" t="str">
        <f>IF(DF82=1,DM$7,0)</f>
        <v>Pulp/Paper</v>
      </c>
      <c r="DN82" t="str">
        <f>IF(DG82=1,DN$7,0)</f>
        <v>Timber</v>
      </c>
      <c r="DO82">
        <v>1</v>
      </c>
      <c r="DP82">
        <v>0</v>
      </c>
      <c r="DQ82">
        <v>0</v>
      </c>
      <c r="DR82">
        <v>0</v>
      </c>
      <c r="DS82">
        <v>0</v>
      </c>
      <c r="DT82">
        <f>SUM(DO82:DP82)</f>
        <v>1</v>
      </c>
      <c r="DU82" s="143" t="str">
        <f>IF(DO82=1,"self-calculated DF",IF(DP82=1,"external DF used","explicit C balance"))</f>
        <v>self-calculated DF</v>
      </c>
      <c r="DV82">
        <v>1</v>
      </c>
      <c r="DW82">
        <v>1</v>
      </c>
      <c r="DX82">
        <v>1</v>
      </c>
      <c r="DY82">
        <v>1</v>
      </c>
      <c r="DZ82">
        <v>1</v>
      </c>
      <c r="EA82">
        <v>1</v>
      </c>
      <c r="EB82">
        <v>1</v>
      </c>
      <c r="EC82">
        <v>1</v>
      </c>
      <c r="ED82">
        <v>0</v>
      </c>
      <c r="EE82">
        <v>0</v>
      </c>
      <c r="EF82">
        <v>1</v>
      </c>
      <c r="EG82">
        <v>0</v>
      </c>
      <c r="EH82">
        <v>0</v>
      </c>
      <c r="EI82" s="2">
        <v>0</v>
      </c>
      <c r="EJ82" s="1"/>
      <c r="EK82" t="str">
        <f>IF(AND(AND(AND(OR($DX82=1,$DW82=1),OR($EC82=1,$EA82=1)),SUM($DV82:$DZ82,$EF82)&gt;=4),SUM($EA82:$EE82)&gt;=2),"Whole sector","")</f>
        <v>Whole sector</v>
      </c>
      <c r="EL82" t="str">
        <f>IF(AND(AND(OR($DX82=1,$DW82=1),AND($EC82=0,$EA82=0)),SUM($DV82:$DZ82,$EF82)&gt;=4),"Ecosystem approach","")</f>
        <v/>
      </c>
      <c r="EM82" s="2" t="str">
        <f>IF(AND(AND(AND($DX82=0,$DW82=0),OR($EC82=1,$EA82=1)),SUM($EB82:$EE82)&gt;=2),"Technology approach","")</f>
        <v/>
      </c>
      <c r="EN82"/>
      <c r="EO82"/>
      <c r="EP82" t="str">
        <f>IF(ISNUMBER(BU82),IF(ABS(BU82-[1]QC_indicators!$B$2)&gt;3*[1]QC_indicators!$C$2,"C ratio",IF(ISNUMBER(BY82),IF(ABS(BY82-[1]QC_indicators!$B$1)&gt;3*[1]QC_indicators!$C$1,"DF","no"))),IF(ISNUMBER(BY82),IF(ABS(BY82-[1]QC_indicators!$B$1)&gt;3*[1]QC_indicators!$C$1,"DF","no")))</f>
        <v>no</v>
      </c>
      <c r="EQ82"/>
      <c r="ER82"/>
      <c r="ES82"/>
      <c r="ET82" s="266" t="s">
        <v>3409</v>
      </c>
      <c r="EU82"/>
    </row>
    <row r="83" spans="1:151" s="139" customFormat="1" ht="15" hidden="1" customHeight="1">
      <c r="A83" s="1" t="s">
        <v>1638</v>
      </c>
      <c r="B83" t="s">
        <v>1639</v>
      </c>
      <c r="C83" t="s">
        <v>1640</v>
      </c>
      <c r="D83" t="s">
        <v>1641</v>
      </c>
      <c r="E83" t="s">
        <v>1642</v>
      </c>
      <c r="F83" t="s">
        <v>1643</v>
      </c>
      <c r="G83" t="s">
        <v>1644</v>
      </c>
      <c r="H83" t="s">
        <v>255</v>
      </c>
      <c r="I83">
        <v>2022</v>
      </c>
      <c r="J83">
        <v>0</v>
      </c>
      <c r="K83" t="s">
        <v>1645</v>
      </c>
      <c r="L83"/>
      <c r="M83" t="str">
        <f>LEFT($D83,FIND(",",$D83)-1)&amp;"_"&amp;I83&amp;L83</f>
        <v>Gregor_2022</v>
      </c>
      <c r="N83" t="s">
        <v>223</v>
      </c>
      <c r="O83" s="161" t="s">
        <v>224</v>
      </c>
      <c r="P83"/>
      <c r="Q83" s="266" t="s">
        <v>390</v>
      </c>
      <c r="R83" s="271" t="s">
        <v>1156</v>
      </c>
      <c r="S83" s="154" t="s">
        <v>1646</v>
      </c>
      <c r="T83" s="296" t="s">
        <v>1648</v>
      </c>
      <c r="U83" s="266" t="s">
        <v>1655</v>
      </c>
      <c r="V83">
        <v>0</v>
      </c>
      <c r="W83">
        <v>0</v>
      </c>
      <c r="X83">
        <v>0</v>
      </c>
      <c r="Y83">
        <v>0</v>
      </c>
      <c r="Z83">
        <v>1</v>
      </c>
      <c r="AA83">
        <v>0</v>
      </c>
      <c r="AB83">
        <v>0</v>
      </c>
      <c r="AC83">
        <v>0</v>
      </c>
      <c r="AD83">
        <v>0</v>
      </c>
      <c r="AE83">
        <v>0</v>
      </c>
      <c r="AF83">
        <v>2</v>
      </c>
      <c r="AG83">
        <v>0</v>
      </c>
      <c r="AH83">
        <v>0</v>
      </c>
      <c r="AI83">
        <v>0</v>
      </c>
      <c r="AJ83">
        <v>0</v>
      </c>
      <c r="AK83">
        <v>0</v>
      </c>
      <c r="AL83">
        <v>0</v>
      </c>
      <c r="AM83">
        <v>0</v>
      </c>
      <c r="AN83">
        <v>2</v>
      </c>
      <c r="AO83">
        <v>2</v>
      </c>
      <c r="AP83">
        <v>2</v>
      </c>
      <c r="AQ83">
        <v>2</v>
      </c>
      <c r="AR83">
        <v>0</v>
      </c>
      <c r="AS83">
        <v>0</v>
      </c>
      <c r="AT83">
        <v>0</v>
      </c>
      <c r="AU83">
        <v>0</v>
      </c>
      <c r="AV83">
        <v>0</v>
      </c>
      <c r="AW83">
        <v>0</v>
      </c>
      <c r="AX83" s="141">
        <f>COUNTIF(V83:AW83,"&lt;&gt;0")</f>
        <v>6</v>
      </c>
      <c r="AY83" s="141">
        <f>COUNTIF(V83:AL83,"&lt;&gt;0")</f>
        <v>2</v>
      </c>
      <c r="AZ83">
        <f>COUNTIF(V83:AC83,"&lt;&gt;0")</f>
        <v>1</v>
      </c>
      <c r="BA83">
        <f>COUNTIF(AD83:AI83,"&lt;&gt;0")</f>
        <v>1</v>
      </c>
      <c r="BB83">
        <f>COUNTIF(AJ83:AL83,"&lt;&gt;0")</f>
        <v>0</v>
      </c>
      <c r="BC83">
        <f>COUNTIF(AS83:AW83,"&lt;&gt;0")</f>
        <v>0</v>
      </c>
      <c r="BD83">
        <f>COUNTIF(AM83:AR83,"&lt;&gt;0")</f>
        <v>4</v>
      </c>
      <c r="BE83" t="str" cm="1">
        <f t="array" ref="BE83">IF(AY83=1,INDEX($V$7:$AL$7,MATCH(TRUE,INDEX($V83:$AW83&lt;&gt;0,),0)),IF(AY83=0,INDEX($AM$7:$AW$7,MATCH(1,$AM83:$AW83,0)),IF(BF83="Multiple strategies","mixed drivers",IF(BF83="Supply chain","multiple supply","multiple silviculture"))))</f>
        <v>mixed drivers</v>
      </c>
      <c r="BF83" s="2" t="str" cm="1">
        <f t="array" ref="BF83">IF(COUNTIF(AZ83:BB83,"&lt;&gt;0")=1,INDEX($V$4:$AW$4,MATCH(TRUE,INDEX($V83:$AW83&lt;&gt;0,),0)),IF(COUNTIF(AZ83:BB83,"&lt;&gt;0")=0,INDEX($AM$4:$AW$4,MATCH(1,$AM83:$AW83,0)),"Multiple strategies"))</f>
        <v>Multiple strategies</v>
      </c>
      <c r="BG83" s="1" t="s">
        <v>322</v>
      </c>
      <c r="BH83" s="266" t="s">
        <v>1649</v>
      </c>
      <c r="BI83" s="266" t="s">
        <v>690</v>
      </c>
      <c r="BJ83" s="266" t="s">
        <v>1650</v>
      </c>
      <c r="BK83">
        <f>2.99*(2115-2020)</f>
        <v>284.05</v>
      </c>
      <c r="BL83">
        <f>3.2*(2115-2020)</f>
        <v>304</v>
      </c>
      <c r="BM83"/>
      <c r="BN83">
        <f>BL83-BK83</f>
        <v>19.949999999999989</v>
      </c>
      <c r="BO83">
        <f>BL83-BK83</f>
        <v>19.949999999999989</v>
      </c>
      <c r="BP83" s="266" t="s">
        <v>233</v>
      </c>
      <c r="BQ83" s="266" t="s">
        <v>1651</v>
      </c>
      <c r="BR83" s="266" t="s">
        <v>1652</v>
      </c>
      <c r="BS83" s="266">
        <f>1.7*10000</f>
        <v>17000</v>
      </c>
      <c r="BT83" s="266">
        <f>1.7*10000</f>
        <v>17000</v>
      </c>
      <c r="BU83"/>
      <c r="BV83">
        <f>BT83-BS83</f>
        <v>0</v>
      </c>
      <c r="BW83"/>
      <c r="BX83">
        <f>BV83/1000*C_to_CO2</f>
        <v>0</v>
      </c>
      <c r="BY83">
        <f>IFERROR(BX83/BO83,"")</f>
        <v>0</v>
      </c>
      <c r="BZ83">
        <v>0</v>
      </c>
      <c r="CA83">
        <v>0</v>
      </c>
      <c r="CB83">
        <v>0</v>
      </c>
      <c r="CC83">
        <v>0</v>
      </c>
      <c r="CD83">
        <v>0</v>
      </c>
      <c r="CE83">
        <v>0</v>
      </c>
      <c r="CF83">
        <v>0</v>
      </c>
      <c r="CG83">
        <v>0</v>
      </c>
      <c r="CH83">
        <v>0</v>
      </c>
      <c r="CI83">
        <v>0</v>
      </c>
      <c r="CJ83">
        <v>0</v>
      </c>
      <c r="CK83">
        <v>0</v>
      </c>
      <c r="CL83">
        <v>0</v>
      </c>
      <c r="CM83">
        <v>0</v>
      </c>
      <c r="CN83" t="str">
        <f>IF($BL83&lt;$BK83,"refNeedCorrection","refOK")</f>
        <v>refOK</v>
      </c>
      <c r="CO83">
        <f>IF($CN83="refOK",$BK83,$BL83)</f>
        <v>284.05</v>
      </c>
      <c r="CP83">
        <f>IF($CN83="refOK",$BL83,$BK83)</f>
        <v>304</v>
      </c>
      <c r="CQ83">
        <f>IF($CN83="refOK",$BO83,-$BO83)</f>
        <v>19.949999999999989</v>
      </c>
      <c r="CR83">
        <f>IF($CN83="refOK",$BS83,$BT83)*IF($BP83="Emissions positive",-1,1)</f>
        <v>17000</v>
      </c>
      <c r="CS83">
        <f>IF($CN83="refOK",$BT83,$BS83)*IF($BP83="Emissions positive",-1,1)</f>
        <v>17000</v>
      </c>
      <c r="CT83">
        <f>IF($CN83="refNeedCorrection",-BX83,BX83)*IF($BP83="Emissions positive",-1,1)</f>
        <v>0</v>
      </c>
      <c r="CU83">
        <f>IFERROR(CT83/CQ83,"")</f>
        <v>0</v>
      </c>
      <c r="CV83" s="2">
        <f>IFERROR((CS83-CR83)/ABS(CR83),"")</f>
        <v>0</v>
      </c>
      <c r="CW83" s="162" t="s">
        <v>1464</v>
      </c>
      <c r="CX83" s="266" t="str">
        <f>IF(OR($CW83="prd",$CW83="std",$CW83="cit"),"loc",IF(OR($CW83="eur",$CW83="reg",$CW83="coy"),"reg",$CW83))</f>
        <v>reg</v>
      </c>
      <c r="CY83" s="155" t="s">
        <v>745</v>
      </c>
      <c r="CZ83">
        <v>2010</v>
      </c>
      <c r="DA83">
        <v>2115</v>
      </c>
      <c r="DB83">
        <f>DA83-CZ83</f>
        <v>105</v>
      </c>
      <c r="DC83" t="str">
        <f>IF(DB83=0,"0",IF(AND(DB83&gt;=1,DB83&lt;=30),"1-30",IF(AND(DB83&gt;30,DB83&lt;=70),"31-70",IF(AND(DB83&gt;70,DB83&lt;=100),"71-100",IF(DB83&gt;100,"+100")))))</f>
        <v>+100</v>
      </c>
      <c r="DD83">
        <v>0</v>
      </c>
      <c r="DE83">
        <v>1</v>
      </c>
      <c r="DF83">
        <v>1</v>
      </c>
      <c r="DG83">
        <v>1</v>
      </c>
      <c r="DH83">
        <v>0</v>
      </c>
      <c r="DI83">
        <f>SUM(DD83:DG83)</f>
        <v>3</v>
      </c>
      <c r="DJ83" t="str">
        <f>IF(DI83=1,INDEX($DD$7:$DG$7,MATCH(1,$DD83:$DG83,0)),"mixedProduct")</f>
        <v>mixedProduct</v>
      </c>
      <c r="DK83">
        <f>IF(DD83=1,DK$7,0)</f>
        <v>0</v>
      </c>
      <c r="DL83" t="str">
        <f>IF(DE83=1,DL$7,0)</f>
        <v>Energy</v>
      </c>
      <c r="DM83" t="str">
        <f>IF(DF83=1,DM$7,0)</f>
        <v>Pulp/Paper</v>
      </c>
      <c r="DN83" t="str">
        <f>IF(DG83=1,DN$7,0)</f>
        <v>Timber</v>
      </c>
      <c r="DO83">
        <v>0</v>
      </c>
      <c r="DP83">
        <v>1</v>
      </c>
      <c r="DQ83" s="266" t="s">
        <v>1653</v>
      </c>
      <c r="DR83" s="266" t="s">
        <v>1653</v>
      </c>
      <c r="DS83" s="266" t="s">
        <v>1653</v>
      </c>
      <c r="DT83">
        <f>SUM(DO83:DP83)</f>
        <v>1</v>
      </c>
      <c r="DU83" s="143" t="str">
        <f>IF(DO83=1,"self-calculated DF",IF(DP83=1,"external DF used","explicit C balance"))</f>
        <v>external DF used</v>
      </c>
      <c r="DV83">
        <v>1</v>
      </c>
      <c r="DW83">
        <v>1</v>
      </c>
      <c r="DX83">
        <v>1</v>
      </c>
      <c r="DY83">
        <v>1</v>
      </c>
      <c r="DZ83">
        <v>1</v>
      </c>
      <c r="EA83">
        <v>1</v>
      </c>
      <c r="EB83">
        <v>1</v>
      </c>
      <c r="EC83">
        <v>1</v>
      </c>
      <c r="ED83">
        <v>0</v>
      </c>
      <c r="EE83">
        <v>0</v>
      </c>
      <c r="EF83">
        <v>1</v>
      </c>
      <c r="EG83">
        <v>0</v>
      </c>
      <c r="EH83">
        <v>1</v>
      </c>
      <c r="EI83" s="2">
        <v>0</v>
      </c>
      <c r="EJ83" s="1"/>
      <c r="EK83" t="str">
        <f>IF(AND(AND(AND(OR($DX83=1,$DW83=1),OR($EC83=1,$EA83=1)),SUM($DV83:$DZ83,$EF83)&gt;=4),SUM($EA83:$EE83)&gt;=2),"Whole sector","")</f>
        <v>Whole sector</v>
      </c>
      <c r="EL83" t="str">
        <f>IF(AND(AND(OR($DX83=1,$DW83=1),AND($EC83=0,$EA83=0)),SUM($DV83:$DZ83,$EF83)&gt;=4),"Ecosystem approach","")</f>
        <v/>
      </c>
      <c r="EM83" s="2" t="str">
        <f>IF(AND(AND(AND($DX83=0,$DW83=0),OR($EC83=1,$EA83=1)),SUM($EB83:$EE83)&gt;=2),"Technology approach","")</f>
        <v/>
      </c>
      <c r="EN83"/>
      <c r="EO83"/>
      <c r="EP83" t="str">
        <f>IF(ISNUMBER(BU83),IF(ABS(BU83-[1]QC_indicators!$B$2)&gt;3*[1]QC_indicators!$C$2,"C ratio",IF(ISNUMBER(BY83),IF(ABS(BY83-[1]QC_indicators!$B$1)&gt;3*[1]QC_indicators!$C$1,"DF","no"))),IF(ISNUMBER(BY83),IF(ABS(BY83-[1]QC_indicators!$B$1)&gt;3*[1]QC_indicators!$C$1,"DF","no")))</f>
        <v>no</v>
      </c>
      <c r="EQ83"/>
      <c r="ER83"/>
      <c r="ES83"/>
      <c r="ET83" s="266" t="s">
        <v>3409</v>
      </c>
      <c r="EU83"/>
    </row>
    <row r="84" spans="1:151" s="139" customFormat="1" ht="15" hidden="1" customHeight="1">
      <c r="A84" s="1" t="s">
        <v>1638</v>
      </c>
      <c r="B84" t="s">
        <v>1639</v>
      </c>
      <c r="C84" t="s">
        <v>1640</v>
      </c>
      <c r="D84" t="s">
        <v>1641</v>
      </c>
      <c r="E84" t="s">
        <v>1642</v>
      </c>
      <c r="F84" t="s">
        <v>1643</v>
      </c>
      <c r="G84" t="s">
        <v>1644</v>
      </c>
      <c r="H84" t="s">
        <v>255</v>
      </c>
      <c r="I84">
        <v>2022</v>
      </c>
      <c r="J84">
        <v>0</v>
      </c>
      <c r="K84" t="s">
        <v>1645</v>
      </c>
      <c r="L84"/>
      <c r="M84" t="str">
        <f>LEFT($D84,FIND(",",$D84)-1)&amp;"_"&amp;I84&amp;L84</f>
        <v>Gregor_2022</v>
      </c>
      <c r="N84" t="s">
        <v>223</v>
      </c>
      <c r="O84" s="161" t="s">
        <v>224</v>
      </c>
      <c r="P84"/>
      <c r="Q84" s="266" t="s">
        <v>390</v>
      </c>
      <c r="R84" s="271" t="s">
        <v>1156</v>
      </c>
      <c r="S84" s="154" t="s">
        <v>1646</v>
      </c>
      <c r="T84" s="296" t="s">
        <v>1656</v>
      </c>
      <c r="U84" s="266" t="s">
        <v>1648</v>
      </c>
      <c r="V84">
        <v>0</v>
      </c>
      <c r="W84">
        <v>0</v>
      </c>
      <c r="X84">
        <v>0</v>
      </c>
      <c r="Y84">
        <v>0</v>
      </c>
      <c r="Z84">
        <v>1</v>
      </c>
      <c r="AA84">
        <v>0</v>
      </c>
      <c r="AB84">
        <v>0</v>
      </c>
      <c r="AC84">
        <v>0</v>
      </c>
      <c r="AD84">
        <v>0</v>
      </c>
      <c r="AE84">
        <v>0</v>
      </c>
      <c r="AF84">
        <v>2</v>
      </c>
      <c r="AG84">
        <v>0</v>
      </c>
      <c r="AH84">
        <v>0</v>
      </c>
      <c r="AI84">
        <v>0</v>
      </c>
      <c r="AJ84">
        <v>0</v>
      </c>
      <c r="AK84">
        <v>0</v>
      </c>
      <c r="AL84">
        <v>0</v>
      </c>
      <c r="AM84">
        <v>0</v>
      </c>
      <c r="AN84">
        <v>2</v>
      </c>
      <c r="AO84">
        <v>2</v>
      </c>
      <c r="AP84">
        <v>2</v>
      </c>
      <c r="AQ84">
        <v>2</v>
      </c>
      <c r="AR84">
        <v>0</v>
      </c>
      <c r="AS84">
        <v>0</v>
      </c>
      <c r="AT84">
        <v>0</v>
      </c>
      <c r="AU84">
        <v>0</v>
      </c>
      <c r="AV84">
        <v>0</v>
      </c>
      <c r="AW84">
        <v>0</v>
      </c>
      <c r="AX84" s="141">
        <f>COUNTIF(V84:AW84,"&lt;&gt;0")</f>
        <v>6</v>
      </c>
      <c r="AY84" s="141">
        <f>COUNTIF(V84:AL84,"&lt;&gt;0")</f>
        <v>2</v>
      </c>
      <c r="AZ84">
        <f>COUNTIF(V84:AC84,"&lt;&gt;0")</f>
        <v>1</v>
      </c>
      <c r="BA84">
        <f>COUNTIF(AD84:AI84,"&lt;&gt;0")</f>
        <v>1</v>
      </c>
      <c r="BB84">
        <f>COUNTIF(AJ84:AL84,"&lt;&gt;0")</f>
        <v>0</v>
      </c>
      <c r="BC84">
        <f>COUNTIF(AS84:AW84,"&lt;&gt;0")</f>
        <v>0</v>
      </c>
      <c r="BD84">
        <f>COUNTIF(AM84:AR84,"&lt;&gt;0")</f>
        <v>4</v>
      </c>
      <c r="BE84" t="str" cm="1">
        <f t="array" ref="BE84">IF(AY84=1,INDEX($V$7:$AL$7,MATCH(TRUE,INDEX($V84:$AW84&lt;&gt;0,),0)),IF(AY84=0,INDEX($AM$7:$AW$7,MATCH(1,$AM84:$AW84,0)),IF(BF84="Multiple strategies","mixed drivers",IF(BF84="Supply chain","multiple supply","multiple silviculture"))))</f>
        <v>mixed drivers</v>
      </c>
      <c r="BF84" s="2" t="str" cm="1">
        <f t="array" ref="BF84">IF(COUNTIF(AZ84:BB84,"&lt;&gt;0")=1,INDEX($V$4:$AW$4,MATCH(TRUE,INDEX($V84:$AW84&lt;&gt;0,),0)),IF(COUNTIF(AZ84:BB84,"&lt;&gt;0")=0,INDEX($AM$4:$AW$4,MATCH(1,$AM84:$AW84,0)),"Multiple strategies"))</f>
        <v>Multiple strategies</v>
      </c>
      <c r="BG84" s="1" t="s">
        <v>322</v>
      </c>
      <c r="BH84" s="266" t="s">
        <v>1649</v>
      </c>
      <c r="BI84" s="266" t="s">
        <v>690</v>
      </c>
      <c r="BJ84" s="266" t="s">
        <v>1650</v>
      </c>
      <c r="BK84">
        <f>0.78*(2115-2020)</f>
        <v>74.100000000000009</v>
      </c>
      <c r="BL84">
        <f>2.99*(2115-2020)</f>
        <v>284.05</v>
      </c>
      <c r="BM84"/>
      <c r="BN84">
        <f>BL84-BK84</f>
        <v>209.95</v>
      </c>
      <c r="BO84">
        <f>BL84-BK84</f>
        <v>209.95</v>
      </c>
      <c r="BP84" s="266" t="s">
        <v>233</v>
      </c>
      <c r="BQ84" s="266" t="s">
        <v>1651</v>
      </c>
      <c r="BR84" s="266" t="s">
        <v>1652</v>
      </c>
      <c r="BS84" s="266">
        <f>0.5*10000</f>
        <v>5000</v>
      </c>
      <c r="BT84" s="266">
        <f>1.7*10000</f>
        <v>17000</v>
      </c>
      <c r="BU84"/>
      <c r="BV84">
        <f>BT84-BS84</f>
        <v>12000</v>
      </c>
      <c r="BW84"/>
      <c r="BX84">
        <f>BV84/1000*C_to_CO2</f>
        <v>44.04</v>
      </c>
      <c r="BY84">
        <f>IFERROR(BX84/BO84,"")</f>
        <v>0.20976422957847107</v>
      </c>
      <c r="BZ84">
        <v>0</v>
      </c>
      <c r="CA84">
        <v>0</v>
      </c>
      <c r="CB84">
        <v>0</v>
      </c>
      <c r="CC84">
        <v>0</v>
      </c>
      <c r="CD84">
        <v>0</v>
      </c>
      <c r="CE84">
        <v>0</v>
      </c>
      <c r="CF84">
        <v>0</v>
      </c>
      <c r="CG84">
        <v>0</v>
      </c>
      <c r="CH84">
        <v>0</v>
      </c>
      <c r="CI84">
        <v>0</v>
      </c>
      <c r="CJ84">
        <v>0</v>
      </c>
      <c r="CK84">
        <v>0</v>
      </c>
      <c r="CL84">
        <v>0</v>
      </c>
      <c r="CM84">
        <v>0</v>
      </c>
      <c r="CN84" t="str">
        <f>IF($BL84&lt;$BK84,"refNeedCorrection","refOK")</f>
        <v>refOK</v>
      </c>
      <c r="CO84">
        <f>IF($CN84="refOK",$BK84,$BL84)</f>
        <v>74.100000000000009</v>
      </c>
      <c r="CP84">
        <f>IF($CN84="refOK",$BL84,$BK84)</f>
        <v>284.05</v>
      </c>
      <c r="CQ84">
        <f>IF($CN84="refOK",$BO84,-$BO84)</f>
        <v>209.95</v>
      </c>
      <c r="CR84">
        <f>IF($CN84="refOK",$BS84,$BT84)*IF($BP84="Emissions positive",-1,1)</f>
        <v>5000</v>
      </c>
      <c r="CS84">
        <f>IF($CN84="refOK",$BT84,$BS84)*IF($BP84="Emissions positive",-1,1)</f>
        <v>17000</v>
      </c>
      <c r="CT84">
        <f>IF($CN84="refNeedCorrection",-BX84,BX84)*IF($BP84="Emissions positive",-1,1)</f>
        <v>44.04</v>
      </c>
      <c r="CU84">
        <f>IFERROR(CT84/CQ84,"")</f>
        <v>0.20976422957847107</v>
      </c>
      <c r="CV84" s="2">
        <f>IFERROR((CS84-CR84)/ABS(CR84),"")</f>
        <v>2.4</v>
      </c>
      <c r="CW84" s="162" t="s">
        <v>1464</v>
      </c>
      <c r="CX84" s="266" t="str">
        <f>IF(OR($CW84="prd",$CW84="std",$CW84="cit"),"loc",IF(OR($CW84="eur",$CW84="reg",$CW84="coy"),"reg",$CW84))</f>
        <v>reg</v>
      </c>
      <c r="CY84" s="155" t="s">
        <v>745</v>
      </c>
      <c r="CZ84">
        <v>2010</v>
      </c>
      <c r="DA84">
        <v>2115</v>
      </c>
      <c r="DB84">
        <f>DA84-CZ84</f>
        <v>105</v>
      </c>
      <c r="DC84" t="str">
        <f>IF(DB84=0,"0",IF(AND(DB84&gt;=1,DB84&lt;=30),"1-30",IF(AND(DB84&gt;30,DB84&lt;=70),"31-70",IF(AND(DB84&gt;70,DB84&lt;=100),"71-100",IF(DB84&gt;100,"+100")))))</f>
        <v>+100</v>
      </c>
      <c r="DD84">
        <v>0</v>
      </c>
      <c r="DE84">
        <v>1</v>
      </c>
      <c r="DF84">
        <v>1</v>
      </c>
      <c r="DG84">
        <v>1</v>
      </c>
      <c r="DH84">
        <v>0</v>
      </c>
      <c r="DI84">
        <f>SUM(DD84:DG84)</f>
        <v>3</v>
      </c>
      <c r="DJ84" t="str">
        <f>IF(DI84=1,INDEX($DD$7:$DG$7,MATCH(1,$DD84:$DG84,0)),"mixedProduct")</f>
        <v>mixedProduct</v>
      </c>
      <c r="DK84">
        <f>IF(DD84=1,DK$7,0)</f>
        <v>0</v>
      </c>
      <c r="DL84" t="str">
        <f>IF(DE84=1,DL$7,0)</f>
        <v>Energy</v>
      </c>
      <c r="DM84" t="str">
        <f>IF(DF84=1,DM$7,0)</f>
        <v>Pulp/Paper</v>
      </c>
      <c r="DN84" t="str">
        <f>IF(DG84=1,DN$7,0)</f>
        <v>Timber</v>
      </c>
      <c r="DO84">
        <v>0</v>
      </c>
      <c r="DP84">
        <v>1</v>
      </c>
      <c r="DQ84" s="266" t="s">
        <v>1653</v>
      </c>
      <c r="DR84" s="266" t="s">
        <v>1653</v>
      </c>
      <c r="DS84" s="266" t="s">
        <v>1653</v>
      </c>
      <c r="DT84">
        <f>SUM(DO84:DP84)</f>
        <v>1</v>
      </c>
      <c r="DU84" s="143" t="str">
        <f>IF(DO84=1,"self-calculated DF",IF(DP84=1,"external DF used","explicit C balance"))</f>
        <v>external DF used</v>
      </c>
      <c r="DV84">
        <v>1</v>
      </c>
      <c r="DW84">
        <v>1</v>
      </c>
      <c r="DX84">
        <v>1</v>
      </c>
      <c r="DY84">
        <v>1</v>
      </c>
      <c r="DZ84">
        <v>1</v>
      </c>
      <c r="EA84">
        <v>1</v>
      </c>
      <c r="EB84">
        <v>1</v>
      </c>
      <c r="EC84">
        <v>1</v>
      </c>
      <c r="ED84">
        <v>0</v>
      </c>
      <c r="EE84">
        <v>0</v>
      </c>
      <c r="EF84">
        <v>1</v>
      </c>
      <c r="EG84">
        <v>0</v>
      </c>
      <c r="EH84">
        <v>1</v>
      </c>
      <c r="EI84" s="2">
        <v>0</v>
      </c>
      <c r="EJ84" s="1"/>
      <c r="EK84" t="str">
        <f>IF(AND(AND(AND(OR($DX84=1,$DW84=1),OR($EC84=1,$EA84=1)),SUM($DV84:$DZ84,$EF84)&gt;=4),SUM($EA84:$EE84)&gt;=2),"Whole sector","")</f>
        <v>Whole sector</v>
      </c>
      <c r="EL84" t="str">
        <f>IF(AND(AND(OR($DX84=1,$DW84=1),AND($EC84=0,$EA84=0)),SUM($DV84:$DZ84,$EF84)&gt;=4),"Ecosystem approach","")</f>
        <v/>
      </c>
      <c r="EM84" s="2" t="str">
        <f>IF(AND(AND(AND($DX84=0,$DW84=0),OR($EC84=1,$EA84=1)),SUM($EB84:$EE84)&gt;=2),"Technology approach","")</f>
        <v/>
      </c>
      <c r="EN84"/>
      <c r="EO84"/>
      <c r="EP84" t="str">
        <f>IF(ISNUMBER(BU84),IF(ABS(BU84-[1]QC_indicators!$B$2)&gt;3*[1]QC_indicators!$C$2,"C ratio",IF(ISNUMBER(BY84),IF(ABS(BY84-[1]QC_indicators!$B$1)&gt;3*[1]QC_indicators!$C$1,"DF","no"))),IF(ISNUMBER(BY84),IF(ABS(BY84-[1]QC_indicators!$B$1)&gt;3*[1]QC_indicators!$C$1,"DF","no")))</f>
        <v>no</v>
      </c>
      <c r="EQ84"/>
      <c r="ER84"/>
      <c r="ES84"/>
      <c r="ET84" s="266" t="s">
        <v>3409</v>
      </c>
      <c r="EU84"/>
    </row>
    <row r="85" spans="1:151" s="139" customFormat="1" ht="17">
      <c r="A85" s="1" t="s">
        <v>1810</v>
      </c>
      <c r="B85" t="s">
        <v>2477</v>
      </c>
      <c r="C85" t="s">
        <v>2478</v>
      </c>
      <c r="D85" t="s">
        <v>2479</v>
      </c>
      <c r="E85" t="s">
        <v>2480</v>
      </c>
      <c r="F85" t="s">
        <v>2481</v>
      </c>
      <c r="G85" t="s">
        <v>1816</v>
      </c>
      <c r="H85" t="s">
        <v>255</v>
      </c>
      <c r="I85">
        <v>2010</v>
      </c>
      <c r="J85">
        <v>100</v>
      </c>
      <c r="K85" t="s">
        <v>2482</v>
      </c>
      <c r="L85"/>
      <c r="M85" t="str">
        <f>LEFT($D85,FIND(",",$D85)-1)&amp;"_"&amp;I85&amp;L85</f>
        <v>Werner_2010</v>
      </c>
      <c r="N85" t="s">
        <v>223</v>
      </c>
      <c r="O85" s="145" t="s">
        <v>1156</v>
      </c>
      <c r="P85"/>
      <c r="Q85" t="s">
        <v>257</v>
      </c>
      <c r="R85" s="264" t="s">
        <v>224</v>
      </c>
      <c r="S85" s="1" t="s">
        <v>2483</v>
      </c>
      <c r="T85" t="s">
        <v>2484</v>
      </c>
      <c r="U85" t="s">
        <v>2488</v>
      </c>
      <c r="V85">
        <v>1</v>
      </c>
      <c r="W85">
        <v>0</v>
      </c>
      <c r="X85">
        <v>2</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s="141">
        <f>COUNTIF(V85:AW85,"&lt;&gt;0")</f>
        <v>2</v>
      </c>
      <c r="AY85" s="141">
        <f>COUNTIF(V85:AL85,"&lt;&gt;0")</f>
        <v>2</v>
      </c>
      <c r="AZ85">
        <f>COUNTIF(V85:AC85,"&lt;&gt;0")</f>
        <v>2</v>
      </c>
      <c r="BA85">
        <f>COUNTIF(AD85:AI85,"&lt;&gt;0")</f>
        <v>0</v>
      </c>
      <c r="BB85">
        <f>COUNTIF(AJ85:AL85,"&lt;&gt;0")</f>
        <v>0</v>
      </c>
      <c r="BC85">
        <f>COUNTIF(AS85:AW85,"&lt;&gt;0")</f>
        <v>0</v>
      </c>
      <c r="BD85">
        <f>COUNTIF(AM85:AR85,"&lt;&gt;0")</f>
        <v>0</v>
      </c>
      <c r="BE85" t="str">
        <f t="array" ref="BE85">IF(AY85=1,INDEX($V$7:$AL$7,MATCH(TRUE,INDEX($V85:$AW85&lt;&gt;0,),0)),IF(AY85=0,INDEX($AM$7:$AW$7,MATCH(1,$AM85:$AW85,0)),IF(BF85="Multiple strategies","mixed drivers",IF(BF85="Supply chain","multiple supply","multiple silviculture"))))</f>
        <v>multiple silviculture</v>
      </c>
      <c r="BF85" s="2" t="str" cm="1">
        <f t="array" ref="BF85">IF(COUNTIF(AZ85:BB85,"&lt;&gt;0")=1,INDEX($V$4:$AW$4,MATCH(TRUE,INDEX($V85:$AW85&lt;&gt;0,),0)),IF(COUNTIF(AZ85:BB85,"&lt;&gt;0")=0,INDEX($AM$4:$AW$4,MATCH(1,$AM85:$AW85,0)),"Multiple strategies"))</f>
        <v>SilvicultureRemov</v>
      </c>
      <c r="BG85" s="1" t="s">
        <v>322</v>
      </c>
      <c r="BH85" t="s">
        <v>2455</v>
      </c>
      <c r="BI85" s="266" t="s">
        <v>3254</v>
      </c>
      <c r="BJ85" t="s">
        <v>1325</v>
      </c>
      <c r="BK85">
        <v>210</v>
      </c>
      <c r="BL85">
        <v>457.5</v>
      </c>
      <c r="BM85" s="143">
        <f>BL85/BK85</f>
        <v>2.1785714285714284</v>
      </c>
      <c r="BN85">
        <f>BL85-BK85</f>
        <v>247.5</v>
      </c>
      <c r="BO85">
        <f>BN85*10^6</f>
        <v>247500000</v>
      </c>
      <c r="BP85" t="s">
        <v>233</v>
      </c>
      <c r="BQ85" s="153" t="s">
        <v>3255</v>
      </c>
      <c r="BR85" t="s">
        <v>2327</v>
      </c>
      <c r="BS85">
        <v>385.51880535301569</v>
      </c>
      <c r="BT85">
        <v>205.40939665276349</v>
      </c>
      <c r="BU85" s="144">
        <f>IFERROR(BT85/BS85,"")</f>
        <v>0.53281291029285116</v>
      </c>
      <c r="BV85" s="144">
        <f>BT85-BS85</f>
        <v>-180.1094087002522</v>
      </c>
      <c r="BW85" s="144"/>
      <c r="BX85">
        <f>BV85*10^6</f>
        <v>-180109408.70025221</v>
      </c>
      <c r="BY85">
        <f>IFERROR(BX85/BO85,"")</f>
        <v>-0.72771478262728162</v>
      </c>
      <c r="BZ85">
        <v>0</v>
      </c>
      <c r="CA85">
        <v>0</v>
      </c>
      <c r="CB85">
        <v>0</v>
      </c>
      <c r="CC85">
        <v>0</v>
      </c>
      <c r="CD85">
        <v>0</v>
      </c>
      <c r="CE85">
        <v>0</v>
      </c>
      <c r="CF85">
        <v>0</v>
      </c>
      <c r="CG85">
        <v>0</v>
      </c>
      <c r="CH85">
        <v>0</v>
      </c>
      <c r="CI85">
        <v>0</v>
      </c>
      <c r="CJ85">
        <v>0</v>
      </c>
      <c r="CK85">
        <v>0</v>
      </c>
      <c r="CL85">
        <v>0</v>
      </c>
      <c r="CM85">
        <v>1</v>
      </c>
      <c r="CN85" t="str">
        <f>IF($BL85&lt;$BK85,"refNeedCorrection","refOK")</f>
        <v>refOK</v>
      </c>
      <c r="CO85">
        <f>IF($CN85="refNeedCorrection",BL85,BK85)</f>
        <v>210</v>
      </c>
      <c r="CP85">
        <f>IF($CN85="refNeedCorrection",BK85,BL85)</f>
        <v>457.5</v>
      </c>
      <c r="CQ85">
        <f>IF($CN85="refOK",$BO85,-$BO85)</f>
        <v>247500000</v>
      </c>
      <c r="CR85">
        <f>IF($CN85="refOK",$BS85,$BT85)*IF($BP85="Emissions positive",-1,1)</f>
        <v>385.51880535301569</v>
      </c>
      <c r="CS85">
        <f>IF($CN85="refOK",$BT85,$BS85)*IF($BP85="Emissions positive",-1,1)</f>
        <v>205.40939665276349</v>
      </c>
      <c r="CT85">
        <f>IF($CN85="refNeedCorrection",-BX85,BX85)*IF($BP85="Emissions positive",-1,1)</f>
        <v>-180109408.70025221</v>
      </c>
      <c r="CU85">
        <f>IFERROR(CT85/CQ85,"")</f>
        <v>-0.72771478262728162</v>
      </c>
      <c r="CV85" s="2">
        <f>IFERROR((CS85-CR85)/ABS(CR85),"")</f>
        <v>-0.46718708970714884</v>
      </c>
      <c r="CW85" s="1" t="s">
        <v>1205</v>
      </c>
      <c r="CX85" t="str">
        <f>IF(OR($CW85="prd",$CW85="std",$CW85="cit"),"loc",IF(OR($CW85="eur",$CW85="reg",$CW85="coy"),"reg",$CW85))</f>
        <v>reg</v>
      </c>
      <c r="CY85" t="s">
        <v>641</v>
      </c>
      <c r="CZ85">
        <v>2000</v>
      </c>
      <c r="DA85">
        <v>2060</v>
      </c>
      <c r="DB85">
        <f>DA85-CZ85</f>
        <v>60</v>
      </c>
      <c r="DC85" t="str">
        <f>IF(DB85=0,"0",IF(AND(DB85&gt;=1,DB85&lt;=30),"1-30",IF(AND(DB85&gt;30,DB85&lt;=70),"31-70",IF(AND(DB85&gt;70,DB85&lt;=100),"71-100",IF(DB85&gt;100,"+100")))))</f>
        <v>31-70</v>
      </c>
      <c r="DD85">
        <v>1</v>
      </c>
      <c r="DE85">
        <v>0</v>
      </c>
      <c r="DF85">
        <v>0</v>
      </c>
      <c r="DG85">
        <v>0</v>
      </c>
      <c r="DH85">
        <v>0</v>
      </c>
      <c r="DI85">
        <f>SUM(DD85:DG85)</f>
        <v>1</v>
      </c>
      <c r="DJ85" t="str">
        <f>IF(DI85=1,INDEX($DD$7:$DG$7,MATCH(1,$DD85:$DG85,0)),"mixedProduct")</f>
        <v>UpstreamInput</v>
      </c>
      <c r="DK85" t="str">
        <f>IF(DD85=1,DK$7,0)</f>
        <v>Upstream</v>
      </c>
      <c r="DL85">
        <f>IF(DE85=1,DL$7,0)</f>
        <v>0</v>
      </c>
      <c r="DM85">
        <f>IF(DF85=1,DM$7,0)</f>
        <v>0</v>
      </c>
      <c r="DN85">
        <f>IF(DG85=1,DN$7,0)</f>
        <v>0</v>
      </c>
      <c r="DO85">
        <v>0</v>
      </c>
      <c r="DP85">
        <v>0</v>
      </c>
      <c r="DQ85"/>
      <c r="DR85"/>
      <c r="DS85"/>
      <c r="DT85">
        <f>SUM(DO85:DP85)</f>
        <v>0</v>
      </c>
      <c r="DU85" s="143" t="str">
        <f>IF(DO85=1,"self-calculated DF",IF(DP85=1,"external DF used","explicit C balance"))</f>
        <v>explicit C balance</v>
      </c>
      <c r="DV85">
        <v>1</v>
      </c>
      <c r="DW85">
        <v>1</v>
      </c>
      <c r="DX85">
        <v>1</v>
      </c>
      <c r="DY85">
        <v>1</v>
      </c>
      <c r="DZ85">
        <v>0</v>
      </c>
      <c r="EA85" s="143">
        <v>0</v>
      </c>
      <c r="EB85">
        <v>0</v>
      </c>
      <c r="EC85">
        <v>0</v>
      </c>
      <c r="ED85">
        <v>0</v>
      </c>
      <c r="EE85">
        <v>0</v>
      </c>
      <c r="EF85">
        <v>1</v>
      </c>
      <c r="EG85">
        <v>0</v>
      </c>
      <c r="EH85">
        <v>0</v>
      </c>
      <c r="EI85" s="2">
        <v>0</v>
      </c>
      <c r="EJ85" s="1"/>
      <c r="EK85" t="str">
        <f>IF(AND(AND(AND(OR($DX85=1,$DW85=1),OR($EC85=1,$EA85=1)),SUM($DV85:$DZ85,$EF85)&gt;=4),SUM($EA85:$EE85)&gt;=2),"Whole sector","")</f>
        <v/>
      </c>
      <c r="EL85" t="str">
        <f>IF(AND(AND(OR($DX85=1,$DW85=1),AND($EC85=0,$EA85=0)),SUM($DV85:$DZ85,$EF85)&gt;=4),"Ecosystem approach","")</f>
        <v>Ecosystem approach</v>
      </c>
      <c r="EM85" s="2" t="str">
        <f>IF(AND(AND(AND($DX85=0,$DW85=0),OR($EC85=1,$EA85=1)),SUM($EB85:$EE85)&gt;=2),"Technology approach","")</f>
        <v/>
      </c>
      <c r="EN85" t="s">
        <v>2487</v>
      </c>
      <c r="EO85"/>
      <c r="EP85" t="str">
        <f>IF(ISNUMBER(BU85),IF(ABS(BU85-[2]QC_indicators!$B$2)&gt;3*[2]QC_indicators!$C$2,"C ratio",IF(ISNUMBER(BY85),IF(ABS(BY85-[2]QC_indicators!$B$1)&gt;3*[2]QC_indicators!$C$1,"DF","no"))),IF(ISNUMBER(BY85),IF(ABS(BY85-[2]QC_indicators!$B$1)&gt;3*[2]QC_indicators!$C$1,"DF","no")))</f>
        <v>no</v>
      </c>
      <c r="EQ85"/>
      <c r="ER85"/>
      <c r="ES85"/>
      <c r="ET85" s="266" t="s">
        <v>3256</v>
      </c>
      <c r="EU85"/>
    </row>
    <row r="86" spans="1:151" s="139" customFormat="1" ht="15" customHeight="1">
      <c r="A86" s="1" t="s">
        <v>1810</v>
      </c>
      <c r="B86" t="s">
        <v>2477</v>
      </c>
      <c r="C86" t="s">
        <v>2478</v>
      </c>
      <c r="D86" t="s">
        <v>2479</v>
      </c>
      <c r="E86" t="s">
        <v>2480</v>
      </c>
      <c r="F86" t="s">
        <v>2481</v>
      </c>
      <c r="G86" t="s">
        <v>1816</v>
      </c>
      <c r="H86" t="s">
        <v>255</v>
      </c>
      <c r="I86">
        <v>2010</v>
      </c>
      <c r="J86">
        <v>100</v>
      </c>
      <c r="K86" t="s">
        <v>2482</v>
      </c>
      <c r="L86"/>
      <c r="M86" t="str">
        <f>LEFT($D86,FIND(",",$D86)-1)&amp;"_"&amp;I86&amp;L86</f>
        <v>Werner_2010</v>
      </c>
      <c r="N86" t="s">
        <v>223</v>
      </c>
      <c r="O86" s="145" t="s">
        <v>1156</v>
      </c>
      <c r="P86"/>
      <c r="Q86" t="s">
        <v>257</v>
      </c>
      <c r="R86" s="264" t="s">
        <v>224</v>
      </c>
      <c r="S86" s="1" t="s">
        <v>2483</v>
      </c>
      <c r="T86" t="s">
        <v>2484</v>
      </c>
      <c r="U86" t="s">
        <v>1157</v>
      </c>
      <c r="V86">
        <v>1</v>
      </c>
      <c r="W86">
        <v>0</v>
      </c>
      <c r="X86">
        <v>2</v>
      </c>
      <c r="Y86">
        <v>0</v>
      </c>
      <c r="Z86">
        <v>0</v>
      </c>
      <c r="AA86">
        <v>0</v>
      </c>
      <c r="AB86">
        <v>0</v>
      </c>
      <c r="AC86">
        <v>0</v>
      </c>
      <c r="AD86">
        <v>0</v>
      </c>
      <c r="AE86">
        <v>0</v>
      </c>
      <c r="AF86">
        <v>0</v>
      </c>
      <c r="AG86">
        <v>0</v>
      </c>
      <c r="AH86">
        <v>0</v>
      </c>
      <c r="AI86">
        <v>0</v>
      </c>
      <c r="AJ86">
        <v>0</v>
      </c>
      <c r="AK86">
        <v>0</v>
      </c>
      <c r="AL86">
        <v>0</v>
      </c>
      <c r="AM86">
        <v>0</v>
      </c>
      <c r="AN86">
        <v>0</v>
      </c>
      <c r="AO86">
        <v>0</v>
      </c>
      <c r="AP86">
        <v>0</v>
      </c>
      <c r="AQ86">
        <v>0</v>
      </c>
      <c r="AR86">
        <v>0</v>
      </c>
      <c r="AS86">
        <v>0</v>
      </c>
      <c r="AT86">
        <v>0</v>
      </c>
      <c r="AU86">
        <v>0</v>
      </c>
      <c r="AV86">
        <v>0</v>
      </c>
      <c r="AW86">
        <v>0</v>
      </c>
      <c r="AX86" s="141">
        <f>COUNTIF(V86:AW86,"&lt;&gt;0")</f>
        <v>2</v>
      </c>
      <c r="AY86" s="141">
        <f>COUNTIF(V86:AL86,"&lt;&gt;0")</f>
        <v>2</v>
      </c>
      <c r="AZ86">
        <f>COUNTIF(V86:AC86,"&lt;&gt;0")</f>
        <v>2</v>
      </c>
      <c r="BA86">
        <f>COUNTIF(AD86:AI86,"&lt;&gt;0")</f>
        <v>0</v>
      </c>
      <c r="BB86">
        <f>COUNTIF(AJ86:AL86,"&lt;&gt;0")</f>
        <v>0</v>
      </c>
      <c r="BC86">
        <f>COUNTIF(AS86:AW86,"&lt;&gt;0")</f>
        <v>0</v>
      </c>
      <c r="BD86">
        <f>COUNTIF(AM86:AR86,"&lt;&gt;0")</f>
        <v>0</v>
      </c>
      <c r="BE86" t="str">
        <f t="array" ref="BE86">IF(AY86=1,INDEX($V$7:$AL$7,MATCH(TRUE,INDEX($V86:$AW86&lt;&gt;0,),0)),IF(AY86=0,INDEX($AM$7:$AW$7,MATCH(1,$AM86:$AW86,0)),IF(BF86="Multiple strategies","mixed drivers",IF(BF86="Supply chain","multiple supply","multiple silviculture"))))</f>
        <v>multiple silviculture</v>
      </c>
      <c r="BF86" s="2" t="str" cm="1">
        <f t="array" ref="BF86">IF(COUNTIF(AZ86:BB86,"&lt;&gt;0")=1,INDEX($V$4:$AW$4,MATCH(TRUE,INDEX($V86:$AW86&lt;&gt;0,),0)),IF(COUNTIF(AZ86:BB86,"&lt;&gt;0")=0,INDEX($AM$4:$AW$4,MATCH(1,$AM86:$AW86,0)),"Multiple strategies"))</f>
        <v>SilvicultureRemov</v>
      </c>
      <c r="BG86" s="1" t="s">
        <v>322</v>
      </c>
      <c r="BH86" t="s">
        <v>2455</v>
      </c>
      <c r="BI86" s="266" t="s">
        <v>3254</v>
      </c>
      <c r="BJ86" t="s">
        <v>1325</v>
      </c>
      <c r="BK86">
        <v>120</v>
      </c>
      <c r="BL86">
        <v>163.5</v>
      </c>
      <c r="BM86" s="143">
        <f>BL86/BK86</f>
        <v>1.3625</v>
      </c>
      <c r="BN86">
        <f>BL86-BK86</f>
        <v>43.5</v>
      </c>
      <c r="BO86">
        <f>BN86*10^6</f>
        <v>43500000</v>
      </c>
      <c r="BP86" t="s">
        <v>233</v>
      </c>
      <c r="BQ86" s="153" t="s">
        <v>3255</v>
      </c>
      <c r="BR86" t="s">
        <v>2327</v>
      </c>
      <c r="BS86">
        <v>227.98379614391621</v>
      </c>
      <c r="BT86">
        <v>97.758786940762292</v>
      </c>
      <c r="BU86" s="144">
        <f>IFERROR(BT86/BS86,"")</f>
        <v>0.4287970838026201</v>
      </c>
      <c r="BV86" s="144">
        <f>BT86-BS86</f>
        <v>-130.22500920315392</v>
      </c>
      <c r="BW86" s="144"/>
      <c r="BX86">
        <f>BV86*10^6</f>
        <v>-130225009.20315392</v>
      </c>
      <c r="BY86">
        <f>IFERROR(BX86/BO86,"")</f>
        <v>-2.993678372486297</v>
      </c>
      <c r="BZ86">
        <v>0</v>
      </c>
      <c r="CA86">
        <v>0</v>
      </c>
      <c r="CB86">
        <v>0</v>
      </c>
      <c r="CC86">
        <v>0</v>
      </c>
      <c r="CD86">
        <v>0</v>
      </c>
      <c r="CE86">
        <v>0</v>
      </c>
      <c r="CF86">
        <v>0</v>
      </c>
      <c r="CG86">
        <v>0</v>
      </c>
      <c r="CH86">
        <v>0</v>
      </c>
      <c r="CI86">
        <v>0</v>
      </c>
      <c r="CJ86">
        <v>0</v>
      </c>
      <c r="CK86">
        <v>0</v>
      </c>
      <c r="CL86">
        <v>0</v>
      </c>
      <c r="CM86">
        <v>1</v>
      </c>
      <c r="CN86" t="str">
        <f>IF($BL86&lt;$BK86,"refNeedCorrection","refOK")</f>
        <v>refOK</v>
      </c>
      <c r="CO86">
        <f>IF($CN86="refOK",$BK86,$BL86)</f>
        <v>120</v>
      </c>
      <c r="CP86">
        <f>IF($CN86="refOK",$BL86,$BK86)</f>
        <v>163.5</v>
      </c>
      <c r="CQ86">
        <f>IF($CN86="refOK",$BO86,-$BO86)</f>
        <v>43500000</v>
      </c>
      <c r="CR86">
        <f>IF($CN86="refOK",$BS86,$BT86)*IF($BP86="Emissions positive",-1,1)</f>
        <v>227.98379614391621</v>
      </c>
      <c r="CS86">
        <f>IF($CN86="refOK",$BT86,$BS86)*IF($BP86="Emissions positive",-1,1)</f>
        <v>97.758786940762292</v>
      </c>
      <c r="CT86">
        <f>IF($CN86="refNeedCorrection",-BX86,BX86)*IF($BP86="Emissions positive",-1,1)</f>
        <v>-130225009.20315392</v>
      </c>
      <c r="CU86">
        <f>IFERROR(CT86/CQ86,"")</f>
        <v>-2.993678372486297</v>
      </c>
      <c r="CV86" s="2">
        <f>IFERROR((CS86-CR86)/ABS(CR86),"")</f>
        <v>-0.57120291619737995</v>
      </c>
      <c r="CW86" s="1" t="s">
        <v>1205</v>
      </c>
      <c r="CX86" t="str">
        <f>IF(OR($CW86="prd",$CW86="std",$CW86="cit"),"loc",IF(OR($CW86="eur",$CW86="reg",$CW86="coy"),"reg",$CW86))</f>
        <v>reg</v>
      </c>
      <c r="CY86" t="s">
        <v>641</v>
      </c>
      <c r="CZ86">
        <v>2000</v>
      </c>
      <c r="DA86">
        <v>2030</v>
      </c>
      <c r="DB86">
        <f>DA86-CZ86</f>
        <v>30</v>
      </c>
      <c r="DC86" t="str">
        <f>IF(DB86=0,"0",IF(AND(DB86&gt;=1,DB86&lt;=30),"1-30",IF(AND(DB86&gt;30,DB86&lt;=70),"31-70",IF(AND(DB86&gt;70,DB86&lt;=100),"71-100",IF(DB86&gt;100,"+100")))))</f>
        <v>1-30</v>
      </c>
      <c r="DD86">
        <v>1</v>
      </c>
      <c r="DE86">
        <v>0</v>
      </c>
      <c r="DF86">
        <v>0</v>
      </c>
      <c r="DG86">
        <v>0</v>
      </c>
      <c r="DH86">
        <v>0</v>
      </c>
      <c r="DI86">
        <f>SUM(DD86:DG86)</f>
        <v>1</v>
      </c>
      <c r="DJ86" t="str">
        <f>IF(DI86=1,INDEX($DD$7:$DG$7,MATCH(1,$DD86:$DG86,0)),"mixedProduct")</f>
        <v>UpstreamInput</v>
      </c>
      <c r="DK86" t="str">
        <f>IF(DD86=1,DK$7,0)</f>
        <v>Upstream</v>
      </c>
      <c r="DL86">
        <f>IF(DE86=1,DL$7,0)</f>
        <v>0</v>
      </c>
      <c r="DM86">
        <f>IF(DF86=1,DM$7,0)</f>
        <v>0</v>
      </c>
      <c r="DN86">
        <f>IF(DG86=1,DN$7,0)</f>
        <v>0</v>
      </c>
      <c r="DO86">
        <v>0</v>
      </c>
      <c r="DP86">
        <v>0</v>
      </c>
      <c r="DQ86"/>
      <c r="DR86"/>
      <c r="DS86"/>
      <c r="DT86">
        <f>SUM(DO86:DP86)</f>
        <v>0</v>
      </c>
      <c r="DU86" s="143" t="str">
        <f>IF(DO86=1,"self-calculated DF",IF(DP86=1,"external DF used","explicit C balance"))</f>
        <v>explicit C balance</v>
      </c>
      <c r="DV86">
        <v>1</v>
      </c>
      <c r="DW86">
        <v>1</v>
      </c>
      <c r="DX86">
        <v>1</v>
      </c>
      <c r="DY86">
        <v>1</v>
      </c>
      <c r="DZ86">
        <v>1</v>
      </c>
      <c r="EA86" s="143">
        <v>0</v>
      </c>
      <c r="EB86">
        <v>0</v>
      </c>
      <c r="EC86">
        <v>0</v>
      </c>
      <c r="ED86">
        <v>0</v>
      </c>
      <c r="EE86">
        <v>0</v>
      </c>
      <c r="EF86">
        <v>1</v>
      </c>
      <c r="EG86">
        <v>0</v>
      </c>
      <c r="EH86">
        <v>0</v>
      </c>
      <c r="EI86" s="2">
        <v>0</v>
      </c>
      <c r="EJ86" s="1"/>
      <c r="EK86" t="str">
        <f>IF(AND(AND(AND(OR($DX86=1,$DW86=1),OR($EC86=1,$EA86=1)),SUM($DV86:$DZ86,$EF86)&gt;=4),SUM($EA86:$EE86)&gt;=2),"Whole sector","")</f>
        <v/>
      </c>
      <c r="EL86" t="str">
        <f>IF(AND(AND(OR($DX86=1,$DW86=1),AND($EC86=0,$EA86=0)),SUM($DV86:$DZ86,$EF86)&gt;=4),"Ecosystem approach","")</f>
        <v>Ecosystem approach</v>
      </c>
      <c r="EM86" s="2" t="str">
        <f>IF(AND(AND(AND($DX86=0,$DW86=0),OR($EC86=1,$EA86=1)),SUM($EB86:$EE86)&gt;=2),"Technology approach","")</f>
        <v/>
      </c>
      <c r="EN86" t="s">
        <v>2487</v>
      </c>
      <c r="EO86"/>
      <c r="EP86" t="str">
        <f>IF(ISNUMBER(BU86),IF(ABS(BU86-[2]QC_indicators!$B$2)&gt;3*[2]QC_indicators!$C$2,"C ratio",IF(ISNUMBER(BY86),IF(ABS(BY86-[2]QC_indicators!$B$1)&gt;3*[2]QC_indicators!$C$1,"DF","no"))),IF(ISNUMBER(BY86),IF(ABS(BY86-[2]QC_indicators!$B$1)&gt;3*[2]QC_indicators!$C$1,"DF","no")))</f>
        <v>no</v>
      </c>
      <c r="EQ86"/>
      <c r="ER86"/>
      <c r="ES86"/>
      <c r="ET86" s="266" t="s">
        <v>3256</v>
      </c>
      <c r="EU86"/>
    </row>
    <row r="87" spans="1:151" s="139" customFormat="1" ht="15" hidden="1" customHeight="1">
      <c r="A87" s="1" t="s">
        <v>266</v>
      </c>
      <c r="B87" t="s">
        <v>267</v>
      </c>
      <c r="C87" t="s">
        <v>268</v>
      </c>
      <c r="D87" t="s">
        <v>269</v>
      </c>
      <c r="E87" t="s">
        <v>270</v>
      </c>
      <c r="F87" t="s">
        <v>271</v>
      </c>
      <c r="G87" t="s">
        <v>272</v>
      </c>
      <c r="H87" t="s">
        <v>255</v>
      </c>
      <c r="I87">
        <v>2022</v>
      </c>
      <c r="J87">
        <v>0</v>
      </c>
      <c r="K87" t="s">
        <v>273</v>
      </c>
      <c r="L87"/>
      <c r="M87" t="str">
        <f>LEFT($D87,FIND(",",$D87)-1)&amp;"_"&amp;I87&amp;L87</f>
        <v>Aryapratama_2022</v>
      </c>
      <c r="N87" t="s">
        <v>223</v>
      </c>
      <c r="O87" s="145" t="s">
        <v>275</v>
      </c>
      <c r="P87"/>
      <c r="Q87" t="s">
        <v>225</v>
      </c>
      <c r="R87" s="264" t="s">
        <v>224</v>
      </c>
      <c r="S87" s="1" t="s">
        <v>315</v>
      </c>
      <c r="T87" t="s">
        <v>316</v>
      </c>
      <c r="U87" t="s">
        <v>317</v>
      </c>
      <c r="V87">
        <v>0</v>
      </c>
      <c r="W87">
        <v>0</v>
      </c>
      <c r="X87">
        <v>1</v>
      </c>
      <c r="Y87">
        <v>0</v>
      </c>
      <c r="Z87">
        <v>0</v>
      </c>
      <c r="AA87">
        <v>0</v>
      </c>
      <c r="AB87">
        <v>0</v>
      </c>
      <c r="AC87">
        <v>0</v>
      </c>
      <c r="AD87">
        <v>0</v>
      </c>
      <c r="AE87">
        <v>0</v>
      </c>
      <c r="AF87">
        <v>0</v>
      </c>
      <c r="AG87">
        <v>0</v>
      </c>
      <c r="AH87">
        <v>0</v>
      </c>
      <c r="AI87">
        <v>2</v>
      </c>
      <c r="AJ87">
        <v>0</v>
      </c>
      <c r="AK87">
        <v>0</v>
      </c>
      <c r="AL87">
        <v>0</v>
      </c>
      <c r="AM87">
        <v>0</v>
      </c>
      <c r="AN87">
        <v>0</v>
      </c>
      <c r="AO87">
        <v>0</v>
      </c>
      <c r="AP87">
        <v>0</v>
      </c>
      <c r="AQ87">
        <v>0</v>
      </c>
      <c r="AR87">
        <v>0</v>
      </c>
      <c r="AS87">
        <v>0</v>
      </c>
      <c r="AT87">
        <v>0</v>
      </c>
      <c r="AU87">
        <v>0</v>
      </c>
      <c r="AV87">
        <v>0</v>
      </c>
      <c r="AW87">
        <v>0</v>
      </c>
      <c r="AX87" s="141">
        <f>COUNTIF(V87:AW87,"&lt;&gt;0")</f>
        <v>2</v>
      </c>
      <c r="AY87" s="141">
        <f>COUNTIF(V87:AL87,"&lt;&gt;0")</f>
        <v>2</v>
      </c>
      <c r="AZ87">
        <f>COUNTIF(V87:AC87,"&lt;&gt;0")</f>
        <v>1</v>
      </c>
      <c r="BA87">
        <f>COUNTIF(AD87:AI87,"&lt;&gt;0")</f>
        <v>1</v>
      </c>
      <c r="BB87">
        <f>COUNTIF(AJ87:AL87,"&lt;&gt;0")</f>
        <v>0</v>
      </c>
      <c r="BC87">
        <f>COUNTIF(AS87:AW87,"&lt;&gt;0")</f>
        <v>0</v>
      </c>
      <c r="BD87">
        <f>COUNTIF(AM87:AR87,"&lt;&gt;0")</f>
        <v>0</v>
      </c>
      <c r="BE87" t="str">
        <f t="array" ref="BE87">IF(AY87=1,INDEX($V$7:$AL$7,MATCH(TRUE,INDEX($V87:$AW87&lt;&gt;0,),0)),IF(AY87=0,INDEX($AM$7:$AW$7,MATCH(1,$AM87:$AW87,0)),IF(BF87="Multiple strategies","mixed drivers",IF(BF87="Supply chain","multiple supply","multiple silviculture"))))</f>
        <v>mixed drivers</v>
      </c>
      <c r="BF87" s="2" t="str">
        <f t="array" ref="BF87">IF(COUNTIF(AZ87:BB87,"&lt;&gt;0")=1,INDEX($V$4:$AW$4,MATCH(TRUE,INDEX($V87:$AW87&lt;&gt;0,),0)),IF(COUNTIF(AZ87:BB87,"&lt;&gt;0")=0,INDEX($AM$4:$AW$4,MATCH(1,$AM87:$AW87,0)),"Multiple strategies"))</f>
        <v>Multiple strategies</v>
      </c>
      <c r="BG87" s="1" t="s">
        <v>230</v>
      </c>
      <c r="BH87" t="s">
        <v>278</v>
      </c>
      <c r="BI87" s="266" t="s">
        <v>3108</v>
      </c>
      <c r="BJ87" t="s">
        <v>279</v>
      </c>
      <c r="BK87">
        <v>363.45340303763226</v>
      </c>
      <c r="BL87">
        <v>429.73725876073206</v>
      </c>
      <c r="BM87">
        <f>BL87/BK87</f>
        <v>1.1823723623692051</v>
      </c>
      <c r="BN87">
        <f>BL87-BK87</f>
        <v>66.283855723099805</v>
      </c>
      <c r="BO87">
        <f>BN87*tC_to_m3</f>
        <v>287.81526584064181</v>
      </c>
      <c r="BP87" t="s">
        <v>233</v>
      </c>
      <c r="BQ87" s="153" t="s">
        <v>3109</v>
      </c>
      <c r="BR87" t="s">
        <v>280</v>
      </c>
      <c r="BS87">
        <v>-768.12774512252213</v>
      </c>
      <c r="BT87">
        <v>-990.65809626676389</v>
      </c>
      <c r="BU87" s="144">
        <f>IFERROR(BT87/BS87,"")</f>
        <v>1.2897048733850207</v>
      </c>
      <c r="BV87">
        <f>BT87-BS87</f>
        <v>-222.53035114424176</v>
      </c>
      <c r="BW87"/>
      <c r="BX87">
        <f>BV87</f>
        <v>-222.53035114424176</v>
      </c>
      <c r="BY87">
        <f>IFERROR(BX87/BO87,"")</f>
        <v>-0.77317077151652147</v>
      </c>
      <c r="BZ87">
        <v>0</v>
      </c>
      <c r="CA87">
        <v>0</v>
      </c>
      <c r="CB87">
        <v>0</v>
      </c>
      <c r="CC87">
        <v>0</v>
      </c>
      <c r="CD87">
        <v>0</v>
      </c>
      <c r="CE87">
        <v>0</v>
      </c>
      <c r="CF87">
        <v>0</v>
      </c>
      <c r="CG87">
        <v>0</v>
      </c>
      <c r="CH87">
        <v>0</v>
      </c>
      <c r="CI87">
        <v>0</v>
      </c>
      <c r="CJ87">
        <v>0</v>
      </c>
      <c r="CK87">
        <v>0</v>
      </c>
      <c r="CL87">
        <v>0</v>
      </c>
      <c r="CM87">
        <v>0</v>
      </c>
      <c r="CN87" t="str">
        <f>IF($BL87&lt;$BK87,"refNeedCorrection","refOK")</f>
        <v>refOK</v>
      </c>
      <c r="CO87">
        <f>IF($CN87="refOK",$BK87,$BL87)</f>
        <v>363.45340303763226</v>
      </c>
      <c r="CP87">
        <f>IF($CN87="refOK",$BL87,$BK87)</f>
        <v>429.73725876073206</v>
      </c>
      <c r="CQ87">
        <f>IF($CN87="refOK",$BO87,-$BO87)</f>
        <v>287.81526584064181</v>
      </c>
      <c r="CR87">
        <f>IF($CN87="refOK",$BS87,$BT87)*IF($BP87="Emissions positive",-1,1)</f>
        <v>-768.12774512252213</v>
      </c>
      <c r="CS87">
        <f>IF($CN87="refOK",$BT87,$BS87)*IF($BP87="Emissions positive",-1,1)</f>
        <v>-990.65809626676389</v>
      </c>
      <c r="CT87">
        <f>IF($CN87="refNeedCorrection",-BX87,BX87)*IF($BP87="Emissions positive",-1,1)</f>
        <v>-222.53035114424176</v>
      </c>
      <c r="CU87">
        <f>IFERROR(CT87/CQ87,"")</f>
        <v>-0.77317077151652147</v>
      </c>
      <c r="CV87" s="2">
        <f>IFERROR((CS87-CR87)/ABS(CR87),"")</f>
        <v>-0.28970487338502077</v>
      </c>
      <c r="CW87" s="1" t="s">
        <v>235</v>
      </c>
      <c r="CX87" t="str">
        <f>IF(OR($CW87="prd",$CW87="std",$CW87="cit"),"loc",IF(OR($CW87="eur",$CW87="reg",$CW87="coy"),"reg",$CW87))</f>
        <v>loc</v>
      </c>
      <c r="CY87" t="s">
        <v>281</v>
      </c>
      <c r="CZ87"/>
      <c r="DA87"/>
      <c r="DB87">
        <v>100</v>
      </c>
      <c r="DC87" t="str">
        <f>IF(DB87=0,"0",IF(AND(DB87&gt;=1,DB87&lt;=30),"1-30",IF(AND(DB87&gt;30,DB87&lt;=70),"31-70",IF(AND(DB87&gt;70,DB87&lt;=100),"71-100",IF(DB87&gt;100,"+100")))))</f>
        <v>71-100</v>
      </c>
      <c r="DD87">
        <v>0</v>
      </c>
      <c r="DE87">
        <v>0</v>
      </c>
      <c r="DF87">
        <v>1</v>
      </c>
      <c r="DG87">
        <v>0</v>
      </c>
      <c r="DH87"/>
      <c r="DI87">
        <f>SUM(DD87:DG87)</f>
        <v>1</v>
      </c>
      <c r="DJ87" t="str">
        <f>IF(DI87=1,INDEX($DD$7:$DG$7,MATCH(1,$DD87:$DG87,0)),"mixedProduct")</f>
        <v>PulpPaperInput</v>
      </c>
      <c r="DK87">
        <f>IF(DD87=1,DK$7,0)</f>
        <v>0</v>
      </c>
      <c r="DL87">
        <f>IF(DE87=1,DL$7,0)</f>
        <v>0</v>
      </c>
      <c r="DM87" t="str">
        <f>IF(DF87=1,DM$7,0)</f>
        <v>Pulp/Paper</v>
      </c>
      <c r="DN87">
        <f>IF(DG87=1,DN$7,0)</f>
        <v>0</v>
      </c>
      <c r="DO87">
        <v>0</v>
      </c>
      <c r="DP87">
        <v>1</v>
      </c>
      <c r="DQ87">
        <v>0</v>
      </c>
      <c r="DR87" t="s">
        <v>282</v>
      </c>
      <c r="DS87">
        <v>0</v>
      </c>
      <c r="DT87">
        <f>SUM(DO87:DP87)</f>
        <v>1</v>
      </c>
      <c r="DU87" s="143" t="str">
        <f>IF(DO87=1,"self-calculated DF",IF(DP87=1,"external DF used","explicit C balance"))</f>
        <v>external DF used</v>
      </c>
      <c r="DV87">
        <v>0</v>
      </c>
      <c r="DW87">
        <v>1</v>
      </c>
      <c r="DX87">
        <v>1</v>
      </c>
      <c r="DY87">
        <v>1</v>
      </c>
      <c r="DZ87">
        <v>1</v>
      </c>
      <c r="EA87" s="143">
        <v>0</v>
      </c>
      <c r="EB87">
        <v>1</v>
      </c>
      <c r="EC87">
        <v>1</v>
      </c>
      <c r="ED87">
        <v>0</v>
      </c>
      <c r="EE87">
        <v>1</v>
      </c>
      <c r="EF87">
        <v>1</v>
      </c>
      <c r="EG87">
        <v>1</v>
      </c>
      <c r="EH87">
        <v>0</v>
      </c>
      <c r="EI87" s="2">
        <v>0</v>
      </c>
      <c r="EJ87" s="1"/>
      <c r="EK87" t="str">
        <f>IF(AND(AND(AND(OR($DX87=1,$DW87=1),OR($EC87=1,$EA87=1)),SUM($DV87:$DZ87,$EF87)&gt;=4),SUM($EA87:$EE87)&gt;=2),"Whole sector","")</f>
        <v>Whole sector</v>
      </c>
      <c r="EL87" t="str">
        <f>IF(AND(AND(OR($DX87=1,$DW87=1),AND($EC87=0,$EA87=0)),SUM($DV87:$DZ87,$EF87)&gt;=4),"Ecosystem approach","")</f>
        <v/>
      </c>
      <c r="EM87" s="2" t="str">
        <f>IF(AND(AND(AND($DX87=0,$DW87=0),OR($EC87=1,$EA87=1)),SUM($EB87:$EE87)&gt;=2),"Technology approach","")</f>
        <v/>
      </c>
      <c r="EN87"/>
      <c r="EO87"/>
      <c r="EP87" t="str">
        <f>IF(ISNUMBER(BU87),IF(ABS(BU87-[2]QC_indicators!$B$2)&gt;3*[2]QC_indicators!$C$2,"C ratio",IF(ISNUMBER(BY87),IF(ABS(BY87-[2]QC_indicators!$B$1)&gt;3*[2]QC_indicators!$C$1,"DF","no"))),IF(ISNUMBER(BY87),IF(ABS(BY87-[2]QC_indicators!$B$1)&gt;3*[2]QC_indicators!$C$1,"DF","no")))</f>
        <v>no</v>
      </c>
      <c r="EQ87" t="s">
        <v>287</v>
      </c>
      <c r="ER87"/>
      <c r="ES87"/>
      <c r="ET87" s="266" t="s">
        <v>3275</v>
      </c>
      <c r="EU87"/>
    </row>
    <row r="88" spans="1:151" s="139" customFormat="1" ht="15" hidden="1" customHeight="1">
      <c r="A88" s="1" t="s">
        <v>266</v>
      </c>
      <c r="B88" t="s">
        <v>267</v>
      </c>
      <c r="C88" t="s">
        <v>268</v>
      </c>
      <c r="D88" t="s">
        <v>269</v>
      </c>
      <c r="E88" t="s">
        <v>270</v>
      </c>
      <c r="F88" t="s">
        <v>271</v>
      </c>
      <c r="G88" t="s">
        <v>272</v>
      </c>
      <c r="H88" t="s">
        <v>255</v>
      </c>
      <c r="I88">
        <v>2022</v>
      </c>
      <c r="J88">
        <v>0</v>
      </c>
      <c r="K88" t="s">
        <v>273</v>
      </c>
      <c r="L88"/>
      <c r="M88" t="str">
        <f>LEFT($D88,FIND(",",$D88)-1)&amp;"_"&amp;I88&amp;L88</f>
        <v>Aryapratama_2022</v>
      </c>
      <c r="N88" t="s">
        <v>223</v>
      </c>
      <c r="O88" s="145" t="s">
        <v>275</v>
      </c>
      <c r="P88"/>
      <c r="Q88" t="s">
        <v>225</v>
      </c>
      <c r="R88" s="264" t="s">
        <v>224</v>
      </c>
      <c r="S88" s="1" t="s">
        <v>315</v>
      </c>
      <c r="T88" t="s">
        <v>318</v>
      </c>
      <c r="U88" t="s">
        <v>319</v>
      </c>
      <c r="V88">
        <v>0</v>
      </c>
      <c r="W88">
        <v>0</v>
      </c>
      <c r="X88">
        <v>1</v>
      </c>
      <c r="Y88">
        <v>0</v>
      </c>
      <c r="Z88">
        <v>0</v>
      </c>
      <c r="AA88">
        <v>0</v>
      </c>
      <c r="AB88">
        <v>0</v>
      </c>
      <c r="AC88">
        <v>0</v>
      </c>
      <c r="AD88">
        <v>0</v>
      </c>
      <c r="AE88">
        <v>0</v>
      </c>
      <c r="AF88">
        <v>0</v>
      </c>
      <c r="AG88">
        <v>0</v>
      </c>
      <c r="AH88">
        <v>0</v>
      </c>
      <c r="AI88">
        <v>2</v>
      </c>
      <c r="AJ88">
        <v>0</v>
      </c>
      <c r="AK88">
        <v>0</v>
      </c>
      <c r="AL88">
        <v>0</v>
      </c>
      <c r="AM88">
        <v>0</v>
      </c>
      <c r="AN88">
        <v>0</v>
      </c>
      <c r="AO88">
        <v>0</v>
      </c>
      <c r="AP88">
        <v>0</v>
      </c>
      <c r="AQ88">
        <v>0</v>
      </c>
      <c r="AR88">
        <v>0</v>
      </c>
      <c r="AS88">
        <v>0</v>
      </c>
      <c r="AT88">
        <v>0</v>
      </c>
      <c r="AU88">
        <v>0</v>
      </c>
      <c r="AV88">
        <v>0</v>
      </c>
      <c r="AW88">
        <v>0</v>
      </c>
      <c r="AX88" s="141">
        <f>COUNTIF(V88:AW88,"&lt;&gt;0")</f>
        <v>2</v>
      </c>
      <c r="AY88" s="141">
        <f>COUNTIF(V88:AL88,"&lt;&gt;0")</f>
        <v>2</v>
      </c>
      <c r="AZ88">
        <f>COUNTIF(V88:AC88,"&lt;&gt;0")</f>
        <v>1</v>
      </c>
      <c r="BA88">
        <f>COUNTIF(AD88:AI88,"&lt;&gt;0")</f>
        <v>1</v>
      </c>
      <c r="BB88">
        <f>COUNTIF(AJ88:AL88,"&lt;&gt;0")</f>
        <v>0</v>
      </c>
      <c r="BC88">
        <f>COUNTIF(AS88:AW88,"&lt;&gt;0")</f>
        <v>0</v>
      </c>
      <c r="BD88">
        <f>COUNTIF(AM88:AR88,"&lt;&gt;0")</f>
        <v>0</v>
      </c>
      <c r="BE88" t="str">
        <f t="array" ref="BE88">IF(AY88=1,INDEX($V$7:$AL$7,MATCH(TRUE,INDEX($V88:$AW88&lt;&gt;0,),0)),IF(AY88=0,INDEX($AM$7:$AW$7,MATCH(1,$AM88:$AW88,0)),IF(BF88="Multiple strategies","mixed drivers",IF(BF88="Supply chain","multiple supply","multiple silviculture"))))</f>
        <v>mixed drivers</v>
      </c>
      <c r="BF88" s="2" t="str">
        <f t="array" ref="BF88">IF(COUNTIF(AZ88:BB88,"&lt;&gt;0")=1,INDEX($V$4:$AW$4,MATCH(TRUE,INDEX($V88:$AW88&lt;&gt;0,),0)),IF(COUNTIF(AZ88:BB88,"&lt;&gt;0")=0,INDEX($AM$4:$AW$4,MATCH(1,$AM88:$AW88,0)),"Multiple strategies"))</f>
        <v>Multiple strategies</v>
      </c>
      <c r="BG88" s="1" t="s">
        <v>230</v>
      </c>
      <c r="BH88" t="s">
        <v>278</v>
      </c>
      <c r="BI88" s="266" t="s">
        <v>3108</v>
      </c>
      <c r="BJ88" t="s">
        <v>279</v>
      </c>
      <c r="BK88">
        <v>227.87378039612278</v>
      </c>
      <c r="BL88">
        <v>328.05254177959995</v>
      </c>
      <c r="BM88">
        <f>BL88/BK88</f>
        <v>1.4396239058716283</v>
      </c>
      <c r="BN88">
        <f>BL88-BK88</f>
        <v>100.17876138347717</v>
      </c>
      <c r="BO88">
        <f>BN88*tC_to_m3</f>
        <v>434.99245064471199</v>
      </c>
      <c r="BP88" t="s">
        <v>233</v>
      </c>
      <c r="BQ88" s="153" t="s">
        <v>3109</v>
      </c>
      <c r="BR88" t="s">
        <v>280</v>
      </c>
      <c r="BS88">
        <v>185.53811788022131</v>
      </c>
      <c r="BT88">
        <v>-41.927947193381058</v>
      </c>
      <c r="BU88" s="144">
        <f>IFERROR(BT88/BS88,"")</f>
        <v>-0.22598023345503954</v>
      </c>
      <c r="BV88">
        <f>BT88-BS88</f>
        <v>-227.46606507360235</v>
      </c>
      <c r="BW88"/>
      <c r="BX88">
        <f>BV88</f>
        <v>-227.46606507360235</v>
      </c>
      <c r="BY88">
        <f>IFERROR(BX88/BO88,"")</f>
        <v>-0.52291956960740316</v>
      </c>
      <c r="BZ88">
        <v>0</v>
      </c>
      <c r="CA88">
        <v>0</v>
      </c>
      <c r="CB88">
        <v>0</v>
      </c>
      <c r="CC88">
        <v>0</v>
      </c>
      <c r="CD88">
        <v>0</v>
      </c>
      <c r="CE88">
        <v>0</v>
      </c>
      <c r="CF88">
        <v>0</v>
      </c>
      <c r="CG88">
        <v>0</v>
      </c>
      <c r="CH88">
        <v>0</v>
      </c>
      <c r="CI88">
        <v>0</v>
      </c>
      <c r="CJ88">
        <v>0</v>
      </c>
      <c r="CK88">
        <v>0</v>
      </c>
      <c r="CL88">
        <v>0</v>
      </c>
      <c r="CM88">
        <v>0</v>
      </c>
      <c r="CN88" t="str">
        <f>IF($BL88&lt;$BK88,"refNeedCorrection","refOK")</f>
        <v>refOK</v>
      </c>
      <c r="CO88">
        <f>IF($CN88="refOK",$BK88,$BL88)</f>
        <v>227.87378039612278</v>
      </c>
      <c r="CP88">
        <f>IF($CN88="refOK",$BL88,$BK88)</f>
        <v>328.05254177959995</v>
      </c>
      <c r="CQ88">
        <f>IF($CN88="refOK",$BO88,-$BO88)</f>
        <v>434.99245064471199</v>
      </c>
      <c r="CR88">
        <f>IF($CN88="refOK",$BS88,$BT88)*IF($BP88="Emissions positive",-1,1)</f>
        <v>185.53811788022131</v>
      </c>
      <c r="CS88">
        <f>IF($CN88="refOK",$BT88,$BS88)*IF($BP88="Emissions positive",-1,1)</f>
        <v>-41.927947193381058</v>
      </c>
      <c r="CT88">
        <f>IF($CN88="refNeedCorrection",-BX88,BX88)*IF($BP88="Emissions positive",-1,1)</f>
        <v>-227.46606507360235</v>
      </c>
      <c r="CU88">
        <f>IFERROR(CT88/CQ88,"")</f>
        <v>-0.52291956960740316</v>
      </c>
      <c r="CV88" s="2">
        <f>IFERROR((CS88-CR88)/ABS(CR88),"")</f>
        <v>-1.2259802334550394</v>
      </c>
      <c r="CW88" s="1" t="s">
        <v>235</v>
      </c>
      <c r="CX88" t="str">
        <f>IF(OR($CW88="prd",$CW88="std",$CW88="cit"),"loc",IF(OR($CW88="eur",$CW88="reg",$CW88="coy"),"reg",$CW88))</f>
        <v>loc</v>
      </c>
      <c r="CY88" t="s">
        <v>281</v>
      </c>
      <c r="CZ88"/>
      <c r="DA88"/>
      <c r="DB88">
        <v>100</v>
      </c>
      <c r="DC88" t="str">
        <f>IF(DB88=0,"0",IF(AND(DB88&gt;=1,DB88&lt;=30),"1-30",IF(AND(DB88&gt;30,DB88&lt;=70),"31-70",IF(AND(DB88&gt;70,DB88&lt;=100),"71-100",IF(DB88&gt;100,"+100")))))</f>
        <v>71-100</v>
      </c>
      <c r="DD88">
        <v>0</v>
      </c>
      <c r="DE88">
        <v>0</v>
      </c>
      <c r="DF88">
        <v>1</v>
      </c>
      <c r="DG88">
        <v>0</v>
      </c>
      <c r="DH88"/>
      <c r="DI88">
        <f>SUM(DD88:DG88)</f>
        <v>1</v>
      </c>
      <c r="DJ88" t="str">
        <f>IF(DI88=1,INDEX($DD$7:$DG$7,MATCH(1,$DD88:$DG88,0)),"mixedProduct")</f>
        <v>PulpPaperInput</v>
      </c>
      <c r="DK88">
        <f>IF(DD88=1,DK$7,0)</f>
        <v>0</v>
      </c>
      <c r="DL88">
        <f>IF(DE88=1,DL$7,0)</f>
        <v>0</v>
      </c>
      <c r="DM88" t="str">
        <f>IF(DF88=1,DM$7,0)</f>
        <v>Pulp/Paper</v>
      </c>
      <c r="DN88">
        <f>IF(DG88=1,DN$7,0)</f>
        <v>0</v>
      </c>
      <c r="DO88">
        <v>0</v>
      </c>
      <c r="DP88">
        <v>1</v>
      </c>
      <c r="DQ88">
        <v>0</v>
      </c>
      <c r="DR88" t="s">
        <v>282</v>
      </c>
      <c r="DS88">
        <v>0</v>
      </c>
      <c r="DT88">
        <f>SUM(DO88:DP88)</f>
        <v>1</v>
      </c>
      <c r="DU88" s="143" t="str">
        <f>IF(DO88=1,"self-calculated DF",IF(DP88=1,"external DF used","explicit C balance"))</f>
        <v>external DF used</v>
      </c>
      <c r="DV88">
        <v>0</v>
      </c>
      <c r="DW88">
        <v>1</v>
      </c>
      <c r="DX88">
        <v>1</v>
      </c>
      <c r="DY88">
        <v>1</v>
      </c>
      <c r="DZ88">
        <v>1</v>
      </c>
      <c r="EA88" s="143">
        <v>0</v>
      </c>
      <c r="EB88">
        <v>1</v>
      </c>
      <c r="EC88">
        <v>1</v>
      </c>
      <c r="ED88">
        <v>0</v>
      </c>
      <c r="EE88">
        <v>1</v>
      </c>
      <c r="EF88">
        <v>1</v>
      </c>
      <c r="EG88">
        <v>1</v>
      </c>
      <c r="EH88">
        <v>0</v>
      </c>
      <c r="EI88" s="2">
        <v>0</v>
      </c>
      <c r="EJ88" s="1"/>
      <c r="EK88" t="str">
        <f>IF(AND(AND(AND(OR($DX88=1,$DW88=1),OR($EC88=1,$EA88=1)),SUM($DV88:$DZ88,$EF88)&gt;=4),SUM($EA88:$EE88)&gt;=2),"Whole sector","")</f>
        <v>Whole sector</v>
      </c>
      <c r="EL88" t="str">
        <f>IF(AND(AND(OR($DX88=1,$DW88=1),AND($EC88=0,$EA88=0)),SUM($DV88:$DZ88,$EF88)&gt;=4),"Ecosystem approach","")</f>
        <v/>
      </c>
      <c r="EM88" s="2" t="str">
        <f>IF(AND(AND(AND($DX88=0,$DW88=0),OR($EC88=1,$EA88=1)),SUM($EB88:$EE88)&gt;=2),"Technology approach","")</f>
        <v/>
      </c>
      <c r="EN88"/>
      <c r="EO88"/>
      <c r="EP88" t="str">
        <f>IF(ISNUMBER(BU88),IF(ABS(BU88-[2]QC_indicators!$B$2)&gt;3*[2]QC_indicators!$C$2,"C ratio",IF(ISNUMBER(BY88),IF(ABS(BY88-[2]QC_indicators!$B$1)&gt;3*[2]QC_indicators!$C$1,"DF","no"))),IF(ISNUMBER(BY88),IF(ABS(BY88-[2]QC_indicators!$B$1)&gt;3*[2]QC_indicators!$C$1,"DF","no")))</f>
        <v>no</v>
      </c>
      <c r="EQ88" t="s">
        <v>287</v>
      </c>
      <c r="ER88"/>
      <c r="ES88"/>
      <c r="ET88" s="266" t="s">
        <v>3275</v>
      </c>
      <c r="EU88"/>
    </row>
    <row r="89" spans="1:151" s="139" customFormat="1" ht="15" hidden="1" customHeight="1">
      <c r="A89" s="1" t="s">
        <v>266</v>
      </c>
      <c r="B89" t="s">
        <v>267</v>
      </c>
      <c r="C89" t="s">
        <v>268</v>
      </c>
      <c r="D89" t="s">
        <v>269</v>
      </c>
      <c r="E89" t="s">
        <v>270</v>
      </c>
      <c r="F89" t="s">
        <v>271</v>
      </c>
      <c r="G89" t="s">
        <v>272</v>
      </c>
      <c r="H89" t="s">
        <v>255</v>
      </c>
      <c r="I89">
        <v>2022</v>
      </c>
      <c r="J89">
        <v>0</v>
      </c>
      <c r="K89" t="s">
        <v>273</v>
      </c>
      <c r="L89"/>
      <c r="M89" t="str">
        <f>LEFT($D89,FIND(",",$D89)-1)&amp;"_"&amp;I89&amp;L89</f>
        <v>Aryapratama_2022</v>
      </c>
      <c r="N89" t="s">
        <v>223</v>
      </c>
      <c r="O89" s="145" t="s">
        <v>275</v>
      </c>
      <c r="P89"/>
      <c r="Q89" t="s">
        <v>225</v>
      </c>
      <c r="R89" s="264" t="s">
        <v>224</v>
      </c>
      <c r="S89" s="1" t="s">
        <v>315</v>
      </c>
      <c r="T89" t="s">
        <v>316</v>
      </c>
      <c r="U89" t="s">
        <v>317</v>
      </c>
      <c r="V89">
        <v>0</v>
      </c>
      <c r="W89">
        <v>0</v>
      </c>
      <c r="X89">
        <v>1</v>
      </c>
      <c r="Y89">
        <v>0</v>
      </c>
      <c r="Z89">
        <v>0</v>
      </c>
      <c r="AA89">
        <v>0</v>
      </c>
      <c r="AB89">
        <v>0</v>
      </c>
      <c r="AC89">
        <v>0</v>
      </c>
      <c r="AD89">
        <v>0</v>
      </c>
      <c r="AE89">
        <v>0</v>
      </c>
      <c r="AF89">
        <v>0</v>
      </c>
      <c r="AG89">
        <v>0</v>
      </c>
      <c r="AH89">
        <v>0</v>
      </c>
      <c r="AI89">
        <v>2</v>
      </c>
      <c r="AJ89">
        <v>0</v>
      </c>
      <c r="AK89">
        <v>0</v>
      </c>
      <c r="AL89">
        <v>0</v>
      </c>
      <c r="AM89">
        <v>0</v>
      </c>
      <c r="AN89">
        <v>0</v>
      </c>
      <c r="AO89">
        <v>0</v>
      </c>
      <c r="AP89">
        <v>0</v>
      </c>
      <c r="AQ89">
        <v>0</v>
      </c>
      <c r="AR89">
        <v>0</v>
      </c>
      <c r="AS89">
        <v>0</v>
      </c>
      <c r="AT89">
        <v>0</v>
      </c>
      <c r="AU89">
        <v>0</v>
      </c>
      <c r="AV89">
        <v>0</v>
      </c>
      <c r="AW89">
        <v>0</v>
      </c>
      <c r="AX89" s="141">
        <f>COUNTIF(V89:AW89,"&lt;&gt;0")</f>
        <v>2</v>
      </c>
      <c r="AY89" s="141">
        <f>COUNTIF(V89:AL89,"&lt;&gt;0")</f>
        <v>2</v>
      </c>
      <c r="AZ89">
        <f>COUNTIF(V89:AC89,"&lt;&gt;0")</f>
        <v>1</v>
      </c>
      <c r="BA89">
        <f>COUNTIF(AD89:AI89,"&lt;&gt;0")</f>
        <v>1</v>
      </c>
      <c r="BB89">
        <f>COUNTIF(AJ89:AL89,"&lt;&gt;0")</f>
        <v>0</v>
      </c>
      <c r="BC89">
        <f>COUNTIF(AS89:AW89,"&lt;&gt;0")</f>
        <v>0</v>
      </c>
      <c r="BD89">
        <f>COUNTIF(AM89:AR89,"&lt;&gt;0")</f>
        <v>0</v>
      </c>
      <c r="BE89" t="str">
        <f t="array" ref="BE89">IF(AY89=1,INDEX($V$7:$AL$7,MATCH(TRUE,INDEX($V89:$AW89&lt;&gt;0,),0)),IF(AY89=0,INDEX($AM$7:$AW$7,MATCH(1,$AM89:$AW89,0)),IF(BF89="Multiple strategies","mixed drivers",IF(BF89="Supply chain","multiple supply","multiple silviculture"))))</f>
        <v>mixed drivers</v>
      </c>
      <c r="BF89" s="2" t="str">
        <f t="array" ref="BF89">IF(COUNTIF(AZ89:BB89,"&lt;&gt;0")=1,INDEX($V$4:$AW$4,MATCH(TRUE,INDEX($V89:$AW89&lt;&gt;0,),0)),IF(COUNTIF(AZ89:BB89,"&lt;&gt;0")=0,INDEX($AM$4:$AW$4,MATCH(1,$AM89:$AW89,0)),"Multiple strategies"))</f>
        <v>Multiple strategies</v>
      </c>
      <c r="BG89" s="1" t="s">
        <v>230</v>
      </c>
      <c r="BH89" t="s">
        <v>278</v>
      </c>
      <c r="BI89" s="266" t="s">
        <v>3108</v>
      </c>
      <c r="BJ89" t="s">
        <v>279</v>
      </c>
      <c r="BK89">
        <v>226.7291347999585</v>
      </c>
      <c r="BL89">
        <v>265.71098787093206</v>
      </c>
      <c r="BM89">
        <f>BL89/BK89</f>
        <v>1.1719313801702942</v>
      </c>
      <c r="BN89">
        <f>BL89-BK89</f>
        <v>38.981853070973557</v>
      </c>
      <c r="BO89">
        <f>BN89*tC_to_m3</f>
        <v>169.26553656523473</v>
      </c>
      <c r="BP89" t="s">
        <v>233</v>
      </c>
      <c r="BQ89" s="153" t="s">
        <v>3109</v>
      </c>
      <c r="BR89" t="s">
        <v>280</v>
      </c>
      <c r="BS89">
        <v>-617.93246272463909</v>
      </c>
      <c r="BT89">
        <v>-870.70033536556764</v>
      </c>
      <c r="BU89" s="144">
        <f>IFERROR(BT89/BS89,"")</f>
        <v>1.4090542055783952</v>
      </c>
      <c r="BV89">
        <f>BT89-BS89</f>
        <v>-252.76787264092854</v>
      </c>
      <c r="BW89"/>
      <c r="BX89">
        <f>BV89</f>
        <v>-252.76787264092854</v>
      </c>
      <c r="BY89">
        <f>IFERROR(BX89/BO89,"")</f>
        <v>-1.4933215453667505</v>
      </c>
      <c r="BZ89">
        <v>0</v>
      </c>
      <c r="CA89">
        <v>0</v>
      </c>
      <c r="CB89">
        <v>0</v>
      </c>
      <c r="CC89">
        <v>0</v>
      </c>
      <c r="CD89">
        <v>0</v>
      </c>
      <c r="CE89">
        <v>0</v>
      </c>
      <c r="CF89">
        <v>0</v>
      </c>
      <c r="CG89">
        <v>0</v>
      </c>
      <c r="CH89">
        <v>0</v>
      </c>
      <c r="CI89">
        <v>0</v>
      </c>
      <c r="CJ89">
        <v>0</v>
      </c>
      <c r="CK89">
        <v>0</v>
      </c>
      <c r="CL89">
        <v>0</v>
      </c>
      <c r="CM89">
        <v>0</v>
      </c>
      <c r="CN89" t="str">
        <f>IF($BL89&lt;$BK89,"refNeedCorrection","refOK")</f>
        <v>refOK</v>
      </c>
      <c r="CO89">
        <f>IF($CN89="refOK",$BK89,$BL89)</f>
        <v>226.7291347999585</v>
      </c>
      <c r="CP89">
        <f>IF($CN89="refOK",$BL89,$BK89)</f>
        <v>265.71098787093206</v>
      </c>
      <c r="CQ89">
        <f>IF($CN89="refOK",$BO89,-$BO89)</f>
        <v>169.26553656523473</v>
      </c>
      <c r="CR89">
        <f>IF($CN89="refOK",$BS89,$BT89)*IF($BP89="Emissions positive",-1,1)</f>
        <v>-617.93246272463909</v>
      </c>
      <c r="CS89">
        <f>IF($CN89="refOK",$BT89,$BS89)*IF($BP89="Emissions positive",-1,1)</f>
        <v>-870.70033536556764</v>
      </c>
      <c r="CT89">
        <f>IF($CN89="refNeedCorrection",-BX89,BX89)*IF($BP89="Emissions positive",-1,1)</f>
        <v>-252.76787264092854</v>
      </c>
      <c r="CU89">
        <f>IFERROR(CT89/CQ89,"")</f>
        <v>-1.4933215453667505</v>
      </c>
      <c r="CV89" s="2">
        <f>IFERROR((CS89-CR89)/ABS(CR89),"")</f>
        <v>-0.40905420557839517</v>
      </c>
      <c r="CW89" s="1" t="s">
        <v>235</v>
      </c>
      <c r="CX89" t="str">
        <f>IF(OR($CW89="prd",$CW89="std",$CW89="cit"),"loc",IF(OR($CW89="eur",$CW89="reg",$CW89="coy"),"reg",$CW89))</f>
        <v>loc</v>
      </c>
      <c r="CY89" t="s">
        <v>281</v>
      </c>
      <c r="CZ89"/>
      <c r="DA89"/>
      <c r="DB89">
        <v>50</v>
      </c>
      <c r="DC89" t="str">
        <f>IF(DB89=0,"0",IF(AND(DB89&gt;=1,DB89&lt;=30),"1-30",IF(AND(DB89&gt;30,DB89&lt;=70),"31-70",IF(AND(DB89&gt;70,DB89&lt;=100),"71-100",IF(DB89&gt;100,"+100")))))</f>
        <v>31-70</v>
      </c>
      <c r="DD89">
        <v>0</v>
      </c>
      <c r="DE89">
        <v>0</v>
      </c>
      <c r="DF89">
        <v>1</v>
      </c>
      <c r="DG89">
        <v>0</v>
      </c>
      <c r="DH89"/>
      <c r="DI89">
        <f>SUM(DD89:DG89)</f>
        <v>1</v>
      </c>
      <c r="DJ89" t="str">
        <f>IF(DI89=1,INDEX($DD$7:$DG$7,MATCH(1,$DD89:$DG89,0)),"mixedProduct")</f>
        <v>PulpPaperInput</v>
      </c>
      <c r="DK89">
        <f>IF(DD89=1,DK$7,0)</f>
        <v>0</v>
      </c>
      <c r="DL89">
        <f>IF(DE89=1,DL$7,0)</f>
        <v>0</v>
      </c>
      <c r="DM89" t="str">
        <f>IF(DF89=1,DM$7,0)</f>
        <v>Pulp/Paper</v>
      </c>
      <c r="DN89">
        <f>IF(DG89=1,DN$7,0)</f>
        <v>0</v>
      </c>
      <c r="DO89">
        <v>0</v>
      </c>
      <c r="DP89">
        <v>1</v>
      </c>
      <c r="DQ89">
        <v>0</v>
      </c>
      <c r="DR89" t="s">
        <v>282</v>
      </c>
      <c r="DS89">
        <v>0</v>
      </c>
      <c r="DT89">
        <f>SUM(DO89:DP89)</f>
        <v>1</v>
      </c>
      <c r="DU89" s="143" t="str">
        <f>IF(DO89=1,"self-calculated DF",IF(DP89=1,"external DF used","explicit C balance"))</f>
        <v>external DF used</v>
      </c>
      <c r="DV89">
        <v>0</v>
      </c>
      <c r="DW89">
        <v>1</v>
      </c>
      <c r="DX89">
        <v>1</v>
      </c>
      <c r="DY89">
        <v>1</v>
      </c>
      <c r="DZ89">
        <v>1</v>
      </c>
      <c r="EA89" s="143">
        <v>0</v>
      </c>
      <c r="EB89">
        <v>1</v>
      </c>
      <c r="EC89">
        <v>1</v>
      </c>
      <c r="ED89">
        <v>0</v>
      </c>
      <c r="EE89">
        <v>1</v>
      </c>
      <c r="EF89">
        <v>1</v>
      </c>
      <c r="EG89">
        <v>1</v>
      </c>
      <c r="EH89">
        <v>0</v>
      </c>
      <c r="EI89" s="2">
        <v>0</v>
      </c>
      <c r="EJ89" s="1"/>
      <c r="EK89" t="str">
        <f>IF(AND(AND(AND(OR($DX89=1,$DW89=1),OR($EC89=1,$EA89=1)),SUM($DV89:$DZ89,$EF89)&gt;=4),SUM($EA89:$EE89)&gt;=2),"Whole sector","")</f>
        <v>Whole sector</v>
      </c>
      <c r="EL89" t="str">
        <f>IF(AND(AND(OR($DX89=1,$DW89=1),AND($EC89=0,$EA89=0)),SUM($DV89:$DZ89,$EF89)&gt;=4),"Ecosystem approach","")</f>
        <v/>
      </c>
      <c r="EM89" s="2" t="str">
        <f>IF(AND(AND(AND($DX89=0,$DW89=0),OR($EC89=1,$EA89=1)),SUM($EB89:$EE89)&gt;=2),"Technology approach","")</f>
        <v/>
      </c>
      <c r="EN89"/>
      <c r="EO89"/>
      <c r="EP89" t="str">
        <f>IF(ISNUMBER(BU89),IF(ABS(BU89-[2]QC_indicators!$B$2)&gt;3*[2]QC_indicators!$C$2,"C ratio",IF(ISNUMBER(BY89),IF(ABS(BY89-[2]QC_indicators!$B$1)&gt;3*[2]QC_indicators!$C$1,"DF","no"))),IF(ISNUMBER(BY89),IF(ABS(BY89-[2]QC_indicators!$B$1)&gt;3*[2]QC_indicators!$C$1,"DF","no")))</f>
        <v>no</v>
      </c>
      <c r="EQ89" t="s">
        <v>287</v>
      </c>
      <c r="ER89"/>
      <c r="ES89"/>
      <c r="ET89" s="266" t="s">
        <v>3275</v>
      </c>
      <c r="EU89"/>
    </row>
    <row r="90" spans="1:151" s="139" customFormat="1" ht="15" hidden="1" customHeight="1">
      <c r="A90" s="1" t="s">
        <v>266</v>
      </c>
      <c r="B90" t="s">
        <v>267</v>
      </c>
      <c r="C90" t="s">
        <v>268</v>
      </c>
      <c r="D90" t="s">
        <v>269</v>
      </c>
      <c r="E90" t="s">
        <v>270</v>
      </c>
      <c r="F90" t="s">
        <v>271</v>
      </c>
      <c r="G90" t="s">
        <v>272</v>
      </c>
      <c r="H90" t="s">
        <v>255</v>
      </c>
      <c r="I90">
        <v>2022</v>
      </c>
      <c r="J90">
        <v>0</v>
      </c>
      <c r="K90" t="s">
        <v>273</v>
      </c>
      <c r="L90"/>
      <c r="M90" t="str">
        <f>LEFT($D90,FIND(",",$D90)-1)&amp;"_"&amp;I90&amp;L90</f>
        <v>Aryapratama_2022</v>
      </c>
      <c r="N90" t="s">
        <v>223</v>
      </c>
      <c r="O90" s="145" t="s">
        <v>275</v>
      </c>
      <c r="P90"/>
      <c r="Q90" t="s">
        <v>225</v>
      </c>
      <c r="R90" s="264" t="s">
        <v>224</v>
      </c>
      <c r="S90" s="1" t="s">
        <v>315</v>
      </c>
      <c r="T90" t="s">
        <v>318</v>
      </c>
      <c r="U90" t="s">
        <v>319</v>
      </c>
      <c r="V90">
        <v>0</v>
      </c>
      <c r="W90">
        <v>0</v>
      </c>
      <c r="X90">
        <v>1</v>
      </c>
      <c r="Y90">
        <v>0</v>
      </c>
      <c r="Z90">
        <v>0</v>
      </c>
      <c r="AA90">
        <v>0</v>
      </c>
      <c r="AB90">
        <v>0</v>
      </c>
      <c r="AC90">
        <v>0</v>
      </c>
      <c r="AD90">
        <v>0</v>
      </c>
      <c r="AE90">
        <v>0</v>
      </c>
      <c r="AF90">
        <v>0</v>
      </c>
      <c r="AG90">
        <v>0</v>
      </c>
      <c r="AH90">
        <v>0</v>
      </c>
      <c r="AI90">
        <v>2</v>
      </c>
      <c r="AJ90">
        <v>0</v>
      </c>
      <c r="AK90">
        <v>0</v>
      </c>
      <c r="AL90">
        <v>0</v>
      </c>
      <c r="AM90">
        <v>0</v>
      </c>
      <c r="AN90">
        <v>0</v>
      </c>
      <c r="AO90">
        <v>0</v>
      </c>
      <c r="AP90">
        <v>0</v>
      </c>
      <c r="AQ90">
        <v>0</v>
      </c>
      <c r="AR90">
        <v>0</v>
      </c>
      <c r="AS90">
        <v>0</v>
      </c>
      <c r="AT90">
        <v>0</v>
      </c>
      <c r="AU90">
        <v>0</v>
      </c>
      <c r="AV90">
        <v>0</v>
      </c>
      <c r="AW90">
        <v>0</v>
      </c>
      <c r="AX90" s="141">
        <f>COUNTIF(V90:AW90,"&lt;&gt;0")</f>
        <v>2</v>
      </c>
      <c r="AY90" s="141">
        <f>COUNTIF(V90:AL90,"&lt;&gt;0")</f>
        <v>2</v>
      </c>
      <c r="AZ90">
        <f>COUNTIF(V90:AC90,"&lt;&gt;0")</f>
        <v>1</v>
      </c>
      <c r="BA90">
        <f>COUNTIF(AD90:AI90,"&lt;&gt;0")</f>
        <v>1</v>
      </c>
      <c r="BB90">
        <f>COUNTIF(AJ90:AL90,"&lt;&gt;0")</f>
        <v>0</v>
      </c>
      <c r="BC90">
        <f>COUNTIF(AS90:AW90,"&lt;&gt;0")</f>
        <v>0</v>
      </c>
      <c r="BD90">
        <f>COUNTIF(AM90:AR90,"&lt;&gt;0")</f>
        <v>0</v>
      </c>
      <c r="BE90" t="str">
        <f t="array" ref="BE90">IF(AY90=1,INDEX($V$7:$AL$7,MATCH(TRUE,INDEX($V90:$AW90&lt;&gt;0,),0)),IF(AY90=0,INDEX($AM$7:$AW$7,MATCH(1,$AM90:$AW90,0)),IF(BF90="Multiple strategies","mixed drivers",IF(BF90="Supply chain","multiple supply","multiple silviculture"))))</f>
        <v>mixed drivers</v>
      </c>
      <c r="BF90" s="2" t="str">
        <f t="array" ref="BF90">IF(COUNTIF(AZ90:BB90,"&lt;&gt;0")=1,INDEX($V$4:$AW$4,MATCH(TRUE,INDEX($V90:$AW90&lt;&gt;0,),0)),IF(COUNTIF(AZ90:BB90,"&lt;&gt;0")=0,INDEX($AM$4:$AW$4,MATCH(1,$AM90:$AW90,0)),"Multiple strategies"))</f>
        <v>Multiple strategies</v>
      </c>
      <c r="BG90" s="1" t="s">
        <v>230</v>
      </c>
      <c r="BH90" t="s">
        <v>278</v>
      </c>
      <c r="BI90" s="266" t="s">
        <v>3108</v>
      </c>
      <c r="BJ90" t="s">
        <v>279</v>
      </c>
      <c r="BK90">
        <v>91.149512158449113</v>
      </c>
      <c r="BL90">
        <v>164.02627088979997</v>
      </c>
      <c r="BM90">
        <f>BL90/BK90</f>
        <v>1.7995298823395354</v>
      </c>
      <c r="BN90">
        <f>BL90-BK90</f>
        <v>72.876758731350861</v>
      </c>
      <c r="BO90">
        <f>BN90*tC_to_m3</f>
        <v>316.44272136930465</v>
      </c>
      <c r="BP90" t="s">
        <v>233</v>
      </c>
      <c r="BQ90" s="153" t="s">
        <v>3109</v>
      </c>
      <c r="BR90" t="s">
        <v>280</v>
      </c>
      <c r="BS90">
        <v>254.21120760929861</v>
      </c>
      <c r="BT90">
        <v>77.331302173432363</v>
      </c>
      <c r="BU90" s="144">
        <f>IFERROR(BT90/BS90,"")</f>
        <v>0.30420099452217747</v>
      </c>
      <c r="BV90">
        <f>BT90-BS90</f>
        <v>-176.87990543586625</v>
      </c>
      <c r="BW90"/>
      <c r="BX90">
        <f>BV90</f>
        <v>-176.87990543586625</v>
      </c>
      <c r="BY90">
        <f>IFERROR(BX90/BO90,"")</f>
        <v>-0.55896341894190216</v>
      </c>
      <c r="BZ90">
        <v>0</v>
      </c>
      <c r="CA90">
        <v>0</v>
      </c>
      <c r="CB90">
        <v>0</v>
      </c>
      <c r="CC90">
        <v>0</v>
      </c>
      <c r="CD90">
        <v>0</v>
      </c>
      <c r="CE90">
        <v>0</v>
      </c>
      <c r="CF90">
        <v>0</v>
      </c>
      <c r="CG90">
        <v>0</v>
      </c>
      <c r="CH90">
        <v>0</v>
      </c>
      <c r="CI90">
        <v>0</v>
      </c>
      <c r="CJ90">
        <v>0</v>
      </c>
      <c r="CK90">
        <v>0</v>
      </c>
      <c r="CL90">
        <v>0</v>
      </c>
      <c r="CM90">
        <v>0</v>
      </c>
      <c r="CN90" t="str">
        <f>IF($BL90&lt;$BK90,"refNeedCorrection","refOK")</f>
        <v>refOK</v>
      </c>
      <c r="CO90">
        <f>IF($CN90="refOK",$BK90,$BL90)</f>
        <v>91.149512158449113</v>
      </c>
      <c r="CP90">
        <f>IF($CN90="refOK",$BL90,$BK90)</f>
        <v>164.02627088979997</v>
      </c>
      <c r="CQ90">
        <f>IF($CN90="refOK",$BO90,-$BO90)</f>
        <v>316.44272136930465</v>
      </c>
      <c r="CR90">
        <f>IF($CN90="refOK",$BS90,$BT90)*IF($BP90="Emissions positive",-1,1)</f>
        <v>254.21120760929861</v>
      </c>
      <c r="CS90">
        <f>IF($CN90="refOK",$BT90,$BS90)*IF($BP90="Emissions positive",-1,1)</f>
        <v>77.331302173432363</v>
      </c>
      <c r="CT90">
        <f>IF($CN90="refNeedCorrection",-BX90,BX90)*IF($BP90="Emissions positive",-1,1)</f>
        <v>-176.87990543586625</v>
      </c>
      <c r="CU90">
        <f>IFERROR(CT90/CQ90,"")</f>
        <v>-0.55896341894190216</v>
      </c>
      <c r="CV90" s="2">
        <f>IFERROR((CS90-CR90)/ABS(CR90),"")</f>
        <v>-0.69579900547782259</v>
      </c>
      <c r="CW90" s="1" t="s">
        <v>235</v>
      </c>
      <c r="CX90" t="str">
        <f>IF(OR($CW90="prd",$CW90="std",$CW90="cit"),"loc",IF(OR($CW90="eur",$CW90="reg",$CW90="coy"),"reg",$CW90))</f>
        <v>loc</v>
      </c>
      <c r="CY90" t="s">
        <v>281</v>
      </c>
      <c r="CZ90"/>
      <c r="DA90"/>
      <c r="DB90">
        <v>50</v>
      </c>
      <c r="DC90" t="str">
        <f>IF(DB90=0,"0",IF(AND(DB90&gt;=1,DB90&lt;=30),"1-30",IF(AND(DB90&gt;30,DB90&lt;=70),"31-70",IF(AND(DB90&gt;70,DB90&lt;=100),"71-100",IF(DB90&gt;100,"+100")))))</f>
        <v>31-70</v>
      </c>
      <c r="DD90">
        <v>0</v>
      </c>
      <c r="DE90">
        <v>0</v>
      </c>
      <c r="DF90">
        <v>1</v>
      </c>
      <c r="DG90">
        <v>0</v>
      </c>
      <c r="DH90"/>
      <c r="DI90">
        <f>SUM(DD90:DG90)</f>
        <v>1</v>
      </c>
      <c r="DJ90" t="str">
        <f>IF(DI90=1,INDEX($DD$7:$DG$7,MATCH(1,$DD90:$DG90,0)),"mixedProduct")</f>
        <v>PulpPaperInput</v>
      </c>
      <c r="DK90">
        <f>IF(DD90=1,DK$7,0)</f>
        <v>0</v>
      </c>
      <c r="DL90">
        <f>IF(DE90=1,DL$7,0)</f>
        <v>0</v>
      </c>
      <c r="DM90" t="str">
        <f>IF(DF90=1,DM$7,0)</f>
        <v>Pulp/Paper</v>
      </c>
      <c r="DN90">
        <f>IF(DG90=1,DN$7,0)</f>
        <v>0</v>
      </c>
      <c r="DO90">
        <v>0</v>
      </c>
      <c r="DP90">
        <v>1</v>
      </c>
      <c r="DQ90">
        <v>0</v>
      </c>
      <c r="DR90" t="s">
        <v>282</v>
      </c>
      <c r="DS90">
        <v>0</v>
      </c>
      <c r="DT90">
        <f>SUM(DO90:DP90)</f>
        <v>1</v>
      </c>
      <c r="DU90" s="143" t="str">
        <f>IF(DO90=1,"self-calculated DF",IF(DP90=1,"external DF used","explicit C balance"))</f>
        <v>external DF used</v>
      </c>
      <c r="DV90">
        <v>0</v>
      </c>
      <c r="DW90">
        <v>1</v>
      </c>
      <c r="DX90">
        <v>1</v>
      </c>
      <c r="DY90">
        <v>1</v>
      </c>
      <c r="DZ90">
        <v>1</v>
      </c>
      <c r="EA90" s="143">
        <v>0</v>
      </c>
      <c r="EB90">
        <v>1</v>
      </c>
      <c r="EC90">
        <v>1</v>
      </c>
      <c r="ED90">
        <v>0</v>
      </c>
      <c r="EE90">
        <v>1</v>
      </c>
      <c r="EF90">
        <v>1</v>
      </c>
      <c r="EG90">
        <v>1</v>
      </c>
      <c r="EH90">
        <v>0</v>
      </c>
      <c r="EI90" s="2">
        <v>0</v>
      </c>
      <c r="EJ90" s="1"/>
      <c r="EK90" t="str">
        <f>IF(AND(AND(AND(OR($DX90=1,$DW90=1),OR($EC90=1,$EA90=1)),SUM($DV90:$DZ90,$EF90)&gt;=4),SUM($EA90:$EE90)&gt;=2),"Whole sector","")</f>
        <v>Whole sector</v>
      </c>
      <c r="EL90" t="str">
        <f>IF(AND(AND(OR($DX90=1,$DW90=1),AND($EC90=0,$EA90=0)),SUM($DV90:$DZ90,$EF90)&gt;=4),"Ecosystem approach","")</f>
        <v/>
      </c>
      <c r="EM90" s="2" t="str">
        <f>IF(AND(AND(AND($DX90=0,$DW90=0),OR($EC90=1,$EA90=1)),SUM($EB90:$EE90)&gt;=2),"Technology approach","")</f>
        <v/>
      </c>
      <c r="EN90"/>
      <c r="EO90"/>
      <c r="EP90" t="str">
        <f>IF(ISNUMBER(BU90),IF(ABS(BU90-[2]QC_indicators!$B$2)&gt;3*[2]QC_indicators!$C$2,"C ratio",IF(ISNUMBER(BY90),IF(ABS(BY90-[2]QC_indicators!$B$1)&gt;3*[2]QC_indicators!$C$1,"DF","no"))),IF(ISNUMBER(BY90),IF(ABS(BY90-[2]QC_indicators!$B$1)&gt;3*[2]QC_indicators!$C$1,"DF","no")))</f>
        <v>no</v>
      </c>
      <c r="EQ90" t="s">
        <v>287</v>
      </c>
      <c r="ER90"/>
      <c r="ES90"/>
      <c r="ET90" s="266" t="s">
        <v>3275</v>
      </c>
      <c r="EU90"/>
    </row>
    <row r="91" spans="1:151" s="139" customFormat="1" ht="15" hidden="1" customHeight="1">
      <c r="A91" s="1" t="s">
        <v>2116</v>
      </c>
      <c r="B91" t="s">
        <v>545</v>
      </c>
      <c r="C91" t="s">
        <v>2279</v>
      </c>
      <c r="D91" t="s">
        <v>2280</v>
      </c>
      <c r="E91" t="s">
        <v>2281</v>
      </c>
      <c r="F91" t="s">
        <v>2282</v>
      </c>
      <c r="G91" t="s">
        <v>2117</v>
      </c>
      <c r="H91" t="s">
        <v>255</v>
      </c>
      <c r="I91">
        <v>2014</v>
      </c>
      <c r="J91">
        <v>96</v>
      </c>
      <c r="K91" t="s">
        <v>2283</v>
      </c>
      <c r="L91"/>
      <c r="M91" t="str">
        <f>LEFT($D91,FIND(",",$D91)-1)&amp;"_"&amp;I91&amp;L91</f>
        <v>Smyth_2014</v>
      </c>
      <c r="N91" t="s">
        <v>223</v>
      </c>
      <c r="O91" s="145" t="s">
        <v>342</v>
      </c>
      <c r="P91"/>
      <c r="Q91" t="s">
        <v>257</v>
      </c>
      <c r="R91" s="264" t="s">
        <v>224</v>
      </c>
      <c r="S91" s="1" t="s">
        <v>2294</v>
      </c>
      <c r="T91" t="s">
        <v>1157</v>
      </c>
      <c r="U91" t="s">
        <v>2295</v>
      </c>
      <c r="V91">
        <v>0</v>
      </c>
      <c r="W91">
        <v>0</v>
      </c>
      <c r="X91">
        <v>0</v>
      </c>
      <c r="Y91">
        <v>1</v>
      </c>
      <c r="Z91">
        <v>0</v>
      </c>
      <c r="AA91">
        <v>0</v>
      </c>
      <c r="AB91">
        <v>0</v>
      </c>
      <c r="AC91">
        <v>0</v>
      </c>
      <c r="AD91">
        <v>0</v>
      </c>
      <c r="AE91">
        <v>0</v>
      </c>
      <c r="AF91">
        <v>0</v>
      </c>
      <c r="AG91">
        <v>0</v>
      </c>
      <c r="AH91">
        <v>0</v>
      </c>
      <c r="AI91">
        <v>0</v>
      </c>
      <c r="AJ91">
        <v>2</v>
      </c>
      <c r="AK91">
        <v>0</v>
      </c>
      <c r="AL91">
        <v>0</v>
      </c>
      <c r="AM91">
        <v>0</v>
      </c>
      <c r="AN91">
        <v>0</v>
      </c>
      <c r="AO91">
        <v>0</v>
      </c>
      <c r="AP91">
        <v>0</v>
      </c>
      <c r="AQ91">
        <v>0</v>
      </c>
      <c r="AR91">
        <v>0</v>
      </c>
      <c r="AS91">
        <v>0</v>
      </c>
      <c r="AT91">
        <v>0</v>
      </c>
      <c r="AU91">
        <v>0</v>
      </c>
      <c r="AV91">
        <v>0</v>
      </c>
      <c r="AW91">
        <v>0</v>
      </c>
      <c r="AX91" s="141">
        <f>COUNTIF(V91:AW91,"&lt;&gt;0")</f>
        <v>2</v>
      </c>
      <c r="AY91" s="141">
        <f>COUNTIF(V91:AL91,"&lt;&gt;0")</f>
        <v>2</v>
      </c>
      <c r="AZ91">
        <f>COUNTIF(V91:AC91,"&lt;&gt;0")</f>
        <v>1</v>
      </c>
      <c r="BA91">
        <f>COUNTIF(AD91:AI91,"&lt;&gt;0")</f>
        <v>0</v>
      </c>
      <c r="BB91">
        <f>COUNTIF(AJ91:AL91,"&lt;&gt;0")</f>
        <v>1</v>
      </c>
      <c r="BC91">
        <f>COUNTIF(AS91:AW91,"&lt;&gt;0")</f>
        <v>0</v>
      </c>
      <c r="BD91">
        <f>COUNTIF(AM91:AR91,"&lt;&gt;0")</f>
        <v>0</v>
      </c>
      <c r="BE91" t="str">
        <f t="array" ref="BE91">IF(AY91=1,INDEX($V$7:$AL$7,MATCH(TRUE,INDEX($V91:$AW91&lt;&gt;0,),0)),IF(AY91=0,INDEX($AM$7:$AW$7,MATCH(1,$AM91:$AW91,0)),IF(BF91="Multiple strategies","mixed drivers",IF(BF91="Supply chain","multiple supply","multiple silviculture"))))</f>
        <v>mixed drivers</v>
      </c>
      <c r="BF91" s="2" t="str">
        <f t="array" ref="BF91">IF(COUNTIF(AZ91:BB91,"&lt;&gt;0")=1,INDEX($V$4:$AW$4,MATCH(TRUE,INDEX($V91:$AW91&lt;&gt;0,),0)),IF(COUNTIF(AZ91:BB91,"&lt;&gt;0")=0,INDEX($AM$4:$AW$4,MATCH(1,$AM91:$AW91,0)),"Multiple strategies"))</f>
        <v>Multiple strategies</v>
      </c>
      <c r="BG91" s="1" t="s">
        <v>322</v>
      </c>
      <c r="BH91" t="s">
        <v>2296</v>
      </c>
      <c r="BI91" s="266" t="s">
        <v>1038</v>
      </c>
      <c r="BJ91" t="s">
        <v>2290</v>
      </c>
      <c r="BK91">
        <v>0</v>
      </c>
      <c r="BL91">
        <v>9.9</v>
      </c>
      <c r="BM91"/>
      <c r="BN91">
        <f>BL91-BK91</f>
        <v>9.9</v>
      </c>
      <c r="BO91">
        <f>BN91*10^6*tC_to_m3</f>
        <v>42987407.729049072</v>
      </c>
      <c r="BP91" t="s">
        <v>233</v>
      </c>
      <c r="BQ91" s="269" t="s">
        <v>3245</v>
      </c>
      <c r="BR91" s="266" t="s">
        <v>3246</v>
      </c>
      <c r="BS91"/>
      <c r="BT91"/>
      <c r="BU91" s="144"/>
      <c r="BV91">
        <f>511/35</f>
        <v>14.6</v>
      </c>
      <c r="BW91"/>
      <c r="BX91">
        <f>BV91*10^6</f>
        <v>14600000</v>
      </c>
      <c r="BY91">
        <f>IFERROR(BX91/BO91,"")</f>
        <v>0.3396343434343434</v>
      </c>
      <c r="BZ91">
        <v>0</v>
      </c>
      <c r="CA91">
        <v>1</v>
      </c>
      <c r="CB91">
        <v>1</v>
      </c>
      <c r="CC91">
        <v>1</v>
      </c>
      <c r="CD91">
        <v>0</v>
      </c>
      <c r="CE91">
        <v>0</v>
      </c>
      <c r="CF91">
        <v>0</v>
      </c>
      <c r="CG91">
        <v>0</v>
      </c>
      <c r="CH91">
        <v>0</v>
      </c>
      <c r="CI91">
        <v>0</v>
      </c>
      <c r="CJ91">
        <v>0</v>
      </c>
      <c r="CK91">
        <v>0</v>
      </c>
      <c r="CL91">
        <v>0</v>
      </c>
      <c r="CM91">
        <v>0</v>
      </c>
      <c r="CN91" t="str">
        <f>IF($BL91&lt;$BK91,"refNeedCorrection","refOK")</f>
        <v>refOK</v>
      </c>
      <c r="CO91">
        <f>IF($CN91="refOK",$BK91,$BL91)</f>
        <v>0</v>
      </c>
      <c r="CP91">
        <f>IF($CN91="refOK",$BL91,$BK91)</f>
        <v>9.9</v>
      </c>
      <c r="CQ91">
        <f>IF($CN91="refOK",$BO91,-$BO91)</f>
        <v>42987407.729049072</v>
      </c>
      <c r="CR91">
        <f>IF($CN91="refOK",$BS91,$BT91)*IF($BP91="Emissions positive",-1,1)</f>
        <v>0</v>
      </c>
      <c r="CS91">
        <f>IF($CN91="refOK",$BT91,$BS91)*IF($BP91="Emissions positive",-1,1)</f>
        <v>0</v>
      </c>
      <c r="CT91">
        <f>IF($CN91="refNeedCorrection",-BX91,BX91)*IF($BP91="Emissions positive",-1,1)</f>
        <v>14600000</v>
      </c>
      <c r="CU91">
        <f>IFERROR(CT91/CQ91,"")</f>
        <v>0.3396343434343434</v>
      </c>
      <c r="CV91" s="2" t="str">
        <f>IFERROR((CS91-CR91)/ABS(CR91),"")</f>
        <v/>
      </c>
      <c r="CW91" s="1" t="s">
        <v>1205</v>
      </c>
      <c r="CX91" t="str">
        <f>IF(OR($CW91="prd",$CW91="std",$CW91="cit"),"loc",IF(OR($CW91="eur",$CW91="reg",$CW91="coy"),"reg",$CW91))</f>
        <v>reg</v>
      </c>
      <c r="CY91" t="s">
        <v>541</v>
      </c>
      <c r="CZ91">
        <v>2015</v>
      </c>
      <c r="DA91">
        <v>2050</v>
      </c>
      <c r="DB91">
        <v>35</v>
      </c>
      <c r="DC91" t="str">
        <f>IF(DB91=0,"0",IF(AND(DB91&gt;=1,DB91&lt;=30),"1-30",IF(AND(DB91&gt;30,DB91&lt;=70),"31-70",IF(AND(DB91&gt;70,DB91&lt;=100),"71-100",IF(DB91&gt;100,"+100")))))</f>
        <v>31-70</v>
      </c>
      <c r="DD91">
        <v>0</v>
      </c>
      <c r="DE91">
        <v>1</v>
      </c>
      <c r="DF91">
        <v>1</v>
      </c>
      <c r="DG91">
        <v>1</v>
      </c>
      <c r="DH91"/>
      <c r="DI91">
        <f>SUM(DD91:DG91)</f>
        <v>3</v>
      </c>
      <c r="DJ91" t="str">
        <f>IF(DI91=1,INDEX($DD$7:$DG$7,MATCH(1,$DD91:$DG91,0)),"mixedProduct")</f>
        <v>mixedProduct</v>
      </c>
      <c r="DK91">
        <f>IF(DD91=1,DK$7,0)</f>
        <v>0</v>
      </c>
      <c r="DL91" t="str">
        <f>IF(DE91=1,DL$7,0)</f>
        <v>Energy</v>
      </c>
      <c r="DM91" t="str">
        <f>IF(DF91=1,DM$7,0)</f>
        <v>Pulp/Paper</v>
      </c>
      <c r="DN91" t="str">
        <f>IF(DG91=1,DN$7,0)</f>
        <v>Timber</v>
      </c>
      <c r="DO91">
        <v>1</v>
      </c>
      <c r="DP91">
        <v>1</v>
      </c>
      <c r="DQ91" t="s">
        <v>2286</v>
      </c>
      <c r="DR91">
        <v>0</v>
      </c>
      <c r="DS91">
        <v>0</v>
      </c>
      <c r="DT91">
        <f>SUM(DO91:DP91)</f>
        <v>2</v>
      </c>
      <c r="DU91" s="143" t="str">
        <f>IF(DO91=1,"self-calculated DF",IF(DP91=1,"external DF used","explicit C balance"))</f>
        <v>self-calculated DF</v>
      </c>
      <c r="DV91">
        <v>1</v>
      </c>
      <c r="DW91">
        <v>1</v>
      </c>
      <c r="DX91">
        <v>1</v>
      </c>
      <c r="DY91">
        <v>1</v>
      </c>
      <c r="DZ91">
        <v>1</v>
      </c>
      <c r="EA91">
        <v>1</v>
      </c>
      <c r="EB91">
        <v>0</v>
      </c>
      <c r="EC91">
        <v>0</v>
      </c>
      <c r="ED91">
        <v>0</v>
      </c>
      <c r="EE91">
        <v>0</v>
      </c>
      <c r="EF91">
        <v>1</v>
      </c>
      <c r="EG91">
        <v>0</v>
      </c>
      <c r="EH91">
        <v>0</v>
      </c>
      <c r="EI91" s="2">
        <v>0</v>
      </c>
      <c r="EJ91" s="1"/>
      <c r="EK91" t="str">
        <f>IF(AND(AND(AND(OR($DX91=1,$DW91=1),OR($EC91=1,$EA91=1)),SUM($DV91:$DZ91,$EF91)&gt;=4),SUM($EA91:$EE91)&gt;=2),"Whole sector","")</f>
        <v/>
      </c>
      <c r="EL91" t="str">
        <f>IF(AND(AND(OR($DX91=1,$DW91=1),AND($EC91=0,$EA91=0)),SUM($DV91:$DZ91,$EF91)&gt;=4),"Ecosystem approach","")</f>
        <v/>
      </c>
      <c r="EM91" s="2" t="str">
        <f>IF(AND(AND(AND($DX91=0,$DW91=0),OR($EC91=1,$EA91=1)),SUM($EB91:$EE91)&gt;=2),"Technology approach","")</f>
        <v/>
      </c>
      <c r="EN91"/>
      <c r="EO91"/>
      <c r="EP91" t="str">
        <f>IF(ISNUMBER(BU91),IF(ABS(BU91-[2]QC_indicators!$B$2)&gt;3*[2]QC_indicators!$C$2,"C ratio",IF(ISNUMBER(BY91),IF(ABS(BY91-[2]QC_indicators!$B$1)&gt;3*[2]QC_indicators!$C$1,"DF","no"))),IF(ISNUMBER(BY91),IF(ABS(BY91-[2]QC_indicators!$B$1)&gt;3*[2]QC_indicators!$C$1,"DF","no")))</f>
        <v>no</v>
      </c>
      <c r="EQ91"/>
      <c r="ER91"/>
      <c r="ES91"/>
      <c r="ET91" s="270" t="s">
        <v>3244</v>
      </c>
      <c r="EU91"/>
    </row>
    <row r="92" spans="1:151" s="139" customFormat="1" ht="15" customHeight="1">
      <c r="A92" s="1" t="s">
        <v>1810</v>
      </c>
      <c r="B92" t="s">
        <v>2477</v>
      </c>
      <c r="C92" t="s">
        <v>2478</v>
      </c>
      <c r="D92" t="s">
        <v>2479</v>
      </c>
      <c r="E92" t="s">
        <v>2480</v>
      </c>
      <c r="F92" t="s">
        <v>2481</v>
      </c>
      <c r="G92" t="s">
        <v>1816</v>
      </c>
      <c r="H92" t="s">
        <v>255</v>
      </c>
      <c r="I92">
        <v>2010</v>
      </c>
      <c r="J92">
        <v>100</v>
      </c>
      <c r="K92" t="s">
        <v>2482</v>
      </c>
      <c r="L92"/>
      <c r="M92" t="str">
        <f>LEFT($D92,FIND(",",$D92)-1)&amp;"_"&amp;I92&amp;L92</f>
        <v>Werner_2010</v>
      </c>
      <c r="N92" t="s">
        <v>223</v>
      </c>
      <c r="O92" s="145" t="s">
        <v>1156</v>
      </c>
      <c r="P92"/>
      <c r="Q92" t="s">
        <v>257</v>
      </c>
      <c r="R92" s="264" t="s">
        <v>224</v>
      </c>
      <c r="S92" s="265" t="s">
        <v>3257</v>
      </c>
      <c r="T92" t="s">
        <v>2484</v>
      </c>
      <c r="U92" t="s">
        <v>2490</v>
      </c>
      <c r="V92">
        <v>2</v>
      </c>
      <c r="W92">
        <v>0</v>
      </c>
      <c r="X92">
        <v>1</v>
      </c>
      <c r="Y92">
        <v>2</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s="141">
        <f>COUNTIF(V92:AW92,"&lt;&gt;0")</f>
        <v>3</v>
      </c>
      <c r="AY92" s="141">
        <f>COUNTIF(V92:AL92,"&lt;&gt;0")</f>
        <v>3</v>
      </c>
      <c r="AZ92">
        <f>COUNTIF(V92:AC92,"&lt;&gt;0")</f>
        <v>3</v>
      </c>
      <c r="BA92">
        <f>COUNTIF(AD92:AI92,"&lt;&gt;0")</f>
        <v>0</v>
      </c>
      <c r="BB92">
        <f>COUNTIF(AJ92:AL92,"&lt;&gt;0")</f>
        <v>0</v>
      </c>
      <c r="BC92">
        <f>COUNTIF(AS92:AW92,"&lt;&gt;0")</f>
        <v>0</v>
      </c>
      <c r="BD92">
        <f>COUNTIF(AM92:AR92,"&lt;&gt;0")</f>
        <v>0</v>
      </c>
      <c r="BE92" t="str">
        <f t="array" ref="BE92">IF(AY92=1,INDEX($V$7:$AL$7,MATCH(TRUE,INDEX($V92:$AW92&lt;&gt;0,),0)),IF(AY92=0,INDEX($AM$7:$AW$7,MATCH(1,$AM92:$AW92,0)),IF(BF92="Multiple strategies","mixed drivers",IF(BF92="Supply chain","multiple supply","multiple silviculture"))))</f>
        <v>multiple silviculture</v>
      </c>
      <c r="BF92" s="2" t="str" cm="1">
        <f t="array" ref="BF92">IF(COUNTIF(AZ92:BB92,"&lt;&gt;0")=1,INDEX($V$4:$AW$4,MATCH(TRUE,INDEX($V92:$AW92&lt;&gt;0,),0)),IF(COUNTIF(AZ92:BB92,"&lt;&gt;0")=0,INDEX($AM$4:$AW$4,MATCH(1,$AM92:$AW92,0)),"Multiple strategies"))</f>
        <v>SilvicultureRemov</v>
      </c>
      <c r="BG92" s="1" t="s">
        <v>322</v>
      </c>
      <c r="BH92" t="s">
        <v>2455</v>
      </c>
      <c r="BI92" s="266" t="s">
        <v>3254</v>
      </c>
      <c r="BJ92" t="s">
        <v>1325</v>
      </c>
      <c r="BK92">
        <v>120</v>
      </c>
      <c r="BL92">
        <v>213</v>
      </c>
      <c r="BM92" s="143">
        <f>BL92/BK92</f>
        <v>1.7749999999999999</v>
      </c>
      <c r="BN92">
        <f>BL92-BK92</f>
        <v>93</v>
      </c>
      <c r="BO92">
        <f>BN92*10^6</f>
        <v>93000000</v>
      </c>
      <c r="BP92" t="s">
        <v>233</v>
      </c>
      <c r="BQ92" s="153" t="s">
        <v>3255</v>
      </c>
      <c r="BR92" t="s">
        <v>2327</v>
      </c>
      <c r="BS92">
        <v>227.98379614391621</v>
      </c>
      <c r="BT92">
        <v>99.185361744145396</v>
      </c>
      <c r="BU92" s="144">
        <f>IFERROR(BT92/BS92,"")</f>
        <v>0.4350544355421383</v>
      </c>
      <c r="BV92" s="144">
        <f>BT92-BS92</f>
        <v>-128.79843439977083</v>
      </c>
      <c r="BW92" s="144"/>
      <c r="BX92">
        <f>BV92*10^6</f>
        <v>-128798434.39977083</v>
      </c>
      <c r="BY92">
        <f>IFERROR(BX92/BO92,"")</f>
        <v>-1.3849294021480734</v>
      </c>
      <c r="BZ92">
        <v>0</v>
      </c>
      <c r="CA92">
        <v>0</v>
      </c>
      <c r="CB92">
        <v>0</v>
      </c>
      <c r="CC92">
        <v>0</v>
      </c>
      <c r="CD92">
        <v>0</v>
      </c>
      <c r="CE92">
        <v>0</v>
      </c>
      <c r="CF92">
        <v>0</v>
      </c>
      <c r="CG92">
        <v>0</v>
      </c>
      <c r="CH92">
        <v>0</v>
      </c>
      <c r="CI92">
        <v>0</v>
      </c>
      <c r="CJ92">
        <v>0</v>
      </c>
      <c r="CK92">
        <v>0</v>
      </c>
      <c r="CL92">
        <v>0</v>
      </c>
      <c r="CM92">
        <v>1</v>
      </c>
      <c r="CN92" t="str">
        <f>IF($BL92&lt;$BK92,"refNeedCorrection","refOK")</f>
        <v>refOK</v>
      </c>
      <c r="CO92">
        <f>IF($CN92="refOK",$BK92,$BL92)</f>
        <v>120</v>
      </c>
      <c r="CP92">
        <f>IF($CN92="refOK",$BL92,$BK92)</f>
        <v>213</v>
      </c>
      <c r="CQ92">
        <f>IF($CN92="refOK",$BO92,-$BO92)</f>
        <v>93000000</v>
      </c>
      <c r="CR92">
        <f>IF($CN92="refOK",$BS92,$BT92)*IF($BP92="Emissions positive",-1,1)</f>
        <v>227.98379614391621</v>
      </c>
      <c r="CS92">
        <f>IF($CN92="refOK",$BT92,$BS92)*IF($BP92="Emissions positive",-1,1)</f>
        <v>99.185361744145396</v>
      </c>
      <c r="CT92">
        <f>IF($CN92="refNeedCorrection",-BX92,BX92)*IF($BP92="Emissions positive",-1,1)</f>
        <v>-128798434.39977083</v>
      </c>
      <c r="CU92">
        <f>IFERROR(CT92/CQ92,"")</f>
        <v>-1.3849294021480734</v>
      </c>
      <c r="CV92" s="2">
        <f>IFERROR((CS92-CR92)/ABS(CR92),"")</f>
        <v>-0.5649455644578617</v>
      </c>
      <c r="CW92" s="1" t="s">
        <v>1205</v>
      </c>
      <c r="CX92" t="str">
        <f>IF(OR($CW92="prd",$CW92="std",$CW92="cit"),"loc",IF(OR($CW92="eur",$CW92="reg",$CW92="coy"),"reg",$CW92))</f>
        <v>reg</v>
      </c>
      <c r="CY92" t="s">
        <v>641</v>
      </c>
      <c r="CZ92">
        <v>2000</v>
      </c>
      <c r="DA92">
        <v>2030</v>
      </c>
      <c r="DB92">
        <f>DA92-CZ92</f>
        <v>30</v>
      </c>
      <c r="DC92" t="str">
        <f>IF(DB92=0,"0",IF(AND(DB92&gt;=1,DB92&lt;=30),"1-30",IF(AND(DB92&gt;30,DB92&lt;=70),"31-70",IF(AND(DB92&gt;70,DB92&lt;=100),"71-100",IF(DB92&gt;100,"+100")))))</f>
        <v>1-30</v>
      </c>
      <c r="DD92">
        <v>0</v>
      </c>
      <c r="DE92">
        <v>1</v>
      </c>
      <c r="DF92">
        <v>0</v>
      </c>
      <c r="DG92">
        <v>0</v>
      </c>
      <c r="DH92">
        <v>0</v>
      </c>
      <c r="DI92">
        <f>SUM(DD92:DG92)</f>
        <v>1</v>
      </c>
      <c r="DJ92" t="str">
        <f>IF(DI92=1,INDEX($DD$7:$DG$7,MATCH(1,$DD92:$DG92,0)),"mixedProduct")</f>
        <v>EnergyInput</v>
      </c>
      <c r="DK92">
        <f>IF(DD92=1,DK$7,0)</f>
        <v>0</v>
      </c>
      <c r="DL92" t="str">
        <f>IF(DE92=1,DL$7,0)</f>
        <v>Energy</v>
      </c>
      <c r="DM92">
        <f>IF(DF92=1,DM$7,0)</f>
        <v>0</v>
      </c>
      <c r="DN92">
        <f>IF(DG92=1,DN$7,0)</f>
        <v>0</v>
      </c>
      <c r="DO92">
        <v>0</v>
      </c>
      <c r="DP92">
        <v>0</v>
      </c>
      <c r="DQ92"/>
      <c r="DR92"/>
      <c r="DS92"/>
      <c r="DT92">
        <f>SUM(DO92:DP92)</f>
        <v>0</v>
      </c>
      <c r="DU92" s="143" t="str">
        <f>IF(DO92=1,"self-calculated DF",IF(DP92=1,"external DF used","explicit C balance"))</f>
        <v>explicit C balance</v>
      </c>
      <c r="DV92">
        <v>1</v>
      </c>
      <c r="DW92">
        <v>1</v>
      </c>
      <c r="DX92">
        <v>1</v>
      </c>
      <c r="DY92">
        <v>1</v>
      </c>
      <c r="DZ92">
        <v>1</v>
      </c>
      <c r="EA92" s="143">
        <v>0</v>
      </c>
      <c r="EB92">
        <v>0</v>
      </c>
      <c r="EC92">
        <v>0</v>
      </c>
      <c r="ED92">
        <v>0</v>
      </c>
      <c r="EE92">
        <v>0</v>
      </c>
      <c r="EF92">
        <v>1</v>
      </c>
      <c r="EG92">
        <v>0</v>
      </c>
      <c r="EH92">
        <v>0</v>
      </c>
      <c r="EI92" s="2">
        <v>0</v>
      </c>
      <c r="EJ92" s="1"/>
      <c r="EK92" t="str">
        <f>IF(AND(AND(AND(OR($DX92=1,$DW92=1),OR($EC92=1,$EA92=1)),SUM($DV92:$DZ92,$EF92)&gt;=4),SUM($EA92:$EE92)&gt;=2),"Whole sector","")</f>
        <v/>
      </c>
      <c r="EL92" t="str">
        <f>IF(AND(AND(OR($DX92=1,$DW92=1),AND($EC92=0,$EA92=0)),SUM($DV92:$DZ92,$EF92)&gt;=4),"Ecosystem approach","")</f>
        <v>Ecosystem approach</v>
      </c>
      <c r="EM92" s="2" t="str">
        <f>IF(AND(AND(AND($DX92=0,$DW92=0),OR($EC92=1,$EA92=1)),SUM($EB92:$EE92)&gt;=2),"Technology approach","")</f>
        <v/>
      </c>
      <c r="EN92" t="s">
        <v>2487</v>
      </c>
      <c r="EO92"/>
      <c r="EP92" t="str">
        <f>IF(ISNUMBER(BU92),IF(ABS(BU92-[2]QC_indicators!$B$2)&gt;3*[2]QC_indicators!$C$2,"C ratio",IF(ISNUMBER(BY92),IF(ABS(BY92-[2]QC_indicators!$B$1)&gt;3*[2]QC_indicators!$C$1,"DF","no"))),IF(ISNUMBER(BY92),IF(ABS(BY92-[2]QC_indicators!$B$1)&gt;3*[2]QC_indicators!$C$1,"DF","no")))</f>
        <v>no</v>
      </c>
      <c r="EQ92"/>
      <c r="ER92"/>
      <c r="ES92"/>
      <c r="ET92" s="266" t="s">
        <v>3256</v>
      </c>
      <c r="EU92"/>
    </row>
    <row r="93" spans="1:151" s="139" customFormat="1" ht="15" hidden="1" customHeight="1">
      <c r="A93" s="1" t="s">
        <v>1425</v>
      </c>
      <c r="B93" t="s">
        <v>2492</v>
      </c>
      <c r="C93" t="s">
        <v>2493</v>
      </c>
      <c r="D93" t="s">
        <v>2494</v>
      </c>
      <c r="E93" t="s">
        <v>2495</v>
      </c>
      <c r="F93" t="s">
        <v>2496</v>
      </c>
      <c r="G93" t="s">
        <v>1431</v>
      </c>
      <c r="H93" t="s">
        <v>255</v>
      </c>
      <c r="I93">
        <v>2016</v>
      </c>
      <c r="J93">
        <v>24</v>
      </c>
      <c r="K93" t="s">
        <v>2497</v>
      </c>
      <c r="L93"/>
      <c r="M93" t="str">
        <f>LEFT($D93,FIND(",",$D93)-1)&amp;"_"&amp;I93&amp;L93</f>
        <v>Zubizarreta-Gerendiain_2016</v>
      </c>
      <c r="N93" t="s">
        <v>223</v>
      </c>
      <c r="O93" s="145" t="s">
        <v>1156</v>
      </c>
      <c r="P93"/>
      <c r="Q93" t="s">
        <v>257</v>
      </c>
      <c r="R93" s="264" t="s">
        <v>224</v>
      </c>
      <c r="S93" s="1" t="s">
        <v>2498</v>
      </c>
      <c r="T93" t="s">
        <v>2507</v>
      </c>
      <c r="U93" t="s">
        <v>2506</v>
      </c>
      <c r="V93">
        <v>0</v>
      </c>
      <c r="W93">
        <v>0</v>
      </c>
      <c r="X93">
        <v>0</v>
      </c>
      <c r="Y93">
        <v>2</v>
      </c>
      <c r="Z93">
        <v>0</v>
      </c>
      <c r="AA93">
        <v>0</v>
      </c>
      <c r="AB93">
        <v>0</v>
      </c>
      <c r="AC93">
        <v>0</v>
      </c>
      <c r="AD93">
        <v>0</v>
      </c>
      <c r="AE93">
        <v>0</v>
      </c>
      <c r="AF93">
        <v>1</v>
      </c>
      <c r="AG93">
        <v>0</v>
      </c>
      <c r="AH93">
        <v>0</v>
      </c>
      <c r="AI93">
        <v>0</v>
      </c>
      <c r="AJ93">
        <v>0</v>
      </c>
      <c r="AK93">
        <v>0</v>
      </c>
      <c r="AL93">
        <v>0</v>
      </c>
      <c r="AM93">
        <v>0</v>
      </c>
      <c r="AN93">
        <v>0</v>
      </c>
      <c r="AO93">
        <v>0</v>
      </c>
      <c r="AP93">
        <v>0</v>
      </c>
      <c r="AQ93">
        <v>0</v>
      </c>
      <c r="AR93">
        <v>0</v>
      </c>
      <c r="AS93">
        <v>0</v>
      </c>
      <c r="AT93">
        <v>0</v>
      </c>
      <c r="AU93">
        <v>0</v>
      </c>
      <c r="AV93">
        <v>0</v>
      </c>
      <c r="AW93">
        <v>0</v>
      </c>
      <c r="AX93" s="141">
        <f>COUNTIF(V93:AW93,"&lt;&gt;0")</f>
        <v>2</v>
      </c>
      <c r="AY93" s="141">
        <f>COUNTIF(V93:AL93,"&lt;&gt;0")</f>
        <v>2</v>
      </c>
      <c r="AZ93">
        <f>COUNTIF(V93:AC93,"&lt;&gt;0")</f>
        <v>1</v>
      </c>
      <c r="BA93">
        <f>COUNTIF(AD93:AI93,"&lt;&gt;0")</f>
        <v>1</v>
      </c>
      <c r="BB93">
        <f>COUNTIF(AJ93:AL93,"&lt;&gt;0")</f>
        <v>0</v>
      </c>
      <c r="BC93">
        <f>COUNTIF(AS93:AW93,"&lt;&gt;0")</f>
        <v>0</v>
      </c>
      <c r="BD93">
        <f>COUNTIF(AM93:AR93,"&lt;&gt;0")</f>
        <v>0</v>
      </c>
      <c r="BE93" t="str">
        <f t="array" ref="BE93">IF(AY93=1,INDEX($V$7:$AL$7,MATCH(TRUE,INDEX($V93:$AW93&lt;&gt;0,),0)),IF(AY93=0,INDEX($AM$7:$AW$7,MATCH(1,$AM93:$AW93,0)),IF(BF93="Multiple strategies","mixed drivers",IF(BF93="Supply chain","multiple supply","multiple silviculture"))))</f>
        <v>mixed drivers</v>
      </c>
      <c r="BF93" s="2" t="str">
        <f t="array" ref="BF93">IF(COUNTIF(AZ93:BB93,"&lt;&gt;0")=1,INDEX($V$4:$AW$4,MATCH(TRUE,INDEX($V93:$AW93&lt;&gt;0,),0)),IF(COUNTIF(AZ93:BB93,"&lt;&gt;0")=0,INDEX($AM$4:$AW$4,MATCH(1,$AM93:$AW93,0)),"Multiple strategies"))</f>
        <v>Multiple strategies</v>
      </c>
      <c r="BG93" s="1" t="s">
        <v>322</v>
      </c>
      <c r="BH93" t="s">
        <v>2501</v>
      </c>
      <c r="BI93" s="266" t="s">
        <v>2115</v>
      </c>
      <c r="BJ93" t="s">
        <v>2502</v>
      </c>
      <c r="BK93">
        <v>70.434782608695599</v>
      </c>
      <c r="BL93">
        <v>82.634271099744197</v>
      </c>
      <c r="BM93" s="143">
        <f>BL93/BK93</f>
        <v>1.1732026143790852</v>
      </c>
      <c r="BN93">
        <f>BL93-BK93</f>
        <v>12.199488491048598</v>
      </c>
      <c r="BO93">
        <f>BN93*1000*t_to_m3</f>
        <v>24896.915287854281</v>
      </c>
      <c r="BP93" s="143" t="s">
        <v>233</v>
      </c>
      <c r="BQ93" s="143" t="s">
        <v>3258</v>
      </c>
      <c r="BR93" t="s">
        <v>1197</v>
      </c>
      <c r="BS93">
        <v>105771.90289102923</v>
      </c>
      <c r="BT93">
        <v>12625.588954781248</v>
      </c>
      <c r="BU93" s="144">
        <f>IFERROR(BT93/BS93,"")</f>
        <v>0.11936618903215417</v>
      </c>
      <c r="BV93" s="144">
        <f>BT93-BS93</f>
        <v>-93146.313936247985</v>
      </c>
      <c r="BW93" s="144"/>
      <c r="BX93" s="144">
        <f>BV93</f>
        <v>-93146.313936247985</v>
      </c>
      <c r="BY93">
        <f>IFERROR(BX93/BO93,"")</f>
        <v>-3.7412793054603237</v>
      </c>
      <c r="BZ93">
        <v>0</v>
      </c>
      <c r="CA93">
        <v>0</v>
      </c>
      <c r="CB93">
        <v>0</v>
      </c>
      <c r="CC93">
        <v>0</v>
      </c>
      <c r="CD93">
        <v>0</v>
      </c>
      <c r="CE93">
        <v>0</v>
      </c>
      <c r="CF93">
        <v>0</v>
      </c>
      <c r="CG93">
        <v>0</v>
      </c>
      <c r="CH93">
        <v>0</v>
      </c>
      <c r="CI93">
        <v>0</v>
      </c>
      <c r="CJ93">
        <v>0</v>
      </c>
      <c r="CK93">
        <v>0</v>
      </c>
      <c r="CL93">
        <v>0</v>
      </c>
      <c r="CM93">
        <v>1</v>
      </c>
      <c r="CN93" t="str">
        <f>IF($BL93&lt;$BK93,"refNeedCorrection","refOK")</f>
        <v>refOK</v>
      </c>
      <c r="CO93">
        <f>IF($CN93="refOK",$BK93,$BL93)</f>
        <v>70.434782608695599</v>
      </c>
      <c r="CP93">
        <f>IF($CN93="refOK",$BL93,$BK93)</f>
        <v>82.634271099744197</v>
      </c>
      <c r="CQ93">
        <f>IF($CN93="refOK",$BO93,-$BO93)</f>
        <v>24896.915287854281</v>
      </c>
      <c r="CR93">
        <f>IF($CN93="refOK",$BS93,$BT93)*IF($BP93="Emissions positive",-1,1)</f>
        <v>105771.90289102923</v>
      </c>
      <c r="CS93">
        <f>IF($CN93="refOK",$BT93,$BS93)*IF($BP93="Emissions positive",-1,1)</f>
        <v>12625.588954781248</v>
      </c>
      <c r="CT93">
        <f>IF($CN93="refNeedCorrection",-BX93,BX93)*IF($BP93="Emissions positive",-1,1)</f>
        <v>-93146.313936247985</v>
      </c>
      <c r="CU93">
        <f>IFERROR(CT93/CQ93,"")</f>
        <v>-3.7412793054603237</v>
      </c>
      <c r="CV93" s="2">
        <f>IFERROR((CS93-CR93)/ABS(CR93),"")</f>
        <v>-0.88063381096784588</v>
      </c>
      <c r="CW93" s="1" t="s">
        <v>1201</v>
      </c>
      <c r="CX93" t="str">
        <f>IF(OR($CW93="prd",$CW93="std",$CW93="cit"),"loc",IF(OR($CW93="eur",$CW93="reg",$CW93="coy"),"reg",$CW93))</f>
        <v>reg</v>
      </c>
      <c r="CY93" t="s">
        <v>236</v>
      </c>
      <c r="CZ93">
        <v>2010</v>
      </c>
      <c r="DA93">
        <v>2070</v>
      </c>
      <c r="DB93">
        <f>DA93-CZ93</f>
        <v>60</v>
      </c>
      <c r="DC93" t="str">
        <f>IF(DB93=0,"0",IF(AND(DB93&gt;=1,DB93&lt;=30),"1-30",IF(AND(DB93&gt;30,DB93&lt;=70),"31-70",IF(AND(DB93&gt;70,DB93&lt;=100),"71-100",IF(DB93&gt;100,"+100")))))</f>
        <v>31-70</v>
      </c>
      <c r="DD93">
        <v>1</v>
      </c>
      <c r="DE93">
        <v>1</v>
      </c>
      <c r="DF93">
        <v>1</v>
      </c>
      <c r="DG93">
        <v>1</v>
      </c>
      <c r="DH93">
        <v>0</v>
      </c>
      <c r="DI93">
        <f>SUM(DD93:DG93)</f>
        <v>4</v>
      </c>
      <c r="DJ93" t="str">
        <f>IF(DI93=1,INDEX($DD$7:$DG$7,MATCH(1,$DD93:$DG93,0)),"mixedProduct")</f>
        <v>mixedProduct</v>
      </c>
      <c r="DK93" t="str">
        <f>IF(DD93=1,DK$7,0)</f>
        <v>Upstream</v>
      </c>
      <c r="DL93" t="str">
        <f>IF(DE93=1,DL$7,0)</f>
        <v>Energy</v>
      </c>
      <c r="DM93" t="str">
        <f>IF(DF93=1,DM$7,0)</f>
        <v>Pulp/Paper</v>
      </c>
      <c r="DN93" t="str">
        <f>IF(DG93=1,DN$7,0)</f>
        <v>Timber</v>
      </c>
      <c r="DO93">
        <v>0</v>
      </c>
      <c r="DP93">
        <v>1</v>
      </c>
      <c r="DQ93" t="s">
        <v>2526</v>
      </c>
      <c r="DR93" t="s">
        <v>2527</v>
      </c>
      <c r="DS93">
        <v>0</v>
      </c>
      <c r="DT93">
        <f>SUM(DO93:DP93)</f>
        <v>1</v>
      </c>
      <c r="DU93" s="143" t="str">
        <f>IF(DO93=1,"self-calculated DF",IF(DP93=1,"external DF used","explicit C balance"))</f>
        <v>external DF used</v>
      </c>
      <c r="DV93">
        <v>1</v>
      </c>
      <c r="DW93">
        <v>1</v>
      </c>
      <c r="DX93">
        <v>1</v>
      </c>
      <c r="DY93">
        <v>1</v>
      </c>
      <c r="DZ93">
        <v>0</v>
      </c>
      <c r="EA93" s="143">
        <v>1</v>
      </c>
      <c r="EB93">
        <v>1</v>
      </c>
      <c r="EC93">
        <v>1</v>
      </c>
      <c r="ED93">
        <v>0</v>
      </c>
      <c r="EE93">
        <v>0</v>
      </c>
      <c r="EF93">
        <v>1</v>
      </c>
      <c r="EG93">
        <v>0</v>
      </c>
      <c r="EH93">
        <v>0</v>
      </c>
      <c r="EI93" s="2">
        <v>0</v>
      </c>
      <c r="EJ93" s="1"/>
      <c r="EK93" t="str">
        <f>IF(AND(AND(AND(OR($DX93=1,$DW93=1),OR($EC93=1,$EA93=1)),SUM($DV93:$DZ93,$EF93)&gt;=4),SUM($EA93:$EE93)&gt;=2),"Whole sector","")</f>
        <v>Whole sector</v>
      </c>
      <c r="EL93" t="str">
        <f>IF(AND(AND(OR($DX93=1,$DW93=1),AND($EC93=0,$EA93=0)),SUM($DV93:$DZ93,$EF93)&gt;=4),"Ecosystem approach","")</f>
        <v/>
      </c>
      <c r="EM93" s="2" t="str">
        <f>IF(AND(AND(AND($DX93=0,$DW93=0),OR($EC93=1,$EA93=1)),SUM($EB93:$EE93)&gt;=2),"Technology approach","")</f>
        <v/>
      </c>
      <c r="EN93"/>
      <c r="EO93"/>
      <c r="EP93" t="str">
        <f>IF(ISNUMBER(BU93),IF(ABS(BU93-[2]QC_indicators!$B$2)&gt;3*[2]QC_indicators!$C$2,"C ratio",IF(ISNUMBER(BY93),IF(ABS(BY93-[2]QC_indicators!$B$1)&gt;3*[2]QC_indicators!$C$1,"DF","no"))),IF(ISNUMBER(BY93),IF(ABS(BY93-[2]QC_indicators!$B$1)&gt;3*[2]QC_indicators!$C$1,"DF","no")))</f>
        <v>no</v>
      </c>
      <c r="EQ93"/>
      <c r="ER93"/>
      <c r="ES93"/>
      <c r="ET93" s="266" t="s">
        <v>3262</v>
      </c>
      <c r="EU93"/>
    </row>
    <row r="94" spans="1:151" s="139" customFormat="1" ht="15" hidden="1" customHeight="1">
      <c r="A94" s="1" t="s">
        <v>1425</v>
      </c>
      <c r="B94" t="s">
        <v>2492</v>
      </c>
      <c r="C94" t="s">
        <v>2493</v>
      </c>
      <c r="D94" t="s">
        <v>2494</v>
      </c>
      <c r="E94" t="s">
        <v>2495</v>
      </c>
      <c r="F94" t="s">
        <v>2496</v>
      </c>
      <c r="G94" t="s">
        <v>1431</v>
      </c>
      <c r="H94" t="s">
        <v>255</v>
      </c>
      <c r="I94">
        <v>2016</v>
      </c>
      <c r="J94">
        <v>24</v>
      </c>
      <c r="K94" t="s">
        <v>2497</v>
      </c>
      <c r="L94"/>
      <c r="M94" t="str">
        <f>LEFT($D94,FIND(",",$D94)-1)&amp;"_"&amp;I94&amp;L94</f>
        <v>Zubizarreta-Gerendiain_2016</v>
      </c>
      <c r="N94" t="s">
        <v>223</v>
      </c>
      <c r="O94" s="145" t="s">
        <v>1156</v>
      </c>
      <c r="P94"/>
      <c r="Q94" t="s">
        <v>257</v>
      </c>
      <c r="R94" s="264" t="s">
        <v>224</v>
      </c>
      <c r="S94" s="1" t="s">
        <v>2498</v>
      </c>
      <c r="T94" t="s">
        <v>2504</v>
      </c>
      <c r="U94" t="s">
        <v>2500</v>
      </c>
      <c r="V94">
        <v>0</v>
      </c>
      <c r="W94">
        <v>0</v>
      </c>
      <c r="X94">
        <v>0</v>
      </c>
      <c r="Y94">
        <v>2</v>
      </c>
      <c r="Z94">
        <v>0</v>
      </c>
      <c r="AA94">
        <v>0</v>
      </c>
      <c r="AB94">
        <v>0</v>
      </c>
      <c r="AC94">
        <v>0</v>
      </c>
      <c r="AD94">
        <v>0</v>
      </c>
      <c r="AE94">
        <v>0</v>
      </c>
      <c r="AF94">
        <v>1</v>
      </c>
      <c r="AG94">
        <v>0</v>
      </c>
      <c r="AH94">
        <v>0</v>
      </c>
      <c r="AI94">
        <v>0</v>
      </c>
      <c r="AJ94">
        <v>0</v>
      </c>
      <c r="AK94">
        <v>0</v>
      </c>
      <c r="AL94">
        <v>0</v>
      </c>
      <c r="AM94">
        <v>0</v>
      </c>
      <c r="AN94">
        <v>0</v>
      </c>
      <c r="AO94">
        <v>0</v>
      </c>
      <c r="AP94">
        <v>0</v>
      </c>
      <c r="AQ94">
        <v>0</v>
      </c>
      <c r="AR94">
        <v>0</v>
      </c>
      <c r="AS94">
        <v>0</v>
      </c>
      <c r="AT94">
        <v>0</v>
      </c>
      <c r="AU94">
        <v>0</v>
      </c>
      <c r="AV94">
        <v>0</v>
      </c>
      <c r="AW94">
        <v>0</v>
      </c>
      <c r="AX94" s="141">
        <f>COUNTIF(V94:AW94,"&lt;&gt;0")</f>
        <v>2</v>
      </c>
      <c r="AY94" s="141">
        <f>COUNTIF(V94:AL94,"&lt;&gt;0")</f>
        <v>2</v>
      </c>
      <c r="AZ94">
        <f>COUNTIF(V94:AC94,"&lt;&gt;0")</f>
        <v>1</v>
      </c>
      <c r="BA94">
        <f>COUNTIF(AD94:AI94,"&lt;&gt;0")</f>
        <v>1</v>
      </c>
      <c r="BB94">
        <f>COUNTIF(AJ94:AL94,"&lt;&gt;0")</f>
        <v>0</v>
      </c>
      <c r="BC94">
        <f>COUNTIF(AS94:AW94,"&lt;&gt;0")</f>
        <v>0</v>
      </c>
      <c r="BD94">
        <f>COUNTIF(AM94:AR94,"&lt;&gt;0")</f>
        <v>0</v>
      </c>
      <c r="BE94" t="str">
        <f t="array" ref="BE94">IF(AY94=1,INDEX($V$7:$AL$7,MATCH(TRUE,INDEX($V94:$AW94&lt;&gt;0,),0)),IF(AY94=0,INDEX($AM$7:$AW$7,MATCH(1,$AM94:$AW94,0)),IF(BF94="Multiple strategies","mixed drivers",IF(BF94="Supply chain","multiple supply","multiple silviculture"))))</f>
        <v>mixed drivers</v>
      </c>
      <c r="BF94" s="2" t="str">
        <f t="array" ref="BF94">IF(COUNTIF(AZ94:BB94,"&lt;&gt;0")=1,INDEX($V$4:$AW$4,MATCH(TRUE,INDEX($V94:$AW94&lt;&gt;0,),0)),IF(COUNTIF(AZ94:BB94,"&lt;&gt;0")=0,INDEX($AM$4:$AW$4,MATCH(1,$AM94:$AW94,0)),"Multiple strategies"))</f>
        <v>Multiple strategies</v>
      </c>
      <c r="BG94" s="1" t="s">
        <v>322</v>
      </c>
      <c r="BH94" t="s">
        <v>2501</v>
      </c>
      <c r="BI94" s="266" t="s">
        <v>2115</v>
      </c>
      <c r="BJ94" t="s">
        <v>2502</v>
      </c>
      <c r="BK94">
        <v>70.532915360501505</v>
      </c>
      <c r="BL94">
        <v>82.946708463949804</v>
      </c>
      <c r="BM94" s="143">
        <f>BL94/BK94</f>
        <v>1.1760000000000004</v>
      </c>
      <c r="BN94">
        <f>BL94-BK94</f>
        <v>12.413793103448299</v>
      </c>
      <c r="BO94">
        <f>BN94*1000*t_to_m3</f>
        <v>25334.271639690407</v>
      </c>
      <c r="BP94" s="143" t="s">
        <v>233</v>
      </c>
      <c r="BQ94" s="143" t="s">
        <v>3258</v>
      </c>
      <c r="BR94" t="s">
        <v>1197</v>
      </c>
      <c r="BS94">
        <v>65681.846480446824</v>
      </c>
      <c r="BT94">
        <v>-27756.76357541895</v>
      </c>
      <c r="BU94" s="144">
        <f>IFERROR(BT94/BS94,"")</f>
        <v>-0.42259414225941422</v>
      </c>
      <c r="BV94" s="144">
        <f>BT94-BS94</f>
        <v>-93438.610055865778</v>
      </c>
      <c r="BW94" s="144"/>
      <c r="BX94" s="144">
        <f>BV94</f>
        <v>-93438.610055865778</v>
      </c>
      <c r="BY94">
        <f>IFERROR(BX94/BO94,"")</f>
        <v>-3.6882295802606948</v>
      </c>
      <c r="BZ94">
        <v>0</v>
      </c>
      <c r="CA94">
        <v>0</v>
      </c>
      <c r="CB94">
        <v>0</v>
      </c>
      <c r="CC94">
        <v>0</v>
      </c>
      <c r="CD94">
        <v>0</v>
      </c>
      <c r="CE94">
        <v>0</v>
      </c>
      <c r="CF94">
        <v>0</v>
      </c>
      <c r="CG94">
        <v>0</v>
      </c>
      <c r="CH94">
        <v>0</v>
      </c>
      <c r="CI94">
        <v>0</v>
      </c>
      <c r="CJ94">
        <v>0</v>
      </c>
      <c r="CK94">
        <v>0</v>
      </c>
      <c r="CL94">
        <v>0</v>
      </c>
      <c r="CM94">
        <v>1</v>
      </c>
      <c r="CN94" t="str">
        <f>IF($BL94&lt;$BK94,"refNeedCorrection","refOK")</f>
        <v>refOK</v>
      </c>
      <c r="CO94">
        <f>IF($CN94="refOK",$BK94,$BL94)</f>
        <v>70.532915360501505</v>
      </c>
      <c r="CP94">
        <f>IF($CN94="refOK",$BL94,$BK94)</f>
        <v>82.946708463949804</v>
      </c>
      <c r="CQ94">
        <f>IF($CN94="refOK",$BO94,-$BO94)</f>
        <v>25334.271639690407</v>
      </c>
      <c r="CR94">
        <f>IF($CN94="refOK",$BS94,$BT94)*IF($BP94="Emissions positive",-1,1)</f>
        <v>65681.846480446824</v>
      </c>
      <c r="CS94">
        <f>IF($CN94="refOK",$BT94,$BS94)*IF($BP94="Emissions positive",-1,1)</f>
        <v>-27756.76357541895</v>
      </c>
      <c r="CT94">
        <f>IF($CN94="refNeedCorrection",-BX94,BX94)*IF($BP94="Emissions positive",-1,1)</f>
        <v>-93438.610055865778</v>
      </c>
      <c r="CU94">
        <f>IFERROR(CT94/CQ94,"")</f>
        <v>-3.6882295802606948</v>
      </c>
      <c r="CV94" s="2">
        <f>IFERROR((CS94-CR94)/ABS(CR94),"")</f>
        <v>-1.4225941422594144</v>
      </c>
      <c r="CW94" s="1" t="s">
        <v>1201</v>
      </c>
      <c r="CX94" t="str">
        <f>IF(OR($CW94="prd",$CW94="std",$CW94="cit"),"loc",IF(OR($CW94="eur",$CW94="reg",$CW94="coy"),"reg",$CW94))</f>
        <v>reg</v>
      </c>
      <c r="CY94" t="s">
        <v>236</v>
      </c>
      <c r="CZ94">
        <v>2010</v>
      </c>
      <c r="DA94">
        <v>2070</v>
      </c>
      <c r="DB94">
        <f>DA94-CZ94</f>
        <v>60</v>
      </c>
      <c r="DC94" t="str">
        <f>IF(DB94=0,"0",IF(AND(DB94&gt;=1,DB94&lt;=30),"1-30",IF(AND(DB94&gt;30,DB94&lt;=70),"31-70",IF(AND(DB94&gt;70,DB94&lt;=100),"71-100",IF(DB94&gt;100,"+100")))))</f>
        <v>31-70</v>
      </c>
      <c r="DD94">
        <v>1</v>
      </c>
      <c r="DE94">
        <v>1</v>
      </c>
      <c r="DF94">
        <v>1</v>
      </c>
      <c r="DG94">
        <v>1</v>
      </c>
      <c r="DH94">
        <v>0</v>
      </c>
      <c r="DI94">
        <f>SUM(DD94:DG94)</f>
        <v>4</v>
      </c>
      <c r="DJ94" t="str">
        <f>IF(DI94=1,INDEX($DD$7:$DG$7,MATCH(1,$DD94:$DG94,0)),"mixedProduct")</f>
        <v>mixedProduct</v>
      </c>
      <c r="DK94" t="str">
        <f>IF(DD94=1,DK$7,0)</f>
        <v>Upstream</v>
      </c>
      <c r="DL94" t="str">
        <f>IF(DE94=1,DL$7,0)</f>
        <v>Energy</v>
      </c>
      <c r="DM94" t="str">
        <f>IF(DF94=1,DM$7,0)</f>
        <v>Pulp/Paper</v>
      </c>
      <c r="DN94" t="str">
        <f>IF(DG94=1,DN$7,0)</f>
        <v>Timber</v>
      </c>
      <c r="DO94">
        <v>0</v>
      </c>
      <c r="DP94">
        <v>1</v>
      </c>
      <c r="DQ94" t="s">
        <v>2526</v>
      </c>
      <c r="DR94" t="s">
        <v>2527</v>
      </c>
      <c r="DS94">
        <v>0</v>
      </c>
      <c r="DT94">
        <f>SUM(DO94:DP94)</f>
        <v>1</v>
      </c>
      <c r="DU94" s="143" t="str">
        <f>IF(DO94=1,"self-calculated DF",IF(DP94=1,"external DF used","explicit C balance"))</f>
        <v>external DF used</v>
      </c>
      <c r="DV94">
        <v>1</v>
      </c>
      <c r="DW94">
        <v>1</v>
      </c>
      <c r="DX94">
        <v>1</v>
      </c>
      <c r="DY94">
        <v>1</v>
      </c>
      <c r="DZ94">
        <v>0</v>
      </c>
      <c r="EA94" s="143">
        <v>1</v>
      </c>
      <c r="EB94">
        <v>1</v>
      </c>
      <c r="EC94">
        <v>1</v>
      </c>
      <c r="ED94">
        <v>0</v>
      </c>
      <c r="EE94">
        <v>0</v>
      </c>
      <c r="EF94">
        <v>1</v>
      </c>
      <c r="EG94">
        <v>0</v>
      </c>
      <c r="EH94">
        <v>0</v>
      </c>
      <c r="EI94" s="2">
        <v>0</v>
      </c>
      <c r="EJ94" s="1"/>
      <c r="EK94" t="str">
        <f>IF(AND(AND(AND(OR($DX94=1,$DW94=1),OR($EC94=1,$EA94=1)),SUM($DV94:$DZ94,$EF94)&gt;=4),SUM($EA94:$EE94)&gt;=2),"Whole sector","")</f>
        <v>Whole sector</v>
      </c>
      <c r="EL94" t="str">
        <f>IF(AND(AND(OR($DX94=1,$DW94=1),AND($EC94=0,$EA94=0)),SUM($DV94:$DZ94,$EF94)&gt;=4),"Ecosystem approach","")</f>
        <v/>
      </c>
      <c r="EM94" s="2" t="str">
        <f>IF(AND(AND(AND($DX94=0,$DW94=0),OR($EC94=1,$EA94=1)),SUM($EB94:$EE94)&gt;=2),"Technology approach","")</f>
        <v/>
      </c>
      <c r="EN94"/>
      <c r="EO94"/>
      <c r="EP94" t="str">
        <f>IF(ISNUMBER(BU94),IF(ABS(BU94-[2]QC_indicators!$B$2)&gt;3*[2]QC_indicators!$C$2,"C ratio",IF(ISNUMBER(BY94),IF(ABS(BY94-[2]QC_indicators!$B$1)&gt;3*[2]QC_indicators!$C$1,"DF","no"))),IF(ISNUMBER(BY94),IF(ABS(BY94-[2]QC_indicators!$B$1)&gt;3*[2]QC_indicators!$C$1,"DF","no")))</f>
        <v>no</v>
      </c>
      <c r="EQ94"/>
      <c r="ER94"/>
      <c r="ES94"/>
      <c r="ET94" s="266" t="s">
        <v>3262</v>
      </c>
      <c r="EU94"/>
    </row>
    <row r="95" spans="1:151" s="139" customFormat="1" ht="15" hidden="1" customHeight="1">
      <c r="A95" s="1" t="s">
        <v>1425</v>
      </c>
      <c r="B95" t="s">
        <v>2492</v>
      </c>
      <c r="C95" t="s">
        <v>2493</v>
      </c>
      <c r="D95" t="s">
        <v>2494</v>
      </c>
      <c r="E95" t="s">
        <v>2495</v>
      </c>
      <c r="F95" t="s">
        <v>2496</v>
      </c>
      <c r="G95" t="s">
        <v>1431</v>
      </c>
      <c r="H95" t="s">
        <v>255</v>
      </c>
      <c r="I95">
        <v>2016</v>
      </c>
      <c r="J95">
        <v>24</v>
      </c>
      <c r="K95" t="s">
        <v>2497</v>
      </c>
      <c r="L95"/>
      <c r="M95" t="str">
        <f>LEFT($D95,FIND(",",$D95)-1)&amp;"_"&amp;I95&amp;L95</f>
        <v>Zubizarreta-Gerendiain_2016</v>
      </c>
      <c r="N95" t="s">
        <v>223</v>
      </c>
      <c r="O95" s="145" t="s">
        <v>1156</v>
      </c>
      <c r="P95"/>
      <c r="Q95" t="s">
        <v>257</v>
      </c>
      <c r="R95" s="264" t="s">
        <v>224</v>
      </c>
      <c r="S95" s="1" t="s">
        <v>2498</v>
      </c>
      <c r="T95" t="s">
        <v>2505</v>
      </c>
      <c r="U95" t="s">
        <v>2506</v>
      </c>
      <c r="V95">
        <v>0</v>
      </c>
      <c r="W95">
        <v>0</v>
      </c>
      <c r="X95">
        <v>0</v>
      </c>
      <c r="Y95">
        <v>2</v>
      </c>
      <c r="Z95">
        <v>0</v>
      </c>
      <c r="AA95">
        <v>0</v>
      </c>
      <c r="AB95">
        <v>0</v>
      </c>
      <c r="AC95">
        <v>0</v>
      </c>
      <c r="AD95">
        <v>0</v>
      </c>
      <c r="AE95">
        <v>0</v>
      </c>
      <c r="AF95">
        <v>1</v>
      </c>
      <c r="AG95">
        <v>0</v>
      </c>
      <c r="AH95">
        <v>0</v>
      </c>
      <c r="AI95">
        <v>0</v>
      </c>
      <c r="AJ95">
        <v>0</v>
      </c>
      <c r="AK95">
        <v>0</v>
      </c>
      <c r="AL95">
        <v>0</v>
      </c>
      <c r="AM95">
        <v>0</v>
      </c>
      <c r="AN95">
        <v>0</v>
      </c>
      <c r="AO95">
        <v>0</v>
      </c>
      <c r="AP95">
        <v>0</v>
      </c>
      <c r="AQ95">
        <v>0</v>
      </c>
      <c r="AR95">
        <v>0</v>
      </c>
      <c r="AS95">
        <v>0</v>
      </c>
      <c r="AT95">
        <v>0</v>
      </c>
      <c r="AU95">
        <v>0</v>
      </c>
      <c r="AV95">
        <v>0</v>
      </c>
      <c r="AW95">
        <v>0</v>
      </c>
      <c r="AX95" s="141">
        <f>COUNTIF(V95:AW95,"&lt;&gt;0")</f>
        <v>2</v>
      </c>
      <c r="AY95" s="141">
        <f>COUNTIF(V95:AL95,"&lt;&gt;0")</f>
        <v>2</v>
      </c>
      <c r="AZ95">
        <f>COUNTIF(V95:AC95,"&lt;&gt;0")</f>
        <v>1</v>
      </c>
      <c r="BA95">
        <f>COUNTIF(AD95:AI95,"&lt;&gt;0")</f>
        <v>1</v>
      </c>
      <c r="BB95">
        <f>COUNTIF(AJ95:AL95,"&lt;&gt;0")</f>
        <v>0</v>
      </c>
      <c r="BC95">
        <f>COUNTIF(AS95:AW95,"&lt;&gt;0")</f>
        <v>0</v>
      </c>
      <c r="BD95">
        <f>COUNTIF(AM95:AR95,"&lt;&gt;0")</f>
        <v>0</v>
      </c>
      <c r="BE95" t="str">
        <f t="array" ref="BE95">IF(AY95=1,INDEX($V$7:$AL$7,MATCH(TRUE,INDEX($V95:$AW95&lt;&gt;0,),0)),IF(AY95=0,INDEX($AM$7:$AW$7,MATCH(1,$AM95:$AW95,0)),IF(BF95="Multiple strategies","mixed drivers",IF(BF95="Supply chain","multiple supply","multiple silviculture"))))</f>
        <v>mixed drivers</v>
      </c>
      <c r="BF95" s="2" t="str">
        <f t="array" ref="BF95">IF(COUNTIF(AZ95:BB95,"&lt;&gt;0")=1,INDEX($V$4:$AW$4,MATCH(TRUE,INDEX($V95:$AW95&lt;&gt;0,),0)),IF(COUNTIF(AZ95:BB95,"&lt;&gt;0")=0,INDEX($AM$4:$AW$4,MATCH(1,$AM95:$AW95,0)),"Multiple strategies"))</f>
        <v>Multiple strategies</v>
      </c>
      <c r="BG95" s="1" t="s">
        <v>322</v>
      </c>
      <c r="BH95" t="s">
        <v>2501</v>
      </c>
      <c r="BI95" s="266" t="s">
        <v>2115</v>
      </c>
      <c r="BJ95" t="s">
        <v>2502</v>
      </c>
      <c r="BK95">
        <v>74.117647058823493</v>
      </c>
      <c r="BL95">
        <v>82.634271099744197</v>
      </c>
      <c r="BM95" s="143">
        <f>BL95/BK95</f>
        <v>1.1149068322981366</v>
      </c>
      <c r="BN95">
        <f>BL95-BK95</f>
        <v>8.5166240409207035</v>
      </c>
      <c r="BO95">
        <f>BN95*1000*t_to_m3</f>
        <v>17380.865389634091</v>
      </c>
      <c r="BP95" t="s">
        <v>233</v>
      </c>
      <c r="BQ95" s="143" t="s">
        <v>3258</v>
      </c>
      <c r="BR95" t="s">
        <v>1197</v>
      </c>
      <c r="BS95">
        <v>72024.702186804221</v>
      </c>
      <c r="BT95">
        <v>12625.588954781248</v>
      </c>
      <c r="BU95" s="144">
        <f>IFERROR(BT95/BS95,"")</f>
        <v>0.17529526081253835</v>
      </c>
      <c r="BV95" s="144">
        <f>BT95-BS95</f>
        <v>-59399.113232022974</v>
      </c>
      <c r="BW95" s="144"/>
      <c r="BX95" s="144">
        <f>BV95</f>
        <v>-59399.113232022974</v>
      </c>
      <c r="BY95">
        <f>IFERROR(BX95/BO95,"")</f>
        <v>-3.4175003315685575</v>
      </c>
      <c r="BZ95">
        <v>0</v>
      </c>
      <c r="CA95">
        <v>0</v>
      </c>
      <c r="CB95">
        <v>0</v>
      </c>
      <c r="CC95">
        <v>0</v>
      </c>
      <c r="CD95">
        <v>0</v>
      </c>
      <c r="CE95">
        <v>0</v>
      </c>
      <c r="CF95">
        <v>0</v>
      </c>
      <c r="CG95">
        <v>0</v>
      </c>
      <c r="CH95">
        <v>0</v>
      </c>
      <c r="CI95">
        <v>0</v>
      </c>
      <c r="CJ95">
        <v>0</v>
      </c>
      <c r="CK95">
        <v>0</v>
      </c>
      <c r="CL95">
        <v>0</v>
      </c>
      <c r="CM95">
        <v>1</v>
      </c>
      <c r="CN95" t="str">
        <f>IF($BL95&lt;$BK95,"refNeedCorrection","refOK")</f>
        <v>refOK</v>
      </c>
      <c r="CO95">
        <f>IF($CN95="refOK",$BK95,$BL95)</f>
        <v>74.117647058823493</v>
      </c>
      <c r="CP95">
        <f>IF($CN95="refOK",$BL95,$BK95)</f>
        <v>82.634271099744197</v>
      </c>
      <c r="CQ95">
        <f>IF($CN95="refOK",$BO95,-$BO95)</f>
        <v>17380.865389634091</v>
      </c>
      <c r="CR95">
        <f>IF($CN95="refOK",$BS95,$BT95)*IF($BP95="Emissions positive",-1,1)</f>
        <v>72024.702186804221</v>
      </c>
      <c r="CS95">
        <f>IF($CN95="refOK",$BT95,$BS95)*IF($BP95="Emissions positive",-1,1)</f>
        <v>12625.588954781248</v>
      </c>
      <c r="CT95">
        <f>IF($CN95="refNeedCorrection",-BX95,BX95)*IF($BP95="Emissions positive",-1,1)</f>
        <v>-59399.113232022974</v>
      </c>
      <c r="CU95">
        <f>IFERROR(CT95/CQ95,"")</f>
        <v>-3.4175003315685575</v>
      </c>
      <c r="CV95" s="2">
        <f>IFERROR((CS95-CR95)/ABS(CR95),"")</f>
        <v>-0.82470473918746168</v>
      </c>
      <c r="CW95" s="1" t="s">
        <v>1201</v>
      </c>
      <c r="CX95" t="str">
        <f>IF(OR($CW95="prd",$CW95="std",$CW95="cit"),"loc",IF(OR($CW95="eur",$CW95="reg",$CW95="coy"),"reg",$CW95))</f>
        <v>reg</v>
      </c>
      <c r="CY95" t="s">
        <v>236</v>
      </c>
      <c r="CZ95">
        <v>2010</v>
      </c>
      <c r="DA95">
        <v>2070</v>
      </c>
      <c r="DB95">
        <f>DA95-CZ95</f>
        <v>60</v>
      </c>
      <c r="DC95" t="str">
        <f>IF(DB95=0,"0",IF(AND(DB95&gt;=1,DB95&lt;=30),"1-30",IF(AND(DB95&gt;30,DB95&lt;=70),"31-70",IF(AND(DB95&gt;70,DB95&lt;=100),"71-100",IF(DB95&gt;100,"+100")))))</f>
        <v>31-70</v>
      </c>
      <c r="DD95">
        <v>1</v>
      </c>
      <c r="DE95">
        <v>1</v>
      </c>
      <c r="DF95">
        <v>1</v>
      </c>
      <c r="DG95">
        <v>1</v>
      </c>
      <c r="DH95">
        <v>0</v>
      </c>
      <c r="DI95">
        <f>SUM(DD95:DG95)</f>
        <v>4</v>
      </c>
      <c r="DJ95" t="str">
        <f>IF(DI95=1,INDEX($DD$7:$DG$7,MATCH(1,$DD95:$DG95,0)),"mixedProduct")</f>
        <v>mixedProduct</v>
      </c>
      <c r="DK95" t="str">
        <f>IF(DD95=1,DK$7,0)</f>
        <v>Upstream</v>
      </c>
      <c r="DL95" t="str">
        <f>IF(DE95=1,DL$7,0)</f>
        <v>Energy</v>
      </c>
      <c r="DM95" t="str">
        <f>IF(DF95=1,DM$7,0)</f>
        <v>Pulp/Paper</v>
      </c>
      <c r="DN95" t="str">
        <f>IF(DG95=1,DN$7,0)</f>
        <v>Timber</v>
      </c>
      <c r="DO95">
        <v>0</v>
      </c>
      <c r="DP95">
        <v>1</v>
      </c>
      <c r="DQ95" t="s">
        <v>2526</v>
      </c>
      <c r="DR95" t="s">
        <v>2527</v>
      </c>
      <c r="DS95">
        <v>0</v>
      </c>
      <c r="DT95">
        <f>SUM(DO95:DP95)</f>
        <v>1</v>
      </c>
      <c r="DU95" s="143" t="str">
        <f>IF(DO95=1,"self-calculated DF",IF(DP95=1,"external DF used","explicit C balance"))</f>
        <v>external DF used</v>
      </c>
      <c r="DV95">
        <v>1</v>
      </c>
      <c r="DW95">
        <v>1</v>
      </c>
      <c r="DX95">
        <v>1</v>
      </c>
      <c r="DY95">
        <v>1</v>
      </c>
      <c r="DZ95">
        <v>0</v>
      </c>
      <c r="EA95" s="143">
        <v>1</v>
      </c>
      <c r="EB95">
        <v>1</v>
      </c>
      <c r="EC95">
        <v>1</v>
      </c>
      <c r="ED95">
        <v>0</v>
      </c>
      <c r="EE95">
        <v>0</v>
      </c>
      <c r="EF95">
        <v>1</v>
      </c>
      <c r="EG95">
        <v>0</v>
      </c>
      <c r="EH95">
        <v>0</v>
      </c>
      <c r="EI95" s="2">
        <v>0</v>
      </c>
      <c r="EJ95" s="1"/>
      <c r="EK95" t="str">
        <f>IF(AND(AND(AND(OR($DX95=1,$DW95=1),OR($EC95=1,$EA95=1)),SUM($DV95:$DZ95,$EF95)&gt;=4),SUM($EA95:$EE95)&gt;=2),"Whole sector","")</f>
        <v>Whole sector</v>
      </c>
      <c r="EL95" t="str">
        <f>IF(AND(AND(OR($DX95=1,$DW95=1),AND($EC95=0,$EA95=0)),SUM($DV95:$DZ95,$EF95)&gt;=4),"Ecosystem approach","")</f>
        <v/>
      </c>
      <c r="EM95" s="2" t="str">
        <f>IF(AND(AND(AND($DX95=0,$DW95=0),OR($EC95=1,$EA95=1)),SUM($EB95:$EE95)&gt;=2),"Technology approach","")</f>
        <v/>
      </c>
      <c r="EN95"/>
      <c r="EO95"/>
      <c r="EP95" t="str">
        <f>IF(ISNUMBER(BU95),IF(ABS(BU95-[2]QC_indicators!$B$2)&gt;3*[2]QC_indicators!$C$2,"C ratio",IF(ISNUMBER(BY95),IF(ABS(BY95-[2]QC_indicators!$B$1)&gt;3*[2]QC_indicators!$C$1,"DF","no"))),IF(ISNUMBER(BY95),IF(ABS(BY95-[2]QC_indicators!$B$1)&gt;3*[2]QC_indicators!$C$1,"DF","no")))</f>
        <v>no</v>
      </c>
      <c r="EQ95"/>
      <c r="ER95"/>
      <c r="ES95"/>
      <c r="ET95" s="266" t="s">
        <v>3262</v>
      </c>
      <c r="EU95"/>
    </row>
    <row r="96" spans="1:151" s="139" customFormat="1" ht="15" hidden="1" customHeight="1">
      <c r="A96" s="1" t="s">
        <v>1425</v>
      </c>
      <c r="B96" t="s">
        <v>2492</v>
      </c>
      <c r="C96" t="s">
        <v>2493</v>
      </c>
      <c r="D96" t="s">
        <v>2494</v>
      </c>
      <c r="E96" t="s">
        <v>2495</v>
      </c>
      <c r="F96" t="s">
        <v>2496</v>
      </c>
      <c r="G96" t="s">
        <v>1431</v>
      </c>
      <c r="H96" t="s">
        <v>255</v>
      </c>
      <c r="I96">
        <v>2016</v>
      </c>
      <c r="J96">
        <v>24</v>
      </c>
      <c r="K96" t="s">
        <v>2497</v>
      </c>
      <c r="L96"/>
      <c r="M96" t="str">
        <f>LEFT($D96,FIND(",",$D96)-1)&amp;"_"&amp;I96&amp;L96</f>
        <v>Zubizarreta-Gerendiain_2016</v>
      </c>
      <c r="N96" t="s">
        <v>223</v>
      </c>
      <c r="O96" s="145" t="s">
        <v>1156</v>
      </c>
      <c r="P96"/>
      <c r="Q96" t="s">
        <v>257</v>
      </c>
      <c r="R96" s="264" t="s">
        <v>224</v>
      </c>
      <c r="S96" s="1" t="s">
        <v>2508</v>
      </c>
      <c r="T96" t="s">
        <v>2509</v>
      </c>
      <c r="U96" t="s">
        <v>2506</v>
      </c>
      <c r="V96">
        <v>0</v>
      </c>
      <c r="W96">
        <v>0</v>
      </c>
      <c r="X96">
        <v>0</v>
      </c>
      <c r="Y96">
        <v>2</v>
      </c>
      <c r="Z96">
        <v>0</v>
      </c>
      <c r="AA96">
        <v>0</v>
      </c>
      <c r="AB96">
        <v>0</v>
      </c>
      <c r="AC96">
        <v>0</v>
      </c>
      <c r="AD96">
        <v>0</v>
      </c>
      <c r="AE96">
        <v>0</v>
      </c>
      <c r="AF96">
        <v>1</v>
      </c>
      <c r="AG96">
        <v>0</v>
      </c>
      <c r="AH96">
        <v>0</v>
      </c>
      <c r="AI96">
        <v>0</v>
      </c>
      <c r="AJ96">
        <v>0</v>
      </c>
      <c r="AK96">
        <v>0</v>
      </c>
      <c r="AL96">
        <v>0</v>
      </c>
      <c r="AM96">
        <v>0</v>
      </c>
      <c r="AN96">
        <v>0</v>
      </c>
      <c r="AO96">
        <v>0</v>
      </c>
      <c r="AP96">
        <v>0</v>
      </c>
      <c r="AQ96">
        <v>0</v>
      </c>
      <c r="AR96">
        <v>0</v>
      </c>
      <c r="AS96">
        <v>0</v>
      </c>
      <c r="AT96">
        <v>0</v>
      </c>
      <c r="AU96">
        <v>0</v>
      </c>
      <c r="AV96">
        <v>0</v>
      </c>
      <c r="AW96">
        <v>0</v>
      </c>
      <c r="AX96" s="141">
        <f>COUNTIF(V96:AW96,"&lt;&gt;0")</f>
        <v>2</v>
      </c>
      <c r="AY96" s="141">
        <f>COUNTIF(V96:AL96,"&lt;&gt;0")</f>
        <v>2</v>
      </c>
      <c r="AZ96">
        <f>COUNTIF(V96:AC96,"&lt;&gt;0")</f>
        <v>1</v>
      </c>
      <c r="BA96">
        <f>COUNTIF(AD96:AI96,"&lt;&gt;0")</f>
        <v>1</v>
      </c>
      <c r="BB96">
        <f>COUNTIF(AJ96:AL96,"&lt;&gt;0")</f>
        <v>0</v>
      </c>
      <c r="BC96">
        <f>COUNTIF(AS96:AW96,"&lt;&gt;0")</f>
        <v>0</v>
      </c>
      <c r="BD96">
        <f>COUNTIF(AM96:AR96,"&lt;&gt;0")</f>
        <v>0</v>
      </c>
      <c r="BE96" t="str">
        <f t="array" ref="BE96">IF(AY96=1,INDEX($V$7:$AL$7,MATCH(TRUE,INDEX($V96:$AW96&lt;&gt;0,),0)),IF(AY96=0,INDEX($AM$7:$AW$7,MATCH(1,$AM96:$AW96,0)),IF(BF96="Multiple strategies","mixed drivers",IF(BF96="Supply chain","multiple supply","multiple silviculture"))))</f>
        <v>mixed drivers</v>
      </c>
      <c r="BF96" s="2" t="str">
        <f t="array" ref="BF96">IF(COUNTIF(AZ96:BB96,"&lt;&gt;0")=1,INDEX($V$4:$AW$4,MATCH(TRUE,INDEX($V96:$AW96&lt;&gt;0,),0)),IF(COUNTIF(AZ96:BB96,"&lt;&gt;0")=0,INDEX($AM$4:$AW$4,MATCH(1,$AM96:$AW96,0)),"Multiple strategies"))</f>
        <v>Multiple strategies</v>
      </c>
      <c r="BG96" s="1" t="s">
        <v>322</v>
      </c>
      <c r="BH96" t="s">
        <v>2501</v>
      </c>
      <c r="BI96" s="266" t="s">
        <v>2115</v>
      </c>
      <c r="BJ96" t="s">
        <v>2502</v>
      </c>
      <c r="BK96">
        <v>64.910485933503793</v>
      </c>
      <c r="BL96">
        <v>82.634271099744197</v>
      </c>
      <c r="BM96" s="143">
        <f>BL96/BK96</f>
        <v>1.273049645390071</v>
      </c>
      <c r="BN96">
        <f>BL96-BK96</f>
        <v>17.723785166240404</v>
      </c>
      <c r="BO96">
        <f>BN96*1000*t_to_m3</f>
        <v>36170.990135184496</v>
      </c>
      <c r="BP96" s="143" t="s">
        <v>233</v>
      </c>
      <c r="BQ96" s="143" t="s">
        <v>3258</v>
      </c>
      <c r="BR96" t="s">
        <v>1197</v>
      </c>
      <c r="BS96">
        <v>120401.57301704831</v>
      </c>
      <c r="BT96">
        <v>12625.588954781248</v>
      </c>
      <c r="BU96" s="144">
        <f>IFERROR(BT96/BS96,"")</f>
        <v>0.10486232561923026</v>
      </c>
      <c r="BV96" s="144">
        <f>BT96-BS96</f>
        <v>-107775.98406226706</v>
      </c>
      <c r="BW96" s="144"/>
      <c r="BX96" s="144">
        <f>BV96</f>
        <v>-107775.98406226706</v>
      </c>
      <c r="BY96">
        <f>IFERROR(BX96/BO96,"")</f>
        <v>-2.9796249331154043</v>
      </c>
      <c r="BZ96">
        <v>0</v>
      </c>
      <c r="CA96">
        <v>0</v>
      </c>
      <c r="CB96">
        <v>0</v>
      </c>
      <c r="CC96">
        <v>0</v>
      </c>
      <c r="CD96">
        <v>0</v>
      </c>
      <c r="CE96">
        <v>0</v>
      </c>
      <c r="CF96">
        <v>0</v>
      </c>
      <c r="CG96">
        <v>0</v>
      </c>
      <c r="CH96">
        <v>0</v>
      </c>
      <c r="CI96">
        <v>0</v>
      </c>
      <c r="CJ96">
        <v>0</v>
      </c>
      <c r="CK96">
        <v>0</v>
      </c>
      <c r="CL96">
        <v>0</v>
      </c>
      <c r="CM96">
        <v>1</v>
      </c>
      <c r="CN96" t="str">
        <f>IF($BL96&lt;$BK96,"refNeedCorrection","refOK")</f>
        <v>refOK</v>
      </c>
      <c r="CO96">
        <f>IF($CN96="refOK",$BK96,$BL96)</f>
        <v>64.910485933503793</v>
      </c>
      <c r="CP96">
        <f>IF($CN96="refOK",$BL96,$BK96)</f>
        <v>82.634271099744197</v>
      </c>
      <c r="CQ96">
        <f>IF($CN96="refOK",$BO96,-$BO96)</f>
        <v>36170.990135184496</v>
      </c>
      <c r="CR96">
        <f>IF($CN96="refOK",$BS96,$BT96)*IF($BP96="Emissions positive",-1,1)</f>
        <v>120401.57301704831</v>
      </c>
      <c r="CS96">
        <f>IF($CN96="refOK",$BT96,$BS96)*IF($BP96="Emissions positive",-1,1)</f>
        <v>12625.588954781248</v>
      </c>
      <c r="CT96">
        <f>IF($CN96="refNeedCorrection",-BX96,BX96)*IF($BP96="Emissions positive",-1,1)</f>
        <v>-107775.98406226706</v>
      </c>
      <c r="CU96">
        <f>IFERROR(CT96/CQ96,"")</f>
        <v>-2.9796249331154043</v>
      </c>
      <c r="CV96" s="2">
        <f>IFERROR((CS96-CR96)/ABS(CR96),"")</f>
        <v>-0.89513767438076963</v>
      </c>
      <c r="CW96" s="1" t="s">
        <v>1201</v>
      </c>
      <c r="CX96" t="str">
        <f>IF(OR($CW96="prd",$CW96="std",$CW96="cit"),"loc",IF(OR($CW96="eur",$CW96="reg",$CW96="coy"),"reg",$CW96))</f>
        <v>reg</v>
      </c>
      <c r="CY96" t="s">
        <v>236</v>
      </c>
      <c r="CZ96">
        <v>2010</v>
      </c>
      <c r="DA96">
        <v>2070</v>
      </c>
      <c r="DB96">
        <f>DA96-CZ96</f>
        <v>60</v>
      </c>
      <c r="DC96" t="str">
        <f>IF(DB96=0,"0",IF(AND(DB96&gt;=1,DB96&lt;=30),"1-30",IF(AND(DB96&gt;30,DB96&lt;=70),"31-70",IF(AND(DB96&gt;70,DB96&lt;=100),"71-100",IF(DB96&gt;100,"+100")))))</f>
        <v>31-70</v>
      </c>
      <c r="DD96">
        <v>1</v>
      </c>
      <c r="DE96">
        <v>1</v>
      </c>
      <c r="DF96">
        <v>1</v>
      </c>
      <c r="DG96">
        <v>1</v>
      </c>
      <c r="DH96">
        <v>0</v>
      </c>
      <c r="DI96">
        <f>SUM(DD96:DG96)</f>
        <v>4</v>
      </c>
      <c r="DJ96" t="str">
        <f>IF(DI96=1,INDEX($DD$7:$DG$7,MATCH(1,$DD96:$DG96,0)),"mixedProduct")</f>
        <v>mixedProduct</v>
      </c>
      <c r="DK96" t="str">
        <f>IF(DD96=1,DK$7,0)</f>
        <v>Upstream</v>
      </c>
      <c r="DL96" t="str">
        <f>IF(DE96=1,DL$7,0)</f>
        <v>Energy</v>
      </c>
      <c r="DM96" t="str">
        <f>IF(DF96=1,DM$7,0)</f>
        <v>Pulp/Paper</v>
      </c>
      <c r="DN96" t="str">
        <f>IF(DG96=1,DN$7,0)</f>
        <v>Timber</v>
      </c>
      <c r="DO96">
        <v>0</v>
      </c>
      <c r="DP96">
        <v>1</v>
      </c>
      <c r="DQ96" t="s">
        <v>2526</v>
      </c>
      <c r="DR96" t="s">
        <v>2527</v>
      </c>
      <c r="DS96">
        <v>0</v>
      </c>
      <c r="DT96">
        <f>SUM(DO96:DP96)</f>
        <v>1</v>
      </c>
      <c r="DU96" s="143" t="str">
        <f>IF(DO96=1,"self-calculated DF",IF(DP96=1,"external DF used","explicit C balance"))</f>
        <v>external DF used</v>
      </c>
      <c r="DV96">
        <v>1</v>
      </c>
      <c r="DW96">
        <v>1</v>
      </c>
      <c r="DX96">
        <v>1</v>
      </c>
      <c r="DY96">
        <v>1</v>
      </c>
      <c r="DZ96">
        <v>0</v>
      </c>
      <c r="EA96" s="143">
        <v>1</v>
      </c>
      <c r="EB96">
        <v>1</v>
      </c>
      <c r="EC96">
        <v>1</v>
      </c>
      <c r="ED96">
        <v>0</v>
      </c>
      <c r="EE96">
        <v>0</v>
      </c>
      <c r="EF96">
        <v>1</v>
      </c>
      <c r="EG96">
        <v>0</v>
      </c>
      <c r="EH96">
        <v>0</v>
      </c>
      <c r="EI96" s="2">
        <v>0</v>
      </c>
      <c r="EJ96" s="1"/>
      <c r="EK96" t="str">
        <f>IF(AND(AND(AND(OR($DX96=1,$DW96=1),OR($EC96=1,$EA96=1)),SUM($DV96:$DZ96,$EF96)&gt;=4),SUM($EA96:$EE96)&gt;=2),"Whole sector","")</f>
        <v>Whole sector</v>
      </c>
      <c r="EL96" t="str">
        <f>IF(AND(AND(OR($DX96=1,$DW96=1),AND($EC96=0,$EA96=0)),SUM($DV96:$DZ96,$EF96)&gt;=4),"Ecosystem approach","")</f>
        <v/>
      </c>
      <c r="EM96" s="2" t="str">
        <f>IF(AND(AND(AND($DX96=0,$DW96=0),OR($EC96=1,$EA96=1)),SUM($EB96:$EE96)&gt;=2),"Technology approach","")</f>
        <v/>
      </c>
      <c r="EN96" t="s">
        <v>2510</v>
      </c>
      <c r="EO96"/>
      <c r="EP96" t="str">
        <f>IF(ISNUMBER(BU96),IF(ABS(BU96-[2]QC_indicators!$B$2)&gt;3*[2]QC_indicators!$C$2,"C ratio",IF(ISNUMBER(BY96),IF(ABS(BY96-[2]QC_indicators!$B$1)&gt;3*[2]QC_indicators!$C$1,"DF","no"))),IF(ISNUMBER(BY96),IF(ABS(BY96-[2]QC_indicators!$B$1)&gt;3*[2]QC_indicators!$C$1,"DF","no")))</f>
        <v>no</v>
      </c>
      <c r="EQ96"/>
      <c r="ER96"/>
      <c r="ES96"/>
      <c r="ET96" s="266" t="s">
        <v>3262</v>
      </c>
      <c r="EU96"/>
    </row>
    <row r="97" spans="1:151" s="139" customFormat="1" ht="18" hidden="1" customHeight="1">
      <c r="A97" s="1" t="s">
        <v>1425</v>
      </c>
      <c r="B97" t="s">
        <v>2492</v>
      </c>
      <c r="C97" t="s">
        <v>2493</v>
      </c>
      <c r="D97" t="s">
        <v>2494</v>
      </c>
      <c r="E97" t="s">
        <v>2495</v>
      </c>
      <c r="F97" t="s">
        <v>2496</v>
      </c>
      <c r="G97" t="s">
        <v>1431</v>
      </c>
      <c r="H97" t="s">
        <v>255</v>
      </c>
      <c r="I97">
        <v>2016</v>
      </c>
      <c r="J97">
        <v>24</v>
      </c>
      <c r="K97" t="s">
        <v>2497</v>
      </c>
      <c r="L97"/>
      <c r="M97" t="str">
        <f>LEFT($D97,FIND(",",$D97)-1)&amp;"_"&amp;I97&amp;L97</f>
        <v>Zubizarreta-Gerendiain_2016</v>
      </c>
      <c r="N97" t="s">
        <v>223</v>
      </c>
      <c r="O97" s="145" t="s">
        <v>1156</v>
      </c>
      <c r="P97"/>
      <c r="Q97" t="s">
        <v>257</v>
      </c>
      <c r="R97" s="264" t="s">
        <v>224</v>
      </c>
      <c r="S97" s="1" t="s">
        <v>2508</v>
      </c>
      <c r="T97" t="s">
        <v>2511</v>
      </c>
      <c r="U97" t="s">
        <v>2500</v>
      </c>
      <c r="V97">
        <v>0</v>
      </c>
      <c r="W97">
        <v>0</v>
      </c>
      <c r="X97">
        <v>0</v>
      </c>
      <c r="Y97">
        <v>2</v>
      </c>
      <c r="Z97">
        <v>0</v>
      </c>
      <c r="AA97">
        <v>0</v>
      </c>
      <c r="AB97">
        <v>0</v>
      </c>
      <c r="AC97">
        <v>0</v>
      </c>
      <c r="AD97">
        <v>0</v>
      </c>
      <c r="AE97">
        <v>0</v>
      </c>
      <c r="AF97">
        <v>1</v>
      </c>
      <c r="AG97">
        <v>0</v>
      </c>
      <c r="AH97">
        <v>0</v>
      </c>
      <c r="AI97">
        <v>0</v>
      </c>
      <c r="AJ97">
        <v>0</v>
      </c>
      <c r="AK97">
        <v>0</v>
      </c>
      <c r="AL97">
        <v>0</v>
      </c>
      <c r="AM97">
        <v>0</v>
      </c>
      <c r="AN97">
        <v>0</v>
      </c>
      <c r="AO97">
        <v>0</v>
      </c>
      <c r="AP97">
        <v>0</v>
      </c>
      <c r="AQ97">
        <v>0</v>
      </c>
      <c r="AR97">
        <v>0</v>
      </c>
      <c r="AS97">
        <v>0</v>
      </c>
      <c r="AT97">
        <v>0</v>
      </c>
      <c r="AU97">
        <v>0</v>
      </c>
      <c r="AV97">
        <v>0</v>
      </c>
      <c r="AW97">
        <v>0</v>
      </c>
      <c r="AX97" s="141">
        <f>COUNTIF(V97:AW97,"&lt;&gt;0")</f>
        <v>2</v>
      </c>
      <c r="AY97" s="141">
        <f>COUNTIF(V97:AL97,"&lt;&gt;0")</f>
        <v>2</v>
      </c>
      <c r="AZ97">
        <f>COUNTIF(V97:AC97,"&lt;&gt;0")</f>
        <v>1</v>
      </c>
      <c r="BA97">
        <f>COUNTIF(AD97:AI97,"&lt;&gt;0")</f>
        <v>1</v>
      </c>
      <c r="BB97">
        <f>COUNTIF(AJ97:AL97,"&lt;&gt;0")</f>
        <v>0</v>
      </c>
      <c r="BC97">
        <f>COUNTIF(AS97:AW97,"&lt;&gt;0")</f>
        <v>0</v>
      </c>
      <c r="BD97">
        <f>COUNTIF(AM97:AR97,"&lt;&gt;0")</f>
        <v>0</v>
      </c>
      <c r="BE97" t="str">
        <f t="array" ref="BE97">IF(AY97=1,INDEX($V$7:$AL$7,MATCH(TRUE,INDEX($V97:$AW97&lt;&gt;0,),0)),IF(AY97=0,INDEX($AM$7:$AW$7,MATCH(1,$AM97:$AW97,0)),IF(BF97="Multiple strategies","mixed drivers",IF(BF97="Supply chain","multiple supply","multiple silviculture"))))</f>
        <v>mixed drivers</v>
      </c>
      <c r="BF97" s="2" t="str">
        <f t="array" ref="BF97">IF(COUNTIF(AZ97:BB97,"&lt;&gt;0")=1,INDEX($V$4:$AW$4,MATCH(TRUE,INDEX($V97:$AW97&lt;&gt;0,),0)),IF(COUNTIF(AZ97:BB97,"&lt;&gt;0")=0,INDEX($AM$4:$AW$4,MATCH(1,$AM97:$AW97,0)),"Multiple strategies"))</f>
        <v>Multiple strategies</v>
      </c>
      <c r="BG97" s="1" t="s">
        <v>322</v>
      </c>
      <c r="BH97" t="s">
        <v>2501</v>
      </c>
      <c r="BI97" s="266" t="s">
        <v>2115</v>
      </c>
      <c r="BJ97" t="s">
        <v>2502</v>
      </c>
      <c r="BK97">
        <v>64.910485933503793</v>
      </c>
      <c r="BL97">
        <v>82.946708463949804</v>
      </c>
      <c r="BM97" s="143">
        <f>BL97/BK97</f>
        <v>1.2778630027346098</v>
      </c>
      <c r="BN97">
        <f>BL97-BK97</f>
        <v>18.036222530446011</v>
      </c>
      <c r="BO97">
        <f>BN97*1000*t_to_m3</f>
        <v>36808.617409073493</v>
      </c>
      <c r="BP97" s="143" t="s">
        <v>233</v>
      </c>
      <c r="BQ97" s="143" t="s">
        <v>3258</v>
      </c>
      <c r="BR97" t="s">
        <v>1197</v>
      </c>
      <c r="BS97">
        <v>79079.294245810015</v>
      </c>
      <c r="BT97">
        <v>-27756.76357541895</v>
      </c>
      <c r="BU97" s="144">
        <f>IFERROR(BT97/BS97,"")</f>
        <v>-0.35099913119026893</v>
      </c>
      <c r="BV97" s="144">
        <f>BT97-BS97</f>
        <v>-106836.05782122897</v>
      </c>
      <c r="BW97" s="144"/>
      <c r="BX97" s="144">
        <f>BV97</f>
        <v>-106836.05782122897</v>
      </c>
      <c r="BY97">
        <f>IFERROR(BX97/BO97,"")</f>
        <v>-2.902474076488768</v>
      </c>
      <c r="BZ97">
        <v>0</v>
      </c>
      <c r="CA97">
        <v>0</v>
      </c>
      <c r="CB97">
        <v>0</v>
      </c>
      <c r="CC97">
        <v>0</v>
      </c>
      <c r="CD97">
        <v>0</v>
      </c>
      <c r="CE97">
        <v>0</v>
      </c>
      <c r="CF97">
        <v>0</v>
      </c>
      <c r="CG97">
        <v>0</v>
      </c>
      <c r="CH97">
        <v>0</v>
      </c>
      <c r="CI97">
        <v>0</v>
      </c>
      <c r="CJ97">
        <v>0</v>
      </c>
      <c r="CK97">
        <v>0</v>
      </c>
      <c r="CL97">
        <v>0</v>
      </c>
      <c r="CM97">
        <v>1</v>
      </c>
      <c r="CN97" t="str">
        <f>IF($BL97&lt;$BK97,"refNeedCorrection","refOK")</f>
        <v>refOK</v>
      </c>
      <c r="CO97">
        <f>IF($CN97="refOK",$BK97,$BL97)</f>
        <v>64.910485933503793</v>
      </c>
      <c r="CP97">
        <f>IF($CN97="refOK",$BL97,$BK97)</f>
        <v>82.946708463949804</v>
      </c>
      <c r="CQ97">
        <f>IF($CN97="refOK",$BO97,-$BO97)</f>
        <v>36808.617409073493</v>
      </c>
      <c r="CR97">
        <f>IF($CN97="refOK",$BS97,$BT97)*IF($BP97="Emissions positive",-1,1)</f>
        <v>79079.294245810015</v>
      </c>
      <c r="CS97">
        <f>IF($CN97="refOK",$BT97,$BS97)*IF($BP97="Emissions positive",-1,1)</f>
        <v>-27756.76357541895</v>
      </c>
      <c r="CT97">
        <f>IF($CN97="refNeedCorrection",-BX97,BX97)*IF($BP97="Emissions positive",-1,1)</f>
        <v>-106836.05782122897</v>
      </c>
      <c r="CU97">
        <f>IFERROR(CT97/CQ97,"")</f>
        <v>-2.902474076488768</v>
      </c>
      <c r="CV97" s="2">
        <f>IFERROR((CS97-CR97)/ABS(CR97),"")</f>
        <v>-1.3509991311902689</v>
      </c>
      <c r="CW97" s="1" t="s">
        <v>1201</v>
      </c>
      <c r="CX97" t="str">
        <f>IF(OR($CW97="prd",$CW97="std",$CW97="cit"),"loc",IF(OR($CW97="eur",$CW97="reg",$CW97="coy"),"reg",$CW97))</f>
        <v>reg</v>
      </c>
      <c r="CY97" t="s">
        <v>236</v>
      </c>
      <c r="CZ97">
        <v>2010</v>
      </c>
      <c r="DA97">
        <v>2070</v>
      </c>
      <c r="DB97">
        <f>DA97-CZ97</f>
        <v>60</v>
      </c>
      <c r="DC97" t="str">
        <f>IF(DB97=0,"0",IF(AND(DB97&gt;=1,DB97&lt;=30),"1-30",IF(AND(DB97&gt;30,DB97&lt;=70),"31-70",IF(AND(DB97&gt;70,DB97&lt;=100),"71-100",IF(DB97&gt;100,"+100")))))</f>
        <v>31-70</v>
      </c>
      <c r="DD97">
        <v>1</v>
      </c>
      <c r="DE97">
        <v>1</v>
      </c>
      <c r="DF97">
        <v>1</v>
      </c>
      <c r="DG97">
        <v>1</v>
      </c>
      <c r="DH97">
        <v>0</v>
      </c>
      <c r="DI97">
        <f>SUM(DD97:DG97)</f>
        <v>4</v>
      </c>
      <c r="DJ97" t="str">
        <f>IF(DI97=1,INDEX($DD$7:$DG$7,MATCH(1,$DD97:$DG97,0)),"mixedProduct")</f>
        <v>mixedProduct</v>
      </c>
      <c r="DK97" t="str">
        <f>IF(DD97=1,DK$7,0)</f>
        <v>Upstream</v>
      </c>
      <c r="DL97" t="str">
        <f>IF(DE97=1,DL$7,0)</f>
        <v>Energy</v>
      </c>
      <c r="DM97" t="str">
        <f>IF(DF97=1,DM$7,0)</f>
        <v>Pulp/Paper</v>
      </c>
      <c r="DN97" t="str">
        <f>IF(DG97=1,DN$7,0)</f>
        <v>Timber</v>
      </c>
      <c r="DO97">
        <v>0</v>
      </c>
      <c r="DP97">
        <v>1</v>
      </c>
      <c r="DQ97" t="s">
        <v>2526</v>
      </c>
      <c r="DR97" t="s">
        <v>2527</v>
      </c>
      <c r="DS97">
        <v>0</v>
      </c>
      <c r="DT97">
        <f>SUM(DO97:DP97)</f>
        <v>1</v>
      </c>
      <c r="DU97" s="143" t="str">
        <f>IF(DO97=1,"self-calculated DF",IF(DP97=1,"external DF used","explicit C balance"))</f>
        <v>external DF used</v>
      </c>
      <c r="DV97">
        <v>1</v>
      </c>
      <c r="DW97">
        <v>1</v>
      </c>
      <c r="DX97">
        <v>1</v>
      </c>
      <c r="DY97">
        <v>1</v>
      </c>
      <c r="DZ97">
        <v>0</v>
      </c>
      <c r="EA97" s="143">
        <v>1</v>
      </c>
      <c r="EB97">
        <v>1</v>
      </c>
      <c r="EC97">
        <v>1</v>
      </c>
      <c r="ED97">
        <v>0</v>
      </c>
      <c r="EE97">
        <v>0</v>
      </c>
      <c r="EF97">
        <v>1</v>
      </c>
      <c r="EG97">
        <v>0</v>
      </c>
      <c r="EH97">
        <v>0</v>
      </c>
      <c r="EI97" s="2">
        <v>0</v>
      </c>
      <c r="EJ97" s="1"/>
      <c r="EK97" t="str">
        <f>IF(AND(AND(AND(OR($DX97=1,$DW97=1),OR($EC97=1,$EA97=1)),SUM($DV97:$DZ97,$EF97)&gt;=4),SUM($EA97:$EE97)&gt;=2),"Whole sector","")</f>
        <v>Whole sector</v>
      </c>
      <c r="EL97" t="str">
        <f>IF(AND(AND(OR($DX97=1,$DW97=1),AND($EC97=0,$EA97=0)),SUM($DV97:$DZ97,$EF97)&gt;=4),"Ecosystem approach","")</f>
        <v/>
      </c>
      <c r="EM97" s="2" t="str">
        <f>IF(AND(AND(AND($DX97=0,$DW97=0),OR($EC97=1,$EA97=1)),SUM($EB97:$EE97)&gt;=2),"Technology approach","")</f>
        <v/>
      </c>
      <c r="EN97" t="s">
        <v>2510</v>
      </c>
      <c r="EO97"/>
      <c r="EP97" t="str">
        <f>IF(ISNUMBER(BU97),IF(ABS(BU97-[2]QC_indicators!$B$2)&gt;3*[2]QC_indicators!$C$2,"C ratio",IF(ISNUMBER(BY97),IF(ABS(BY97-[2]QC_indicators!$B$1)&gt;3*[2]QC_indicators!$C$1,"DF","no"))),IF(ISNUMBER(BY97),IF(ABS(BY97-[2]QC_indicators!$B$1)&gt;3*[2]QC_indicators!$C$1,"DF","no")))</f>
        <v>no</v>
      </c>
      <c r="EQ97"/>
      <c r="ER97"/>
      <c r="ES97"/>
      <c r="ET97" s="266" t="s">
        <v>3262</v>
      </c>
      <c r="EU97"/>
    </row>
    <row r="98" spans="1:151" s="139" customFormat="1" ht="18" hidden="1" customHeight="1">
      <c r="A98" s="1" t="s">
        <v>1425</v>
      </c>
      <c r="B98" t="s">
        <v>2492</v>
      </c>
      <c r="C98" t="s">
        <v>2493</v>
      </c>
      <c r="D98" t="s">
        <v>2494</v>
      </c>
      <c r="E98" t="s">
        <v>2495</v>
      </c>
      <c r="F98" t="s">
        <v>2496</v>
      </c>
      <c r="G98" t="s">
        <v>1431</v>
      </c>
      <c r="H98" t="s">
        <v>255</v>
      </c>
      <c r="I98">
        <v>2016</v>
      </c>
      <c r="J98">
        <v>24</v>
      </c>
      <c r="K98" t="s">
        <v>2497</v>
      </c>
      <c r="L98"/>
      <c r="M98" t="str">
        <f>LEFT($D98,FIND(",",$D98)-1)&amp;"_"&amp;I98&amp;L98</f>
        <v>Zubizarreta-Gerendiain_2016</v>
      </c>
      <c r="N98" t="s">
        <v>223</v>
      </c>
      <c r="O98" s="145" t="s">
        <v>1156</v>
      </c>
      <c r="P98"/>
      <c r="Q98" t="s">
        <v>257</v>
      </c>
      <c r="R98" s="264" t="s">
        <v>224</v>
      </c>
      <c r="S98" s="1" t="s">
        <v>2498</v>
      </c>
      <c r="T98" t="s">
        <v>2499</v>
      </c>
      <c r="U98" t="s">
        <v>2500</v>
      </c>
      <c r="V98">
        <v>0</v>
      </c>
      <c r="W98">
        <v>0</v>
      </c>
      <c r="X98">
        <v>0</v>
      </c>
      <c r="Y98">
        <v>2</v>
      </c>
      <c r="Z98">
        <v>0</v>
      </c>
      <c r="AA98">
        <v>0</v>
      </c>
      <c r="AB98">
        <v>0</v>
      </c>
      <c r="AC98">
        <v>0</v>
      </c>
      <c r="AD98">
        <v>0</v>
      </c>
      <c r="AE98">
        <v>0</v>
      </c>
      <c r="AF98">
        <v>1</v>
      </c>
      <c r="AG98">
        <v>0</v>
      </c>
      <c r="AH98">
        <v>0</v>
      </c>
      <c r="AI98">
        <v>0</v>
      </c>
      <c r="AJ98">
        <v>0</v>
      </c>
      <c r="AK98">
        <v>0</v>
      </c>
      <c r="AL98">
        <v>0</v>
      </c>
      <c r="AM98">
        <v>0</v>
      </c>
      <c r="AN98">
        <v>0</v>
      </c>
      <c r="AO98">
        <v>0</v>
      </c>
      <c r="AP98">
        <v>0</v>
      </c>
      <c r="AQ98">
        <v>0</v>
      </c>
      <c r="AR98">
        <v>0</v>
      </c>
      <c r="AS98">
        <v>0</v>
      </c>
      <c r="AT98">
        <v>0</v>
      </c>
      <c r="AU98">
        <v>0</v>
      </c>
      <c r="AV98">
        <v>0</v>
      </c>
      <c r="AW98">
        <v>0</v>
      </c>
      <c r="AX98" s="141">
        <f>COUNTIF(V98:AW98,"&lt;&gt;0")</f>
        <v>2</v>
      </c>
      <c r="AY98" s="141">
        <f>COUNTIF(V98:AL98,"&lt;&gt;0")</f>
        <v>2</v>
      </c>
      <c r="AZ98">
        <f>COUNTIF(V98:AC98,"&lt;&gt;0")</f>
        <v>1</v>
      </c>
      <c r="BA98">
        <f>COUNTIF(AD98:AI98,"&lt;&gt;0")</f>
        <v>1</v>
      </c>
      <c r="BB98">
        <f>COUNTIF(AJ98:AL98,"&lt;&gt;0")</f>
        <v>0</v>
      </c>
      <c r="BC98">
        <f>COUNTIF(AS98:AW98,"&lt;&gt;0")</f>
        <v>0</v>
      </c>
      <c r="BD98">
        <f>COUNTIF(AM98:AR98,"&lt;&gt;0")</f>
        <v>0</v>
      </c>
      <c r="BE98" t="str">
        <f t="array" ref="BE98">IF(AY98=1,INDEX($V$7:$AL$7,MATCH(TRUE,INDEX($V98:$AW98&lt;&gt;0,),0)),IF(AY98=0,INDEX($AM$7:$AW$7,MATCH(1,$AM98:$AW98,0)),IF(BF98="Multiple strategies","mixed drivers",IF(BF98="Supply chain","multiple supply","multiple silviculture"))))</f>
        <v>mixed drivers</v>
      </c>
      <c r="BF98" s="2" t="str">
        <f t="array" ref="BF98">IF(COUNTIF(AZ98:BB98,"&lt;&gt;0")=1,INDEX($V$4:$AW$4,MATCH(TRUE,INDEX($V98:$AW98&lt;&gt;0,),0)),IF(COUNTIF(AZ98:BB98,"&lt;&gt;0")=0,INDEX($AM$4:$AW$4,MATCH(1,$AM98:$AW98,0)),"Multiple strategies"))</f>
        <v>Multiple strategies</v>
      </c>
      <c r="BG98" s="1" t="s">
        <v>322</v>
      </c>
      <c r="BH98" t="s">
        <v>2501</v>
      </c>
      <c r="BI98" s="266" t="s">
        <v>2115</v>
      </c>
      <c r="BJ98" t="s">
        <v>2502</v>
      </c>
      <c r="BK98">
        <v>77.868338557993695</v>
      </c>
      <c r="BL98">
        <v>82.946708463949804</v>
      </c>
      <c r="BM98" s="143">
        <f>BL98/BK98</f>
        <v>1.0652173913043479</v>
      </c>
      <c r="BN98">
        <f>BL98-BK98</f>
        <v>5.0783699059561087</v>
      </c>
      <c r="BO98">
        <f>BN98*1000*t_to_m3</f>
        <v>10364.020216236957</v>
      </c>
      <c r="BP98" s="143" t="s">
        <v>233</v>
      </c>
      <c r="BQ98" s="143" t="s">
        <v>3258</v>
      </c>
      <c r="BR98" t="s">
        <v>1197</v>
      </c>
      <c r="BS98">
        <v>-52765.33273743005</v>
      </c>
      <c r="BT98">
        <v>-114599.70703910608</v>
      </c>
      <c r="BU98" s="144">
        <f>IFERROR(BT98/BS98,"")</f>
        <v>2.1718750000000036</v>
      </c>
      <c r="BV98" s="144">
        <f>BT98-BS98</f>
        <v>-61834.374301676035</v>
      </c>
      <c r="BW98" s="144"/>
      <c r="BX98" s="144">
        <f>BV98</f>
        <v>-61834.374301676035</v>
      </c>
      <c r="BY98">
        <f>IFERROR(BX98/BO98,"")</f>
        <v>-5.9662537327746845</v>
      </c>
      <c r="BZ98">
        <v>0</v>
      </c>
      <c r="CA98">
        <v>0</v>
      </c>
      <c r="CB98">
        <v>0</v>
      </c>
      <c r="CC98">
        <v>0</v>
      </c>
      <c r="CD98">
        <v>0</v>
      </c>
      <c r="CE98">
        <v>0</v>
      </c>
      <c r="CF98">
        <v>0</v>
      </c>
      <c r="CG98">
        <v>0</v>
      </c>
      <c r="CH98">
        <v>0</v>
      </c>
      <c r="CI98">
        <v>0</v>
      </c>
      <c r="CJ98">
        <v>0</v>
      </c>
      <c r="CK98">
        <v>0</v>
      </c>
      <c r="CL98">
        <v>0</v>
      </c>
      <c r="CM98">
        <v>1</v>
      </c>
      <c r="CN98" t="str">
        <f>IF($BL98&lt;$BK98,"refNeedCorrection","refOK")</f>
        <v>refOK</v>
      </c>
      <c r="CO98">
        <f>IF($CN98="refOK",$BK98,$BL98)</f>
        <v>77.868338557993695</v>
      </c>
      <c r="CP98">
        <f>IF($CN98="refOK",$BL98,$BK98)</f>
        <v>82.946708463949804</v>
      </c>
      <c r="CQ98">
        <f>IF($CN98="refOK",$BO98,-$BO98)</f>
        <v>10364.020216236957</v>
      </c>
      <c r="CR98">
        <f>IF($CN98="refOK",$BS98,$BT98)*IF($BP98="Emissions positive",-1,1)</f>
        <v>-52765.33273743005</v>
      </c>
      <c r="CS98">
        <f>IF($CN98="refOK",$BT98,$BS98)*IF($BP98="Emissions positive",-1,1)</f>
        <v>-114599.70703910608</v>
      </c>
      <c r="CT98">
        <f>IF($CN98="refNeedCorrection",-BX98,BX98)*IF($BP98="Emissions positive",-1,1)</f>
        <v>-61834.374301676035</v>
      </c>
      <c r="CU98">
        <f>IFERROR(CT98/CQ98,"")</f>
        <v>-5.9662537327746845</v>
      </c>
      <c r="CV98" s="2">
        <f>IFERROR((CS98-CR98)/ABS(CR98),"")</f>
        <v>-1.1718750000000038</v>
      </c>
      <c r="CW98" s="1" t="s">
        <v>1201</v>
      </c>
      <c r="CX98" t="str">
        <f>IF(OR($CW98="prd",$CW98="std",$CW98="cit"),"loc",IF(OR($CW98="eur",$CW98="reg",$CW98="coy"),"reg",$CW98))</f>
        <v>reg</v>
      </c>
      <c r="CY98" t="s">
        <v>236</v>
      </c>
      <c r="CZ98">
        <v>2010</v>
      </c>
      <c r="DA98">
        <v>2070</v>
      </c>
      <c r="DB98">
        <f>DA98-CZ98</f>
        <v>60</v>
      </c>
      <c r="DC98" t="str">
        <f>IF(DB98=0,"0",IF(AND(DB98&gt;=1,DB98&lt;=30),"1-30",IF(AND(DB98&gt;30,DB98&lt;=70),"31-70",IF(AND(DB98&gt;70,DB98&lt;=100),"71-100",IF(DB98&gt;100,"+100")))))</f>
        <v>31-70</v>
      </c>
      <c r="DD98">
        <v>1</v>
      </c>
      <c r="DE98">
        <v>1</v>
      </c>
      <c r="DF98">
        <v>1</v>
      </c>
      <c r="DG98">
        <v>1</v>
      </c>
      <c r="DH98">
        <v>0</v>
      </c>
      <c r="DI98">
        <f>SUM(DD98:DG98)</f>
        <v>4</v>
      </c>
      <c r="DJ98" t="str">
        <f>IF(DI98=1,INDEX($DD$7:$DG$7,MATCH(1,$DD98:$DG98,0)),"mixedProduct")</f>
        <v>mixedProduct</v>
      </c>
      <c r="DK98" t="str">
        <f>IF(DD98=1,DK$7,0)</f>
        <v>Upstream</v>
      </c>
      <c r="DL98" t="str">
        <f>IF(DE98=1,DL$7,0)</f>
        <v>Energy</v>
      </c>
      <c r="DM98" t="str">
        <f>IF(DF98=1,DM$7,0)</f>
        <v>Pulp/Paper</v>
      </c>
      <c r="DN98" t="str">
        <f>IF(DG98=1,DN$7,0)</f>
        <v>Timber</v>
      </c>
      <c r="DO98">
        <v>0</v>
      </c>
      <c r="DP98">
        <v>0</v>
      </c>
      <c r="DQ98">
        <v>0</v>
      </c>
      <c r="DR98">
        <v>0</v>
      </c>
      <c r="DS98">
        <v>0</v>
      </c>
      <c r="DT98">
        <f>SUM(DO98:DP98)</f>
        <v>0</v>
      </c>
      <c r="DU98" s="143" t="str">
        <f>IF(DO98=1,"self-calculated DF",IF(DP98=1,"external DF used","explicit C balance"))</f>
        <v>explicit C balance</v>
      </c>
      <c r="DV98">
        <v>1</v>
      </c>
      <c r="DW98">
        <v>1</v>
      </c>
      <c r="DX98">
        <v>1</v>
      </c>
      <c r="DY98">
        <v>0</v>
      </c>
      <c r="DZ98">
        <v>0</v>
      </c>
      <c r="EA98" s="143">
        <v>0</v>
      </c>
      <c r="EB98">
        <v>1</v>
      </c>
      <c r="EC98">
        <v>1</v>
      </c>
      <c r="ED98">
        <v>0</v>
      </c>
      <c r="EE98">
        <v>0</v>
      </c>
      <c r="EF98">
        <v>1</v>
      </c>
      <c r="EG98">
        <v>0</v>
      </c>
      <c r="EH98">
        <v>0</v>
      </c>
      <c r="EI98" s="2">
        <v>0</v>
      </c>
      <c r="EJ98" s="1"/>
      <c r="EK98" t="str">
        <f>IF(AND(AND(AND(OR($DX98=1,$DW98=1),OR($EC98=1,$EA98=1)),SUM($DV98:$DZ98,$EF98)&gt;=4),SUM($EA98:$EE98)&gt;=2),"Whole sector","")</f>
        <v>Whole sector</v>
      </c>
      <c r="EL98" t="str">
        <f>IF(AND(AND(OR($DX98=1,$DW98=1),AND($EC98=0,$EA98=0)),SUM($DV98:$DZ98,$EF98)&gt;=4),"Ecosystem approach","")</f>
        <v/>
      </c>
      <c r="EM98" s="2" t="str">
        <f>IF(AND(AND(AND($DX98=0,$DW98=0),OR($EC98=1,$EA98=1)),SUM($EB98:$EE98)&gt;=2),"Technology approach","")</f>
        <v/>
      </c>
      <c r="EN98"/>
      <c r="EO98"/>
      <c r="EP98" t="str">
        <f>IF(ISNUMBER(BU98),IF(ABS(BU98-[2]QC_indicators!$B$2)&gt;3*[2]QC_indicators!$C$2,"C ratio",IF(ISNUMBER(BY98),IF(ABS(BY98-[2]QC_indicators!$B$1)&gt;3*[2]QC_indicators!$C$1,"DF","no"))),IF(ISNUMBER(BY98),IF(ABS(BY98-[2]QC_indicators!$B$1)&gt;3*[2]QC_indicators!$C$1,"DF","no")))</f>
        <v>no</v>
      </c>
      <c r="EQ98" t="s">
        <v>2503</v>
      </c>
      <c r="ER98"/>
      <c r="ES98"/>
      <c r="ET98" s="266" t="s">
        <v>3259</v>
      </c>
      <c r="EU98"/>
    </row>
    <row r="99" spans="1:151" s="139" customFormat="1" ht="15" hidden="1" customHeight="1">
      <c r="A99" s="1" t="s">
        <v>1425</v>
      </c>
      <c r="B99" t="s">
        <v>2492</v>
      </c>
      <c r="C99" t="s">
        <v>2493</v>
      </c>
      <c r="D99" t="s">
        <v>2494</v>
      </c>
      <c r="E99" t="s">
        <v>2495</v>
      </c>
      <c r="F99" t="s">
        <v>2496</v>
      </c>
      <c r="G99" t="s">
        <v>1431</v>
      </c>
      <c r="H99" t="s">
        <v>255</v>
      </c>
      <c r="I99">
        <v>2016</v>
      </c>
      <c r="J99">
        <v>24</v>
      </c>
      <c r="K99" t="s">
        <v>2497</v>
      </c>
      <c r="L99"/>
      <c r="M99" t="str">
        <f>LEFT($D99,FIND(",",$D99)-1)&amp;"_"&amp;I99&amp;L99</f>
        <v>Zubizarreta-Gerendiain_2016</v>
      </c>
      <c r="N99" t="s">
        <v>223</v>
      </c>
      <c r="O99" s="145" t="s">
        <v>1156</v>
      </c>
      <c r="P99"/>
      <c r="Q99" t="s">
        <v>257</v>
      </c>
      <c r="R99" s="264" t="s">
        <v>224</v>
      </c>
      <c r="S99" s="1" t="s">
        <v>2498</v>
      </c>
      <c r="T99" t="s">
        <v>2504</v>
      </c>
      <c r="U99" t="s">
        <v>2500</v>
      </c>
      <c r="V99">
        <v>0</v>
      </c>
      <c r="W99">
        <v>0</v>
      </c>
      <c r="X99">
        <v>0</v>
      </c>
      <c r="Y99">
        <v>2</v>
      </c>
      <c r="Z99">
        <v>0</v>
      </c>
      <c r="AA99">
        <v>0</v>
      </c>
      <c r="AB99">
        <v>0</v>
      </c>
      <c r="AC99">
        <v>0</v>
      </c>
      <c r="AD99">
        <v>0</v>
      </c>
      <c r="AE99">
        <v>0</v>
      </c>
      <c r="AF99">
        <v>1</v>
      </c>
      <c r="AG99">
        <v>0</v>
      </c>
      <c r="AH99">
        <v>0</v>
      </c>
      <c r="AI99">
        <v>0</v>
      </c>
      <c r="AJ99">
        <v>0</v>
      </c>
      <c r="AK99">
        <v>0</v>
      </c>
      <c r="AL99">
        <v>0</v>
      </c>
      <c r="AM99">
        <v>0</v>
      </c>
      <c r="AN99">
        <v>0</v>
      </c>
      <c r="AO99">
        <v>0</v>
      </c>
      <c r="AP99">
        <v>0</v>
      </c>
      <c r="AQ99">
        <v>0</v>
      </c>
      <c r="AR99">
        <v>0</v>
      </c>
      <c r="AS99">
        <v>0</v>
      </c>
      <c r="AT99">
        <v>0</v>
      </c>
      <c r="AU99">
        <v>0</v>
      </c>
      <c r="AV99">
        <v>0</v>
      </c>
      <c r="AW99">
        <v>0</v>
      </c>
      <c r="AX99" s="141">
        <f>COUNTIF(V99:AW99,"&lt;&gt;0")</f>
        <v>2</v>
      </c>
      <c r="AY99" s="141">
        <f>COUNTIF(V99:AL99,"&lt;&gt;0")</f>
        <v>2</v>
      </c>
      <c r="AZ99">
        <f>COUNTIF(V99:AC99,"&lt;&gt;0")</f>
        <v>1</v>
      </c>
      <c r="BA99">
        <f>COUNTIF(AD99:AI99,"&lt;&gt;0")</f>
        <v>1</v>
      </c>
      <c r="BB99">
        <f>COUNTIF(AJ99:AL99,"&lt;&gt;0")</f>
        <v>0</v>
      </c>
      <c r="BC99">
        <f>COUNTIF(AS99:AW99,"&lt;&gt;0")</f>
        <v>0</v>
      </c>
      <c r="BD99">
        <f>COUNTIF(AM99:AR99,"&lt;&gt;0")</f>
        <v>0</v>
      </c>
      <c r="BE99" t="str">
        <f t="array" ref="BE99">IF(AY99=1,INDEX($V$7:$AL$7,MATCH(TRUE,INDEX($V99:$AW99&lt;&gt;0,),0)),IF(AY99=0,INDEX($AM$7:$AW$7,MATCH(1,$AM99:$AW99,0)),IF(BF99="Multiple strategies","mixed drivers",IF(BF99="Supply chain","multiple supply","multiple silviculture"))))</f>
        <v>mixed drivers</v>
      </c>
      <c r="BF99" s="2" t="str">
        <f t="array" ref="BF99">IF(COUNTIF(AZ99:BB99,"&lt;&gt;0")=1,INDEX($V$4:$AW$4,MATCH(TRUE,INDEX($V99:$AW99&lt;&gt;0,),0)),IF(COUNTIF(AZ99:BB99,"&lt;&gt;0")=0,INDEX($AM$4:$AW$4,MATCH(1,$AM99:$AW99,0)),"Multiple strategies"))</f>
        <v>Multiple strategies</v>
      </c>
      <c r="BG99" s="1" t="s">
        <v>322</v>
      </c>
      <c r="BH99" t="s">
        <v>2501</v>
      </c>
      <c r="BI99" s="266" t="s">
        <v>2115</v>
      </c>
      <c r="BJ99" t="s">
        <v>2502</v>
      </c>
      <c r="BK99">
        <v>70.532915360501505</v>
      </c>
      <c r="BL99">
        <v>82.946708463949804</v>
      </c>
      <c r="BM99" s="143">
        <f>BL99/BK99</f>
        <v>1.1760000000000004</v>
      </c>
      <c r="BN99">
        <f>BL99-BK99</f>
        <v>12.413793103448299</v>
      </c>
      <c r="BO99">
        <f>BN99*1000*t_to_m3</f>
        <v>25334.271639690407</v>
      </c>
      <c r="BP99" s="143" t="s">
        <v>233</v>
      </c>
      <c r="BQ99" s="143" t="s">
        <v>3258</v>
      </c>
      <c r="BR99" t="s">
        <v>1197</v>
      </c>
      <c r="BS99">
        <v>-7420.1249162010854</v>
      </c>
      <c r="BT99">
        <v>-114599.70703910608</v>
      </c>
      <c r="BU99" s="144">
        <f>IFERROR(BT99/BS99,"")</f>
        <v>15.444444444444503</v>
      </c>
      <c r="BV99" s="144">
        <f>BT99-BS99</f>
        <v>-107179.58212290501</v>
      </c>
      <c r="BW99" s="144"/>
      <c r="BX99" s="144">
        <f>BV99</f>
        <v>-107179.58212290501</v>
      </c>
      <c r="BY99">
        <f>IFERROR(BX99/BO99,"")</f>
        <v>-4.2306162832402148</v>
      </c>
      <c r="BZ99">
        <v>0</v>
      </c>
      <c r="CA99">
        <v>0</v>
      </c>
      <c r="CB99">
        <v>0</v>
      </c>
      <c r="CC99">
        <v>0</v>
      </c>
      <c r="CD99">
        <v>0</v>
      </c>
      <c r="CE99">
        <v>0</v>
      </c>
      <c r="CF99">
        <v>0</v>
      </c>
      <c r="CG99">
        <v>0</v>
      </c>
      <c r="CH99">
        <v>0</v>
      </c>
      <c r="CI99">
        <v>0</v>
      </c>
      <c r="CJ99">
        <v>0</v>
      </c>
      <c r="CK99">
        <v>0</v>
      </c>
      <c r="CL99">
        <v>0</v>
      </c>
      <c r="CM99">
        <v>1</v>
      </c>
      <c r="CN99" t="str">
        <f>IF($BL99&lt;$BK99,"refNeedCorrection","refOK")</f>
        <v>refOK</v>
      </c>
      <c r="CO99">
        <f>IF($CN99="refOK",$BK99,$BL99)</f>
        <v>70.532915360501505</v>
      </c>
      <c r="CP99">
        <f>IF($CN99="refOK",$BL99,$BK99)</f>
        <v>82.946708463949804</v>
      </c>
      <c r="CQ99">
        <f>IF($CN99="refOK",$BO99,-$BO99)</f>
        <v>25334.271639690407</v>
      </c>
      <c r="CR99">
        <f>IF($CN99="refOK",$BS99,$BT99)*IF($BP99="Emissions positive",-1,1)</f>
        <v>-7420.1249162010854</v>
      </c>
      <c r="CS99">
        <f>IF($CN99="refOK",$BT99,$BS99)*IF($BP99="Emissions positive",-1,1)</f>
        <v>-114599.70703910608</v>
      </c>
      <c r="CT99">
        <f>IF($CN99="refNeedCorrection",-BX99,BX99)*IF($BP99="Emissions positive",-1,1)</f>
        <v>-107179.58212290501</v>
      </c>
      <c r="CU99">
        <f>IFERROR(CT99/CQ99,"")</f>
        <v>-4.2306162832402148</v>
      </c>
      <c r="CV99" s="2">
        <f>IFERROR((CS99-CR99)/ABS(CR99),"")</f>
        <v>-14.444444444444503</v>
      </c>
      <c r="CW99" s="1" t="s">
        <v>1201</v>
      </c>
      <c r="CX99" t="str">
        <f>IF(OR($CW99="prd",$CW99="std",$CW99="cit"),"loc",IF(OR($CW99="eur",$CW99="reg",$CW99="coy"),"reg",$CW99))</f>
        <v>reg</v>
      </c>
      <c r="CY99" t="s">
        <v>236</v>
      </c>
      <c r="CZ99">
        <v>2010</v>
      </c>
      <c r="DA99">
        <v>2070</v>
      </c>
      <c r="DB99">
        <f>DA99-CZ99</f>
        <v>60</v>
      </c>
      <c r="DC99" t="str">
        <f>IF(DB99=0,"0",IF(AND(DB99&gt;=1,DB99&lt;=30),"1-30",IF(AND(DB99&gt;30,DB99&lt;=70),"31-70",IF(AND(DB99&gt;70,DB99&lt;=100),"71-100",IF(DB99&gt;100,"+100")))))</f>
        <v>31-70</v>
      </c>
      <c r="DD99">
        <v>1</v>
      </c>
      <c r="DE99">
        <v>1</v>
      </c>
      <c r="DF99">
        <v>1</v>
      </c>
      <c r="DG99">
        <v>1</v>
      </c>
      <c r="DH99">
        <v>0</v>
      </c>
      <c r="DI99">
        <f>SUM(DD99:DG99)</f>
        <v>4</v>
      </c>
      <c r="DJ99" t="str">
        <f>IF(DI99=1,INDEX($DD$7:$DG$7,MATCH(1,$DD99:$DG99,0)),"mixedProduct")</f>
        <v>mixedProduct</v>
      </c>
      <c r="DK99" t="str">
        <f>IF(DD99=1,DK$7,0)</f>
        <v>Upstream</v>
      </c>
      <c r="DL99" t="str">
        <f>IF(DE99=1,DL$7,0)</f>
        <v>Energy</v>
      </c>
      <c r="DM99" t="str">
        <f>IF(DF99=1,DM$7,0)</f>
        <v>Pulp/Paper</v>
      </c>
      <c r="DN99" t="str">
        <f>IF(DG99=1,DN$7,0)</f>
        <v>Timber</v>
      </c>
      <c r="DO99">
        <v>0</v>
      </c>
      <c r="DP99">
        <v>0</v>
      </c>
      <c r="DQ99">
        <v>0</v>
      </c>
      <c r="DR99">
        <v>0</v>
      </c>
      <c r="DS99">
        <v>0</v>
      </c>
      <c r="DT99">
        <f>SUM(DO99:DP99)</f>
        <v>0</v>
      </c>
      <c r="DU99" s="143" t="str">
        <f>IF(DO99=1,"self-calculated DF",IF(DP99=1,"external DF used","explicit C balance"))</f>
        <v>explicit C balance</v>
      </c>
      <c r="DV99">
        <v>1</v>
      </c>
      <c r="DW99">
        <v>1</v>
      </c>
      <c r="DX99">
        <v>1</v>
      </c>
      <c r="DY99">
        <v>0</v>
      </c>
      <c r="DZ99">
        <v>0</v>
      </c>
      <c r="EA99" s="143">
        <v>0</v>
      </c>
      <c r="EB99">
        <v>1</v>
      </c>
      <c r="EC99">
        <v>1</v>
      </c>
      <c r="ED99">
        <v>0</v>
      </c>
      <c r="EE99">
        <v>0</v>
      </c>
      <c r="EF99">
        <v>1</v>
      </c>
      <c r="EG99">
        <v>0</v>
      </c>
      <c r="EH99">
        <v>0</v>
      </c>
      <c r="EI99" s="2">
        <v>0</v>
      </c>
      <c r="EJ99" s="1"/>
      <c r="EK99" t="str">
        <f>IF(AND(AND(AND(OR($DX99=1,$DW99=1),OR($EC99=1,$EA99=1)),SUM($DV99:$DZ99,$EF99)&gt;=4),SUM($EA99:$EE99)&gt;=2),"Whole sector","")</f>
        <v>Whole sector</v>
      </c>
      <c r="EL99" t="str">
        <f>IF(AND(AND(OR($DX99=1,$DW99=1),AND($EC99=0,$EA99=0)),SUM($DV99:$DZ99,$EF99)&gt;=4),"Ecosystem approach","")</f>
        <v/>
      </c>
      <c r="EM99" s="2" t="str">
        <f>IF(AND(AND(AND($DX99=0,$DW99=0),OR($EC99=1,$EA99=1)),SUM($EB99:$EE99)&gt;=2),"Technology approach","")</f>
        <v/>
      </c>
      <c r="EN99"/>
      <c r="EO99"/>
      <c r="EP99" t="str">
        <f>IF(ISNUMBER(BU99),IF(ABS(BU99-[2]QC_indicators!$B$2)&gt;3*[2]QC_indicators!$C$2,"C ratio",IF(ISNUMBER(BY99),IF(ABS(BY99-[2]QC_indicators!$B$1)&gt;3*[2]QC_indicators!$C$1,"DF","no"))),IF(ISNUMBER(BY99),IF(ABS(BY99-[2]QC_indicators!$B$1)&gt;3*[2]QC_indicators!$C$1,"DF","no")))</f>
        <v>C ratio</v>
      </c>
      <c r="EQ99" t="s">
        <v>2503</v>
      </c>
      <c r="ER99"/>
      <c r="ES99"/>
      <c r="ET99" s="266" t="s">
        <v>3259</v>
      </c>
      <c r="EU99"/>
    </row>
    <row r="100" spans="1:151" s="139" customFormat="1" ht="15" hidden="1" customHeight="1">
      <c r="A100" s="1" t="s">
        <v>1425</v>
      </c>
      <c r="B100" t="s">
        <v>2492</v>
      </c>
      <c r="C100" t="s">
        <v>2493</v>
      </c>
      <c r="D100" t="s">
        <v>2494</v>
      </c>
      <c r="E100" t="s">
        <v>2495</v>
      </c>
      <c r="F100" t="s">
        <v>2496</v>
      </c>
      <c r="G100" t="s">
        <v>1431</v>
      </c>
      <c r="H100" t="s">
        <v>255</v>
      </c>
      <c r="I100">
        <v>2016</v>
      </c>
      <c r="J100">
        <v>24</v>
      </c>
      <c r="K100" t="s">
        <v>2497</v>
      </c>
      <c r="L100"/>
      <c r="M100" t="str">
        <f>LEFT($D100,FIND(",",$D100)-1)&amp;"_"&amp;I100&amp;L100</f>
        <v>Zubizarreta-Gerendiain_2016</v>
      </c>
      <c r="N100" t="s">
        <v>223</v>
      </c>
      <c r="O100" s="145" t="s">
        <v>1156</v>
      </c>
      <c r="P100"/>
      <c r="Q100" t="s">
        <v>257</v>
      </c>
      <c r="R100" s="264" t="s">
        <v>224</v>
      </c>
      <c r="S100" s="1" t="s">
        <v>2498</v>
      </c>
      <c r="T100" t="s">
        <v>2505</v>
      </c>
      <c r="U100" t="s">
        <v>2506</v>
      </c>
      <c r="V100">
        <v>0</v>
      </c>
      <c r="W100">
        <v>0</v>
      </c>
      <c r="X100">
        <v>0</v>
      </c>
      <c r="Y100">
        <v>2</v>
      </c>
      <c r="Z100">
        <v>0</v>
      </c>
      <c r="AA100">
        <v>0</v>
      </c>
      <c r="AB100">
        <v>0</v>
      </c>
      <c r="AC100">
        <v>0</v>
      </c>
      <c r="AD100">
        <v>0</v>
      </c>
      <c r="AE100">
        <v>0</v>
      </c>
      <c r="AF100">
        <v>1</v>
      </c>
      <c r="AG100">
        <v>0</v>
      </c>
      <c r="AH100">
        <v>0</v>
      </c>
      <c r="AI100">
        <v>0</v>
      </c>
      <c r="AJ100">
        <v>0</v>
      </c>
      <c r="AK100">
        <v>0</v>
      </c>
      <c r="AL100">
        <v>0</v>
      </c>
      <c r="AM100">
        <v>0</v>
      </c>
      <c r="AN100">
        <v>0</v>
      </c>
      <c r="AO100">
        <v>0</v>
      </c>
      <c r="AP100">
        <v>0</v>
      </c>
      <c r="AQ100">
        <v>0</v>
      </c>
      <c r="AR100">
        <v>0</v>
      </c>
      <c r="AS100">
        <v>0</v>
      </c>
      <c r="AT100">
        <v>0</v>
      </c>
      <c r="AU100">
        <v>0</v>
      </c>
      <c r="AV100">
        <v>0</v>
      </c>
      <c r="AW100">
        <v>0</v>
      </c>
      <c r="AX100" s="141">
        <f>COUNTIF(V100:AW100,"&lt;&gt;0")</f>
        <v>2</v>
      </c>
      <c r="AY100" s="141">
        <f>COUNTIF(V100:AL100,"&lt;&gt;0")</f>
        <v>2</v>
      </c>
      <c r="AZ100">
        <f>COUNTIF(V100:AC100,"&lt;&gt;0")</f>
        <v>1</v>
      </c>
      <c r="BA100">
        <f>COUNTIF(AD100:AI100,"&lt;&gt;0")</f>
        <v>1</v>
      </c>
      <c r="BB100">
        <f>COUNTIF(AJ100:AL100,"&lt;&gt;0")</f>
        <v>0</v>
      </c>
      <c r="BC100">
        <f>COUNTIF(AS100:AW100,"&lt;&gt;0")</f>
        <v>0</v>
      </c>
      <c r="BD100">
        <f>COUNTIF(AM100:AR100,"&lt;&gt;0")</f>
        <v>0</v>
      </c>
      <c r="BE100" t="str">
        <f t="array" ref="BE100">IF(AY100=1,INDEX($V$7:$AL$7,MATCH(TRUE,INDEX($V100:$AW100&lt;&gt;0,),0)),IF(AY100=0,INDEX($AM$7:$AW$7,MATCH(1,$AM100:$AW100,0)),IF(BF100="Multiple strategies","mixed drivers",IF(BF100="Supply chain","multiple supply","multiple silviculture"))))</f>
        <v>mixed drivers</v>
      </c>
      <c r="BF100" s="2" t="str">
        <f t="array" ref="BF100">IF(COUNTIF(AZ100:BB100,"&lt;&gt;0")=1,INDEX($V$4:$AW$4,MATCH(TRUE,INDEX($V100:$AW100&lt;&gt;0,),0)),IF(COUNTIF(AZ100:BB100,"&lt;&gt;0")=0,INDEX($AM$4:$AW$4,MATCH(1,$AM100:$AW100,0)),"Multiple strategies"))</f>
        <v>Multiple strategies</v>
      </c>
      <c r="BG100" s="1" t="s">
        <v>322</v>
      </c>
      <c r="BH100" t="s">
        <v>2501</v>
      </c>
      <c r="BI100" s="266" t="s">
        <v>2115</v>
      </c>
      <c r="BJ100" t="s">
        <v>2502</v>
      </c>
      <c r="BK100">
        <v>74.117647058823493</v>
      </c>
      <c r="BL100">
        <v>82.634271099744197</v>
      </c>
      <c r="BM100" s="143">
        <f>BL100/BK100</f>
        <v>1.1149068322981366</v>
      </c>
      <c r="BN100">
        <f>BL100-BK100</f>
        <v>8.5166240409207035</v>
      </c>
      <c r="BO100">
        <f>BN100*1000*t_to_m3</f>
        <v>17380.865389634091</v>
      </c>
      <c r="BP100" t="s">
        <v>233</v>
      </c>
      <c r="BQ100" s="143" t="s">
        <v>3258</v>
      </c>
      <c r="BR100" t="s">
        <v>1197</v>
      </c>
      <c r="BS100">
        <v>-14436.115015974412</v>
      </c>
      <c r="BT100">
        <v>-87418.696485623019</v>
      </c>
      <c r="BU100" s="144">
        <f>IFERROR(BT100/BS100,"")</f>
        <v>6.0555555555555687</v>
      </c>
      <c r="BV100" s="144">
        <f>BT100-BS100</f>
        <v>-72982.581469648605</v>
      </c>
      <c r="BW100" s="144"/>
      <c r="BX100" s="144">
        <f>BV100</f>
        <v>-72982.581469648605</v>
      </c>
      <c r="BY100">
        <f>IFERROR(BX100/BO100,"")</f>
        <v>-4.1990188539849838</v>
      </c>
      <c r="BZ100">
        <v>0</v>
      </c>
      <c r="CA100">
        <v>0</v>
      </c>
      <c r="CB100">
        <v>0</v>
      </c>
      <c r="CC100">
        <v>0</v>
      </c>
      <c r="CD100">
        <v>0</v>
      </c>
      <c r="CE100">
        <v>0</v>
      </c>
      <c r="CF100">
        <v>0</v>
      </c>
      <c r="CG100">
        <v>0</v>
      </c>
      <c r="CH100">
        <v>0</v>
      </c>
      <c r="CI100">
        <v>0</v>
      </c>
      <c r="CJ100">
        <v>0</v>
      </c>
      <c r="CK100">
        <v>0</v>
      </c>
      <c r="CL100">
        <v>0</v>
      </c>
      <c r="CM100">
        <v>1</v>
      </c>
      <c r="CN100" t="str">
        <f>IF($BL100&lt;$BK100,"refNeedCorrection","refOK")</f>
        <v>refOK</v>
      </c>
      <c r="CO100">
        <f>IF($CN100="refOK",$BK100,$BL100)</f>
        <v>74.117647058823493</v>
      </c>
      <c r="CP100">
        <f>IF($CN100="refOK",$BL100,$BK100)</f>
        <v>82.634271099744197</v>
      </c>
      <c r="CQ100">
        <f>IF($CN100="refOK",$BO100,-$BO100)</f>
        <v>17380.865389634091</v>
      </c>
      <c r="CR100">
        <f>IF($CN100="refOK",$BS100,$BT100)*IF($BP100="Emissions positive",-1,1)</f>
        <v>-14436.115015974412</v>
      </c>
      <c r="CS100">
        <f>IF($CN100="refOK",$BT100,$BS100)*IF($BP100="Emissions positive",-1,1)</f>
        <v>-87418.696485623019</v>
      </c>
      <c r="CT100">
        <f>IF($CN100="refNeedCorrection",-BX100,BX100)*IF($BP100="Emissions positive",-1,1)</f>
        <v>-72982.581469648605</v>
      </c>
      <c r="CU100">
        <f>IFERROR(CT100/CQ100,"")</f>
        <v>-4.1990188539849838</v>
      </c>
      <c r="CV100" s="2">
        <f>IFERROR((CS100-CR100)/ABS(CR100),"")</f>
        <v>-5.0555555555555687</v>
      </c>
      <c r="CW100" s="1" t="s">
        <v>1201</v>
      </c>
      <c r="CX100" t="str">
        <f>IF(OR($CW100="prd",$CW100="std",$CW100="cit"),"loc",IF(OR($CW100="eur",$CW100="reg",$CW100="coy"),"reg",$CW100))</f>
        <v>reg</v>
      </c>
      <c r="CY100" t="s">
        <v>236</v>
      </c>
      <c r="CZ100">
        <v>2010</v>
      </c>
      <c r="DA100">
        <v>2070</v>
      </c>
      <c r="DB100">
        <f>DA100-CZ100</f>
        <v>60</v>
      </c>
      <c r="DC100" t="str">
        <f>IF(DB100=0,"0",IF(AND(DB100&gt;=1,DB100&lt;=30),"1-30",IF(AND(DB100&gt;30,DB100&lt;=70),"31-70",IF(AND(DB100&gt;70,DB100&lt;=100),"71-100",IF(DB100&gt;100,"+100")))))</f>
        <v>31-70</v>
      </c>
      <c r="DD100">
        <v>1</v>
      </c>
      <c r="DE100">
        <v>1</v>
      </c>
      <c r="DF100">
        <v>1</v>
      </c>
      <c r="DG100">
        <v>1</v>
      </c>
      <c r="DH100">
        <v>0</v>
      </c>
      <c r="DI100">
        <f>SUM(DD100:DG100)</f>
        <v>4</v>
      </c>
      <c r="DJ100" t="str">
        <f>IF(DI100=1,INDEX($DD$7:$DG$7,MATCH(1,$DD100:$DG100,0)),"mixedProduct")</f>
        <v>mixedProduct</v>
      </c>
      <c r="DK100" t="str">
        <f>IF(DD100=1,DK$7,0)</f>
        <v>Upstream</v>
      </c>
      <c r="DL100" t="str">
        <f>IF(DE100=1,DL$7,0)</f>
        <v>Energy</v>
      </c>
      <c r="DM100" t="str">
        <f>IF(DF100=1,DM$7,0)</f>
        <v>Pulp/Paper</v>
      </c>
      <c r="DN100" t="str">
        <f>IF(DG100=1,DN$7,0)</f>
        <v>Timber</v>
      </c>
      <c r="DO100">
        <v>0</v>
      </c>
      <c r="DP100">
        <v>0</v>
      </c>
      <c r="DQ100">
        <v>0</v>
      </c>
      <c r="DR100">
        <v>0</v>
      </c>
      <c r="DS100">
        <v>0</v>
      </c>
      <c r="DT100">
        <f>SUM(DO100:DP100)</f>
        <v>0</v>
      </c>
      <c r="DU100" s="143" t="str">
        <f>IF(DO100=1,"self-calculated DF",IF(DP100=1,"external DF used","explicit C balance"))</f>
        <v>explicit C balance</v>
      </c>
      <c r="DV100">
        <v>1</v>
      </c>
      <c r="DW100">
        <v>1</v>
      </c>
      <c r="DX100">
        <v>1</v>
      </c>
      <c r="DY100">
        <v>0</v>
      </c>
      <c r="DZ100">
        <v>0</v>
      </c>
      <c r="EA100" s="143">
        <v>0</v>
      </c>
      <c r="EB100">
        <v>1</v>
      </c>
      <c r="EC100">
        <v>1</v>
      </c>
      <c r="ED100">
        <v>0</v>
      </c>
      <c r="EE100">
        <v>0</v>
      </c>
      <c r="EF100">
        <v>1</v>
      </c>
      <c r="EG100">
        <v>0</v>
      </c>
      <c r="EH100">
        <v>0</v>
      </c>
      <c r="EI100" s="2">
        <v>0</v>
      </c>
      <c r="EJ100" s="1"/>
      <c r="EK100" t="str">
        <f>IF(AND(AND(AND(OR($DX100=1,$DW100=1),OR($EC100=1,$EA100=1)),SUM($DV100:$DZ100,$EF100)&gt;=4),SUM($EA100:$EE100)&gt;=2),"Whole sector","")</f>
        <v>Whole sector</v>
      </c>
      <c r="EL100" t="str">
        <f>IF(AND(AND(OR($DX100=1,$DW100=1),AND($EC100=0,$EA100=0)),SUM($DV100:$DZ100,$EF100)&gt;=4),"Ecosystem approach","")</f>
        <v/>
      </c>
      <c r="EM100" s="2" t="str">
        <f>IF(AND(AND(AND($DX100=0,$DW100=0),OR($EC100=1,$EA100=1)),SUM($EB100:$EE100)&gt;=2),"Technology approach","")</f>
        <v/>
      </c>
      <c r="EN100"/>
      <c r="EO100"/>
      <c r="EP100" t="str">
        <f>IF(ISNUMBER(BU100),IF(ABS(BU100-[2]QC_indicators!$B$2)&gt;3*[2]QC_indicators!$C$2,"C ratio",IF(ISNUMBER(BY100),IF(ABS(BY100-[2]QC_indicators!$B$1)&gt;3*[2]QC_indicators!$C$1,"DF","no"))),IF(ISNUMBER(BY100),IF(ABS(BY100-[2]QC_indicators!$B$1)&gt;3*[2]QC_indicators!$C$1,"DF","no")))</f>
        <v>no</v>
      </c>
      <c r="EQ100" t="s">
        <v>2503</v>
      </c>
      <c r="ER100"/>
      <c r="ES100"/>
      <c r="ET100" s="266" t="s">
        <v>3259</v>
      </c>
      <c r="EU100"/>
    </row>
    <row r="101" spans="1:151" s="139" customFormat="1" ht="15" hidden="1" customHeight="1">
      <c r="A101" s="1" t="s">
        <v>1425</v>
      </c>
      <c r="B101" t="s">
        <v>2492</v>
      </c>
      <c r="C101" t="s">
        <v>2493</v>
      </c>
      <c r="D101" t="s">
        <v>2494</v>
      </c>
      <c r="E101" t="s">
        <v>2495</v>
      </c>
      <c r="F101" t="s">
        <v>2496</v>
      </c>
      <c r="G101" t="s">
        <v>1431</v>
      </c>
      <c r="H101" t="s">
        <v>255</v>
      </c>
      <c r="I101">
        <v>2016</v>
      </c>
      <c r="J101">
        <v>24</v>
      </c>
      <c r="K101" t="s">
        <v>2497</v>
      </c>
      <c r="L101"/>
      <c r="M101" t="str">
        <f>LEFT($D101,FIND(",",$D101)-1)&amp;"_"&amp;I101&amp;L101</f>
        <v>Zubizarreta-Gerendiain_2016</v>
      </c>
      <c r="N101" t="s">
        <v>223</v>
      </c>
      <c r="O101" s="145" t="s">
        <v>1156</v>
      </c>
      <c r="P101"/>
      <c r="Q101" t="s">
        <v>257</v>
      </c>
      <c r="R101" s="264" t="s">
        <v>224</v>
      </c>
      <c r="S101" s="1" t="s">
        <v>2498</v>
      </c>
      <c r="T101" t="s">
        <v>2507</v>
      </c>
      <c r="U101" t="s">
        <v>2506</v>
      </c>
      <c r="V101">
        <v>0</v>
      </c>
      <c r="W101">
        <v>0</v>
      </c>
      <c r="X101">
        <v>0</v>
      </c>
      <c r="Y101">
        <v>2</v>
      </c>
      <c r="Z101">
        <v>0</v>
      </c>
      <c r="AA101">
        <v>0</v>
      </c>
      <c r="AB101">
        <v>0</v>
      </c>
      <c r="AC101">
        <v>0</v>
      </c>
      <c r="AD101">
        <v>0</v>
      </c>
      <c r="AE101">
        <v>0</v>
      </c>
      <c r="AF101">
        <v>1</v>
      </c>
      <c r="AG101">
        <v>0</v>
      </c>
      <c r="AH101">
        <v>0</v>
      </c>
      <c r="AI101">
        <v>0</v>
      </c>
      <c r="AJ101">
        <v>0</v>
      </c>
      <c r="AK101">
        <v>0</v>
      </c>
      <c r="AL101">
        <v>0</v>
      </c>
      <c r="AM101">
        <v>0</v>
      </c>
      <c r="AN101">
        <v>0</v>
      </c>
      <c r="AO101">
        <v>0</v>
      </c>
      <c r="AP101">
        <v>0</v>
      </c>
      <c r="AQ101">
        <v>0</v>
      </c>
      <c r="AR101">
        <v>0</v>
      </c>
      <c r="AS101">
        <v>0</v>
      </c>
      <c r="AT101">
        <v>0</v>
      </c>
      <c r="AU101">
        <v>0</v>
      </c>
      <c r="AV101">
        <v>0</v>
      </c>
      <c r="AW101">
        <v>0</v>
      </c>
      <c r="AX101" s="141">
        <f>COUNTIF(V101:AW101,"&lt;&gt;0")</f>
        <v>2</v>
      </c>
      <c r="AY101" s="141">
        <f>COUNTIF(V101:AL101,"&lt;&gt;0")</f>
        <v>2</v>
      </c>
      <c r="AZ101">
        <f>COUNTIF(V101:AC101,"&lt;&gt;0")</f>
        <v>1</v>
      </c>
      <c r="BA101">
        <f>COUNTIF(AD101:AI101,"&lt;&gt;0")</f>
        <v>1</v>
      </c>
      <c r="BB101">
        <f>COUNTIF(AJ101:AL101,"&lt;&gt;0")</f>
        <v>0</v>
      </c>
      <c r="BC101">
        <f>COUNTIF(AS101:AW101,"&lt;&gt;0")</f>
        <v>0</v>
      </c>
      <c r="BD101">
        <f>COUNTIF(AM101:AR101,"&lt;&gt;0")</f>
        <v>0</v>
      </c>
      <c r="BE101" t="str">
        <f t="array" ref="BE101">IF(AY101=1,INDEX($V$7:$AL$7,MATCH(TRUE,INDEX($V101:$AW101&lt;&gt;0,),0)),IF(AY101=0,INDEX($AM$7:$AW$7,MATCH(1,$AM101:$AW101,0)),IF(BF101="Multiple strategies","mixed drivers",IF(BF101="Supply chain","multiple supply","multiple silviculture"))))</f>
        <v>mixed drivers</v>
      </c>
      <c r="BF101" s="2" t="str">
        <f t="array" ref="BF101">IF(COUNTIF(AZ101:BB101,"&lt;&gt;0")=1,INDEX($V$4:$AW$4,MATCH(TRUE,INDEX($V101:$AW101&lt;&gt;0,),0)),IF(COUNTIF(AZ101:BB101,"&lt;&gt;0")=0,INDEX($AM$4:$AW$4,MATCH(1,$AM101:$AW101,0)),"Multiple strategies"))</f>
        <v>Multiple strategies</v>
      </c>
      <c r="BG101" s="1" t="s">
        <v>322</v>
      </c>
      <c r="BH101" t="s">
        <v>2501</v>
      </c>
      <c r="BI101" s="266" t="s">
        <v>2115</v>
      </c>
      <c r="BJ101" t="s">
        <v>2502</v>
      </c>
      <c r="BK101">
        <v>70.434782608695599</v>
      </c>
      <c r="BL101">
        <v>82.634271099744197</v>
      </c>
      <c r="BM101" s="143">
        <f>BL101/BK101</f>
        <v>1.1732026143790852</v>
      </c>
      <c r="BN101">
        <f>BL101-BK101</f>
        <v>12.199488491048598</v>
      </c>
      <c r="BO101">
        <f>BN101*1000*t_to_m3</f>
        <v>24896.915287854281</v>
      </c>
      <c r="BP101" t="s">
        <v>233</v>
      </c>
      <c r="BQ101" s="143" t="s">
        <v>3258</v>
      </c>
      <c r="BR101" t="s">
        <v>1197</v>
      </c>
      <c r="BS101">
        <v>15639.124600638877</v>
      </c>
      <c r="BT101">
        <v>-87418.696485623019</v>
      </c>
      <c r="BU101" s="144">
        <f>IFERROR(BT101/BS101,"")</f>
        <v>-5.5897435897436267</v>
      </c>
      <c r="BV101" s="144">
        <f>BT101-BS101</f>
        <v>-103057.8210862619</v>
      </c>
      <c r="BW101" s="144"/>
      <c r="BX101" s="144">
        <f>BV101</f>
        <v>-103057.8210862619</v>
      </c>
      <c r="BY101">
        <f>IFERROR(BX101/BO101,"")</f>
        <v>-4.1393811198987231</v>
      </c>
      <c r="BZ101">
        <v>0</v>
      </c>
      <c r="CA101">
        <v>0</v>
      </c>
      <c r="CB101">
        <v>0</v>
      </c>
      <c r="CC101">
        <v>0</v>
      </c>
      <c r="CD101">
        <v>0</v>
      </c>
      <c r="CE101">
        <v>0</v>
      </c>
      <c r="CF101">
        <v>0</v>
      </c>
      <c r="CG101">
        <v>0</v>
      </c>
      <c r="CH101">
        <v>0</v>
      </c>
      <c r="CI101">
        <v>0</v>
      </c>
      <c r="CJ101">
        <v>0</v>
      </c>
      <c r="CK101">
        <v>0</v>
      </c>
      <c r="CL101">
        <v>0</v>
      </c>
      <c r="CM101">
        <v>1</v>
      </c>
      <c r="CN101" t="str">
        <f>IF($BL101&lt;$BK101,"refNeedCorrection","refOK")</f>
        <v>refOK</v>
      </c>
      <c r="CO101">
        <f>IF($CN101="refOK",$BK101,$BL101)</f>
        <v>70.434782608695599</v>
      </c>
      <c r="CP101">
        <f>IF($CN101="refOK",$BL101,$BK101)</f>
        <v>82.634271099744197</v>
      </c>
      <c r="CQ101">
        <f>IF($CN101="refOK",$BO101,-$BO101)</f>
        <v>24896.915287854281</v>
      </c>
      <c r="CR101">
        <f>IF($CN101="refOK",$BS101,$BT101)*IF($BP101="Emissions positive",-1,1)</f>
        <v>15639.124600638877</v>
      </c>
      <c r="CS101">
        <f>IF($CN101="refOK",$BT101,$BS101)*IF($BP101="Emissions positive",-1,1)</f>
        <v>-87418.696485623019</v>
      </c>
      <c r="CT101">
        <f>IF($CN101="refNeedCorrection",-BX101,BX101)*IF($BP101="Emissions positive",-1,1)</f>
        <v>-103057.8210862619</v>
      </c>
      <c r="CU101">
        <f>IFERROR(CT101/CQ101,"")</f>
        <v>-4.1393811198987231</v>
      </c>
      <c r="CV101" s="2">
        <f>IFERROR((CS101-CR101)/ABS(CR101),"")</f>
        <v>-6.5897435897436267</v>
      </c>
      <c r="CW101" s="1" t="s">
        <v>1201</v>
      </c>
      <c r="CX101" t="str">
        <f>IF(OR($CW101="prd",$CW101="std",$CW101="cit"),"loc",IF(OR($CW101="eur",$CW101="reg",$CW101="coy"),"reg",$CW101))</f>
        <v>reg</v>
      </c>
      <c r="CY101" t="s">
        <v>236</v>
      </c>
      <c r="CZ101">
        <v>2010</v>
      </c>
      <c r="DA101">
        <v>2070</v>
      </c>
      <c r="DB101">
        <f>DA101-CZ101</f>
        <v>60</v>
      </c>
      <c r="DC101" t="str">
        <f>IF(DB101=0,"0",IF(AND(DB101&gt;=1,DB101&lt;=30),"1-30",IF(AND(DB101&gt;30,DB101&lt;=70),"31-70",IF(AND(DB101&gt;70,DB101&lt;=100),"71-100",IF(DB101&gt;100,"+100")))))</f>
        <v>31-70</v>
      </c>
      <c r="DD101">
        <v>1</v>
      </c>
      <c r="DE101">
        <v>1</v>
      </c>
      <c r="DF101">
        <v>1</v>
      </c>
      <c r="DG101">
        <v>1</v>
      </c>
      <c r="DH101">
        <v>0</v>
      </c>
      <c r="DI101">
        <f>SUM(DD101:DG101)</f>
        <v>4</v>
      </c>
      <c r="DJ101" t="str">
        <f>IF(DI101=1,INDEX($DD$7:$DG$7,MATCH(1,$DD101:$DG101,0)),"mixedProduct")</f>
        <v>mixedProduct</v>
      </c>
      <c r="DK101" t="str">
        <f>IF(DD101=1,DK$7,0)</f>
        <v>Upstream</v>
      </c>
      <c r="DL101" t="str">
        <f>IF(DE101=1,DL$7,0)</f>
        <v>Energy</v>
      </c>
      <c r="DM101" t="str">
        <f>IF(DF101=1,DM$7,0)</f>
        <v>Pulp/Paper</v>
      </c>
      <c r="DN101" t="str">
        <f>IF(DG101=1,DN$7,0)</f>
        <v>Timber</v>
      </c>
      <c r="DO101">
        <v>0</v>
      </c>
      <c r="DP101">
        <v>0</v>
      </c>
      <c r="DQ101">
        <v>0</v>
      </c>
      <c r="DR101">
        <v>0</v>
      </c>
      <c r="DS101">
        <v>0</v>
      </c>
      <c r="DT101">
        <f>SUM(DO101:DP101)</f>
        <v>0</v>
      </c>
      <c r="DU101" s="143" t="str">
        <f>IF(DO101=1,"self-calculated DF",IF(DP101=1,"external DF used","explicit C balance"))</f>
        <v>explicit C balance</v>
      </c>
      <c r="DV101">
        <v>1</v>
      </c>
      <c r="DW101">
        <v>1</v>
      </c>
      <c r="DX101">
        <v>1</v>
      </c>
      <c r="DY101">
        <v>0</v>
      </c>
      <c r="DZ101">
        <v>0</v>
      </c>
      <c r="EA101" s="143">
        <v>0</v>
      </c>
      <c r="EB101">
        <v>1</v>
      </c>
      <c r="EC101">
        <v>1</v>
      </c>
      <c r="ED101">
        <v>0</v>
      </c>
      <c r="EE101">
        <v>0</v>
      </c>
      <c r="EF101">
        <v>1</v>
      </c>
      <c r="EG101">
        <v>0</v>
      </c>
      <c r="EH101">
        <v>0</v>
      </c>
      <c r="EI101" s="2">
        <v>0</v>
      </c>
      <c r="EJ101" s="1"/>
      <c r="EK101" t="str">
        <f>IF(AND(AND(AND(OR($DX101=1,$DW101=1),OR($EC101=1,$EA101=1)),SUM($DV101:$DZ101,$EF101)&gt;=4),SUM($EA101:$EE101)&gt;=2),"Whole sector","")</f>
        <v>Whole sector</v>
      </c>
      <c r="EL101" t="str">
        <f>IF(AND(AND(OR($DX101=1,$DW101=1),AND($EC101=0,$EA101=0)),SUM($DV101:$DZ101,$EF101)&gt;=4),"Ecosystem approach","")</f>
        <v/>
      </c>
      <c r="EM101" s="2" t="str">
        <f>IF(AND(AND(AND($DX101=0,$DW101=0),OR($EC101=1,$EA101=1)),SUM($EB101:$EE101)&gt;=2),"Technology approach","")</f>
        <v/>
      </c>
      <c r="EN101"/>
      <c r="EO101"/>
      <c r="EP101" t="str">
        <f>IF(ISNUMBER(BU101),IF(ABS(BU101-[2]QC_indicators!$B$2)&gt;3*[2]QC_indicators!$C$2,"C ratio",IF(ISNUMBER(BY101),IF(ABS(BY101-[2]QC_indicators!$B$1)&gt;3*[2]QC_indicators!$C$1,"DF","no"))),IF(ISNUMBER(BY101),IF(ABS(BY101-[2]QC_indicators!$B$1)&gt;3*[2]QC_indicators!$C$1,"DF","no")))</f>
        <v>no</v>
      </c>
      <c r="EQ101" t="s">
        <v>2503</v>
      </c>
      <c r="ER101"/>
      <c r="ES101"/>
      <c r="ET101" s="266" t="s">
        <v>3259</v>
      </c>
      <c r="EU101"/>
    </row>
    <row r="102" spans="1:151" s="139" customFormat="1" ht="15" hidden="1" customHeight="1">
      <c r="A102" s="1" t="s">
        <v>1425</v>
      </c>
      <c r="B102" t="s">
        <v>2492</v>
      </c>
      <c r="C102" t="s">
        <v>2493</v>
      </c>
      <c r="D102" t="s">
        <v>2494</v>
      </c>
      <c r="E102" t="s">
        <v>2495</v>
      </c>
      <c r="F102" t="s">
        <v>2496</v>
      </c>
      <c r="G102" t="s">
        <v>1431</v>
      </c>
      <c r="H102" t="s">
        <v>255</v>
      </c>
      <c r="I102">
        <v>2016</v>
      </c>
      <c r="J102">
        <v>24</v>
      </c>
      <c r="K102" t="s">
        <v>2497</v>
      </c>
      <c r="L102"/>
      <c r="M102" t="str">
        <f>LEFT($D102,FIND(",",$D102)-1)&amp;"_"&amp;I102&amp;L102</f>
        <v>Zubizarreta-Gerendiain_2016</v>
      </c>
      <c r="N102" t="s">
        <v>223</v>
      </c>
      <c r="O102" s="145" t="s">
        <v>1156</v>
      </c>
      <c r="P102"/>
      <c r="Q102" t="s">
        <v>257</v>
      </c>
      <c r="R102" s="264" t="s">
        <v>224</v>
      </c>
      <c r="S102" s="1" t="s">
        <v>2508</v>
      </c>
      <c r="T102" t="s">
        <v>2511</v>
      </c>
      <c r="U102" t="s">
        <v>2500</v>
      </c>
      <c r="V102">
        <v>0</v>
      </c>
      <c r="W102">
        <v>0</v>
      </c>
      <c r="X102">
        <v>0</v>
      </c>
      <c r="Y102">
        <v>2</v>
      </c>
      <c r="Z102">
        <v>0</v>
      </c>
      <c r="AA102">
        <v>0</v>
      </c>
      <c r="AB102">
        <v>0</v>
      </c>
      <c r="AC102">
        <v>0</v>
      </c>
      <c r="AD102">
        <v>0</v>
      </c>
      <c r="AE102">
        <v>0</v>
      </c>
      <c r="AF102">
        <v>1</v>
      </c>
      <c r="AG102">
        <v>0</v>
      </c>
      <c r="AH102">
        <v>0</v>
      </c>
      <c r="AI102">
        <v>0</v>
      </c>
      <c r="AJ102">
        <v>0</v>
      </c>
      <c r="AK102">
        <v>0</v>
      </c>
      <c r="AL102">
        <v>0</v>
      </c>
      <c r="AM102">
        <v>0</v>
      </c>
      <c r="AN102">
        <v>0</v>
      </c>
      <c r="AO102">
        <v>0</v>
      </c>
      <c r="AP102">
        <v>0</v>
      </c>
      <c r="AQ102">
        <v>0</v>
      </c>
      <c r="AR102">
        <v>0</v>
      </c>
      <c r="AS102">
        <v>0</v>
      </c>
      <c r="AT102">
        <v>0</v>
      </c>
      <c r="AU102">
        <v>0</v>
      </c>
      <c r="AV102">
        <v>0</v>
      </c>
      <c r="AW102">
        <v>0</v>
      </c>
      <c r="AX102" s="141">
        <f>COUNTIF(V102:AW102,"&lt;&gt;0")</f>
        <v>2</v>
      </c>
      <c r="AY102" s="141">
        <f>COUNTIF(V102:AL102,"&lt;&gt;0")</f>
        <v>2</v>
      </c>
      <c r="AZ102">
        <f>COUNTIF(V102:AC102,"&lt;&gt;0")</f>
        <v>1</v>
      </c>
      <c r="BA102">
        <f>COUNTIF(AD102:AI102,"&lt;&gt;0")</f>
        <v>1</v>
      </c>
      <c r="BB102">
        <f>COUNTIF(AJ102:AL102,"&lt;&gt;0")</f>
        <v>0</v>
      </c>
      <c r="BC102">
        <f>COUNTIF(AS102:AW102,"&lt;&gt;0")</f>
        <v>0</v>
      </c>
      <c r="BD102">
        <f>COUNTIF(AM102:AR102,"&lt;&gt;0")</f>
        <v>0</v>
      </c>
      <c r="BE102" t="str">
        <f t="array" ref="BE102">IF(AY102=1,INDEX($V$7:$AL$7,MATCH(TRUE,INDEX($V102:$AW102&lt;&gt;0,),0)),IF(AY102=0,INDEX($AM$7:$AW$7,MATCH(1,$AM102:$AW102,0)),IF(BF102="Multiple strategies","mixed drivers",IF(BF102="Supply chain","multiple supply","multiple silviculture"))))</f>
        <v>mixed drivers</v>
      </c>
      <c r="BF102" s="2" t="str">
        <f t="array" ref="BF102">IF(COUNTIF(AZ102:BB102,"&lt;&gt;0")=1,INDEX($V$4:$AW$4,MATCH(TRUE,INDEX($V102:$AW102&lt;&gt;0,),0)),IF(COUNTIF(AZ102:BB102,"&lt;&gt;0")=0,INDEX($AM$4:$AW$4,MATCH(1,$AM102:$AW102,0)),"Multiple strategies"))</f>
        <v>Multiple strategies</v>
      </c>
      <c r="BG102" s="1" t="s">
        <v>322</v>
      </c>
      <c r="BH102" t="s">
        <v>2501</v>
      </c>
      <c r="BI102" s="266" t="s">
        <v>2115</v>
      </c>
      <c r="BJ102" t="s">
        <v>2502</v>
      </c>
      <c r="BK102">
        <v>64.910485933503793</v>
      </c>
      <c r="BL102">
        <v>82.946708463949804</v>
      </c>
      <c r="BM102" s="143">
        <f>BL102/BK102</f>
        <v>1.2778630027346098</v>
      </c>
      <c r="BN102">
        <f>BL102-BK102</f>
        <v>18.036222530446011</v>
      </c>
      <c r="BO102">
        <f>BN102*1000*t_to_m3</f>
        <v>36808.617409073493</v>
      </c>
      <c r="BP102" s="143" t="s">
        <v>233</v>
      </c>
      <c r="BQ102" s="143" t="s">
        <v>3258</v>
      </c>
      <c r="BR102" t="s">
        <v>1197</v>
      </c>
      <c r="BS102">
        <v>-4328.4062011172464</v>
      </c>
      <c r="BT102">
        <v>-114599.70703910608</v>
      </c>
      <c r="BU102" s="144">
        <f>IFERROR(BT102/BS102,"")</f>
        <v>26.476190476190904</v>
      </c>
      <c r="BV102" s="144">
        <f>BT102-BS102</f>
        <v>-110271.30083798883</v>
      </c>
      <c r="BW102" s="144"/>
      <c r="BX102" s="144">
        <f>BV102</f>
        <v>-110271.30083798883</v>
      </c>
      <c r="BY102">
        <f>IFERROR(BX102/BO102,"")</f>
        <v>-2.995801217211882</v>
      </c>
      <c r="BZ102">
        <v>0</v>
      </c>
      <c r="CA102">
        <v>0</v>
      </c>
      <c r="CB102">
        <v>0</v>
      </c>
      <c r="CC102">
        <v>0</v>
      </c>
      <c r="CD102">
        <v>0</v>
      </c>
      <c r="CE102">
        <v>0</v>
      </c>
      <c r="CF102">
        <v>0</v>
      </c>
      <c r="CG102">
        <v>0</v>
      </c>
      <c r="CH102">
        <v>0</v>
      </c>
      <c r="CI102">
        <v>0</v>
      </c>
      <c r="CJ102">
        <v>0</v>
      </c>
      <c r="CK102">
        <v>0</v>
      </c>
      <c r="CL102">
        <v>0</v>
      </c>
      <c r="CM102">
        <v>1</v>
      </c>
      <c r="CN102" t="str">
        <f>IF($BL102&lt;$BK102,"refNeedCorrection","refOK")</f>
        <v>refOK</v>
      </c>
      <c r="CO102">
        <f>IF($CN102="refOK",$BK102,$BL102)</f>
        <v>64.910485933503793</v>
      </c>
      <c r="CP102">
        <f>IF($CN102="refOK",$BL102,$BK102)</f>
        <v>82.946708463949804</v>
      </c>
      <c r="CQ102">
        <f>IF($CN102="refOK",$BO102,-$BO102)</f>
        <v>36808.617409073493</v>
      </c>
      <c r="CR102">
        <f>IF($CN102="refOK",$BS102,$BT102)*IF($BP102="Emissions positive",-1,1)</f>
        <v>-4328.4062011172464</v>
      </c>
      <c r="CS102">
        <f>IF($CN102="refOK",$BT102,$BS102)*IF($BP102="Emissions positive",-1,1)</f>
        <v>-114599.70703910608</v>
      </c>
      <c r="CT102">
        <f>IF($CN102="refNeedCorrection",-BX102,BX102)*IF($BP102="Emissions positive",-1,1)</f>
        <v>-110271.30083798883</v>
      </c>
      <c r="CU102">
        <f>IFERROR(CT102/CQ102,"")</f>
        <v>-2.995801217211882</v>
      </c>
      <c r="CV102" s="2">
        <f>IFERROR((CS102-CR102)/ABS(CR102),"")</f>
        <v>-25.476190476190901</v>
      </c>
      <c r="CW102" s="1" t="s">
        <v>1201</v>
      </c>
      <c r="CX102" t="str">
        <f>IF(OR($CW102="prd",$CW102="std",$CW102="cit"),"loc",IF(OR($CW102="eur",$CW102="reg",$CW102="coy"),"reg",$CW102))</f>
        <v>reg</v>
      </c>
      <c r="CY102" t="s">
        <v>236</v>
      </c>
      <c r="CZ102">
        <v>2010</v>
      </c>
      <c r="DA102">
        <v>2070</v>
      </c>
      <c r="DB102">
        <f>DA102-CZ102</f>
        <v>60</v>
      </c>
      <c r="DC102" t="str">
        <f>IF(DB102=0,"0",IF(AND(DB102&gt;=1,DB102&lt;=30),"1-30",IF(AND(DB102&gt;30,DB102&lt;=70),"31-70",IF(AND(DB102&gt;70,DB102&lt;=100),"71-100",IF(DB102&gt;100,"+100")))))</f>
        <v>31-70</v>
      </c>
      <c r="DD102">
        <v>1</v>
      </c>
      <c r="DE102">
        <v>1</v>
      </c>
      <c r="DF102">
        <v>1</v>
      </c>
      <c r="DG102">
        <v>1</v>
      </c>
      <c r="DH102">
        <v>0</v>
      </c>
      <c r="DI102">
        <f>SUM(DD102:DG102)</f>
        <v>4</v>
      </c>
      <c r="DJ102" t="str">
        <f>IF(DI102=1,INDEX($DD$7:$DG$7,MATCH(1,$DD102:$DG102,0)),"mixedProduct")</f>
        <v>mixedProduct</v>
      </c>
      <c r="DK102" t="str">
        <f>IF(DD102=1,DK$7,0)</f>
        <v>Upstream</v>
      </c>
      <c r="DL102" t="str">
        <f>IF(DE102=1,DL$7,0)</f>
        <v>Energy</v>
      </c>
      <c r="DM102" t="str">
        <f>IF(DF102=1,DM$7,0)</f>
        <v>Pulp/Paper</v>
      </c>
      <c r="DN102" t="str">
        <f>IF(DG102=1,DN$7,0)</f>
        <v>Timber</v>
      </c>
      <c r="DO102">
        <v>0</v>
      </c>
      <c r="DP102">
        <v>0</v>
      </c>
      <c r="DQ102">
        <v>0</v>
      </c>
      <c r="DR102">
        <v>0</v>
      </c>
      <c r="DS102">
        <v>0</v>
      </c>
      <c r="DT102">
        <f>SUM(DO102:DP102)</f>
        <v>0</v>
      </c>
      <c r="DU102" s="143" t="str">
        <f>IF(DO102=1,"self-calculated DF",IF(DP102=1,"external DF used","explicit C balance"))</f>
        <v>explicit C balance</v>
      </c>
      <c r="DV102">
        <v>1</v>
      </c>
      <c r="DW102">
        <v>1</v>
      </c>
      <c r="DX102">
        <v>1</v>
      </c>
      <c r="DY102">
        <v>0</v>
      </c>
      <c r="DZ102">
        <v>0</v>
      </c>
      <c r="EA102" s="143">
        <v>0</v>
      </c>
      <c r="EB102">
        <v>1</v>
      </c>
      <c r="EC102">
        <v>1</v>
      </c>
      <c r="ED102">
        <v>0</v>
      </c>
      <c r="EE102">
        <v>0</v>
      </c>
      <c r="EF102">
        <v>1</v>
      </c>
      <c r="EG102">
        <v>0</v>
      </c>
      <c r="EH102">
        <v>0</v>
      </c>
      <c r="EI102" s="2">
        <v>0</v>
      </c>
      <c r="EJ102" s="1"/>
      <c r="EK102" t="str">
        <f>IF(AND(AND(AND(OR($DX102=1,$DW102=1),OR($EC102=1,$EA102=1)),SUM($DV102:$DZ102,$EF102)&gt;=4),SUM($EA102:$EE102)&gt;=2),"Whole sector","")</f>
        <v>Whole sector</v>
      </c>
      <c r="EL102" t="str">
        <f>IF(AND(AND(OR($DX102=1,$DW102=1),AND($EC102=0,$EA102=0)),SUM($DV102:$DZ102,$EF102)&gt;=4),"Ecosystem approach","")</f>
        <v/>
      </c>
      <c r="EM102" s="2" t="str">
        <f>IF(AND(AND(AND($DX102=0,$DW102=0),OR($EC102=1,$EA102=1)),SUM($EB102:$EE102)&gt;=2),"Technology approach","")</f>
        <v/>
      </c>
      <c r="EN102" t="s">
        <v>2510</v>
      </c>
      <c r="EO102"/>
      <c r="EP102" t="str">
        <f>IF(ISNUMBER(BU102),IF(ABS(BU102-[2]QC_indicators!$B$2)&gt;3*[2]QC_indicators!$C$2,"C ratio",IF(ISNUMBER(BY102),IF(ABS(BY102-[2]QC_indicators!$B$1)&gt;3*[2]QC_indicators!$C$1,"DF","no"))),IF(ISNUMBER(BY102),IF(ABS(BY102-[2]QC_indicators!$B$1)&gt;3*[2]QC_indicators!$C$1,"DF","no")))</f>
        <v>C ratio</v>
      </c>
      <c r="EQ102" t="s">
        <v>2503</v>
      </c>
      <c r="ER102"/>
      <c r="ES102"/>
      <c r="ET102" s="266" t="s">
        <v>3259</v>
      </c>
      <c r="EU102"/>
    </row>
    <row r="103" spans="1:151" s="139" customFormat="1" ht="15" hidden="1" customHeight="1">
      <c r="A103" s="1" t="s">
        <v>1425</v>
      </c>
      <c r="B103" t="s">
        <v>2492</v>
      </c>
      <c r="C103" t="s">
        <v>2493</v>
      </c>
      <c r="D103" t="s">
        <v>2494</v>
      </c>
      <c r="E103" t="s">
        <v>2495</v>
      </c>
      <c r="F103" t="s">
        <v>2496</v>
      </c>
      <c r="G103" t="s">
        <v>1431</v>
      </c>
      <c r="H103" t="s">
        <v>255</v>
      </c>
      <c r="I103">
        <v>2016</v>
      </c>
      <c r="J103">
        <v>24</v>
      </c>
      <c r="K103" t="s">
        <v>2497</v>
      </c>
      <c r="L103"/>
      <c r="M103" t="str">
        <f>LEFT($D103,FIND(",",$D103)-1)&amp;"_"&amp;I103&amp;L103</f>
        <v>Zubizarreta-Gerendiain_2016</v>
      </c>
      <c r="N103" t="s">
        <v>223</v>
      </c>
      <c r="O103" s="145" t="s">
        <v>1156</v>
      </c>
      <c r="P103"/>
      <c r="Q103" t="s">
        <v>257</v>
      </c>
      <c r="R103" s="264" t="s">
        <v>224</v>
      </c>
      <c r="S103" s="1" t="s">
        <v>2508</v>
      </c>
      <c r="T103" t="s">
        <v>2509</v>
      </c>
      <c r="U103" t="s">
        <v>2506</v>
      </c>
      <c r="V103">
        <v>0</v>
      </c>
      <c r="W103">
        <v>0</v>
      </c>
      <c r="X103">
        <v>0</v>
      </c>
      <c r="Y103">
        <v>2</v>
      </c>
      <c r="Z103">
        <v>0</v>
      </c>
      <c r="AA103">
        <v>0</v>
      </c>
      <c r="AB103">
        <v>0</v>
      </c>
      <c r="AC103">
        <v>0</v>
      </c>
      <c r="AD103">
        <v>0</v>
      </c>
      <c r="AE103">
        <v>0</v>
      </c>
      <c r="AF103">
        <v>1</v>
      </c>
      <c r="AG103">
        <v>0</v>
      </c>
      <c r="AH103">
        <v>0</v>
      </c>
      <c r="AI103">
        <v>0</v>
      </c>
      <c r="AJ103">
        <v>0</v>
      </c>
      <c r="AK103">
        <v>0</v>
      </c>
      <c r="AL103">
        <v>0</v>
      </c>
      <c r="AM103">
        <v>0</v>
      </c>
      <c r="AN103">
        <v>0</v>
      </c>
      <c r="AO103">
        <v>0</v>
      </c>
      <c r="AP103">
        <v>0</v>
      </c>
      <c r="AQ103">
        <v>0</v>
      </c>
      <c r="AR103">
        <v>0</v>
      </c>
      <c r="AS103">
        <v>0</v>
      </c>
      <c r="AT103">
        <v>0</v>
      </c>
      <c r="AU103">
        <v>0</v>
      </c>
      <c r="AV103">
        <v>0</v>
      </c>
      <c r="AW103">
        <v>0</v>
      </c>
      <c r="AX103" s="141">
        <f>COUNTIF(V103:AW103,"&lt;&gt;0")</f>
        <v>2</v>
      </c>
      <c r="AY103" s="141">
        <f>COUNTIF(V103:AL103,"&lt;&gt;0")</f>
        <v>2</v>
      </c>
      <c r="AZ103">
        <f>COUNTIF(V103:AC103,"&lt;&gt;0")</f>
        <v>1</v>
      </c>
      <c r="BA103">
        <f>COUNTIF(AD103:AI103,"&lt;&gt;0")</f>
        <v>1</v>
      </c>
      <c r="BB103">
        <f>COUNTIF(AJ103:AL103,"&lt;&gt;0")</f>
        <v>0</v>
      </c>
      <c r="BC103">
        <f>COUNTIF(AS103:AW103,"&lt;&gt;0")</f>
        <v>0</v>
      </c>
      <c r="BD103">
        <f>COUNTIF(AM103:AR103,"&lt;&gt;0")</f>
        <v>0</v>
      </c>
      <c r="BE103" t="str">
        <f t="array" ref="BE103">IF(AY103=1,INDEX($V$7:$AL$7,MATCH(TRUE,INDEX($V103:$AW103&lt;&gt;0,),0)),IF(AY103=0,INDEX($AM$7:$AW$7,MATCH(1,$AM103:$AW103,0)),IF(BF103="Multiple strategies","mixed drivers",IF(BF103="Supply chain","multiple supply","multiple silviculture"))))</f>
        <v>mixed drivers</v>
      </c>
      <c r="BF103" s="2" t="str">
        <f t="array" ref="BF103">IF(COUNTIF(AZ103:BB103,"&lt;&gt;0")=1,INDEX($V$4:$AW$4,MATCH(TRUE,INDEX($V103:$AW103&lt;&gt;0,),0)),IF(COUNTIF(AZ103:BB103,"&lt;&gt;0")=0,INDEX($AM$4:$AW$4,MATCH(1,$AM103:$AW103,0)),"Multiple strategies"))</f>
        <v>Multiple strategies</v>
      </c>
      <c r="BG103" s="1" t="s">
        <v>322</v>
      </c>
      <c r="BH103" t="s">
        <v>2501</v>
      </c>
      <c r="BI103" s="266" t="s">
        <v>2115</v>
      </c>
      <c r="BJ103" t="s">
        <v>2502</v>
      </c>
      <c r="BK103">
        <v>64.910485933503793</v>
      </c>
      <c r="BL103">
        <v>82.634271099744197</v>
      </c>
      <c r="BM103" s="143">
        <f>BL103/BK103</f>
        <v>1.273049645390071</v>
      </c>
      <c r="BN103">
        <f>BL103-BK103</f>
        <v>17.723785166240404</v>
      </c>
      <c r="BO103">
        <f>BN103*1000*t_to_m3</f>
        <v>36170.990135184496</v>
      </c>
      <c r="BP103" s="143" t="s">
        <v>233</v>
      </c>
      <c r="BQ103" s="143" t="s">
        <v>3258</v>
      </c>
      <c r="BR103" t="s">
        <v>1197</v>
      </c>
      <c r="BS103">
        <v>10626.584664536607</v>
      </c>
      <c r="BT103">
        <v>-87418.696485623019</v>
      </c>
      <c r="BU103" s="144">
        <f>IFERROR(BT103/BS103,"")</f>
        <v>-8.2264150943397283</v>
      </c>
      <c r="BV103" s="144">
        <f>BT103-BS103</f>
        <v>-98045.28115015963</v>
      </c>
      <c r="BW103" s="144"/>
      <c r="BX103" s="144">
        <f>BV103</f>
        <v>-98045.28115015963</v>
      </c>
      <c r="BY103">
        <f>IFERROR(BX103/BO103,"")</f>
        <v>-2.7106053990705758</v>
      </c>
      <c r="BZ103">
        <v>0</v>
      </c>
      <c r="CA103">
        <v>0</v>
      </c>
      <c r="CB103">
        <v>0</v>
      </c>
      <c r="CC103">
        <v>0</v>
      </c>
      <c r="CD103">
        <v>0</v>
      </c>
      <c r="CE103">
        <v>0</v>
      </c>
      <c r="CF103">
        <v>0</v>
      </c>
      <c r="CG103">
        <v>0</v>
      </c>
      <c r="CH103">
        <v>0</v>
      </c>
      <c r="CI103">
        <v>0</v>
      </c>
      <c r="CJ103">
        <v>0</v>
      </c>
      <c r="CK103">
        <v>0</v>
      </c>
      <c r="CL103">
        <v>0</v>
      </c>
      <c r="CM103">
        <v>1</v>
      </c>
      <c r="CN103" t="str">
        <f>IF($BL103&lt;$BK103,"refNeedCorrection","refOK")</f>
        <v>refOK</v>
      </c>
      <c r="CO103">
        <f>IF($CN103="refOK",$BK103,$BL103)</f>
        <v>64.910485933503793</v>
      </c>
      <c r="CP103">
        <f>IF($CN103="refOK",$BL103,$BK103)</f>
        <v>82.634271099744197</v>
      </c>
      <c r="CQ103">
        <f>IF($CN103="refOK",$BO103,-$BO103)</f>
        <v>36170.990135184496</v>
      </c>
      <c r="CR103">
        <f>IF($CN103="refOK",$BS103,$BT103)*IF($BP103="Emissions positive",-1,1)</f>
        <v>10626.584664536607</v>
      </c>
      <c r="CS103">
        <f>IF($CN103="refOK",$BT103,$BS103)*IF($BP103="Emissions positive",-1,1)</f>
        <v>-87418.696485623019</v>
      </c>
      <c r="CT103">
        <f>IF($CN103="refNeedCorrection",-BX103,BX103)*IF($BP103="Emissions positive",-1,1)</f>
        <v>-98045.28115015963</v>
      </c>
      <c r="CU103">
        <f>IFERROR(CT103/CQ103,"")</f>
        <v>-2.7106053990705758</v>
      </c>
      <c r="CV103" s="2">
        <f>IFERROR((CS103-CR103)/ABS(CR103),"")</f>
        <v>-9.2264150943397283</v>
      </c>
      <c r="CW103" s="1" t="s">
        <v>1201</v>
      </c>
      <c r="CX103" t="str">
        <f>IF(OR($CW103="prd",$CW103="std",$CW103="cit"),"loc",IF(OR($CW103="eur",$CW103="reg",$CW103="coy"),"reg",$CW103))</f>
        <v>reg</v>
      </c>
      <c r="CY103" t="s">
        <v>236</v>
      </c>
      <c r="CZ103">
        <v>2010</v>
      </c>
      <c r="DA103">
        <v>2070</v>
      </c>
      <c r="DB103">
        <f>DA103-CZ103</f>
        <v>60</v>
      </c>
      <c r="DC103" t="str">
        <f>IF(DB103=0,"0",IF(AND(DB103&gt;=1,DB103&lt;=30),"1-30",IF(AND(DB103&gt;30,DB103&lt;=70),"31-70",IF(AND(DB103&gt;70,DB103&lt;=100),"71-100",IF(DB103&gt;100,"+100")))))</f>
        <v>31-70</v>
      </c>
      <c r="DD103">
        <v>1</v>
      </c>
      <c r="DE103">
        <v>1</v>
      </c>
      <c r="DF103">
        <v>1</v>
      </c>
      <c r="DG103">
        <v>1</v>
      </c>
      <c r="DH103">
        <v>0</v>
      </c>
      <c r="DI103">
        <f>SUM(DD103:DG103)</f>
        <v>4</v>
      </c>
      <c r="DJ103" t="str">
        <f>IF(DI103=1,INDEX($DD$7:$DG$7,MATCH(1,$DD103:$DG103,0)),"mixedProduct")</f>
        <v>mixedProduct</v>
      </c>
      <c r="DK103" t="str">
        <f>IF(DD103=1,DK$7,0)</f>
        <v>Upstream</v>
      </c>
      <c r="DL103" t="str">
        <f>IF(DE103=1,DL$7,0)</f>
        <v>Energy</v>
      </c>
      <c r="DM103" t="str">
        <f>IF(DF103=1,DM$7,0)</f>
        <v>Pulp/Paper</v>
      </c>
      <c r="DN103" t="str">
        <f>IF(DG103=1,DN$7,0)</f>
        <v>Timber</v>
      </c>
      <c r="DO103">
        <v>0</v>
      </c>
      <c r="DP103">
        <v>0</v>
      </c>
      <c r="DQ103">
        <v>0</v>
      </c>
      <c r="DR103">
        <v>0</v>
      </c>
      <c r="DS103">
        <v>0</v>
      </c>
      <c r="DT103">
        <f>SUM(DO103:DP103)</f>
        <v>0</v>
      </c>
      <c r="DU103" s="143" t="str">
        <f>IF(DO103=1,"self-calculated DF",IF(DP103=1,"external DF used","explicit C balance"))</f>
        <v>explicit C balance</v>
      </c>
      <c r="DV103">
        <v>1</v>
      </c>
      <c r="DW103">
        <v>1</v>
      </c>
      <c r="DX103">
        <v>1</v>
      </c>
      <c r="DY103">
        <v>0</v>
      </c>
      <c r="DZ103">
        <v>0</v>
      </c>
      <c r="EA103" s="143">
        <v>0</v>
      </c>
      <c r="EB103">
        <v>1</v>
      </c>
      <c r="EC103">
        <v>1</v>
      </c>
      <c r="ED103">
        <v>0</v>
      </c>
      <c r="EE103">
        <v>0</v>
      </c>
      <c r="EF103">
        <v>1</v>
      </c>
      <c r="EG103">
        <v>0</v>
      </c>
      <c r="EH103">
        <v>0</v>
      </c>
      <c r="EI103" s="2">
        <v>0</v>
      </c>
      <c r="EJ103" s="1"/>
      <c r="EK103" t="str">
        <f>IF(AND(AND(AND(OR($DX103=1,$DW103=1),OR($EC103=1,$EA103=1)),SUM($DV103:$DZ103,$EF103)&gt;=4),SUM($EA103:$EE103)&gt;=2),"Whole sector","")</f>
        <v>Whole sector</v>
      </c>
      <c r="EL103" t="str">
        <f>IF(AND(AND(OR($DX103=1,$DW103=1),AND($EC103=0,$EA103=0)),SUM($DV103:$DZ103,$EF103)&gt;=4),"Ecosystem approach","")</f>
        <v/>
      </c>
      <c r="EM103" s="2" t="str">
        <f>IF(AND(AND(AND($DX103=0,$DW103=0),OR($EC103=1,$EA103=1)),SUM($EB103:$EE103)&gt;=2),"Technology approach","")</f>
        <v/>
      </c>
      <c r="EN103" t="s">
        <v>2510</v>
      </c>
      <c r="EO103"/>
      <c r="EP103" t="str">
        <f>IF(ISNUMBER(BU103),IF(ABS(BU103-[2]QC_indicators!$B$2)&gt;3*[2]QC_indicators!$C$2,"C ratio",IF(ISNUMBER(BY103),IF(ABS(BY103-[2]QC_indicators!$B$1)&gt;3*[2]QC_indicators!$C$1,"DF","no"))),IF(ISNUMBER(BY103),IF(ABS(BY103-[2]QC_indicators!$B$1)&gt;3*[2]QC_indicators!$C$1,"DF","no")))</f>
        <v>no</v>
      </c>
      <c r="EQ103"/>
      <c r="ER103"/>
      <c r="ES103"/>
      <c r="ET103" s="266" t="s">
        <v>3259</v>
      </c>
      <c r="EU103"/>
    </row>
    <row r="104" spans="1:151" s="139" customFormat="1" ht="15" hidden="1" customHeight="1">
      <c r="A104" s="1" t="s">
        <v>1425</v>
      </c>
      <c r="B104" t="s">
        <v>2492</v>
      </c>
      <c r="C104" t="s">
        <v>2493</v>
      </c>
      <c r="D104" t="s">
        <v>2494</v>
      </c>
      <c r="E104" t="s">
        <v>2495</v>
      </c>
      <c r="F104" t="s">
        <v>2496</v>
      </c>
      <c r="G104" t="s">
        <v>1431</v>
      </c>
      <c r="H104" t="s">
        <v>255</v>
      </c>
      <c r="I104">
        <v>2016</v>
      </c>
      <c r="J104">
        <v>24</v>
      </c>
      <c r="K104" t="s">
        <v>2497</v>
      </c>
      <c r="L104"/>
      <c r="M104" t="str">
        <f>LEFT($D104,FIND(",",$D104)-1)&amp;"_"&amp;I104&amp;L104</f>
        <v>Zubizarreta-Gerendiain_2016</v>
      </c>
      <c r="N104" t="s">
        <v>223</v>
      </c>
      <c r="O104" s="145" t="s">
        <v>1156</v>
      </c>
      <c r="P104"/>
      <c r="Q104" t="s">
        <v>257</v>
      </c>
      <c r="R104" s="264" t="s">
        <v>224</v>
      </c>
      <c r="S104" s="1" t="s">
        <v>2498</v>
      </c>
      <c r="T104" t="s">
        <v>2499</v>
      </c>
      <c r="U104" t="s">
        <v>2500</v>
      </c>
      <c r="V104">
        <v>0</v>
      </c>
      <c r="W104">
        <v>0</v>
      </c>
      <c r="X104">
        <v>0</v>
      </c>
      <c r="Y104">
        <v>2</v>
      </c>
      <c r="Z104">
        <v>0</v>
      </c>
      <c r="AA104">
        <v>0</v>
      </c>
      <c r="AB104">
        <v>0</v>
      </c>
      <c r="AC104">
        <v>0</v>
      </c>
      <c r="AD104">
        <v>0</v>
      </c>
      <c r="AE104">
        <v>0</v>
      </c>
      <c r="AF104">
        <v>1</v>
      </c>
      <c r="AG104">
        <v>0</v>
      </c>
      <c r="AH104">
        <v>0</v>
      </c>
      <c r="AI104">
        <v>0</v>
      </c>
      <c r="AJ104">
        <v>0</v>
      </c>
      <c r="AK104">
        <v>0</v>
      </c>
      <c r="AL104">
        <v>0</v>
      </c>
      <c r="AM104">
        <v>0</v>
      </c>
      <c r="AN104">
        <v>0</v>
      </c>
      <c r="AO104">
        <v>0</v>
      </c>
      <c r="AP104">
        <v>0</v>
      </c>
      <c r="AQ104">
        <v>0</v>
      </c>
      <c r="AR104">
        <v>0</v>
      </c>
      <c r="AS104">
        <v>0</v>
      </c>
      <c r="AT104">
        <v>0</v>
      </c>
      <c r="AU104">
        <v>0</v>
      </c>
      <c r="AV104">
        <v>0</v>
      </c>
      <c r="AW104">
        <v>0</v>
      </c>
      <c r="AX104" s="141">
        <f>COUNTIF(V104:AW104,"&lt;&gt;0")</f>
        <v>2</v>
      </c>
      <c r="AY104" s="141">
        <f>COUNTIF(V104:AL104,"&lt;&gt;0")</f>
        <v>2</v>
      </c>
      <c r="AZ104">
        <f>COUNTIF(V104:AC104,"&lt;&gt;0")</f>
        <v>1</v>
      </c>
      <c r="BA104">
        <f>COUNTIF(AD104:AI104,"&lt;&gt;0")</f>
        <v>1</v>
      </c>
      <c r="BB104">
        <f>COUNTIF(AJ104:AL104,"&lt;&gt;0")</f>
        <v>0</v>
      </c>
      <c r="BC104">
        <f>COUNTIF(AS104:AW104,"&lt;&gt;0")</f>
        <v>0</v>
      </c>
      <c r="BD104">
        <f>COUNTIF(AM104:AR104,"&lt;&gt;0")</f>
        <v>0</v>
      </c>
      <c r="BE104" t="str">
        <f t="array" ref="BE104">IF(AY104=1,INDEX($V$7:$AL$7,MATCH(TRUE,INDEX($V104:$AW104&lt;&gt;0,),0)),IF(AY104=0,INDEX($AM$7:$AW$7,MATCH(1,$AM104:$AW104,0)),IF(BF104="Multiple strategies","mixed drivers",IF(BF104="Supply chain","multiple supply","multiple silviculture"))))</f>
        <v>mixed drivers</v>
      </c>
      <c r="BF104" s="2" t="str">
        <f t="array" ref="BF104">IF(COUNTIF(AZ104:BB104,"&lt;&gt;0")=1,INDEX($V$4:$AW$4,MATCH(TRUE,INDEX($V104:$AW104&lt;&gt;0,),0)),IF(COUNTIF(AZ104:BB104,"&lt;&gt;0")=0,INDEX($AM$4:$AW$4,MATCH(1,$AM104:$AW104,0)),"Multiple strategies"))</f>
        <v>Multiple strategies</v>
      </c>
      <c r="BG104" s="1" t="s">
        <v>322</v>
      </c>
      <c r="BH104" t="s">
        <v>2501</v>
      </c>
      <c r="BI104" s="266" t="s">
        <v>2115</v>
      </c>
      <c r="BJ104" t="s">
        <v>2502</v>
      </c>
      <c r="BK104">
        <v>77.868338557993695</v>
      </c>
      <c r="BL104">
        <v>82.946708463949804</v>
      </c>
      <c r="BM104" s="143">
        <f>BL104/BK104</f>
        <v>1.0652173913043479</v>
      </c>
      <c r="BN104">
        <f>BL104-BK104</f>
        <v>5.0783699059561087</v>
      </c>
      <c r="BO104">
        <f>BN104*1000*t_to_m3</f>
        <v>10364.020216236957</v>
      </c>
      <c r="BP104" s="143" t="s">
        <v>233</v>
      </c>
      <c r="BQ104" s="143" t="s">
        <v>3258</v>
      </c>
      <c r="BR104" t="s">
        <v>1197</v>
      </c>
      <c r="BS104">
        <v>22397.784469273742</v>
      </c>
      <c r="BT104">
        <v>-27756.76357541895</v>
      </c>
      <c r="BU104" s="144">
        <f>IFERROR(BT104/BS104,"")</f>
        <v>-1.2392638036809798</v>
      </c>
      <c r="BV104" s="144">
        <f>BT104-BS104</f>
        <v>-50154.548044692696</v>
      </c>
      <c r="BW104" s="144"/>
      <c r="BX104" s="144">
        <f>BV104</f>
        <v>-50154.548044692696</v>
      </c>
      <c r="BY104">
        <f>IFERROR(BX104/BO104,"")</f>
        <v>-4.8392946943616799</v>
      </c>
      <c r="BZ104">
        <v>0</v>
      </c>
      <c r="CA104">
        <v>0</v>
      </c>
      <c r="CB104">
        <v>0</v>
      </c>
      <c r="CC104">
        <v>0</v>
      </c>
      <c r="CD104">
        <v>0</v>
      </c>
      <c r="CE104">
        <v>0</v>
      </c>
      <c r="CF104">
        <v>0</v>
      </c>
      <c r="CG104">
        <v>0</v>
      </c>
      <c r="CH104">
        <v>0</v>
      </c>
      <c r="CI104">
        <v>0</v>
      </c>
      <c r="CJ104">
        <v>0</v>
      </c>
      <c r="CK104">
        <v>0</v>
      </c>
      <c r="CL104">
        <v>0</v>
      </c>
      <c r="CM104">
        <v>1</v>
      </c>
      <c r="CN104" t="str">
        <f>IF($BL104&lt;$BK104,"refNeedCorrection","refOK")</f>
        <v>refOK</v>
      </c>
      <c r="CO104">
        <f>IF($CN104="refOK",$BK104,$BL104)</f>
        <v>77.868338557993695</v>
      </c>
      <c r="CP104">
        <f>IF($CN104="refOK",$BL104,$BK104)</f>
        <v>82.946708463949804</v>
      </c>
      <c r="CQ104">
        <f>IF($CN104="refOK",$BO104,-$BO104)</f>
        <v>10364.020216236957</v>
      </c>
      <c r="CR104">
        <f>IF($CN104="refOK",$BS104,$BT104)*IF($BP104="Emissions positive",-1,1)</f>
        <v>22397.784469273742</v>
      </c>
      <c r="CS104">
        <f>IF($CN104="refOK",$BT104,$BS104)*IF($BP104="Emissions positive",-1,1)</f>
        <v>-27756.76357541895</v>
      </c>
      <c r="CT104">
        <f>IF($CN104="refNeedCorrection",-BX104,BX104)*IF($BP104="Emissions positive",-1,1)</f>
        <v>-50154.548044692696</v>
      </c>
      <c r="CU104">
        <f>IFERROR(CT104/CQ104,"")</f>
        <v>-4.8392946943616799</v>
      </c>
      <c r="CV104" s="2">
        <f>IFERROR((CS104-CR104)/ABS(CR104),"")</f>
        <v>-2.2392638036809798</v>
      </c>
      <c r="CW104" s="1" t="s">
        <v>1201</v>
      </c>
      <c r="CX104" t="str">
        <f>IF(OR($CW104="prd",$CW104="std",$CW104="cit"),"loc",IF(OR($CW104="eur",$CW104="reg",$CW104="coy"),"reg",$CW104))</f>
        <v>reg</v>
      </c>
      <c r="CY104" t="s">
        <v>236</v>
      </c>
      <c r="CZ104">
        <v>2010</v>
      </c>
      <c r="DA104">
        <v>2070</v>
      </c>
      <c r="DB104">
        <f>DA104-CZ104</f>
        <v>60</v>
      </c>
      <c r="DC104" t="str">
        <f>IF(DB104=0,"0",IF(AND(DB104&gt;=1,DB104&lt;=30),"1-30",IF(AND(DB104&gt;30,DB104&lt;=70),"31-70",IF(AND(DB104&gt;70,DB104&lt;=100),"71-100",IF(DB104&gt;100,"+100")))))</f>
        <v>31-70</v>
      </c>
      <c r="DD104">
        <v>1</v>
      </c>
      <c r="DE104">
        <v>1</v>
      </c>
      <c r="DF104">
        <v>1</v>
      </c>
      <c r="DG104">
        <v>1</v>
      </c>
      <c r="DH104">
        <v>0</v>
      </c>
      <c r="DI104">
        <f>SUM(DD104:DG104)</f>
        <v>4</v>
      </c>
      <c r="DJ104" t="str">
        <f>IF(DI104=1,INDEX($DD$7:$DG$7,MATCH(1,$DD104:$DG104,0)),"mixedProduct")</f>
        <v>mixedProduct</v>
      </c>
      <c r="DK104" t="str">
        <f>IF(DD104=1,DK$7,0)</f>
        <v>Upstream</v>
      </c>
      <c r="DL104" t="str">
        <f>IF(DE104=1,DL$7,0)</f>
        <v>Energy</v>
      </c>
      <c r="DM104" t="str">
        <f>IF(DF104=1,DM$7,0)</f>
        <v>Pulp/Paper</v>
      </c>
      <c r="DN104" t="str">
        <f>IF(DG104=1,DN$7,0)</f>
        <v>Timber</v>
      </c>
      <c r="DO104">
        <v>0</v>
      </c>
      <c r="DP104">
        <v>1</v>
      </c>
      <c r="DQ104" t="s">
        <v>2526</v>
      </c>
      <c r="DR104" t="s">
        <v>2527</v>
      </c>
      <c r="DS104">
        <v>0</v>
      </c>
      <c r="DT104">
        <f>SUM(DO104:DP104)</f>
        <v>1</v>
      </c>
      <c r="DU104" s="143" t="str">
        <f>IF(DO104=1,"self-calculated DF",IF(DP104=1,"external DF used","explicit C balance"))</f>
        <v>external DF used</v>
      </c>
      <c r="DV104">
        <v>1</v>
      </c>
      <c r="DW104">
        <v>1</v>
      </c>
      <c r="DX104">
        <v>1</v>
      </c>
      <c r="DY104">
        <v>1</v>
      </c>
      <c r="DZ104">
        <v>0</v>
      </c>
      <c r="EA104" s="143">
        <v>1</v>
      </c>
      <c r="EB104">
        <v>1</v>
      </c>
      <c r="EC104">
        <v>1</v>
      </c>
      <c r="ED104">
        <v>0</v>
      </c>
      <c r="EE104">
        <v>0</v>
      </c>
      <c r="EF104">
        <v>1</v>
      </c>
      <c r="EG104">
        <v>0</v>
      </c>
      <c r="EH104">
        <v>0</v>
      </c>
      <c r="EI104" s="2">
        <v>0</v>
      </c>
      <c r="EJ104" s="1"/>
      <c r="EK104" t="str">
        <f>IF(AND(AND(AND(OR($DX104=1,$DW104=1),OR($EC104=1,$EA104=1)),SUM($DV104:$DZ104,$EF104)&gt;=4),SUM($EA104:$EE104)&gt;=2),"Whole sector","")</f>
        <v>Whole sector</v>
      </c>
      <c r="EL104" t="str">
        <f>IF(AND(AND(OR($DX104=1,$DW104=1),AND($EC104=0,$EA104=0)),SUM($DV104:$DZ104,$EF104)&gt;=4),"Ecosystem approach","")</f>
        <v/>
      </c>
      <c r="EM104" s="2" t="str">
        <f>IF(AND(AND(AND($DX104=0,$DW104=0),OR($EC104=1,$EA104=1)),SUM($EB104:$EE104)&gt;=2),"Technology approach","")</f>
        <v/>
      </c>
      <c r="EN104"/>
      <c r="EO104"/>
      <c r="EP104" t="str">
        <f>IF(ISNUMBER(BU104),IF(ABS(BU104-[2]QC_indicators!$B$2)&gt;3*[2]QC_indicators!$C$2,"C ratio",IF(ISNUMBER(BY104),IF(ABS(BY104-[2]QC_indicators!$B$1)&gt;3*[2]QC_indicators!$C$1,"DF","no"))),IF(ISNUMBER(BY104),IF(ABS(BY104-[2]QC_indicators!$B$1)&gt;3*[2]QC_indicators!$C$1,"DF","no")))</f>
        <v>no</v>
      </c>
      <c r="EQ104" t="s">
        <v>2503</v>
      </c>
      <c r="ER104"/>
      <c r="ES104"/>
      <c r="ET104" s="266" t="s">
        <v>3259</v>
      </c>
      <c r="EU104"/>
    </row>
    <row r="105" spans="1:151" s="139" customFormat="1" ht="15" customHeight="1">
      <c r="A105" s="1" t="s">
        <v>1810</v>
      </c>
      <c r="B105" t="s">
        <v>2477</v>
      </c>
      <c r="C105" t="s">
        <v>2478</v>
      </c>
      <c r="D105" t="s">
        <v>2479</v>
      </c>
      <c r="E105" t="s">
        <v>2480</v>
      </c>
      <c r="F105" t="s">
        <v>2481</v>
      </c>
      <c r="G105" t="s">
        <v>1816</v>
      </c>
      <c r="H105" t="s">
        <v>255</v>
      </c>
      <c r="I105">
        <v>2010</v>
      </c>
      <c r="J105">
        <v>100</v>
      </c>
      <c r="K105" t="s">
        <v>2482</v>
      </c>
      <c r="L105"/>
      <c r="M105" t="str">
        <f>LEFT($D105,FIND(",",$D105)-1)&amp;"_"&amp;I105&amp;L105</f>
        <v>Werner_2010</v>
      </c>
      <c r="N105" t="s">
        <v>223</v>
      </c>
      <c r="O105" s="145" t="s">
        <v>1156</v>
      </c>
      <c r="P105"/>
      <c r="Q105" t="s">
        <v>257</v>
      </c>
      <c r="R105" s="264" t="s">
        <v>224</v>
      </c>
      <c r="S105" s="1" t="s">
        <v>2483</v>
      </c>
      <c r="T105" t="s">
        <v>2484</v>
      </c>
      <c r="U105" t="s">
        <v>2488</v>
      </c>
      <c r="V105">
        <v>1</v>
      </c>
      <c r="W105">
        <v>0</v>
      </c>
      <c r="X105">
        <v>2</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s="141">
        <f>COUNTIF(V105:AW105,"&lt;&gt;0")</f>
        <v>2</v>
      </c>
      <c r="AY105" s="141">
        <f>COUNTIF(V105:AL105,"&lt;&gt;0")</f>
        <v>2</v>
      </c>
      <c r="AZ105">
        <f>COUNTIF(V105:AC105,"&lt;&gt;0")</f>
        <v>2</v>
      </c>
      <c r="BA105">
        <f>COUNTIF(AD105:AI105,"&lt;&gt;0")</f>
        <v>0</v>
      </c>
      <c r="BB105">
        <f>COUNTIF(AJ105:AL105,"&lt;&gt;0")</f>
        <v>0</v>
      </c>
      <c r="BC105">
        <f>COUNTIF(AS105:AW105,"&lt;&gt;0")</f>
        <v>0</v>
      </c>
      <c r="BD105">
        <f>COUNTIF(AM105:AR105,"&lt;&gt;0")</f>
        <v>0</v>
      </c>
      <c r="BE105" t="str">
        <f t="array" ref="BE105">IF(AY105=1,INDEX($V$7:$AL$7,MATCH(TRUE,INDEX($V105:$AW105&lt;&gt;0,),0)),IF(AY105=0,INDEX($AM$7:$AW$7,MATCH(1,$AM105:$AW105,0)),IF(BF105="Multiple strategies","mixed drivers",IF(BF105="Supply chain","multiple supply","multiple silviculture"))))</f>
        <v>multiple silviculture</v>
      </c>
      <c r="BF105" s="2" t="str" cm="1">
        <f t="array" ref="BF105">IF(COUNTIF(AZ105:BB105,"&lt;&gt;0")=1,INDEX($V$4:$AW$4,MATCH(TRUE,INDEX($V105:$AW105&lt;&gt;0,),0)),IF(COUNTIF(AZ105:BB105,"&lt;&gt;0")=0,INDEX($AM$4:$AW$4,MATCH(1,$AM105:$AW105,0)),"Multiple strategies"))</f>
        <v>SilvicultureRemov</v>
      </c>
      <c r="BG105" s="1" t="s">
        <v>322</v>
      </c>
      <c r="BH105" t="s">
        <v>2455</v>
      </c>
      <c r="BI105" s="266" t="s">
        <v>3254</v>
      </c>
      <c r="BJ105" t="s">
        <v>1325</v>
      </c>
      <c r="BK105">
        <v>120</v>
      </c>
      <c r="BL105">
        <v>202.5</v>
      </c>
      <c r="BM105" s="143">
        <f>BL105/BK105</f>
        <v>1.6875</v>
      </c>
      <c r="BN105">
        <f>BL105-BK105</f>
        <v>82.5</v>
      </c>
      <c r="BO105">
        <f>BN105*10^6</f>
        <v>82500000</v>
      </c>
      <c r="BP105" t="s">
        <v>233</v>
      </c>
      <c r="BQ105" s="153" t="s">
        <v>3255</v>
      </c>
      <c r="BR105" t="s">
        <v>2327</v>
      </c>
      <c r="BS105">
        <v>227.98379614391621</v>
      </c>
      <c r="BT105">
        <v>124.4335634259679</v>
      </c>
      <c r="BU105" s="144">
        <f>IFERROR(BT105/BS105,"")</f>
        <v>0.54580003285592471</v>
      </c>
      <c r="BV105" s="144">
        <f>BT105-BS105</f>
        <v>-103.5502327179483</v>
      </c>
      <c r="BW105" s="144"/>
      <c r="BX105">
        <f>BV105*10^6</f>
        <v>-103550232.7179483</v>
      </c>
      <c r="BY105">
        <f>IFERROR(BX105/BO105,"")</f>
        <v>-1.2551543359751309</v>
      </c>
      <c r="BZ105">
        <v>0</v>
      </c>
      <c r="CA105">
        <v>0</v>
      </c>
      <c r="CB105">
        <v>0</v>
      </c>
      <c r="CC105">
        <v>0</v>
      </c>
      <c r="CD105">
        <v>0</v>
      </c>
      <c r="CE105">
        <v>0</v>
      </c>
      <c r="CF105">
        <v>0</v>
      </c>
      <c r="CG105">
        <v>0</v>
      </c>
      <c r="CH105">
        <v>0</v>
      </c>
      <c r="CI105">
        <v>0</v>
      </c>
      <c r="CJ105">
        <v>0</v>
      </c>
      <c r="CK105">
        <v>0</v>
      </c>
      <c r="CL105">
        <v>0</v>
      </c>
      <c r="CM105">
        <v>1</v>
      </c>
      <c r="CN105" t="str">
        <f>IF($BL105&lt;$BK105,"refNeedCorrection","refOK")</f>
        <v>refOK</v>
      </c>
      <c r="CO105">
        <f>IF($CN105="refOK",$BK105,$BL105)</f>
        <v>120</v>
      </c>
      <c r="CP105">
        <f>IF($CN105="refOK",$BL105,$BK105)</f>
        <v>202.5</v>
      </c>
      <c r="CQ105">
        <f>IF($CN105="refOK",$BO105,-$BO105)</f>
        <v>82500000</v>
      </c>
      <c r="CR105">
        <f>IF($CN105="refOK",$BS105,$BT105)*IF($BP105="Emissions positive",-1,1)</f>
        <v>227.98379614391621</v>
      </c>
      <c r="CS105">
        <f>IF($CN105="refOK",$BT105,$BS105)*IF($BP105="Emissions positive",-1,1)</f>
        <v>124.4335634259679</v>
      </c>
      <c r="CT105">
        <f>IF($CN105="refNeedCorrection",-BX105,BX105)*IF($BP105="Emissions positive",-1,1)</f>
        <v>-103550232.7179483</v>
      </c>
      <c r="CU105">
        <f>IFERROR(CT105/CQ105,"")</f>
        <v>-1.2551543359751309</v>
      </c>
      <c r="CV105" s="2">
        <f>IFERROR((CS105-CR105)/ABS(CR105),"")</f>
        <v>-0.45419996714407529</v>
      </c>
      <c r="CW105" s="1" t="s">
        <v>1205</v>
      </c>
      <c r="CX105" t="str">
        <f>IF(OR($CW105="prd",$CW105="std",$CW105="cit"),"loc",IF(OR($CW105="eur",$CW105="reg",$CW105="coy"),"reg",$CW105))</f>
        <v>reg</v>
      </c>
      <c r="CY105" t="s">
        <v>641</v>
      </c>
      <c r="CZ105">
        <v>2000</v>
      </c>
      <c r="DA105">
        <v>2030</v>
      </c>
      <c r="DB105">
        <f>DA105-CZ105</f>
        <v>30</v>
      </c>
      <c r="DC105" t="str">
        <f>IF(DB105=0,"0",IF(AND(DB105&gt;=1,DB105&lt;=30),"1-30",IF(AND(DB105&gt;30,DB105&lt;=70),"31-70",IF(AND(DB105&gt;70,DB105&lt;=100),"71-100",IF(DB105&gt;100,"+100")))))</f>
        <v>1-30</v>
      </c>
      <c r="DD105">
        <v>1</v>
      </c>
      <c r="DE105">
        <v>0</v>
      </c>
      <c r="DF105">
        <v>0</v>
      </c>
      <c r="DG105">
        <v>0</v>
      </c>
      <c r="DH105">
        <v>0</v>
      </c>
      <c r="DI105">
        <f>SUM(DD105:DG105)</f>
        <v>1</v>
      </c>
      <c r="DJ105" t="str">
        <f>IF(DI105=1,INDEX($DD$7:$DG$7,MATCH(1,$DD105:$DG105,0)),"mixedProduct")</f>
        <v>UpstreamInput</v>
      </c>
      <c r="DK105" t="str">
        <f>IF(DD105=1,DK$7,0)</f>
        <v>Upstream</v>
      </c>
      <c r="DL105">
        <f>IF(DE105=1,DL$7,0)</f>
        <v>0</v>
      </c>
      <c r="DM105">
        <f>IF(DF105=1,DM$7,0)</f>
        <v>0</v>
      </c>
      <c r="DN105">
        <f>IF(DG105=1,DN$7,0)</f>
        <v>0</v>
      </c>
      <c r="DO105">
        <v>0</v>
      </c>
      <c r="DP105">
        <v>0</v>
      </c>
      <c r="DQ105"/>
      <c r="DR105"/>
      <c r="DS105"/>
      <c r="DT105">
        <f>SUM(DO105:DP105)</f>
        <v>0</v>
      </c>
      <c r="DU105" s="143" t="str">
        <f>IF(DO105=1,"self-calculated DF",IF(DP105=1,"external DF used","explicit C balance"))</f>
        <v>explicit C balance</v>
      </c>
      <c r="DV105">
        <v>1</v>
      </c>
      <c r="DW105">
        <v>1</v>
      </c>
      <c r="DX105">
        <v>1</v>
      </c>
      <c r="DY105">
        <v>1</v>
      </c>
      <c r="DZ105">
        <v>1</v>
      </c>
      <c r="EA105" s="143">
        <v>0</v>
      </c>
      <c r="EB105">
        <v>0</v>
      </c>
      <c r="EC105">
        <v>0</v>
      </c>
      <c r="ED105">
        <v>0</v>
      </c>
      <c r="EE105">
        <v>0</v>
      </c>
      <c r="EF105">
        <v>1</v>
      </c>
      <c r="EG105">
        <v>0</v>
      </c>
      <c r="EH105">
        <v>0</v>
      </c>
      <c r="EI105" s="2">
        <v>0</v>
      </c>
      <c r="EJ105" s="1"/>
      <c r="EK105" t="str">
        <f>IF(AND(AND(AND(OR($DX105=1,$DW105=1),OR($EC105=1,$EA105=1)),SUM($DV105:$DZ105,$EF105)&gt;=4),SUM($EA105:$EE105)&gt;=2),"Whole sector","")</f>
        <v/>
      </c>
      <c r="EL105" t="str">
        <f>IF(AND(AND(OR($DX105=1,$DW105=1),AND($EC105=0,$EA105=0)),SUM($DV105:$DZ105,$EF105)&gt;=4),"Ecosystem approach","")</f>
        <v>Ecosystem approach</v>
      </c>
      <c r="EM105" s="2" t="str">
        <f>IF(AND(AND(AND($DX105=0,$DW105=0),OR($EC105=1,$EA105=1)),SUM($EB105:$EE105)&gt;=2),"Technology approach","")</f>
        <v/>
      </c>
      <c r="EN105" t="s">
        <v>2487</v>
      </c>
      <c r="EO105"/>
      <c r="EP105" t="str">
        <f>IF(ISNUMBER(BU105),IF(ABS(BU105-[2]QC_indicators!$B$2)&gt;3*[2]QC_indicators!$C$2,"C ratio",IF(ISNUMBER(BY105),IF(ABS(BY105-[2]QC_indicators!$B$1)&gt;3*[2]QC_indicators!$C$1,"DF","no"))),IF(ISNUMBER(BY105),IF(ABS(BY105-[2]QC_indicators!$B$1)&gt;3*[2]QC_indicators!$C$1,"DF","no")))</f>
        <v>no</v>
      </c>
      <c r="EQ105"/>
      <c r="ER105"/>
      <c r="ES105"/>
      <c r="ET105" s="266" t="s">
        <v>3256</v>
      </c>
      <c r="EU105"/>
    </row>
    <row r="106" spans="1:151" s="139" customFormat="1" ht="15" customHeight="1">
      <c r="A106" s="1" t="s">
        <v>1810</v>
      </c>
      <c r="B106" t="s">
        <v>2477</v>
      </c>
      <c r="C106" t="s">
        <v>2478</v>
      </c>
      <c r="D106" t="s">
        <v>2479</v>
      </c>
      <c r="E106" t="s">
        <v>2480</v>
      </c>
      <c r="F106" t="s">
        <v>2481</v>
      </c>
      <c r="G106" t="s">
        <v>1816</v>
      </c>
      <c r="H106" t="s">
        <v>255</v>
      </c>
      <c r="I106">
        <v>2010</v>
      </c>
      <c r="J106">
        <v>100</v>
      </c>
      <c r="K106" t="s">
        <v>2482</v>
      </c>
      <c r="L106"/>
      <c r="M106" t="str">
        <f>LEFT($D106,FIND(",",$D106)-1)&amp;"_"&amp;I106&amp;L106</f>
        <v>Werner_2010</v>
      </c>
      <c r="N106" t="s">
        <v>223</v>
      </c>
      <c r="O106" s="145" t="s">
        <v>1156</v>
      </c>
      <c r="P106"/>
      <c r="Q106" t="s">
        <v>257</v>
      </c>
      <c r="R106" s="264" t="s">
        <v>224</v>
      </c>
      <c r="S106" s="265" t="s">
        <v>3257</v>
      </c>
      <c r="T106" t="s">
        <v>2484</v>
      </c>
      <c r="U106" t="s">
        <v>2489</v>
      </c>
      <c r="V106">
        <v>2</v>
      </c>
      <c r="W106">
        <v>0</v>
      </c>
      <c r="X106">
        <v>1</v>
      </c>
      <c r="Y106">
        <v>2</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s="141">
        <f>COUNTIF(V106:AW106,"&lt;&gt;0")</f>
        <v>3</v>
      </c>
      <c r="AY106" s="141">
        <f>COUNTIF(V106:AL106,"&lt;&gt;0")</f>
        <v>3</v>
      </c>
      <c r="AZ106">
        <f>COUNTIF(V106:AC106,"&lt;&gt;0")</f>
        <v>3</v>
      </c>
      <c r="BA106">
        <f>COUNTIF(AD106:AI106,"&lt;&gt;0")</f>
        <v>0</v>
      </c>
      <c r="BB106">
        <f>COUNTIF(AJ106:AL106,"&lt;&gt;0")</f>
        <v>0</v>
      </c>
      <c r="BC106">
        <f>COUNTIF(AS106:AW106,"&lt;&gt;0")</f>
        <v>0</v>
      </c>
      <c r="BD106">
        <f>COUNTIF(AM106:AR106,"&lt;&gt;0")</f>
        <v>0</v>
      </c>
      <c r="BE106" t="str">
        <f t="array" ref="BE106">IF(AY106=1,INDEX($V$7:$AL$7,MATCH(TRUE,INDEX($V106:$AW106&lt;&gt;0,),0)),IF(AY106=0,INDEX($AM$7:$AW$7,MATCH(1,$AM106:$AW106,0)),IF(BF106="Multiple strategies","mixed drivers",IF(BF106="Supply chain","multiple supply","multiple silviculture"))))</f>
        <v>multiple silviculture</v>
      </c>
      <c r="BF106" s="2" t="str" cm="1">
        <f t="array" ref="BF106">IF(COUNTIF(AZ106:BB106,"&lt;&gt;0")=1,INDEX($V$4:$AW$4,MATCH(TRUE,INDEX($V106:$AW106&lt;&gt;0,),0)),IF(COUNTIF(AZ106:BB106,"&lt;&gt;0")=0,INDEX($AM$4:$AW$4,MATCH(1,$AM106:$AW106,0)),"Multiple strategies"))</f>
        <v>SilvicultureRemov</v>
      </c>
      <c r="BG106" s="1" t="s">
        <v>322</v>
      </c>
      <c r="BH106" t="s">
        <v>2455</v>
      </c>
      <c r="BI106" s="266" t="s">
        <v>3254</v>
      </c>
      <c r="BJ106" t="s">
        <v>1325</v>
      </c>
      <c r="BK106">
        <v>120</v>
      </c>
      <c r="BL106">
        <v>213</v>
      </c>
      <c r="BM106" s="143">
        <f>BL106/BK106</f>
        <v>1.7749999999999999</v>
      </c>
      <c r="BN106">
        <f>BL106-BK106</f>
        <v>93</v>
      </c>
      <c r="BO106">
        <f>BN106*10^6</f>
        <v>93000000</v>
      </c>
      <c r="BP106" t="s">
        <v>233</v>
      </c>
      <c r="BQ106" s="153" t="s">
        <v>3255</v>
      </c>
      <c r="BR106" t="s">
        <v>2327</v>
      </c>
      <c r="BS106">
        <v>227.98379614391621</v>
      </c>
      <c r="BT106">
        <v>121.7569326457978</v>
      </c>
      <c r="BU106" s="144">
        <f>IFERROR(BT106/BS106,"")</f>
        <v>0.53405958978302992</v>
      </c>
      <c r="BV106" s="144">
        <f>BT106-BS106</f>
        <v>-106.22686349811841</v>
      </c>
      <c r="BW106" s="144"/>
      <c r="BX106">
        <f>BV106*10^6</f>
        <v>-106226863.4981184</v>
      </c>
      <c r="BY106">
        <f>IFERROR(BX106/BO106,"")</f>
        <v>-1.1422243386894451</v>
      </c>
      <c r="BZ106">
        <v>0</v>
      </c>
      <c r="CA106">
        <v>0</v>
      </c>
      <c r="CB106">
        <v>0</v>
      </c>
      <c r="CC106">
        <v>0</v>
      </c>
      <c r="CD106">
        <v>0</v>
      </c>
      <c r="CE106">
        <v>0</v>
      </c>
      <c r="CF106">
        <v>0</v>
      </c>
      <c r="CG106">
        <v>0</v>
      </c>
      <c r="CH106">
        <v>0</v>
      </c>
      <c r="CI106">
        <v>0</v>
      </c>
      <c r="CJ106">
        <v>0</v>
      </c>
      <c r="CK106">
        <v>0</v>
      </c>
      <c r="CL106">
        <v>0</v>
      </c>
      <c r="CM106">
        <v>1</v>
      </c>
      <c r="CN106" t="str">
        <f>IF($BL106&lt;$BK106,"refNeedCorrection","refOK")</f>
        <v>refOK</v>
      </c>
      <c r="CO106">
        <f>IF($CN106="refOK",$BK106,$BL106)</f>
        <v>120</v>
      </c>
      <c r="CP106">
        <f>IF($CN106="refOK",$BL106,$BK106)</f>
        <v>213</v>
      </c>
      <c r="CQ106">
        <f>IF($CN106="refOK",$BO106,-$BO106)</f>
        <v>93000000</v>
      </c>
      <c r="CR106">
        <f>IF($CN106="refOK",$BS106,$BT106)*IF($BP106="Emissions positive",-1,1)</f>
        <v>227.98379614391621</v>
      </c>
      <c r="CS106">
        <f>IF($CN106="refOK",$BT106,$BS106)*IF($BP106="Emissions positive",-1,1)</f>
        <v>121.7569326457978</v>
      </c>
      <c r="CT106">
        <f>IF($CN106="refNeedCorrection",-BX106,BX106)*IF($BP106="Emissions positive",-1,1)</f>
        <v>-106226863.4981184</v>
      </c>
      <c r="CU106">
        <f>IFERROR(CT106/CQ106,"")</f>
        <v>-1.1422243386894451</v>
      </c>
      <c r="CV106" s="2">
        <f>IFERROR((CS106-CR106)/ABS(CR106),"")</f>
        <v>-0.46594041021697008</v>
      </c>
      <c r="CW106" s="1" t="s">
        <v>1205</v>
      </c>
      <c r="CX106" t="str">
        <f>IF(OR($CW106="prd",$CW106="std",$CW106="cit"),"loc",IF(OR($CW106="eur",$CW106="reg",$CW106="coy"),"reg",$CW106))</f>
        <v>reg</v>
      </c>
      <c r="CY106" t="s">
        <v>641</v>
      </c>
      <c r="CZ106">
        <v>2000</v>
      </c>
      <c r="DA106">
        <v>2030</v>
      </c>
      <c r="DB106">
        <f>DA106-CZ106</f>
        <v>30</v>
      </c>
      <c r="DC106" t="str">
        <f>IF(DB106=0,"0",IF(AND(DB106&gt;=1,DB106&lt;=30),"1-30",IF(AND(DB106&gt;30,DB106&lt;=70),"31-70",IF(AND(DB106&gt;70,DB106&lt;=100),"71-100",IF(DB106&gt;100,"+100")))))</f>
        <v>1-30</v>
      </c>
      <c r="DD106">
        <v>0</v>
      </c>
      <c r="DE106">
        <v>0</v>
      </c>
      <c r="DF106">
        <v>0</v>
      </c>
      <c r="DG106">
        <v>1</v>
      </c>
      <c r="DH106">
        <v>0</v>
      </c>
      <c r="DI106">
        <f>SUM(DD106:DG106)</f>
        <v>1</v>
      </c>
      <c r="DJ106" t="str">
        <f>IF(DI106=1,INDEX($DD$7:$DG$7,MATCH(1,$DD106:$DG106,0)),"mixedProduct")</f>
        <v>TimberInput</v>
      </c>
      <c r="DK106">
        <f>IF(DD106=1,DK$7,0)</f>
        <v>0</v>
      </c>
      <c r="DL106">
        <f>IF(DE106=1,DL$7,0)</f>
        <v>0</v>
      </c>
      <c r="DM106">
        <f>IF(DF106=1,DM$7,0)</f>
        <v>0</v>
      </c>
      <c r="DN106" t="str">
        <f>IF(DG106=1,DN$7,0)</f>
        <v>Timber</v>
      </c>
      <c r="DO106">
        <v>0</v>
      </c>
      <c r="DP106">
        <v>0</v>
      </c>
      <c r="DQ106"/>
      <c r="DR106"/>
      <c r="DS106"/>
      <c r="DT106">
        <f>SUM(DO106:DP106)</f>
        <v>0</v>
      </c>
      <c r="DU106" s="143" t="str">
        <f>IF(DO106=1,"self-calculated DF",IF(DP106=1,"external DF used","explicit C balance"))</f>
        <v>explicit C balance</v>
      </c>
      <c r="DV106">
        <v>1</v>
      </c>
      <c r="DW106">
        <v>1</v>
      </c>
      <c r="DX106">
        <v>1</v>
      </c>
      <c r="DY106">
        <v>1</v>
      </c>
      <c r="DZ106">
        <v>1</v>
      </c>
      <c r="EA106" s="143">
        <v>0</v>
      </c>
      <c r="EB106">
        <v>0</v>
      </c>
      <c r="EC106">
        <v>0</v>
      </c>
      <c r="ED106">
        <v>0</v>
      </c>
      <c r="EE106">
        <v>0</v>
      </c>
      <c r="EF106">
        <v>1</v>
      </c>
      <c r="EG106">
        <v>0</v>
      </c>
      <c r="EH106">
        <v>0</v>
      </c>
      <c r="EI106" s="2">
        <v>0</v>
      </c>
      <c r="EJ106" s="1"/>
      <c r="EK106" t="str">
        <f>IF(AND(AND(AND(OR($DX106=1,$DW106=1),OR($EC106=1,$EA106=1)),SUM($DV106:$DZ106,$EF106)&gt;=4),SUM($EA106:$EE106)&gt;=2),"Whole sector","")</f>
        <v/>
      </c>
      <c r="EL106" t="str">
        <f>IF(AND(AND(OR($DX106=1,$DW106=1),AND($EC106=0,$EA106=0)),SUM($DV106:$DZ106,$EF106)&gt;=4),"Ecosystem approach","")</f>
        <v>Ecosystem approach</v>
      </c>
      <c r="EM106" s="2" t="str">
        <f>IF(AND(AND(AND($DX106=0,$DW106=0),OR($EC106=1,$EA106=1)),SUM($EB106:$EE106)&gt;=2),"Technology approach","")</f>
        <v/>
      </c>
      <c r="EN106" t="s">
        <v>2487</v>
      </c>
      <c r="EO106"/>
      <c r="EP106" t="str">
        <f>IF(ISNUMBER(BU106),IF(ABS(BU106-[2]QC_indicators!$B$2)&gt;3*[2]QC_indicators!$C$2,"C ratio",IF(ISNUMBER(BY106),IF(ABS(BY106-[2]QC_indicators!$B$1)&gt;3*[2]QC_indicators!$C$1,"DF","no"))),IF(ISNUMBER(BY106),IF(ABS(BY106-[2]QC_indicators!$B$1)&gt;3*[2]QC_indicators!$C$1,"DF","no")))</f>
        <v>no</v>
      </c>
      <c r="EQ106"/>
      <c r="ER106"/>
      <c r="ES106"/>
      <c r="ET106" s="266" t="s">
        <v>3256</v>
      </c>
      <c r="EU106"/>
    </row>
    <row r="107" spans="1:151" s="139" customFormat="1" ht="15" customHeight="1">
      <c r="A107" s="1" t="s">
        <v>1810</v>
      </c>
      <c r="B107" t="s">
        <v>2477</v>
      </c>
      <c r="C107" t="s">
        <v>2478</v>
      </c>
      <c r="D107" t="s">
        <v>2479</v>
      </c>
      <c r="E107" t="s">
        <v>2480</v>
      </c>
      <c r="F107" t="s">
        <v>2481</v>
      </c>
      <c r="G107" t="s">
        <v>1816</v>
      </c>
      <c r="H107" t="s">
        <v>255</v>
      </c>
      <c r="I107">
        <v>2010</v>
      </c>
      <c r="J107">
        <v>100</v>
      </c>
      <c r="K107" t="s">
        <v>2482</v>
      </c>
      <c r="L107"/>
      <c r="M107" t="str">
        <f>LEFT($D107,FIND(",",$D107)-1)&amp;"_"&amp;I107&amp;L107</f>
        <v>Werner_2010</v>
      </c>
      <c r="N107" t="s">
        <v>223</v>
      </c>
      <c r="O107" s="145" t="s">
        <v>1156</v>
      </c>
      <c r="P107"/>
      <c r="Q107" t="s">
        <v>257</v>
      </c>
      <c r="R107" s="264" t="s">
        <v>224</v>
      </c>
      <c r="S107" s="1" t="s">
        <v>2483</v>
      </c>
      <c r="T107" t="s">
        <v>2484</v>
      </c>
      <c r="U107" t="s">
        <v>1157</v>
      </c>
      <c r="V107">
        <v>1</v>
      </c>
      <c r="W107">
        <v>0</v>
      </c>
      <c r="X107">
        <v>2</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s="141">
        <f>COUNTIF(V107:AW107,"&lt;&gt;0")</f>
        <v>2</v>
      </c>
      <c r="AY107" s="141">
        <f>COUNTIF(V107:AL107,"&lt;&gt;0")</f>
        <v>2</v>
      </c>
      <c r="AZ107">
        <f>COUNTIF(V107:AC107,"&lt;&gt;0")</f>
        <v>2</v>
      </c>
      <c r="BA107">
        <f>COUNTIF(AD107:AI107,"&lt;&gt;0")</f>
        <v>0</v>
      </c>
      <c r="BB107">
        <f>COUNTIF(AJ107:AL107,"&lt;&gt;0")</f>
        <v>0</v>
      </c>
      <c r="BC107">
        <f>COUNTIF(AS107:AW107,"&lt;&gt;0")</f>
        <v>0</v>
      </c>
      <c r="BD107">
        <f>COUNTIF(AM107:AR107,"&lt;&gt;0")</f>
        <v>0</v>
      </c>
      <c r="BE107" t="str">
        <f t="array" ref="BE107">IF(AY107=1,INDEX($V$7:$AL$7,MATCH(TRUE,INDEX($V107:$AW107&lt;&gt;0,),0)),IF(AY107=0,INDEX($AM$7:$AW$7,MATCH(1,$AM107:$AW107,0)),IF(BF107="Multiple strategies","mixed drivers",IF(BF107="Supply chain","multiple supply","multiple silviculture"))))</f>
        <v>multiple silviculture</v>
      </c>
      <c r="BF107" s="2" t="str" cm="1">
        <f t="array" ref="BF107">IF(COUNTIF(AZ107:BB107,"&lt;&gt;0")=1,INDEX($V$4:$AW$4,MATCH(TRUE,INDEX($V107:$AW107&lt;&gt;0,),0)),IF(COUNTIF(AZ107:BB107,"&lt;&gt;0")=0,INDEX($AM$4:$AW$4,MATCH(1,$AM107:$AW107,0)),"Multiple strategies"))</f>
        <v>SilvicultureRemov</v>
      </c>
      <c r="BG107" s="1" t="s">
        <v>322</v>
      </c>
      <c r="BH107" t="s">
        <v>2455</v>
      </c>
      <c r="BI107" s="266" t="s">
        <v>3254</v>
      </c>
      <c r="BJ107" t="s">
        <v>1325</v>
      </c>
      <c r="BK107">
        <v>120</v>
      </c>
      <c r="BL107">
        <v>163.5</v>
      </c>
      <c r="BM107" s="143">
        <f>BL107/BK107</f>
        <v>1.3625</v>
      </c>
      <c r="BN107">
        <f>BL107-BK107</f>
        <v>43.5</v>
      </c>
      <c r="BO107">
        <f>BN107*10^6</f>
        <v>43500000</v>
      </c>
      <c r="BP107" t="s">
        <v>233</v>
      </c>
      <c r="BQ107" s="153" t="s">
        <v>3255</v>
      </c>
      <c r="BR107" t="s">
        <v>2327</v>
      </c>
      <c r="BS107">
        <v>223.834792619919</v>
      </c>
      <c r="BT107">
        <v>74.937586702500695</v>
      </c>
      <c r="BU107" s="144">
        <f>IFERROR(BT107/BS107,"")</f>
        <v>0.33478971622498344</v>
      </c>
      <c r="BV107" s="144">
        <f>BT107-BS107</f>
        <v>-148.89720591741832</v>
      </c>
      <c r="BW107" s="144"/>
      <c r="BX107">
        <f>BV107*10^6</f>
        <v>-148897205.91741833</v>
      </c>
      <c r="BY107">
        <f>IFERROR(BX107/BO107,"")</f>
        <v>-3.4229242739636399</v>
      </c>
      <c r="BZ107">
        <v>0</v>
      </c>
      <c r="CA107">
        <v>0</v>
      </c>
      <c r="CB107">
        <v>0</v>
      </c>
      <c r="CC107">
        <v>0</v>
      </c>
      <c r="CD107">
        <v>0</v>
      </c>
      <c r="CE107">
        <v>0</v>
      </c>
      <c r="CF107">
        <v>0</v>
      </c>
      <c r="CG107">
        <v>0</v>
      </c>
      <c r="CH107">
        <v>0</v>
      </c>
      <c r="CI107">
        <v>0</v>
      </c>
      <c r="CJ107">
        <v>0</v>
      </c>
      <c r="CK107">
        <v>0</v>
      </c>
      <c r="CL107">
        <v>0</v>
      </c>
      <c r="CM107">
        <v>1</v>
      </c>
      <c r="CN107" t="str">
        <f>IF($BL107&lt;$BK107,"refNeedCorrection","refOK")</f>
        <v>refOK</v>
      </c>
      <c r="CO107">
        <f>IF($CN107="refOK",$BK107,$BL107)</f>
        <v>120</v>
      </c>
      <c r="CP107">
        <f>IF($CN107="refOK",$BL107,$BK107)</f>
        <v>163.5</v>
      </c>
      <c r="CQ107">
        <f>IF($CN107="refOK",$BO107,-$BO107)</f>
        <v>43500000</v>
      </c>
      <c r="CR107">
        <f>IF($CN107="refOK",$BS107,$BT107)*IF($BP107="Emissions positive",-1,1)</f>
        <v>223.834792619919</v>
      </c>
      <c r="CS107">
        <f>IF($CN107="refOK",$BT107,$BS107)*IF($BP107="Emissions positive",-1,1)</f>
        <v>74.937586702500695</v>
      </c>
      <c r="CT107">
        <f>IF($CN107="refNeedCorrection",-BX107,BX107)*IF($BP107="Emissions positive",-1,1)</f>
        <v>-148897205.91741833</v>
      </c>
      <c r="CU107">
        <f>IFERROR(CT107/CQ107,"")</f>
        <v>-3.4229242739636399</v>
      </c>
      <c r="CV107" s="2">
        <f>IFERROR((CS107-CR107)/ABS(CR107),"")</f>
        <v>-0.66521028377501668</v>
      </c>
      <c r="CW107" s="1" t="s">
        <v>1205</v>
      </c>
      <c r="CX107" t="str">
        <f>IF(OR($CW107="prd",$CW107="std",$CW107="cit"),"loc",IF(OR($CW107="eur",$CW107="reg",$CW107="coy"),"reg",$CW107))</f>
        <v>reg</v>
      </c>
      <c r="CY107" t="s">
        <v>641</v>
      </c>
      <c r="CZ107">
        <v>2000</v>
      </c>
      <c r="DA107">
        <v>2030</v>
      </c>
      <c r="DB107">
        <f>DA107-CZ107</f>
        <v>30</v>
      </c>
      <c r="DC107" t="str">
        <f>IF(DB107=0,"0",IF(AND(DB107&gt;=1,DB107&lt;=30),"1-30",IF(AND(DB107&gt;30,DB107&lt;=70),"31-70",IF(AND(DB107&gt;70,DB107&lt;=100),"71-100",IF(DB107&gt;100,"+100")))))</f>
        <v>1-30</v>
      </c>
      <c r="DD107">
        <v>1</v>
      </c>
      <c r="DE107">
        <v>0</v>
      </c>
      <c r="DF107">
        <v>0</v>
      </c>
      <c r="DG107">
        <v>0</v>
      </c>
      <c r="DH107">
        <v>0</v>
      </c>
      <c r="DI107">
        <f>SUM(DD107:DG107)</f>
        <v>1</v>
      </c>
      <c r="DJ107" t="str">
        <f>IF(DI107=1,INDEX($DD$7:$DG$7,MATCH(1,$DD107:$DG107,0)),"mixedProduct")</f>
        <v>UpstreamInput</v>
      </c>
      <c r="DK107" t="str">
        <f>IF(DD107=1,DK$7,0)</f>
        <v>Upstream</v>
      </c>
      <c r="DL107">
        <f>IF(DE107=1,DL$7,0)</f>
        <v>0</v>
      </c>
      <c r="DM107">
        <f>IF(DF107=1,DM$7,0)</f>
        <v>0</v>
      </c>
      <c r="DN107">
        <f>IF(DG107=1,DN$7,0)</f>
        <v>0</v>
      </c>
      <c r="DO107">
        <v>0</v>
      </c>
      <c r="DP107">
        <v>0</v>
      </c>
      <c r="DQ107"/>
      <c r="DR107"/>
      <c r="DS107"/>
      <c r="DT107">
        <f>SUM(DO107:DP107)</f>
        <v>0</v>
      </c>
      <c r="DU107" s="143" t="str">
        <f>IF(DO107=1,"self-calculated DF",IF(DP107=1,"external DF used","explicit C balance"))</f>
        <v>explicit C balance</v>
      </c>
      <c r="DV107">
        <v>1</v>
      </c>
      <c r="DW107">
        <v>1</v>
      </c>
      <c r="DX107">
        <v>1</v>
      </c>
      <c r="DY107">
        <v>0</v>
      </c>
      <c r="DZ107">
        <v>0</v>
      </c>
      <c r="EA107" s="143">
        <v>0</v>
      </c>
      <c r="EB107">
        <v>0</v>
      </c>
      <c r="EC107">
        <v>0</v>
      </c>
      <c r="ED107">
        <v>0</v>
      </c>
      <c r="EE107">
        <v>0</v>
      </c>
      <c r="EF107">
        <v>1</v>
      </c>
      <c r="EG107">
        <v>0</v>
      </c>
      <c r="EH107">
        <v>0</v>
      </c>
      <c r="EI107" s="2">
        <v>0</v>
      </c>
      <c r="EJ107" s="1"/>
      <c r="EK107" t="str">
        <f>IF(AND(AND(AND(OR($DX107=1,$DW107=1),OR($EC107=1,$EA107=1)),SUM($DV107:$DZ107,$EF107)&gt;=4),SUM($EA107:$EE107)&gt;=2),"Whole sector","")</f>
        <v/>
      </c>
      <c r="EL107" t="str">
        <f>IF(AND(AND(OR($DX107=1,$DW107=1),AND($EC107=0,$EA107=0)),SUM($DV107:$DZ107,$EF107)&gt;=4),"Ecosystem approach","")</f>
        <v>Ecosystem approach</v>
      </c>
      <c r="EM107" s="2" t="str">
        <f>IF(AND(AND(AND($DX107=0,$DW107=0),OR($EC107=1,$EA107=1)),SUM($EB107:$EE107)&gt;=2),"Technology approach","")</f>
        <v/>
      </c>
      <c r="EN107" t="s">
        <v>2487</v>
      </c>
      <c r="EO107"/>
      <c r="EP107" t="str">
        <f>IF(ISNUMBER(BU107),IF(ABS(BU107-[2]QC_indicators!$B$2)&gt;3*[2]QC_indicators!$C$2,"C ratio",IF(ISNUMBER(BY107),IF(ABS(BY107-[2]QC_indicators!$B$1)&gt;3*[2]QC_indicators!$C$1,"DF","no"))),IF(ISNUMBER(BY107),IF(ABS(BY107-[2]QC_indicators!$B$1)&gt;3*[2]QC_indicators!$C$1,"DF","no")))</f>
        <v>no</v>
      </c>
      <c r="EQ107"/>
      <c r="ER107"/>
      <c r="ES107"/>
      <c r="ET107" s="266" t="s">
        <v>3256</v>
      </c>
      <c r="EU107"/>
    </row>
    <row r="108" spans="1:151" s="139" customFormat="1" ht="15" customHeight="1">
      <c r="A108" s="1" t="s">
        <v>1810</v>
      </c>
      <c r="B108" t="s">
        <v>2477</v>
      </c>
      <c r="C108" t="s">
        <v>2478</v>
      </c>
      <c r="D108" t="s">
        <v>2479</v>
      </c>
      <c r="E108" t="s">
        <v>2480</v>
      </c>
      <c r="F108" t="s">
        <v>2481</v>
      </c>
      <c r="G108" t="s">
        <v>1816</v>
      </c>
      <c r="H108" t="s">
        <v>255</v>
      </c>
      <c r="I108">
        <v>2010</v>
      </c>
      <c r="J108">
        <v>100</v>
      </c>
      <c r="K108" t="s">
        <v>2482</v>
      </c>
      <c r="L108"/>
      <c r="M108" t="str">
        <f>LEFT($D108,FIND(",",$D108)-1)&amp;"_"&amp;I108&amp;L108</f>
        <v>Werner_2010</v>
      </c>
      <c r="N108" t="s">
        <v>223</v>
      </c>
      <c r="O108" s="145" t="s">
        <v>1156</v>
      </c>
      <c r="P108"/>
      <c r="Q108" t="s">
        <v>257</v>
      </c>
      <c r="R108" s="264" t="s">
        <v>224</v>
      </c>
      <c r="S108" s="1" t="s">
        <v>2483</v>
      </c>
      <c r="T108" t="s">
        <v>2484</v>
      </c>
      <c r="U108" t="s">
        <v>2488</v>
      </c>
      <c r="V108">
        <v>1</v>
      </c>
      <c r="W108">
        <v>0</v>
      </c>
      <c r="X108">
        <v>2</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s="141">
        <f>COUNTIF(V108:AW108,"&lt;&gt;0")</f>
        <v>2</v>
      </c>
      <c r="AY108" s="141">
        <f>COUNTIF(V108:AL108,"&lt;&gt;0")</f>
        <v>2</v>
      </c>
      <c r="AZ108">
        <f>COUNTIF(V108:AC108,"&lt;&gt;0")</f>
        <v>2</v>
      </c>
      <c r="BA108">
        <f>COUNTIF(AD108:AI108,"&lt;&gt;0")</f>
        <v>0</v>
      </c>
      <c r="BB108">
        <f>COUNTIF(AJ108:AL108,"&lt;&gt;0")</f>
        <v>0</v>
      </c>
      <c r="BC108">
        <f>COUNTIF(AS108:AW108,"&lt;&gt;0")</f>
        <v>0</v>
      </c>
      <c r="BD108">
        <f>COUNTIF(AM108:AR108,"&lt;&gt;0")</f>
        <v>0</v>
      </c>
      <c r="BE108" t="str">
        <f t="array" ref="BE108">IF(AY108=1,INDEX($V$7:$AL$7,MATCH(TRUE,INDEX($V108:$AW108&lt;&gt;0,),0)),IF(AY108=0,INDEX($AM$7:$AW$7,MATCH(1,$AM108:$AW108,0)),IF(BF108="Multiple strategies","mixed drivers",IF(BF108="Supply chain","multiple supply","multiple silviculture"))))</f>
        <v>multiple silviculture</v>
      </c>
      <c r="BF108" s="2" t="str" cm="1">
        <f t="array" ref="BF108">IF(COUNTIF(AZ108:BB108,"&lt;&gt;0")=1,INDEX($V$4:$AW$4,MATCH(TRUE,INDEX($V108:$AW108&lt;&gt;0,),0)),IF(COUNTIF(AZ108:BB108,"&lt;&gt;0")=0,INDEX($AM$4:$AW$4,MATCH(1,$AM108:$AW108,0)),"Multiple strategies"))</f>
        <v>SilvicultureRemov</v>
      </c>
      <c r="BG108" s="1" t="s">
        <v>322</v>
      </c>
      <c r="BH108" t="s">
        <v>2455</v>
      </c>
      <c r="BI108" s="266" t="s">
        <v>3254</v>
      </c>
      <c r="BJ108" t="s">
        <v>1325</v>
      </c>
      <c r="BK108">
        <v>120</v>
      </c>
      <c r="BL108">
        <v>202.5</v>
      </c>
      <c r="BM108" s="143">
        <f>BL108/BK108</f>
        <v>1.6875</v>
      </c>
      <c r="BN108">
        <f>BL108-BK108</f>
        <v>82.5</v>
      </c>
      <c r="BO108">
        <f>BN108*10^6</f>
        <v>82500000</v>
      </c>
      <c r="BP108" t="s">
        <v>233</v>
      </c>
      <c r="BQ108" s="153" t="s">
        <v>3255</v>
      </c>
      <c r="BR108" t="s">
        <v>2327</v>
      </c>
      <c r="BS108">
        <v>223.834792619919</v>
      </c>
      <c r="BT108">
        <v>79.643362017116502</v>
      </c>
      <c r="BU108" s="144">
        <f>IFERROR(BT108/BS108,"")</f>
        <v>0.35581314720966689</v>
      </c>
      <c r="BV108" s="144">
        <f>BT108-BS108</f>
        <v>-144.19143060280248</v>
      </c>
      <c r="BW108" s="144"/>
      <c r="BX108">
        <f>BV108*10^6</f>
        <v>-144191430.60280249</v>
      </c>
      <c r="BY108">
        <f>IFERROR(BX108/BO108,"")</f>
        <v>-1.747774916397606</v>
      </c>
      <c r="BZ108">
        <v>0</v>
      </c>
      <c r="CA108">
        <v>0</v>
      </c>
      <c r="CB108">
        <v>0</v>
      </c>
      <c r="CC108">
        <v>0</v>
      </c>
      <c r="CD108">
        <v>0</v>
      </c>
      <c r="CE108">
        <v>0</v>
      </c>
      <c r="CF108">
        <v>0</v>
      </c>
      <c r="CG108">
        <v>0</v>
      </c>
      <c r="CH108">
        <v>0</v>
      </c>
      <c r="CI108">
        <v>0</v>
      </c>
      <c r="CJ108">
        <v>0</v>
      </c>
      <c r="CK108">
        <v>0</v>
      </c>
      <c r="CL108">
        <v>0</v>
      </c>
      <c r="CM108">
        <v>1</v>
      </c>
      <c r="CN108" t="str">
        <f>IF($BL108&lt;$BK108,"refNeedCorrection","refOK")</f>
        <v>refOK</v>
      </c>
      <c r="CO108">
        <f>IF($CN108="refOK",$BK108,$BL108)</f>
        <v>120</v>
      </c>
      <c r="CP108">
        <f>IF($CN108="refOK",$BL108,$BK108)</f>
        <v>202.5</v>
      </c>
      <c r="CQ108">
        <f>IF($CN108="refOK",$BO108,-$BO108)</f>
        <v>82500000</v>
      </c>
      <c r="CR108">
        <f>IF($CN108="refOK",$BS108,$BT108)*IF($BP108="Emissions positive",-1,1)</f>
        <v>223.834792619919</v>
      </c>
      <c r="CS108">
        <f>IF($CN108="refOK",$BT108,$BS108)*IF($BP108="Emissions positive",-1,1)</f>
        <v>79.643362017116502</v>
      </c>
      <c r="CT108">
        <f>IF($CN108="refNeedCorrection",-BX108,BX108)*IF($BP108="Emissions positive",-1,1)</f>
        <v>-144191430.60280249</v>
      </c>
      <c r="CU108">
        <f>IFERROR(CT108/CQ108,"")</f>
        <v>-1.747774916397606</v>
      </c>
      <c r="CV108" s="2">
        <f>IFERROR((CS108-CR108)/ABS(CR108),"")</f>
        <v>-0.64418685279033305</v>
      </c>
      <c r="CW108" s="1" t="s">
        <v>1205</v>
      </c>
      <c r="CX108" t="str">
        <f>IF(OR($CW108="prd",$CW108="std",$CW108="cit"),"loc",IF(OR($CW108="eur",$CW108="reg",$CW108="coy"),"reg",$CW108))</f>
        <v>reg</v>
      </c>
      <c r="CY108" t="s">
        <v>641</v>
      </c>
      <c r="CZ108">
        <v>2000</v>
      </c>
      <c r="DA108">
        <v>2030</v>
      </c>
      <c r="DB108">
        <f>DA108-CZ108</f>
        <v>30</v>
      </c>
      <c r="DC108" t="str">
        <f>IF(DB108=0,"0",IF(AND(DB108&gt;=1,DB108&lt;=30),"1-30",IF(AND(DB108&gt;30,DB108&lt;=70),"31-70",IF(AND(DB108&gt;70,DB108&lt;=100),"71-100",IF(DB108&gt;100,"+100")))))</f>
        <v>1-30</v>
      </c>
      <c r="DD108">
        <v>1</v>
      </c>
      <c r="DE108">
        <v>0</v>
      </c>
      <c r="DF108">
        <v>0</v>
      </c>
      <c r="DG108">
        <v>0</v>
      </c>
      <c r="DH108">
        <v>0</v>
      </c>
      <c r="DI108">
        <f>SUM(DD108:DG108)</f>
        <v>1</v>
      </c>
      <c r="DJ108" t="str">
        <f>IF(DI108=1,INDEX($DD$7:$DG$7,MATCH(1,$DD108:$DG108,0)),"mixedProduct")</f>
        <v>UpstreamInput</v>
      </c>
      <c r="DK108" t="str">
        <f>IF(DD108=1,DK$7,0)</f>
        <v>Upstream</v>
      </c>
      <c r="DL108">
        <f>IF(DE108=1,DL$7,0)</f>
        <v>0</v>
      </c>
      <c r="DM108">
        <f>IF(DF108=1,DM$7,0)</f>
        <v>0</v>
      </c>
      <c r="DN108">
        <f>IF(DG108=1,DN$7,0)</f>
        <v>0</v>
      </c>
      <c r="DO108">
        <v>0</v>
      </c>
      <c r="DP108">
        <v>0</v>
      </c>
      <c r="DQ108"/>
      <c r="DR108"/>
      <c r="DS108"/>
      <c r="DT108">
        <f>SUM(DO108:DP108)</f>
        <v>0</v>
      </c>
      <c r="DU108" s="143" t="str">
        <f>IF(DO108=1,"self-calculated DF",IF(DP108=1,"external DF used","explicit C balance"))</f>
        <v>explicit C balance</v>
      </c>
      <c r="DV108">
        <v>1</v>
      </c>
      <c r="DW108">
        <v>1</v>
      </c>
      <c r="DX108">
        <v>1</v>
      </c>
      <c r="DY108">
        <v>0</v>
      </c>
      <c r="DZ108">
        <v>0</v>
      </c>
      <c r="EA108" s="143">
        <v>0</v>
      </c>
      <c r="EB108">
        <v>0</v>
      </c>
      <c r="EC108">
        <v>0</v>
      </c>
      <c r="ED108">
        <v>0</v>
      </c>
      <c r="EE108">
        <v>0</v>
      </c>
      <c r="EF108">
        <v>1</v>
      </c>
      <c r="EG108">
        <v>0</v>
      </c>
      <c r="EH108">
        <v>0</v>
      </c>
      <c r="EI108" s="2">
        <v>0</v>
      </c>
      <c r="EJ108" s="1"/>
      <c r="EK108" t="str">
        <f>IF(AND(AND(AND(OR($DX108=1,$DW108=1),OR($EC108=1,$EA108=1)),SUM($DV108:$DZ108,$EF108)&gt;=4),SUM($EA108:$EE108)&gt;=2),"Whole sector","")</f>
        <v/>
      </c>
      <c r="EL108" t="str">
        <f>IF(AND(AND(OR($DX108=1,$DW108=1),AND($EC108=0,$EA108=0)),SUM($DV108:$DZ108,$EF108)&gt;=4),"Ecosystem approach","")</f>
        <v>Ecosystem approach</v>
      </c>
      <c r="EM108" s="2" t="str">
        <f>IF(AND(AND(AND($DX108=0,$DW108=0),OR($EC108=1,$EA108=1)),SUM($EB108:$EE108)&gt;=2),"Technology approach","")</f>
        <v/>
      </c>
      <c r="EN108" t="s">
        <v>2487</v>
      </c>
      <c r="EO108"/>
      <c r="EP108" t="str">
        <f>IF(ISNUMBER(BU108),IF(ABS(BU108-[2]QC_indicators!$B$2)&gt;3*[2]QC_indicators!$C$2,"C ratio",IF(ISNUMBER(BY108),IF(ABS(BY108-[2]QC_indicators!$B$1)&gt;3*[2]QC_indicators!$C$1,"DF","no"))),IF(ISNUMBER(BY108),IF(ABS(BY108-[2]QC_indicators!$B$1)&gt;3*[2]QC_indicators!$C$1,"DF","no")))</f>
        <v>no</v>
      </c>
      <c r="EQ108"/>
      <c r="ER108"/>
      <c r="ES108"/>
      <c r="ET108" s="266" t="s">
        <v>3256</v>
      </c>
      <c r="EU108"/>
    </row>
    <row r="109" spans="1:151" s="139" customFormat="1" ht="15" customHeight="1">
      <c r="A109" s="1" t="s">
        <v>1810</v>
      </c>
      <c r="B109" t="s">
        <v>2477</v>
      </c>
      <c r="C109" t="s">
        <v>2478</v>
      </c>
      <c r="D109" t="s">
        <v>2479</v>
      </c>
      <c r="E109" t="s">
        <v>2480</v>
      </c>
      <c r="F109" t="s">
        <v>2481</v>
      </c>
      <c r="G109" t="s">
        <v>1816</v>
      </c>
      <c r="H109" t="s">
        <v>255</v>
      </c>
      <c r="I109">
        <v>2010</v>
      </c>
      <c r="J109">
        <v>100</v>
      </c>
      <c r="K109" t="s">
        <v>2482</v>
      </c>
      <c r="L109"/>
      <c r="M109" t="str">
        <f>LEFT($D109,FIND(",",$D109)-1)&amp;"_"&amp;I109&amp;L109</f>
        <v>Werner_2010</v>
      </c>
      <c r="N109" t="s">
        <v>223</v>
      </c>
      <c r="O109" s="145" t="s">
        <v>1156</v>
      </c>
      <c r="P109"/>
      <c r="Q109" t="s">
        <v>257</v>
      </c>
      <c r="R109" s="264" t="s">
        <v>224</v>
      </c>
      <c r="S109" s="265" t="s">
        <v>3257</v>
      </c>
      <c r="T109" t="s">
        <v>2484</v>
      </c>
      <c r="U109" t="s">
        <v>2489</v>
      </c>
      <c r="V109">
        <v>2</v>
      </c>
      <c r="W109">
        <v>0</v>
      </c>
      <c r="X109">
        <v>1</v>
      </c>
      <c r="Y109">
        <v>2</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s="141">
        <f>COUNTIF(V109:AW109,"&lt;&gt;0")</f>
        <v>3</v>
      </c>
      <c r="AY109" s="141">
        <f>COUNTIF(V109:AL109,"&lt;&gt;0")</f>
        <v>3</v>
      </c>
      <c r="AZ109">
        <f>COUNTIF(V109:AC109,"&lt;&gt;0")</f>
        <v>3</v>
      </c>
      <c r="BA109">
        <f>COUNTIF(AD109:AI109,"&lt;&gt;0")</f>
        <v>0</v>
      </c>
      <c r="BB109">
        <f>COUNTIF(AJ109:AL109,"&lt;&gt;0")</f>
        <v>0</v>
      </c>
      <c r="BC109">
        <f>COUNTIF(AS109:AW109,"&lt;&gt;0")</f>
        <v>0</v>
      </c>
      <c r="BD109">
        <f>COUNTIF(AM109:AR109,"&lt;&gt;0")</f>
        <v>0</v>
      </c>
      <c r="BE109" t="str">
        <f t="array" ref="BE109">IF(AY109=1,INDEX($V$7:$AL$7,MATCH(TRUE,INDEX($V109:$AW109&lt;&gt;0,),0)),IF(AY109=0,INDEX($AM$7:$AW$7,MATCH(1,$AM109:$AW109,0)),IF(BF109="Multiple strategies","mixed drivers",IF(BF109="Supply chain","multiple supply","multiple silviculture"))))</f>
        <v>multiple silviculture</v>
      </c>
      <c r="BF109" s="2" t="str" cm="1">
        <f t="array" ref="BF109">IF(COUNTIF(AZ109:BB109,"&lt;&gt;0")=1,INDEX($V$4:$AW$4,MATCH(TRUE,INDEX($V109:$AW109&lt;&gt;0,),0)),IF(COUNTIF(AZ109:BB109,"&lt;&gt;0")=0,INDEX($AM$4:$AW$4,MATCH(1,$AM109:$AW109,0)),"Multiple strategies"))</f>
        <v>SilvicultureRemov</v>
      </c>
      <c r="BG109" s="1" t="s">
        <v>322</v>
      </c>
      <c r="BH109" t="s">
        <v>2455</v>
      </c>
      <c r="BI109" s="266" t="s">
        <v>3254</v>
      </c>
      <c r="BJ109" t="s">
        <v>1325</v>
      </c>
      <c r="BK109">
        <v>120</v>
      </c>
      <c r="BL109">
        <v>213</v>
      </c>
      <c r="BM109" s="143">
        <f>BL109/BK109</f>
        <v>1.7749999999999999</v>
      </c>
      <c r="BN109">
        <f>BL109-BK109</f>
        <v>93</v>
      </c>
      <c r="BO109">
        <f>BN109*10^6</f>
        <v>93000000</v>
      </c>
      <c r="BP109" t="s">
        <v>233</v>
      </c>
      <c r="BQ109" s="153" t="s">
        <v>3255</v>
      </c>
      <c r="BR109" t="s">
        <v>2327</v>
      </c>
      <c r="BS109">
        <v>223.834792619919</v>
      </c>
      <c r="BT109">
        <v>76.966731236946401</v>
      </c>
      <c r="BU109" s="144">
        <f>IFERROR(BT109/BS109,"")</f>
        <v>0.34385508318914115</v>
      </c>
      <c r="BV109" s="144">
        <f>BT109-BS109</f>
        <v>-146.8680613829726</v>
      </c>
      <c r="BW109" s="144"/>
      <c r="BX109">
        <f>BV109*10^6</f>
        <v>-146868061.3829726</v>
      </c>
      <c r="BY109">
        <f>IFERROR(BX109/BO109,"")</f>
        <v>-1.5792264664835762</v>
      </c>
      <c r="BZ109">
        <v>0</v>
      </c>
      <c r="CA109">
        <v>0</v>
      </c>
      <c r="CB109">
        <v>0</v>
      </c>
      <c r="CC109">
        <v>0</v>
      </c>
      <c r="CD109">
        <v>0</v>
      </c>
      <c r="CE109">
        <v>0</v>
      </c>
      <c r="CF109">
        <v>0</v>
      </c>
      <c r="CG109">
        <v>0</v>
      </c>
      <c r="CH109">
        <v>0</v>
      </c>
      <c r="CI109">
        <v>0</v>
      </c>
      <c r="CJ109">
        <v>0</v>
      </c>
      <c r="CK109">
        <v>0</v>
      </c>
      <c r="CL109">
        <v>0</v>
      </c>
      <c r="CM109">
        <v>1</v>
      </c>
      <c r="CN109" t="str">
        <f>IF($BL109&lt;$BK109,"refNeedCorrection","refOK")</f>
        <v>refOK</v>
      </c>
      <c r="CO109">
        <f>IF($CN109="refOK",$BK109,$BL109)</f>
        <v>120</v>
      </c>
      <c r="CP109">
        <f>IF($CN109="refOK",$BL109,$BK109)</f>
        <v>213</v>
      </c>
      <c r="CQ109">
        <f>IF($CN109="refOK",$BO109,-$BO109)</f>
        <v>93000000</v>
      </c>
      <c r="CR109">
        <f>IF($CN109="refOK",$BS109,$BT109)*IF($BP109="Emissions positive",-1,1)</f>
        <v>223.834792619919</v>
      </c>
      <c r="CS109">
        <f>IF($CN109="refOK",$BT109,$BS109)*IF($BP109="Emissions positive",-1,1)</f>
        <v>76.966731236946401</v>
      </c>
      <c r="CT109">
        <f>IF($CN109="refNeedCorrection",-BX109,BX109)*IF($BP109="Emissions positive",-1,1)</f>
        <v>-146868061.3829726</v>
      </c>
      <c r="CU109">
        <f>IFERROR(CT109/CQ109,"")</f>
        <v>-1.5792264664835762</v>
      </c>
      <c r="CV109" s="2">
        <f>IFERROR((CS109-CR109)/ABS(CR109),"")</f>
        <v>-0.65614491681085885</v>
      </c>
      <c r="CW109" s="1" t="s">
        <v>1205</v>
      </c>
      <c r="CX109" t="str">
        <f>IF(OR($CW109="prd",$CW109="std",$CW109="cit"),"loc",IF(OR($CW109="eur",$CW109="reg",$CW109="coy"),"reg",$CW109))</f>
        <v>reg</v>
      </c>
      <c r="CY109" t="s">
        <v>641</v>
      </c>
      <c r="CZ109">
        <v>2000</v>
      </c>
      <c r="DA109">
        <v>2030</v>
      </c>
      <c r="DB109">
        <f>DA109-CZ109</f>
        <v>30</v>
      </c>
      <c r="DC109" t="str">
        <f>IF(DB109=0,"0",IF(AND(DB109&gt;=1,DB109&lt;=30),"1-30",IF(AND(DB109&gt;30,DB109&lt;=70),"31-70",IF(AND(DB109&gt;70,DB109&lt;=100),"71-100",IF(DB109&gt;100,"+100")))))</f>
        <v>1-30</v>
      </c>
      <c r="DD109">
        <v>0</v>
      </c>
      <c r="DE109">
        <v>0</v>
      </c>
      <c r="DF109">
        <v>0</v>
      </c>
      <c r="DG109">
        <v>1</v>
      </c>
      <c r="DH109">
        <v>0</v>
      </c>
      <c r="DI109">
        <f>SUM(DD109:DG109)</f>
        <v>1</v>
      </c>
      <c r="DJ109" t="str">
        <f>IF(DI109=1,INDEX($DD$7:$DG$7,MATCH(1,$DD109:$DG109,0)),"mixedProduct")</f>
        <v>TimberInput</v>
      </c>
      <c r="DK109">
        <f>IF(DD109=1,DK$7,0)</f>
        <v>0</v>
      </c>
      <c r="DL109">
        <f>IF(DE109=1,DL$7,0)</f>
        <v>0</v>
      </c>
      <c r="DM109">
        <f>IF(DF109=1,DM$7,0)</f>
        <v>0</v>
      </c>
      <c r="DN109" t="str">
        <f>IF(DG109=1,DN$7,0)</f>
        <v>Timber</v>
      </c>
      <c r="DO109">
        <v>0</v>
      </c>
      <c r="DP109">
        <v>0</v>
      </c>
      <c r="DQ109"/>
      <c r="DR109"/>
      <c r="DS109"/>
      <c r="DT109">
        <f>SUM(DO109:DP109)</f>
        <v>0</v>
      </c>
      <c r="DU109" s="143" t="str">
        <f>IF(DO109=1,"self-calculated DF",IF(DP109=1,"external DF used","explicit C balance"))</f>
        <v>explicit C balance</v>
      </c>
      <c r="DV109">
        <v>1</v>
      </c>
      <c r="DW109">
        <v>1</v>
      </c>
      <c r="DX109">
        <v>1</v>
      </c>
      <c r="DY109">
        <v>0</v>
      </c>
      <c r="DZ109">
        <v>0</v>
      </c>
      <c r="EA109" s="143">
        <v>0</v>
      </c>
      <c r="EB109">
        <v>0</v>
      </c>
      <c r="EC109">
        <v>0</v>
      </c>
      <c r="ED109">
        <v>0</v>
      </c>
      <c r="EE109">
        <v>0</v>
      </c>
      <c r="EF109">
        <v>1</v>
      </c>
      <c r="EG109">
        <v>0</v>
      </c>
      <c r="EH109">
        <v>0</v>
      </c>
      <c r="EI109" s="2">
        <v>0</v>
      </c>
      <c r="EJ109" s="1"/>
      <c r="EK109" t="str">
        <f>IF(AND(AND(AND(OR($DX109=1,$DW109=1),OR($EC109=1,$EA109=1)),SUM($DV109:$DZ109,$EF109)&gt;=4),SUM($EA109:$EE109)&gt;=2),"Whole sector","")</f>
        <v/>
      </c>
      <c r="EL109" t="str">
        <f>IF(AND(AND(OR($DX109=1,$DW109=1),AND($EC109=0,$EA109=0)),SUM($DV109:$DZ109,$EF109)&gt;=4),"Ecosystem approach","")</f>
        <v>Ecosystem approach</v>
      </c>
      <c r="EM109" s="2" t="str">
        <f>IF(AND(AND(AND($DX109=0,$DW109=0),OR($EC109=1,$EA109=1)),SUM($EB109:$EE109)&gt;=2),"Technology approach","")</f>
        <v/>
      </c>
      <c r="EN109" t="s">
        <v>2487</v>
      </c>
      <c r="EO109"/>
      <c r="EP109" t="str">
        <f>IF(ISNUMBER(BU109),IF(ABS(BU109-[2]QC_indicators!$B$2)&gt;3*[2]QC_indicators!$C$2,"C ratio",IF(ISNUMBER(BY109),IF(ABS(BY109-[2]QC_indicators!$B$1)&gt;3*[2]QC_indicators!$C$1,"DF","no"))),IF(ISNUMBER(BY109),IF(ABS(BY109-[2]QC_indicators!$B$1)&gt;3*[2]QC_indicators!$C$1,"DF","no")))</f>
        <v>no</v>
      </c>
      <c r="EQ109"/>
      <c r="ER109"/>
      <c r="ES109"/>
      <c r="ET109" s="266" t="s">
        <v>3256</v>
      </c>
      <c r="EU109"/>
    </row>
    <row r="110" spans="1:151" s="139" customFormat="1" ht="15" customHeight="1">
      <c r="A110" s="1" t="s">
        <v>1810</v>
      </c>
      <c r="B110" t="s">
        <v>2477</v>
      </c>
      <c r="C110" t="s">
        <v>2478</v>
      </c>
      <c r="D110" t="s">
        <v>2479</v>
      </c>
      <c r="E110" t="s">
        <v>2480</v>
      </c>
      <c r="F110" t="s">
        <v>2481</v>
      </c>
      <c r="G110" t="s">
        <v>1816</v>
      </c>
      <c r="H110" t="s">
        <v>255</v>
      </c>
      <c r="I110">
        <v>2010</v>
      </c>
      <c r="J110">
        <v>100</v>
      </c>
      <c r="K110" t="s">
        <v>2482</v>
      </c>
      <c r="L110"/>
      <c r="M110" t="str">
        <f>LEFT($D110,FIND(",",$D110)-1)&amp;"_"&amp;I110&amp;L110</f>
        <v>Werner_2010</v>
      </c>
      <c r="N110" t="s">
        <v>223</v>
      </c>
      <c r="O110" s="145" t="s">
        <v>1156</v>
      </c>
      <c r="P110"/>
      <c r="Q110" t="s">
        <v>257</v>
      </c>
      <c r="R110" s="264" t="s">
        <v>224</v>
      </c>
      <c r="S110" s="265" t="s">
        <v>3257</v>
      </c>
      <c r="T110" t="s">
        <v>2484</v>
      </c>
      <c r="U110" t="s">
        <v>2490</v>
      </c>
      <c r="V110">
        <v>2</v>
      </c>
      <c r="W110">
        <v>0</v>
      </c>
      <c r="X110">
        <v>1</v>
      </c>
      <c r="Y110">
        <v>2</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s="141">
        <f>COUNTIF(V110:AW110,"&lt;&gt;0")</f>
        <v>3</v>
      </c>
      <c r="AY110" s="141">
        <f>COUNTIF(V110:AL110,"&lt;&gt;0")</f>
        <v>3</v>
      </c>
      <c r="AZ110">
        <f>COUNTIF(V110:AC110,"&lt;&gt;0")</f>
        <v>3</v>
      </c>
      <c r="BA110">
        <f>COUNTIF(AD110:AI110,"&lt;&gt;0")</f>
        <v>0</v>
      </c>
      <c r="BB110">
        <f>COUNTIF(AJ110:AL110,"&lt;&gt;0")</f>
        <v>0</v>
      </c>
      <c r="BC110">
        <f>COUNTIF(AS110:AW110,"&lt;&gt;0")</f>
        <v>0</v>
      </c>
      <c r="BD110">
        <f>COUNTIF(AM110:AR110,"&lt;&gt;0")</f>
        <v>0</v>
      </c>
      <c r="BE110" t="str">
        <f t="array" ref="BE110">IF(AY110=1,INDEX($V$7:$AL$7,MATCH(TRUE,INDEX($V110:$AW110&lt;&gt;0,),0)),IF(AY110=0,INDEX($AM$7:$AW$7,MATCH(1,$AM110:$AW110,0)),IF(BF110="Multiple strategies","mixed drivers",IF(BF110="Supply chain","multiple supply","multiple silviculture"))))</f>
        <v>multiple silviculture</v>
      </c>
      <c r="BF110" s="2" t="str" cm="1">
        <f t="array" ref="BF110">IF(COUNTIF(AZ110:BB110,"&lt;&gt;0")=1,INDEX($V$4:$AW$4,MATCH(TRUE,INDEX($V110:$AW110&lt;&gt;0,),0)),IF(COUNTIF(AZ110:BB110,"&lt;&gt;0")=0,INDEX($AM$4:$AW$4,MATCH(1,$AM110:$AW110,0)),"Multiple strategies"))</f>
        <v>SilvicultureRemov</v>
      </c>
      <c r="BG110" s="1" t="s">
        <v>322</v>
      </c>
      <c r="BH110" t="s">
        <v>2455</v>
      </c>
      <c r="BI110" s="266" t="s">
        <v>3254</v>
      </c>
      <c r="BJ110" t="s">
        <v>1325</v>
      </c>
      <c r="BK110">
        <v>120</v>
      </c>
      <c r="BL110">
        <v>213</v>
      </c>
      <c r="BM110" s="143">
        <f>BL110/BK110</f>
        <v>1.7749999999999999</v>
      </c>
      <c r="BN110">
        <f>BL110-BK110</f>
        <v>93</v>
      </c>
      <c r="BO110">
        <f>BN110*10^6</f>
        <v>93000000</v>
      </c>
      <c r="BP110" t="s">
        <v>233</v>
      </c>
      <c r="BQ110" s="153" t="s">
        <v>3255</v>
      </c>
      <c r="BR110" t="s">
        <v>2327</v>
      </c>
      <c r="BS110">
        <v>223.834792619919</v>
      </c>
      <c r="BT110">
        <v>76.966731236946401</v>
      </c>
      <c r="BU110" s="144">
        <f>IFERROR(BT110/BS110,"")</f>
        <v>0.34385508318914115</v>
      </c>
      <c r="BV110" s="144">
        <f>BT110-BS110</f>
        <v>-146.8680613829726</v>
      </c>
      <c r="BW110" s="144"/>
      <c r="BX110">
        <f>BV110*10^6</f>
        <v>-146868061.3829726</v>
      </c>
      <c r="BY110">
        <f>IFERROR(BX110/BO110,"")</f>
        <v>-1.5792264664835762</v>
      </c>
      <c r="BZ110">
        <v>0</v>
      </c>
      <c r="CA110">
        <v>0</v>
      </c>
      <c r="CB110">
        <v>0</v>
      </c>
      <c r="CC110">
        <v>0</v>
      </c>
      <c r="CD110">
        <v>0</v>
      </c>
      <c r="CE110">
        <v>0</v>
      </c>
      <c r="CF110">
        <v>0</v>
      </c>
      <c r="CG110">
        <v>0</v>
      </c>
      <c r="CH110">
        <v>0</v>
      </c>
      <c r="CI110">
        <v>0</v>
      </c>
      <c r="CJ110">
        <v>0</v>
      </c>
      <c r="CK110">
        <v>0</v>
      </c>
      <c r="CL110">
        <v>0</v>
      </c>
      <c r="CM110">
        <v>1</v>
      </c>
      <c r="CN110" t="str">
        <f>IF($BL110&lt;$BK110,"refNeedCorrection","refOK")</f>
        <v>refOK</v>
      </c>
      <c r="CO110">
        <f>IF($CN110="refOK",$BK110,$BL110)</f>
        <v>120</v>
      </c>
      <c r="CP110">
        <f>IF($CN110="refOK",$BL110,$BK110)</f>
        <v>213</v>
      </c>
      <c r="CQ110">
        <f>IF($CN110="refOK",$BO110,-$BO110)</f>
        <v>93000000</v>
      </c>
      <c r="CR110">
        <f>IF($CN110="refOK",$BS110,$BT110)*IF($BP110="Emissions positive",-1,1)</f>
        <v>223.834792619919</v>
      </c>
      <c r="CS110">
        <f>IF($CN110="refOK",$BT110,$BS110)*IF($BP110="Emissions positive",-1,1)</f>
        <v>76.966731236946401</v>
      </c>
      <c r="CT110">
        <f>IF($CN110="refNeedCorrection",-BX110,BX110)*IF($BP110="Emissions positive",-1,1)</f>
        <v>-146868061.3829726</v>
      </c>
      <c r="CU110">
        <f>IFERROR(CT110/CQ110,"")</f>
        <v>-1.5792264664835762</v>
      </c>
      <c r="CV110" s="2">
        <f>IFERROR((CS110-CR110)/ABS(CR110),"")</f>
        <v>-0.65614491681085885</v>
      </c>
      <c r="CW110" s="1" t="s">
        <v>1205</v>
      </c>
      <c r="CX110" t="str">
        <f>IF(OR($CW110="prd",$CW110="std",$CW110="cit"),"loc",IF(OR($CW110="eur",$CW110="reg",$CW110="coy"),"reg",$CW110))</f>
        <v>reg</v>
      </c>
      <c r="CY110" t="s">
        <v>641</v>
      </c>
      <c r="CZ110">
        <v>2000</v>
      </c>
      <c r="DA110">
        <v>2030</v>
      </c>
      <c r="DB110">
        <f>DA110-CZ110</f>
        <v>30</v>
      </c>
      <c r="DC110" t="str">
        <f>IF(DB110=0,"0",IF(AND(DB110&gt;=1,DB110&lt;=30),"1-30",IF(AND(DB110&gt;30,DB110&lt;=70),"31-70",IF(AND(DB110&gt;70,DB110&lt;=100),"71-100",IF(DB110&gt;100,"+100")))))</f>
        <v>1-30</v>
      </c>
      <c r="DD110">
        <v>0</v>
      </c>
      <c r="DE110">
        <v>1</v>
      </c>
      <c r="DF110">
        <v>0</v>
      </c>
      <c r="DG110">
        <v>0</v>
      </c>
      <c r="DH110">
        <v>0</v>
      </c>
      <c r="DI110">
        <f>SUM(DD110:DG110)</f>
        <v>1</v>
      </c>
      <c r="DJ110" t="str">
        <f>IF(DI110=1,INDEX($DD$7:$DG$7,MATCH(1,$DD110:$DG110,0)),"mixedProduct")</f>
        <v>EnergyInput</v>
      </c>
      <c r="DK110">
        <f>IF(DD110=1,DK$7,0)</f>
        <v>0</v>
      </c>
      <c r="DL110" t="str">
        <f>IF(DE110=1,DL$7,0)</f>
        <v>Energy</v>
      </c>
      <c r="DM110">
        <f>IF(DF110=1,DM$7,0)</f>
        <v>0</v>
      </c>
      <c r="DN110">
        <f>IF(DG110=1,DN$7,0)</f>
        <v>0</v>
      </c>
      <c r="DO110">
        <v>0</v>
      </c>
      <c r="DP110">
        <v>0</v>
      </c>
      <c r="DQ110"/>
      <c r="DR110"/>
      <c r="DS110"/>
      <c r="DT110">
        <f>SUM(DO110:DP110)</f>
        <v>0</v>
      </c>
      <c r="DU110" s="143" t="str">
        <f>IF(DO110=1,"self-calculated DF",IF(DP110=1,"external DF used","explicit C balance"))</f>
        <v>explicit C balance</v>
      </c>
      <c r="DV110">
        <v>1</v>
      </c>
      <c r="DW110">
        <v>1</v>
      </c>
      <c r="DX110">
        <v>1</v>
      </c>
      <c r="DY110">
        <v>0</v>
      </c>
      <c r="DZ110">
        <v>0</v>
      </c>
      <c r="EA110" s="143">
        <v>0</v>
      </c>
      <c r="EB110">
        <v>0</v>
      </c>
      <c r="EC110">
        <v>0</v>
      </c>
      <c r="ED110">
        <v>0</v>
      </c>
      <c r="EE110">
        <v>0</v>
      </c>
      <c r="EF110">
        <v>1</v>
      </c>
      <c r="EG110">
        <v>0</v>
      </c>
      <c r="EH110">
        <v>0</v>
      </c>
      <c r="EI110" s="2">
        <v>0</v>
      </c>
      <c r="EJ110" s="1"/>
      <c r="EK110" t="str">
        <f>IF(AND(AND(AND(OR($DX110=1,$DW110=1),OR($EC110=1,$EA110=1)),SUM($DV110:$DZ110,$EF110)&gt;=4),SUM($EA110:$EE110)&gt;=2),"Whole sector","")</f>
        <v/>
      </c>
      <c r="EL110" t="str">
        <f>IF(AND(AND(OR($DX110=1,$DW110=1),AND($EC110=0,$EA110=0)),SUM($DV110:$DZ110,$EF110)&gt;=4),"Ecosystem approach","")</f>
        <v>Ecosystem approach</v>
      </c>
      <c r="EM110" s="2" t="str">
        <f>IF(AND(AND(AND($DX110=0,$DW110=0),OR($EC110=1,$EA110=1)),SUM($EB110:$EE110)&gt;=2),"Technology approach","")</f>
        <v/>
      </c>
      <c r="EN110" t="s">
        <v>2487</v>
      </c>
      <c r="EO110"/>
      <c r="EP110" t="str">
        <f>IF(ISNUMBER(BU110),IF(ABS(BU110-[2]QC_indicators!$B$2)&gt;3*[2]QC_indicators!$C$2,"C ratio",IF(ISNUMBER(BY110),IF(ABS(BY110-[2]QC_indicators!$B$1)&gt;3*[2]QC_indicators!$C$1,"DF","no"))),IF(ISNUMBER(BY110),IF(ABS(BY110-[2]QC_indicators!$B$1)&gt;3*[2]QC_indicators!$C$1,"DF","no")))</f>
        <v>no</v>
      </c>
      <c r="EQ110"/>
      <c r="ER110"/>
      <c r="ES110"/>
      <c r="ET110" s="266" t="s">
        <v>3256</v>
      </c>
      <c r="EU110"/>
    </row>
    <row r="111" spans="1:151" s="139" customFormat="1" ht="15" hidden="1" customHeight="1">
      <c r="A111" s="1" t="s">
        <v>1425</v>
      </c>
      <c r="B111" t="s">
        <v>2492</v>
      </c>
      <c r="C111" t="s">
        <v>2493</v>
      </c>
      <c r="D111" t="s">
        <v>2494</v>
      </c>
      <c r="E111" t="s">
        <v>2495</v>
      </c>
      <c r="F111" t="s">
        <v>2496</v>
      </c>
      <c r="G111" t="s">
        <v>1431</v>
      </c>
      <c r="H111" t="s">
        <v>255</v>
      </c>
      <c r="I111">
        <v>2016</v>
      </c>
      <c r="J111">
        <v>24</v>
      </c>
      <c r="K111" t="s">
        <v>2497</v>
      </c>
      <c r="L111"/>
      <c r="M111" t="str">
        <f>LEFT($D111,FIND(",",$D111)-1)&amp;"_"&amp;I111&amp;L111</f>
        <v>Zubizarreta-Gerendiain_2016</v>
      </c>
      <c r="N111" t="s">
        <v>223</v>
      </c>
      <c r="O111" s="145" t="s">
        <v>1156</v>
      </c>
      <c r="P111"/>
      <c r="Q111" t="s">
        <v>257</v>
      </c>
      <c r="R111" s="264" t="s">
        <v>224</v>
      </c>
      <c r="S111" s="1" t="s">
        <v>2498</v>
      </c>
      <c r="T111" t="s">
        <v>2514</v>
      </c>
      <c r="U111" t="s">
        <v>2513</v>
      </c>
      <c r="V111">
        <v>0</v>
      </c>
      <c r="W111">
        <v>0</v>
      </c>
      <c r="X111">
        <v>0</v>
      </c>
      <c r="Y111">
        <v>2</v>
      </c>
      <c r="Z111">
        <v>0</v>
      </c>
      <c r="AA111">
        <v>0</v>
      </c>
      <c r="AB111">
        <v>0</v>
      </c>
      <c r="AC111">
        <v>0</v>
      </c>
      <c r="AD111">
        <v>0</v>
      </c>
      <c r="AE111">
        <v>0</v>
      </c>
      <c r="AF111">
        <v>1</v>
      </c>
      <c r="AG111">
        <v>0</v>
      </c>
      <c r="AH111">
        <v>0</v>
      </c>
      <c r="AI111">
        <v>0</v>
      </c>
      <c r="AJ111">
        <v>0</v>
      </c>
      <c r="AK111">
        <v>0</v>
      </c>
      <c r="AL111">
        <v>0</v>
      </c>
      <c r="AM111">
        <v>0</v>
      </c>
      <c r="AN111">
        <v>2</v>
      </c>
      <c r="AO111">
        <v>2</v>
      </c>
      <c r="AP111">
        <v>0</v>
      </c>
      <c r="AQ111">
        <v>0</v>
      </c>
      <c r="AR111">
        <v>0</v>
      </c>
      <c r="AS111">
        <v>0</v>
      </c>
      <c r="AT111">
        <v>0</v>
      </c>
      <c r="AU111">
        <v>0</v>
      </c>
      <c r="AV111">
        <v>0</v>
      </c>
      <c r="AW111">
        <v>0</v>
      </c>
      <c r="AX111" s="141">
        <f>COUNTIF(V111:AW111,"&lt;&gt;0")</f>
        <v>4</v>
      </c>
      <c r="AY111" s="141">
        <f>COUNTIF(V111:AL111,"&lt;&gt;0")</f>
        <v>2</v>
      </c>
      <c r="AZ111">
        <f>COUNTIF(V111:AC111,"&lt;&gt;0")</f>
        <v>1</v>
      </c>
      <c r="BA111">
        <f>COUNTIF(AD111:AI111,"&lt;&gt;0")</f>
        <v>1</v>
      </c>
      <c r="BB111">
        <f>COUNTIF(AJ111:AL111,"&lt;&gt;0")</f>
        <v>0</v>
      </c>
      <c r="BC111">
        <f>COUNTIF(AS111:AW111,"&lt;&gt;0")</f>
        <v>0</v>
      </c>
      <c r="BD111">
        <f>COUNTIF(AM111:AR111,"&lt;&gt;0")</f>
        <v>2</v>
      </c>
      <c r="BE111" t="str">
        <f t="array" ref="BE111">IF(AY111=1,INDEX($V$7:$AL$7,MATCH(TRUE,INDEX($V111:$AW111&lt;&gt;0,),0)),IF(AY111=0,INDEX($AM$7:$AW$7,MATCH(1,$AM111:$AW111,0)),IF(BF111="Multiple strategies","mixed drivers",IF(BF111="Supply chain","multiple supply","multiple silviculture"))))</f>
        <v>mixed drivers</v>
      </c>
      <c r="BF111" s="2" t="str">
        <f t="array" ref="BF111">IF(COUNTIF(AZ111:BB111,"&lt;&gt;0")=1,INDEX($V$4:$AW$4,MATCH(TRUE,INDEX($V111:$AW111&lt;&gt;0,),0)),IF(COUNTIF(AZ111:BB111,"&lt;&gt;0")=0,INDEX($AM$4:$AW$4,MATCH(1,$AM111:$AW111,0)),"Multiple strategies"))</f>
        <v>Multiple strategies</v>
      </c>
      <c r="BG111" s="1"/>
      <c r="BH111"/>
      <c r="BI111"/>
      <c r="BJ111"/>
      <c r="BK111"/>
      <c r="BL111"/>
      <c r="BM111" s="143"/>
      <c r="BN111" s="143"/>
      <c r="BO111"/>
      <c r="BP111" s="143" t="s">
        <v>233</v>
      </c>
      <c r="BQ111" s="143"/>
      <c r="BR111" t="s">
        <v>1197</v>
      </c>
      <c r="BS111">
        <v>125518.89696071042</v>
      </c>
      <c r="BT111">
        <v>29471.133802816759</v>
      </c>
      <c r="BU111" s="144">
        <f>IFERROR(BT111/BS111,"")</f>
        <v>0.23479439762796619</v>
      </c>
      <c r="BV111" s="144">
        <f>BT111-BS111</f>
        <v>-96047.763157893671</v>
      </c>
      <c r="BW111" s="144"/>
      <c r="BX111" s="144">
        <f>BV111</f>
        <v>-96047.763157893671</v>
      </c>
      <c r="BY111" t="str">
        <f>IFERROR(BX111/BO111,"")</f>
        <v/>
      </c>
      <c r="BZ111">
        <v>0</v>
      </c>
      <c r="CA111">
        <v>0</v>
      </c>
      <c r="CB111">
        <v>0</v>
      </c>
      <c r="CC111">
        <v>0</v>
      </c>
      <c r="CD111">
        <v>0</v>
      </c>
      <c r="CE111">
        <v>0</v>
      </c>
      <c r="CF111">
        <v>0</v>
      </c>
      <c r="CG111">
        <v>0</v>
      </c>
      <c r="CH111">
        <v>0</v>
      </c>
      <c r="CI111">
        <v>0</v>
      </c>
      <c r="CJ111">
        <v>0</v>
      </c>
      <c r="CK111">
        <v>0</v>
      </c>
      <c r="CL111">
        <v>0</v>
      </c>
      <c r="CM111">
        <v>1</v>
      </c>
      <c r="CN111" t="str">
        <f>IF(BL111&lt;BK111,"refNeedCorrection","refOK")</f>
        <v>refOK</v>
      </c>
      <c r="CO111"/>
      <c r="CP111"/>
      <c r="CQ111"/>
      <c r="CR111">
        <f>IF($CN111="refOK",$BS111,$BT111)*IF($BP111="Emissions positive",-1,1)</f>
        <v>125518.89696071042</v>
      </c>
      <c r="CS111">
        <f>IF($CN111="refOK",$BT111,$BS111)*IF($BP111="Emissions positive",-1,1)</f>
        <v>29471.133802816759</v>
      </c>
      <c r="CT111">
        <f>IF($CN111="refNeedCorrection",-BX111,BX111)*IF($BP111="Emissions positive",-1,1)</f>
        <v>-96047.763157893671</v>
      </c>
      <c r="CU111" t="str">
        <f>IFERROR(CT111/CQ111,"")</f>
        <v/>
      </c>
      <c r="CV111" s="2">
        <f>IFERROR((CS111-CR111)/ABS(CR111),"")</f>
        <v>-0.76520560237203383</v>
      </c>
      <c r="CW111" s="1" t="s">
        <v>1201</v>
      </c>
      <c r="CX111" t="str">
        <f>IF(OR($CW111="prd",$CW111="std",$CW111="cit"),"loc",IF(OR($CW111="eur",$CW111="reg",$CW111="coy"),"reg",$CW111))</f>
        <v>reg</v>
      </c>
      <c r="CY111" t="s">
        <v>236</v>
      </c>
      <c r="CZ111">
        <v>2010</v>
      </c>
      <c r="DA111">
        <v>2070</v>
      </c>
      <c r="DB111">
        <f>DA111-CZ111</f>
        <v>60</v>
      </c>
      <c r="DC111" t="str">
        <f>IF(DB111=0,"0",IF(AND(DB111&gt;=1,DB111&lt;=30),"1-30",IF(AND(DB111&gt;30,DB111&lt;=70),"31-70",IF(AND(DB111&gt;70,DB111&lt;=100),"71-100",IF(DB111&gt;100,"+100")))))</f>
        <v>31-70</v>
      </c>
      <c r="DD111">
        <v>1</v>
      </c>
      <c r="DE111">
        <v>1</v>
      </c>
      <c r="DF111">
        <v>1</v>
      </c>
      <c r="DG111">
        <v>1</v>
      </c>
      <c r="DH111">
        <v>0</v>
      </c>
      <c r="DI111">
        <f>SUM(DD111:DG111)</f>
        <v>4</v>
      </c>
      <c r="DJ111" t="str">
        <f>IF(DI111=1,INDEX($DD$7:$DG$7,MATCH(1,$DD111:$DG111,0)),"mixedProduct")</f>
        <v>mixedProduct</v>
      </c>
      <c r="DK111" t="str">
        <f>IF(DD111=1,DK$7,0)</f>
        <v>Upstream</v>
      </c>
      <c r="DL111" t="str">
        <f>IF(DE111=1,DL$7,0)</f>
        <v>Energy</v>
      </c>
      <c r="DM111" t="str">
        <f>IF(DF111=1,DM$7,0)</f>
        <v>Pulp/Paper</v>
      </c>
      <c r="DN111" t="str">
        <f>IF(DG111=1,DN$7,0)</f>
        <v>Timber</v>
      </c>
      <c r="DO111">
        <v>0</v>
      </c>
      <c r="DP111">
        <v>1</v>
      </c>
      <c r="DQ111" t="s">
        <v>2526</v>
      </c>
      <c r="DR111" t="s">
        <v>2527</v>
      </c>
      <c r="DS111">
        <v>0</v>
      </c>
      <c r="DT111">
        <f>SUM(DO111:DP111)</f>
        <v>1</v>
      </c>
      <c r="DU111" s="143" t="str">
        <f>IF(DO111=1,"self-calculated DF",IF(DP111=1,"external DF used","explicit C balance"))</f>
        <v>external DF used</v>
      </c>
      <c r="DV111">
        <v>1</v>
      </c>
      <c r="DW111">
        <v>1</v>
      </c>
      <c r="DX111">
        <v>1</v>
      </c>
      <c r="DY111">
        <v>1</v>
      </c>
      <c r="DZ111">
        <v>0</v>
      </c>
      <c r="EA111" s="143">
        <v>0</v>
      </c>
      <c r="EB111">
        <v>1</v>
      </c>
      <c r="EC111">
        <v>1</v>
      </c>
      <c r="ED111">
        <v>0</v>
      </c>
      <c r="EE111">
        <v>0</v>
      </c>
      <c r="EF111">
        <v>1</v>
      </c>
      <c r="EG111">
        <v>0</v>
      </c>
      <c r="EH111">
        <v>0</v>
      </c>
      <c r="EI111" s="2">
        <v>0</v>
      </c>
      <c r="EJ111" s="1"/>
      <c r="EK111" t="str">
        <f>IF(AND(AND(AND(OR($DX111=1,$DW111=1),OR($EC111=1,$EA111=1)),SUM($DV111:$DZ111,$EF111)&gt;=4),SUM($EA111:$EE111)&gt;=2),"Whole sector","")</f>
        <v>Whole sector</v>
      </c>
      <c r="EL111" t="str">
        <f>IF(AND(AND(OR($DX111=1,$DW111=1),AND($EC111=0,$EA111=0)),SUM($DV111:$DZ111,$EF111)&gt;=4),"Ecosystem approach","")</f>
        <v/>
      </c>
      <c r="EM111" s="2" t="str">
        <f>IF(AND(AND(AND($DX111=0,$DW111=0),OR($EC111=1,$EA111=1)),SUM($EB111:$EE111)&gt;=2),"Technology approach","")</f>
        <v/>
      </c>
      <c r="EN111"/>
      <c r="EO111"/>
      <c r="EP111" t="b">
        <f>IF(ISNUMBER(BU111),IF(ABS(BU111-[2]QC_indicators!$B$2)&gt;3*[2]QC_indicators!$C$2,"C ratio",IF(ISNUMBER(BY111),IF(ABS(BY111-[2]QC_indicators!$B$1)&gt;3*[2]QC_indicators!$C$1,"DF","no"))),IF(ISNUMBER(BY111),IF(ABS(BY111-[2]QC_indicators!$B$1)&gt;3*[2]QC_indicators!$C$1,"DF","no")))</f>
        <v>0</v>
      </c>
      <c r="EQ111"/>
      <c r="ER111"/>
      <c r="ES111"/>
      <c r="ET111" s="266" t="s">
        <v>3275</v>
      </c>
      <c r="EU111"/>
    </row>
    <row r="112" spans="1:151" s="139" customFormat="1" ht="15" hidden="1" customHeight="1">
      <c r="A112" s="1" t="s">
        <v>1425</v>
      </c>
      <c r="B112" t="s">
        <v>2492</v>
      </c>
      <c r="C112" t="s">
        <v>2493</v>
      </c>
      <c r="D112" t="s">
        <v>2494</v>
      </c>
      <c r="E112" t="s">
        <v>2495</v>
      </c>
      <c r="F112" t="s">
        <v>2496</v>
      </c>
      <c r="G112" t="s">
        <v>1431</v>
      </c>
      <c r="H112" t="s">
        <v>255</v>
      </c>
      <c r="I112">
        <v>2016</v>
      </c>
      <c r="J112">
        <v>24</v>
      </c>
      <c r="K112" t="s">
        <v>2497</v>
      </c>
      <c r="L112"/>
      <c r="M112" t="str">
        <f>LEFT($D112,FIND(",",$D112)-1)&amp;"_"&amp;I112&amp;L112</f>
        <v>Zubizarreta-Gerendiain_2016</v>
      </c>
      <c r="N112" t="s">
        <v>223</v>
      </c>
      <c r="O112" s="145" t="s">
        <v>1156</v>
      </c>
      <c r="P112"/>
      <c r="Q112" t="s">
        <v>257</v>
      </c>
      <c r="R112" s="264" t="s">
        <v>224</v>
      </c>
      <c r="S112" s="1" t="s">
        <v>2498</v>
      </c>
      <c r="T112" t="s">
        <v>2514</v>
      </c>
      <c r="U112" t="s">
        <v>2513</v>
      </c>
      <c r="V112">
        <v>0</v>
      </c>
      <c r="W112">
        <v>0</v>
      </c>
      <c r="X112">
        <v>0</v>
      </c>
      <c r="Y112">
        <v>2</v>
      </c>
      <c r="Z112">
        <v>0</v>
      </c>
      <c r="AA112">
        <v>0</v>
      </c>
      <c r="AB112">
        <v>0</v>
      </c>
      <c r="AC112">
        <v>0</v>
      </c>
      <c r="AD112">
        <v>0</v>
      </c>
      <c r="AE112">
        <v>0</v>
      </c>
      <c r="AF112">
        <v>1</v>
      </c>
      <c r="AG112">
        <v>0</v>
      </c>
      <c r="AH112">
        <v>0</v>
      </c>
      <c r="AI112">
        <v>0</v>
      </c>
      <c r="AJ112">
        <v>0</v>
      </c>
      <c r="AK112">
        <v>0</v>
      </c>
      <c r="AL112">
        <v>0</v>
      </c>
      <c r="AM112">
        <v>0</v>
      </c>
      <c r="AN112">
        <v>2</v>
      </c>
      <c r="AO112">
        <v>2</v>
      </c>
      <c r="AP112">
        <v>0</v>
      </c>
      <c r="AQ112">
        <v>0</v>
      </c>
      <c r="AR112">
        <v>0</v>
      </c>
      <c r="AS112">
        <v>0</v>
      </c>
      <c r="AT112">
        <v>0</v>
      </c>
      <c r="AU112">
        <v>0</v>
      </c>
      <c r="AV112">
        <v>0</v>
      </c>
      <c r="AW112">
        <v>0</v>
      </c>
      <c r="AX112" s="141">
        <f>COUNTIF(V112:AW112,"&lt;&gt;0")</f>
        <v>4</v>
      </c>
      <c r="AY112" s="141">
        <f>COUNTIF(V112:AL112,"&lt;&gt;0")</f>
        <v>2</v>
      </c>
      <c r="AZ112">
        <f>COUNTIF(V112:AC112,"&lt;&gt;0")</f>
        <v>1</v>
      </c>
      <c r="BA112">
        <f>COUNTIF(AD112:AI112,"&lt;&gt;0")</f>
        <v>1</v>
      </c>
      <c r="BB112">
        <f>COUNTIF(AJ112:AL112,"&lt;&gt;0")</f>
        <v>0</v>
      </c>
      <c r="BC112">
        <f>COUNTIF(AS112:AW112,"&lt;&gt;0")</f>
        <v>0</v>
      </c>
      <c r="BD112">
        <f>COUNTIF(AM112:AR112,"&lt;&gt;0")</f>
        <v>2</v>
      </c>
      <c r="BE112" t="str">
        <f t="array" ref="BE112">IF(AY112=1,INDEX($V$7:$AL$7,MATCH(TRUE,INDEX($V112:$AW112&lt;&gt;0,),0)),IF(AY112=0,INDEX($AM$7:$AW$7,MATCH(1,$AM112:$AW112,0)),IF(BF112="Multiple strategies","mixed drivers",IF(BF112="Supply chain","multiple supply","multiple silviculture"))))</f>
        <v>mixed drivers</v>
      </c>
      <c r="BF112" s="2" t="str">
        <f t="array" ref="BF112">IF(COUNTIF(AZ112:BB112,"&lt;&gt;0")=1,INDEX($V$4:$AW$4,MATCH(TRUE,INDEX($V112:$AW112&lt;&gt;0,),0)),IF(COUNTIF(AZ112:BB112,"&lt;&gt;0")=0,INDEX($AM$4:$AW$4,MATCH(1,$AM112:$AW112,0)),"Multiple strategies"))</f>
        <v>Multiple strategies</v>
      </c>
      <c r="BG112" s="1"/>
      <c r="BH112"/>
      <c r="BI112"/>
      <c r="BJ112"/>
      <c r="BK112"/>
      <c r="BL112"/>
      <c r="BM112" s="143"/>
      <c r="BN112" s="143"/>
      <c r="BO112"/>
      <c r="BP112" s="143" t="s">
        <v>233</v>
      </c>
      <c r="BQ112" s="143"/>
      <c r="BR112" t="s">
        <v>1197</v>
      </c>
      <c r="BS112">
        <v>30676.744408945775</v>
      </c>
      <c r="BT112">
        <v>-70376.060702875271</v>
      </c>
      <c r="BU112" s="144">
        <f>IFERROR(BT112/BS112,"")</f>
        <v>-2.2941176470588127</v>
      </c>
      <c r="BV112" s="144">
        <f>BT112-BS112</f>
        <v>-101052.80511182104</v>
      </c>
      <c r="BW112" s="144"/>
      <c r="BX112" s="144">
        <f>BV112</f>
        <v>-101052.80511182104</v>
      </c>
      <c r="BY112" t="str">
        <f>IFERROR(BX112/BO112,"")</f>
        <v/>
      </c>
      <c r="BZ112">
        <v>0</v>
      </c>
      <c r="CA112">
        <v>0</v>
      </c>
      <c r="CB112">
        <v>0</v>
      </c>
      <c r="CC112">
        <v>0</v>
      </c>
      <c r="CD112">
        <v>0</v>
      </c>
      <c r="CE112">
        <v>0</v>
      </c>
      <c r="CF112">
        <v>0</v>
      </c>
      <c r="CG112">
        <v>0</v>
      </c>
      <c r="CH112">
        <v>0</v>
      </c>
      <c r="CI112">
        <v>0</v>
      </c>
      <c r="CJ112">
        <v>0</v>
      </c>
      <c r="CK112">
        <v>0</v>
      </c>
      <c r="CL112">
        <v>0</v>
      </c>
      <c r="CM112">
        <v>1</v>
      </c>
      <c r="CN112" t="str">
        <f>IF(BL112&lt;BK112,"refNeedCorrection","refOK")</f>
        <v>refOK</v>
      </c>
      <c r="CO112"/>
      <c r="CP112"/>
      <c r="CQ112"/>
      <c r="CR112">
        <f>IF($CN112="refOK",$BS112,$BT112)*IF($BP112="Emissions positive",-1,1)</f>
        <v>30676.744408945775</v>
      </c>
      <c r="CS112">
        <f>IF($CN112="refOK",$BT112,$BS112)*IF($BP112="Emissions positive",-1,1)</f>
        <v>-70376.060702875271</v>
      </c>
      <c r="CT112">
        <f>IF($CN112="refNeedCorrection",-BX112,BX112)*IF($BP112="Emissions positive",-1,1)</f>
        <v>-101052.80511182104</v>
      </c>
      <c r="CU112" t="str">
        <f>IFERROR(CT112/CQ112,"")</f>
        <v/>
      </c>
      <c r="CV112" s="2">
        <f>IFERROR((CS112-CR112)/ABS(CR112),"")</f>
        <v>-3.2941176470588127</v>
      </c>
      <c r="CW112" s="1" t="s">
        <v>1201</v>
      </c>
      <c r="CX112" t="str">
        <f>IF(OR($CW112="prd",$CW112="std",$CW112="cit"),"loc",IF(OR($CW112="eur",$CW112="reg",$CW112="coy"),"reg",$CW112))</f>
        <v>reg</v>
      </c>
      <c r="CY112" t="s">
        <v>236</v>
      </c>
      <c r="CZ112">
        <v>2010</v>
      </c>
      <c r="DA112">
        <v>2070</v>
      </c>
      <c r="DB112">
        <f>DA112-CZ112</f>
        <v>60</v>
      </c>
      <c r="DC112" t="str">
        <f>IF(DB112=0,"0",IF(AND(DB112&gt;=1,DB112&lt;=30),"1-30",IF(AND(DB112&gt;30,DB112&lt;=70),"31-70",IF(AND(DB112&gt;70,DB112&lt;=100),"71-100",IF(DB112&gt;100,"+100")))))</f>
        <v>31-70</v>
      </c>
      <c r="DD112">
        <v>1</v>
      </c>
      <c r="DE112">
        <v>1</v>
      </c>
      <c r="DF112">
        <v>1</v>
      </c>
      <c r="DG112">
        <v>1</v>
      </c>
      <c r="DH112">
        <v>0</v>
      </c>
      <c r="DI112">
        <f>SUM(DD112:DG112)</f>
        <v>4</v>
      </c>
      <c r="DJ112" t="str">
        <f>IF(DI112=1,INDEX($DD$7:$DG$7,MATCH(1,$DD112:$DG112,0)),"mixedProduct")</f>
        <v>mixedProduct</v>
      </c>
      <c r="DK112" t="str">
        <f>IF(DD112=1,DK$7,0)</f>
        <v>Upstream</v>
      </c>
      <c r="DL112" t="str">
        <f>IF(DE112=1,DL$7,0)</f>
        <v>Energy</v>
      </c>
      <c r="DM112" t="str">
        <f>IF(DF112=1,DM$7,0)</f>
        <v>Pulp/Paper</v>
      </c>
      <c r="DN112" t="str">
        <f>IF(DG112=1,DN$7,0)</f>
        <v>Timber</v>
      </c>
      <c r="DO112">
        <v>0</v>
      </c>
      <c r="DP112">
        <v>0</v>
      </c>
      <c r="DQ112">
        <v>0</v>
      </c>
      <c r="DR112">
        <v>0</v>
      </c>
      <c r="DS112">
        <v>0</v>
      </c>
      <c r="DT112">
        <f>SUM(DO112:DP112)</f>
        <v>0</v>
      </c>
      <c r="DU112" s="143" t="str">
        <f>IF(DO112=1,"self-calculated DF",IF(DP112=1,"external DF used","explicit C balance"))</f>
        <v>explicit C balance</v>
      </c>
      <c r="DV112">
        <v>1</v>
      </c>
      <c r="DW112">
        <v>1</v>
      </c>
      <c r="DX112">
        <v>1</v>
      </c>
      <c r="DY112">
        <v>0</v>
      </c>
      <c r="DZ112">
        <v>0</v>
      </c>
      <c r="EA112" s="143">
        <v>0</v>
      </c>
      <c r="EB112">
        <v>1</v>
      </c>
      <c r="EC112">
        <v>1</v>
      </c>
      <c r="ED112">
        <v>0</v>
      </c>
      <c r="EE112">
        <v>0</v>
      </c>
      <c r="EF112">
        <v>1</v>
      </c>
      <c r="EG112">
        <v>0</v>
      </c>
      <c r="EH112">
        <v>0</v>
      </c>
      <c r="EI112" s="2">
        <v>0</v>
      </c>
      <c r="EJ112" s="1"/>
      <c r="EK112" t="str">
        <f>IF(AND(AND(AND(OR($DX112=1,$DW112=1),OR($EC112=1,$EA112=1)),SUM($DV112:$DZ112,$EF112)&gt;=4),SUM($EA112:$EE112)&gt;=2),"Whole sector","")</f>
        <v>Whole sector</v>
      </c>
      <c r="EL112" t="str">
        <f>IF(AND(AND(OR($DX112=1,$DW112=1),AND($EC112=0,$EA112=0)),SUM($DV112:$DZ112,$EF112)&gt;=4),"Ecosystem approach","")</f>
        <v/>
      </c>
      <c r="EM112" s="2" t="str">
        <f>IF(AND(AND(AND($DX112=0,$DW112=0),OR($EC112=1,$EA112=1)),SUM($EB112:$EE112)&gt;=2),"Technology approach","")</f>
        <v/>
      </c>
      <c r="EN112"/>
      <c r="EO112"/>
      <c r="EP112" t="b">
        <f>IF(ISNUMBER(BU112),IF(ABS(BU112-[2]QC_indicators!$B$2)&gt;3*[2]QC_indicators!$C$2,"C ratio",IF(ISNUMBER(BY112),IF(ABS(BY112-[2]QC_indicators!$B$1)&gt;3*[2]QC_indicators!$C$1,"DF","no"))),IF(ISNUMBER(BY112),IF(ABS(BY112-[2]QC_indicators!$B$1)&gt;3*[2]QC_indicators!$C$1,"DF","no")))</f>
        <v>0</v>
      </c>
      <c r="EQ112"/>
      <c r="ER112"/>
      <c r="ES112"/>
      <c r="ET112" s="266" t="s">
        <v>3275</v>
      </c>
      <c r="EU112"/>
    </row>
    <row r="113" spans="1:151" s="139" customFormat="1" ht="15" hidden="1" customHeight="1">
      <c r="A113" s="1" t="s">
        <v>1425</v>
      </c>
      <c r="B113" t="s">
        <v>2492</v>
      </c>
      <c r="C113" t="s">
        <v>2493</v>
      </c>
      <c r="D113" t="s">
        <v>2494</v>
      </c>
      <c r="E113" t="s">
        <v>2495</v>
      </c>
      <c r="F113" t="s">
        <v>2496</v>
      </c>
      <c r="G113" t="s">
        <v>1431</v>
      </c>
      <c r="H113" t="s">
        <v>255</v>
      </c>
      <c r="I113">
        <v>2016</v>
      </c>
      <c r="J113">
        <v>24</v>
      </c>
      <c r="K113" t="s">
        <v>2497</v>
      </c>
      <c r="L113"/>
      <c r="M113" t="str">
        <f>LEFT($D113,FIND(",",$D113)-1)&amp;"_"&amp;I113&amp;L113</f>
        <v>Zubizarreta-Gerendiain_2016</v>
      </c>
      <c r="N113" t="s">
        <v>223</v>
      </c>
      <c r="O113" s="145" t="s">
        <v>1156</v>
      </c>
      <c r="P113"/>
      <c r="Q113" t="s">
        <v>257</v>
      </c>
      <c r="R113" s="264" t="s">
        <v>224</v>
      </c>
      <c r="S113" s="1" t="s">
        <v>2508</v>
      </c>
      <c r="T113" t="s">
        <v>2512</v>
      </c>
      <c r="U113" t="s">
        <v>2513</v>
      </c>
      <c r="V113">
        <v>0</v>
      </c>
      <c r="W113">
        <v>0</v>
      </c>
      <c r="X113">
        <v>0</v>
      </c>
      <c r="Y113">
        <v>2</v>
      </c>
      <c r="Z113">
        <v>0</v>
      </c>
      <c r="AA113">
        <v>0</v>
      </c>
      <c r="AB113">
        <v>0</v>
      </c>
      <c r="AC113">
        <v>0</v>
      </c>
      <c r="AD113">
        <v>0</v>
      </c>
      <c r="AE113">
        <v>0</v>
      </c>
      <c r="AF113">
        <v>1</v>
      </c>
      <c r="AG113">
        <v>0</v>
      </c>
      <c r="AH113">
        <v>0</v>
      </c>
      <c r="AI113">
        <v>0</v>
      </c>
      <c r="AJ113">
        <v>0</v>
      </c>
      <c r="AK113">
        <v>0</v>
      </c>
      <c r="AL113">
        <v>0</v>
      </c>
      <c r="AM113">
        <v>0</v>
      </c>
      <c r="AN113">
        <v>2</v>
      </c>
      <c r="AO113">
        <v>2</v>
      </c>
      <c r="AP113">
        <v>0</v>
      </c>
      <c r="AQ113">
        <v>0</v>
      </c>
      <c r="AR113">
        <v>0</v>
      </c>
      <c r="AS113">
        <v>0</v>
      </c>
      <c r="AT113">
        <v>0</v>
      </c>
      <c r="AU113">
        <v>0</v>
      </c>
      <c r="AV113">
        <v>0</v>
      </c>
      <c r="AW113">
        <v>0</v>
      </c>
      <c r="AX113" s="141">
        <f>COUNTIF(V113:AW113,"&lt;&gt;0")</f>
        <v>4</v>
      </c>
      <c r="AY113" s="141">
        <f>COUNTIF(V113:AL113,"&lt;&gt;0")</f>
        <v>2</v>
      </c>
      <c r="AZ113">
        <f>COUNTIF(V113:AC113,"&lt;&gt;0")</f>
        <v>1</v>
      </c>
      <c r="BA113">
        <f>COUNTIF(AD113:AI113,"&lt;&gt;0")</f>
        <v>1</v>
      </c>
      <c r="BB113">
        <f>COUNTIF(AJ113:AL113,"&lt;&gt;0")</f>
        <v>0</v>
      </c>
      <c r="BC113">
        <f>COUNTIF(AS113:AW113,"&lt;&gt;0")</f>
        <v>0</v>
      </c>
      <c r="BD113">
        <f>COUNTIF(AM113:AR113,"&lt;&gt;0")</f>
        <v>2</v>
      </c>
      <c r="BE113" t="str">
        <f t="array" ref="BE113">IF(AY113=1,INDEX($V$7:$AL$7,MATCH(TRUE,INDEX($V113:$AW113&lt;&gt;0,),0)),IF(AY113=0,INDEX($AM$7:$AW$7,MATCH(1,$AM113:$AW113,0)),IF(BF113="Multiple strategies","mixed drivers",IF(BF113="Supply chain","multiple supply","multiple silviculture"))))</f>
        <v>mixed drivers</v>
      </c>
      <c r="BF113" s="2" t="str">
        <f t="array" ref="BF113">IF(COUNTIF(AZ113:BB113,"&lt;&gt;0")=1,INDEX($V$4:$AW$4,MATCH(TRUE,INDEX($V113:$AW113&lt;&gt;0,),0)),IF(COUNTIF(AZ113:BB113,"&lt;&gt;0")=0,INDEX($AM$4:$AW$4,MATCH(1,$AM113:$AW113,0)),"Multiple strategies"))</f>
        <v>Multiple strategies</v>
      </c>
      <c r="BG113" s="1"/>
      <c r="BH113"/>
      <c r="BI113"/>
      <c r="BJ113"/>
      <c r="BK113"/>
      <c r="BL113"/>
      <c r="BM113" s="143"/>
      <c r="BN113" s="143"/>
      <c r="BO113"/>
      <c r="BP113" s="143" t="s">
        <v>233</v>
      </c>
      <c r="BQ113" s="143"/>
      <c r="BR113" t="s">
        <v>1197</v>
      </c>
      <c r="BS113">
        <v>144211.00407709272</v>
      </c>
      <c r="BT113">
        <v>29471.133802816759</v>
      </c>
      <c r="BU113" s="144">
        <f>IFERROR(BT113/BS113,"")</f>
        <v>0.20436119969778449</v>
      </c>
      <c r="BV113" s="144">
        <f>BT113-BS113</f>
        <v>-114739.87027427595</v>
      </c>
      <c r="BW113" s="144"/>
      <c r="BX113" s="144">
        <f>BV113</f>
        <v>-114739.87027427595</v>
      </c>
      <c r="BY113" t="str">
        <f>IFERROR(BX113/BO113,"")</f>
        <v/>
      </c>
      <c r="BZ113">
        <v>0</v>
      </c>
      <c r="CA113">
        <v>0</v>
      </c>
      <c r="CB113">
        <v>0</v>
      </c>
      <c r="CC113">
        <v>0</v>
      </c>
      <c r="CD113">
        <v>0</v>
      </c>
      <c r="CE113">
        <v>0</v>
      </c>
      <c r="CF113">
        <v>0</v>
      </c>
      <c r="CG113">
        <v>0</v>
      </c>
      <c r="CH113">
        <v>0</v>
      </c>
      <c r="CI113">
        <v>0</v>
      </c>
      <c r="CJ113">
        <v>0</v>
      </c>
      <c r="CK113">
        <v>0</v>
      </c>
      <c r="CL113">
        <v>0</v>
      </c>
      <c r="CM113">
        <v>1</v>
      </c>
      <c r="CN113" t="str">
        <f>IF(BL113&lt;BK113,"refNeedCorrection","refOK")</f>
        <v>refOK</v>
      </c>
      <c r="CO113"/>
      <c r="CP113"/>
      <c r="CQ113"/>
      <c r="CR113">
        <f>IF($CN113="refOK",$BS113,$BT113)*IF($BP113="Emissions positive",-1,1)</f>
        <v>144211.00407709272</v>
      </c>
      <c r="CS113">
        <f>IF($CN113="refOK",$BT113,$BS113)*IF($BP113="Emissions positive",-1,1)</f>
        <v>29471.133802816759</v>
      </c>
      <c r="CT113">
        <f>IF($CN113="refNeedCorrection",-BX113,BX113)*IF($BP113="Emissions positive",-1,1)</f>
        <v>-114739.87027427595</v>
      </c>
      <c r="CU113" t="str">
        <f>IFERROR(CT113/CQ113,"")</f>
        <v/>
      </c>
      <c r="CV113" s="2">
        <f>IFERROR((CS113-CR113)/ABS(CR113),"")</f>
        <v>-0.79563880030221545</v>
      </c>
      <c r="CW113" s="1" t="s">
        <v>1201</v>
      </c>
      <c r="CX113" t="str">
        <f>IF(OR($CW113="prd",$CW113="std",$CW113="cit"),"loc",IF(OR($CW113="eur",$CW113="reg",$CW113="coy"),"reg",$CW113))</f>
        <v>reg</v>
      </c>
      <c r="CY113" t="s">
        <v>236</v>
      </c>
      <c r="CZ113">
        <v>2010</v>
      </c>
      <c r="DA113">
        <v>2070</v>
      </c>
      <c r="DB113">
        <f>DA113-CZ113</f>
        <v>60</v>
      </c>
      <c r="DC113" t="str">
        <f>IF(DB113=0,"0",IF(AND(DB113&gt;=1,DB113&lt;=30),"1-30",IF(AND(DB113&gt;30,DB113&lt;=70),"31-70",IF(AND(DB113&gt;70,DB113&lt;=100),"71-100",IF(DB113&gt;100,"+100")))))</f>
        <v>31-70</v>
      </c>
      <c r="DD113">
        <v>1</v>
      </c>
      <c r="DE113">
        <v>1</v>
      </c>
      <c r="DF113">
        <v>1</v>
      </c>
      <c r="DG113">
        <v>1</v>
      </c>
      <c r="DH113">
        <v>0</v>
      </c>
      <c r="DI113">
        <f>SUM(DD113:DG113)</f>
        <v>4</v>
      </c>
      <c r="DJ113" t="str">
        <f>IF(DI113=1,INDEX($DD$7:$DG$7,MATCH(1,$DD113:$DG113,0)),"mixedProduct")</f>
        <v>mixedProduct</v>
      </c>
      <c r="DK113" t="str">
        <f>IF(DD113=1,DK$7,0)</f>
        <v>Upstream</v>
      </c>
      <c r="DL113" t="str">
        <f>IF(DE113=1,DL$7,0)</f>
        <v>Energy</v>
      </c>
      <c r="DM113" t="str">
        <f>IF(DF113=1,DM$7,0)</f>
        <v>Pulp/Paper</v>
      </c>
      <c r="DN113" t="str">
        <f>IF(DG113=1,DN$7,0)</f>
        <v>Timber</v>
      </c>
      <c r="DO113">
        <v>0</v>
      </c>
      <c r="DP113">
        <v>1</v>
      </c>
      <c r="DQ113" t="s">
        <v>2526</v>
      </c>
      <c r="DR113" t="s">
        <v>2527</v>
      </c>
      <c r="DS113">
        <v>0</v>
      </c>
      <c r="DT113">
        <f>SUM(DO113:DP113)</f>
        <v>1</v>
      </c>
      <c r="DU113" s="143" t="str">
        <f>IF(DO113=1,"self-calculated DF",IF(DP113=1,"external DF used","explicit C balance"))</f>
        <v>external DF used</v>
      </c>
      <c r="DV113">
        <v>1</v>
      </c>
      <c r="DW113">
        <v>1</v>
      </c>
      <c r="DX113">
        <v>1</v>
      </c>
      <c r="DY113">
        <v>1</v>
      </c>
      <c r="DZ113">
        <v>0</v>
      </c>
      <c r="EA113" s="143">
        <v>0</v>
      </c>
      <c r="EB113">
        <v>1</v>
      </c>
      <c r="EC113">
        <v>1</v>
      </c>
      <c r="ED113">
        <v>0</v>
      </c>
      <c r="EE113">
        <v>0</v>
      </c>
      <c r="EF113">
        <v>1</v>
      </c>
      <c r="EG113">
        <v>0</v>
      </c>
      <c r="EH113">
        <v>0</v>
      </c>
      <c r="EI113" s="2">
        <v>0</v>
      </c>
      <c r="EJ113" s="1"/>
      <c r="EK113" t="str">
        <f>IF(AND(AND(AND(OR($DX113=1,$DW113=1),OR($EC113=1,$EA113=1)),SUM($DV113:$DZ113,$EF113)&gt;=4),SUM($EA113:$EE113)&gt;=2),"Whole sector","")</f>
        <v>Whole sector</v>
      </c>
      <c r="EL113" t="str">
        <f>IF(AND(AND(OR($DX113=1,$DW113=1),AND($EC113=0,$EA113=0)),SUM($DV113:$DZ113,$EF113)&gt;=4),"Ecosystem approach","")</f>
        <v/>
      </c>
      <c r="EM113" s="2" t="str">
        <f>IF(AND(AND(AND($DX113=0,$DW113=0),OR($EC113=1,$EA113=1)),SUM($EB113:$EE113)&gt;=2),"Technology approach","")</f>
        <v/>
      </c>
      <c r="EN113" t="s">
        <v>2510</v>
      </c>
      <c r="EO113"/>
      <c r="EP113" t="b">
        <f>IF(ISNUMBER(BU113),IF(ABS(BU113-[2]QC_indicators!$B$2)&gt;3*[2]QC_indicators!$C$2,"C ratio",IF(ISNUMBER(BY113),IF(ABS(BY113-[2]QC_indicators!$B$1)&gt;3*[2]QC_indicators!$C$1,"DF","no"))),IF(ISNUMBER(BY113),IF(ABS(BY113-[2]QC_indicators!$B$1)&gt;3*[2]QC_indicators!$C$1,"DF","no")))</f>
        <v>0</v>
      </c>
      <c r="EQ113"/>
      <c r="ER113"/>
      <c r="ES113"/>
      <c r="ET113" s="266" t="s">
        <v>3275</v>
      </c>
      <c r="EU113"/>
    </row>
    <row r="114" spans="1:151" s="139" customFormat="1" ht="15" hidden="1" customHeight="1">
      <c r="A114" s="1" t="s">
        <v>1425</v>
      </c>
      <c r="B114" t="s">
        <v>2492</v>
      </c>
      <c r="C114" t="s">
        <v>2493</v>
      </c>
      <c r="D114" t="s">
        <v>2494</v>
      </c>
      <c r="E114" t="s">
        <v>2495</v>
      </c>
      <c r="F114" t="s">
        <v>2496</v>
      </c>
      <c r="G114" t="s">
        <v>1431</v>
      </c>
      <c r="H114" t="s">
        <v>255</v>
      </c>
      <c r="I114">
        <v>2016</v>
      </c>
      <c r="J114">
        <v>24</v>
      </c>
      <c r="K114" t="s">
        <v>2497</v>
      </c>
      <c r="L114"/>
      <c r="M114" t="str">
        <f>LEFT($D114,FIND(",",$D114)-1)&amp;"_"&amp;I114&amp;L114</f>
        <v>Zubizarreta-Gerendiain_2016</v>
      </c>
      <c r="N114" t="s">
        <v>223</v>
      </c>
      <c r="O114" s="145" t="s">
        <v>1156</v>
      </c>
      <c r="P114"/>
      <c r="Q114" t="s">
        <v>257</v>
      </c>
      <c r="R114" s="264" t="s">
        <v>224</v>
      </c>
      <c r="S114" s="1" t="s">
        <v>2508</v>
      </c>
      <c r="T114" t="s">
        <v>2512</v>
      </c>
      <c r="U114" t="s">
        <v>2513</v>
      </c>
      <c r="V114">
        <v>0</v>
      </c>
      <c r="W114">
        <v>0</v>
      </c>
      <c r="X114">
        <v>0</v>
      </c>
      <c r="Y114">
        <v>2</v>
      </c>
      <c r="Z114">
        <v>0</v>
      </c>
      <c r="AA114">
        <v>0</v>
      </c>
      <c r="AB114">
        <v>0</v>
      </c>
      <c r="AC114">
        <v>0</v>
      </c>
      <c r="AD114">
        <v>0</v>
      </c>
      <c r="AE114">
        <v>0</v>
      </c>
      <c r="AF114">
        <v>1</v>
      </c>
      <c r="AG114">
        <v>0</v>
      </c>
      <c r="AH114">
        <v>0</v>
      </c>
      <c r="AI114">
        <v>0</v>
      </c>
      <c r="AJ114">
        <v>0</v>
      </c>
      <c r="AK114">
        <v>0</v>
      </c>
      <c r="AL114">
        <v>0</v>
      </c>
      <c r="AM114">
        <v>0</v>
      </c>
      <c r="AN114">
        <v>2</v>
      </c>
      <c r="AO114">
        <v>2</v>
      </c>
      <c r="AP114">
        <v>0</v>
      </c>
      <c r="AQ114">
        <v>0</v>
      </c>
      <c r="AR114">
        <v>0</v>
      </c>
      <c r="AS114">
        <v>0</v>
      </c>
      <c r="AT114">
        <v>0</v>
      </c>
      <c r="AU114">
        <v>0</v>
      </c>
      <c r="AV114">
        <v>0</v>
      </c>
      <c r="AW114">
        <v>0</v>
      </c>
      <c r="AX114" s="141">
        <f>COUNTIF(V114:AW114,"&lt;&gt;0")</f>
        <v>4</v>
      </c>
      <c r="AY114" s="141">
        <f>COUNTIF(V114:AL114,"&lt;&gt;0")</f>
        <v>2</v>
      </c>
      <c r="AZ114">
        <f>COUNTIF(V114:AC114,"&lt;&gt;0")</f>
        <v>1</v>
      </c>
      <c r="BA114">
        <f>COUNTIF(AD114:AI114,"&lt;&gt;0")</f>
        <v>1</v>
      </c>
      <c r="BB114">
        <f>COUNTIF(AJ114:AL114,"&lt;&gt;0")</f>
        <v>0</v>
      </c>
      <c r="BC114">
        <f>COUNTIF(AS114:AW114,"&lt;&gt;0")</f>
        <v>0</v>
      </c>
      <c r="BD114">
        <f>COUNTIF(AM114:AR114,"&lt;&gt;0")</f>
        <v>2</v>
      </c>
      <c r="BE114" t="str">
        <f t="array" ref="BE114">IF(AY114=1,INDEX($V$7:$AL$7,MATCH(TRUE,INDEX($V114:$AW114&lt;&gt;0,),0)),IF(AY114=0,INDEX($AM$7:$AW$7,MATCH(1,$AM114:$AW114,0)),IF(BF114="Multiple strategies","mixed drivers",IF(BF114="Supply chain","multiple supply","multiple silviculture"))))</f>
        <v>mixed drivers</v>
      </c>
      <c r="BF114" s="2" t="str">
        <f t="array" ref="BF114">IF(COUNTIF(AZ114:BB114,"&lt;&gt;0")=1,INDEX($V$4:$AW$4,MATCH(TRUE,INDEX($V114:$AW114&lt;&gt;0,),0)),IF(COUNTIF(AZ114:BB114,"&lt;&gt;0")=0,INDEX($AM$4:$AW$4,MATCH(1,$AM114:$AW114,0)),"Multiple strategies"))</f>
        <v>Multiple strategies</v>
      </c>
      <c r="BG114" s="1"/>
      <c r="BH114"/>
      <c r="BI114"/>
      <c r="BJ114"/>
      <c r="BK114"/>
      <c r="BL114"/>
      <c r="BM114" s="143"/>
      <c r="BN114" s="143"/>
      <c r="BO114"/>
      <c r="BP114" s="143" t="s">
        <v>233</v>
      </c>
      <c r="BQ114" s="143"/>
      <c r="BR114" t="s">
        <v>1197</v>
      </c>
      <c r="BS114">
        <v>29674.236421725247</v>
      </c>
      <c r="BT114">
        <v>-70376.060702875271</v>
      </c>
      <c r="BU114" s="144">
        <f>IFERROR(BT114/BS114,"")</f>
        <v>-2.3716216216216166</v>
      </c>
      <c r="BV114" s="144">
        <f>BT114-BS114</f>
        <v>-100050.29712460052</v>
      </c>
      <c r="BW114" s="144"/>
      <c r="BX114" s="144">
        <f>BV114</f>
        <v>-100050.29712460052</v>
      </c>
      <c r="BY114" t="str">
        <f>IFERROR(BX114/BO114,"")</f>
        <v/>
      </c>
      <c r="BZ114">
        <v>0</v>
      </c>
      <c r="CA114">
        <v>0</v>
      </c>
      <c r="CB114">
        <v>0</v>
      </c>
      <c r="CC114">
        <v>0</v>
      </c>
      <c r="CD114">
        <v>0</v>
      </c>
      <c r="CE114">
        <v>0</v>
      </c>
      <c r="CF114">
        <v>0</v>
      </c>
      <c r="CG114">
        <v>0</v>
      </c>
      <c r="CH114">
        <v>0</v>
      </c>
      <c r="CI114">
        <v>0</v>
      </c>
      <c r="CJ114">
        <v>0</v>
      </c>
      <c r="CK114">
        <v>0</v>
      </c>
      <c r="CL114">
        <v>0</v>
      </c>
      <c r="CM114">
        <v>1</v>
      </c>
      <c r="CN114" t="str">
        <f>IF(BL114&lt;BK114,"refNeedCorrection","refOK")</f>
        <v>refOK</v>
      </c>
      <c r="CO114"/>
      <c r="CP114"/>
      <c r="CQ114"/>
      <c r="CR114">
        <f>IF($CN114="refOK",$BS114,$BT114)*IF($BP114="Emissions positive",-1,1)</f>
        <v>29674.236421725247</v>
      </c>
      <c r="CS114">
        <f>IF($CN114="refOK",$BT114,$BS114)*IF($BP114="Emissions positive",-1,1)</f>
        <v>-70376.060702875271</v>
      </c>
      <c r="CT114">
        <f>IF($CN114="refNeedCorrection",-BX114,BX114)*IF($BP114="Emissions positive",-1,1)</f>
        <v>-100050.29712460052</v>
      </c>
      <c r="CU114" t="str">
        <f>IFERROR(CT114/CQ114,"")</f>
        <v/>
      </c>
      <c r="CV114" s="2">
        <f>IFERROR((CS114-CR114)/ABS(CR114),"")</f>
        <v>-3.3716216216216166</v>
      </c>
      <c r="CW114" s="1" t="s">
        <v>1201</v>
      </c>
      <c r="CX114" t="str">
        <f>IF(OR($CW114="prd",$CW114="std",$CW114="cit"),"loc",IF(OR($CW114="eur",$CW114="reg",$CW114="coy"),"reg",$CW114))</f>
        <v>reg</v>
      </c>
      <c r="CY114" t="s">
        <v>236</v>
      </c>
      <c r="CZ114">
        <v>2010</v>
      </c>
      <c r="DA114">
        <v>2070</v>
      </c>
      <c r="DB114">
        <f>DA114-CZ114</f>
        <v>60</v>
      </c>
      <c r="DC114" t="str">
        <f>IF(DB114=0,"0",IF(AND(DB114&gt;=1,DB114&lt;=30),"1-30",IF(AND(DB114&gt;30,DB114&lt;=70),"31-70",IF(AND(DB114&gt;70,DB114&lt;=100),"71-100",IF(DB114&gt;100,"+100")))))</f>
        <v>31-70</v>
      </c>
      <c r="DD114">
        <v>1</v>
      </c>
      <c r="DE114">
        <v>1</v>
      </c>
      <c r="DF114">
        <v>1</v>
      </c>
      <c r="DG114">
        <v>1</v>
      </c>
      <c r="DH114">
        <v>0</v>
      </c>
      <c r="DI114">
        <f>SUM(DD114:DG114)</f>
        <v>4</v>
      </c>
      <c r="DJ114" t="str">
        <f>IF(DI114=1,INDEX($DD$7:$DG$7,MATCH(1,$DD114:$DG114,0)),"mixedProduct")</f>
        <v>mixedProduct</v>
      </c>
      <c r="DK114" t="str">
        <f>IF(DD114=1,DK$7,0)</f>
        <v>Upstream</v>
      </c>
      <c r="DL114" t="str">
        <f>IF(DE114=1,DL$7,0)</f>
        <v>Energy</v>
      </c>
      <c r="DM114" t="str">
        <f>IF(DF114=1,DM$7,0)</f>
        <v>Pulp/Paper</v>
      </c>
      <c r="DN114" t="str">
        <f>IF(DG114=1,DN$7,0)</f>
        <v>Timber</v>
      </c>
      <c r="DO114">
        <v>0</v>
      </c>
      <c r="DP114">
        <v>0</v>
      </c>
      <c r="DQ114">
        <v>0</v>
      </c>
      <c r="DR114">
        <v>0</v>
      </c>
      <c r="DS114">
        <v>0</v>
      </c>
      <c r="DT114">
        <f>SUM(DO114:DP114)</f>
        <v>0</v>
      </c>
      <c r="DU114" s="143" t="str">
        <f>IF(DO114=1,"self-calculated DF",IF(DP114=1,"external DF used","explicit C balance"))</f>
        <v>explicit C balance</v>
      </c>
      <c r="DV114">
        <v>1</v>
      </c>
      <c r="DW114">
        <v>1</v>
      </c>
      <c r="DX114">
        <v>1</v>
      </c>
      <c r="DY114">
        <v>0</v>
      </c>
      <c r="DZ114">
        <v>0</v>
      </c>
      <c r="EA114" s="143">
        <v>0</v>
      </c>
      <c r="EB114">
        <v>1</v>
      </c>
      <c r="EC114">
        <v>1</v>
      </c>
      <c r="ED114">
        <v>0</v>
      </c>
      <c r="EE114">
        <v>0</v>
      </c>
      <c r="EF114">
        <v>1</v>
      </c>
      <c r="EG114">
        <v>0</v>
      </c>
      <c r="EH114">
        <v>0</v>
      </c>
      <c r="EI114" s="2">
        <v>0</v>
      </c>
      <c r="EJ114" s="1"/>
      <c r="EK114" t="str">
        <f>IF(AND(AND(AND(OR($DX114=1,$DW114=1),OR($EC114=1,$EA114=1)),SUM($DV114:$DZ114,$EF114)&gt;=4),SUM($EA114:$EE114)&gt;=2),"Whole sector","")</f>
        <v>Whole sector</v>
      </c>
      <c r="EL114" t="str">
        <f>IF(AND(AND(OR($DX114=1,$DW114=1),AND($EC114=0,$EA114=0)),SUM($DV114:$DZ114,$EF114)&gt;=4),"Ecosystem approach","")</f>
        <v/>
      </c>
      <c r="EM114" s="2" t="str">
        <f>IF(AND(AND(AND($DX114=0,$DW114=0),OR($EC114=1,$EA114=1)),SUM($EB114:$EE114)&gt;=2),"Technology approach","")</f>
        <v/>
      </c>
      <c r="EN114" t="s">
        <v>2510</v>
      </c>
      <c r="EO114"/>
      <c r="EP114" t="b">
        <f>IF(ISNUMBER(BU114),IF(ABS(BU114-[2]QC_indicators!$B$2)&gt;3*[2]QC_indicators!$C$2,"C ratio",IF(ISNUMBER(BY114),IF(ABS(BY114-[2]QC_indicators!$B$1)&gt;3*[2]QC_indicators!$C$1,"DF","no"))),IF(ISNUMBER(BY114),IF(ABS(BY114-[2]QC_indicators!$B$1)&gt;3*[2]QC_indicators!$C$1,"DF","no")))</f>
        <v>0</v>
      </c>
      <c r="EQ114"/>
      <c r="ER114"/>
      <c r="ES114"/>
      <c r="ET114" s="266" t="s">
        <v>3275</v>
      </c>
      <c r="EU114"/>
    </row>
    <row r="115" spans="1:151" s="139" customFormat="1" ht="15" hidden="1" customHeight="1">
      <c r="A115" s="1" t="s">
        <v>1425</v>
      </c>
      <c r="B115" t="s">
        <v>2492</v>
      </c>
      <c r="C115" t="s">
        <v>2493</v>
      </c>
      <c r="D115" t="s">
        <v>2494</v>
      </c>
      <c r="E115" t="s">
        <v>2495</v>
      </c>
      <c r="F115" t="s">
        <v>2496</v>
      </c>
      <c r="G115" t="s">
        <v>1431</v>
      </c>
      <c r="H115" t="s">
        <v>255</v>
      </c>
      <c r="I115">
        <v>2016</v>
      </c>
      <c r="J115">
        <v>24</v>
      </c>
      <c r="K115" t="s">
        <v>2497</v>
      </c>
      <c r="L115"/>
      <c r="M115" t="str">
        <f>LEFT($D115,FIND(",",$D115)-1)&amp;"_"&amp;I115&amp;L115</f>
        <v>Zubizarreta-Gerendiain_2016</v>
      </c>
      <c r="N115" t="s">
        <v>223</v>
      </c>
      <c r="O115" s="145" t="s">
        <v>1156</v>
      </c>
      <c r="P115"/>
      <c r="Q115" t="s">
        <v>257</v>
      </c>
      <c r="R115" s="264" t="s">
        <v>224</v>
      </c>
      <c r="S115" s="1" t="s">
        <v>2498</v>
      </c>
      <c r="T115" t="s">
        <v>2515</v>
      </c>
      <c r="U115" t="s">
        <v>2513</v>
      </c>
      <c r="V115">
        <v>0</v>
      </c>
      <c r="W115">
        <v>0</v>
      </c>
      <c r="X115">
        <v>0</v>
      </c>
      <c r="Y115">
        <v>2</v>
      </c>
      <c r="Z115">
        <v>0</v>
      </c>
      <c r="AA115">
        <v>0</v>
      </c>
      <c r="AB115">
        <v>0</v>
      </c>
      <c r="AC115">
        <v>0</v>
      </c>
      <c r="AD115">
        <v>0</v>
      </c>
      <c r="AE115">
        <v>0</v>
      </c>
      <c r="AF115">
        <v>1</v>
      </c>
      <c r="AG115">
        <v>0</v>
      </c>
      <c r="AH115">
        <v>0</v>
      </c>
      <c r="AI115">
        <v>0</v>
      </c>
      <c r="AJ115">
        <v>0</v>
      </c>
      <c r="AK115">
        <v>0</v>
      </c>
      <c r="AL115">
        <v>0</v>
      </c>
      <c r="AM115">
        <v>0</v>
      </c>
      <c r="AN115">
        <v>2</v>
      </c>
      <c r="AO115">
        <v>2</v>
      </c>
      <c r="AP115">
        <v>0</v>
      </c>
      <c r="AQ115">
        <v>0</v>
      </c>
      <c r="AR115">
        <v>0</v>
      </c>
      <c r="AS115">
        <v>0</v>
      </c>
      <c r="AT115">
        <v>0</v>
      </c>
      <c r="AU115">
        <v>0</v>
      </c>
      <c r="AV115">
        <v>0</v>
      </c>
      <c r="AW115">
        <v>0</v>
      </c>
      <c r="AX115" s="141">
        <f>COUNTIF(V115:AW115,"&lt;&gt;0")</f>
        <v>4</v>
      </c>
      <c r="AY115" s="141">
        <f>COUNTIF(V115:AL115,"&lt;&gt;0")</f>
        <v>2</v>
      </c>
      <c r="AZ115">
        <f>COUNTIF(V115:AC115,"&lt;&gt;0")</f>
        <v>1</v>
      </c>
      <c r="BA115">
        <f>COUNTIF(AD115:AI115,"&lt;&gt;0")</f>
        <v>1</v>
      </c>
      <c r="BB115">
        <f>COUNTIF(AJ115:AL115,"&lt;&gt;0")</f>
        <v>0</v>
      </c>
      <c r="BC115">
        <f>COUNTIF(AS115:AW115,"&lt;&gt;0")</f>
        <v>0</v>
      </c>
      <c r="BD115">
        <f>COUNTIF(AM115:AR115,"&lt;&gt;0")</f>
        <v>2</v>
      </c>
      <c r="BE115" t="str">
        <f t="array" ref="BE115">IF(AY115=1,INDEX($V$7:$AL$7,MATCH(TRUE,INDEX($V115:$AW115&lt;&gt;0,),0)),IF(AY115=0,INDEX($AM$7:$AW$7,MATCH(1,$AM115:$AW115,0)),IF(BF115="Multiple strategies","mixed drivers",IF(BF115="Supply chain","multiple supply","multiple silviculture"))))</f>
        <v>mixed drivers</v>
      </c>
      <c r="BF115" s="2" t="str">
        <f t="array" ref="BF115">IF(COUNTIF(AZ115:BB115,"&lt;&gt;0")=1,INDEX($V$4:$AW$4,MATCH(TRUE,INDEX($V115:$AW115&lt;&gt;0,),0)),IF(COUNTIF(AZ115:BB115,"&lt;&gt;0")=0,INDEX($AM$4:$AW$4,MATCH(1,$AM115:$AW115,0)),"Multiple strategies"))</f>
        <v>Multiple strategies</v>
      </c>
      <c r="BG115" s="1"/>
      <c r="BH115"/>
      <c r="BI115"/>
      <c r="BJ115"/>
      <c r="BK115"/>
      <c r="BL115"/>
      <c r="BM115" s="143"/>
      <c r="BN115" s="143"/>
      <c r="BO115"/>
      <c r="BP115" s="143" t="s">
        <v>233</v>
      </c>
      <c r="BQ115" s="143"/>
      <c r="BR115" t="s">
        <v>1197</v>
      </c>
      <c r="BS115">
        <v>88283.631949591363</v>
      </c>
      <c r="BT115">
        <v>29471.133802816759</v>
      </c>
      <c r="BU115" s="144">
        <f>IFERROR(BT115/BS115,"")</f>
        <v>0.33382330509062358</v>
      </c>
      <c r="BV115" s="144">
        <f>BT115-BS115</f>
        <v>-58812.498146774604</v>
      </c>
      <c r="BW115" s="144"/>
      <c r="BX115" s="144">
        <f>BV115</f>
        <v>-58812.498146774604</v>
      </c>
      <c r="BY115" t="str">
        <f>IFERROR(BX115/BO115,"")</f>
        <v/>
      </c>
      <c r="BZ115">
        <v>0</v>
      </c>
      <c r="CA115">
        <v>0</v>
      </c>
      <c r="CB115">
        <v>0</v>
      </c>
      <c r="CC115">
        <v>0</v>
      </c>
      <c r="CD115">
        <v>0</v>
      </c>
      <c r="CE115">
        <v>0</v>
      </c>
      <c r="CF115">
        <v>0</v>
      </c>
      <c r="CG115">
        <v>0</v>
      </c>
      <c r="CH115">
        <v>0</v>
      </c>
      <c r="CI115">
        <v>0</v>
      </c>
      <c r="CJ115">
        <v>0</v>
      </c>
      <c r="CK115">
        <v>0</v>
      </c>
      <c r="CL115">
        <v>0</v>
      </c>
      <c r="CM115">
        <v>1</v>
      </c>
      <c r="CN115" t="str">
        <f>IF(BL115&lt;BK115,"refNeedCorrection","refOK")</f>
        <v>refOK</v>
      </c>
      <c r="CO115"/>
      <c r="CP115"/>
      <c r="CQ115"/>
      <c r="CR115">
        <f>IF($CN115="refOK",$BS115,$BT115)*IF($BP115="Emissions positive",-1,1)</f>
        <v>88283.631949591363</v>
      </c>
      <c r="CS115">
        <f>IF($CN115="refOK",$BT115,$BS115)*IF($BP115="Emissions positive",-1,1)</f>
        <v>29471.133802816759</v>
      </c>
      <c r="CT115">
        <f>IF($CN115="refNeedCorrection",-BX115,BX115)*IF($BP115="Emissions positive",-1,1)</f>
        <v>-58812.498146774604</v>
      </c>
      <c r="CU115" t="str">
        <f>IFERROR(CT115/CQ115,"")</f>
        <v/>
      </c>
      <c r="CV115" s="2">
        <f>IFERROR((CS115-CR115)/ABS(CR115),"")</f>
        <v>-0.66617669490937648</v>
      </c>
      <c r="CW115" s="1" t="s">
        <v>1201</v>
      </c>
      <c r="CX115" t="str">
        <f>IF(OR($CW115="prd",$CW115="std",$CW115="cit"),"loc",IF(OR($CW115="eur",$CW115="reg",$CW115="coy"),"reg",$CW115))</f>
        <v>reg</v>
      </c>
      <c r="CY115" t="s">
        <v>236</v>
      </c>
      <c r="CZ115">
        <v>2010</v>
      </c>
      <c r="DA115">
        <v>2070</v>
      </c>
      <c r="DB115">
        <f>DA115-CZ115</f>
        <v>60</v>
      </c>
      <c r="DC115" t="str">
        <f>IF(DB115=0,"0",IF(AND(DB115&gt;=1,DB115&lt;=30),"1-30",IF(AND(DB115&gt;30,DB115&lt;=70),"31-70",IF(AND(DB115&gt;70,DB115&lt;=100),"71-100",IF(DB115&gt;100,"+100")))))</f>
        <v>31-70</v>
      </c>
      <c r="DD115">
        <v>1</v>
      </c>
      <c r="DE115">
        <v>1</v>
      </c>
      <c r="DF115">
        <v>1</v>
      </c>
      <c r="DG115">
        <v>1</v>
      </c>
      <c r="DH115">
        <v>0</v>
      </c>
      <c r="DI115">
        <f>SUM(DD115:DG115)</f>
        <v>4</v>
      </c>
      <c r="DJ115" t="str">
        <f>IF(DI115=1,INDEX($DD$7:$DG$7,MATCH(1,$DD115:$DG115,0)),"mixedProduct")</f>
        <v>mixedProduct</v>
      </c>
      <c r="DK115" t="str">
        <f>IF(DD115=1,DK$7,0)</f>
        <v>Upstream</v>
      </c>
      <c r="DL115" t="str">
        <f>IF(DE115=1,DL$7,0)</f>
        <v>Energy</v>
      </c>
      <c r="DM115" t="str">
        <f>IF(DF115=1,DM$7,0)</f>
        <v>Pulp/Paper</v>
      </c>
      <c r="DN115" t="str">
        <f>IF(DG115=1,DN$7,0)</f>
        <v>Timber</v>
      </c>
      <c r="DO115">
        <v>0</v>
      </c>
      <c r="DP115">
        <v>1</v>
      </c>
      <c r="DQ115" t="s">
        <v>2526</v>
      </c>
      <c r="DR115" t="s">
        <v>2527</v>
      </c>
      <c r="DS115">
        <v>0</v>
      </c>
      <c r="DT115">
        <f>SUM(DO115:DP115)</f>
        <v>1</v>
      </c>
      <c r="DU115" s="143" t="str">
        <f>IF(DO115=1,"self-calculated DF",IF(DP115=1,"external DF used","explicit C balance"))</f>
        <v>external DF used</v>
      </c>
      <c r="DV115">
        <v>1</v>
      </c>
      <c r="DW115">
        <v>1</v>
      </c>
      <c r="DX115">
        <v>1</v>
      </c>
      <c r="DY115">
        <v>1</v>
      </c>
      <c r="DZ115">
        <v>0</v>
      </c>
      <c r="EA115" s="143">
        <v>0</v>
      </c>
      <c r="EB115">
        <v>1</v>
      </c>
      <c r="EC115">
        <v>1</v>
      </c>
      <c r="ED115">
        <v>0</v>
      </c>
      <c r="EE115">
        <v>0</v>
      </c>
      <c r="EF115">
        <v>1</v>
      </c>
      <c r="EG115">
        <v>0</v>
      </c>
      <c r="EH115">
        <v>0</v>
      </c>
      <c r="EI115" s="2">
        <v>0</v>
      </c>
      <c r="EJ115" s="1"/>
      <c r="EK115" t="str">
        <f>IF(AND(AND(AND(OR($DX115=1,$DW115=1),OR($EC115=1,$EA115=1)),SUM($DV115:$DZ115,$EF115)&gt;=4),SUM($EA115:$EE115)&gt;=2),"Whole sector","")</f>
        <v>Whole sector</v>
      </c>
      <c r="EL115" t="str">
        <f>IF(AND(AND(OR($DX115=1,$DW115=1),AND($EC115=0,$EA115=0)),SUM($DV115:$DZ115,$EF115)&gt;=4),"Ecosystem approach","")</f>
        <v/>
      </c>
      <c r="EM115" s="2" t="str">
        <f>IF(AND(AND(AND($DX115=0,$DW115=0),OR($EC115=1,$EA115=1)),SUM($EB115:$EE115)&gt;=2),"Technology approach","")</f>
        <v/>
      </c>
      <c r="EN115"/>
      <c r="EO115"/>
      <c r="EP115" t="b">
        <f>IF(ISNUMBER(BU115),IF(ABS(BU115-[2]QC_indicators!$B$2)&gt;3*[2]QC_indicators!$C$2,"C ratio",IF(ISNUMBER(BY115),IF(ABS(BY115-[2]QC_indicators!$B$1)&gt;3*[2]QC_indicators!$C$1,"DF","no"))),IF(ISNUMBER(BY115),IF(ABS(BY115-[2]QC_indicators!$B$1)&gt;3*[2]QC_indicators!$C$1,"DF","no")))</f>
        <v>0</v>
      </c>
      <c r="EQ115"/>
      <c r="ER115"/>
      <c r="ES115"/>
      <c r="ET115" s="266" t="s">
        <v>3275</v>
      </c>
      <c r="EU115"/>
    </row>
    <row r="116" spans="1:151" s="139" customFormat="1" ht="15" hidden="1" customHeight="1">
      <c r="A116" s="1" t="s">
        <v>1425</v>
      </c>
      <c r="B116" t="s">
        <v>2492</v>
      </c>
      <c r="C116" t="s">
        <v>2493</v>
      </c>
      <c r="D116" t="s">
        <v>2494</v>
      </c>
      <c r="E116" t="s">
        <v>2495</v>
      </c>
      <c r="F116" t="s">
        <v>2496</v>
      </c>
      <c r="G116" t="s">
        <v>1431</v>
      </c>
      <c r="H116" t="s">
        <v>255</v>
      </c>
      <c r="I116">
        <v>2016</v>
      </c>
      <c r="J116">
        <v>24</v>
      </c>
      <c r="K116" t="s">
        <v>2497</v>
      </c>
      <c r="L116"/>
      <c r="M116" t="str">
        <f>LEFT($D116,FIND(",",$D116)-1)&amp;"_"&amp;I116&amp;L116</f>
        <v>Zubizarreta-Gerendiain_2016</v>
      </c>
      <c r="N116" t="s">
        <v>223</v>
      </c>
      <c r="O116" s="145" t="s">
        <v>1156</v>
      </c>
      <c r="P116"/>
      <c r="Q116" t="s">
        <v>257</v>
      </c>
      <c r="R116" s="264" t="s">
        <v>224</v>
      </c>
      <c r="S116" s="1" t="s">
        <v>2498</v>
      </c>
      <c r="T116" t="s">
        <v>2515</v>
      </c>
      <c r="U116" t="s">
        <v>2513</v>
      </c>
      <c r="V116">
        <v>0</v>
      </c>
      <c r="W116">
        <v>0</v>
      </c>
      <c r="X116">
        <v>0</v>
      </c>
      <c r="Y116">
        <v>2</v>
      </c>
      <c r="Z116">
        <v>0</v>
      </c>
      <c r="AA116">
        <v>0</v>
      </c>
      <c r="AB116">
        <v>0</v>
      </c>
      <c r="AC116">
        <v>0</v>
      </c>
      <c r="AD116">
        <v>0</v>
      </c>
      <c r="AE116">
        <v>0</v>
      </c>
      <c r="AF116">
        <v>1</v>
      </c>
      <c r="AG116">
        <v>0</v>
      </c>
      <c r="AH116">
        <v>0</v>
      </c>
      <c r="AI116">
        <v>0</v>
      </c>
      <c r="AJ116">
        <v>0</v>
      </c>
      <c r="AK116">
        <v>0</v>
      </c>
      <c r="AL116">
        <v>0</v>
      </c>
      <c r="AM116">
        <v>0</v>
      </c>
      <c r="AN116">
        <v>2</v>
      </c>
      <c r="AO116">
        <v>2</v>
      </c>
      <c r="AP116">
        <v>0</v>
      </c>
      <c r="AQ116">
        <v>0</v>
      </c>
      <c r="AR116">
        <v>0</v>
      </c>
      <c r="AS116">
        <v>0</v>
      </c>
      <c r="AT116">
        <v>0</v>
      </c>
      <c r="AU116">
        <v>0</v>
      </c>
      <c r="AV116">
        <v>0</v>
      </c>
      <c r="AW116">
        <v>0</v>
      </c>
      <c r="AX116" s="141">
        <f>COUNTIF(V116:AW116,"&lt;&gt;0")</f>
        <v>4</v>
      </c>
      <c r="AY116" s="141">
        <f>COUNTIF(V116:AL116,"&lt;&gt;0")</f>
        <v>2</v>
      </c>
      <c r="AZ116">
        <f>COUNTIF(V116:AC116,"&lt;&gt;0")</f>
        <v>1</v>
      </c>
      <c r="BA116">
        <f>COUNTIF(AD116:AI116,"&lt;&gt;0")</f>
        <v>1</v>
      </c>
      <c r="BB116">
        <f>COUNTIF(AJ116:AL116,"&lt;&gt;0")</f>
        <v>0</v>
      </c>
      <c r="BC116">
        <f>COUNTIF(AS116:AW116,"&lt;&gt;0")</f>
        <v>0</v>
      </c>
      <c r="BD116">
        <f>COUNTIF(AM116:AR116,"&lt;&gt;0")</f>
        <v>2</v>
      </c>
      <c r="BE116" t="str">
        <f t="array" ref="BE116">IF(AY116=1,INDEX($V$7:$AL$7,MATCH(TRUE,INDEX($V116:$AW116&lt;&gt;0,),0)),IF(AY116=0,INDEX($AM$7:$AW$7,MATCH(1,$AM116:$AW116,0)),IF(BF116="Multiple strategies","mixed drivers",IF(BF116="Supply chain","multiple supply","multiple silviculture"))))</f>
        <v>mixed drivers</v>
      </c>
      <c r="BF116" s="2" t="str">
        <f t="array" ref="BF116">IF(COUNTIF(AZ116:BB116,"&lt;&gt;0")=1,INDEX($V$4:$AW$4,MATCH(TRUE,INDEX($V116:$AW116&lt;&gt;0,),0)),IF(COUNTIF(AZ116:BB116,"&lt;&gt;0")=0,INDEX($AM$4:$AW$4,MATCH(1,$AM116:$AW116,0)),"Multiple strategies"))</f>
        <v>Multiple strategies</v>
      </c>
      <c r="BG116" s="1"/>
      <c r="BH116"/>
      <c r="BI116"/>
      <c r="BJ116"/>
      <c r="BK116"/>
      <c r="BL116"/>
      <c r="BM116" s="143"/>
      <c r="BN116" s="143"/>
      <c r="BO116"/>
      <c r="BP116" s="143" t="s">
        <v>233</v>
      </c>
      <c r="BQ116" s="143"/>
      <c r="BR116" t="s">
        <v>1197</v>
      </c>
      <c r="BS116">
        <v>-4411.0351437700365</v>
      </c>
      <c r="BT116">
        <v>-70376.060702875271</v>
      </c>
      <c r="BU116" s="144">
        <f>IFERROR(BT116/BS116,"")</f>
        <v>15.954545454545178</v>
      </c>
      <c r="BV116" s="144">
        <f>BT116-BS116</f>
        <v>-65965.025559105241</v>
      </c>
      <c r="BW116" s="144"/>
      <c r="BX116" s="144">
        <f>BV116</f>
        <v>-65965.025559105241</v>
      </c>
      <c r="BY116" t="str">
        <f>IFERROR(BX116/BO116,"")</f>
        <v/>
      </c>
      <c r="BZ116">
        <v>0</v>
      </c>
      <c r="CA116">
        <v>0</v>
      </c>
      <c r="CB116">
        <v>0</v>
      </c>
      <c r="CC116">
        <v>0</v>
      </c>
      <c r="CD116">
        <v>0</v>
      </c>
      <c r="CE116">
        <v>0</v>
      </c>
      <c r="CF116">
        <v>0</v>
      </c>
      <c r="CG116">
        <v>0</v>
      </c>
      <c r="CH116">
        <v>0</v>
      </c>
      <c r="CI116">
        <v>0</v>
      </c>
      <c r="CJ116">
        <v>0</v>
      </c>
      <c r="CK116">
        <v>0</v>
      </c>
      <c r="CL116">
        <v>0</v>
      </c>
      <c r="CM116">
        <v>1</v>
      </c>
      <c r="CN116" t="str">
        <f>IF(BL116&lt;BK116,"refNeedCorrection","refOK")</f>
        <v>refOK</v>
      </c>
      <c r="CO116"/>
      <c r="CP116"/>
      <c r="CQ116"/>
      <c r="CR116">
        <f>IF($CN116="refOK",$BS116,$BT116)*IF($BP116="Emissions positive",-1,1)</f>
        <v>-4411.0351437700365</v>
      </c>
      <c r="CS116">
        <f>IF($CN116="refOK",$BT116,$BS116)*IF($BP116="Emissions positive",-1,1)</f>
        <v>-70376.060702875271</v>
      </c>
      <c r="CT116">
        <f>IF($CN116="refNeedCorrection",-BX116,BX116)*IF($BP116="Emissions positive",-1,1)</f>
        <v>-65965.025559105241</v>
      </c>
      <c r="CU116" t="str">
        <f>IFERROR(CT116/CQ116,"")</f>
        <v/>
      </c>
      <c r="CV116" s="2">
        <f>IFERROR((CS116-CR116)/ABS(CR116),"")</f>
        <v>-14.95454545454518</v>
      </c>
      <c r="CW116" s="1" t="s">
        <v>1201</v>
      </c>
      <c r="CX116" t="str">
        <f>IF(OR($CW116="prd",$CW116="std",$CW116="cit"),"loc",IF(OR($CW116="eur",$CW116="reg",$CW116="coy"),"reg",$CW116))</f>
        <v>reg</v>
      </c>
      <c r="CY116" t="s">
        <v>236</v>
      </c>
      <c r="CZ116">
        <v>2010</v>
      </c>
      <c r="DA116">
        <v>2070</v>
      </c>
      <c r="DB116">
        <f>DA116-CZ116</f>
        <v>60</v>
      </c>
      <c r="DC116" t="str">
        <f>IF(DB116=0,"0",IF(AND(DB116&gt;=1,DB116&lt;=30),"1-30",IF(AND(DB116&gt;30,DB116&lt;=70),"31-70",IF(AND(DB116&gt;70,DB116&lt;=100),"71-100",IF(DB116&gt;100,"+100")))))</f>
        <v>31-70</v>
      </c>
      <c r="DD116">
        <v>1</v>
      </c>
      <c r="DE116">
        <v>1</v>
      </c>
      <c r="DF116">
        <v>1</v>
      </c>
      <c r="DG116">
        <v>1</v>
      </c>
      <c r="DH116">
        <v>0</v>
      </c>
      <c r="DI116">
        <f>SUM(DD116:DG116)</f>
        <v>4</v>
      </c>
      <c r="DJ116" t="str">
        <f>IF(DI116=1,INDEX($DD$7:$DG$7,MATCH(1,$DD116:$DG116,0)),"mixedProduct")</f>
        <v>mixedProduct</v>
      </c>
      <c r="DK116" t="str">
        <f>IF(DD116=1,DK$7,0)</f>
        <v>Upstream</v>
      </c>
      <c r="DL116" t="str">
        <f>IF(DE116=1,DL$7,0)</f>
        <v>Energy</v>
      </c>
      <c r="DM116" t="str">
        <f>IF(DF116=1,DM$7,0)</f>
        <v>Pulp/Paper</v>
      </c>
      <c r="DN116" t="str">
        <f>IF(DG116=1,DN$7,0)</f>
        <v>Timber</v>
      </c>
      <c r="DO116">
        <v>0</v>
      </c>
      <c r="DP116">
        <v>0</v>
      </c>
      <c r="DQ116">
        <v>0</v>
      </c>
      <c r="DR116">
        <v>0</v>
      </c>
      <c r="DS116">
        <v>0</v>
      </c>
      <c r="DT116">
        <f>SUM(DO116:DP116)</f>
        <v>0</v>
      </c>
      <c r="DU116" s="143" t="str">
        <f>IF(DO116=1,"self-calculated DF",IF(DP116=1,"external DF used","explicit C balance"))</f>
        <v>explicit C balance</v>
      </c>
      <c r="DV116">
        <v>1</v>
      </c>
      <c r="DW116">
        <v>1</v>
      </c>
      <c r="DX116">
        <v>1</v>
      </c>
      <c r="DY116">
        <v>0</v>
      </c>
      <c r="DZ116">
        <v>0</v>
      </c>
      <c r="EA116" s="143">
        <v>0</v>
      </c>
      <c r="EB116">
        <v>1</v>
      </c>
      <c r="EC116">
        <v>1</v>
      </c>
      <c r="ED116">
        <v>0</v>
      </c>
      <c r="EE116">
        <v>0</v>
      </c>
      <c r="EF116">
        <v>1</v>
      </c>
      <c r="EG116">
        <v>0</v>
      </c>
      <c r="EH116">
        <v>0</v>
      </c>
      <c r="EI116" s="2">
        <v>0</v>
      </c>
      <c r="EJ116" s="1"/>
      <c r="EK116" t="str">
        <f>IF(AND(AND(AND(OR($DX116=1,$DW116=1),OR($EC116=1,$EA116=1)),SUM($DV116:$DZ116,$EF116)&gt;=4),SUM($EA116:$EE116)&gt;=2),"Whole sector","")</f>
        <v>Whole sector</v>
      </c>
      <c r="EL116" t="str">
        <f>IF(AND(AND(OR($DX116=1,$DW116=1),AND($EC116=0,$EA116=0)),SUM($DV116:$DZ116,$EF116)&gt;=4),"Ecosystem approach","")</f>
        <v/>
      </c>
      <c r="EM116" s="2" t="str">
        <f>IF(AND(AND(AND($DX116=0,$DW116=0),OR($EC116=1,$EA116=1)),SUM($EB116:$EE116)&gt;=2),"Technology approach","")</f>
        <v/>
      </c>
      <c r="EN116"/>
      <c r="EO116"/>
      <c r="EP116" t="str">
        <f>IF(ISNUMBER(BU116),IF(ABS(BU116-[2]QC_indicators!$B$2)&gt;3*[2]QC_indicators!$C$2,"C ratio",IF(ISNUMBER(BY116),IF(ABS(BY116-[2]QC_indicators!$B$1)&gt;3*[2]QC_indicators!$C$1,"DF","no"))),IF(ISNUMBER(BY116),IF(ABS(BY116-[2]QC_indicators!$B$1)&gt;3*[2]QC_indicators!$C$1,"DF","no")))</f>
        <v>C ratio</v>
      </c>
      <c r="EQ116" t="s">
        <v>2503</v>
      </c>
      <c r="ER116"/>
      <c r="ES116"/>
      <c r="ET116" s="266" t="s">
        <v>3275</v>
      </c>
      <c r="EU116"/>
    </row>
    <row r="117" spans="1:151" s="139" customFormat="1" ht="15" hidden="1" customHeight="1">
      <c r="A117" s="1" t="s">
        <v>1425</v>
      </c>
      <c r="B117" t="s">
        <v>2492</v>
      </c>
      <c r="C117" t="s">
        <v>2493</v>
      </c>
      <c r="D117" t="s">
        <v>2494</v>
      </c>
      <c r="E117" t="s">
        <v>2495</v>
      </c>
      <c r="F117" t="s">
        <v>2496</v>
      </c>
      <c r="G117" t="s">
        <v>1431</v>
      </c>
      <c r="H117" t="s">
        <v>255</v>
      </c>
      <c r="I117">
        <v>2016</v>
      </c>
      <c r="J117">
        <v>24</v>
      </c>
      <c r="K117" t="s">
        <v>2497</v>
      </c>
      <c r="L117"/>
      <c r="M117" t="str">
        <f>LEFT($D117,FIND(",",$D117)-1)&amp;"_"&amp;I117&amp;L117</f>
        <v>Zubizarreta-Gerendiain_2016</v>
      </c>
      <c r="N117" t="s">
        <v>223</v>
      </c>
      <c r="O117" s="145" t="s">
        <v>1156</v>
      </c>
      <c r="P117"/>
      <c r="Q117" t="s">
        <v>257</v>
      </c>
      <c r="R117" s="264" t="s">
        <v>224</v>
      </c>
      <c r="S117" s="1" t="s">
        <v>2498</v>
      </c>
      <c r="T117" t="s">
        <v>2518</v>
      </c>
      <c r="U117" t="s">
        <v>2517</v>
      </c>
      <c r="V117">
        <v>0</v>
      </c>
      <c r="W117">
        <v>0</v>
      </c>
      <c r="X117">
        <v>0</v>
      </c>
      <c r="Y117">
        <v>2</v>
      </c>
      <c r="Z117">
        <v>0</v>
      </c>
      <c r="AA117">
        <v>0</v>
      </c>
      <c r="AB117">
        <v>0</v>
      </c>
      <c r="AC117">
        <v>0</v>
      </c>
      <c r="AD117">
        <v>0</v>
      </c>
      <c r="AE117">
        <v>0</v>
      </c>
      <c r="AF117">
        <v>1</v>
      </c>
      <c r="AG117">
        <v>0</v>
      </c>
      <c r="AH117">
        <v>0</v>
      </c>
      <c r="AI117">
        <v>0</v>
      </c>
      <c r="AJ117">
        <v>0</v>
      </c>
      <c r="AK117">
        <v>0</v>
      </c>
      <c r="AL117">
        <v>0</v>
      </c>
      <c r="AM117">
        <v>0</v>
      </c>
      <c r="AN117">
        <v>2</v>
      </c>
      <c r="AO117">
        <v>2</v>
      </c>
      <c r="AP117">
        <v>0</v>
      </c>
      <c r="AQ117">
        <v>0</v>
      </c>
      <c r="AR117">
        <v>0</v>
      </c>
      <c r="AS117">
        <v>0</v>
      </c>
      <c r="AT117">
        <v>0</v>
      </c>
      <c r="AU117">
        <v>0</v>
      </c>
      <c r="AV117">
        <v>0</v>
      </c>
      <c r="AW117">
        <v>0</v>
      </c>
      <c r="AX117" s="141">
        <f>COUNTIF(V117:AW117,"&lt;&gt;0")</f>
        <v>4</v>
      </c>
      <c r="AY117" s="141">
        <f>COUNTIF(V117:AL117,"&lt;&gt;0")</f>
        <v>2</v>
      </c>
      <c r="AZ117">
        <f>COUNTIF(V117:AC117,"&lt;&gt;0")</f>
        <v>1</v>
      </c>
      <c r="BA117">
        <f>COUNTIF(AD117:AI117,"&lt;&gt;0")</f>
        <v>1</v>
      </c>
      <c r="BB117">
        <f>COUNTIF(AJ117:AL117,"&lt;&gt;0")</f>
        <v>0</v>
      </c>
      <c r="BC117">
        <f>COUNTIF(AS117:AW117,"&lt;&gt;0")</f>
        <v>0</v>
      </c>
      <c r="BD117">
        <f>COUNTIF(AM117:AR117,"&lt;&gt;0")</f>
        <v>2</v>
      </c>
      <c r="BE117" t="str">
        <f t="array" ref="BE117">IF(AY117=1,INDEX($V$7:$AL$7,MATCH(TRUE,INDEX($V117:$AW117&lt;&gt;0,),0)),IF(AY117=0,INDEX($AM$7:$AW$7,MATCH(1,$AM117:$AW117,0)),IF(BF117="Multiple strategies","mixed drivers",IF(BF117="Supply chain","multiple supply","multiple silviculture"))))</f>
        <v>mixed drivers</v>
      </c>
      <c r="BF117" s="2" t="str">
        <f t="array" ref="BF117">IF(COUNTIF(AZ117:BB117,"&lt;&gt;0")=1,INDEX($V$4:$AW$4,MATCH(TRUE,INDEX($V117:$AW117&lt;&gt;0,),0)),IF(COUNTIF(AZ117:BB117,"&lt;&gt;0")=0,INDEX($AM$4:$AW$4,MATCH(1,$AM117:$AW117,0)),"Multiple strategies"))</f>
        <v>Multiple strategies</v>
      </c>
      <c r="BG117" s="1"/>
      <c r="BH117"/>
      <c r="BI117"/>
      <c r="BJ117"/>
      <c r="BK117"/>
      <c r="BL117"/>
      <c r="BM117" s="143"/>
      <c r="BN117" s="143"/>
      <c r="BO117"/>
      <c r="BP117" s="143" t="s">
        <v>233</v>
      </c>
      <c r="BQ117" s="143"/>
      <c r="BR117" t="s">
        <v>1197</v>
      </c>
      <c r="BS117">
        <v>83545.110167597581</v>
      </c>
      <c r="BT117">
        <v>-14015.791508379843</v>
      </c>
      <c r="BU117" s="144">
        <f>IFERROR(BT117/BS117,"")</f>
        <v>-0.16776315789473667</v>
      </c>
      <c r="BV117" s="144">
        <f>BT117-BS117</f>
        <v>-97560.901675977424</v>
      </c>
      <c r="BW117" s="144"/>
      <c r="BX117" s="144">
        <f>BV117</f>
        <v>-97560.901675977424</v>
      </c>
      <c r="BY117" t="str">
        <f>IFERROR(BX117/BO117,"")</f>
        <v/>
      </c>
      <c r="BZ117">
        <v>0</v>
      </c>
      <c r="CA117">
        <v>0</v>
      </c>
      <c r="CB117">
        <v>0</v>
      </c>
      <c r="CC117">
        <v>0</v>
      </c>
      <c r="CD117">
        <v>0</v>
      </c>
      <c r="CE117">
        <v>0</v>
      </c>
      <c r="CF117">
        <v>0</v>
      </c>
      <c r="CG117">
        <v>0</v>
      </c>
      <c r="CH117">
        <v>0</v>
      </c>
      <c r="CI117">
        <v>0</v>
      </c>
      <c r="CJ117">
        <v>0</v>
      </c>
      <c r="CK117">
        <v>0</v>
      </c>
      <c r="CL117">
        <v>0</v>
      </c>
      <c r="CM117">
        <v>1</v>
      </c>
      <c r="CN117" t="str">
        <f>IF(BL117&lt;BK117,"refNeedCorrection","refOK")</f>
        <v>refOK</v>
      </c>
      <c r="CO117"/>
      <c r="CP117"/>
      <c r="CQ117"/>
      <c r="CR117">
        <f>IF($CN117="refOK",$BS117,$BT117)*IF($BP117="Emissions positive",-1,1)</f>
        <v>83545.110167597581</v>
      </c>
      <c r="CS117">
        <f>IF($CN117="refOK",$BT117,$BS117)*IF($BP117="Emissions positive",-1,1)</f>
        <v>-14015.791508379843</v>
      </c>
      <c r="CT117">
        <f>IF($CN117="refNeedCorrection",-BX117,BX117)*IF($BP117="Emissions positive",-1,1)</f>
        <v>-97560.901675977424</v>
      </c>
      <c r="CU117" t="str">
        <f>IFERROR(CT117/CQ117,"")</f>
        <v/>
      </c>
      <c r="CV117" s="2">
        <f>IFERROR((CS117-CR117)/ABS(CR117),"")</f>
        <v>-1.1677631578947367</v>
      </c>
      <c r="CW117" s="1" t="s">
        <v>1201</v>
      </c>
      <c r="CX117" t="str">
        <f>IF(OR($CW117="prd",$CW117="std",$CW117="cit"),"loc",IF(OR($CW117="eur",$CW117="reg",$CW117="coy"),"reg",$CW117))</f>
        <v>reg</v>
      </c>
      <c r="CY117" t="s">
        <v>236</v>
      </c>
      <c r="CZ117">
        <v>2010</v>
      </c>
      <c r="DA117">
        <v>2070</v>
      </c>
      <c r="DB117">
        <f>DA117-CZ117</f>
        <v>60</v>
      </c>
      <c r="DC117" t="str">
        <f>IF(DB117=0,"0",IF(AND(DB117&gt;=1,DB117&lt;=30),"1-30",IF(AND(DB117&gt;30,DB117&lt;=70),"31-70",IF(AND(DB117&gt;70,DB117&lt;=100),"71-100",IF(DB117&gt;100,"+100")))))</f>
        <v>31-70</v>
      </c>
      <c r="DD117">
        <v>1</v>
      </c>
      <c r="DE117">
        <v>1</v>
      </c>
      <c r="DF117">
        <v>1</v>
      </c>
      <c r="DG117">
        <v>1</v>
      </c>
      <c r="DH117">
        <v>0</v>
      </c>
      <c r="DI117">
        <f>SUM(DD117:DG117)</f>
        <v>4</v>
      </c>
      <c r="DJ117" t="str">
        <f>IF(DI117=1,INDEX($DD$7:$DG$7,MATCH(1,$DD117:$DG117,0)),"mixedProduct")</f>
        <v>mixedProduct</v>
      </c>
      <c r="DK117" t="str">
        <f>IF(DD117=1,DK$7,0)</f>
        <v>Upstream</v>
      </c>
      <c r="DL117" t="str">
        <f>IF(DE117=1,DL$7,0)</f>
        <v>Energy</v>
      </c>
      <c r="DM117" t="str">
        <f>IF(DF117=1,DM$7,0)</f>
        <v>Pulp/Paper</v>
      </c>
      <c r="DN117" t="str">
        <f>IF(DG117=1,DN$7,0)</f>
        <v>Timber</v>
      </c>
      <c r="DO117">
        <v>0</v>
      </c>
      <c r="DP117">
        <v>1</v>
      </c>
      <c r="DQ117" t="s">
        <v>2526</v>
      </c>
      <c r="DR117" t="s">
        <v>2527</v>
      </c>
      <c r="DS117">
        <v>0</v>
      </c>
      <c r="DT117">
        <f>SUM(DO117:DP117)</f>
        <v>1</v>
      </c>
      <c r="DU117" s="143" t="str">
        <f>IF(DO117=1,"self-calculated DF",IF(DP117=1,"external DF used","explicit C balance"))</f>
        <v>external DF used</v>
      </c>
      <c r="DV117">
        <v>1</v>
      </c>
      <c r="DW117">
        <v>1</v>
      </c>
      <c r="DX117">
        <v>1</v>
      </c>
      <c r="DY117">
        <v>1</v>
      </c>
      <c r="DZ117">
        <v>0</v>
      </c>
      <c r="EA117" s="143">
        <v>0</v>
      </c>
      <c r="EB117">
        <v>1</v>
      </c>
      <c r="EC117">
        <v>1</v>
      </c>
      <c r="ED117">
        <v>0</v>
      </c>
      <c r="EE117">
        <v>0</v>
      </c>
      <c r="EF117">
        <v>1</v>
      </c>
      <c r="EG117">
        <v>0</v>
      </c>
      <c r="EH117">
        <v>0</v>
      </c>
      <c r="EI117" s="2">
        <v>0</v>
      </c>
      <c r="EJ117" s="1"/>
      <c r="EK117" t="str">
        <f>IF(AND(AND(AND(OR($DX117=1,$DW117=1),OR($EC117=1,$EA117=1)),SUM($DV117:$DZ117,$EF117)&gt;=4),SUM($EA117:$EE117)&gt;=2),"Whole sector","")</f>
        <v>Whole sector</v>
      </c>
      <c r="EL117" t="str">
        <f>IF(AND(AND(OR($DX117=1,$DW117=1),AND($EC117=0,$EA117=0)),SUM($DV117:$DZ117,$EF117)&gt;=4),"Ecosystem approach","")</f>
        <v/>
      </c>
      <c r="EM117" s="2" t="str">
        <f>IF(AND(AND(AND($DX117=0,$DW117=0),OR($EC117=1,$EA117=1)),SUM($EB117:$EE117)&gt;=2),"Technology approach","")</f>
        <v/>
      </c>
      <c r="EN117"/>
      <c r="EO117"/>
      <c r="EP117" t="b">
        <f>IF(ISNUMBER(BU117),IF(ABS(BU117-[2]QC_indicators!$B$2)&gt;3*[2]QC_indicators!$C$2,"C ratio",IF(ISNUMBER(BY117),IF(ABS(BY117-[2]QC_indicators!$B$1)&gt;3*[2]QC_indicators!$C$1,"DF","no"))),IF(ISNUMBER(BY117),IF(ABS(BY117-[2]QC_indicators!$B$1)&gt;3*[2]QC_indicators!$C$1,"DF","no")))</f>
        <v>0</v>
      </c>
      <c r="EQ117"/>
      <c r="ER117"/>
      <c r="ES117"/>
      <c r="ET117" s="266" t="s">
        <v>3275</v>
      </c>
      <c r="EU117"/>
    </row>
    <row r="118" spans="1:151" s="139" customFormat="1" ht="15" hidden="1" customHeight="1">
      <c r="A118" s="1" t="s">
        <v>1425</v>
      </c>
      <c r="B118" t="s">
        <v>2492</v>
      </c>
      <c r="C118" t="s">
        <v>2493</v>
      </c>
      <c r="D118" t="s">
        <v>2494</v>
      </c>
      <c r="E118" t="s">
        <v>2495</v>
      </c>
      <c r="F118" t="s">
        <v>2496</v>
      </c>
      <c r="G118" t="s">
        <v>1431</v>
      </c>
      <c r="H118" t="s">
        <v>255</v>
      </c>
      <c r="I118">
        <v>2016</v>
      </c>
      <c r="J118">
        <v>24</v>
      </c>
      <c r="K118" t="s">
        <v>2497</v>
      </c>
      <c r="L118"/>
      <c r="M118" t="str">
        <f>LEFT($D118,FIND(",",$D118)-1)&amp;"_"&amp;I118&amp;L118</f>
        <v>Zubizarreta-Gerendiain_2016</v>
      </c>
      <c r="N118" t="s">
        <v>223</v>
      </c>
      <c r="O118" s="145" t="s">
        <v>1156</v>
      </c>
      <c r="P118"/>
      <c r="Q118" t="s">
        <v>257</v>
      </c>
      <c r="R118" s="264" t="s">
        <v>224</v>
      </c>
      <c r="S118" s="1" t="s">
        <v>2498</v>
      </c>
      <c r="T118" t="s">
        <v>2518</v>
      </c>
      <c r="U118" t="s">
        <v>2517</v>
      </c>
      <c r="V118">
        <v>0</v>
      </c>
      <c r="W118">
        <v>0</v>
      </c>
      <c r="X118">
        <v>0</v>
      </c>
      <c r="Y118">
        <v>2</v>
      </c>
      <c r="Z118">
        <v>0</v>
      </c>
      <c r="AA118">
        <v>0</v>
      </c>
      <c r="AB118">
        <v>0</v>
      </c>
      <c r="AC118">
        <v>0</v>
      </c>
      <c r="AD118">
        <v>0</v>
      </c>
      <c r="AE118">
        <v>0</v>
      </c>
      <c r="AF118">
        <v>1</v>
      </c>
      <c r="AG118">
        <v>0</v>
      </c>
      <c r="AH118">
        <v>0</v>
      </c>
      <c r="AI118">
        <v>0</v>
      </c>
      <c r="AJ118">
        <v>0</v>
      </c>
      <c r="AK118">
        <v>0</v>
      </c>
      <c r="AL118">
        <v>0</v>
      </c>
      <c r="AM118">
        <v>0</v>
      </c>
      <c r="AN118">
        <v>2</v>
      </c>
      <c r="AO118">
        <v>2</v>
      </c>
      <c r="AP118">
        <v>0</v>
      </c>
      <c r="AQ118">
        <v>0</v>
      </c>
      <c r="AR118">
        <v>0</v>
      </c>
      <c r="AS118">
        <v>0</v>
      </c>
      <c r="AT118">
        <v>0</v>
      </c>
      <c r="AU118">
        <v>0</v>
      </c>
      <c r="AV118">
        <v>0</v>
      </c>
      <c r="AW118">
        <v>0</v>
      </c>
      <c r="AX118" s="141">
        <f>COUNTIF(V118:AW118,"&lt;&gt;0")</f>
        <v>4</v>
      </c>
      <c r="AY118" s="141">
        <f>COUNTIF(V118:AL118,"&lt;&gt;0")</f>
        <v>2</v>
      </c>
      <c r="AZ118">
        <f>COUNTIF(V118:AC118,"&lt;&gt;0")</f>
        <v>1</v>
      </c>
      <c r="BA118">
        <f>COUNTIF(AD118:AI118,"&lt;&gt;0")</f>
        <v>1</v>
      </c>
      <c r="BB118">
        <f>COUNTIF(AJ118:AL118,"&lt;&gt;0")</f>
        <v>0</v>
      </c>
      <c r="BC118">
        <f>COUNTIF(AS118:AW118,"&lt;&gt;0")</f>
        <v>0</v>
      </c>
      <c r="BD118">
        <f>COUNTIF(AM118:AR118,"&lt;&gt;0")</f>
        <v>2</v>
      </c>
      <c r="BE118" t="str">
        <f t="array" ref="BE118">IF(AY118=1,INDEX($V$7:$AL$7,MATCH(TRUE,INDEX($V118:$AW118&lt;&gt;0,),0)),IF(AY118=0,INDEX($AM$7:$AW$7,MATCH(1,$AM118:$AW118,0)),IF(BF118="Multiple strategies","mixed drivers",IF(BF118="Supply chain","multiple supply","multiple silviculture"))))</f>
        <v>mixed drivers</v>
      </c>
      <c r="BF118" s="2" t="str">
        <f t="array" ref="BF118">IF(COUNTIF(AZ118:BB118,"&lt;&gt;0")=1,INDEX($V$4:$AW$4,MATCH(TRUE,INDEX($V118:$AW118&lt;&gt;0,),0)),IF(COUNTIF(AZ118:BB118,"&lt;&gt;0")=0,INDEX($AM$4:$AW$4,MATCH(1,$AM118:$AW118,0)),"Multiple strategies"))</f>
        <v>Multiple strategies</v>
      </c>
      <c r="BG118" s="1"/>
      <c r="BH118"/>
      <c r="BI118"/>
      <c r="BJ118"/>
      <c r="BK118"/>
      <c r="BL118"/>
      <c r="BM118" s="143"/>
      <c r="BN118" s="143"/>
      <c r="BO118"/>
      <c r="BP118" s="143" t="s">
        <v>233</v>
      </c>
      <c r="BQ118" s="143"/>
      <c r="BR118" t="s">
        <v>1197</v>
      </c>
      <c r="BS118">
        <v>9893.4998882682703</v>
      </c>
      <c r="BT118">
        <v>-104293.97798882655</v>
      </c>
      <c r="BU118" s="144">
        <f>IFERROR(BT118/BS118,"")</f>
        <v>-10.541666666666519</v>
      </c>
      <c r="BV118" s="144">
        <f>BT118-BS118</f>
        <v>-114187.47787709482</v>
      </c>
      <c r="BW118" s="144"/>
      <c r="BX118" s="144">
        <f>BV118</f>
        <v>-114187.47787709482</v>
      </c>
      <c r="BY118" t="str">
        <f>IFERROR(BX118/BO118,"")</f>
        <v/>
      </c>
      <c r="BZ118">
        <v>0</v>
      </c>
      <c r="CA118">
        <v>0</v>
      </c>
      <c r="CB118">
        <v>0</v>
      </c>
      <c r="CC118">
        <v>0</v>
      </c>
      <c r="CD118">
        <v>0</v>
      </c>
      <c r="CE118">
        <v>0</v>
      </c>
      <c r="CF118">
        <v>0</v>
      </c>
      <c r="CG118">
        <v>0</v>
      </c>
      <c r="CH118">
        <v>0</v>
      </c>
      <c r="CI118">
        <v>0</v>
      </c>
      <c r="CJ118">
        <v>0</v>
      </c>
      <c r="CK118">
        <v>0</v>
      </c>
      <c r="CL118">
        <v>0</v>
      </c>
      <c r="CM118">
        <v>1</v>
      </c>
      <c r="CN118" t="str">
        <f>IF(BL118&lt;BK118,"refNeedCorrection","refOK")</f>
        <v>refOK</v>
      </c>
      <c r="CO118"/>
      <c r="CP118"/>
      <c r="CQ118"/>
      <c r="CR118">
        <f>IF($CN118="refOK",$BS118,$BT118)*IF($BP118="Emissions positive",-1,1)</f>
        <v>9893.4998882682703</v>
      </c>
      <c r="CS118">
        <f>IF($CN118="refOK",$BT118,$BS118)*IF($BP118="Emissions positive",-1,1)</f>
        <v>-104293.97798882655</v>
      </c>
      <c r="CT118">
        <f>IF($CN118="refNeedCorrection",-BX118,BX118)*IF($BP118="Emissions positive",-1,1)</f>
        <v>-114187.47787709482</v>
      </c>
      <c r="CU118" t="str">
        <f>IFERROR(CT118/CQ118,"")</f>
        <v/>
      </c>
      <c r="CV118" s="2">
        <f>IFERROR((CS118-CR118)/ABS(CR118),"")</f>
        <v>-11.541666666666519</v>
      </c>
      <c r="CW118" s="1" t="s">
        <v>1201</v>
      </c>
      <c r="CX118" t="str">
        <f>IF(OR($CW118="prd",$CW118="std",$CW118="cit"),"loc",IF(OR($CW118="eur",$CW118="reg",$CW118="coy"),"reg",$CW118))</f>
        <v>reg</v>
      </c>
      <c r="CY118" t="s">
        <v>236</v>
      </c>
      <c r="CZ118">
        <v>2010</v>
      </c>
      <c r="DA118">
        <v>2070</v>
      </c>
      <c r="DB118">
        <f>DA118-CZ118</f>
        <v>60</v>
      </c>
      <c r="DC118" t="str">
        <f>IF(DB118=0,"0",IF(AND(DB118&gt;=1,DB118&lt;=30),"1-30",IF(AND(DB118&gt;30,DB118&lt;=70),"31-70",IF(AND(DB118&gt;70,DB118&lt;=100),"71-100",IF(DB118&gt;100,"+100")))))</f>
        <v>31-70</v>
      </c>
      <c r="DD118">
        <v>1</v>
      </c>
      <c r="DE118">
        <v>1</v>
      </c>
      <c r="DF118">
        <v>1</v>
      </c>
      <c r="DG118">
        <v>1</v>
      </c>
      <c r="DH118">
        <v>0</v>
      </c>
      <c r="DI118">
        <f>SUM(DD118:DG118)</f>
        <v>4</v>
      </c>
      <c r="DJ118" t="str">
        <f>IF(DI118=1,INDEX($DD$7:$DG$7,MATCH(1,$DD118:$DG118,0)),"mixedProduct")</f>
        <v>mixedProduct</v>
      </c>
      <c r="DK118" t="str">
        <f>IF(DD118=1,DK$7,0)</f>
        <v>Upstream</v>
      </c>
      <c r="DL118" t="str">
        <f>IF(DE118=1,DL$7,0)</f>
        <v>Energy</v>
      </c>
      <c r="DM118" t="str">
        <f>IF(DF118=1,DM$7,0)</f>
        <v>Pulp/Paper</v>
      </c>
      <c r="DN118" t="str">
        <f>IF(DG118=1,DN$7,0)</f>
        <v>Timber</v>
      </c>
      <c r="DO118">
        <v>0</v>
      </c>
      <c r="DP118">
        <v>0</v>
      </c>
      <c r="DQ118">
        <v>0</v>
      </c>
      <c r="DR118">
        <v>0</v>
      </c>
      <c r="DS118">
        <v>0</v>
      </c>
      <c r="DT118">
        <f>SUM(DO118:DP118)</f>
        <v>0</v>
      </c>
      <c r="DU118" s="143" t="str">
        <f>IF(DO118=1,"self-calculated DF",IF(DP118=1,"external DF used","explicit C balance"))</f>
        <v>explicit C balance</v>
      </c>
      <c r="DV118">
        <v>1</v>
      </c>
      <c r="DW118">
        <v>1</v>
      </c>
      <c r="DX118">
        <v>1</v>
      </c>
      <c r="DY118">
        <v>0</v>
      </c>
      <c r="DZ118">
        <v>0</v>
      </c>
      <c r="EA118" s="143">
        <v>0</v>
      </c>
      <c r="EB118">
        <v>1</v>
      </c>
      <c r="EC118">
        <v>1</v>
      </c>
      <c r="ED118">
        <v>0</v>
      </c>
      <c r="EE118">
        <v>0</v>
      </c>
      <c r="EF118">
        <v>1</v>
      </c>
      <c r="EG118">
        <v>0</v>
      </c>
      <c r="EH118">
        <v>0</v>
      </c>
      <c r="EI118" s="2">
        <v>0</v>
      </c>
      <c r="EJ118" s="1"/>
      <c r="EK118" t="str">
        <f>IF(AND(AND(AND(OR($DX118=1,$DW118=1),OR($EC118=1,$EA118=1)),SUM($DV118:$DZ118,$EF118)&gt;=4),SUM($EA118:$EE118)&gt;=2),"Whole sector","")</f>
        <v>Whole sector</v>
      </c>
      <c r="EL118" t="str">
        <f>IF(AND(AND(OR($DX118=1,$DW118=1),AND($EC118=0,$EA118=0)),SUM($DV118:$DZ118,$EF118)&gt;=4),"Ecosystem approach","")</f>
        <v/>
      </c>
      <c r="EM118" s="2" t="str">
        <f>IF(AND(AND(AND($DX118=0,$DW118=0),OR($EC118=1,$EA118=1)),SUM($EB118:$EE118)&gt;=2),"Technology approach","")</f>
        <v/>
      </c>
      <c r="EN118"/>
      <c r="EO118"/>
      <c r="EP118" t="str">
        <f>IF(ISNUMBER(BU118),IF(ABS(BU118-[2]QC_indicators!$B$2)&gt;3*[2]QC_indicators!$C$2,"C ratio",IF(ISNUMBER(BY118),IF(ABS(BY118-[2]QC_indicators!$B$1)&gt;3*[2]QC_indicators!$C$1,"DF","no"))),IF(ISNUMBER(BY118),IF(ABS(BY118-[2]QC_indicators!$B$1)&gt;3*[2]QC_indicators!$C$1,"DF","no")))</f>
        <v>C ratio</v>
      </c>
      <c r="EQ118" t="s">
        <v>2503</v>
      </c>
      <c r="ER118"/>
      <c r="ES118"/>
      <c r="ET118" s="266" t="s">
        <v>3275</v>
      </c>
      <c r="EU118"/>
    </row>
    <row r="119" spans="1:151" s="139" customFormat="1" ht="15" hidden="1" customHeight="1">
      <c r="A119" s="1" t="s">
        <v>1425</v>
      </c>
      <c r="B119" t="s">
        <v>2492</v>
      </c>
      <c r="C119" t="s">
        <v>2493</v>
      </c>
      <c r="D119" t="s">
        <v>2494</v>
      </c>
      <c r="E119" t="s">
        <v>2495</v>
      </c>
      <c r="F119" t="s">
        <v>2496</v>
      </c>
      <c r="G119" t="s">
        <v>1431</v>
      </c>
      <c r="H119" t="s">
        <v>255</v>
      </c>
      <c r="I119">
        <v>2016</v>
      </c>
      <c r="J119">
        <v>24</v>
      </c>
      <c r="K119" t="s">
        <v>2497</v>
      </c>
      <c r="L119"/>
      <c r="M119" t="str">
        <f>LEFT($D119,FIND(",",$D119)-1)&amp;"_"&amp;I119&amp;L119</f>
        <v>Zubizarreta-Gerendiain_2016</v>
      </c>
      <c r="N119" t="s">
        <v>223</v>
      </c>
      <c r="O119" s="145" t="s">
        <v>1156</v>
      </c>
      <c r="P119"/>
      <c r="Q119" t="s">
        <v>257</v>
      </c>
      <c r="R119" s="264" t="s">
        <v>224</v>
      </c>
      <c r="S119" s="1" t="s">
        <v>2508</v>
      </c>
      <c r="T119" t="s">
        <v>2516</v>
      </c>
      <c r="U119" t="s">
        <v>2517</v>
      </c>
      <c r="V119">
        <v>0</v>
      </c>
      <c r="W119">
        <v>0</v>
      </c>
      <c r="X119">
        <v>0</v>
      </c>
      <c r="Y119">
        <v>2</v>
      </c>
      <c r="Z119">
        <v>0</v>
      </c>
      <c r="AA119">
        <v>0</v>
      </c>
      <c r="AB119">
        <v>0</v>
      </c>
      <c r="AC119">
        <v>0</v>
      </c>
      <c r="AD119">
        <v>0</v>
      </c>
      <c r="AE119">
        <v>0</v>
      </c>
      <c r="AF119">
        <v>1</v>
      </c>
      <c r="AG119">
        <v>0</v>
      </c>
      <c r="AH119">
        <v>0</v>
      </c>
      <c r="AI119">
        <v>0</v>
      </c>
      <c r="AJ119">
        <v>0</v>
      </c>
      <c r="AK119">
        <v>0</v>
      </c>
      <c r="AL119">
        <v>0</v>
      </c>
      <c r="AM119">
        <v>0</v>
      </c>
      <c r="AN119">
        <v>2</v>
      </c>
      <c r="AO119">
        <v>2</v>
      </c>
      <c r="AP119">
        <v>0</v>
      </c>
      <c r="AQ119">
        <v>0</v>
      </c>
      <c r="AR119">
        <v>0</v>
      </c>
      <c r="AS119">
        <v>0</v>
      </c>
      <c r="AT119">
        <v>0</v>
      </c>
      <c r="AU119">
        <v>0</v>
      </c>
      <c r="AV119">
        <v>0</v>
      </c>
      <c r="AW119">
        <v>0</v>
      </c>
      <c r="AX119" s="141">
        <f>COUNTIF(V119:AW119,"&lt;&gt;0")</f>
        <v>4</v>
      </c>
      <c r="AY119" s="141">
        <f>COUNTIF(V119:AL119,"&lt;&gt;0")</f>
        <v>2</v>
      </c>
      <c r="AZ119">
        <f>COUNTIF(V119:AC119,"&lt;&gt;0")</f>
        <v>1</v>
      </c>
      <c r="BA119">
        <f>COUNTIF(AD119:AI119,"&lt;&gt;0")</f>
        <v>1</v>
      </c>
      <c r="BB119">
        <f>COUNTIF(AJ119:AL119,"&lt;&gt;0")</f>
        <v>0</v>
      </c>
      <c r="BC119">
        <f>COUNTIF(AS119:AW119,"&lt;&gt;0")</f>
        <v>0</v>
      </c>
      <c r="BD119">
        <f>COUNTIF(AM119:AR119,"&lt;&gt;0")</f>
        <v>2</v>
      </c>
      <c r="BE119" t="str">
        <f t="array" ref="BE119">IF(AY119=1,INDEX($V$7:$AL$7,MATCH(TRUE,INDEX($V119:$AW119&lt;&gt;0,),0)),IF(AY119=0,INDEX($AM$7:$AW$7,MATCH(1,$AM119:$AW119,0)),IF(BF119="Multiple strategies","mixed drivers",IF(BF119="Supply chain","multiple supply","multiple silviculture"))))</f>
        <v>mixed drivers</v>
      </c>
      <c r="BF119" s="2" t="str">
        <f t="array" ref="BF119">IF(COUNTIF(AZ119:BB119,"&lt;&gt;0")=1,INDEX($V$4:$AW$4,MATCH(TRUE,INDEX($V119:$AW119&lt;&gt;0,),0)),IF(COUNTIF(AZ119:BB119,"&lt;&gt;0")=0,INDEX($AM$4:$AW$4,MATCH(1,$AM119:$AW119,0)),"Multiple strategies"))</f>
        <v>Multiple strategies</v>
      </c>
      <c r="BG119" s="1"/>
      <c r="BH119"/>
      <c r="BI119"/>
      <c r="BJ119"/>
      <c r="BK119"/>
      <c r="BL119"/>
      <c r="BM119" s="143"/>
      <c r="BN119" s="143"/>
      <c r="BO119"/>
      <c r="BP119" s="143" t="s">
        <v>233</v>
      </c>
      <c r="BQ119" s="143"/>
      <c r="BR119" t="s">
        <v>1197</v>
      </c>
      <c r="BS119">
        <v>88354.450391061444</v>
      </c>
      <c r="BT119">
        <v>-14015.791508379843</v>
      </c>
      <c r="BU119" s="144">
        <f>IFERROR(BT119/BS119,"")</f>
        <v>-0.15863141524105706</v>
      </c>
      <c r="BV119" s="144">
        <f>BT119-BS119</f>
        <v>-102370.24189944129</v>
      </c>
      <c r="BW119" s="144"/>
      <c r="BX119" s="144">
        <f>BV119</f>
        <v>-102370.24189944129</v>
      </c>
      <c r="BY119" t="str">
        <f>IFERROR(BX119/BO119,"")</f>
        <v/>
      </c>
      <c r="BZ119">
        <v>0</v>
      </c>
      <c r="CA119">
        <v>0</v>
      </c>
      <c r="CB119">
        <v>0</v>
      </c>
      <c r="CC119">
        <v>0</v>
      </c>
      <c r="CD119">
        <v>0</v>
      </c>
      <c r="CE119">
        <v>0</v>
      </c>
      <c r="CF119">
        <v>0</v>
      </c>
      <c r="CG119">
        <v>0</v>
      </c>
      <c r="CH119">
        <v>0</v>
      </c>
      <c r="CI119">
        <v>0</v>
      </c>
      <c r="CJ119">
        <v>0</v>
      </c>
      <c r="CK119">
        <v>0</v>
      </c>
      <c r="CL119">
        <v>0</v>
      </c>
      <c r="CM119">
        <v>1</v>
      </c>
      <c r="CN119" t="str">
        <f>IF(BL119&lt;BK119,"refNeedCorrection","refOK")</f>
        <v>refOK</v>
      </c>
      <c r="CO119"/>
      <c r="CP119"/>
      <c r="CQ119"/>
      <c r="CR119">
        <f>IF($CN119="refOK",$BS119,$BT119)*IF($BP119="Emissions positive",-1,1)</f>
        <v>88354.450391061444</v>
      </c>
      <c r="CS119">
        <f>IF($CN119="refOK",$BT119,$BS119)*IF($BP119="Emissions positive",-1,1)</f>
        <v>-14015.791508379843</v>
      </c>
      <c r="CT119">
        <f>IF($CN119="refNeedCorrection",-BX119,BX119)*IF($BP119="Emissions positive",-1,1)</f>
        <v>-102370.24189944129</v>
      </c>
      <c r="CU119" t="str">
        <f>IFERROR(CT119/CQ119,"")</f>
        <v/>
      </c>
      <c r="CV119" s="2">
        <f>IFERROR((CS119-CR119)/ABS(CR119),"")</f>
        <v>-1.1586314152410571</v>
      </c>
      <c r="CW119" s="1" t="s">
        <v>1201</v>
      </c>
      <c r="CX119" t="str">
        <f>IF(OR($CW119="prd",$CW119="std",$CW119="cit"),"loc",IF(OR($CW119="eur",$CW119="reg",$CW119="coy"),"reg",$CW119))</f>
        <v>reg</v>
      </c>
      <c r="CY119" t="s">
        <v>236</v>
      </c>
      <c r="CZ119">
        <v>2010</v>
      </c>
      <c r="DA119">
        <v>2070</v>
      </c>
      <c r="DB119">
        <f>DA119-CZ119</f>
        <v>60</v>
      </c>
      <c r="DC119" t="str">
        <f>IF(DB119=0,"0",IF(AND(DB119&gt;=1,DB119&lt;=30),"1-30",IF(AND(DB119&gt;30,DB119&lt;=70),"31-70",IF(AND(DB119&gt;70,DB119&lt;=100),"71-100",IF(DB119&gt;100,"+100")))))</f>
        <v>31-70</v>
      </c>
      <c r="DD119">
        <v>1</v>
      </c>
      <c r="DE119">
        <v>1</v>
      </c>
      <c r="DF119">
        <v>1</v>
      </c>
      <c r="DG119">
        <v>1</v>
      </c>
      <c r="DH119">
        <v>0</v>
      </c>
      <c r="DI119">
        <f>SUM(DD119:DG119)</f>
        <v>4</v>
      </c>
      <c r="DJ119" t="str">
        <f>IF(DI119=1,INDEX($DD$7:$DG$7,MATCH(1,$DD119:$DG119,0)),"mixedProduct")</f>
        <v>mixedProduct</v>
      </c>
      <c r="DK119" t="str">
        <f>IF(DD119=1,DK$7,0)</f>
        <v>Upstream</v>
      </c>
      <c r="DL119" t="str">
        <f>IF(DE119=1,DL$7,0)</f>
        <v>Energy</v>
      </c>
      <c r="DM119" t="str">
        <f>IF(DF119=1,DM$7,0)</f>
        <v>Pulp/Paper</v>
      </c>
      <c r="DN119" t="str">
        <f>IF(DG119=1,DN$7,0)</f>
        <v>Timber</v>
      </c>
      <c r="DO119">
        <v>0</v>
      </c>
      <c r="DP119">
        <v>1</v>
      </c>
      <c r="DQ119" t="s">
        <v>2526</v>
      </c>
      <c r="DR119" t="s">
        <v>2527</v>
      </c>
      <c r="DS119">
        <v>0</v>
      </c>
      <c r="DT119">
        <f>SUM(DO119:DP119)</f>
        <v>1</v>
      </c>
      <c r="DU119" s="143" t="str">
        <f>IF(DO119=1,"self-calculated DF",IF(DP119=1,"external DF used","explicit C balance"))</f>
        <v>external DF used</v>
      </c>
      <c r="DV119">
        <v>1</v>
      </c>
      <c r="DW119">
        <v>1</v>
      </c>
      <c r="DX119">
        <v>1</v>
      </c>
      <c r="DY119">
        <v>1</v>
      </c>
      <c r="DZ119">
        <v>0</v>
      </c>
      <c r="EA119" s="143">
        <v>0</v>
      </c>
      <c r="EB119">
        <v>1</v>
      </c>
      <c r="EC119">
        <v>1</v>
      </c>
      <c r="ED119">
        <v>0</v>
      </c>
      <c r="EE119">
        <v>0</v>
      </c>
      <c r="EF119">
        <v>1</v>
      </c>
      <c r="EG119">
        <v>0</v>
      </c>
      <c r="EH119">
        <v>0</v>
      </c>
      <c r="EI119" s="2">
        <v>0</v>
      </c>
      <c r="EJ119" s="1"/>
      <c r="EK119" t="str">
        <f>IF(AND(AND(AND(OR($DX119=1,$DW119=1),OR($EC119=1,$EA119=1)),SUM($DV119:$DZ119,$EF119)&gt;=4),SUM($EA119:$EE119)&gt;=2),"Whole sector","")</f>
        <v>Whole sector</v>
      </c>
      <c r="EL119" t="str">
        <f>IF(AND(AND(OR($DX119=1,$DW119=1),AND($EC119=0,$EA119=0)),SUM($DV119:$DZ119,$EF119)&gt;=4),"Ecosystem approach","")</f>
        <v/>
      </c>
      <c r="EM119" s="2" t="str">
        <f>IF(AND(AND(AND($DX119=0,$DW119=0),OR($EC119=1,$EA119=1)),SUM($EB119:$EE119)&gt;=2),"Technology approach","")</f>
        <v/>
      </c>
      <c r="EN119" t="s">
        <v>2510</v>
      </c>
      <c r="EO119"/>
      <c r="EP119" t="b">
        <f>IF(ISNUMBER(BU119),IF(ABS(BU119-[2]QC_indicators!$B$2)&gt;3*[2]QC_indicators!$C$2,"C ratio",IF(ISNUMBER(BY119),IF(ABS(BY119-[2]QC_indicators!$B$1)&gt;3*[2]QC_indicators!$C$1,"DF","no"))),IF(ISNUMBER(BY119),IF(ABS(BY119-[2]QC_indicators!$B$1)&gt;3*[2]QC_indicators!$C$1,"DF","no")))</f>
        <v>0</v>
      </c>
      <c r="EQ119"/>
      <c r="ER119"/>
      <c r="ES119"/>
      <c r="ET119" s="266" t="s">
        <v>3275</v>
      </c>
      <c r="EU119"/>
    </row>
    <row r="120" spans="1:151" s="139" customFormat="1" ht="15" hidden="1" customHeight="1">
      <c r="A120" s="1" t="s">
        <v>1425</v>
      </c>
      <c r="B120" t="s">
        <v>2492</v>
      </c>
      <c r="C120" t="s">
        <v>2493</v>
      </c>
      <c r="D120" t="s">
        <v>2494</v>
      </c>
      <c r="E120" t="s">
        <v>2495</v>
      </c>
      <c r="F120" t="s">
        <v>2496</v>
      </c>
      <c r="G120" t="s">
        <v>1431</v>
      </c>
      <c r="H120" t="s">
        <v>255</v>
      </c>
      <c r="I120">
        <v>2016</v>
      </c>
      <c r="J120">
        <v>24</v>
      </c>
      <c r="K120" t="s">
        <v>2497</v>
      </c>
      <c r="L120"/>
      <c r="M120" t="str">
        <f>LEFT($D120,FIND(",",$D120)-1)&amp;"_"&amp;I120&amp;L120</f>
        <v>Zubizarreta-Gerendiain_2016</v>
      </c>
      <c r="N120" t="s">
        <v>223</v>
      </c>
      <c r="O120" s="145" t="s">
        <v>1156</v>
      </c>
      <c r="P120"/>
      <c r="Q120" t="s">
        <v>257</v>
      </c>
      <c r="R120" s="264" t="s">
        <v>224</v>
      </c>
      <c r="S120" s="1" t="s">
        <v>2508</v>
      </c>
      <c r="T120" t="s">
        <v>2516</v>
      </c>
      <c r="U120" t="s">
        <v>2517</v>
      </c>
      <c r="V120">
        <v>0</v>
      </c>
      <c r="W120">
        <v>0</v>
      </c>
      <c r="X120">
        <v>0</v>
      </c>
      <c r="Y120">
        <v>2</v>
      </c>
      <c r="Z120">
        <v>0</v>
      </c>
      <c r="AA120">
        <v>0</v>
      </c>
      <c r="AB120">
        <v>0</v>
      </c>
      <c r="AC120">
        <v>0</v>
      </c>
      <c r="AD120">
        <v>0</v>
      </c>
      <c r="AE120">
        <v>0</v>
      </c>
      <c r="AF120">
        <v>1</v>
      </c>
      <c r="AG120">
        <v>0</v>
      </c>
      <c r="AH120">
        <v>0</v>
      </c>
      <c r="AI120">
        <v>0</v>
      </c>
      <c r="AJ120">
        <v>0</v>
      </c>
      <c r="AK120">
        <v>0</v>
      </c>
      <c r="AL120">
        <v>0</v>
      </c>
      <c r="AM120">
        <v>0</v>
      </c>
      <c r="AN120">
        <v>2</v>
      </c>
      <c r="AO120">
        <v>2</v>
      </c>
      <c r="AP120">
        <v>0</v>
      </c>
      <c r="AQ120">
        <v>0</v>
      </c>
      <c r="AR120">
        <v>0</v>
      </c>
      <c r="AS120">
        <v>0</v>
      </c>
      <c r="AT120">
        <v>0</v>
      </c>
      <c r="AU120">
        <v>0</v>
      </c>
      <c r="AV120">
        <v>0</v>
      </c>
      <c r="AW120">
        <v>0</v>
      </c>
      <c r="AX120" s="141">
        <f>COUNTIF(V120:AW120,"&lt;&gt;0")</f>
        <v>4</v>
      </c>
      <c r="AY120" s="141">
        <f>COUNTIF(V120:AL120,"&lt;&gt;0")</f>
        <v>2</v>
      </c>
      <c r="AZ120">
        <f>COUNTIF(V120:AC120,"&lt;&gt;0")</f>
        <v>1</v>
      </c>
      <c r="BA120">
        <f>COUNTIF(AD120:AI120,"&lt;&gt;0")</f>
        <v>1</v>
      </c>
      <c r="BB120">
        <f>COUNTIF(AJ120:AL120,"&lt;&gt;0")</f>
        <v>0</v>
      </c>
      <c r="BC120">
        <f>COUNTIF(AS120:AW120,"&lt;&gt;0")</f>
        <v>0</v>
      </c>
      <c r="BD120">
        <f>COUNTIF(AM120:AR120,"&lt;&gt;0")</f>
        <v>2</v>
      </c>
      <c r="BE120" t="str">
        <f t="array" ref="BE120">IF(AY120=1,INDEX($V$7:$AL$7,MATCH(TRUE,INDEX($V120:$AW120&lt;&gt;0,),0)),IF(AY120=0,INDEX($AM$7:$AW$7,MATCH(1,$AM120:$AW120,0)),IF(BF120="Multiple strategies","mixed drivers",IF(BF120="Supply chain","multiple supply","multiple silviculture"))))</f>
        <v>mixed drivers</v>
      </c>
      <c r="BF120" s="2" t="str">
        <f t="array" ref="BF120">IF(COUNTIF(AZ120:BB120,"&lt;&gt;0")=1,INDEX($V$4:$AW$4,MATCH(TRUE,INDEX($V120:$AW120&lt;&gt;0,),0)),IF(COUNTIF(AZ120:BB120,"&lt;&gt;0")=0,INDEX($AM$4:$AW$4,MATCH(1,$AM120:$AW120,0)),"Multiple strategies"))</f>
        <v>Multiple strategies</v>
      </c>
      <c r="BG120" s="1"/>
      <c r="BH120"/>
      <c r="BI120"/>
      <c r="BJ120"/>
      <c r="BK120"/>
      <c r="BL120"/>
      <c r="BM120" s="143"/>
      <c r="BN120" s="143"/>
      <c r="BO120"/>
      <c r="BP120" s="143" t="s">
        <v>233</v>
      </c>
      <c r="BQ120" s="143"/>
      <c r="BR120" t="s">
        <v>1197</v>
      </c>
      <c r="BS120">
        <v>12985.218603352034</v>
      </c>
      <c r="BT120">
        <v>-104293.97798882655</v>
      </c>
      <c r="BU120" s="144">
        <f>IFERROR(BT120/BS120,"")</f>
        <v>-8.0317460317459624</v>
      </c>
      <c r="BV120" s="144">
        <f>BT120-BS120</f>
        <v>-117279.19659217857</v>
      </c>
      <c r="BW120" s="144"/>
      <c r="BX120" s="144">
        <f>BV120</f>
        <v>-117279.19659217857</v>
      </c>
      <c r="BY120" t="str">
        <f>IFERROR(BX120/BO120,"")</f>
        <v/>
      </c>
      <c r="BZ120">
        <v>0</v>
      </c>
      <c r="CA120">
        <v>0</v>
      </c>
      <c r="CB120">
        <v>0</v>
      </c>
      <c r="CC120">
        <v>0</v>
      </c>
      <c r="CD120">
        <v>0</v>
      </c>
      <c r="CE120">
        <v>0</v>
      </c>
      <c r="CF120">
        <v>0</v>
      </c>
      <c r="CG120">
        <v>0</v>
      </c>
      <c r="CH120">
        <v>0</v>
      </c>
      <c r="CI120">
        <v>0</v>
      </c>
      <c r="CJ120">
        <v>0</v>
      </c>
      <c r="CK120">
        <v>0</v>
      </c>
      <c r="CL120">
        <v>0</v>
      </c>
      <c r="CM120">
        <v>1</v>
      </c>
      <c r="CN120" t="str">
        <f>IF(BL120&lt;BK120,"refNeedCorrection","refOK")</f>
        <v>refOK</v>
      </c>
      <c r="CO120"/>
      <c r="CP120"/>
      <c r="CQ120"/>
      <c r="CR120">
        <f>IF($CN120="refOK",$BS120,$BT120)*IF($BP120="Emissions positive",-1,1)</f>
        <v>12985.218603352034</v>
      </c>
      <c r="CS120">
        <f>IF($CN120="refOK",$BT120,$BS120)*IF($BP120="Emissions positive",-1,1)</f>
        <v>-104293.97798882655</v>
      </c>
      <c r="CT120">
        <f>IF($CN120="refNeedCorrection",-BX120,BX120)*IF($BP120="Emissions positive",-1,1)</f>
        <v>-117279.19659217857</v>
      </c>
      <c r="CU120" t="str">
        <f>IFERROR(CT120/CQ120,"")</f>
        <v/>
      </c>
      <c r="CV120" s="2">
        <f>IFERROR((CS120-CR120)/ABS(CR120),"")</f>
        <v>-9.0317460317459624</v>
      </c>
      <c r="CW120" s="1" t="s">
        <v>1201</v>
      </c>
      <c r="CX120" t="str">
        <f>IF(OR($CW120="prd",$CW120="std",$CW120="cit"),"loc",IF(OR($CW120="eur",$CW120="reg",$CW120="coy"),"reg",$CW120))</f>
        <v>reg</v>
      </c>
      <c r="CY120" t="s">
        <v>236</v>
      </c>
      <c r="CZ120">
        <v>2010</v>
      </c>
      <c r="DA120">
        <v>2070</v>
      </c>
      <c r="DB120">
        <f>DA120-CZ120</f>
        <v>60</v>
      </c>
      <c r="DC120" t="str">
        <f>IF(DB120=0,"0",IF(AND(DB120&gt;=1,DB120&lt;=30),"1-30",IF(AND(DB120&gt;30,DB120&lt;=70),"31-70",IF(AND(DB120&gt;70,DB120&lt;=100),"71-100",IF(DB120&gt;100,"+100")))))</f>
        <v>31-70</v>
      </c>
      <c r="DD120">
        <v>1</v>
      </c>
      <c r="DE120">
        <v>1</v>
      </c>
      <c r="DF120">
        <v>1</v>
      </c>
      <c r="DG120">
        <v>1</v>
      </c>
      <c r="DH120">
        <v>0</v>
      </c>
      <c r="DI120">
        <f>SUM(DD120:DG120)</f>
        <v>4</v>
      </c>
      <c r="DJ120" t="str">
        <f>IF(DI120=1,INDEX($DD$7:$DG$7,MATCH(1,$DD120:$DG120,0)),"mixedProduct")</f>
        <v>mixedProduct</v>
      </c>
      <c r="DK120" t="str">
        <f>IF(DD120=1,DK$7,0)</f>
        <v>Upstream</v>
      </c>
      <c r="DL120" t="str">
        <f>IF(DE120=1,DL$7,0)</f>
        <v>Energy</v>
      </c>
      <c r="DM120" t="str">
        <f>IF(DF120=1,DM$7,0)</f>
        <v>Pulp/Paper</v>
      </c>
      <c r="DN120" t="str">
        <f>IF(DG120=1,DN$7,0)</f>
        <v>Timber</v>
      </c>
      <c r="DO120">
        <v>0</v>
      </c>
      <c r="DP120">
        <v>0</v>
      </c>
      <c r="DQ120">
        <v>0</v>
      </c>
      <c r="DR120">
        <v>0</v>
      </c>
      <c r="DS120">
        <v>0</v>
      </c>
      <c r="DT120">
        <f>SUM(DO120:DP120)</f>
        <v>0</v>
      </c>
      <c r="DU120" s="143" t="str">
        <f>IF(DO120=1,"self-calculated DF",IF(DP120=1,"external DF used","explicit C balance"))</f>
        <v>explicit C balance</v>
      </c>
      <c r="DV120">
        <v>1</v>
      </c>
      <c r="DW120">
        <v>1</v>
      </c>
      <c r="DX120">
        <v>1</v>
      </c>
      <c r="DY120">
        <v>0</v>
      </c>
      <c r="DZ120">
        <v>0</v>
      </c>
      <c r="EA120" s="143">
        <v>0</v>
      </c>
      <c r="EB120">
        <v>1</v>
      </c>
      <c r="EC120">
        <v>1</v>
      </c>
      <c r="ED120">
        <v>0</v>
      </c>
      <c r="EE120">
        <v>0</v>
      </c>
      <c r="EF120">
        <v>1</v>
      </c>
      <c r="EG120">
        <v>0</v>
      </c>
      <c r="EH120">
        <v>0</v>
      </c>
      <c r="EI120" s="2">
        <v>0</v>
      </c>
      <c r="EJ120" s="1"/>
      <c r="EK120" t="str">
        <f>IF(AND(AND(AND(OR($DX120=1,$DW120=1),OR($EC120=1,$EA120=1)),SUM($DV120:$DZ120,$EF120)&gt;=4),SUM($EA120:$EE120)&gt;=2),"Whole sector","")</f>
        <v>Whole sector</v>
      </c>
      <c r="EL120" t="str">
        <f>IF(AND(AND(OR($DX120=1,$DW120=1),AND($EC120=0,$EA120=0)),SUM($DV120:$DZ120,$EF120)&gt;=4),"Ecosystem approach","")</f>
        <v/>
      </c>
      <c r="EM120" s="2" t="str">
        <f>IF(AND(AND(AND($DX120=0,$DW120=0),OR($EC120=1,$EA120=1)),SUM($EB120:$EE120)&gt;=2),"Technology approach","")</f>
        <v/>
      </c>
      <c r="EN120" t="s">
        <v>2510</v>
      </c>
      <c r="EO120"/>
      <c r="EP120" t="b">
        <f>IF(ISNUMBER(BU120),IF(ABS(BU120-[2]QC_indicators!$B$2)&gt;3*[2]QC_indicators!$C$2,"C ratio",IF(ISNUMBER(BY120),IF(ABS(BY120-[2]QC_indicators!$B$1)&gt;3*[2]QC_indicators!$C$1,"DF","no"))),IF(ISNUMBER(BY120),IF(ABS(BY120-[2]QC_indicators!$B$1)&gt;3*[2]QC_indicators!$C$1,"DF","no")))</f>
        <v>0</v>
      </c>
      <c r="EQ120"/>
      <c r="ER120"/>
      <c r="ES120"/>
      <c r="ET120" s="266" t="s">
        <v>3275</v>
      </c>
      <c r="EU120"/>
    </row>
    <row r="121" spans="1:151" s="139" customFormat="1" ht="15" hidden="1" customHeight="1">
      <c r="A121" s="1" t="s">
        <v>1425</v>
      </c>
      <c r="B121" t="s">
        <v>2492</v>
      </c>
      <c r="C121" t="s">
        <v>2493</v>
      </c>
      <c r="D121" t="s">
        <v>2494</v>
      </c>
      <c r="E121" t="s">
        <v>2495</v>
      </c>
      <c r="F121" t="s">
        <v>2496</v>
      </c>
      <c r="G121" t="s">
        <v>1431</v>
      </c>
      <c r="H121" t="s">
        <v>255</v>
      </c>
      <c r="I121">
        <v>2016</v>
      </c>
      <c r="J121">
        <v>24</v>
      </c>
      <c r="K121" t="s">
        <v>2497</v>
      </c>
      <c r="L121"/>
      <c r="M121" t="str">
        <f>LEFT($D121,FIND(",",$D121)-1)&amp;"_"&amp;I121&amp;L121</f>
        <v>Zubizarreta-Gerendiain_2016</v>
      </c>
      <c r="N121" t="s">
        <v>223</v>
      </c>
      <c r="O121" s="145" t="s">
        <v>1156</v>
      </c>
      <c r="P121"/>
      <c r="Q121" t="s">
        <v>257</v>
      </c>
      <c r="R121" s="264" t="s">
        <v>224</v>
      </c>
      <c r="S121" s="1" t="s">
        <v>2498</v>
      </c>
      <c r="T121" t="s">
        <v>2519</v>
      </c>
      <c r="U121" t="s">
        <v>2517</v>
      </c>
      <c r="V121">
        <v>0</v>
      </c>
      <c r="W121">
        <v>0</v>
      </c>
      <c r="X121">
        <v>0</v>
      </c>
      <c r="Y121">
        <v>2</v>
      </c>
      <c r="Z121">
        <v>0</v>
      </c>
      <c r="AA121">
        <v>0</v>
      </c>
      <c r="AB121">
        <v>0</v>
      </c>
      <c r="AC121">
        <v>0</v>
      </c>
      <c r="AD121">
        <v>0</v>
      </c>
      <c r="AE121">
        <v>0</v>
      </c>
      <c r="AF121">
        <v>1</v>
      </c>
      <c r="AG121">
        <v>0</v>
      </c>
      <c r="AH121">
        <v>0</v>
      </c>
      <c r="AI121">
        <v>0</v>
      </c>
      <c r="AJ121">
        <v>0</v>
      </c>
      <c r="AK121">
        <v>0</v>
      </c>
      <c r="AL121">
        <v>0</v>
      </c>
      <c r="AM121">
        <v>0</v>
      </c>
      <c r="AN121">
        <v>2</v>
      </c>
      <c r="AO121">
        <v>2</v>
      </c>
      <c r="AP121">
        <v>0</v>
      </c>
      <c r="AQ121">
        <v>0</v>
      </c>
      <c r="AR121">
        <v>0</v>
      </c>
      <c r="AS121">
        <v>0</v>
      </c>
      <c r="AT121">
        <v>0</v>
      </c>
      <c r="AU121">
        <v>0</v>
      </c>
      <c r="AV121">
        <v>0</v>
      </c>
      <c r="AW121">
        <v>0</v>
      </c>
      <c r="AX121" s="141">
        <f>COUNTIF(V121:AW121,"&lt;&gt;0")</f>
        <v>4</v>
      </c>
      <c r="AY121" s="141">
        <f>COUNTIF(V121:AL121,"&lt;&gt;0")</f>
        <v>2</v>
      </c>
      <c r="AZ121">
        <f>COUNTIF(V121:AC121,"&lt;&gt;0")</f>
        <v>1</v>
      </c>
      <c r="BA121">
        <f>COUNTIF(AD121:AI121,"&lt;&gt;0")</f>
        <v>1</v>
      </c>
      <c r="BB121">
        <f>COUNTIF(AJ121:AL121,"&lt;&gt;0")</f>
        <v>0</v>
      </c>
      <c r="BC121">
        <f>COUNTIF(AS121:AW121,"&lt;&gt;0")</f>
        <v>0</v>
      </c>
      <c r="BD121">
        <f>COUNTIF(AM121:AR121,"&lt;&gt;0")</f>
        <v>2</v>
      </c>
      <c r="BE121" t="str">
        <f t="array" ref="BE121">IF(AY121=1,INDEX($V$7:$AL$7,MATCH(TRUE,INDEX($V121:$AW121&lt;&gt;0,),0)),IF(AY121=0,INDEX($AM$7:$AW$7,MATCH(1,$AM121:$AW121,0)),IF(BF121="Multiple strategies","mixed drivers",IF(BF121="Supply chain","multiple supply","multiple silviculture"))))</f>
        <v>mixed drivers</v>
      </c>
      <c r="BF121" s="2" t="str">
        <f t="array" ref="BF121">IF(COUNTIF(AZ121:BB121,"&lt;&gt;0")=1,INDEX($V$4:$AW$4,MATCH(TRUE,INDEX($V121:$AW121&lt;&gt;0,),0)),IF(COUNTIF(AZ121:BB121,"&lt;&gt;0")=0,INDEX($AM$4:$AW$4,MATCH(1,$AM121:$AW121,0)),"Multiple strategies"))</f>
        <v>Multiple strategies</v>
      </c>
      <c r="BG121" s="1"/>
      <c r="BH121"/>
      <c r="BI121"/>
      <c r="BJ121"/>
      <c r="BK121"/>
      <c r="BL121"/>
      <c r="BM121" s="143"/>
      <c r="BN121" s="143"/>
      <c r="BO121"/>
      <c r="BP121" s="143" t="s">
        <v>233</v>
      </c>
      <c r="BQ121" s="143"/>
      <c r="BR121" t="s">
        <v>1197</v>
      </c>
      <c r="BS121">
        <v>36825.805139664684</v>
      </c>
      <c r="BT121">
        <v>-14015.791508379843</v>
      </c>
      <c r="BU121" s="144">
        <f>IFERROR(BT121/BS121,"")</f>
        <v>-0.38059701492537318</v>
      </c>
      <c r="BV121" s="144">
        <f>BT121-BS121</f>
        <v>-50841.596648044528</v>
      </c>
      <c r="BW121" s="144"/>
      <c r="BX121" s="144">
        <f>BV121</f>
        <v>-50841.596648044528</v>
      </c>
      <c r="BY121" t="str">
        <f>IFERROR(BX121/BO121,"")</f>
        <v/>
      </c>
      <c r="BZ121">
        <v>0</v>
      </c>
      <c r="CA121">
        <v>0</v>
      </c>
      <c r="CB121">
        <v>0</v>
      </c>
      <c r="CC121">
        <v>0</v>
      </c>
      <c r="CD121">
        <v>0</v>
      </c>
      <c r="CE121">
        <v>0</v>
      </c>
      <c r="CF121">
        <v>0</v>
      </c>
      <c r="CG121">
        <v>0</v>
      </c>
      <c r="CH121">
        <v>0</v>
      </c>
      <c r="CI121">
        <v>0</v>
      </c>
      <c r="CJ121">
        <v>0</v>
      </c>
      <c r="CK121">
        <v>0</v>
      </c>
      <c r="CL121">
        <v>0</v>
      </c>
      <c r="CM121">
        <v>1</v>
      </c>
      <c r="CN121" t="str">
        <f>IF(BL121&lt;BK121,"refNeedCorrection","refOK")</f>
        <v>refOK</v>
      </c>
      <c r="CO121"/>
      <c r="CP121"/>
      <c r="CQ121"/>
      <c r="CR121">
        <f>IF($CN121="refOK",$BS121,$BT121)*IF($BP121="Emissions positive",-1,1)</f>
        <v>36825.805139664684</v>
      </c>
      <c r="CS121">
        <f>IF($CN121="refOK",$BT121,$BS121)*IF($BP121="Emissions positive",-1,1)</f>
        <v>-14015.791508379843</v>
      </c>
      <c r="CT121">
        <f>IF($CN121="refNeedCorrection",-BX121,BX121)*IF($BP121="Emissions positive",-1,1)</f>
        <v>-50841.596648044528</v>
      </c>
      <c r="CU121" t="str">
        <f>IFERROR(CT121/CQ121,"")</f>
        <v/>
      </c>
      <c r="CV121" s="2">
        <f>IFERROR((CS121-CR121)/ABS(CR121),"")</f>
        <v>-1.3805970149253732</v>
      </c>
      <c r="CW121" s="1" t="s">
        <v>1201</v>
      </c>
      <c r="CX121" t="str">
        <f>IF(OR($CW121="prd",$CW121="std",$CW121="cit"),"loc",IF(OR($CW121="eur",$CW121="reg",$CW121="coy"),"reg",$CW121))</f>
        <v>reg</v>
      </c>
      <c r="CY121" t="s">
        <v>236</v>
      </c>
      <c r="CZ121">
        <v>2010</v>
      </c>
      <c r="DA121">
        <v>2070</v>
      </c>
      <c r="DB121">
        <f>DA121-CZ121</f>
        <v>60</v>
      </c>
      <c r="DC121" t="str">
        <f>IF(DB121=0,"0",IF(AND(DB121&gt;=1,DB121&lt;=30),"1-30",IF(AND(DB121&gt;30,DB121&lt;=70),"31-70",IF(AND(DB121&gt;70,DB121&lt;=100),"71-100",IF(DB121&gt;100,"+100")))))</f>
        <v>31-70</v>
      </c>
      <c r="DD121">
        <v>1</v>
      </c>
      <c r="DE121">
        <v>1</v>
      </c>
      <c r="DF121">
        <v>1</v>
      </c>
      <c r="DG121">
        <v>1</v>
      </c>
      <c r="DH121">
        <v>0</v>
      </c>
      <c r="DI121">
        <f>SUM(DD121:DG121)</f>
        <v>4</v>
      </c>
      <c r="DJ121" t="str">
        <f>IF(DI121=1,INDEX($DD$7:$DG$7,MATCH(1,$DD121:$DG121,0)),"mixedProduct")</f>
        <v>mixedProduct</v>
      </c>
      <c r="DK121" t="str">
        <f>IF(DD121=1,DK$7,0)</f>
        <v>Upstream</v>
      </c>
      <c r="DL121" t="str">
        <f>IF(DE121=1,DL$7,0)</f>
        <v>Energy</v>
      </c>
      <c r="DM121" t="str">
        <f>IF(DF121=1,DM$7,0)</f>
        <v>Pulp/Paper</v>
      </c>
      <c r="DN121" t="str">
        <f>IF(DG121=1,DN$7,0)</f>
        <v>Timber</v>
      </c>
      <c r="DO121">
        <v>0</v>
      </c>
      <c r="DP121">
        <v>1</v>
      </c>
      <c r="DQ121" t="s">
        <v>2526</v>
      </c>
      <c r="DR121" t="s">
        <v>2527</v>
      </c>
      <c r="DS121">
        <v>0</v>
      </c>
      <c r="DT121">
        <f>SUM(DO121:DP121)</f>
        <v>1</v>
      </c>
      <c r="DU121" s="143" t="str">
        <f>IF(DO121=1,"self-calculated DF",IF(DP121=1,"external DF used","explicit C balance"))</f>
        <v>external DF used</v>
      </c>
      <c r="DV121">
        <v>1</v>
      </c>
      <c r="DW121">
        <v>1</v>
      </c>
      <c r="DX121">
        <v>1</v>
      </c>
      <c r="DY121">
        <v>1</v>
      </c>
      <c r="DZ121">
        <v>0</v>
      </c>
      <c r="EA121" s="143">
        <v>0</v>
      </c>
      <c r="EB121">
        <v>1</v>
      </c>
      <c r="EC121">
        <v>1</v>
      </c>
      <c r="ED121">
        <v>0</v>
      </c>
      <c r="EE121">
        <v>0</v>
      </c>
      <c r="EF121">
        <v>1</v>
      </c>
      <c r="EG121">
        <v>0</v>
      </c>
      <c r="EH121">
        <v>0</v>
      </c>
      <c r="EI121" s="2">
        <v>0</v>
      </c>
      <c r="EJ121" s="1"/>
      <c r="EK121" t="str">
        <f>IF(AND(AND(AND(OR($DX121=1,$DW121=1),OR($EC121=1,$EA121=1)),SUM($DV121:$DZ121,$EF121)&gt;=4),SUM($EA121:$EE121)&gt;=2),"Whole sector","")</f>
        <v>Whole sector</v>
      </c>
      <c r="EL121" t="str">
        <f>IF(AND(AND(OR($DX121=1,$DW121=1),AND($EC121=0,$EA121=0)),SUM($DV121:$DZ121,$EF121)&gt;=4),"Ecosystem approach","")</f>
        <v/>
      </c>
      <c r="EM121" s="2" t="str">
        <f>IF(AND(AND(AND($DX121=0,$DW121=0),OR($EC121=1,$EA121=1)),SUM($EB121:$EE121)&gt;=2),"Technology approach","")</f>
        <v/>
      </c>
      <c r="EN121"/>
      <c r="EO121"/>
      <c r="EP121" t="b">
        <f>IF(ISNUMBER(BU121),IF(ABS(BU121-[2]QC_indicators!$B$2)&gt;3*[2]QC_indicators!$C$2,"C ratio",IF(ISNUMBER(BY121),IF(ABS(BY121-[2]QC_indicators!$B$1)&gt;3*[2]QC_indicators!$C$1,"DF","no"))),IF(ISNUMBER(BY121),IF(ABS(BY121-[2]QC_indicators!$B$1)&gt;3*[2]QC_indicators!$C$1,"DF","no")))</f>
        <v>0</v>
      </c>
      <c r="EQ121"/>
      <c r="ER121"/>
      <c r="ES121"/>
      <c r="ET121" s="266" t="s">
        <v>3275</v>
      </c>
      <c r="EU121"/>
    </row>
    <row r="122" spans="1:151" s="139" customFormat="1" ht="15" hidden="1" customHeight="1">
      <c r="A122" s="1" t="s">
        <v>1425</v>
      </c>
      <c r="B122" t="s">
        <v>2492</v>
      </c>
      <c r="C122" t="s">
        <v>2493</v>
      </c>
      <c r="D122" t="s">
        <v>2494</v>
      </c>
      <c r="E122" t="s">
        <v>2495</v>
      </c>
      <c r="F122" t="s">
        <v>2496</v>
      </c>
      <c r="G122" t="s">
        <v>1431</v>
      </c>
      <c r="H122" t="s">
        <v>255</v>
      </c>
      <c r="I122">
        <v>2016</v>
      </c>
      <c r="J122">
        <v>24</v>
      </c>
      <c r="K122" t="s">
        <v>2497</v>
      </c>
      <c r="L122"/>
      <c r="M122" t="str">
        <f>LEFT($D122,FIND(",",$D122)-1)&amp;"_"&amp;I122&amp;L122</f>
        <v>Zubizarreta-Gerendiain_2016</v>
      </c>
      <c r="N122" t="s">
        <v>223</v>
      </c>
      <c r="O122" s="145" t="s">
        <v>1156</v>
      </c>
      <c r="P122"/>
      <c r="Q122" t="s">
        <v>257</v>
      </c>
      <c r="R122" s="264" t="s">
        <v>224</v>
      </c>
      <c r="S122" s="1" t="s">
        <v>2498</v>
      </c>
      <c r="T122" t="s">
        <v>2519</v>
      </c>
      <c r="U122" t="s">
        <v>2517</v>
      </c>
      <c r="V122">
        <v>0</v>
      </c>
      <c r="W122">
        <v>0</v>
      </c>
      <c r="X122">
        <v>0</v>
      </c>
      <c r="Y122">
        <v>2</v>
      </c>
      <c r="Z122">
        <v>0</v>
      </c>
      <c r="AA122">
        <v>0</v>
      </c>
      <c r="AB122">
        <v>0</v>
      </c>
      <c r="AC122">
        <v>0</v>
      </c>
      <c r="AD122">
        <v>0</v>
      </c>
      <c r="AE122">
        <v>0</v>
      </c>
      <c r="AF122">
        <v>1</v>
      </c>
      <c r="AG122">
        <v>0</v>
      </c>
      <c r="AH122">
        <v>0</v>
      </c>
      <c r="AI122">
        <v>0</v>
      </c>
      <c r="AJ122">
        <v>0</v>
      </c>
      <c r="AK122">
        <v>0</v>
      </c>
      <c r="AL122">
        <v>0</v>
      </c>
      <c r="AM122">
        <v>0</v>
      </c>
      <c r="AN122">
        <v>2</v>
      </c>
      <c r="AO122">
        <v>2</v>
      </c>
      <c r="AP122">
        <v>0</v>
      </c>
      <c r="AQ122">
        <v>0</v>
      </c>
      <c r="AR122">
        <v>0</v>
      </c>
      <c r="AS122">
        <v>0</v>
      </c>
      <c r="AT122">
        <v>0</v>
      </c>
      <c r="AU122">
        <v>0</v>
      </c>
      <c r="AV122">
        <v>0</v>
      </c>
      <c r="AW122">
        <v>0</v>
      </c>
      <c r="AX122" s="141">
        <f>COUNTIF(V122:AW122,"&lt;&gt;0")</f>
        <v>4</v>
      </c>
      <c r="AY122" s="141">
        <f>COUNTIF(V122:AL122,"&lt;&gt;0")</f>
        <v>2</v>
      </c>
      <c r="AZ122">
        <f>COUNTIF(V122:AC122,"&lt;&gt;0")</f>
        <v>1</v>
      </c>
      <c r="BA122">
        <f>COUNTIF(AD122:AI122,"&lt;&gt;0")</f>
        <v>1</v>
      </c>
      <c r="BB122">
        <f>COUNTIF(AJ122:AL122,"&lt;&gt;0")</f>
        <v>0</v>
      </c>
      <c r="BC122">
        <f>COUNTIF(AS122:AW122,"&lt;&gt;0")</f>
        <v>0</v>
      </c>
      <c r="BD122">
        <f>COUNTIF(AM122:AR122,"&lt;&gt;0")</f>
        <v>2</v>
      </c>
      <c r="BE122" t="str">
        <f t="array" ref="BE122">IF(AY122=1,INDEX($V$7:$AL$7,MATCH(TRUE,INDEX($V122:$AW122&lt;&gt;0,),0)),IF(AY122=0,INDEX($AM$7:$AW$7,MATCH(1,$AM122:$AW122,0)),IF(BF122="Multiple strategies","mixed drivers",IF(BF122="Supply chain","multiple supply","multiple silviculture"))))</f>
        <v>mixed drivers</v>
      </c>
      <c r="BF122" s="2" t="str">
        <f t="array" ref="BF122">IF(COUNTIF(AZ122:BB122,"&lt;&gt;0")=1,INDEX($V$4:$AW$4,MATCH(TRUE,INDEX($V122:$AW122&lt;&gt;0,),0)),IF(COUNTIF(AZ122:BB122,"&lt;&gt;0")=0,INDEX($AM$4:$AW$4,MATCH(1,$AM122:$AW122,0)),"Multiple strategies"))</f>
        <v>Multiple strategies</v>
      </c>
      <c r="BG122" s="1"/>
      <c r="BH122"/>
      <c r="BI122"/>
      <c r="BJ122"/>
      <c r="BK122"/>
      <c r="BL122"/>
      <c r="BM122" s="143"/>
      <c r="BN122" s="143"/>
      <c r="BO122"/>
      <c r="BP122" s="143" t="s">
        <v>233</v>
      </c>
      <c r="BQ122" s="143"/>
      <c r="BR122" t="s">
        <v>1197</v>
      </c>
      <c r="BS122">
        <v>-38337.312067038984</v>
      </c>
      <c r="BT122">
        <v>-104293.97798882655</v>
      </c>
      <c r="BU122" s="144">
        <f>IFERROR(BT122/BS122,"")</f>
        <v>2.7204301075268833</v>
      </c>
      <c r="BV122" s="144">
        <f>BT122-BS122</f>
        <v>-65956.665921787557</v>
      </c>
      <c r="BW122" s="144"/>
      <c r="BX122" s="144">
        <f>BV122</f>
        <v>-65956.665921787557</v>
      </c>
      <c r="BY122" t="str">
        <f>IFERROR(BX122/BO122,"")</f>
        <v/>
      </c>
      <c r="BZ122">
        <v>0</v>
      </c>
      <c r="CA122">
        <v>0</v>
      </c>
      <c r="CB122">
        <v>0</v>
      </c>
      <c r="CC122">
        <v>0</v>
      </c>
      <c r="CD122">
        <v>0</v>
      </c>
      <c r="CE122">
        <v>0</v>
      </c>
      <c r="CF122">
        <v>0</v>
      </c>
      <c r="CG122">
        <v>0</v>
      </c>
      <c r="CH122">
        <v>0</v>
      </c>
      <c r="CI122">
        <v>0</v>
      </c>
      <c r="CJ122">
        <v>0</v>
      </c>
      <c r="CK122">
        <v>0</v>
      </c>
      <c r="CL122">
        <v>0</v>
      </c>
      <c r="CM122">
        <v>1</v>
      </c>
      <c r="CN122" t="str">
        <f>IF(BL122&lt;BK122,"refNeedCorrection","refOK")</f>
        <v>refOK</v>
      </c>
      <c r="CO122"/>
      <c r="CP122"/>
      <c r="CQ122"/>
      <c r="CR122">
        <f>IF($CN122="refOK",$BS122,$BT122)*IF($BP122="Emissions positive",-1,1)</f>
        <v>-38337.312067038984</v>
      </c>
      <c r="CS122">
        <f>IF($CN122="refOK",$BT122,$BS122)*IF($BP122="Emissions positive",-1,1)</f>
        <v>-104293.97798882655</v>
      </c>
      <c r="CT122">
        <f>IF($CN122="refNeedCorrection",-BX122,BX122)*IF($BP122="Emissions positive",-1,1)</f>
        <v>-65956.665921787557</v>
      </c>
      <c r="CU122" t="str">
        <f>IFERROR(CT122/CQ122,"")</f>
        <v/>
      </c>
      <c r="CV122" s="2">
        <f>IFERROR((CS122-CR122)/ABS(CR122),"")</f>
        <v>-1.7204301075268833</v>
      </c>
      <c r="CW122" s="1" t="s">
        <v>1201</v>
      </c>
      <c r="CX122" t="str">
        <f>IF(OR($CW122="prd",$CW122="std",$CW122="cit"),"loc",IF(OR($CW122="eur",$CW122="reg",$CW122="coy"),"reg",$CW122))</f>
        <v>reg</v>
      </c>
      <c r="CY122" t="s">
        <v>236</v>
      </c>
      <c r="CZ122">
        <v>2010</v>
      </c>
      <c r="DA122">
        <v>2070</v>
      </c>
      <c r="DB122">
        <f>DA122-CZ122</f>
        <v>60</v>
      </c>
      <c r="DC122" t="str">
        <f>IF(DB122=0,"0",IF(AND(DB122&gt;=1,DB122&lt;=30),"1-30",IF(AND(DB122&gt;30,DB122&lt;=70),"31-70",IF(AND(DB122&gt;70,DB122&lt;=100),"71-100",IF(DB122&gt;100,"+100")))))</f>
        <v>31-70</v>
      </c>
      <c r="DD122">
        <v>1</v>
      </c>
      <c r="DE122">
        <v>1</v>
      </c>
      <c r="DF122">
        <v>1</v>
      </c>
      <c r="DG122">
        <v>1</v>
      </c>
      <c r="DH122">
        <v>0</v>
      </c>
      <c r="DI122">
        <f>SUM(DD122:DG122)</f>
        <v>4</v>
      </c>
      <c r="DJ122" t="str">
        <f>IF(DI122=1,INDEX($DD$7:$DG$7,MATCH(1,$DD122:$DG122,0)),"mixedProduct")</f>
        <v>mixedProduct</v>
      </c>
      <c r="DK122" t="str">
        <f>IF(DD122=1,DK$7,0)</f>
        <v>Upstream</v>
      </c>
      <c r="DL122" t="str">
        <f>IF(DE122=1,DL$7,0)</f>
        <v>Energy</v>
      </c>
      <c r="DM122" t="str">
        <f>IF(DF122=1,DM$7,0)</f>
        <v>Pulp/Paper</v>
      </c>
      <c r="DN122" t="str">
        <f>IF(DG122=1,DN$7,0)</f>
        <v>Timber</v>
      </c>
      <c r="DO122">
        <v>0</v>
      </c>
      <c r="DP122">
        <v>0</v>
      </c>
      <c r="DQ122">
        <v>0</v>
      </c>
      <c r="DR122">
        <v>0</v>
      </c>
      <c r="DS122">
        <v>0</v>
      </c>
      <c r="DT122">
        <f>SUM(DO122:DP122)</f>
        <v>0</v>
      </c>
      <c r="DU122" s="143" t="str">
        <f>IF(DO122=1,"self-calculated DF",IF(DP122=1,"external DF used","explicit C balance"))</f>
        <v>explicit C balance</v>
      </c>
      <c r="DV122">
        <v>1</v>
      </c>
      <c r="DW122">
        <v>1</v>
      </c>
      <c r="DX122">
        <v>1</v>
      </c>
      <c r="DY122">
        <v>0</v>
      </c>
      <c r="DZ122">
        <v>0</v>
      </c>
      <c r="EA122" s="143">
        <v>0</v>
      </c>
      <c r="EB122">
        <v>1</v>
      </c>
      <c r="EC122">
        <v>1</v>
      </c>
      <c r="ED122">
        <v>0</v>
      </c>
      <c r="EE122">
        <v>0</v>
      </c>
      <c r="EF122">
        <v>1</v>
      </c>
      <c r="EG122">
        <v>0</v>
      </c>
      <c r="EH122">
        <v>0</v>
      </c>
      <c r="EI122" s="2">
        <v>0</v>
      </c>
      <c r="EJ122" s="1"/>
      <c r="EK122" t="str">
        <f>IF(AND(AND(AND(OR($DX122=1,$DW122=1),OR($EC122=1,$EA122=1)),SUM($DV122:$DZ122,$EF122)&gt;=4),SUM($EA122:$EE122)&gt;=2),"Whole sector","")</f>
        <v>Whole sector</v>
      </c>
      <c r="EL122" t="str">
        <f>IF(AND(AND(OR($DX122=1,$DW122=1),AND($EC122=0,$EA122=0)),SUM($DV122:$DZ122,$EF122)&gt;=4),"Ecosystem approach","")</f>
        <v/>
      </c>
      <c r="EM122" s="2" t="str">
        <f>IF(AND(AND(AND($DX122=0,$DW122=0),OR($EC122=1,$EA122=1)),SUM($EB122:$EE122)&gt;=2),"Technology approach","")</f>
        <v/>
      </c>
      <c r="EN122"/>
      <c r="EO122"/>
      <c r="EP122" t="b">
        <f>IF(ISNUMBER(BU122),IF(ABS(BU122-[2]QC_indicators!$B$2)&gt;3*[2]QC_indicators!$C$2,"C ratio",IF(ISNUMBER(BY122),IF(ABS(BY122-[2]QC_indicators!$B$1)&gt;3*[2]QC_indicators!$C$1,"DF","no"))),IF(ISNUMBER(BY122),IF(ABS(BY122-[2]QC_indicators!$B$1)&gt;3*[2]QC_indicators!$C$1,"DF","no")))</f>
        <v>0</v>
      </c>
      <c r="EQ122"/>
      <c r="ER122"/>
      <c r="ES122"/>
      <c r="ET122" s="266" t="s">
        <v>3275</v>
      </c>
      <c r="EU122"/>
    </row>
    <row r="123" spans="1:151" s="139" customFormat="1" ht="15" customHeight="1">
      <c r="A123" s="1" t="s">
        <v>1362</v>
      </c>
      <c r="B123" t="s">
        <v>1363</v>
      </c>
      <c r="C123" t="s">
        <v>1364</v>
      </c>
      <c r="D123" t="s">
        <v>1365</v>
      </c>
      <c r="E123" t="s">
        <v>1366</v>
      </c>
      <c r="F123" t="s">
        <v>1367</v>
      </c>
      <c r="G123" t="s">
        <v>1368</v>
      </c>
      <c r="H123" t="s">
        <v>255</v>
      </c>
      <c r="I123">
        <v>2012</v>
      </c>
      <c r="J123">
        <v>27</v>
      </c>
      <c r="K123" t="s">
        <v>1369</v>
      </c>
      <c r="L123"/>
      <c r="M123" t="str">
        <f>LEFT($D123,FIND(",",$D123)-1)&amp;"_"&amp;I123&amp;L123</f>
        <v>Colombo_2012</v>
      </c>
      <c r="N123" t="s">
        <v>223</v>
      </c>
      <c r="O123" s="145" t="s">
        <v>224</v>
      </c>
      <c r="P123"/>
      <c r="Q123" t="s">
        <v>257</v>
      </c>
      <c r="R123" s="271" t="s">
        <v>275</v>
      </c>
      <c r="S123" s="1" t="s">
        <v>1377</v>
      </c>
      <c r="T123" t="s">
        <v>1378</v>
      </c>
      <c r="U123" t="s">
        <v>1379</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1</v>
      </c>
      <c r="AR123">
        <v>0</v>
      </c>
      <c r="AS123">
        <v>0</v>
      </c>
      <c r="AT123">
        <v>0</v>
      </c>
      <c r="AU123">
        <v>0</v>
      </c>
      <c r="AV123">
        <v>0</v>
      </c>
      <c r="AW123">
        <v>0</v>
      </c>
      <c r="AX123" s="141">
        <f>COUNTIF(V123:AW123,"&lt;&gt;0")</f>
        <v>1</v>
      </c>
      <c r="AY123" s="141">
        <f>COUNTIF(V123:AL123,"&lt;&gt;0")</f>
        <v>0</v>
      </c>
      <c r="AZ123">
        <f>COUNTIF(V123:AC123,"&lt;&gt;0")</f>
        <v>0</v>
      </c>
      <c r="BA123">
        <f>COUNTIF(AD123:AI123,"&lt;&gt;0")</f>
        <v>0</v>
      </c>
      <c r="BB123">
        <f>COUNTIF(AJ123:AL123,"&lt;&gt;0")</f>
        <v>0</v>
      </c>
      <c r="BC123">
        <f>COUNTIF(AS123:AW123,"&lt;&gt;0")</f>
        <v>0</v>
      </c>
      <c r="BD123">
        <f>COUNTIF(AM123:AR123,"&lt;&gt;0")</f>
        <v>1</v>
      </c>
      <c r="BE123" t="str">
        <f t="array" ref="BE123">IF(AY123=1,INDEX($V$7:$AL$7,MATCH(TRUE,INDEX($V123:$AW123&lt;&gt;0,),0)),IF(AY123=0,INDEX($AM$7:$AW$7,MATCH(1,$AM123:$AW123,0)),IF(BF123="Multiple strategies","mixed drivers",IF(BF123="Supply chain","multiple supply","multiple silviculture"))))</f>
        <v>disturbance</v>
      </c>
      <c r="BF123" s="2" t="str">
        <f t="array" ref="BF123">IF(COUNTIF(AZ123:BB123,"&lt;&gt;0")=1,INDEX($V$4:$AW$4,MATCH(TRUE,INDEX($V123:$AW123&lt;&gt;0,),0)),IF(COUNTIF(AZ123:BB123,"&lt;&gt;0")=0,INDEX($AM$4:$AW$4,MATCH(1,$AM123:$AW123,0)),"Multiple strategies"))</f>
        <v>Environmental change</v>
      </c>
      <c r="BG123" s="1" t="s">
        <v>230</v>
      </c>
      <c r="BH123" t="s">
        <v>1373</v>
      </c>
      <c r="BI123" s="266"/>
      <c r="BJ123" t="s">
        <v>1374</v>
      </c>
      <c r="BK123">
        <v>0</v>
      </c>
      <c r="BL123">
        <v>0</v>
      </c>
      <c r="BM123"/>
      <c r="BN123">
        <f>BL123-BK123</f>
        <v>0</v>
      </c>
      <c r="BO123">
        <f>BN123*10^6*t_to_m3</f>
        <v>0</v>
      </c>
      <c r="BP123" s="143" t="s">
        <v>233</v>
      </c>
      <c r="BQ123" s="319" t="s">
        <v>691</v>
      </c>
      <c r="BR123" t="s">
        <v>1374</v>
      </c>
      <c r="BS123">
        <v>492.76190476190402</v>
      </c>
      <c r="BT123">
        <v>548.57142857142799</v>
      </c>
      <c r="BU123" s="144">
        <f>IFERROR(BT123/BS123,"")</f>
        <v>1.1132586006957872</v>
      </c>
      <c r="BV123">
        <f>BT123-BS123</f>
        <v>55.809523809523967</v>
      </c>
      <c r="BW123"/>
      <c r="BX123">
        <f>BV123*10^6*C_to_CO2</f>
        <v>204820952.38095295</v>
      </c>
      <c r="BY123" t="str">
        <f>IFERROR(BX123/BO123,"")</f>
        <v/>
      </c>
      <c r="BZ123">
        <v>0</v>
      </c>
      <c r="CA123">
        <v>0</v>
      </c>
      <c r="CB123">
        <v>0</v>
      </c>
      <c r="CC123">
        <v>0</v>
      </c>
      <c r="CD123">
        <v>0</v>
      </c>
      <c r="CE123">
        <v>0</v>
      </c>
      <c r="CF123">
        <v>0</v>
      </c>
      <c r="CG123">
        <v>0</v>
      </c>
      <c r="CH123">
        <v>0</v>
      </c>
      <c r="CI123">
        <v>0</v>
      </c>
      <c r="CJ123">
        <v>0</v>
      </c>
      <c r="CK123">
        <v>0</v>
      </c>
      <c r="CL123">
        <v>0</v>
      </c>
      <c r="CM123">
        <v>0</v>
      </c>
      <c r="CN123" t="str">
        <f>IF($BL123&lt;$BK123,"refNeedCorrection","refOK")</f>
        <v>refOK</v>
      </c>
      <c r="CO123" s="273">
        <f>IF($CN123="refOK",$BK123,$BL123)</f>
        <v>0</v>
      </c>
      <c r="CP123" s="273">
        <f>IF($CN123="refOK",$BL123,$BK123)</f>
        <v>0</v>
      </c>
      <c r="CQ123">
        <f>IF($CN123="refOK",$BO123,-$BO123)</f>
        <v>0</v>
      </c>
      <c r="CR123">
        <f>IF($CN123="refOK",$BS123,$BT123)*IF($BP123="Emissions positive",-1,1)</f>
        <v>492.76190476190402</v>
      </c>
      <c r="CS123">
        <f>IF($CN123="refOK",$BT123,$BS123)*IF($BP123="Emissions positive",-1,1)</f>
        <v>548.57142857142799</v>
      </c>
      <c r="CT123">
        <f>IF($CN123="refNeedCorrection",-BX123,BX123)*IF($BP123="Emissions positive",-1,1)</f>
        <v>204820952.38095295</v>
      </c>
      <c r="CU123" t="str">
        <f>IFERROR(CT123/CQ123,"")</f>
        <v/>
      </c>
      <c r="CV123" s="2">
        <f>IFERROR((CS123-CR123)/ABS(CR123),"")</f>
        <v>0.11325860069578711</v>
      </c>
      <c r="CW123" s="1" t="s">
        <v>1201</v>
      </c>
      <c r="CX123" t="str">
        <f>IF(OR($CW123="prd",$CW123="std",$CW123="cit"),"loc",IF(OR($CW123="eur",$CW123="reg",$CW123="coy"),"reg",$CW123))</f>
        <v>reg</v>
      </c>
      <c r="CY123" t="s">
        <v>541</v>
      </c>
      <c r="CZ123">
        <v>2010</v>
      </c>
      <c r="DA123">
        <v>2110</v>
      </c>
      <c r="DB123">
        <f>DA123-CZ123</f>
        <v>100</v>
      </c>
      <c r="DC123" t="str">
        <f>IF(DB123=0,"0",IF(AND(DB123&gt;=1,DB123&lt;=30),"1-30",IF(AND(DB123&gt;30,DB123&lt;=70),"31-70",IF(AND(DB123&gt;70,DB123&lt;=100),"71-100",IF(DB123&gt;100,"+100")))))</f>
        <v>71-100</v>
      </c>
      <c r="DD123">
        <v>0</v>
      </c>
      <c r="DE123">
        <v>1</v>
      </c>
      <c r="DF123">
        <v>1</v>
      </c>
      <c r="DG123">
        <v>1</v>
      </c>
      <c r="DH123"/>
      <c r="DI123">
        <f>SUM(DD123:DG123)</f>
        <v>3</v>
      </c>
      <c r="DJ123" t="str">
        <f>IF(DI123=1,INDEX($DD$7:$DG$7,MATCH(1,$DD123:$DG123,0)),"mixedProduct")</f>
        <v>mixedProduct</v>
      </c>
      <c r="DK123">
        <f>IF(DD123=1,DK$7,0)</f>
        <v>0</v>
      </c>
      <c r="DL123" t="str">
        <f>IF(DE123=1,DL$7,0)</f>
        <v>Energy</v>
      </c>
      <c r="DM123" t="str">
        <f>IF(DF123=1,DM$7,0)</f>
        <v>Pulp/Paper</v>
      </c>
      <c r="DN123" t="str">
        <f>IF(DG123=1,DN$7,0)</f>
        <v>Timber</v>
      </c>
      <c r="DO123">
        <v>0</v>
      </c>
      <c r="DP123">
        <v>0</v>
      </c>
      <c r="DQ123">
        <v>0</v>
      </c>
      <c r="DR123">
        <v>0</v>
      </c>
      <c r="DS123">
        <v>0</v>
      </c>
      <c r="DT123">
        <f>SUM(DO123:DP123)</f>
        <v>0</v>
      </c>
      <c r="DU123" s="143" t="str">
        <f>IF(DO123=1,"self-calculated DF",IF(DP123=1,"external DF used","explicit C balance"))</f>
        <v>explicit C balance</v>
      </c>
      <c r="DV123">
        <v>1</v>
      </c>
      <c r="DW123">
        <v>1</v>
      </c>
      <c r="DX123">
        <v>1</v>
      </c>
      <c r="DY123">
        <v>1</v>
      </c>
      <c r="DZ123">
        <v>0</v>
      </c>
      <c r="EA123" s="143">
        <v>0</v>
      </c>
      <c r="EB123">
        <v>0</v>
      </c>
      <c r="EC123">
        <v>0</v>
      </c>
      <c r="ED123">
        <v>0</v>
      </c>
      <c r="EE123">
        <v>0</v>
      </c>
      <c r="EF123">
        <v>1</v>
      </c>
      <c r="EG123">
        <v>0</v>
      </c>
      <c r="EH123">
        <v>0</v>
      </c>
      <c r="EI123" s="2">
        <v>0</v>
      </c>
      <c r="EJ123" s="1"/>
      <c r="EK123" t="str">
        <f>IF(AND(AND(AND(OR($DX123=1,$DW123=1),OR($EC123=1,$EA123=1)),SUM($DV123:$DZ123,$EF123)&gt;=4),SUM($EA123:$EE123)&gt;=2),"Whole sector","")</f>
        <v/>
      </c>
      <c r="EL123" t="str">
        <f>IF(AND(AND(OR($DX123=1,$DW123=1),AND($EC123=0,$EA123=0)),SUM($DV123:$DZ123,$EF123)&gt;=4),"Ecosystem approach","")</f>
        <v>Ecosystem approach</v>
      </c>
      <c r="EM123" s="2" t="str">
        <f>IF(AND(AND(AND($DX123=0,$DW123=0),OR($EC123=1,$EA123=1)),SUM($EB123:$EE123)&gt;=2),"Technology approach","")</f>
        <v/>
      </c>
      <c r="EN123"/>
      <c r="EO123"/>
      <c r="EP123" t="b">
        <f>IF(ISNUMBER(BU123),IF(ABS(BU123-[3]QC_indicators!$B$2)&gt;3*[3]QC_indicators!$C$2,"C ratio",IF(ISNUMBER(BY123),IF(ABS(BY123-[3]QC_indicators!$B$1)&gt;3*[3]QC_indicators!$C$1,"DF","no"))),IF(ISNUMBER(BY123),IF(ABS(BY123-[3]QC_indicators!$B$1)&gt;3*[3]QC_indicators!$C$1,"DF","no")))</f>
        <v>0</v>
      </c>
      <c r="EQ123"/>
      <c r="ER123"/>
      <c r="ES123"/>
      <c r="ET123" s="266" t="s">
        <v>3153</v>
      </c>
      <c r="EU123"/>
    </row>
    <row r="124" spans="1:151" s="139" customFormat="1" ht="15" customHeight="1">
      <c r="A124" s="1" t="s">
        <v>1362</v>
      </c>
      <c r="B124" t="s">
        <v>1363</v>
      </c>
      <c r="C124" t="s">
        <v>1364</v>
      </c>
      <c r="D124" t="s">
        <v>1365</v>
      </c>
      <c r="E124" t="s">
        <v>1366</v>
      </c>
      <c r="F124" t="s">
        <v>1367</v>
      </c>
      <c r="G124" t="s">
        <v>1368</v>
      </c>
      <c r="H124" t="s">
        <v>255</v>
      </c>
      <c r="I124">
        <v>2012</v>
      </c>
      <c r="J124">
        <v>27</v>
      </c>
      <c r="K124" t="s">
        <v>1369</v>
      </c>
      <c r="L124"/>
      <c r="M124" t="str">
        <f>LEFT($D124,FIND(",",$D124)-1)&amp;"_"&amp;I124&amp;L124</f>
        <v>Colombo_2012</v>
      </c>
      <c r="N124" t="s">
        <v>223</v>
      </c>
      <c r="O124" s="145" t="s">
        <v>224</v>
      </c>
      <c r="P124"/>
      <c r="Q124" t="s">
        <v>257</v>
      </c>
      <c r="R124" s="271" t="s">
        <v>275</v>
      </c>
      <c r="S124" s="1" t="s">
        <v>1377</v>
      </c>
      <c r="T124" t="s">
        <v>1378</v>
      </c>
      <c r="U124" t="s">
        <v>1379</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1</v>
      </c>
      <c r="AR124">
        <v>0</v>
      </c>
      <c r="AS124">
        <v>0</v>
      </c>
      <c r="AT124">
        <v>0</v>
      </c>
      <c r="AU124">
        <v>0</v>
      </c>
      <c r="AV124">
        <v>0</v>
      </c>
      <c r="AW124">
        <v>0</v>
      </c>
      <c r="AX124" s="141">
        <f>COUNTIF(V124:AW124,"&lt;&gt;0")</f>
        <v>1</v>
      </c>
      <c r="AY124" s="141">
        <f>COUNTIF(V124:AL124,"&lt;&gt;0")</f>
        <v>0</v>
      </c>
      <c r="AZ124">
        <f>COUNTIF(V124:AC124,"&lt;&gt;0")</f>
        <v>0</v>
      </c>
      <c r="BA124">
        <f>COUNTIF(AD124:AI124,"&lt;&gt;0")</f>
        <v>0</v>
      </c>
      <c r="BB124">
        <f>COUNTIF(AJ124:AL124,"&lt;&gt;0")</f>
        <v>0</v>
      </c>
      <c r="BC124">
        <f>COUNTIF(AS124:AW124,"&lt;&gt;0")</f>
        <v>0</v>
      </c>
      <c r="BD124">
        <f>COUNTIF(AM124:AR124,"&lt;&gt;0")</f>
        <v>1</v>
      </c>
      <c r="BE124" t="str">
        <f t="array" ref="BE124">IF(AY124=1,INDEX($V$7:$AL$7,MATCH(TRUE,INDEX($V124:$AW124&lt;&gt;0,),0)),IF(AY124=0,INDEX($AM$7:$AW$7,MATCH(1,$AM124:$AW124,0)),IF(BF124="Multiple strategies","mixed drivers",IF(BF124="Supply chain","multiple supply","multiple silviculture"))))</f>
        <v>disturbance</v>
      </c>
      <c r="BF124" s="2" t="str">
        <f t="array" ref="BF124">IF(COUNTIF(AZ124:BB124,"&lt;&gt;0")=1,INDEX($V$4:$AW$4,MATCH(TRUE,INDEX($V124:$AW124&lt;&gt;0,),0)),IF(COUNTIF(AZ124:BB124,"&lt;&gt;0")=0,INDEX($AM$4:$AW$4,MATCH(1,$AM124:$AW124,0)),"Multiple strategies"))</f>
        <v>Environmental change</v>
      </c>
      <c r="BG124" s="1" t="s">
        <v>230</v>
      </c>
      <c r="BH124" t="s">
        <v>1373</v>
      </c>
      <c r="BI124" s="266"/>
      <c r="BJ124" t="s">
        <v>1374</v>
      </c>
      <c r="BK124">
        <v>0</v>
      </c>
      <c r="BL124">
        <v>0</v>
      </c>
      <c r="BM124"/>
      <c r="BN124">
        <f>BL124-BK124</f>
        <v>0</v>
      </c>
      <c r="BO124">
        <f>BN124*10^6*t_to_m3</f>
        <v>0</v>
      </c>
      <c r="BP124" s="143" t="s">
        <v>233</v>
      </c>
      <c r="BQ124" s="319" t="s">
        <v>691</v>
      </c>
      <c r="BR124" t="s">
        <v>1374</v>
      </c>
      <c r="BS124">
        <v>501.90476190476198</v>
      </c>
      <c r="BT124">
        <v>554.66666666666595</v>
      </c>
      <c r="BU124" s="144">
        <f>IFERROR(BT124/BS124,"")</f>
        <v>1.1051233396584423</v>
      </c>
      <c r="BV124">
        <f>BT124-BS124</f>
        <v>52.761904761903963</v>
      </c>
      <c r="BW124"/>
      <c r="BX124">
        <f>BV124*10^6*C_to_CO2</f>
        <v>193636190.47618756</v>
      </c>
      <c r="BY124" t="str">
        <f>IFERROR(BX124/BO124,"")</f>
        <v/>
      </c>
      <c r="BZ124">
        <v>0</v>
      </c>
      <c r="CA124">
        <v>0</v>
      </c>
      <c r="CB124">
        <v>0</v>
      </c>
      <c r="CC124">
        <v>0</v>
      </c>
      <c r="CD124">
        <v>0</v>
      </c>
      <c r="CE124">
        <v>0</v>
      </c>
      <c r="CF124">
        <v>0</v>
      </c>
      <c r="CG124">
        <v>0</v>
      </c>
      <c r="CH124">
        <v>0</v>
      </c>
      <c r="CI124">
        <v>0</v>
      </c>
      <c r="CJ124">
        <v>0</v>
      </c>
      <c r="CK124">
        <v>0</v>
      </c>
      <c r="CL124">
        <v>0</v>
      </c>
      <c r="CM124">
        <v>0</v>
      </c>
      <c r="CN124" t="str">
        <f>IF($BL124&lt;$BK124,"refNeedCorrection","refOK")</f>
        <v>refOK</v>
      </c>
      <c r="CO124" s="273">
        <f>IF($CN124="refOK",$BK124,$BL124)</f>
        <v>0</v>
      </c>
      <c r="CP124" s="273">
        <f>IF($CN124="refOK",$BL124,$BK124)</f>
        <v>0</v>
      </c>
      <c r="CQ124">
        <f>IF($CN124="refOK",$BO124,-$BO124)</f>
        <v>0</v>
      </c>
      <c r="CR124">
        <f>IF($CN124="refOK",$BS124,$BT124)*IF($BP124="Emissions positive",-1,1)</f>
        <v>501.90476190476198</v>
      </c>
      <c r="CS124">
        <f>IF($CN124="refOK",$BT124,$BS124)*IF($BP124="Emissions positive",-1,1)</f>
        <v>554.66666666666595</v>
      </c>
      <c r="CT124">
        <f>IF($CN124="refNeedCorrection",-BX124,BX124)*IF($BP124="Emissions positive",-1,1)</f>
        <v>193636190.47618756</v>
      </c>
      <c r="CU124" t="str">
        <f>IFERROR(CT124/CQ124,"")</f>
        <v/>
      </c>
      <c r="CV124" s="2">
        <f>IFERROR((CS124-CR124)/ABS(CR124),"")</f>
        <v>0.10512333965844242</v>
      </c>
      <c r="CW124" s="1" t="s">
        <v>1201</v>
      </c>
      <c r="CX124" t="str">
        <f>IF(OR($CW124="prd",$CW124="std",$CW124="cit"),"loc",IF(OR($CW124="eur",$CW124="reg",$CW124="coy"),"reg",$CW124))</f>
        <v>reg</v>
      </c>
      <c r="CY124" t="s">
        <v>541</v>
      </c>
      <c r="CZ124">
        <v>2010</v>
      </c>
      <c r="DA124">
        <v>2050</v>
      </c>
      <c r="DB124">
        <f>DA124-CZ124</f>
        <v>40</v>
      </c>
      <c r="DC124" t="str">
        <f>IF(DB124=0,"0",IF(AND(DB124&gt;=1,DB124&lt;=30),"1-30",IF(AND(DB124&gt;30,DB124&lt;=70),"31-70",IF(AND(DB124&gt;70,DB124&lt;=100),"71-100",IF(DB124&gt;100,"+100")))))</f>
        <v>31-70</v>
      </c>
      <c r="DD124">
        <v>0</v>
      </c>
      <c r="DE124">
        <v>1</v>
      </c>
      <c r="DF124">
        <v>1</v>
      </c>
      <c r="DG124">
        <v>1</v>
      </c>
      <c r="DH124"/>
      <c r="DI124">
        <f>SUM(DD124:DG124)</f>
        <v>3</v>
      </c>
      <c r="DJ124" t="str">
        <f>IF(DI124=1,INDEX($DD$7:$DG$7,MATCH(1,$DD124:$DG124,0)),"mixedProduct")</f>
        <v>mixedProduct</v>
      </c>
      <c r="DK124">
        <f>IF(DD124=1,DK$7,0)</f>
        <v>0</v>
      </c>
      <c r="DL124" t="str">
        <f>IF(DE124=1,DL$7,0)</f>
        <v>Energy</v>
      </c>
      <c r="DM124" t="str">
        <f>IF(DF124=1,DM$7,0)</f>
        <v>Pulp/Paper</v>
      </c>
      <c r="DN124" t="str">
        <f>IF(DG124=1,DN$7,0)</f>
        <v>Timber</v>
      </c>
      <c r="DO124">
        <v>0</v>
      </c>
      <c r="DP124">
        <v>0</v>
      </c>
      <c r="DQ124">
        <v>0</v>
      </c>
      <c r="DR124">
        <v>0</v>
      </c>
      <c r="DS124">
        <v>0</v>
      </c>
      <c r="DT124">
        <f>SUM(DO124:DP124)</f>
        <v>0</v>
      </c>
      <c r="DU124" s="143" t="str">
        <f>IF(DO124=1,"self-calculated DF",IF(DP124=1,"external DF used","explicit C balance"))</f>
        <v>explicit C balance</v>
      </c>
      <c r="DV124">
        <v>1</v>
      </c>
      <c r="DW124">
        <v>1</v>
      </c>
      <c r="DX124">
        <v>1</v>
      </c>
      <c r="DY124">
        <v>1</v>
      </c>
      <c r="DZ124">
        <v>0</v>
      </c>
      <c r="EA124" s="143">
        <v>0</v>
      </c>
      <c r="EB124">
        <v>0</v>
      </c>
      <c r="EC124">
        <v>0</v>
      </c>
      <c r="ED124">
        <v>0</v>
      </c>
      <c r="EE124">
        <v>0</v>
      </c>
      <c r="EF124">
        <v>1</v>
      </c>
      <c r="EG124">
        <v>0</v>
      </c>
      <c r="EH124">
        <v>0</v>
      </c>
      <c r="EI124" s="2">
        <v>0</v>
      </c>
      <c r="EJ124" s="1"/>
      <c r="EK124" t="str">
        <f>IF(AND(AND(AND(OR($DX124=1,$DW124=1),OR($EC124=1,$EA124=1)),SUM($DV124:$DZ124,$EF124)&gt;=4),SUM($EA124:$EE124)&gt;=2),"Whole sector","")</f>
        <v/>
      </c>
      <c r="EL124" t="str">
        <f>IF(AND(AND(OR($DX124=1,$DW124=1),AND($EC124=0,$EA124=0)),SUM($DV124:$DZ124,$EF124)&gt;=4),"Ecosystem approach","")</f>
        <v>Ecosystem approach</v>
      </c>
      <c r="EM124" s="2" t="str">
        <f>IF(AND(AND(AND($DX124=0,$DW124=0),OR($EC124=1,$EA124=1)),SUM($EB124:$EE124)&gt;=2),"Technology approach","")</f>
        <v/>
      </c>
      <c r="EN124"/>
      <c r="EO124"/>
      <c r="EP124" t="b">
        <f>IF(ISNUMBER(BU124),IF(ABS(BU124-[3]QC_indicators!$B$2)&gt;3*[3]QC_indicators!$C$2,"C ratio",IF(ISNUMBER(BY124),IF(ABS(BY124-[3]QC_indicators!$B$1)&gt;3*[3]QC_indicators!$C$1,"DF","no"))),IF(ISNUMBER(BY124),IF(ABS(BY124-[3]QC_indicators!$B$1)&gt;3*[3]QC_indicators!$C$1,"DF","no")))</f>
        <v>0</v>
      </c>
      <c r="EQ124"/>
      <c r="ER124"/>
      <c r="ES124"/>
      <c r="ET124" s="266" t="s">
        <v>3153</v>
      </c>
      <c r="EU124"/>
    </row>
    <row r="125" spans="1:151" s="139" customFormat="1" ht="15" customHeight="1">
      <c r="A125" s="1" t="s">
        <v>1362</v>
      </c>
      <c r="B125" t="s">
        <v>2137</v>
      </c>
      <c r="C125" t="s">
        <v>2138</v>
      </c>
      <c r="D125" t="s">
        <v>2139</v>
      </c>
      <c r="E125" t="s">
        <v>2140</v>
      </c>
      <c r="F125" t="s">
        <v>2141</v>
      </c>
      <c r="G125" t="s">
        <v>1368</v>
      </c>
      <c r="H125" t="s">
        <v>255</v>
      </c>
      <c r="I125">
        <v>2012</v>
      </c>
      <c r="J125">
        <v>21</v>
      </c>
      <c r="K125" t="s">
        <v>2142</v>
      </c>
      <c r="L125" s="192"/>
      <c r="M125" t="str">
        <f>LEFT($D125,FIND(",",$D125)-1)&amp;"_"&amp;I125&amp;L125</f>
        <v>Pyorala_2012</v>
      </c>
      <c r="N125" t="s">
        <v>223</v>
      </c>
      <c r="O125" s="145" t="s">
        <v>342</v>
      </c>
      <c r="P125" s="180" t="s">
        <v>224</v>
      </c>
      <c r="Q125" s="266" t="s">
        <v>257</v>
      </c>
      <c r="R125" s="271" t="s">
        <v>1156</v>
      </c>
      <c r="S125" s="265" t="s">
        <v>2143</v>
      </c>
      <c r="T125" s="266" t="s">
        <v>2144</v>
      </c>
      <c r="U125" s="266" t="s">
        <v>2145</v>
      </c>
      <c r="V125">
        <v>0</v>
      </c>
      <c r="W125">
        <v>0</v>
      </c>
      <c r="X125">
        <v>0</v>
      </c>
      <c r="Y125">
        <v>1</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s="141">
        <f>COUNTIF(V125:AW125,"&lt;&gt;0")</f>
        <v>1</v>
      </c>
      <c r="AY125" s="141">
        <f>COUNTIF(V125:AL125,"&lt;&gt;0")</f>
        <v>1</v>
      </c>
      <c r="AZ125">
        <f>COUNTIF(V125:AC125,"&lt;&gt;0")</f>
        <v>1</v>
      </c>
      <c r="BA125">
        <f>COUNTIF(AD125:AI125,"&lt;&gt;0")</f>
        <v>0</v>
      </c>
      <c r="BB125">
        <f>COUNTIF(AJ125:AL125,"&lt;&gt;0")</f>
        <v>0</v>
      </c>
      <c r="BC125">
        <f>COUNTIF(AS125:AW125,"&lt;&gt;0")</f>
        <v>0</v>
      </c>
      <c r="BD125">
        <f>COUNTIF(AM125:AR125,"&lt;&gt;0")</f>
        <v>0</v>
      </c>
      <c r="BE125" t="str" cm="1">
        <f t="array" ref="BE125">IF(AY125=1,INDEX($V$7:$AL$7,MATCH(TRUE,INDEX($V125:$AW125&lt;&gt;0,),0)),IF(AY125=0,INDEX($AM$7:$AW$7,MATCH(1,$AM125:$AW125,0)),IF(BF125="Multiple strategies","mixed drivers",IF(BF125="Supply chain","multiple supply","multiple silviculture"))))</f>
        <v xml:space="preserve">cutting intensity </v>
      </c>
      <c r="BF125" s="2" t="str" cm="1">
        <f t="array" ref="BF125">IF(COUNTIF(AZ125:BB125,"&lt;&gt;0")=1,INDEX($V$4:$AW$4,MATCH(TRUE,INDEX($V125:$AW125&lt;&gt;0,),0)),IF(COUNTIF(AZ125:BB125,"&lt;&gt;0")=0,INDEX($AM$4:$AW$4,MATCH(1,$AM125:$AW125,0)),"Multiple strategies"))</f>
        <v>SilvicultureRemov</v>
      </c>
      <c r="BG125" s="178" t="s">
        <v>322</v>
      </c>
      <c r="BH125" s="266" t="s">
        <v>2146</v>
      </c>
      <c r="BI125" s="266" t="s">
        <v>427</v>
      </c>
      <c r="BJ125" s="160" t="s">
        <v>702</v>
      </c>
      <c r="BK125">
        <v>8.3000000000000007</v>
      </c>
      <c r="BL125">
        <v>8.4</v>
      </c>
      <c r="BM125"/>
      <c r="BN125">
        <f>BL125-BK125</f>
        <v>9.9999999999999645E-2</v>
      </c>
      <c r="BO125">
        <f>BN125</f>
        <v>9.9999999999999645E-2</v>
      </c>
      <c r="BP125" s="155" t="s">
        <v>233</v>
      </c>
      <c r="BQ125" s="266" t="s">
        <v>788</v>
      </c>
      <c r="BR125" s="272" t="s">
        <v>2147</v>
      </c>
      <c r="BS125" s="266">
        <f>136.6/80</f>
        <v>1.7075</v>
      </c>
      <c r="BT125" s="266">
        <f>113.9/80</f>
        <v>1.4237500000000001</v>
      </c>
      <c r="BU125" s="144"/>
      <c r="BV125">
        <f>BT125-BS125</f>
        <v>-0.28374999999999995</v>
      </c>
      <c r="BW125"/>
      <c r="BX125">
        <f>BV125</f>
        <v>-0.28374999999999995</v>
      </c>
      <c r="BY125">
        <f>IFERROR(BX125/BO125,"")</f>
        <v>-2.8375000000000097</v>
      </c>
      <c r="BZ125">
        <v>0</v>
      </c>
      <c r="CA125">
        <v>0</v>
      </c>
      <c r="CB125">
        <v>0</v>
      </c>
      <c r="CC125">
        <v>0</v>
      </c>
      <c r="CD125">
        <v>0</v>
      </c>
      <c r="CE125">
        <v>0</v>
      </c>
      <c r="CF125">
        <v>0</v>
      </c>
      <c r="CG125">
        <v>0</v>
      </c>
      <c r="CH125">
        <v>0</v>
      </c>
      <c r="CI125">
        <v>0</v>
      </c>
      <c r="CJ125">
        <v>0</v>
      </c>
      <c r="CK125">
        <v>0</v>
      </c>
      <c r="CL125">
        <v>0</v>
      </c>
      <c r="CM125">
        <v>0</v>
      </c>
      <c r="CN125" t="str">
        <f>IF($BL125&lt;$BK125,"refNeedCorrection","refOK")</f>
        <v>refOK</v>
      </c>
      <c r="CO125">
        <f>IF($CN125="refOK",$BK125,$BL125)</f>
        <v>8.3000000000000007</v>
      </c>
      <c r="CP125">
        <f>IF($CN125="refOK",$BL125,$BK125)</f>
        <v>8.4</v>
      </c>
      <c r="CQ125">
        <f>IF($CN125="refOK",$BO125,-$BO125)</f>
        <v>9.9999999999999645E-2</v>
      </c>
      <c r="CR125">
        <f>IF($CN125="refOK",$BS125,$BT125)*IF($BP125="Emissions positive",-1,1)</f>
        <v>1.7075</v>
      </c>
      <c r="CS125">
        <f>IF($CN125="refOK",$BT125,$BS125)*IF($BP125="Emissions positive",-1,1)</f>
        <v>1.4237500000000001</v>
      </c>
      <c r="CT125">
        <f>IF($CN125="refNeedCorrection",-BX125,BX125)*IF($BP125="Emissions positive",-1,1)</f>
        <v>-0.28374999999999995</v>
      </c>
      <c r="CU125">
        <f>IFERROR(CT125/CQ125,"")</f>
        <v>-2.8375000000000097</v>
      </c>
      <c r="CV125" s="2">
        <f>IFERROR((CS125-CR125)/ABS(CR125),"")</f>
        <v>-0.16617862371888723</v>
      </c>
      <c r="CW125" s="1" t="s">
        <v>1201</v>
      </c>
      <c r="CX125" s="266" t="str">
        <f>IF(OR($CW125="prd",$CW125="std",$CW125="cit"),"loc",IF(OR($CW125="eur",$CW125="reg",$CW125="coy"),"reg",$CW125))</f>
        <v>reg</v>
      </c>
      <c r="CY125" t="s">
        <v>236</v>
      </c>
      <c r="CZ125"/>
      <c r="DA125"/>
      <c r="DB125">
        <v>80</v>
      </c>
      <c r="DC125" t="str">
        <f>IF(DB125=0,"0",IF(AND(DB125&gt;=1,DB125&lt;=30),"1-30",IF(AND(DB125&gt;30,DB125&lt;=70),"31-70",IF(AND(DB125&gt;70,DB125&lt;=100),"71-100",IF(DB125&gt;100,"+100")))))</f>
        <v>71-100</v>
      </c>
      <c r="DD125">
        <v>0</v>
      </c>
      <c r="DE125">
        <v>1</v>
      </c>
      <c r="DF125">
        <v>1</v>
      </c>
      <c r="DG125">
        <v>1</v>
      </c>
      <c r="DH125"/>
      <c r="DI125">
        <f>SUM(DD125:DG125)</f>
        <v>3</v>
      </c>
      <c r="DJ125" t="str">
        <f>IF(DI125=1,INDEX($DD$7:$DG$7,MATCH(1,$DD125:$DG125,0)),"mixedProduct")</f>
        <v>mixedProduct</v>
      </c>
      <c r="DK125">
        <f>IF(DD125=1,DK$7,0)</f>
        <v>0</v>
      </c>
      <c r="DL125" t="str">
        <f>IF(DE125=1,DL$7,0)</f>
        <v>Energy</v>
      </c>
      <c r="DM125" t="str">
        <f>IF(DF125=1,DM$7,0)</f>
        <v>Pulp/Paper</v>
      </c>
      <c r="DN125" t="str">
        <f>IF(DG125=1,DN$7,0)</f>
        <v>Timber</v>
      </c>
      <c r="DO125">
        <v>0</v>
      </c>
      <c r="DP125">
        <v>1</v>
      </c>
      <c r="DQ125" t="s">
        <v>2148</v>
      </c>
      <c r="DR125">
        <v>0</v>
      </c>
      <c r="DS125">
        <v>0</v>
      </c>
      <c r="DT125">
        <f>SUM(DO125:DP125)</f>
        <v>1</v>
      </c>
      <c r="DU125" s="143" t="str">
        <f>IF(DO125=1,"self-calculated DF",IF(DP125=1,"external DF used","explicit C balance"))</f>
        <v>external DF used</v>
      </c>
      <c r="DV125">
        <v>1</v>
      </c>
      <c r="DW125">
        <v>1</v>
      </c>
      <c r="DX125">
        <v>1</v>
      </c>
      <c r="DY125">
        <v>0</v>
      </c>
      <c r="DZ125">
        <v>0</v>
      </c>
      <c r="EA125" s="143">
        <v>0</v>
      </c>
      <c r="EB125">
        <v>0</v>
      </c>
      <c r="EC125">
        <v>0</v>
      </c>
      <c r="ED125">
        <v>0</v>
      </c>
      <c r="EE125">
        <v>0</v>
      </c>
      <c r="EF125">
        <v>1</v>
      </c>
      <c r="EG125">
        <v>0</v>
      </c>
      <c r="EH125">
        <v>0</v>
      </c>
      <c r="EI125" s="2">
        <v>0</v>
      </c>
      <c r="EJ125" s="1"/>
      <c r="EK125" t="str">
        <f>IF(AND(AND(AND(OR($DX125=1,$DW125=1),OR($EC125=1,$EA125=1)),SUM($DV125:$DZ125,$EF125)&gt;=4),SUM($EA125:$EE125)&gt;=2),"Whole sector","")</f>
        <v/>
      </c>
      <c r="EL125" t="str">
        <f>IF(AND(AND(OR($DX125=1,$DW125=1),AND($EC125=0,$EA125=0)),SUM($DV125:$DZ125,$EF125)&gt;=4),"Ecosystem approach","")</f>
        <v>Ecosystem approach</v>
      </c>
      <c r="EM125" s="2" t="str">
        <f>IF(AND(AND(AND($DX125=0,$DW125=0),OR($EC125=1,$EA125=1)),SUM($EB125:$EE125)&gt;=2),"Technology approach","")</f>
        <v/>
      </c>
      <c r="EN125"/>
      <c r="EO125"/>
      <c r="EP125" t="str">
        <f>IF(ISNUMBER(BU125),IF(ABS(BU125-[1]QC_indicators!$B$2)&gt;3*[1]QC_indicators!$C$2,"C ratio",IF(ISNUMBER(BY125),IF(ABS(BY125-[1]QC_indicators!$B$1)&gt;3*[1]QC_indicators!$C$1,"DF","no"))),IF(ISNUMBER(BY125),IF(ABS(BY125-[1]QC_indicators!$B$1)&gt;3*[1]QC_indicators!$C$1,"DF","no")))</f>
        <v>no</v>
      </c>
      <c r="EQ125"/>
      <c r="ER125"/>
      <c r="ES125"/>
      <c r="ET125" s="266" t="s">
        <v>3409</v>
      </c>
      <c r="EU125"/>
    </row>
    <row r="126" spans="1:151" s="139" customFormat="1" ht="15" customHeight="1">
      <c r="A126" s="1" t="s">
        <v>1362</v>
      </c>
      <c r="B126" t="s">
        <v>2137</v>
      </c>
      <c r="C126" t="s">
        <v>2138</v>
      </c>
      <c r="D126" t="s">
        <v>2139</v>
      </c>
      <c r="E126" t="s">
        <v>2140</v>
      </c>
      <c r="F126" t="s">
        <v>2141</v>
      </c>
      <c r="G126" t="s">
        <v>1368</v>
      </c>
      <c r="H126" t="s">
        <v>255</v>
      </c>
      <c r="I126">
        <v>2012</v>
      </c>
      <c r="J126">
        <v>21</v>
      </c>
      <c r="K126" t="s">
        <v>2142</v>
      </c>
      <c r="L126" s="192"/>
      <c r="M126" t="str">
        <f>LEFT($D126,FIND(",",$D126)-1)&amp;"_"&amp;I126&amp;L126</f>
        <v>Pyorala_2012</v>
      </c>
      <c r="N126" t="s">
        <v>223</v>
      </c>
      <c r="O126" s="145" t="s">
        <v>342</v>
      </c>
      <c r="P126" s="180" t="s">
        <v>224</v>
      </c>
      <c r="Q126" s="266" t="s">
        <v>257</v>
      </c>
      <c r="R126" s="271" t="s">
        <v>1156</v>
      </c>
      <c r="S126" s="265" t="s">
        <v>2143</v>
      </c>
      <c r="T126" s="266" t="s">
        <v>2150</v>
      </c>
      <c r="U126" s="266" t="s">
        <v>2145</v>
      </c>
      <c r="V126">
        <v>0</v>
      </c>
      <c r="W126">
        <v>0</v>
      </c>
      <c r="X126">
        <v>0</v>
      </c>
      <c r="Y126">
        <v>1</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s="141">
        <f>COUNTIF(V126:AW126,"&lt;&gt;0")</f>
        <v>1</v>
      </c>
      <c r="AY126" s="141">
        <f>COUNTIF(V126:AL126,"&lt;&gt;0")</f>
        <v>1</v>
      </c>
      <c r="AZ126">
        <f>COUNTIF(V126:AC126,"&lt;&gt;0")</f>
        <v>1</v>
      </c>
      <c r="BA126">
        <f>COUNTIF(AD126:AI126,"&lt;&gt;0")</f>
        <v>0</v>
      </c>
      <c r="BB126">
        <f>COUNTIF(AJ126:AL126,"&lt;&gt;0")</f>
        <v>0</v>
      </c>
      <c r="BC126">
        <f>COUNTIF(AS126:AW126,"&lt;&gt;0")</f>
        <v>0</v>
      </c>
      <c r="BD126">
        <f>COUNTIF(AM126:AR126,"&lt;&gt;0")</f>
        <v>0</v>
      </c>
      <c r="BE126" t="str" cm="1">
        <f t="array" ref="BE126">IF(AY126=1,INDEX($V$7:$AL$7,MATCH(TRUE,INDEX($V126:$AW126&lt;&gt;0,),0)),IF(AY126=0,INDEX($AM$7:$AW$7,MATCH(1,$AM126:$AW126,0)),IF(BF126="Multiple strategies","mixed drivers",IF(BF126="Supply chain","multiple supply","multiple silviculture"))))</f>
        <v xml:space="preserve">cutting intensity </v>
      </c>
      <c r="BF126" s="2" t="str" cm="1">
        <f t="array" ref="BF126">IF(COUNTIF(AZ126:BB126,"&lt;&gt;0")=1,INDEX($V$4:$AW$4,MATCH(TRUE,INDEX($V126:$AW126&lt;&gt;0,),0)),IF(COUNTIF(AZ126:BB126,"&lt;&gt;0")=0,INDEX($AM$4:$AW$4,MATCH(1,$AM126:$AW126,0)),"Multiple strategies"))</f>
        <v>SilvicultureRemov</v>
      </c>
      <c r="BG126" s="178" t="s">
        <v>322</v>
      </c>
      <c r="BH126" s="266" t="s">
        <v>2146</v>
      </c>
      <c r="BI126" s="266" t="s">
        <v>703</v>
      </c>
      <c r="BJ126" s="160" t="s">
        <v>702</v>
      </c>
      <c r="BK126">
        <v>8.1</v>
      </c>
      <c r="BL126">
        <v>8.4</v>
      </c>
      <c r="BM126"/>
      <c r="BN126">
        <f>BL126-BK126</f>
        <v>0.30000000000000071</v>
      </c>
      <c r="BO126">
        <f>BN126</f>
        <v>0.30000000000000071</v>
      </c>
      <c r="BP126" s="155" t="s">
        <v>233</v>
      </c>
      <c r="BQ126" s="266" t="s">
        <v>788</v>
      </c>
      <c r="BR126" s="272" t="s">
        <v>2147</v>
      </c>
      <c r="BS126" s="266">
        <f>136.6/80</f>
        <v>1.7075</v>
      </c>
      <c r="BT126" s="266">
        <f>113.9/80</f>
        <v>1.4237500000000001</v>
      </c>
      <c r="BU126" s="144"/>
      <c r="BV126">
        <f>BT126-BS126</f>
        <v>-0.28374999999999995</v>
      </c>
      <c r="BW126"/>
      <c r="BX126">
        <f>BV126</f>
        <v>-0.28374999999999995</v>
      </c>
      <c r="BY126">
        <f>IFERROR(BX126/BO126,"")</f>
        <v>-0.94583333333333086</v>
      </c>
      <c r="BZ126">
        <v>0</v>
      </c>
      <c r="CA126">
        <v>0</v>
      </c>
      <c r="CB126">
        <v>0</v>
      </c>
      <c r="CC126">
        <v>0</v>
      </c>
      <c r="CD126">
        <v>0</v>
      </c>
      <c r="CE126">
        <v>0</v>
      </c>
      <c r="CF126">
        <v>0</v>
      </c>
      <c r="CG126">
        <v>0</v>
      </c>
      <c r="CH126">
        <v>0</v>
      </c>
      <c r="CI126">
        <v>0</v>
      </c>
      <c r="CJ126">
        <v>0</v>
      </c>
      <c r="CK126">
        <v>0</v>
      </c>
      <c r="CL126">
        <v>0</v>
      </c>
      <c r="CM126">
        <v>0</v>
      </c>
      <c r="CN126" t="str">
        <f>IF($BL126&lt;$BK126,"refNeedCorrection","refOK")</f>
        <v>refOK</v>
      </c>
      <c r="CO126">
        <f>IF($CN126="refOK",$BK126,$BL126)</f>
        <v>8.1</v>
      </c>
      <c r="CP126">
        <f>IF($CN126="refOK",$BL126,$BK126)</f>
        <v>8.4</v>
      </c>
      <c r="CQ126">
        <f>IF($CN126="refOK",$BO126,-$BO126)</f>
        <v>0.30000000000000071</v>
      </c>
      <c r="CR126">
        <f>IF($CN126="refOK",$BS126,$BT126)*IF($BP126="Emissions positive",-1,1)</f>
        <v>1.7075</v>
      </c>
      <c r="CS126">
        <f>IF($CN126="refOK",$BT126,$BS126)*IF($BP126="Emissions positive",-1,1)</f>
        <v>1.4237500000000001</v>
      </c>
      <c r="CT126">
        <f>IF($CN126="refNeedCorrection",-BX126,BX126)*IF($BP126="Emissions positive",-1,1)</f>
        <v>-0.28374999999999995</v>
      </c>
      <c r="CU126">
        <f>IFERROR(CT126/CQ126,"")</f>
        <v>-0.94583333333333086</v>
      </c>
      <c r="CV126" s="2">
        <f>IFERROR((CS126-CR126)/ABS(CR126),"")</f>
        <v>-0.16617862371888723</v>
      </c>
      <c r="CW126" s="1" t="s">
        <v>1201</v>
      </c>
      <c r="CX126" s="266" t="str">
        <f>IF(OR($CW126="prd",$CW126="std",$CW126="cit"),"loc",IF(OR($CW126="eur",$CW126="reg",$CW126="coy"),"reg",$CW126))</f>
        <v>reg</v>
      </c>
      <c r="CY126" t="s">
        <v>236</v>
      </c>
      <c r="CZ126"/>
      <c r="DA126"/>
      <c r="DB126">
        <v>80</v>
      </c>
      <c r="DC126" t="str">
        <f>IF(DB126=0,"0",IF(AND(DB126&gt;=1,DB126&lt;=30),"1-30",IF(AND(DB126&gt;30,DB126&lt;=70),"31-70",IF(AND(DB126&gt;70,DB126&lt;=100),"71-100",IF(DB126&gt;100,"+100")))))</f>
        <v>71-100</v>
      </c>
      <c r="DD126">
        <v>0</v>
      </c>
      <c r="DE126">
        <v>1</v>
      </c>
      <c r="DF126">
        <v>1</v>
      </c>
      <c r="DG126">
        <v>1</v>
      </c>
      <c r="DH126"/>
      <c r="DI126">
        <f>SUM(DD126:DG126)</f>
        <v>3</v>
      </c>
      <c r="DJ126" t="str">
        <f>IF(DI126=1,INDEX($DD$7:$DG$7,MATCH(1,$DD126:$DG126,0)),"mixedProduct")</f>
        <v>mixedProduct</v>
      </c>
      <c r="DK126">
        <f>IF(DD126=1,DK$7,0)</f>
        <v>0</v>
      </c>
      <c r="DL126" t="str">
        <f>IF(DE126=1,DL$7,0)</f>
        <v>Energy</v>
      </c>
      <c r="DM126" t="str">
        <f>IF(DF126=1,DM$7,0)</f>
        <v>Pulp/Paper</v>
      </c>
      <c r="DN126" t="str">
        <f>IF(DG126=1,DN$7,0)</f>
        <v>Timber</v>
      </c>
      <c r="DO126">
        <v>0</v>
      </c>
      <c r="DP126">
        <v>1</v>
      </c>
      <c r="DQ126" t="s">
        <v>2148</v>
      </c>
      <c r="DR126">
        <v>0</v>
      </c>
      <c r="DS126">
        <v>0</v>
      </c>
      <c r="DT126">
        <f>SUM(DO126:DP126)</f>
        <v>1</v>
      </c>
      <c r="DU126" s="143" t="str">
        <f>IF(DO126=1,"self-calculated DF",IF(DP126=1,"external DF used","explicit C balance"))</f>
        <v>external DF used</v>
      </c>
      <c r="DV126">
        <v>1</v>
      </c>
      <c r="DW126">
        <v>1</v>
      </c>
      <c r="DX126">
        <v>1</v>
      </c>
      <c r="DY126">
        <v>0</v>
      </c>
      <c r="DZ126">
        <v>0</v>
      </c>
      <c r="EA126" s="143">
        <v>0</v>
      </c>
      <c r="EB126">
        <v>0</v>
      </c>
      <c r="EC126">
        <v>0</v>
      </c>
      <c r="ED126">
        <v>0</v>
      </c>
      <c r="EE126">
        <v>0</v>
      </c>
      <c r="EF126">
        <v>1</v>
      </c>
      <c r="EG126">
        <v>0</v>
      </c>
      <c r="EH126">
        <v>0</v>
      </c>
      <c r="EI126" s="2">
        <v>0</v>
      </c>
      <c r="EJ126" s="1"/>
      <c r="EK126" t="str">
        <f>IF(AND(AND(AND(OR($DX126=1,$DW126=1),OR($EC126=1,$EA126=1)),SUM($DV126:$DZ126,$EF126)&gt;=4),SUM($EA126:$EE126)&gt;=2),"Whole sector","")</f>
        <v/>
      </c>
      <c r="EL126" t="str">
        <f>IF(AND(AND(OR($DX126=1,$DW126=1),AND($EC126=0,$EA126=0)),SUM($DV126:$DZ126,$EF126)&gt;=4),"Ecosystem approach","")</f>
        <v>Ecosystem approach</v>
      </c>
      <c r="EM126" s="2" t="str">
        <f>IF(AND(AND(AND($DX126=0,$DW126=0),OR($EC126=1,$EA126=1)),SUM($EB126:$EE126)&gt;=2),"Technology approach","")</f>
        <v/>
      </c>
      <c r="EN126"/>
      <c r="EO126"/>
      <c r="EP126" t="str">
        <f>IF(ISNUMBER(BU126),IF(ABS(BU126-[1]QC_indicators!$B$2)&gt;3*[1]QC_indicators!$C$2,"C ratio",IF(ISNUMBER(BY126),IF(ABS(BY126-[1]QC_indicators!$B$1)&gt;3*[1]QC_indicators!$C$1,"DF","no"))),IF(ISNUMBER(BY126),IF(ABS(BY126-[1]QC_indicators!$B$1)&gt;3*[1]QC_indicators!$C$1,"DF","no")))</f>
        <v>no</v>
      </c>
      <c r="EQ126"/>
      <c r="ER126"/>
      <c r="ES126"/>
      <c r="ET126" s="266" t="s">
        <v>3409</v>
      </c>
      <c r="EU126"/>
    </row>
    <row r="127" spans="1:151" s="139" customFormat="1" ht="15" customHeight="1">
      <c r="A127" s="1" t="s">
        <v>1362</v>
      </c>
      <c r="B127" t="s">
        <v>2137</v>
      </c>
      <c r="C127" t="s">
        <v>2138</v>
      </c>
      <c r="D127" t="s">
        <v>2139</v>
      </c>
      <c r="E127" t="s">
        <v>2140</v>
      </c>
      <c r="F127" t="s">
        <v>2141</v>
      </c>
      <c r="G127" t="s">
        <v>1368</v>
      </c>
      <c r="H127" t="s">
        <v>255</v>
      </c>
      <c r="I127">
        <v>2012</v>
      </c>
      <c r="J127">
        <v>21</v>
      </c>
      <c r="K127" t="s">
        <v>2142</v>
      </c>
      <c r="L127" s="192"/>
      <c r="M127" t="str">
        <f>LEFT($D127,FIND(",",$D127)-1)&amp;"_"&amp;I127&amp;L127</f>
        <v>Pyorala_2012</v>
      </c>
      <c r="N127" t="s">
        <v>223</v>
      </c>
      <c r="O127" s="145" t="s">
        <v>342</v>
      </c>
      <c r="P127" s="180" t="s">
        <v>224</v>
      </c>
      <c r="Q127" s="266" t="s">
        <v>257</v>
      </c>
      <c r="R127" s="271" t="s">
        <v>1156</v>
      </c>
      <c r="S127" s="265" t="s">
        <v>2152</v>
      </c>
      <c r="T127" s="266" t="s">
        <v>2145</v>
      </c>
      <c r="U127" s="266" t="s">
        <v>2150</v>
      </c>
      <c r="V127">
        <v>0</v>
      </c>
      <c r="W127">
        <v>0</v>
      </c>
      <c r="X127">
        <v>0</v>
      </c>
      <c r="Y127">
        <v>1</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s="141">
        <f>COUNTIF(V127:AW127,"&lt;&gt;0")</f>
        <v>1</v>
      </c>
      <c r="AY127" s="141">
        <f>COUNTIF(V127:AL127,"&lt;&gt;0")</f>
        <v>1</v>
      </c>
      <c r="AZ127">
        <f>COUNTIF(V127:AC127,"&lt;&gt;0")</f>
        <v>1</v>
      </c>
      <c r="BA127">
        <f>COUNTIF(AD127:AI127,"&lt;&gt;0")</f>
        <v>0</v>
      </c>
      <c r="BB127">
        <f>COUNTIF(AJ127:AL127,"&lt;&gt;0")</f>
        <v>0</v>
      </c>
      <c r="BC127">
        <f>COUNTIF(AS127:AW127,"&lt;&gt;0")</f>
        <v>0</v>
      </c>
      <c r="BD127">
        <f>COUNTIF(AM127:AR127,"&lt;&gt;0")</f>
        <v>0</v>
      </c>
      <c r="BE127" t="str" cm="1">
        <f t="array" ref="BE127">IF(AY127=1,INDEX($V$7:$AL$7,MATCH(TRUE,INDEX($V127:$AW127&lt;&gt;0,),0)),IF(AY127=0,INDEX($AM$7:$AW$7,MATCH(1,$AM127:$AW127,0)),IF(BF127="Multiple strategies","mixed drivers",IF(BF127="Supply chain","multiple supply","multiple silviculture"))))</f>
        <v xml:space="preserve">cutting intensity </v>
      </c>
      <c r="BF127" s="2" t="str" cm="1">
        <f t="array" ref="BF127">IF(COUNTIF(AZ127:BB127,"&lt;&gt;0")=1,INDEX($V$4:$AW$4,MATCH(TRUE,INDEX($V127:$AW127&lt;&gt;0,),0)),IF(COUNTIF(AZ127:BB127,"&lt;&gt;0")=0,INDEX($AM$4:$AW$4,MATCH(1,$AM127:$AW127,0)),"Multiple strategies"))</f>
        <v>SilvicultureRemov</v>
      </c>
      <c r="BG127" s="178" t="s">
        <v>322</v>
      </c>
      <c r="BH127" s="266" t="s">
        <v>2146</v>
      </c>
      <c r="BI127" s="266" t="s">
        <v>703</v>
      </c>
      <c r="BJ127" s="160" t="s">
        <v>702</v>
      </c>
      <c r="BK127">
        <v>6.5</v>
      </c>
      <c r="BL127">
        <v>6.8</v>
      </c>
      <c r="BM127"/>
      <c r="BN127">
        <f>BL127-BK127</f>
        <v>0.29999999999999982</v>
      </c>
      <c r="BO127">
        <f>BN127</f>
        <v>0.29999999999999982</v>
      </c>
      <c r="BP127" s="155" t="s">
        <v>233</v>
      </c>
      <c r="BQ127" s="303" t="s">
        <v>430</v>
      </c>
      <c r="BR127" s="272" t="s">
        <v>2147</v>
      </c>
      <c r="BS127" s="266">
        <f>99.4/80</f>
        <v>1.2425000000000002</v>
      </c>
      <c r="BT127" s="266">
        <f>113.9/80</f>
        <v>1.4237500000000001</v>
      </c>
      <c r="BU127" s="144"/>
      <c r="BV127">
        <f>BT127-BS127</f>
        <v>0.18124999999999991</v>
      </c>
      <c r="BW127"/>
      <c r="BX127">
        <f>BV127</f>
        <v>0.18124999999999991</v>
      </c>
      <c r="BY127">
        <f>IFERROR(BX127/BO127,"")</f>
        <v>0.60416666666666674</v>
      </c>
      <c r="BZ127">
        <v>0</v>
      </c>
      <c r="CA127">
        <v>0</v>
      </c>
      <c r="CB127">
        <v>0</v>
      </c>
      <c r="CC127">
        <v>0</v>
      </c>
      <c r="CD127">
        <v>0</v>
      </c>
      <c r="CE127">
        <v>0</v>
      </c>
      <c r="CF127">
        <v>0</v>
      </c>
      <c r="CG127">
        <v>0</v>
      </c>
      <c r="CH127">
        <v>0</v>
      </c>
      <c r="CI127">
        <v>0</v>
      </c>
      <c r="CJ127">
        <v>0</v>
      </c>
      <c r="CK127">
        <v>0</v>
      </c>
      <c r="CL127">
        <v>0</v>
      </c>
      <c r="CM127">
        <v>0</v>
      </c>
      <c r="CN127" t="str">
        <f>IF($BL127&lt;$BK127,"refNeedCorrection","refOK")</f>
        <v>refOK</v>
      </c>
      <c r="CO127">
        <f>IF($CN127="refOK",$BK127,$BL127)</f>
        <v>6.5</v>
      </c>
      <c r="CP127">
        <f>IF($CN127="refOK",$BL127,$BK127)</f>
        <v>6.8</v>
      </c>
      <c r="CQ127">
        <f>IF($CN127="refOK",$BO127,-$BO127)</f>
        <v>0.29999999999999982</v>
      </c>
      <c r="CR127">
        <f>IF($CN127="refOK",$BS127,$BT127)*IF($BP127="Emissions positive",-1,1)</f>
        <v>1.2425000000000002</v>
      </c>
      <c r="CS127">
        <f>IF($CN127="refOK",$BT127,$BS127)*IF($BP127="Emissions positive",-1,1)</f>
        <v>1.4237500000000001</v>
      </c>
      <c r="CT127">
        <f>IF($CN127="refNeedCorrection",-BX127,BX127)*IF($BP127="Emissions positive",-1,1)</f>
        <v>0.18124999999999991</v>
      </c>
      <c r="CU127">
        <f>IFERROR(CT127/CQ127,"")</f>
        <v>0.60416666666666674</v>
      </c>
      <c r="CV127" s="2">
        <f>IFERROR((CS127-CR127)/ABS(CR127),"")</f>
        <v>0.14587525150905423</v>
      </c>
      <c r="CW127" s="1" t="s">
        <v>1201</v>
      </c>
      <c r="CX127" s="266" t="str">
        <f>IF(OR($CW127="prd",$CW127="std",$CW127="cit"),"loc",IF(OR($CW127="eur",$CW127="reg",$CW127="coy"),"reg",$CW127))</f>
        <v>reg</v>
      </c>
      <c r="CY127" t="s">
        <v>236</v>
      </c>
      <c r="CZ127"/>
      <c r="DA127"/>
      <c r="DB127">
        <v>80</v>
      </c>
      <c r="DC127" t="str">
        <f>IF(DB127=0,"0",IF(AND(DB127&gt;=1,DB127&lt;=30),"1-30",IF(AND(DB127&gt;30,DB127&lt;=70),"31-70",IF(AND(DB127&gt;70,DB127&lt;=100),"71-100",IF(DB127&gt;100,"+100")))))</f>
        <v>71-100</v>
      </c>
      <c r="DD127">
        <v>0</v>
      </c>
      <c r="DE127">
        <v>1</v>
      </c>
      <c r="DF127">
        <v>1</v>
      </c>
      <c r="DG127">
        <v>1</v>
      </c>
      <c r="DH127"/>
      <c r="DI127">
        <f>SUM(DD127:DG127)</f>
        <v>3</v>
      </c>
      <c r="DJ127" t="str">
        <f>IF(DI127=1,INDEX($DD$7:$DG$7,MATCH(1,$DD127:$DG127,0)),"mixedProduct")</f>
        <v>mixedProduct</v>
      </c>
      <c r="DK127">
        <f>IF(DD127=1,DK$7,0)</f>
        <v>0</v>
      </c>
      <c r="DL127" t="str">
        <f>IF(DE127=1,DL$7,0)</f>
        <v>Energy</v>
      </c>
      <c r="DM127" t="str">
        <f>IF(DF127=1,DM$7,0)</f>
        <v>Pulp/Paper</v>
      </c>
      <c r="DN127" t="str">
        <f>IF(DG127=1,DN$7,0)</f>
        <v>Timber</v>
      </c>
      <c r="DO127">
        <v>0</v>
      </c>
      <c r="DP127">
        <v>1</v>
      </c>
      <c r="DQ127" t="s">
        <v>2148</v>
      </c>
      <c r="DR127">
        <v>0</v>
      </c>
      <c r="DS127">
        <v>0</v>
      </c>
      <c r="DT127">
        <f>SUM(DO127:DP127)</f>
        <v>1</v>
      </c>
      <c r="DU127" s="143" t="str">
        <f>IF(DO127=1,"self-calculated DF",IF(DP127=1,"external DF used","explicit C balance"))</f>
        <v>external DF used</v>
      </c>
      <c r="DV127">
        <v>1</v>
      </c>
      <c r="DW127">
        <v>1</v>
      </c>
      <c r="DX127">
        <v>1</v>
      </c>
      <c r="DY127">
        <v>0</v>
      </c>
      <c r="DZ127">
        <v>0</v>
      </c>
      <c r="EA127" s="143">
        <v>0</v>
      </c>
      <c r="EB127">
        <v>0</v>
      </c>
      <c r="EC127">
        <v>0</v>
      </c>
      <c r="ED127">
        <v>0</v>
      </c>
      <c r="EE127">
        <v>0</v>
      </c>
      <c r="EF127">
        <v>1</v>
      </c>
      <c r="EG127">
        <v>0</v>
      </c>
      <c r="EH127">
        <v>0</v>
      </c>
      <c r="EI127" s="2">
        <v>0</v>
      </c>
      <c r="EJ127" s="1"/>
      <c r="EK127" t="str">
        <f>IF(AND(AND(AND(OR($DX127=1,$DW127=1),OR($EC127=1,$EA127=1)),SUM($DV127:$DZ127,$EF127)&gt;=4),SUM($EA127:$EE127)&gt;=2),"Whole sector","")</f>
        <v/>
      </c>
      <c r="EL127" t="str">
        <f>IF(AND(AND(OR($DX127=1,$DW127=1),AND($EC127=0,$EA127=0)),SUM($DV127:$DZ127,$EF127)&gt;=4),"Ecosystem approach","")</f>
        <v>Ecosystem approach</v>
      </c>
      <c r="EM127" s="2" t="str">
        <f>IF(AND(AND(AND($DX127=0,$DW127=0),OR($EC127=1,$EA127=1)),SUM($EB127:$EE127)&gt;=2),"Technology approach","")</f>
        <v/>
      </c>
      <c r="EN127"/>
      <c r="EO127"/>
      <c r="EP127" t="str">
        <f>IF(ISNUMBER(BU127),IF(ABS(BU127-[1]QC_indicators!$B$2)&gt;3*[1]QC_indicators!$C$2,"C ratio",IF(ISNUMBER(BY127),IF(ABS(BY127-[1]QC_indicators!$B$1)&gt;3*[1]QC_indicators!$C$1,"DF","no"))),IF(ISNUMBER(BY127),IF(ABS(BY127-[1]QC_indicators!$B$1)&gt;3*[1]QC_indicators!$C$1,"DF","no")))</f>
        <v>no</v>
      </c>
      <c r="EQ127"/>
      <c r="ER127"/>
      <c r="ES127"/>
      <c r="ET127" s="266" t="s">
        <v>3409</v>
      </c>
      <c r="EU127"/>
    </row>
    <row r="128" spans="1:151" s="139" customFormat="1" ht="15" customHeight="1">
      <c r="A128" s="1" t="s">
        <v>1362</v>
      </c>
      <c r="B128" t="s">
        <v>2137</v>
      </c>
      <c r="C128" t="s">
        <v>2138</v>
      </c>
      <c r="D128" t="s">
        <v>2139</v>
      </c>
      <c r="E128" t="s">
        <v>2140</v>
      </c>
      <c r="F128" t="s">
        <v>2141</v>
      </c>
      <c r="G128" t="s">
        <v>1368</v>
      </c>
      <c r="H128" t="s">
        <v>255</v>
      </c>
      <c r="I128">
        <v>2012</v>
      </c>
      <c r="J128">
        <v>21</v>
      </c>
      <c r="K128" t="s">
        <v>2142</v>
      </c>
      <c r="L128" s="192"/>
      <c r="M128" t="str">
        <f>LEFT($D128,FIND(",",$D128)-1)&amp;"_"&amp;I128&amp;L128</f>
        <v>Pyorala_2012</v>
      </c>
      <c r="N128" t="s">
        <v>223</v>
      </c>
      <c r="O128" s="145" t="s">
        <v>342</v>
      </c>
      <c r="P128" s="180" t="s">
        <v>224</v>
      </c>
      <c r="Q128" s="266" t="s">
        <v>257</v>
      </c>
      <c r="R128" s="271" t="s">
        <v>1156</v>
      </c>
      <c r="S128" s="265" t="s">
        <v>2152</v>
      </c>
      <c r="T128" s="266" t="s">
        <v>2145</v>
      </c>
      <c r="U128" s="266" t="s">
        <v>2144</v>
      </c>
      <c r="V128">
        <v>0</v>
      </c>
      <c r="W128">
        <v>0</v>
      </c>
      <c r="X128">
        <v>0</v>
      </c>
      <c r="Y128">
        <v>1</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s="141">
        <f>COUNTIF(V128:AW128,"&lt;&gt;0")</f>
        <v>1</v>
      </c>
      <c r="AY128" s="141">
        <f>COUNTIF(V128:AL128,"&lt;&gt;0")</f>
        <v>1</v>
      </c>
      <c r="AZ128">
        <f>COUNTIF(V128:AC128,"&lt;&gt;0")</f>
        <v>1</v>
      </c>
      <c r="BA128">
        <f>COUNTIF(AD128:AI128,"&lt;&gt;0")</f>
        <v>0</v>
      </c>
      <c r="BB128">
        <f>COUNTIF(AJ128:AL128,"&lt;&gt;0")</f>
        <v>0</v>
      </c>
      <c r="BC128">
        <f>COUNTIF(AS128:AW128,"&lt;&gt;0")</f>
        <v>0</v>
      </c>
      <c r="BD128">
        <f>COUNTIF(AM128:AR128,"&lt;&gt;0")</f>
        <v>0</v>
      </c>
      <c r="BE128" t="str" cm="1">
        <f t="array" ref="BE128">IF(AY128=1,INDEX($V$7:$AL$7,MATCH(TRUE,INDEX($V128:$AW128&lt;&gt;0,),0)),IF(AY128=0,INDEX($AM$7:$AW$7,MATCH(1,$AM128:$AW128,0)),IF(BF128="Multiple strategies","mixed drivers",IF(BF128="Supply chain","multiple supply","multiple silviculture"))))</f>
        <v xml:space="preserve">cutting intensity </v>
      </c>
      <c r="BF128" s="2" t="str" cm="1">
        <f t="array" ref="BF128">IF(COUNTIF(AZ128:BB128,"&lt;&gt;0")=1,INDEX($V$4:$AW$4,MATCH(TRUE,INDEX($V128:$AW128&lt;&gt;0,),0)),IF(COUNTIF(AZ128:BB128,"&lt;&gt;0")=0,INDEX($AM$4:$AW$4,MATCH(1,$AM128:$AW128,0)),"Multiple strategies"))</f>
        <v>SilvicultureRemov</v>
      </c>
      <c r="BG128" s="178" t="s">
        <v>322</v>
      </c>
      <c r="BH128" s="266" t="s">
        <v>2146</v>
      </c>
      <c r="BI128" s="266" t="s">
        <v>703</v>
      </c>
      <c r="BJ128" s="160" t="s">
        <v>702</v>
      </c>
      <c r="BK128">
        <v>6.5</v>
      </c>
      <c r="BL128">
        <v>6.7</v>
      </c>
      <c r="BM128"/>
      <c r="BN128">
        <f>BL128-BK128</f>
        <v>0.20000000000000018</v>
      </c>
      <c r="BO128">
        <f>BN128</f>
        <v>0.20000000000000018</v>
      </c>
      <c r="BP128" s="155" t="s">
        <v>233</v>
      </c>
      <c r="BQ128" s="303" t="s">
        <v>788</v>
      </c>
      <c r="BR128" s="272" t="s">
        <v>2147</v>
      </c>
      <c r="BS128" s="266">
        <f>99.4/80</f>
        <v>1.2425000000000002</v>
      </c>
      <c r="BT128" s="266">
        <f>113.9/80</f>
        <v>1.4237500000000001</v>
      </c>
      <c r="BU128" s="144"/>
      <c r="BV128">
        <f>BT128-BS128</f>
        <v>0.18124999999999991</v>
      </c>
      <c r="BW128"/>
      <c r="BX128">
        <f>BV128</f>
        <v>0.18124999999999991</v>
      </c>
      <c r="BY128">
        <f>IFERROR(BX128/BO128,"")</f>
        <v>0.90624999999999878</v>
      </c>
      <c r="BZ128">
        <v>0</v>
      </c>
      <c r="CA128">
        <v>0</v>
      </c>
      <c r="CB128">
        <v>0</v>
      </c>
      <c r="CC128">
        <v>0</v>
      </c>
      <c r="CD128">
        <v>0</v>
      </c>
      <c r="CE128">
        <v>0</v>
      </c>
      <c r="CF128">
        <v>0</v>
      </c>
      <c r="CG128">
        <v>0</v>
      </c>
      <c r="CH128">
        <v>0</v>
      </c>
      <c r="CI128">
        <v>0</v>
      </c>
      <c r="CJ128">
        <v>0</v>
      </c>
      <c r="CK128">
        <v>0</v>
      </c>
      <c r="CL128">
        <v>0</v>
      </c>
      <c r="CM128">
        <v>0</v>
      </c>
      <c r="CN128" t="str">
        <f>IF($BL128&lt;$BK128,"refNeedCorrection","refOK")</f>
        <v>refOK</v>
      </c>
      <c r="CO128">
        <f>IF($CN128="refOK",$BK128,$BL128)</f>
        <v>6.5</v>
      </c>
      <c r="CP128">
        <f>IF($CN128="refOK",$BL128,$BK128)</f>
        <v>6.7</v>
      </c>
      <c r="CQ128">
        <f>IF($CN128="refOK",$BO128,-$BO128)</f>
        <v>0.20000000000000018</v>
      </c>
      <c r="CR128">
        <f>IF($CN128="refOK",$BS128,$BT128)*IF($BP128="Emissions positive",-1,1)</f>
        <v>1.2425000000000002</v>
      </c>
      <c r="CS128">
        <f>IF($CN128="refOK",$BT128,$BS128)*IF($BP128="Emissions positive",-1,1)</f>
        <v>1.4237500000000001</v>
      </c>
      <c r="CT128">
        <f>IF($CN128="refNeedCorrection",-BX128,BX128)*IF($BP128="Emissions positive",-1,1)</f>
        <v>0.18124999999999991</v>
      </c>
      <c r="CU128">
        <f>IFERROR(CT128/CQ128,"")</f>
        <v>0.90624999999999878</v>
      </c>
      <c r="CV128" s="2">
        <f>IFERROR((CS128-CR128)/ABS(CR128),"")</f>
        <v>0.14587525150905423</v>
      </c>
      <c r="CW128" s="1" t="s">
        <v>1201</v>
      </c>
      <c r="CX128" s="266" t="str">
        <f>IF(OR($CW128="prd",$CW128="std",$CW128="cit"),"loc",IF(OR($CW128="eur",$CW128="reg",$CW128="coy"),"reg",$CW128))</f>
        <v>reg</v>
      </c>
      <c r="CY128" t="s">
        <v>236</v>
      </c>
      <c r="CZ128"/>
      <c r="DA128"/>
      <c r="DB128">
        <v>80</v>
      </c>
      <c r="DC128" t="str">
        <f>IF(DB128=0,"0",IF(AND(DB128&gt;=1,DB128&lt;=30),"1-30",IF(AND(DB128&gt;30,DB128&lt;=70),"31-70",IF(AND(DB128&gt;70,DB128&lt;=100),"71-100",IF(DB128&gt;100,"+100")))))</f>
        <v>71-100</v>
      </c>
      <c r="DD128">
        <v>0</v>
      </c>
      <c r="DE128">
        <v>1</v>
      </c>
      <c r="DF128">
        <v>1</v>
      </c>
      <c r="DG128">
        <v>1</v>
      </c>
      <c r="DH128"/>
      <c r="DI128">
        <f>SUM(DD128:DG128)</f>
        <v>3</v>
      </c>
      <c r="DJ128" t="str">
        <f>IF(DI128=1,INDEX($DD$7:$DG$7,MATCH(1,$DD128:$DG128,0)),"mixedProduct")</f>
        <v>mixedProduct</v>
      </c>
      <c r="DK128">
        <f>IF(DD128=1,DK$7,0)</f>
        <v>0</v>
      </c>
      <c r="DL128" t="str">
        <f>IF(DE128=1,DL$7,0)</f>
        <v>Energy</v>
      </c>
      <c r="DM128" t="str">
        <f>IF(DF128=1,DM$7,0)</f>
        <v>Pulp/Paper</v>
      </c>
      <c r="DN128" t="str">
        <f>IF(DG128=1,DN$7,0)</f>
        <v>Timber</v>
      </c>
      <c r="DO128">
        <v>0</v>
      </c>
      <c r="DP128">
        <v>1</v>
      </c>
      <c r="DQ128" t="s">
        <v>2148</v>
      </c>
      <c r="DR128">
        <v>0</v>
      </c>
      <c r="DS128">
        <v>0</v>
      </c>
      <c r="DT128">
        <f>SUM(DO128:DP128)</f>
        <v>1</v>
      </c>
      <c r="DU128" s="143" t="str">
        <f>IF(DO128=1,"self-calculated DF",IF(DP128=1,"external DF used","explicit C balance"))</f>
        <v>external DF used</v>
      </c>
      <c r="DV128">
        <v>1</v>
      </c>
      <c r="DW128">
        <v>1</v>
      </c>
      <c r="DX128">
        <v>1</v>
      </c>
      <c r="DY128">
        <v>0</v>
      </c>
      <c r="DZ128">
        <v>0</v>
      </c>
      <c r="EA128" s="143">
        <v>0</v>
      </c>
      <c r="EB128">
        <v>0</v>
      </c>
      <c r="EC128">
        <v>0</v>
      </c>
      <c r="ED128">
        <v>0</v>
      </c>
      <c r="EE128">
        <v>0</v>
      </c>
      <c r="EF128">
        <v>1</v>
      </c>
      <c r="EG128">
        <v>0</v>
      </c>
      <c r="EH128">
        <v>0</v>
      </c>
      <c r="EI128" s="2">
        <v>0</v>
      </c>
      <c r="EJ128" s="1"/>
      <c r="EK128" t="str">
        <f>IF(AND(AND(AND(OR($DX128=1,$DW128=1),OR($EC128=1,$EA128=1)),SUM($DV128:$DZ128,$EF128)&gt;=4),SUM($EA128:$EE128)&gt;=2),"Whole sector","")</f>
        <v/>
      </c>
      <c r="EL128" t="str">
        <f>IF(AND(AND(OR($DX128=1,$DW128=1),AND($EC128=0,$EA128=0)),SUM($DV128:$DZ128,$EF128)&gt;=4),"Ecosystem approach","")</f>
        <v>Ecosystem approach</v>
      </c>
      <c r="EM128" s="2" t="str">
        <f>IF(AND(AND(AND($DX128=0,$DW128=0),OR($EC128=1,$EA128=1)),SUM($EB128:$EE128)&gt;=2),"Technology approach","")</f>
        <v/>
      </c>
      <c r="EN128"/>
      <c r="EO128"/>
      <c r="EP128" t="str">
        <f>IF(ISNUMBER(BU128),IF(ABS(BU128-[1]QC_indicators!$B$2)&gt;3*[1]QC_indicators!$C$2,"C ratio",IF(ISNUMBER(BY128),IF(ABS(BY128-[1]QC_indicators!$B$1)&gt;3*[1]QC_indicators!$C$1,"DF","no"))),IF(ISNUMBER(BY128),IF(ABS(BY128-[1]QC_indicators!$B$1)&gt;3*[1]QC_indicators!$C$1,"DF","no")))</f>
        <v>no</v>
      </c>
      <c r="EQ128"/>
      <c r="ER128"/>
      <c r="ES128"/>
      <c r="ET128" s="266" t="s">
        <v>3409</v>
      </c>
      <c r="EU128"/>
    </row>
    <row r="129" spans="1:151" s="139" customFormat="1" ht="15" hidden="1" customHeight="1">
      <c r="A129" s="1"/>
      <c r="B129"/>
      <c r="C129"/>
      <c r="D129" t="s">
        <v>2054</v>
      </c>
      <c r="E129" t="s">
        <v>2055</v>
      </c>
      <c r="F129"/>
      <c r="G129" t="s">
        <v>2056</v>
      </c>
      <c r="H129"/>
      <c r="I129">
        <v>2018</v>
      </c>
      <c r="J129"/>
      <c r="K129" s="150" t="s">
        <v>2057</v>
      </c>
      <c r="L129"/>
      <c r="M129" t="str">
        <f>LEFT($D129,FIND(",",$D129)-1)&amp;"_"&amp;I129&amp;L129</f>
        <v>Olguin_2018</v>
      </c>
      <c r="N129" t="s">
        <v>223</v>
      </c>
      <c r="O129" s="157" t="s">
        <v>275</v>
      </c>
      <c r="P129" t="s">
        <v>514</v>
      </c>
      <c r="Q129" t="s">
        <v>390</v>
      </c>
      <c r="R129" s="264" t="s">
        <v>224</v>
      </c>
      <c r="S129" s="265" t="s">
        <v>3194</v>
      </c>
      <c r="T129" t="s">
        <v>2058</v>
      </c>
      <c r="U129" t="s">
        <v>2064</v>
      </c>
      <c r="V129">
        <v>0</v>
      </c>
      <c r="W129">
        <v>0</v>
      </c>
      <c r="X129">
        <v>0</v>
      </c>
      <c r="Y129">
        <v>0</v>
      </c>
      <c r="Z129">
        <v>0</v>
      </c>
      <c r="AA129">
        <v>0</v>
      </c>
      <c r="AB129">
        <v>0</v>
      </c>
      <c r="AC129">
        <v>1</v>
      </c>
      <c r="AD129">
        <v>0</v>
      </c>
      <c r="AE129">
        <v>0</v>
      </c>
      <c r="AF129">
        <v>1</v>
      </c>
      <c r="AG129">
        <v>0</v>
      </c>
      <c r="AH129">
        <v>0</v>
      </c>
      <c r="AI129">
        <v>0</v>
      </c>
      <c r="AJ129">
        <v>0</v>
      </c>
      <c r="AK129">
        <v>0</v>
      </c>
      <c r="AL129">
        <v>0</v>
      </c>
      <c r="AM129">
        <v>0</v>
      </c>
      <c r="AN129">
        <v>0</v>
      </c>
      <c r="AO129">
        <v>0</v>
      </c>
      <c r="AP129">
        <v>0</v>
      </c>
      <c r="AQ129">
        <v>0</v>
      </c>
      <c r="AR129">
        <v>0</v>
      </c>
      <c r="AS129">
        <v>0</v>
      </c>
      <c r="AT129">
        <v>0</v>
      </c>
      <c r="AU129">
        <v>0</v>
      </c>
      <c r="AV129">
        <v>0</v>
      </c>
      <c r="AW129">
        <v>0</v>
      </c>
      <c r="AX129" s="141">
        <f>COUNTIF(V129:AW129,"&lt;&gt;0")</f>
        <v>2</v>
      </c>
      <c r="AY129" s="141">
        <f>COUNTIF(V129:AL129,"&lt;&gt;0")</f>
        <v>2</v>
      </c>
      <c r="AZ129">
        <f>COUNTIF(V129:AC129,"&lt;&gt;0")</f>
        <v>1</v>
      </c>
      <c r="BA129">
        <f>COUNTIF(AD129:AI129,"&lt;&gt;0")</f>
        <v>1</v>
      </c>
      <c r="BB129">
        <f>COUNTIF(AJ129:AL129,"&lt;&gt;0")</f>
        <v>0</v>
      </c>
      <c r="BC129">
        <f>COUNTIF(AS129:AW129,"&lt;&gt;0")</f>
        <v>0</v>
      </c>
      <c r="BD129">
        <f>COUNTIF(AM129:AR129,"&lt;&gt;0")</f>
        <v>0</v>
      </c>
      <c r="BE129" t="str">
        <f t="array" ref="BE129">IF(AY129=1,INDEX($V$7:$AL$7,MATCH(TRUE,INDEX($V129:$AW129&lt;&gt;0,),0)),IF(AY129=0,INDEX($AM$7:$AW$7,MATCH(1,$AM129:$AW129,0)),IF(BF129="Multiple strategies","mixed drivers",IF(BF129="Supply chain","multiple supply","multiple silviculture"))))</f>
        <v>mixed drivers</v>
      </c>
      <c r="BF129" s="2" t="str">
        <f t="array" ref="BF129">IF(COUNTIF(AZ129:BB129,"&lt;&gt;0")=1,INDEX($V$4:$AW$4,MATCH(TRUE,INDEX($V129:$AW129&lt;&gt;0,),0)),IF(COUNTIF(AZ129:BB129,"&lt;&gt;0")=0,INDEX($AM$4:$AW$4,MATCH(1,$AM129:$AW129,0)),"Multiple strategies"))</f>
        <v>Multiple strategies</v>
      </c>
      <c r="BG129" s="1" t="s">
        <v>322</v>
      </c>
      <c r="BH129"/>
      <c r="BI129" s="266" t="s">
        <v>1038</v>
      </c>
      <c r="BJ129" t="s">
        <v>2060</v>
      </c>
      <c r="BK129">
        <v>0</v>
      </c>
      <c r="BL129">
        <v>218025</v>
      </c>
      <c r="BM129" t="str">
        <f>IFERROR(BL129/BK129,"")</f>
        <v/>
      </c>
      <c r="BN129">
        <f>BL129-BK129</f>
        <v>218025</v>
      </c>
      <c r="BO129">
        <f>BN129*tC_to_m3</f>
        <v>946699.95657837612</v>
      </c>
      <c r="BP129" t="s">
        <v>233</v>
      </c>
      <c r="BQ129" s="234" t="s">
        <v>425</v>
      </c>
      <c r="BR129" t="s">
        <v>2065</v>
      </c>
      <c r="BS129"/>
      <c r="BT129"/>
      <c r="BU129" s="144"/>
      <c r="BV129">
        <v>-0.95</v>
      </c>
      <c r="BW129"/>
      <c r="BX129">
        <f>BV129</f>
        <v>-0.95</v>
      </c>
      <c r="BY129">
        <f>IFERROR(BX129/BO129,"")</f>
        <v>-1.0034858387799563E-6</v>
      </c>
      <c r="BZ129">
        <v>0</v>
      </c>
      <c r="CA129">
        <v>0</v>
      </c>
      <c r="CB129">
        <v>0</v>
      </c>
      <c r="CC129">
        <v>0</v>
      </c>
      <c r="CD129">
        <v>0</v>
      </c>
      <c r="CE129">
        <v>0</v>
      </c>
      <c r="CF129">
        <v>0</v>
      </c>
      <c r="CG129">
        <v>0</v>
      </c>
      <c r="CH129">
        <v>0</v>
      </c>
      <c r="CI129">
        <v>0</v>
      </c>
      <c r="CJ129">
        <v>0</v>
      </c>
      <c r="CK129">
        <v>0</v>
      </c>
      <c r="CL129">
        <v>0</v>
      </c>
      <c r="CM129">
        <v>0</v>
      </c>
      <c r="CN129" t="str">
        <f>IF($BL129&lt;$BK129,"refNeedCorrection","refOK")</f>
        <v>refOK</v>
      </c>
      <c r="CO129">
        <f>IF($CN129="refOK",$BK129,$BL129)</f>
        <v>0</v>
      </c>
      <c r="CP129">
        <f>IF($CN129="refOK",$BL129,$BK129)</f>
        <v>218025</v>
      </c>
      <c r="CQ129">
        <f>IF($CN129="refOK",$BO129,-$BO129)</f>
        <v>946699.95657837612</v>
      </c>
      <c r="CR129">
        <f>IF($CN129="refOK",$BS129,$BT129)*IF($BP129="Emissions positive",-1,1)</f>
        <v>0</v>
      </c>
      <c r="CS129">
        <f>IF($CN129="refOK",$BT129,$BS129)*IF($BP129="Emissions positive",-1,1)</f>
        <v>0</v>
      </c>
      <c r="CT129">
        <f>IF($CN129="refNeedCorrection",-BX129,BX129)*IF($BP129="Emissions positive",-1,1)</f>
        <v>-0.95</v>
      </c>
      <c r="CU129">
        <f>IFERROR(CT129/CQ129,"")</f>
        <v>-1.0034858387799563E-6</v>
      </c>
      <c r="CV129" s="2" t="str">
        <f>IFERROR((CS129-CR129)/ABS(CR129),"")</f>
        <v/>
      </c>
      <c r="CW129" s="1" t="s">
        <v>2038</v>
      </c>
      <c r="CX129" t="str">
        <f>IF(OR($CW129="prd",$CW129="std",$CW129="cit"),"loc",IF(OR($CW129="eur",$CW129="reg",$CW129="coy"),"reg",$CW129))</f>
        <v>reg</v>
      </c>
      <c r="CY129" t="s">
        <v>2062</v>
      </c>
      <c r="CZ129">
        <v>2021</v>
      </c>
      <c r="DA129">
        <v>2030</v>
      </c>
      <c r="DB129">
        <f>DA129-CZ129</f>
        <v>9</v>
      </c>
      <c r="DC129" t="str">
        <f>IF(DB129=0,"0",IF(AND(DB129&gt;=1,DB129&lt;=30),"1-30",IF(AND(DB129&gt;30,DB129&lt;=70),"31-70",IF(AND(DB129&gt;70,DB129&lt;=100),"71-100",IF(DB129&gt;100,"+100")))))</f>
        <v>1-30</v>
      </c>
      <c r="DD129">
        <v>0</v>
      </c>
      <c r="DE129">
        <v>0</v>
      </c>
      <c r="DF129">
        <v>0</v>
      </c>
      <c r="DG129">
        <v>1</v>
      </c>
      <c r="DH129">
        <v>0</v>
      </c>
      <c r="DI129">
        <f>SUM(DD129:DG129)</f>
        <v>1</v>
      </c>
      <c r="DJ129" t="str">
        <f>IF(DI129=1,INDEX($DD$7:$DG$7,MATCH(1,$DD129:$DG129,0)),"mixedProduct")</f>
        <v>TimberInput</v>
      </c>
      <c r="DK129">
        <f>IF(DD129=1,DK$7,0)</f>
        <v>0</v>
      </c>
      <c r="DL129">
        <f>IF(DE129=1,DL$7,0)</f>
        <v>0</v>
      </c>
      <c r="DM129">
        <f>IF(DF129=1,DM$7,0)</f>
        <v>0</v>
      </c>
      <c r="DN129" t="str">
        <f>IF(DG129=1,DN$7,0)</f>
        <v>Timber</v>
      </c>
      <c r="DO129"/>
      <c r="DP129">
        <v>1</v>
      </c>
      <c r="DQ129"/>
      <c r="DR129"/>
      <c r="DS129" s="184" t="s">
        <v>2063</v>
      </c>
      <c r="DT129"/>
      <c r="DU129" s="143" t="str">
        <f>IF(DO129=1,"self-calculated DF",IF(DP129=1,"external DF used","explicit C balance"))</f>
        <v>external DF used</v>
      </c>
      <c r="DV129">
        <v>1</v>
      </c>
      <c r="DW129">
        <v>1</v>
      </c>
      <c r="DX129">
        <v>1</v>
      </c>
      <c r="DY129">
        <v>1</v>
      </c>
      <c r="DZ129">
        <v>1</v>
      </c>
      <c r="EA129">
        <v>1</v>
      </c>
      <c r="EB129">
        <v>0</v>
      </c>
      <c r="EC129">
        <v>0</v>
      </c>
      <c r="ED129">
        <v>0</v>
      </c>
      <c r="EE129">
        <v>0</v>
      </c>
      <c r="EF129">
        <v>1</v>
      </c>
      <c r="EG129">
        <v>0</v>
      </c>
      <c r="EH129">
        <v>1</v>
      </c>
      <c r="EI129" s="2">
        <v>0</v>
      </c>
      <c r="EJ129" s="1"/>
      <c r="EK129" t="str">
        <f>IF(AND(AND(AND(OR($DX129=1,$DW129=1),OR($EC129=1,$EA129=1)),SUM($DV129:$DZ129,$EF129)&gt;=4),SUM($EA129:$EE129)&gt;=2),"Whole sector","")</f>
        <v/>
      </c>
      <c r="EL129" t="str">
        <f>IF(AND(AND(OR($DX129=1,$DW129=1),AND($EC129=0,$EA129=0)),SUM($DV129:$DZ129,$EF129)&gt;=4),"Ecosystem approach","")</f>
        <v/>
      </c>
      <c r="EM129" s="2" t="str">
        <f>IF(AND(AND(AND($DX129=0,$DW129=0),OR($EC129=1,$EA129=1)),SUM($EB129:$EE129)&gt;=2),"Technology approach","")</f>
        <v/>
      </c>
      <c r="EN129"/>
      <c r="EO129"/>
      <c r="EP129" t="str">
        <f>IF(ISNUMBER(BU129),IF(ABS(BU129-[2]QC_indicators!$B$2)&gt;3*[2]QC_indicators!$C$2,"C ratio",IF(ISNUMBER(BY129),IF(ABS(BY129-[2]QC_indicators!$B$1)&gt;3*[2]QC_indicators!$C$1,"DF","no"))),IF(ISNUMBER(BY129),IF(ABS(BY129-[2]QC_indicators!$B$1)&gt;3*[2]QC_indicators!$C$1,"DF","no")))</f>
        <v>no</v>
      </c>
      <c r="EQ129"/>
      <c r="ER129"/>
      <c r="ES129"/>
      <c r="ET129" s="266" t="s">
        <v>3275</v>
      </c>
      <c r="EU129"/>
    </row>
    <row r="130" spans="1:151" s="139" customFormat="1" ht="15" hidden="1" customHeight="1">
      <c r="A130" s="1"/>
      <c r="B130"/>
      <c r="C130"/>
      <c r="D130" t="s">
        <v>2054</v>
      </c>
      <c r="E130" t="s">
        <v>2055</v>
      </c>
      <c r="F130"/>
      <c r="G130" t="s">
        <v>2056</v>
      </c>
      <c r="H130"/>
      <c r="I130">
        <v>2018</v>
      </c>
      <c r="J130"/>
      <c r="K130" s="150" t="s">
        <v>2057</v>
      </c>
      <c r="L130"/>
      <c r="M130" t="str">
        <f>LEFT($D130,FIND(",",$D130)-1)&amp;"_"&amp;I130&amp;L130</f>
        <v>Olguin_2018</v>
      </c>
      <c r="N130" t="s">
        <v>223</v>
      </c>
      <c r="O130" s="157" t="s">
        <v>275</v>
      </c>
      <c r="P130" t="s">
        <v>514</v>
      </c>
      <c r="Q130" t="s">
        <v>390</v>
      </c>
      <c r="R130" s="264" t="s">
        <v>224</v>
      </c>
      <c r="S130" s="265" t="s">
        <v>3195</v>
      </c>
      <c r="T130" t="s">
        <v>2058</v>
      </c>
      <c r="U130" t="s">
        <v>2064</v>
      </c>
      <c r="V130">
        <v>0</v>
      </c>
      <c r="W130">
        <v>0</v>
      </c>
      <c r="X130">
        <v>0</v>
      </c>
      <c r="Y130">
        <v>0</v>
      </c>
      <c r="Z130">
        <v>0</v>
      </c>
      <c r="AA130">
        <v>0</v>
      </c>
      <c r="AB130">
        <v>0</v>
      </c>
      <c r="AC130">
        <v>1</v>
      </c>
      <c r="AD130">
        <v>0</v>
      </c>
      <c r="AE130">
        <v>0</v>
      </c>
      <c r="AF130">
        <v>1</v>
      </c>
      <c r="AG130">
        <v>0</v>
      </c>
      <c r="AH130">
        <v>0</v>
      </c>
      <c r="AI130">
        <v>0</v>
      </c>
      <c r="AJ130">
        <v>0</v>
      </c>
      <c r="AK130">
        <v>0</v>
      </c>
      <c r="AL130">
        <v>0</v>
      </c>
      <c r="AM130">
        <v>0</v>
      </c>
      <c r="AN130">
        <v>0</v>
      </c>
      <c r="AO130">
        <v>0</v>
      </c>
      <c r="AP130">
        <v>0</v>
      </c>
      <c r="AQ130">
        <v>0</v>
      </c>
      <c r="AR130">
        <v>0</v>
      </c>
      <c r="AS130">
        <v>0</v>
      </c>
      <c r="AT130">
        <v>0</v>
      </c>
      <c r="AU130">
        <v>0</v>
      </c>
      <c r="AV130">
        <v>0</v>
      </c>
      <c r="AW130">
        <v>0</v>
      </c>
      <c r="AX130" s="141">
        <f>COUNTIF(V130:AW130,"&lt;&gt;0")</f>
        <v>2</v>
      </c>
      <c r="AY130" s="141">
        <f>COUNTIF(V130:AL130,"&lt;&gt;0")</f>
        <v>2</v>
      </c>
      <c r="AZ130">
        <f>COUNTIF(V130:AC130,"&lt;&gt;0")</f>
        <v>1</v>
      </c>
      <c r="BA130">
        <f>COUNTIF(AD130:AI130,"&lt;&gt;0")</f>
        <v>1</v>
      </c>
      <c r="BB130">
        <f>COUNTIF(AJ130:AL130,"&lt;&gt;0")</f>
        <v>0</v>
      </c>
      <c r="BC130">
        <f>COUNTIF(AS130:AW130,"&lt;&gt;0")</f>
        <v>0</v>
      </c>
      <c r="BD130">
        <f>COUNTIF(AM130:AR130,"&lt;&gt;0")</f>
        <v>0</v>
      </c>
      <c r="BE130" t="str">
        <f t="array" ref="BE130">IF(AY130=1,INDEX($V$7:$AL$7,MATCH(TRUE,INDEX($V130:$AW130&lt;&gt;0,),0)),IF(AY130=0,INDEX($AM$7:$AW$7,MATCH(1,$AM130:$AW130,0)),IF(BF130="Multiple strategies","mixed drivers",IF(BF130="Supply chain","multiple supply","multiple silviculture"))))</f>
        <v>mixed drivers</v>
      </c>
      <c r="BF130" s="2" t="str">
        <f t="array" ref="BF130">IF(COUNTIF(AZ130:BB130,"&lt;&gt;0")=1,INDEX($V$4:$AW$4,MATCH(TRUE,INDEX($V130:$AW130&lt;&gt;0,),0)),IF(COUNTIF(AZ130:BB130,"&lt;&gt;0")=0,INDEX($AM$4:$AW$4,MATCH(1,$AM130:$AW130,0)),"Multiple strategies"))</f>
        <v>Multiple strategies</v>
      </c>
      <c r="BG130" s="1" t="s">
        <v>322</v>
      </c>
      <c r="BH130"/>
      <c r="BI130" s="266" t="s">
        <v>1038</v>
      </c>
      <c r="BJ130" t="s">
        <v>2060</v>
      </c>
      <c r="BK130">
        <v>0</v>
      </c>
      <c r="BL130">
        <v>6788</v>
      </c>
      <c r="BM130" t="str">
        <f>IFERROR(BL130/BK130,"")</f>
        <v/>
      </c>
      <c r="BN130">
        <f>BL130-BK130</f>
        <v>6788</v>
      </c>
      <c r="BO130">
        <f>BN130*tC_to_m3</f>
        <v>29474.598349978292</v>
      </c>
      <c r="BP130" t="s">
        <v>233</v>
      </c>
      <c r="BQ130" s="234" t="s">
        <v>425</v>
      </c>
      <c r="BR130" t="s">
        <v>2065</v>
      </c>
      <c r="BS130"/>
      <c r="BT130"/>
      <c r="BU130" s="144"/>
      <c r="BV130">
        <v>0.01</v>
      </c>
      <c r="BW130"/>
      <c r="BX130">
        <f>BV130</f>
        <v>0.01</v>
      </c>
      <c r="BY130">
        <f>IFERROR(BX130/BO130,"")</f>
        <v>3.3927519151443723E-7</v>
      </c>
      <c r="BZ130">
        <v>0</v>
      </c>
      <c r="CA130">
        <v>0</v>
      </c>
      <c r="CB130">
        <v>0</v>
      </c>
      <c r="CC130">
        <v>0</v>
      </c>
      <c r="CD130">
        <v>0</v>
      </c>
      <c r="CE130">
        <v>0</v>
      </c>
      <c r="CF130">
        <v>0</v>
      </c>
      <c r="CG130">
        <v>0</v>
      </c>
      <c r="CH130">
        <v>0</v>
      </c>
      <c r="CI130">
        <v>0</v>
      </c>
      <c r="CJ130">
        <v>0</v>
      </c>
      <c r="CK130">
        <v>0</v>
      </c>
      <c r="CL130">
        <v>0</v>
      </c>
      <c r="CM130">
        <v>0</v>
      </c>
      <c r="CN130" t="str">
        <f>IF($BL130&lt;$BK130,"refNeedCorrection","refOK")</f>
        <v>refOK</v>
      </c>
      <c r="CO130">
        <f>IF($CN130="refOK",$BK130,$BL130)</f>
        <v>0</v>
      </c>
      <c r="CP130">
        <f>IF($CN130="refOK",$BL130,$BK130)</f>
        <v>6788</v>
      </c>
      <c r="CQ130">
        <f>IF($CN130="refOK",$BO130,-$BO130)</f>
        <v>29474.598349978292</v>
      </c>
      <c r="CR130">
        <f>IF($CN130="refOK",$BS130,$BT130)*IF($BP130="Emissions positive",-1,1)</f>
        <v>0</v>
      </c>
      <c r="CS130">
        <f>IF($CN130="refOK",$BT130,$BS130)*IF($BP130="Emissions positive",-1,1)</f>
        <v>0</v>
      </c>
      <c r="CT130">
        <f>IF($CN130="refNeedCorrection",-BX130,BX130)*IF($BP130="Emissions positive",-1,1)</f>
        <v>0.01</v>
      </c>
      <c r="CU130">
        <f>IFERROR(CT130/CQ130,"")</f>
        <v>3.3927519151443723E-7</v>
      </c>
      <c r="CV130" s="2" t="str">
        <f>IFERROR((CS130-CR130)/ABS(CR130),"")</f>
        <v/>
      </c>
      <c r="CW130" s="1" t="s">
        <v>2038</v>
      </c>
      <c r="CX130" t="str">
        <f>IF(OR($CW130="prd",$CW130="std",$CW130="cit"),"loc",IF(OR($CW130="eur",$CW130="reg",$CW130="coy"),"reg",$CW130))</f>
        <v>reg</v>
      </c>
      <c r="CY130" t="s">
        <v>2062</v>
      </c>
      <c r="CZ130">
        <v>2021</v>
      </c>
      <c r="DA130">
        <v>2030</v>
      </c>
      <c r="DB130">
        <f>DA130-CZ130</f>
        <v>9</v>
      </c>
      <c r="DC130" t="str">
        <f>IF(DB130=0,"0",IF(AND(DB130&gt;=1,DB130&lt;=30),"1-30",IF(AND(DB130&gt;30,DB130&lt;=70),"31-70",IF(AND(DB130&gt;70,DB130&lt;=100),"71-100",IF(DB130&gt;100,"+100")))))</f>
        <v>1-30</v>
      </c>
      <c r="DD130">
        <v>0</v>
      </c>
      <c r="DE130">
        <v>0</v>
      </c>
      <c r="DF130">
        <v>0</v>
      </c>
      <c r="DG130">
        <v>1</v>
      </c>
      <c r="DH130">
        <v>0</v>
      </c>
      <c r="DI130">
        <f>SUM(DD130:DG130)</f>
        <v>1</v>
      </c>
      <c r="DJ130" t="str">
        <f>IF(DI130=1,INDEX($DD$7:$DG$7,MATCH(1,$DD130:$DG130,0)),"mixedProduct")</f>
        <v>TimberInput</v>
      </c>
      <c r="DK130">
        <f>IF(DD130=1,DK$7,0)</f>
        <v>0</v>
      </c>
      <c r="DL130">
        <f>IF(DE130=1,DL$7,0)</f>
        <v>0</v>
      </c>
      <c r="DM130">
        <f>IF(DF130=1,DM$7,0)</f>
        <v>0</v>
      </c>
      <c r="DN130" t="str">
        <f>IF(DG130=1,DN$7,0)</f>
        <v>Timber</v>
      </c>
      <c r="DO130"/>
      <c r="DP130">
        <v>1</v>
      </c>
      <c r="DQ130"/>
      <c r="DR130"/>
      <c r="DS130" s="184" t="s">
        <v>2063</v>
      </c>
      <c r="DT130"/>
      <c r="DU130" s="143" t="str">
        <f>IF(DO130=1,"self-calculated DF",IF(DP130=1,"external DF used","explicit C balance"))</f>
        <v>external DF used</v>
      </c>
      <c r="DV130">
        <v>1</v>
      </c>
      <c r="DW130">
        <v>1</v>
      </c>
      <c r="DX130">
        <v>1</v>
      </c>
      <c r="DY130">
        <v>1</v>
      </c>
      <c r="DZ130">
        <v>1</v>
      </c>
      <c r="EA130">
        <v>1</v>
      </c>
      <c r="EB130">
        <v>0</v>
      </c>
      <c r="EC130">
        <v>0</v>
      </c>
      <c r="ED130">
        <v>0</v>
      </c>
      <c r="EE130">
        <v>0</v>
      </c>
      <c r="EF130">
        <v>1</v>
      </c>
      <c r="EG130">
        <v>0</v>
      </c>
      <c r="EH130">
        <v>1</v>
      </c>
      <c r="EI130" s="2">
        <v>0</v>
      </c>
      <c r="EJ130" s="1"/>
      <c r="EK130" t="str">
        <f>IF(AND(AND(AND(OR($DX130=1,$DW130=1),OR($EC130=1,$EA130=1)),SUM($DV130:$DZ130,$EF130)&gt;=4),SUM($EA130:$EE130)&gt;=2),"Whole sector","")</f>
        <v/>
      </c>
      <c r="EL130" t="str">
        <f>IF(AND(AND(OR($DX130=1,$DW130=1),AND($EC130=0,$EA130=0)),SUM($DV130:$DZ130,$EF130)&gt;=4),"Ecosystem approach","")</f>
        <v/>
      </c>
      <c r="EM130" s="2" t="str">
        <f>IF(AND(AND(AND($DX130=0,$DW130=0),OR($EC130=1,$EA130=1)),SUM($EB130:$EE130)&gt;=2),"Technology approach","")</f>
        <v/>
      </c>
      <c r="EN130"/>
      <c r="EO130"/>
      <c r="EP130" t="str">
        <f>IF(ISNUMBER(BU130),IF(ABS(BU130-[2]QC_indicators!$B$2)&gt;3*[2]QC_indicators!$C$2,"C ratio",IF(ISNUMBER(BY130),IF(ABS(BY130-[2]QC_indicators!$B$1)&gt;3*[2]QC_indicators!$C$1,"DF","no"))),IF(ISNUMBER(BY130),IF(ABS(BY130-[2]QC_indicators!$B$1)&gt;3*[2]QC_indicators!$C$1,"DF","no")))</f>
        <v>no</v>
      </c>
      <c r="EQ130"/>
      <c r="ER130"/>
      <c r="ES130"/>
      <c r="ET130" s="266" t="s">
        <v>3275</v>
      </c>
      <c r="EU130"/>
    </row>
    <row r="131" spans="1:151" s="139" customFormat="1" ht="15" hidden="1" customHeight="1">
      <c r="A131" s="1"/>
      <c r="B131"/>
      <c r="C131"/>
      <c r="D131" t="s">
        <v>2054</v>
      </c>
      <c r="E131" t="s">
        <v>2055</v>
      </c>
      <c r="F131"/>
      <c r="G131" t="s">
        <v>2056</v>
      </c>
      <c r="H131"/>
      <c r="I131">
        <v>2018</v>
      </c>
      <c r="J131"/>
      <c r="K131" s="150" t="s">
        <v>2057</v>
      </c>
      <c r="L131"/>
      <c r="M131" t="str">
        <f>LEFT($D131,FIND(",",$D131)-1)&amp;"_"&amp;I131&amp;L131</f>
        <v>Olguin_2018</v>
      </c>
      <c r="N131" t="s">
        <v>223</v>
      </c>
      <c r="O131" s="157" t="s">
        <v>275</v>
      </c>
      <c r="P131" t="s">
        <v>514</v>
      </c>
      <c r="Q131" t="s">
        <v>390</v>
      </c>
      <c r="R131" s="264" t="s">
        <v>224</v>
      </c>
      <c r="S131" s="265" t="s">
        <v>3196</v>
      </c>
      <c r="T131" t="s">
        <v>2058</v>
      </c>
      <c r="U131" t="s">
        <v>2059</v>
      </c>
      <c r="V131">
        <v>0</v>
      </c>
      <c r="W131">
        <v>0</v>
      </c>
      <c r="X131">
        <v>0</v>
      </c>
      <c r="Y131">
        <v>0</v>
      </c>
      <c r="Z131">
        <v>0</v>
      </c>
      <c r="AA131">
        <v>0</v>
      </c>
      <c r="AB131">
        <v>0</v>
      </c>
      <c r="AC131">
        <v>1</v>
      </c>
      <c r="AD131">
        <v>0</v>
      </c>
      <c r="AE131">
        <v>0</v>
      </c>
      <c r="AF131">
        <v>1</v>
      </c>
      <c r="AG131">
        <v>0</v>
      </c>
      <c r="AH131">
        <v>0</v>
      </c>
      <c r="AI131">
        <v>0</v>
      </c>
      <c r="AJ131">
        <v>0</v>
      </c>
      <c r="AK131">
        <v>0</v>
      </c>
      <c r="AL131">
        <v>0</v>
      </c>
      <c r="AM131">
        <v>0</v>
      </c>
      <c r="AN131">
        <v>0</v>
      </c>
      <c r="AO131">
        <v>0</v>
      </c>
      <c r="AP131">
        <v>0</v>
      </c>
      <c r="AQ131">
        <v>0</v>
      </c>
      <c r="AR131">
        <v>0</v>
      </c>
      <c r="AS131">
        <v>0</v>
      </c>
      <c r="AT131">
        <v>0</v>
      </c>
      <c r="AU131">
        <v>0</v>
      </c>
      <c r="AV131">
        <v>0</v>
      </c>
      <c r="AW131">
        <v>0</v>
      </c>
      <c r="AX131" s="141">
        <f>COUNTIF(V131:AW131,"&lt;&gt;0")</f>
        <v>2</v>
      </c>
      <c r="AY131" s="141">
        <f>COUNTIF(V131:AL131,"&lt;&gt;0")</f>
        <v>2</v>
      </c>
      <c r="AZ131">
        <f>COUNTIF(V131:AC131,"&lt;&gt;0")</f>
        <v>1</v>
      </c>
      <c r="BA131">
        <f>COUNTIF(AD131:AI131,"&lt;&gt;0")</f>
        <v>1</v>
      </c>
      <c r="BB131">
        <f>COUNTIF(AJ131:AL131,"&lt;&gt;0")</f>
        <v>0</v>
      </c>
      <c r="BC131">
        <f>COUNTIF(AS131:AW131,"&lt;&gt;0")</f>
        <v>0</v>
      </c>
      <c r="BD131">
        <f>COUNTIF(AM131:AR131,"&lt;&gt;0")</f>
        <v>0</v>
      </c>
      <c r="BE131" t="str">
        <f t="array" ref="BE131">IF(AY131=1,INDEX($V$7:$AL$7,MATCH(TRUE,INDEX($V131:$AW131&lt;&gt;0,),0)),IF(AY131=0,INDEX($AM$7:$AW$7,MATCH(1,$AM131:$AW131,0)),IF(BF131="Multiple strategies","mixed drivers",IF(BF131="Supply chain","multiple supply","multiple silviculture"))))</f>
        <v>mixed drivers</v>
      </c>
      <c r="BF131" s="2" t="str">
        <f t="array" ref="BF131">IF(COUNTIF(AZ131:BB131,"&lt;&gt;0")=1,INDEX($V$4:$AW$4,MATCH(TRUE,INDEX($V131:$AW131&lt;&gt;0,),0)),IF(COUNTIF(AZ131:BB131,"&lt;&gt;0")=0,INDEX($AM$4:$AW$4,MATCH(1,$AM131:$AW131,0)),"Multiple strategies"))</f>
        <v>Multiple strategies</v>
      </c>
      <c r="BG131" s="1" t="s">
        <v>322</v>
      </c>
      <c r="BH131"/>
      <c r="BI131" s="266" t="s">
        <v>1038</v>
      </c>
      <c r="BJ131" s="266" t="s">
        <v>2060</v>
      </c>
      <c r="BK131">
        <v>0</v>
      </c>
      <c r="BL131">
        <v>218025</v>
      </c>
      <c r="BM131" t="str">
        <f>IFERROR(#REF!/BK131,"")</f>
        <v/>
      </c>
      <c r="BN131">
        <f>BL131-BK131</f>
        <v>218025</v>
      </c>
      <c r="BO131">
        <f>BN131*tC_to_m3</f>
        <v>946699.95657837612</v>
      </c>
      <c r="BP131" t="s">
        <v>233</v>
      </c>
      <c r="BQ131" s="234" t="s">
        <v>425</v>
      </c>
      <c r="BR131" t="s">
        <v>2061</v>
      </c>
      <c r="BS131"/>
      <c r="BT131"/>
      <c r="BU131" s="144"/>
      <c r="BV131">
        <v>-0.31</v>
      </c>
      <c r="BW131"/>
      <c r="BX131">
        <f>BV131*10^6</f>
        <v>-310000</v>
      </c>
      <c r="BY131">
        <f>IFERROR(BX131/BO131,"")</f>
        <v>-0.32745327370714367</v>
      </c>
      <c r="BZ131">
        <v>0</v>
      </c>
      <c r="CA131">
        <v>0</v>
      </c>
      <c r="CB131">
        <v>0</v>
      </c>
      <c r="CC131">
        <v>0</v>
      </c>
      <c r="CD131">
        <v>0</v>
      </c>
      <c r="CE131">
        <v>0</v>
      </c>
      <c r="CF131">
        <v>0</v>
      </c>
      <c r="CG131">
        <v>0</v>
      </c>
      <c r="CH131">
        <v>0</v>
      </c>
      <c r="CI131">
        <v>0</v>
      </c>
      <c r="CJ131">
        <v>0</v>
      </c>
      <c r="CK131">
        <v>0</v>
      </c>
      <c r="CL131">
        <v>0</v>
      </c>
      <c r="CM131">
        <v>0</v>
      </c>
      <c r="CN131" t="str">
        <f>IF($BL131&lt;$BK131,"refNeedCorrection","refOK")</f>
        <v>refOK</v>
      </c>
      <c r="CO131">
        <f>IF($CN131="refOK",$BK131,$BL131)</f>
        <v>0</v>
      </c>
      <c r="CP131">
        <f>IF($CN131="refOK",$BL131,$BK131)</f>
        <v>218025</v>
      </c>
      <c r="CQ131">
        <f>IF($CN131="refOK",$BO131,-$BO131)</f>
        <v>946699.95657837612</v>
      </c>
      <c r="CR131">
        <f>IF($CN131="refOK",$BS131,$BT131)*IF($BP131="Emissions positive",-1,1)</f>
        <v>0</v>
      </c>
      <c r="CS131">
        <f>IF($CN131="refOK",$BT131,$BS131)*IF($BP131="Emissions positive",-1,1)</f>
        <v>0</v>
      </c>
      <c r="CT131">
        <f>IF($CN131="refNeedCorrection",-BX131,BX131)*IF($BP131="Emissions positive",-1,1)</f>
        <v>-310000</v>
      </c>
      <c r="CU131">
        <f>IFERROR(CT131/CQ131,"")</f>
        <v>-0.32745327370714367</v>
      </c>
      <c r="CV131" s="2" t="str">
        <f>IFERROR((CS131-CR131)/ABS(CR131),"")</f>
        <v/>
      </c>
      <c r="CW131" s="1" t="s">
        <v>2038</v>
      </c>
      <c r="CX131" t="str">
        <f>IF(OR($CW131="prd",$CW131="std",$CW131="cit"),"loc",IF(OR($CW131="eur",$CW131="reg",$CW131="coy"),"reg",$CW131))</f>
        <v>reg</v>
      </c>
      <c r="CY131" t="s">
        <v>2062</v>
      </c>
      <c r="CZ131">
        <v>2021</v>
      </c>
      <c r="DA131">
        <v>2030</v>
      </c>
      <c r="DB131">
        <f>DA131-CZ131</f>
        <v>9</v>
      </c>
      <c r="DC131" t="str">
        <f>IF(DB131=0,"0",IF(AND(DB131&gt;=1,DB131&lt;=30),"1-30",IF(AND(DB131&gt;30,DB131&lt;=70),"31-70",IF(AND(DB131&gt;70,DB131&lt;=100),"71-100",IF(DB131&gt;100,"+100")))))</f>
        <v>1-30</v>
      </c>
      <c r="DD131">
        <v>0</v>
      </c>
      <c r="DE131">
        <v>0</v>
      </c>
      <c r="DF131">
        <v>0</v>
      </c>
      <c r="DG131">
        <v>1</v>
      </c>
      <c r="DH131">
        <v>0</v>
      </c>
      <c r="DI131">
        <f>SUM(DD131:DG131)</f>
        <v>1</v>
      </c>
      <c r="DJ131" t="str">
        <f>IF(DI131=1,INDEX($DD$7:$DG$7,MATCH(1,$DD131:$DG131,0)),"mixedProduct")</f>
        <v>TimberInput</v>
      </c>
      <c r="DK131">
        <f>IF(DD131=1,DK$7,0)</f>
        <v>0</v>
      </c>
      <c r="DL131">
        <f>IF(DE131=1,DL$7,0)</f>
        <v>0</v>
      </c>
      <c r="DM131">
        <f>IF(DF131=1,DM$7,0)</f>
        <v>0</v>
      </c>
      <c r="DN131" t="str">
        <f>IF(DG131=1,DN$7,0)</f>
        <v>Timber</v>
      </c>
      <c r="DO131"/>
      <c r="DP131">
        <v>1</v>
      </c>
      <c r="DQ131"/>
      <c r="DR131"/>
      <c r="DS131" s="184" t="s">
        <v>2063</v>
      </c>
      <c r="DT131"/>
      <c r="DU131" s="143" t="str">
        <f>IF(DO131=1,"self-calculated DF",IF(DP131=1,"external DF used","explicit C balance"))</f>
        <v>external DF used</v>
      </c>
      <c r="DV131">
        <v>1</v>
      </c>
      <c r="DW131">
        <v>1</v>
      </c>
      <c r="DX131">
        <v>1</v>
      </c>
      <c r="DY131">
        <v>1</v>
      </c>
      <c r="DZ131">
        <v>1</v>
      </c>
      <c r="EA131">
        <v>1</v>
      </c>
      <c r="EB131">
        <v>0</v>
      </c>
      <c r="EC131">
        <v>0</v>
      </c>
      <c r="ED131">
        <v>0</v>
      </c>
      <c r="EE131">
        <v>0</v>
      </c>
      <c r="EF131">
        <v>1</v>
      </c>
      <c r="EG131">
        <v>0</v>
      </c>
      <c r="EH131">
        <v>1</v>
      </c>
      <c r="EI131" s="2">
        <v>0</v>
      </c>
      <c r="EJ131" s="1"/>
      <c r="EK131" t="str">
        <f>IF(AND(AND(AND(OR($DX131=1,$DW131=1),OR($EC131=1,$EA131=1)),SUM($DV131:$DZ131,$EF131)&gt;=4),SUM($EA131:$EE131)&gt;=2),"Whole sector","")</f>
        <v/>
      </c>
      <c r="EL131" t="str">
        <f>IF(AND(AND(OR($DX131=1,$DW131=1),AND($EC131=0,$EA131=0)),SUM($DV131:$DZ131,$EF131)&gt;=4),"Ecosystem approach","")</f>
        <v/>
      </c>
      <c r="EM131" s="2" t="str">
        <f>IF(AND(AND(AND($DX131=0,$DW131=0),OR($EC131=1,$EA131=1)),SUM($EB131:$EE131)&gt;=2),"Technology approach","")</f>
        <v/>
      </c>
      <c r="EN131"/>
      <c r="EO131"/>
      <c r="EP131" t="str">
        <f>IF(ISNUMBER(BU131),IF(ABS(BU131-[2]QC_indicators!$B$2)&gt;3*[2]QC_indicators!$C$2,"C ratio",IF(ISNUMBER(BY131),IF(ABS(BY131-[2]QC_indicators!$B$1)&gt;3*[2]QC_indicators!$C$1,"DF","no"))),IF(ISNUMBER(BY131),IF(ABS(BY131-[2]QC_indicators!$B$1)&gt;3*[2]QC_indicators!$C$1,"DF","no")))</f>
        <v>no</v>
      </c>
      <c r="EQ131"/>
      <c r="ER131"/>
      <c r="ES131"/>
      <c r="ET131" s="266" t="s">
        <v>3275</v>
      </c>
      <c r="EU131"/>
    </row>
    <row r="132" spans="1:151" s="139" customFormat="1" ht="15" hidden="1" customHeight="1">
      <c r="A132" s="1"/>
      <c r="B132"/>
      <c r="C132"/>
      <c r="D132" t="s">
        <v>2054</v>
      </c>
      <c r="E132" t="s">
        <v>2055</v>
      </c>
      <c r="F132"/>
      <c r="G132" t="s">
        <v>2056</v>
      </c>
      <c r="H132"/>
      <c r="I132">
        <v>2018</v>
      </c>
      <c r="J132"/>
      <c r="K132" s="150" t="s">
        <v>2057</v>
      </c>
      <c r="L132"/>
      <c r="M132" t="str">
        <f>LEFT($D132,FIND(",",$D132)-1)&amp;"_"&amp;I132&amp;L132</f>
        <v>Olguin_2018</v>
      </c>
      <c r="N132" t="s">
        <v>223</v>
      </c>
      <c r="O132" s="157" t="s">
        <v>275</v>
      </c>
      <c r="P132" t="s">
        <v>514</v>
      </c>
      <c r="Q132" t="s">
        <v>390</v>
      </c>
      <c r="R132" s="264" t="s">
        <v>224</v>
      </c>
      <c r="S132" s="265" t="s">
        <v>3197</v>
      </c>
      <c r="T132" t="s">
        <v>2058</v>
      </c>
      <c r="U132" t="s">
        <v>2059</v>
      </c>
      <c r="V132">
        <v>0</v>
      </c>
      <c r="W132">
        <v>0</v>
      </c>
      <c r="X132">
        <v>0</v>
      </c>
      <c r="Y132">
        <v>0</v>
      </c>
      <c r="Z132">
        <v>0</v>
      </c>
      <c r="AA132">
        <v>0</v>
      </c>
      <c r="AB132">
        <v>0</v>
      </c>
      <c r="AC132">
        <v>1</v>
      </c>
      <c r="AD132">
        <v>0</v>
      </c>
      <c r="AE132">
        <v>0</v>
      </c>
      <c r="AF132">
        <v>1</v>
      </c>
      <c r="AG132">
        <v>0</v>
      </c>
      <c r="AH132">
        <v>0</v>
      </c>
      <c r="AI132">
        <v>0</v>
      </c>
      <c r="AJ132">
        <v>0</v>
      </c>
      <c r="AK132">
        <v>0</v>
      </c>
      <c r="AL132">
        <v>0</v>
      </c>
      <c r="AM132">
        <v>0</v>
      </c>
      <c r="AN132">
        <v>0</v>
      </c>
      <c r="AO132">
        <v>0</v>
      </c>
      <c r="AP132">
        <v>0</v>
      </c>
      <c r="AQ132">
        <v>0</v>
      </c>
      <c r="AR132">
        <v>0</v>
      </c>
      <c r="AS132">
        <v>0</v>
      </c>
      <c r="AT132">
        <v>0</v>
      </c>
      <c r="AU132">
        <v>0</v>
      </c>
      <c r="AV132">
        <v>0</v>
      </c>
      <c r="AW132">
        <v>0</v>
      </c>
      <c r="AX132" s="141">
        <f>COUNTIF(V132:AW132,"&lt;&gt;0")</f>
        <v>2</v>
      </c>
      <c r="AY132" s="141">
        <f>COUNTIF(V132:AL132,"&lt;&gt;0")</f>
        <v>2</v>
      </c>
      <c r="AZ132">
        <f>COUNTIF(V132:AC132,"&lt;&gt;0")</f>
        <v>1</v>
      </c>
      <c r="BA132">
        <f>COUNTIF(AD132:AI132,"&lt;&gt;0")</f>
        <v>1</v>
      </c>
      <c r="BB132">
        <f>COUNTIF(AJ132:AL132,"&lt;&gt;0")</f>
        <v>0</v>
      </c>
      <c r="BC132">
        <f>COUNTIF(AS132:AW132,"&lt;&gt;0")</f>
        <v>0</v>
      </c>
      <c r="BD132">
        <f>COUNTIF(AM132:AR132,"&lt;&gt;0")</f>
        <v>0</v>
      </c>
      <c r="BE132" t="str">
        <f t="array" ref="BE132">IF(AY132=1,INDEX($V$7:$AL$7,MATCH(TRUE,INDEX($V132:$AW132&lt;&gt;0,),0)),IF(AY132=0,INDEX($AM$7:$AW$7,MATCH(1,$AM132:$AW132,0)),IF(BF132="Multiple strategies","mixed drivers",IF(BF132="Supply chain","multiple supply","multiple silviculture"))))</f>
        <v>mixed drivers</v>
      </c>
      <c r="BF132" s="2" t="str">
        <f t="array" ref="BF132">IF(COUNTIF(AZ132:BB132,"&lt;&gt;0")=1,INDEX($V$4:$AW$4,MATCH(TRUE,INDEX($V132:$AW132&lt;&gt;0,),0)),IF(COUNTIF(AZ132:BB132,"&lt;&gt;0")=0,INDEX($AM$4:$AW$4,MATCH(1,$AM132:$AW132,0)),"Multiple strategies"))</f>
        <v>Multiple strategies</v>
      </c>
      <c r="BG132" s="1" t="s">
        <v>322</v>
      </c>
      <c r="BH132"/>
      <c r="BI132" s="266" t="s">
        <v>1038</v>
      </c>
      <c r="BJ132" t="s">
        <v>2060</v>
      </c>
      <c r="BK132">
        <v>0</v>
      </c>
      <c r="BL132">
        <v>6788</v>
      </c>
      <c r="BM132" t="str">
        <f>IFERROR(BL132/BK132,"")</f>
        <v/>
      </c>
      <c r="BN132">
        <f>BL132-BK132</f>
        <v>6788</v>
      </c>
      <c r="BO132">
        <f>BN132*tC_to_m3</f>
        <v>29474.598349978292</v>
      </c>
      <c r="BP132" t="s">
        <v>233</v>
      </c>
      <c r="BQ132" s="234" t="s">
        <v>425</v>
      </c>
      <c r="BR132" t="s">
        <v>2065</v>
      </c>
      <c r="BS132"/>
      <c r="BT132"/>
      <c r="BU132" s="144"/>
      <c r="BV132">
        <v>0.03</v>
      </c>
      <c r="BW132"/>
      <c r="BX132">
        <f>BV132*10^6</f>
        <v>30000</v>
      </c>
      <c r="BY132">
        <f>IFERROR(BX132/BO132,"")</f>
        <v>1.0178255745433116</v>
      </c>
      <c r="BZ132">
        <v>0</v>
      </c>
      <c r="CA132">
        <v>0</v>
      </c>
      <c r="CB132">
        <v>0</v>
      </c>
      <c r="CC132">
        <v>0</v>
      </c>
      <c r="CD132">
        <v>0</v>
      </c>
      <c r="CE132">
        <v>0</v>
      </c>
      <c r="CF132">
        <v>0</v>
      </c>
      <c r="CG132">
        <v>0</v>
      </c>
      <c r="CH132">
        <v>0</v>
      </c>
      <c r="CI132">
        <v>0</v>
      </c>
      <c r="CJ132">
        <v>0</v>
      </c>
      <c r="CK132">
        <v>0</v>
      </c>
      <c r="CL132">
        <v>0</v>
      </c>
      <c r="CM132">
        <v>0</v>
      </c>
      <c r="CN132" t="str">
        <f>IF($BL132&lt;$BK132,"refNeedCorrection","refOK")</f>
        <v>refOK</v>
      </c>
      <c r="CO132">
        <f>IF($CN132="refOK",$BK132,$BL132)</f>
        <v>0</v>
      </c>
      <c r="CP132">
        <f>IF($CN132="refOK",$BL132,$BK132)</f>
        <v>6788</v>
      </c>
      <c r="CQ132">
        <f>IF($CN132="refOK",$BO132,-$BO132)</f>
        <v>29474.598349978292</v>
      </c>
      <c r="CR132">
        <f>IF($CN132="refOK",$BS132,$BT132)*IF($BP132="Emissions positive",-1,1)</f>
        <v>0</v>
      </c>
      <c r="CS132">
        <f>IF($CN132="refOK",$BT132,$BS132)*IF($BP132="Emissions positive",-1,1)</f>
        <v>0</v>
      </c>
      <c r="CT132">
        <f>IF($CN132="refNeedCorrection",-BX132,BX132)*IF($BP132="Emissions positive",-1,1)</f>
        <v>30000</v>
      </c>
      <c r="CU132">
        <f>IFERROR(CT132/CQ132,"")</f>
        <v>1.0178255745433116</v>
      </c>
      <c r="CV132" s="2" t="str">
        <f>IFERROR((CS132-CR132)/ABS(CR132),"")</f>
        <v/>
      </c>
      <c r="CW132" s="1" t="s">
        <v>2038</v>
      </c>
      <c r="CX132" t="str">
        <f>IF(OR($CW132="prd",$CW132="std",$CW132="cit"),"loc",IF(OR($CW132="eur",$CW132="reg",$CW132="coy"),"reg",$CW132))</f>
        <v>reg</v>
      </c>
      <c r="CY132" t="s">
        <v>2062</v>
      </c>
      <c r="CZ132">
        <v>2021</v>
      </c>
      <c r="DA132">
        <v>2030</v>
      </c>
      <c r="DB132">
        <f>DA132-CZ132</f>
        <v>9</v>
      </c>
      <c r="DC132" t="str">
        <f>IF(DB132=0,"0",IF(AND(DB132&gt;=1,DB132&lt;=30),"1-30",IF(AND(DB132&gt;30,DB132&lt;=70),"31-70",IF(AND(DB132&gt;70,DB132&lt;=100),"71-100",IF(DB132&gt;100,"+100")))))</f>
        <v>1-30</v>
      </c>
      <c r="DD132">
        <v>0</v>
      </c>
      <c r="DE132">
        <v>0</v>
      </c>
      <c r="DF132">
        <v>0</v>
      </c>
      <c r="DG132">
        <v>1</v>
      </c>
      <c r="DH132">
        <v>0</v>
      </c>
      <c r="DI132">
        <f>SUM(DD132:DG132)</f>
        <v>1</v>
      </c>
      <c r="DJ132" t="str">
        <f>IF(DI132=1,INDEX($DD$7:$DG$7,MATCH(1,$DD132:$DG132,0)),"mixedProduct")</f>
        <v>TimberInput</v>
      </c>
      <c r="DK132">
        <f>IF(DD132=1,DK$7,0)</f>
        <v>0</v>
      </c>
      <c r="DL132">
        <f>IF(DE132=1,DL$7,0)</f>
        <v>0</v>
      </c>
      <c r="DM132">
        <f>IF(DF132=1,DM$7,0)</f>
        <v>0</v>
      </c>
      <c r="DN132" t="str">
        <f>IF(DG132=1,DN$7,0)</f>
        <v>Timber</v>
      </c>
      <c r="DO132"/>
      <c r="DP132">
        <v>1</v>
      </c>
      <c r="DQ132"/>
      <c r="DR132"/>
      <c r="DS132" s="184" t="s">
        <v>2063</v>
      </c>
      <c r="DT132"/>
      <c r="DU132" s="143" t="str">
        <f>IF(DO132=1,"self-calculated DF",IF(DP132=1,"external DF used","explicit C balance"))</f>
        <v>external DF used</v>
      </c>
      <c r="DV132">
        <v>1</v>
      </c>
      <c r="DW132">
        <v>1</v>
      </c>
      <c r="DX132">
        <v>1</v>
      </c>
      <c r="DY132">
        <v>1</v>
      </c>
      <c r="DZ132">
        <v>1</v>
      </c>
      <c r="EA132">
        <v>1</v>
      </c>
      <c r="EB132">
        <v>0</v>
      </c>
      <c r="EC132">
        <v>0</v>
      </c>
      <c r="ED132">
        <v>0</v>
      </c>
      <c r="EE132">
        <v>0</v>
      </c>
      <c r="EF132">
        <v>1</v>
      </c>
      <c r="EG132">
        <v>0</v>
      </c>
      <c r="EH132">
        <v>1</v>
      </c>
      <c r="EI132" s="2">
        <v>0</v>
      </c>
      <c r="EJ132" s="1"/>
      <c r="EK132" t="str">
        <f>IF(AND(AND(AND(OR($DX132=1,$DW132=1),OR($EC132=1,$EA132=1)),SUM($DV132:$DZ132,$EF132)&gt;=4),SUM($EA132:$EE132)&gt;=2),"Whole sector","")</f>
        <v/>
      </c>
      <c r="EL132" t="str">
        <f>IF(AND(AND(OR($DX132=1,$DW132=1),AND($EC132=0,$EA132=0)),SUM($DV132:$DZ132,$EF132)&gt;=4),"Ecosystem approach","")</f>
        <v/>
      </c>
      <c r="EM132" s="2" t="str">
        <f>IF(AND(AND(AND($DX132=0,$DW132=0),OR($EC132=1,$EA132=1)),SUM($EB132:$EE132)&gt;=2),"Technology approach","")</f>
        <v/>
      </c>
      <c r="EN132"/>
      <c r="EO132"/>
      <c r="EP132" t="str">
        <f>IF(ISNUMBER(BU132),IF(ABS(BU132-[2]QC_indicators!$B$2)&gt;3*[2]QC_indicators!$C$2,"C ratio",IF(ISNUMBER(BY132),IF(ABS(BY132-[2]QC_indicators!$B$1)&gt;3*[2]QC_indicators!$C$1,"DF","no"))),IF(ISNUMBER(BY132),IF(ABS(BY132-[2]QC_indicators!$B$1)&gt;3*[2]QC_indicators!$C$1,"DF","no")))</f>
        <v>no</v>
      </c>
      <c r="EQ132"/>
      <c r="ER132"/>
      <c r="ES132"/>
      <c r="ET132" s="266" t="s">
        <v>3275</v>
      </c>
      <c r="EU132"/>
    </row>
    <row r="133" spans="1:151" s="139" customFormat="1" ht="15" hidden="1" customHeight="1">
      <c r="A133" s="1"/>
      <c r="B133"/>
      <c r="C133"/>
      <c r="D133" t="s">
        <v>2054</v>
      </c>
      <c r="E133" t="s">
        <v>2055</v>
      </c>
      <c r="F133"/>
      <c r="G133" t="s">
        <v>2056</v>
      </c>
      <c r="H133"/>
      <c r="I133">
        <v>2018</v>
      </c>
      <c r="J133"/>
      <c r="K133" s="150" t="s">
        <v>2057</v>
      </c>
      <c r="L133"/>
      <c r="M133" t="str">
        <f>LEFT($D133,FIND(",",$D133)-1)&amp;"_"&amp;I133&amp;L133</f>
        <v>Olguin_2018</v>
      </c>
      <c r="N133" t="s">
        <v>223</v>
      </c>
      <c r="O133" s="157" t="s">
        <v>275</v>
      </c>
      <c r="P133" t="s">
        <v>514</v>
      </c>
      <c r="Q133" t="s">
        <v>390</v>
      </c>
      <c r="R133" s="264" t="s">
        <v>224</v>
      </c>
      <c r="S133" s="265" t="s">
        <v>3198</v>
      </c>
      <c r="T133" t="s">
        <v>2058</v>
      </c>
      <c r="U133" t="s">
        <v>2059</v>
      </c>
      <c r="V133">
        <v>0</v>
      </c>
      <c r="W133">
        <v>0</v>
      </c>
      <c r="X133">
        <v>0</v>
      </c>
      <c r="Y133">
        <v>0</v>
      </c>
      <c r="Z133">
        <v>0</v>
      </c>
      <c r="AA133">
        <v>0</v>
      </c>
      <c r="AB133">
        <v>0</v>
      </c>
      <c r="AC133">
        <v>1</v>
      </c>
      <c r="AD133">
        <v>0</v>
      </c>
      <c r="AE133">
        <v>0</v>
      </c>
      <c r="AF133">
        <v>1</v>
      </c>
      <c r="AG133">
        <v>0</v>
      </c>
      <c r="AH133">
        <v>0</v>
      </c>
      <c r="AI133">
        <v>0</v>
      </c>
      <c r="AJ133">
        <v>0</v>
      </c>
      <c r="AK133">
        <v>0</v>
      </c>
      <c r="AL133">
        <v>0</v>
      </c>
      <c r="AM133">
        <v>0</v>
      </c>
      <c r="AN133">
        <v>0</v>
      </c>
      <c r="AO133">
        <v>0</v>
      </c>
      <c r="AP133">
        <v>0</v>
      </c>
      <c r="AQ133">
        <v>0</v>
      </c>
      <c r="AR133">
        <v>0</v>
      </c>
      <c r="AS133">
        <v>0</v>
      </c>
      <c r="AT133">
        <v>0</v>
      </c>
      <c r="AU133">
        <v>0</v>
      </c>
      <c r="AV133">
        <v>0</v>
      </c>
      <c r="AW133">
        <v>0</v>
      </c>
      <c r="AX133" s="141">
        <f>COUNTIF(V133:AW133,"&lt;&gt;0")</f>
        <v>2</v>
      </c>
      <c r="AY133" s="141">
        <f>COUNTIF(V133:AL133,"&lt;&gt;0")</f>
        <v>2</v>
      </c>
      <c r="AZ133">
        <f>COUNTIF(V133:AC133,"&lt;&gt;0")</f>
        <v>1</v>
      </c>
      <c r="BA133">
        <f>COUNTIF(AD133:AI133,"&lt;&gt;0")</f>
        <v>1</v>
      </c>
      <c r="BB133">
        <f>COUNTIF(AJ133:AL133,"&lt;&gt;0")</f>
        <v>0</v>
      </c>
      <c r="BC133">
        <f>COUNTIF(AS133:AW133,"&lt;&gt;0")</f>
        <v>0</v>
      </c>
      <c r="BD133">
        <f>COUNTIF(AM133:AR133,"&lt;&gt;0")</f>
        <v>0</v>
      </c>
      <c r="BE133" t="str">
        <f t="array" ref="BE133">IF(AY133=1,INDEX($V$7:$AL$7,MATCH(TRUE,INDEX($V133:$AW133&lt;&gt;0,),0)),IF(AY133=0,INDEX($AM$7:$AW$7,MATCH(1,$AM133:$AW133,0)),IF(BF133="Multiple strategies","mixed drivers",IF(BF133="Supply chain","multiple supply","multiple silviculture"))))</f>
        <v>mixed drivers</v>
      </c>
      <c r="BF133" s="2" t="str">
        <f t="array" ref="BF133">IF(COUNTIF(AZ133:BB133,"&lt;&gt;0")=1,INDEX($V$4:$AW$4,MATCH(TRUE,INDEX($V133:$AW133&lt;&gt;0,),0)),IF(COUNTIF(AZ133:BB133,"&lt;&gt;0")=0,INDEX($AM$4:$AW$4,MATCH(1,$AM133:$AW133,0)),"Multiple strategies"))</f>
        <v>Multiple strategies</v>
      </c>
      <c r="BG133" s="1" t="s">
        <v>322</v>
      </c>
      <c r="BH133"/>
      <c r="BI133" s="266" t="s">
        <v>1038</v>
      </c>
      <c r="BJ133" t="s">
        <v>2060</v>
      </c>
      <c r="BK133">
        <v>0</v>
      </c>
      <c r="BL133">
        <v>218025</v>
      </c>
      <c r="BM133" t="str">
        <f>IFERROR(BL133/BK133,"")</f>
        <v/>
      </c>
      <c r="BN133">
        <f>BL133-BK133</f>
        <v>218025</v>
      </c>
      <c r="BO133">
        <f>BN133*tC_to_m3</f>
        <v>946699.95657837612</v>
      </c>
      <c r="BP133" t="s">
        <v>233</v>
      </c>
      <c r="BQ133" s="234" t="s">
        <v>425</v>
      </c>
      <c r="BR133" t="s">
        <v>2065</v>
      </c>
      <c r="BS133"/>
      <c r="BT133"/>
      <c r="BU133" s="144"/>
      <c r="BV133">
        <v>0.14000000000000001</v>
      </c>
      <c r="BW133"/>
      <c r="BX133">
        <f>BV133*10^6</f>
        <v>140000</v>
      </c>
      <c r="BY133">
        <f>IFERROR(BX133/BO133,"")</f>
        <v>0.14788212360967778</v>
      </c>
      <c r="BZ133">
        <v>0</v>
      </c>
      <c r="CA133">
        <v>0</v>
      </c>
      <c r="CB133">
        <v>0</v>
      </c>
      <c r="CC133">
        <v>0</v>
      </c>
      <c r="CD133">
        <v>0</v>
      </c>
      <c r="CE133">
        <v>0</v>
      </c>
      <c r="CF133">
        <v>0</v>
      </c>
      <c r="CG133">
        <v>0</v>
      </c>
      <c r="CH133">
        <v>0</v>
      </c>
      <c r="CI133">
        <v>0</v>
      </c>
      <c r="CJ133">
        <v>0</v>
      </c>
      <c r="CK133">
        <v>0</v>
      </c>
      <c r="CL133">
        <v>0</v>
      </c>
      <c r="CM133">
        <v>0</v>
      </c>
      <c r="CN133" t="str">
        <f>IF($BL133&lt;$BK133,"refNeedCorrection","refOK")</f>
        <v>refOK</v>
      </c>
      <c r="CO133">
        <f>IF($CN133="refOK",$BK133,$BL133)</f>
        <v>0</v>
      </c>
      <c r="CP133">
        <f>IF($CN133="refOK",$BL133,$BK133)</f>
        <v>218025</v>
      </c>
      <c r="CQ133">
        <f>IF($CN133="refOK",$BO133,-$BO133)</f>
        <v>946699.95657837612</v>
      </c>
      <c r="CR133">
        <f>IF($CN133="refOK",$BS133,$BT133)*IF($BP133="Emissions positive",-1,1)</f>
        <v>0</v>
      </c>
      <c r="CS133">
        <f>IF($CN133="refOK",$BT133,$BS133)*IF($BP133="Emissions positive",-1,1)</f>
        <v>0</v>
      </c>
      <c r="CT133">
        <f>IF($CN133="refNeedCorrection",-BX133,BX133)*IF($BP133="Emissions positive",-1,1)</f>
        <v>140000</v>
      </c>
      <c r="CU133">
        <f>IFERROR(CT133/CQ133,"")</f>
        <v>0.14788212360967778</v>
      </c>
      <c r="CV133" s="2" t="str">
        <f>IFERROR((CS133-CR133)/ABS(CR133),"")</f>
        <v/>
      </c>
      <c r="CW133" s="1" t="s">
        <v>2038</v>
      </c>
      <c r="CX133" t="str">
        <f>IF(OR($CW133="prd",$CW133="std",$CW133="cit"),"loc",IF(OR($CW133="eur",$CW133="reg",$CW133="coy"),"reg",$CW133))</f>
        <v>reg</v>
      </c>
      <c r="CY133" t="s">
        <v>2062</v>
      </c>
      <c r="CZ133">
        <v>2021</v>
      </c>
      <c r="DA133">
        <v>2030</v>
      </c>
      <c r="DB133">
        <f>DA133-CZ133</f>
        <v>9</v>
      </c>
      <c r="DC133" t="str">
        <f>IF(DB133=0,"0",IF(AND(DB133&gt;=1,DB133&lt;=30),"1-30",IF(AND(DB133&gt;30,DB133&lt;=70),"31-70",IF(AND(DB133&gt;70,DB133&lt;=100),"71-100",IF(DB133&gt;100,"+100")))))</f>
        <v>1-30</v>
      </c>
      <c r="DD133">
        <v>0</v>
      </c>
      <c r="DE133">
        <v>0</v>
      </c>
      <c r="DF133">
        <v>0</v>
      </c>
      <c r="DG133">
        <v>1</v>
      </c>
      <c r="DH133">
        <v>0</v>
      </c>
      <c r="DI133">
        <f>SUM(DD133:DG133)</f>
        <v>1</v>
      </c>
      <c r="DJ133" t="str">
        <f>IF(DI133=1,INDEX($DD$7:$DG$7,MATCH(1,$DD133:$DG133,0)),"mixedProduct")</f>
        <v>TimberInput</v>
      </c>
      <c r="DK133">
        <f>IF(DD133=1,DK$7,0)</f>
        <v>0</v>
      </c>
      <c r="DL133">
        <f>IF(DE133=1,DL$7,0)</f>
        <v>0</v>
      </c>
      <c r="DM133">
        <f>IF(DF133=1,DM$7,0)</f>
        <v>0</v>
      </c>
      <c r="DN133" t="str">
        <f>IF(DG133=1,DN$7,0)</f>
        <v>Timber</v>
      </c>
      <c r="DO133"/>
      <c r="DP133">
        <v>1</v>
      </c>
      <c r="DQ133"/>
      <c r="DR133"/>
      <c r="DS133" s="184" t="s">
        <v>2063</v>
      </c>
      <c r="DT133"/>
      <c r="DU133" s="143" t="str">
        <f>IF(DO133=1,"self-calculated DF",IF(DP133=1,"external DF used","explicit C balance"))</f>
        <v>external DF used</v>
      </c>
      <c r="DV133">
        <v>1</v>
      </c>
      <c r="DW133">
        <v>1</v>
      </c>
      <c r="DX133">
        <v>1</v>
      </c>
      <c r="DY133">
        <v>1</v>
      </c>
      <c r="DZ133">
        <v>1</v>
      </c>
      <c r="EA133">
        <v>1</v>
      </c>
      <c r="EB133">
        <v>0</v>
      </c>
      <c r="EC133">
        <v>0</v>
      </c>
      <c r="ED133">
        <v>0</v>
      </c>
      <c r="EE133">
        <v>0</v>
      </c>
      <c r="EF133">
        <v>1</v>
      </c>
      <c r="EG133">
        <v>0</v>
      </c>
      <c r="EH133">
        <v>1</v>
      </c>
      <c r="EI133" s="2">
        <v>0</v>
      </c>
      <c r="EJ133" s="1"/>
      <c r="EK133" t="str">
        <f>IF(AND(AND(AND(OR($DX133=1,$DW133=1),OR($EC133=1,$EA133=1)),SUM($DV133:$DZ133,$EF133)&gt;=4),SUM($EA133:$EE133)&gt;=2),"Whole sector","")</f>
        <v/>
      </c>
      <c r="EL133" t="str">
        <f>IF(AND(AND(OR($DX133=1,$DW133=1),AND($EC133=0,$EA133=0)),SUM($DV133:$DZ133,$EF133)&gt;=4),"Ecosystem approach","")</f>
        <v/>
      </c>
      <c r="EM133" s="2" t="str">
        <f>IF(AND(AND(AND($DX133=0,$DW133=0),OR($EC133=1,$EA133=1)),SUM($EB133:$EE133)&gt;=2),"Technology approach","")</f>
        <v/>
      </c>
      <c r="EN133"/>
      <c r="EO133"/>
      <c r="EP133" t="str">
        <f>IF(ISNUMBER(BU133),IF(ABS(BU133-[2]QC_indicators!$B$2)&gt;3*[2]QC_indicators!$C$2,"C ratio",IF(ISNUMBER(BY133),IF(ABS(BY133-[2]QC_indicators!$B$1)&gt;3*[2]QC_indicators!$C$1,"DF","no"))),IF(ISNUMBER(BY133),IF(ABS(BY133-[2]QC_indicators!$B$1)&gt;3*[2]QC_indicators!$C$1,"DF","no")))</f>
        <v>no</v>
      </c>
      <c r="EQ133"/>
      <c r="ER133"/>
      <c r="ES133"/>
      <c r="ET133" s="266" t="s">
        <v>3275</v>
      </c>
      <c r="EU133"/>
    </row>
    <row r="134" spans="1:151" s="139" customFormat="1" ht="15" hidden="1" customHeight="1">
      <c r="A134" s="1"/>
      <c r="B134"/>
      <c r="C134"/>
      <c r="D134" t="s">
        <v>2054</v>
      </c>
      <c r="E134" t="s">
        <v>2055</v>
      </c>
      <c r="F134"/>
      <c r="G134" t="s">
        <v>2056</v>
      </c>
      <c r="H134"/>
      <c r="I134">
        <v>2018</v>
      </c>
      <c r="J134"/>
      <c r="K134" s="150" t="s">
        <v>2057</v>
      </c>
      <c r="L134"/>
      <c r="M134" t="str">
        <f>LEFT($D134,FIND(",",$D134)-1)&amp;"_"&amp;I134&amp;L134</f>
        <v>Olguin_2018</v>
      </c>
      <c r="N134" t="s">
        <v>223</v>
      </c>
      <c r="O134" s="157" t="s">
        <v>275</v>
      </c>
      <c r="P134" t="s">
        <v>514</v>
      </c>
      <c r="Q134" t="s">
        <v>390</v>
      </c>
      <c r="R134" s="264" t="s">
        <v>224</v>
      </c>
      <c r="S134" s="265" t="s">
        <v>3203</v>
      </c>
      <c r="T134" t="s">
        <v>2058</v>
      </c>
      <c r="U134" t="s">
        <v>2064</v>
      </c>
      <c r="V134">
        <v>0</v>
      </c>
      <c r="W134">
        <v>0</v>
      </c>
      <c r="X134">
        <v>0</v>
      </c>
      <c r="Y134">
        <v>0</v>
      </c>
      <c r="Z134">
        <v>0</v>
      </c>
      <c r="AA134">
        <v>0</v>
      </c>
      <c r="AB134">
        <v>0</v>
      </c>
      <c r="AC134">
        <v>1</v>
      </c>
      <c r="AD134">
        <v>0</v>
      </c>
      <c r="AE134">
        <v>0</v>
      </c>
      <c r="AF134">
        <v>1</v>
      </c>
      <c r="AG134">
        <v>0</v>
      </c>
      <c r="AH134">
        <v>0</v>
      </c>
      <c r="AI134">
        <v>0</v>
      </c>
      <c r="AJ134">
        <v>0</v>
      </c>
      <c r="AK134">
        <v>0</v>
      </c>
      <c r="AL134">
        <v>0</v>
      </c>
      <c r="AM134">
        <v>0</v>
      </c>
      <c r="AN134">
        <v>0</v>
      </c>
      <c r="AO134">
        <v>0</v>
      </c>
      <c r="AP134">
        <v>0</v>
      </c>
      <c r="AQ134">
        <v>0</v>
      </c>
      <c r="AR134">
        <v>0</v>
      </c>
      <c r="AS134">
        <v>0</v>
      </c>
      <c r="AT134">
        <v>0</v>
      </c>
      <c r="AU134">
        <v>0</v>
      </c>
      <c r="AV134">
        <v>0</v>
      </c>
      <c r="AW134">
        <v>0</v>
      </c>
      <c r="AX134" s="141">
        <f>COUNTIF(V134:AW134,"&lt;&gt;0")</f>
        <v>2</v>
      </c>
      <c r="AY134" s="141">
        <f>COUNTIF(V134:AL134,"&lt;&gt;0")</f>
        <v>2</v>
      </c>
      <c r="AZ134">
        <f>COUNTIF(V134:AC134,"&lt;&gt;0")</f>
        <v>1</v>
      </c>
      <c r="BA134">
        <f>COUNTIF(AD134:AI134,"&lt;&gt;0")</f>
        <v>1</v>
      </c>
      <c r="BB134">
        <f>COUNTIF(AJ134:AL134,"&lt;&gt;0")</f>
        <v>0</v>
      </c>
      <c r="BC134">
        <f>COUNTIF(AS134:AW134,"&lt;&gt;0")</f>
        <v>0</v>
      </c>
      <c r="BD134">
        <f>COUNTIF(AM134:AR134,"&lt;&gt;0")</f>
        <v>0</v>
      </c>
      <c r="BE134" t="str">
        <f t="array" ref="BE134">IF(AY134=1,INDEX($V$7:$AL$7,MATCH(TRUE,INDEX($V134:$AW134&lt;&gt;0,),0)),IF(AY134=0,INDEX($AM$7:$AW$7,MATCH(1,$AM134:$AW134,0)),IF(BF134="Multiple strategies","mixed drivers",IF(BF134="Supply chain","multiple supply","multiple silviculture"))))</f>
        <v>mixed drivers</v>
      </c>
      <c r="BF134" s="2" t="str">
        <f t="array" ref="BF134">IF(COUNTIF(AZ134:BB134,"&lt;&gt;0")=1,INDEX($V$4:$AW$4,MATCH(TRUE,INDEX($V134:$AW134&lt;&gt;0,),0)),IF(COUNTIF(AZ134:BB134,"&lt;&gt;0")=0,INDEX($AM$4:$AW$4,MATCH(1,$AM134:$AW134,0)),"Multiple strategies"))</f>
        <v>Multiple strategies</v>
      </c>
      <c r="BG134" s="1" t="s">
        <v>322</v>
      </c>
      <c r="BH134"/>
      <c r="BI134" s="266" t="s">
        <v>1038</v>
      </c>
      <c r="BJ134" t="s">
        <v>2060</v>
      </c>
      <c r="BK134">
        <v>0</v>
      </c>
      <c r="BL134">
        <v>6788</v>
      </c>
      <c r="BM134" t="str">
        <f>IFERROR(BL134/BK134,"")</f>
        <v/>
      </c>
      <c r="BN134">
        <f>BL134-BK134</f>
        <v>6788</v>
      </c>
      <c r="BO134">
        <f>BN134*tC_to_m3</f>
        <v>29474.598349978292</v>
      </c>
      <c r="BP134" t="s">
        <v>233</v>
      </c>
      <c r="BQ134" s="234" t="s">
        <v>425</v>
      </c>
      <c r="BR134" t="s">
        <v>2065</v>
      </c>
      <c r="BS134"/>
      <c r="BT134"/>
      <c r="BU134" s="144"/>
      <c r="BV134">
        <v>-0.18</v>
      </c>
      <c r="BW134"/>
      <c r="BX134">
        <f>BV134</f>
        <v>-0.18</v>
      </c>
      <c r="BY134">
        <f>IFERROR(BX134/BO134,"")</f>
        <v>-6.1069534472598692E-6</v>
      </c>
      <c r="BZ134">
        <v>0</v>
      </c>
      <c r="CA134">
        <v>0</v>
      </c>
      <c r="CB134">
        <v>0</v>
      </c>
      <c r="CC134">
        <v>0</v>
      </c>
      <c r="CD134">
        <v>0</v>
      </c>
      <c r="CE134">
        <v>0</v>
      </c>
      <c r="CF134">
        <v>0</v>
      </c>
      <c r="CG134">
        <v>0</v>
      </c>
      <c r="CH134">
        <v>0</v>
      </c>
      <c r="CI134">
        <v>0</v>
      </c>
      <c r="CJ134">
        <v>0</v>
      </c>
      <c r="CK134">
        <v>0</v>
      </c>
      <c r="CL134">
        <v>0</v>
      </c>
      <c r="CM134">
        <v>0</v>
      </c>
      <c r="CN134" t="str">
        <f>IF($BL134&lt;$BK134,"refNeedCorrection","refOK")</f>
        <v>refOK</v>
      </c>
      <c r="CO134">
        <f>IF($CN134="refOK",$BK134,$BL134)</f>
        <v>0</v>
      </c>
      <c r="CP134">
        <f>IF($CN134="refOK",$BL134,$BK134)</f>
        <v>6788</v>
      </c>
      <c r="CQ134">
        <f>IF($CN134="refOK",$BO134,-$BO134)</f>
        <v>29474.598349978292</v>
      </c>
      <c r="CR134">
        <f>IF($CN134="refOK",$BS134,$BT134)*IF($BP134="Emissions positive",-1,1)</f>
        <v>0</v>
      </c>
      <c r="CS134">
        <f>IF($CN134="refOK",$BT134,$BS134)*IF($BP134="Emissions positive",-1,1)</f>
        <v>0</v>
      </c>
      <c r="CT134">
        <f>IF($CN134="refNeedCorrection",-BX134,BX134)*IF($BP134="Emissions positive",-1,1)</f>
        <v>-0.18</v>
      </c>
      <c r="CU134">
        <f>IFERROR(CT134/CQ134,"")</f>
        <v>-6.1069534472598692E-6</v>
      </c>
      <c r="CV134" s="2" t="str">
        <f>IFERROR((CS134-CR134)/ABS(CR134),"")</f>
        <v/>
      </c>
      <c r="CW134" s="1" t="s">
        <v>2038</v>
      </c>
      <c r="CX134" t="str">
        <f>IF(OR($CW134="prd",$CW134="std",$CW134="cit"),"loc",IF(OR($CW134="eur",$CW134="reg",$CW134="coy"),"reg",$CW134))</f>
        <v>reg</v>
      </c>
      <c r="CY134" t="s">
        <v>2062</v>
      </c>
      <c r="CZ134">
        <v>2021</v>
      </c>
      <c r="DA134">
        <v>2040</v>
      </c>
      <c r="DB134">
        <f>DA134-CZ134</f>
        <v>19</v>
      </c>
      <c r="DC134" t="str">
        <f>IF(DB134=0,"0",IF(AND(DB134&gt;=1,DB134&lt;=30),"1-30",IF(AND(DB134&gt;30,DB134&lt;=70),"31-70",IF(AND(DB134&gt;70,DB134&lt;=100),"71-100",IF(DB134&gt;100,"+100")))))</f>
        <v>1-30</v>
      </c>
      <c r="DD134">
        <v>0</v>
      </c>
      <c r="DE134">
        <v>0</v>
      </c>
      <c r="DF134">
        <v>0</v>
      </c>
      <c r="DG134">
        <v>1</v>
      </c>
      <c r="DH134">
        <v>0</v>
      </c>
      <c r="DI134">
        <f>SUM(DD134:DG134)</f>
        <v>1</v>
      </c>
      <c r="DJ134" t="str">
        <f>IF(DI134=1,INDEX($DD$7:$DG$7,MATCH(1,$DD134:$DG134,0)),"mixedProduct")</f>
        <v>TimberInput</v>
      </c>
      <c r="DK134">
        <f>IF(DD134=1,DK$7,0)</f>
        <v>0</v>
      </c>
      <c r="DL134">
        <f>IF(DE134=1,DL$7,0)</f>
        <v>0</v>
      </c>
      <c r="DM134">
        <f>IF(DF134=1,DM$7,0)</f>
        <v>0</v>
      </c>
      <c r="DN134" t="str">
        <f>IF(DG134=1,DN$7,0)</f>
        <v>Timber</v>
      </c>
      <c r="DO134"/>
      <c r="DP134">
        <v>1</v>
      </c>
      <c r="DQ134"/>
      <c r="DR134"/>
      <c r="DS134" s="184" t="s">
        <v>2063</v>
      </c>
      <c r="DT134"/>
      <c r="DU134" s="143" t="str">
        <f>IF(DO134=1,"self-calculated DF",IF(DP134=1,"external DF used","explicit C balance"))</f>
        <v>external DF used</v>
      </c>
      <c r="DV134">
        <v>1</v>
      </c>
      <c r="DW134">
        <v>1</v>
      </c>
      <c r="DX134">
        <v>1</v>
      </c>
      <c r="DY134">
        <v>1</v>
      </c>
      <c r="DZ134">
        <v>1</v>
      </c>
      <c r="EA134">
        <v>1</v>
      </c>
      <c r="EB134">
        <v>0</v>
      </c>
      <c r="EC134">
        <v>0</v>
      </c>
      <c r="ED134">
        <v>0</v>
      </c>
      <c r="EE134">
        <v>0</v>
      </c>
      <c r="EF134">
        <v>1</v>
      </c>
      <c r="EG134">
        <v>0</v>
      </c>
      <c r="EH134">
        <v>1</v>
      </c>
      <c r="EI134" s="2">
        <v>0</v>
      </c>
      <c r="EJ134" s="1"/>
      <c r="EK134" t="str">
        <f>IF(AND(AND(AND(OR($DX134=1,$DW134=1),OR($EC134=1,$EA134=1)),SUM($DV134:$DZ134,$EF134)&gt;=4),SUM($EA134:$EE134)&gt;=2),"Whole sector","")</f>
        <v/>
      </c>
      <c r="EL134" t="str">
        <f>IF(AND(AND(OR($DX134=1,$DW134=1),AND($EC134=0,$EA134=0)),SUM($DV134:$DZ134,$EF134)&gt;=4),"Ecosystem approach","")</f>
        <v/>
      </c>
      <c r="EM134" s="2" t="str">
        <f>IF(AND(AND(AND($DX134=0,$DW134=0),OR($EC134=1,$EA134=1)),SUM($EB134:$EE134)&gt;=2),"Technology approach","")</f>
        <v/>
      </c>
      <c r="EN134"/>
      <c r="EO134"/>
      <c r="EP134" t="str">
        <f>IF(ISNUMBER(BU134),IF(ABS(BU134-[2]QC_indicators!$B$2)&gt;3*[2]QC_indicators!$C$2,"C ratio",IF(ISNUMBER(BY134),IF(ABS(BY134-[2]QC_indicators!$B$1)&gt;3*[2]QC_indicators!$C$1,"DF","no"))),IF(ISNUMBER(BY134),IF(ABS(BY134-[2]QC_indicators!$B$1)&gt;3*[2]QC_indicators!$C$1,"DF","no")))</f>
        <v>no</v>
      </c>
      <c r="EQ134"/>
      <c r="ER134"/>
      <c r="ES134"/>
      <c r="ET134" s="266" t="s">
        <v>3275</v>
      </c>
      <c r="EU134"/>
    </row>
    <row r="135" spans="1:151" s="139" customFormat="1" ht="15" hidden="1" customHeight="1">
      <c r="A135" s="1"/>
      <c r="B135"/>
      <c r="C135"/>
      <c r="D135" t="s">
        <v>2054</v>
      </c>
      <c r="E135" t="s">
        <v>2055</v>
      </c>
      <c r="F135"/>
      <c r="G135" t="s">
        <v>2056</v>
      </c>
      <c r="H135"/>
      <c r="I135">
        <v>2018</v>
      </c>
      <c r="J135"/>
      <c r="K135" s="150" t="s">
        <v>2057</v>
      </c>
      <c r="L135"/>
      <c r="M135" t="str">
        <f>LEFT($D135,FIND(",",$D135)-1)&amp;"_"&amp;I135&amp;L135</f>
        <v>Olguin_2018</v>
      </c>
      <c r="N135" t="s">
        <v>223</v>
      </c>
      <c r="O135" s="157" t="s">
        <v>275</v>
      </c>
      <c r="P135" t="s">
        <v>514</v>
      </c>
      <c r="Q135" t="s">
        <v>390</v>
      </c>
      <c r="R135" s="264" t="s">
        <v>224</v>
      </c>
      <c r="S135" s="265" t="s">
        <v>3204</v>
      </c>
      <c r="T135" t="s">
        <v>2058</v>
      </c>
      <c r="U135" t="s">
        <v>2059</v>
      </c>
      <c r="V135">
        <v>0</v>
      </c>
      <c r="W135">
        <v>0</v>
      </c>
      <c r="X135">
        <v>0</v>
      </c>
      <c r="Y135">
        <v>0</v>
      </c>
      <c r="Z135">
        <v>0</v>
      </c>
      <c r="AA135">
        <v>0</v>
      </c>
      <c r="AB135">
        <v>0</v>
      </c>
      <c r="AC135">
        <v>1</v>
      </c>
      <c r="AD135">
        <v>0</v>
      </c>
      <c r="AE135">
        <v>0</v>
      </c>
      <c r="AF135">
        <v>1</v>
      </c>
      <c r="AG135">
        <v>0</v>
      </c>
      <c r="AH135">
        <v>0</v>
      </c>
      <c r="AI135">
        <v>0</v>
      </c>
      <c r="AJ135">
        <v>0</v>
      </c>
      <c r="AK135">
        <v>0</v>
      </c>
      <c r="AL135">
        <v>0</v>
      </c>
      <c r="AM135">
        <v>0</v>
      </c>
      <c r="AN135">
        <v>0</v>
      </c>
      <c r="AO135">
        <v>0</v>
      </c>
      <c r="AP135">
        <v>0</v>
      </c>
      <c r="AQ135">
        <v>0</v>
      </c>
      <c r="AR135">
        <v>0</v>
      </c>
      <c r="AS135">
        <v>0</v>
      </c>
      <c r="AT135">
        <v>0</v>
      </c>
      <c r="AU135">
        <v>0</v>
      </c>
      <c r="AV135">
        <v>0</v>
      </c>
      <c r="AW135">
        <v>0</v>
      </c>
      <c r="AX135" s="141">
        <f>COUNTIF(V135:AW135,"&lt;&gt;0")</f>
        <v>2</v>
      </c>
      <c r="AY135" s="141">
        <f>COUNTIF(V135:AL135,"&lt;&gt;0")</f>
        <v>2</v>
      </c>
      <c r="AZ135">
        <f>COUNTIF(V135:AC135,"&lt;&gt;0")</f>
        <v>1</v>
      </c>
      <c r="BA135">
        <f>COUNTIF(AD135:AI135,"&lt;&gt;0")</f>
        <v>1</v>
      </c>
      <c r="BB135">
        <f>COUNTIF(AJ135:AL135,"&lt;&gt;0")</f>
        <v>0</v>
      </c>
      <c r="BC135">
        <f>COUNTIF(AS135:AW135,"&lt;&gt;0")</f>
        <v>0</v>
      </c>
      <c r="BD135">
        <f>COUNTIF(AM135:AR135,"&lt;&gt;0")</f>
        <v>0</v>
      </c>
      <c r="BE135" t="str">
        <f t="array" ref="BE135">IF(AY135=1,INDEX($V$7:$AL$7,MATCH(TRUE,INDEX($V135:$AW135&lt;&gt;0,),0)),IF(AY135=0,INDEX($AM$7:$AW$7,MATCH(1,$AM135:$AW135,0)),IF(BF135="Multiple strategies","mixed drivers",IF(BF135="Supply chain","multiple supply","multiple silviculture"))))</f>
        <v>mixed drivers</v>
      </c>
      <c r="BF135" s="2" t="str">
        <f t="array" ref="BF135">IF(COUNTIF(AZ135:BB135,"&lt;&gt;0")=1,INDEX($V$4:$AW$4,MATCH(TRUE,INDEX($V135:$AW135&lt;&gt;0,),0)),IF(COUNTIF(AZ135:BB135,"&lt;&gt;0")=0,INDEX($AM$4:$AW$4,MATCH(1,$AM135:$AW135,0)),"Multiple strategies"))</f>
        <v>Multiple strategies</v>
      </c>
      <c r="BG135" s="1" t="s">
        <v>322</v>
      </c>
      <c r="BH135"/>
      <c r="BI135" s="266" t="s">
        <v>1038</v>
      </c>
      <c r="BJ135" t="s">
        <v>2060</v>
      </c>
      <c r="BK135">
        <v>0</v>
      </c>
      <c r="BL135">
        <v>218025</v>
      </c>
      <c r="BM135" t="str">
        <f>IFERROR(BL135/BK135,"")</f>
        <v/>
      </c>
      <c r="BN135">
        <f>BL135-BK135</f>
        <v>218025</v>
      </c>
      <c r="BO135">
        <f>BN135*tC_to_m3</f>
        <v>946699.95657837612</v>
      </c>
      <c r="BP135" t="s">
        <v>233</v>
      </c>
      <c r="BQ135" s="234" t="s">
        <v>425</v>
      </c>
      <c r="BR135" t="s">
        <v>2065</v>
      </c>
      <c r="BS135"/>
      <c r="BT135"/>
      <c r="BU135" s="144"/>
      <c r="BV135">
        <v>-0.33</v>
      </c>
      <c r="BW135"/>
      <c r="BX135">
        <f>BV135</f>
        <v>-0.33</v>
      </c>
      <c r="BY135">
        <f>IFERROR(BX135/BO135,"")</f>
        <v>-3.4857929136566908E-7</v>
      </c>
      <c r="BZ135">
        <v>0</v>
      </c>
      <c r="CA135">
        <v>0</v>
      </c>
      <c r="CB135">
        <v>0</v>
      </c>
      <c r="CC135">
        <v>0</v>
      </c>
      <c r="CD135">
        <v>0</v>
      </c>
      <c r="CE135">
        <v>0</v>
      </c>
      <c r="CF135">
        <v>0</v>
      </c>
      <c r="CG135">
        <v>0</v>
      </c>
      <c r="CH135">
        <v>0</v>
      </c>
      <c r="CI135">
        <v>0</v>
      </c>
      <c r="CJ135">
        <v>0</v>
      </c>
      <c r="CK135">
        <v>0</v>
      </c>
      <c r="CL135">
        <v>0</v>
      </c>
      <c r="CM135">
        <v>0</v>
      </c>
      <c r="CN135" t="str">
        <f>IF($BL135&lt;$BK135,"refNeedCorrection","refOK")</f>
        <v>refOK</v>
      </c>
      <c r="CO135">
        <f>IF($CN135="refOK",$BK135,$BL135)</f>
        <v>0</v>
      </c>
      <c r="CP135">
        <f>IF($CN135="refOK",$BL135,$BK135)</f>
        <v>218025</v>
      </c>
      <c r="CQ135">
        <f>IF($CN135="refOK",$BO135,-$BO135)</f>
        <v>946699.95657837612</v>
      </c>
      <c r="CR135">
        <f>IF($CN135="refOK",$BS135,$BT135)*IF($BP135="Emissions positive",-1,1)</f>
        <v>0</v>
      </c>
      <c r="CS135">
        <f>IF($CN135="refOK",$BT135,$BS135)*IF($BP135="Emissions positive",-1,1)</f>
        <v>0</v>
      </c>
      <c r="CT135">
        <f>IF($CN135="refNeedCorrection",-BX135,BX135)*IF($BP135="Emissions positive",-1,1)</f>
        <v>-0.33</v>
      </c>
      <c r="CU135">
        <f>IFERROR(CT135/CQ135,"")</f>
        <v>-3.4857929136566908E-7</v>
      </c>
      <c r="CV135" s="2" t="str">
        <f>IFERROR((CS135-CR135)/ABS(CR135),"")</f>
        <v/>
      </c>
      <c r="CW135" s="1" t="s">
        <v>2038</v>
      </c>
      <c r="CX135" t="str">
        <f>IF(OR($CW135="prd",$CW135="std",$CW135="cit"),"loc",IF(OR($CW135="eur",$CW135="reg",$CW135="coy"),"reg",$CW135))</f>
        <v>reg</v>
      </c>
      <c r="CY135" t="s">
        <v>2062</v>
      </c>
      <c r="CZ135">
        <v>2021</v>
      </c>
      <c r="DA135">
        <v>2040</v>
      </c>
      <c r="DB135">
        <f>DA135-CZ135</f>
        <v>19</v>
      </c>
      <c r="DC135" t="str">
        <f>IF(DB135=0,"0",IF(AND(DB135&gt;=1,DB135&lt;=30),"1-30",IF(AND(DB135&gt;30,DB135&lt;=70),"31-70",IF(AND(DB135&gt;70,DB135&lt;=100),"71-100",IF(DB135&gt;100,"+100")))))</f>
        <v>1-30</v>
      </c>
      <c r="DD135">
        <v>0</v>
      </c>
      <c r="DE135">
        <v>0</v>
      </c>
      <c r="DF135">
        <v>0</v>
      </c>
      <c r="DG135">
        <v>1</v>
      </c>
      <c r="DH135">
        <v>0</v>
      </c>
      <c r="DI135">
        <f>SUM(DD135:DG135)</f>
        <v>1</v>
      </c>
      <c r="DJ135" t="str">
        <f>IF(DI135=1,INDEX($DD$7:$DG$7,MATCH(1,$DD135:$DG135,0)),"mixedProduct")</f>
        <v>TimberInput</v>
      </c>
      <c r="DK135">
        <f>IF(DD135=1,DK$7,0)</f>
        <v>0</v>
      </c>
      <c r="DL135">
        <f>IF(DE135=1,DL$7,0)</f>
        <v>0</v>
      </c>
      <c r="DM135">
        <f>IF(DF135=1,DM$7,0)</f>
        <v>0</v>
      </c>
      <c r="DN135" t="str">
        <f>IF(DG135=1,DN$7,0)</f>
        <v>Timber</v>
      </c>
      <c r="DO135"/>
      <c r="DP135">
        <v>1</v>
      </c>
      <c r="DQ135"/>
      <c r="DR135"/>
      <c r="DS135" s="184" t="s">
        <v>2063</v>
      </c>
      <c r="DT135"/>
      <c r="DU135" s="143" t="str">
        <f>IF(DO135=1,"self-calculated DF",IF(DP135=1,"external DF used","explicit C balance"))</f>
        <v>external DF used</v>
      </c>
      <c r="DV135">
        <v>1</v>
      </c>
      <c r="DW135">
        <v>1</v>
      </c>
      <c r="DX135">
        <v>1</v>
      </c>
      <c r="DY135">
        <v>1</v>
      </c>
      <c r="DZ135">
        <v>1</v>
      </c>
      <c r="EA135">
        <v>1</v>
      </c>
      <c r="EB135">
        <v>0</v>
      </c>
      <c r="EC135">
        <v>0</v>
      </c>
      <c r="ED135">
        <v>0</v>
      </c>
      <c r="EE135">
        <v>0</v>
      </c>
      <c r="EF135">
        <v>1</v>
      </c>
      <c r="EG135">
        <v>0</v>
      </c>
      <c r="EH135">
        <v>1</v>
      </c>
      <c r="EI135" s="2">
        <v>0</v>
      </c>
      <c r="EJ135" s="1"/>
      <c r="EK135" t="str">
        <f>IF(AND(AND(AND(OR($DX135=1,$DW135=1),OR($EC135=1,$EA135=1)),SUM($DV135:$DZ135,$EF135)&gt;=4),SUM($EA135:$EE135)&gt;=2),"Whole sector","")</f>
        <v/>
      </c>
      <c r="EL135" t="str">
        <f>IF(AND(AND(OR($DX135=1,$DW135=1),AND($EC135=0,$EA135=0)),SUM($DV135:$DZ135,$EF135)&gt;=4),"Ecosystem approach","")</f>
        <v/>
      </c>
      <c r="EM135" s="2" t="str">
        <f>IF(AND(AND(AND($DX135=0,$DW135=0),OR($EC135=1,$EA135=1)),SUM($EB135:$EE135)&gt;=2),"Technology approach","")</f>
        <v/>
      </c>
      <c r="EN135"/>
      <c r="EO135"/>
      <c r="EP135" t="str">
        <f>IF(ISNUMBER(BU135),IF(ABS(BU135-[2]QC_indicators!$B$2)&gt;3*[2]QC_indicators!$C$2,"C ratio",IF(ISNUMBER(BY135),IF(ABS(BY135-[2]QC_indicators!$B$1)&gt;3*[2]QC_indicators!$C$1,"DF","no"))),IF(ISNUMBER(BY135),IF(ABS(BY135-[2]QC_indicators!$B$1)&gt;3*[2]QC_indicators!$C$1,"DF","no")))</f>
        <v>no</v>
      </c>
      <c r="EQ135"/>
      <c r="ER135"/>
      <c r="ES135"/>
      <c r="ET135" s="266" t="s">
        <v>3275</v>
      </c>
      <c r="EU135"/>
    </row>
    <row r="136" spans="1:151" s="139" customFormat="1" ht="15" hidden="1" customHeight="1">
      <c r="A136" s="1"/>
      <c r="B136"/>
      <c r="C136"/>
      <c r="D136" t="s">
        <v>2054</v>
      </c>
      <c r="E136" t="s">
        <v>2055</v>
      </c>
      <c r="F136"/>
      <c r="G136" t="s">
        <v>2056</v>
      </c>
      <c r="H136"/>
      <c r="I136">
        <v>2018</v>
      </c>
      <c r="J136"/>
      <c r="K136" s="150" t="s">
        <v>2057</v>
      </c>
      <c r="L136"/>
      <c r="M136" t="str">
        <f>LEFT($D136,FIND(",",$D136)-1)&amp;"_"&amp;I136&amp;L136</f>
        <v>Olguin_2018</v>
      </c>
      <c r="N136" t="s">
        <v>223</v>
      </c>
      <c r="O136" s="157" t="s">
        <v>275</v>
      </c>
      <c r="P136" t="s">
        <v>514</v>
      </c>
      <c r="Q136" t="s">
        <v>390</v>
      </c>
      <c r="R136" s="264" t="s">
        <v>224</v>
      </c>
      <c r="S136" s="265" t="s">
        <v>3205</v>
      </c>
      <c r="T136" t="s">
        <v>2058</v>
      </c>
      <c r="U136" t="s">
        <v>2064</v>
      </c>
      <c r="V136">
        <v>0</v>
      </c>
      <c r="W136">
        <v>0</v>
      </c>
      <c r="X136">
        <v>0</v>
      </c>
      <c r="Y136">
        <v>0</v>
      </c>
      <c r="Z136">
        <v>0</v>
      </c>
      <c r="AA136">
        <v>0</v>
      </c>
      <c r="AB136">
        <v>0</v>
      </c>
      <c r="AC136">
        <v>1</v>
      </c>
      <c r="AD136">
        <v>0</v>
      </c>
      <c r="AE136">
        <v>0</v>
      </c>
      <c r="AF136">
        <v>1</v>
      </c>
      <c r="AG136">
        <v>0</v>
      </c>
      <c r="AH136">
        <v>0</v>
      </c>
      <c r="AI136">
        <v>0</v>
      </c>
      <c r="AJ136">
        <v>0</v>
      </c>
      <c r="AK136">
        <v>0</v>
      </c>
      <c r="AL136">
        <v>0</v>
      </c>
      <c r="AM136">
        <v>0</v>
      </c>
      <c r="AN136">
        <v>0</v>
      </c>
      <c r="AO136">
        <v>0</v>
      </c>
      <c r="AP136">
        <v>0</v>
      </c>
      <c r="AQ136">
        <v>0</v>
      </c>
      <c r="AR136">
        <v>0</v>
      </c>
      <c r="AS136">
        <v>0</v>
      </c>
      <c r="AT136">
        <v>0</v>
      </c>
      <c r="AU136">
        <v>0</v>
      </c>
      <c r="AV136">
        <v>0</v>
      </c>
      <c r="AW136">
        <v>0</v>
      </c>
      <c r="AX136" s="141">
        <f>COUNTIF(V136:AW136,"&lt;&gt;0")</f>
        <v>2</v>
      </c>
      <c r="AY136" s="141">
        <f>COUNTIF(V136:AL136,"&lt;&gt;0")</f>
        <v>2</v>
      </c>
      <c r="AZ136">
        <f>COUNTIF(V136:AC136,"&lt;&gt;0")</f>
        <v>1</v>
      </c>
      <c r="BA136">
        <f>COUNTIF(AD136:AI136,"&lt;&gt;0")</f>
        <v>1</v>
      </c>
      <c r="BB136">
        <f>COUNTIF(AJ136:AL136,"&lt;&gt;0")</f>
        <v>0</v>
      </c>
      <c r="BC136">
        <f>COUNTIF(AS136:AW136,"&lt;&gt;0")</f>
        <v>0</v>
      </c>
      <c r="BD136">
        <f>COUNTIF(AM136:AR136,"&lt;&gt;0")</f>
        <v>0</v>
      </c>
      <c r="BE136" t="str">
        <f t="array" ref="BE136">IF(AY136=1,INDEX($V$7:$AL$7,MATCH(TRUE,INDEX($V136:$AW136&lt;&gt;0,),0)),IF(AY136=0,INDEX($AM$7:$AW$7,MATCH(1,$AM136:$AW136,0)),IF(BF136="Multiple strategies","mixed drivers",IF(BF136="Supply chain","multiple supply","multiple silviculture"))))</f>
        <v>mixed drivers</v>
      </c>
      <c r="BF136" s="2" t="str">
        <f t="array" ref="BF136">IF(COUNTIF(AZ136:BB136,"&lt;&gt;0")=1,INDEX($V$4:$AW$4,MATCH(TRUE,INDEX($V136:$AW136&lt;&gt;0,),0)),IF(COUNTIF(AZ136:BB136,"&lt;&gt;0")=0,INDEX($AM$4:$AW$4,MATCH(1,$AM136:$AW136,0)),"Multiple strategies"))</f>
        <v>Multiple strategies</v>
      </c>
      <c r="BG136" s="1" t="s">
        <v>322</v>
      </c>
      <c r="BH136"/>
      <c r="BI136" s="266" t="s">
        <v>1038</v>
      </c>
      <c r="BJ136" t="s">
        <v>2060</v>
      </c>
      <c r="BK136">
        <v>0</v>
      </c>
      <c r="BL136">
        <v>218025</v>
      </c>
      <c r="BM136" t="str">
        <f>IFERROR(BL136/BK136,"")</f>
        <v/>
      </c>
      <c r="BN136">
        <f>BL136-BK136</f>
        <v>218025</v>
      </c>
      <c r="BO136">
        <f>BN136*tC_to_m3</f>
        <v>946699.95657837612</v>
      </c>
      <c r="BP136" t="s">
        <v>233</v>
      </c>
      <c r="BQ136" s="234" t="s">
        <v>425</v>
      </c>
      <c r="BR136" t="s">
        <v>2065</v>
      </c>
      <c r="BS136"/>
      <c r="BT136"/>
      <c r="BU136" s="144"/>
      <c r="BV136">
        <v>-1.31</v>
      </c>
      <c r="BW136"/>
      <c r="BX136">
        <f>BV136</f>
        <v>-1.31</v>
      </c>
      <c r="BY136">
        <f>IFERROR(BX136/BO136,"")</f>
        <v>-1.3837541566334135E-6</v>
      </c>
      <c r="BZ136">
        <v>0</v>
      </c>
      <c r="CA136">
        <v>0</v>
      </c>
      <c r="CB136">
        <v>0</v>
      </c>
      <c r="CC136">
        <v>0</v>
      </c>
      <c r="CD136">
        <v>0</v>
      </c>
      <c r="CE136">
        <v>0</v>
      </c>
      <c r="CF136">
        <v>0</v>
      </c>
      <c r="CG136">
        <v>0</v>
      </c>
      <c r="CH136">
        <v>0</v>
      </c>
      <c r="CI136">
        <v>0</v>
      </c>
      <c r="CJ136">
        <v>0</v>
      </c>
      <c r="CK136">
        <v>0</v>
      </c>
      <c r="CL136">
        <v>0</v>
      </c>
      <c r="CM136">
        <v>0</v>
      </c>
      <c r="CN136" t="str">
        <f>IF($BL136&lt;$BK136,"refNeedCorrection","refOK")</f>
        <v>refOK</v>
      </c>
      <c r="CO136">
        <f>IF($CN136="refOK",$BK136,$BL136)</f>
        <v>0</v>
      </c>
      <c r="CP136">
        <f>IF($CN136="refOK",$BL136,$BK136)</f>
        <v>218025</v>
      </c>
      <c r="CQ136">
        <f>IF($CN136="refOK",$BO136,-$BO136)</f>
        <v>946699.95657837612</v>
      </c>
      <c r="CR136">
        <f>IF($CN136="refOK",$BS136,$BT136)*IF($BP136="Emissions positive",-1,1)</f>
        <v>0</v>
      </c>
      <c r="CS136">
        <f>IF($CN136="refOK",$BT136,$BS136)*IF($BP136="Emissions positive",-1,1)</f>
        <v>0</v>
      </c>
      <c r="CT136">
        <f>IF($CN136="refNeedCorrection",-BX136,BX136)*IF($BP136="Emissions positive",-1,1)</f>
        <v>-1.31</v>
      </c>
      <c r="CU136">
        <f>IFERROR(CT136/CQ136,"")</f>
        <v>-1.3837541566334135E-6</v>
      </c>
      <c r="CV136" s="2" t="str">
        <f>IFERROR((CS136-CR136)/ABS(CR136),"")</f>
        <v/>
      </c>
      <c r="CW136" s="1" t="s">
        <v>2038</v>
      </c>
      <c r="CX136" t="str">
        <f>IF(OR($CW136="prd",$CW136="std",$CW136="cit"),"loc",IF(OR($CW136="eur",$CW136="reg",$CW136="coy"),"reg",$CW136))</f>
        <v>reg</v>
      </c>
      <c r="CY136" t="s">
        <v>2062</v>
      </c>
      <c r="CZ136">
        <v>2021</v>
      </c>
      <c r="DA136">
        <v>2040</v>
      </c>
      <c r="DB136">
        <f>DA136-CZ136</f>
        <v>19</v>
      </c>
      <c r="DC136" t="str">
        <f>IF(DB136=0,"0",IF(AND(DB136&gt;=1,DB136&lt;=30),"1-30",IF(AND(DB136&gt;30,DB136&lt;=70),"31-70",IF(AND(DB136&gt;70,DB136&lt;=100),"71-100",IF(DB136&gt;100,"+100")))))</f>
        <v>1-30</v>
      </c>
      <c r="DD136">
        <v>0</v>
      </c>
      <c r="DE136">
        <v>0</v>
      </c>
      <c r="DF136">
        <v>0</v>
      </c>
      <c r="DG136">
        <v>1</v>
      </c>
      <c r="DH136">
        <v>0</v>
      </c>
      <c r="DI136">
        <f>SUM(DD136:DG136)</f>
        <v>1</v>
      </c>
      <c r="DJ136" t="str">
        <f>IF(DI136=1,INDEX($DD$7:$DG$7,MATCH(1,$DD136:$DG136,0)),"mixedProduct")</f>
        <v>TimberInput</v>
      </c>
      <c r="DK136">
        <f>IF(DD136=1,DK$7,0)</f>
        <v>0</v>
      </c>
      <c r="DL136">
        <f>IF(DE136=1,DL$7,0)</f>
        <v>0</v>
      </c>
      <c r="DM136">
        <f>IF(DF136=1,DM$7,0)</f>
        <v>0</v>
      </c>
      <c r="DN136" t="str">
        <f>IF(DG136=1,DN$7,0)</f>
        <v>Timber</v>
      </c>
      <c r="DO136"/>
      <c r="DP136">
        <v>1</v>
      </c>
      <c r="DQ136"/>
      <c r="DR136"/>
      <c r="DS136" s="184" t="s">
        <v>2063</v>
      </c>
      <c r="DT136"/>
      <c r="DU136" s="143" t="str">
        <f>IF(DO136=1,"self-calculated DF",IF(DP136=1,"external DF used","explicit C balance"))</f>
        <v>external DF used</v>
      </c>
      <c r="DV136">
        <v>1</v>
      </c>
      <c r="DW136">
        <v>1</v>
      </c>
      <c r="DX136">
        <v>1</v>
      </c>
      <c r="DY136">
        <v>1</v>
      </c>
      <c r="DZ136">
        <v>1</v>
      </c>
      <c r="EA136">
        <v>1</v>
      </c>
      <c r="EB136">
        <v>0</v>
      </c>
      <c r="EC136">
        <v>0</v>
      </c>
      <c r="ED136">
        <v>0</v>
      </c>
      <c r="EE136">
        <v>0</v>
      </c>
      <c r="EF136">
        <v>1</v>
      </c>
      <c r="EG136">
        <v>0</v>
      </c>
      <c r="EH136">
        <v>1</v>
      </c>
      <c r="EI136" s="2">
        <v>0</v>
      </c>
      <c r="EJ136" s="1"/>
      <c r="EK136" t="str">
        <f>IF(AND(AND(AND(OR($DX136=1,$DW136=1),OR($EC136=1,$EA136=1)),SUM($DV136:$DZ136,$EF136)&gt;=4),SUM($EA136:$EE136)&gt;=2),"Whole sector","")</f>
        <v/>
      </c>
      <c r="EL136" t="str">
        <f>IF(AND(AND(OR($DX136=1,$DW136=1),AND($EC136=0,$EA136=0)),SUM($DV136:$DZ136,$EF136)&gt;=4),"Ecosystem approach","")</f>
        <v/>
      </c>
      <c r="EM136" s="2" t="str">
        <f>IF(AND(AND(AND($DX136=0,$DW136=0),OR($EC136=1,$EA136=1)),SUM($EB136:$EE136)&gt;=2),"Technology approach","")</f>
        <v/>
      </c>
      <c r="EN136"/>
      <c r="EO136"/>
      <c r="EP136" t="str">
        <f>IF(ISNUMBER(BU136),IF(ABS(BU136-[2]QC_indicators!$B$2)&gt;3*[2]QC_indicators!$C$2,"C ratio",IF(ISNUMBER(BY136),IF(ABS(BY136-[2]QC_indicators!$B$1)&gt;3*[2]QC_indicators!$C$1,"DF","no"))),IF(ISNUMBER(BY136),IF(ABS(BY136-[2]QC_indicators!$B$1)&gt;3*[2]QC_indicators!$C$1,"DF","no")))</f>
        <v>no</v>
      </c>
      <c r="EQ136"/>
      <c r="ER136"/>
      <c r="ES136"/>
      <c r="ET136" s="266" t="s">
        <v>3275</v>
      </c>
      <c r="EU136"/>
    </row>
    <row r="137" spans="1:151" s="139" customFormat="1" ht="15" hidden="1" customHeight="1">
      <c r="A137" s="1"/>
      <c r="B137"/>
      <c r="C137"/>
      <c r="D137" t="s">
        <v>2054</v>
      </c>
      <c r="E137" t="s">
        <v>2055</v>
      </c>
      <c r="F137"/>
      <c r="G137" t="s">
        <v>2056</v>
      </c>
      <c r="H137"/>
      <c r="I137">
        <v>2018</v>
      </c>
      <c r="J137"/>
      <c r="K137" s="150" t="s">
        <v>2057</v>
      </c>
      <c r="L137"/>
      <c r="M137" t="str">
        <f>LEFT($D137,FIND(",",$D137)-1)&amp;"_"&amp;I137&amp;L137</f>
        <v>Olguin_2018</v>
      </c>
      <c r="N137" t="s">
        <v>223</v>
      </c>
      <c r="O137" s="157" t="s">
        <v>275</v>
      </c>
      <c r="P137" t="s">
        <v>514</v>
      </c>
      <c r="Q137" t="s">
        <v>390</v>
      </c>
      <c r="R137" s="264" t="s">
        <v>224</v>
      </c>
      <c r="S137" s="265" t="s">
        <v>3210</v>
      </c>
      <c r="T137" t="s">
        <v>2058</v>
      </c>
      <c r="U137" t="s">
        <v>2064</v>
      </c>
      <c r="V137">
        <v>0</v>
      </c>
      <c r="W137">
        <v>0</v>
      </c>
      <c r="X137">
        <v>0</v>
      </c>
      <c r="Y137">
        <v>0</v>
      </c>
      <c r="Z137">
        <v>0</v>
      </c>
      <c r="AA137">
        <v>0</v>
      </c>
      <c r="AB137">
        <v>0</v>
      </c>
      <c r="AC137">
        <v>1</v>
      </c>
      <c r="AD137">
        <v>0</v>
      </c>
      <c r="AE137">
        <v>0</v>
      </c>
      <c r="AF137">
        <v>1</v>
      </c>
      <c r="AG137">
        <v>0</v>
      </c>
      <c r="AH137">
        <v>0</v>
      </c>
      <c r="AI137">
        <v>0</v>
      </c>
      <c r="AJ137">
        <v>0</v>
      </c>
      <c r="AK137">
        <v>0</v>
      </c>
      <c r="AL137">
        <v>0</v>
      </c>
      <c r="AM137">
        <v>0</v>
      </c>
      <c r="AN137">
        <v>0</v>
      </c>
      <c r="AO137">
        <v>0</v>
      </c>
      <c r="AP137">
        <v>0</v>
      </c>
      <c r="AQ137">
        <v>0</v>
      </c>
      <c r="AR137">
        <v>0</v>
      </c>
      <c r="AS137">
        <v>0</v>
      </c>
      <c r="AT137">
        <v>0</v>
      </c>
      <c r="AU137">
        <v>0</v>
      </c>
      <c r="AV137">
        <v>0</v>
      </c>
      <c r="AW137">
        <v>0</v>
      </c>
      <c r="AX137" s="141">
        <f>COUNTIF(V137:AW137,"&lt;&gt;0")</f>
        <v>2</v>
      </c>
      <c r="AY137" s="141">
        <f>COUNTIF(V137:AL137,"&lt;&gt;0")</f>
        <v>2</v>
      </c>
      <c r="AZ137">
        <f>COUNTIF(V137:AC137,"&lt;&gt;0")</f>
        <v>1</v>
      </c>
      <c r="BA137">
        <f>COUNTIF(AD137:AI137,"&lt;&gt;0")</f>
        <v>1</v>
      </c>
      <c r="BB137">
        <f>COUNTIF(AJ137:AL137,"&lt;&gt;0")</f>
        <v>0</v>
      </c>
      <c r="BC137">
        <f>COUNTIF(AS137:AW137,"&lt;&gt;0")</f>
        <v>0</v>
      </c>
      <c r="BD137">
        <f>COUNTIF(AM137:AR137,"&lt;&gt;0")</f>
        <v>0</v>
      </c>
      <c r="BE137" t="str">
        <f t="array" ref="BE137">IF(AY137=1,INDEX($V$7:$AL$7,MATCH(TRUE,INDEX($V137:$AW137&lt;&gt;0,),0)),IF(AY137=0,INDEX($AM$7:$AW$7,MATCH(1,$AM137:$AW137,0)),IF(BF137="Multiple strategies","mixed drivers",IF(BF137="Supply chain","multiple supply","multiple silviculture"))))</f>
        <v>mixed drivers</v>
      </c>
      <c r="BF137" s="2" t="str">
        <f t="array" ref="BF137">IF(COUNTIF(AZ137:BB137,"&lt;&gt;0")=1,INDEX($V$4:$AW$4,MATCH(TRUE,INDEX($V137:$AW137&lt;&gt;0,),0)),IF(COUNTIF(AZ137:BB137,"&lt;&gt;0")=0,INDEX($AM$4:$AW$4,MATCH(1,$AM137:$AW137,0)),"Multiple strategies"))</f>
        <v>Multiple strategies</v>
      </c>
      <c r="BG137" s="1" t="s">
        <v>322</v>
      </c>
      <c r="BH137"/>
      <c r="BI137" s="266" t="s">
        <v>1038</v>
      </c>
      <c r="BJ137" t="s">
        <v>2060</v>
      </c>
      <c r="BK137">
        <v>0</v>
      </c>
      <c r="BL137">
        <v>218025</v>
      </c>
      <c r="BM137" t="str">
        <f>IFERROR(BL137/BK137,"")</f>
        <v/>
      </c>
      <c r="BN137">
        <f>BL137-BK137</f>
        <v>218025</v>
      </c>
      <c r="BO137">
        <f>BN137*tC_to_m3</f>
        <v>946699.95657837612</v>
      </c>
      <c r="BP137" t="s">
        <v>233</v>
      </c>
      <c r="BQ137" s="234" t="s">
        <v>425</v>
      </c>
      <c r="BR137" t="s">
        <v>2065</v>
      </c>
      <c r="BS137"/>
      <c r="BT137"/>
      <c r="BU137" s="144"/>
      <c r="BV137">
        <v>-1.1599999999999999</v>
      </c>
      <c r="BW137"/>
      <c r="BX137">
        <f>BV137</f>
        <v>-1.1599999999999999</v>
      </c>
      <c r="BY137">
        <f>IFERROR(BX137/BO137,"")</f>
        <v>-1.2253090241944729E-6</v>
      </c>
      <c r="BZ137">
        <v>0</v>
      </c>
      <c r="CA137">
        <v>0</v>
      </c>
      <c r="CB137">
        <v>0</v>
      </c>
      <c r="CC137">
        <v>0</v>
      </c>
      <c r="CD137">
        <v>0</v>
      </c>
      <c r="CE137">
        <v>0</v>
      </c>
      <c r="CF137">
        <v>0</v>
      </c>
      <c r="CG137">
        <v>0</v>
      </c>
      <c r="CH137">
        <v>0</v>
      </c>
      <c r="CI137">
        <v>0</v>
      </c>
      <c r="CJ137">
        <v>0</v>
      </c>
      <c r="CK137">
        <v>0</v>
      </c>
      <c r="CL137">
        <v>0</v>
      </c>
      <c r="CM137">
        <v>0</v>
      </c>
      <c r="CN137" t="str">
        <f>IF($BL137&lt;$BK137,"refNeedCorrection","refOK")</f>
        <v>refOK</v>
      </c>
      <c r="CO137">
        <f>IF($CN137="refOK",$BK137,$BL137)</f>
        <v>0</v>
      </c>
      <c r="CP137">
        <f>IF($CN137="refOK",$BL137,$BK137)</f>
        <v>218025</v>
      </c>
      <c r="CQ137">
        <f>IF($CN137="refOK",$BO137,-$BO137)</f>
        <v>946699.95657837612</v>
      </c>
      <c r="CR137">
        <f>IF($CN137="refOK",$BS137,$BT137)*IF($BP137="Emissions positive",-1,1)</f>
        <v>0</v>
      </c>
      <c r="CS137">
        <f>IF($CN137="refOK",$BT137,$BS137)*IF($BP137="Emissions positive",-1,1)</f>
        <v>0</v>
      </c>
      <c r="CT137">
        <f>IF($CN137="refNeedCorrection",-BX137,BX137)*IF($BP137="Emissions positive",-1,1)</f>
        <v>-1.1599999999999999</v>
      </c>
      <c r="CU137">
        <f>IFERROR(CT137/CQ137,"")</f>
        <v>-1.2253090241944729E-6</v>
      </c>
      <c r="CV137" s="2" t="str">
        <f>IFERROR((CS137-CR137)/ABS(CR137),"")</f>
        <v/>
      </c>
      <c r="CW137" s="1" t="s">
        <v>2038</v>
      </c>
      <c r="CX137" t="str">
        <f>IF(OR($CW137="prd",$CW137="std",$CW137="cit"),"loc",IF(OR($CW137="eur",$CW137="reg",$CW137="coy"),"reg",$CW137))</f>
        <v>reg</v>
      </c>
      <c r="CY137" t="s">
        <v>2062</v>
      </c>
      <c r="CZ137">
        <v>2021</v>
      </c>
      <c r="DA137">
        <v>2050</v>
      </c>
      <c r="DB137">
        <f>DA137-CZ137</f>
        <v>29</v>
      </c>
      <c r="DC137" t="str">
        <f>IF(DB137=0,"0",IF(AND(DB137&gt;=1,DB137&lt;=30),"1-30",IF(AND(DB137&gt;30,DB137&lt;=70),"31-70",IF(AND(DB137&gt;70,DB137&lt;=100),"71-100",IF(DB137&gt;100,"+100")))))</f>
        <v>1-30</v>
      </c>
      <c r="DD137">
        <v>0</v>
      </c>
      <c r="DE137">
        <v>0</v>
      </c>
      <c r="DF137">
        <v>0</v>
      </c>
      <c r="DG137">
        <v>1</v>
      </c>
      <c r="DH137">
        <v>0</v>
      </c>
      <c r="DI137">
        <f>SUM(DD137:DG137)</f>
        <v>1</v>
      </c>
      <c r="DJ137" t="str">
        <f>IF(DI137=1,INDEX($DD$7:$DG$7,MATCH(1,$DD137:$DG137,0)),"mixedProduct")</f>
        <v>TimberInput</v>
      </c>
      <c r="DK137">
        <f>IF(DD137=1,DK$7,0)</f>
        <v>0</v>
      </c>
      <c r="DL137">
        <f>IF(DE137=1,DL$7,0)</f>
        <v>0</v>
      </c>
      <c r="DM137">
        <f>IF(DF137=1,DM$7,0)</f>
        <v>0</v>
      </c>
      <c r="DN137" t="str">
        <f>IF(DG137=1,DN$7,0)</f>
        <v>Timber</v>
      </c>
      <c r="DO137"/>
      <c r="DP137">
        <v>1</v>
      </c>
      <c r="DQ137"/>
      <c r="DR137"/>
      <c r="DS137" s="184" t="s">
        <v>2063</v>
      </c>
      <c r="DT137"/>
      <c r="DU137" s="143" t="str">
        <f>IF(DO137=1,"self-calculated DF",IF(DP137=1,"external DF used","explicit C balance"))</f>
        <v>external DF used</v>
      </c>
      <c r="DV137">
        <v>1</v>
      </c>
      <c r="DW137">
        <v>1</v>
      </c>
      <c r="DX137">
        <v>1</v>
      </c>
      <c r="DY137">
        <v>1</v>
      </c>
      <c r="DZ137">
        <v>1</v>
      </c>
      <c r="EA137">
        <v>1</v>
      </c>
      <c r="EB137">
        <v>0</v>
      </c>
      <c r="EC137">
        <v>0</v>
      </c>
      <c r="ED137">
        <v>0</v>
      </c>
      <c r="EE137">
        <v>0</v>
      </c>
      <c r="EF137">
        <v>1</v>
      </c>
      <c r="EG137">
        <v>0</v>
      </c>
      <c r="EH137">
        <v>1</v>
      </c>
      <c r="EI137" s="2">
        <v>0</v>
      </c>
      <c r="EJ137" s="1"/>
      <c r="EK137" t="str">
        <f>IF(AND(AND(AND(OR($DX137=1,$DW137=1),OR($EC137=1,$EA137=1)),SUM($DV137:$DZ137,$EF137)&gt;=4),SUM($EA137:$EE137)&gt;=2),"Whole sector","")</f>
        <v/>
      </c>
      <c r="EL137" t="str">
        <f>IF(AND(AND(OR($DX137=1,$DW137=1),AND($EC137=0,$EA137=0)),SUM($DV137:$DZ137,$EF137)&gt;=4),"Ecosystem approach","")</f>
        <v/>
      </c>
      <c r="EM137" s="2" t="str">
        <f>IF(AND(AND(AND($DX137=0,$DW137=0),OR($EC137=1,$EA137=1)),SUM($EB137:$EE137)&gt;=2),"Technology approach","")</f>
        <v/>
      </c>
      <c r="EN137"/>
      <c r="EO137"/>
      <c r="EP137" t="str">
        <f>IF(ISNUMBER(BU137),IF(ABS(BU137-[2]QC_indicators!$B$2)&gt;3*[2]QC_indicators!$C$2,"C ratio",IF(ISNUMBER(BY137),IF(ABS(BY137-[2]QC_indicators!$B$1)&gt;3*[2]QC_indicators!$C$1,"DF","no"))),IF(ISNUMBER(BY137),IF(ABS(BY137-[2]QC_indicators!$B$1)&gt;3*[2]QC_indicators!$C$1,"DF","no")))</f>
        <v>no</v>
      </c>
      <c r="EQ137"/>
      <c r="ER137"/>
      <c r="ES137"/>
      <c r="ET137" s="266" t="s">
        <v>3275</v>
      </c>
      <c r="EU137"/>
    </row>
    <row r="138" spans="1:151" s="139" customFormat="1" ht="15" hidden="1" customHeight="1">
      <c r="A138" s="1"/>
      <c r="B138"/>
      <c r="C138"/>
      <c r="D138" t="s">
        <v>2054</v>
      </c>
      <c r="E138" t="s">
        <v>2055</v>
      </c>
      <c r="F138"/>
      <c r="G138" t="s">
        <v>2056</v>
      </c>
      <c r="H138"/>
      <c r="I138">
        <v>2018</v>
      </c>
      <c r="J138"/>
      <c r="K138" s="150" t="s">
        <v>2057</v>
      </c>
      <c r="L138"/>
      <c r="M138" t="str">
        <f>LEFT($D138,FIND(",",$D138)-1)&amp;"_"&amp;I138&amp;L138</f>
        <v>Olguin_2018</v>
      </c>
      <c r="N138" t="s">
        <v>223</v>
      </c>
      <c r="O138" s="157" t="s">
        <v>275</v>
      </c>
      <c r="P138" t="s">
        <v>514</v>
      </c>
      <c r="Q138" t="s">
        <v>390</v>
      </c>
      <c r="R138" s="264" t="s">
        <v>224</v>
      </c>
      <c r="S138" s="265" t="s">
        <v>3211</v>
      </c>
      <c r="T138" t="s">
        <v>2058</v>
      </c>
      <c r="U138" t="s">
        <v>2064</v>
      </c>
      <c r="V138">
        <v>0</v>
      </c>
      <c r="W138">
        <v>0</v>
      </c>
      <c r="X138">
        <v>0</v>
      </c>
      <c r="Y138">
        <v>0</v>
      </c>
      <c r="Z138">
        <v>0</v>
      </c>
      <c r="AA138">
        <v>0</v>
      </c>
      <c r="AB138">
        <v>0</v>
      </c>
      <c r="AC138">
        <v>1</v>
      </c>
      <c r="AD138">
        <v>0</v>
      </c>
      <c r="AE138">
        <v>0</v>
      </c>
      <c r="AF138">
        <v>1</v>
      </c>
      <c r="AG138">
        <v>0</v>
      </c>
      <c r="AH138">
        <v>0</v>
      </c>
      <c r="AI138">
        <v>0</v>
      </c>
      <c r="AJ138">
        <v>0</v>
      </c>
      <c r="AK138">
        <v>0</v>
      </c>
      <c r="AL138">
        <v>0</v>
      </c>
      <c r="AM138">
        <v>0</v>
      </c>
      <c r="AN138">
        <v>0</v>
      </c>
      <c r="AO138">
        <v>0</v>
      </c>
      <c r="AP138">
        <v>0</v>
      </c>
      <c r="AQ138">
        <v>0</v>
      </c>
      <c r="AR138">
        <v>0</v>
      </c>
      <c r="AS138">
        <v>0</v>
      </c>
      <c r="AT138">
        <v>0</v>
      </c>
      <c r="AU138">
        <v>0</v>
      </c>
      <c r="AV138">
        <v>0</v>
      </c>
      <c r="AW138">
        <v>0</v>
      </c>
      <c r="AX138" s="141">
        <f>COUNTIF(V138:AW138,"&lt;&gt;0")</f>
        <v>2</v>
      </c>
      <c r="AY138" s="141">
        <f>COUNTIF(V138:AL138,"&lt;&gt;0")</f>
        <v>2</v>
      </c>
      <c r="AZ138">
        <f>COUNTIF(V138:AC138,"&lt;&gt;0")</f>
        <v>1</v>
      </c>
      <c r="BA138">
        <f>COUNTIF(AD138:AI138,"&lt;&gt;0")</f>
        <v>1</v>
      </c>
      <c r="BB138">
        <f>COUNTIF(AJ138:AL138,"&lt;&gt;0")</f>
        <v>0</v>
      </c>
      <c r="BC138">
        <f>COUNTIF(AS138:AW138,"&lt;&gt;0")</f>
        <v>0</v>
      </c>
      <c r="BD138">
        <f>COUNTIF(AM138:AR138,"&lt;&gt;0")</f>
        <v>0</v>
      </c>
      <c r="BE138" t="str">
        <f t="array" ref="BE138">IF(AY138=1,INDEX($V$7:$AL$7,MATCH(TRUE,INDEX($V138:$AW138&lt;&gt;0,),0)),IF(AY138=0,INDEX($AM$7:$AW$7,MATCH(1,$AM138:$AW138,0)),IF(BF138="Multiple strategies","mixed drivers",IF(BF138="Supply chain","multiple supply","multiple silviculture"))))</f>
        <v>mixed drivers</v>
      </c>
      <c r="BF138" s="2" t="str">
        <f t="array" ref="BF138">IF(COUNTIF(AZ138:BB138,"&lt;&gt;0")=1,INDEX($V$4:$AW$4,MATCH(TRUE,INDEX($V138:$AW138&lt;&gt;0,),0)),IF(COUNTIF(AZ138:BB138,"&lt;&gt;0")=0,INDEX($AM$4:$AW$4,MATCH(1,$AM138:$AW138,0)),"Multiple strategies"))</f>
        <v>Multiple strategies</v>
      </c>
      <c r="BG138" s="1" t="s">
        <v>322</v>
      </c>
      <c r="BH138"/>
      <c r="BI138" s="266" t="s">
        <v>1038</v>
      </c>
      <c r="BJ138" t="s">
        <v>2060</v>
      </c>
      <c r="BK138">
        <v>0</v>
      </c>
      <c r="BL138">
        <v>6788</v>
      </c>
      <c r="BM138" t="str">
        <f>IFERROR(BL138/BK138,"")</f>
        <v/>
      </c>
      <c r="BN138">
        <f>BL138-BK138</f>
        <v>6788</v>
      </c>
      <c r="BO138">
        <f>BN138*tC_to_m3</f>
        <v>29474.598349978292</v>
      </c>
      <c r="BP138" t="s">
        <v>233</v>
      </c>
      <c r="BQ138" s="234" t="s">
        <v>425</v>
      </c>
      <c r="BR138" t="s">
        <v>2065</v>
      </c>
      <c r="BS138"/>
      <c r="BT138"/>
      <c r="BU138" s="144"/>
      <c r="BV138">
        <v>-0.22</v>
      </c>
      <c r="BW138"/>
      <c r="BX138">
        <f>BV138</f>
        <v>-0.22</v>
      </c>
      <c r="BY138">
        <f>IFERROR(BX138/BO138,"")</f>
        <v>-7.4640542133176188E-6</v>
      </c>
      <c r="BZ138">
        <v>0</v>
      </c>
      <c r="CA138">
        <v>0</v>
      </c>
      <c r="CB138">
        <v>0</v>
      </c>
      <c r="CC138">
        <v>0</v>
      </c>
      <c r="CD138">
        <v>0</v>
      </c>
      <c r="CE138">
        <v>0</v>
      </c>
      <c r="CF138">
        <v>0</v>
      </c>
      <c r="CG138">
        <v>0</v>
      </c>
      <c r="CH138">
        <v>0</v>
      </c>
      <c r="CI138">
        <v>0</v>
      </c>
      <c r="CJ138">
        <v>0</v>
      </c>
      <c r="CK138">
        <v>0</v>
      </c>
      <c r="CL138">
        <v>0</v>
      </c>
      <c r="CM138">
        <v>0</v>
      </c>
      <c r="CN138" t="str">
        <f>IF($BL138&lt;$BK138,"refNeedCorrection","refOK")</f>
        <v>refOK</v>
      </c>
      <c r="CO138">
        <f>IF($CN138="refOK",$BK138,$BL138)</f>
        <v>0</v>
      </c>
      <c r="CP138">
        <f>IF($CN138="refOK",$BL138,$BK138)</f>
        <v>6788</v>
      </c>
      <c r="CQ138">
        <f>IF($CN138="refOK",$BO138,-$BO138)</f>
        <v>29474.598349978292</v>
      </c>
      <c r="CR138">
        <f>IF($CN138="refOK",$BS138,$BT138)*IF($BP138="Emissions positive",-1,1)</f>
        <v>0</v>
      </c>
      <c r="CS138">
        <f>IF($CN138="refOK",$BT138,$BS138)*IF($BP138="Emissions positive",-1,1)</f>
        <v>0</v>
      </c>
      <c r="CT138">
        <f>IF($CN138="refNeedCorrection",-BX138,BX138)*IF($BP138="Emissions positive",-1,1)</f>
        <v>-0.22</v>
      </c>
      <c r="CU138">
        <f>IFERROR(CT138/CQ138,"")</f>
        <v>-7.4640542133176188E-6</v>
      </c>
      <c r="CV138" s="2" t="str">
        <f>IFERROR((CS138-CR138)/ABS(CR138),"")</f>
        <v/>
      </c>
      <c r="CW138" s="1" t="s">
        <v>2038</v>
      </c>
      <c r="CX138" t="str">
        <f>IF(OR($CW138="prd",$CW138="std",$CW138="cit"),"loc",IF(OR($CW138="eur",$CW138="reg",$CW138="coy"),"reg",$CW138))</f>
        <v>reg</v>
      </c>
      <c r="CY138" t="s">
        <v>2062</v>
      </c>
      <c r="CZ138">
        <v>2021</v>
      </c>
      <c r="DA138">
        <v>2050</v>
      </c>
      <c r="DB138">
        <f>DA138-CZ138</f>
        <v>29</v>
      </c>
      <c r="DC138" t="str">
        <f>IF(DB138=0,"0",IF(AND(DB138&gt;=1,DB138&lt;=30),"1-30",IF(AND(DB138&gt;30,DB138&lt;=70),"31-70",IF(AND(DB138&gt;70,DB138&lt;=100),"71-100",IF(DB138&gt;100,"+100")))))</f>
        <v>1-30</v>
      </c>
      <c r="DD138">
        <v>0</v>
      </c>
      <c r="DE138">
        <v>0</v>
      </c>
      <c r="DF138">
        <v>0</v>
      </c>
      <c r="DG138">
        <v>1</v>
      </c>
      <c r="DH138">
        <v>0</v>
      </c>
      <c r="DI138">
        <f>SUM(DD138:DG138)</f>
        <v>1</v>
      </c>
      <c r="DJ138" t="str">
        <f>IF(DI138=1,INDEX($DD$7:$DG$7,MATCH(1,$DD138:$DG138,0)),"mixedProduct")</f>
        <v>TimberInput</v>
      </c>
      <c r="DK138">
        <f>IF(DD138=1,DK$7,0)</f>
        <v>0</v>
      </c>
      <c r="DL138">
        <f>IF(DE138=1,DL$7,0)</f>
        <v>0</v>
      </c>
      <c r="DM138">
        <f>IF(DF138=1,DM$7,0)</f>
        <v>0</v>
      </c>
      <c r="DN138" t="str">
        <f>IF(DG138=1,DN$7,0)</f>
        <v>Timber</v>
      </c>
      <c r="DO138"/>
      <c r="DP138">
        <v>1</v>
      </c>
      <c r="DQ138"/>
      <c r="DR138"/>
      <c r="DS138" s="184" t="s">
        <v>2063</v>
      </c>
      <c r="DT138"/>
      <c r="DU138" s="143" t="str">
        <f>IF(DO138=1,"self-calculated DF",IF(DP138=1,"external DF used","explicit C balance"))</f>
        <v>external DF used</v>
      </c>
      <c r="DV138">
        <v>1</v>
      </c>
      <c r="DW138">
        <v>1</v>
      </c>
      <c r="DX138">
        <v>1</v>
      </c>
      <c r="DY138">
        <v>1</v>
      </c>
      <c r="DZ138">
        <v>1</v>
      </c>
      <c r="EA138">
        <v>1</v>
      </c>
      <c r="EB138">
        <v>0</v>
      </c>
      <c r="EC138">
        <v>0</v>
      </c>
      <c r="ED138">
        <v>0</v>
      </c>
      <c r="EE138">
        <v>0</v>
      </c>
      <c r="EF138">
        <v>1</v>
      </c>
      <c r="EG138">
        <v>0</v>
      </c>
      <c r="EH138">
        <v>1</v>
      </c>
      <c r="EI138" s="2">
        <v>0</v>
      </c>
      <c r="EJ138" s="1"/>
      <c r="EK138" t="str">
        <f>IF(AND(AND(AND(OR($DX138=1,$DW138=1),OR($EC138=1,$EA138=1)),SUM($DV138:$DZ138,$EF138)&gt;=4),SUM($EA138:$EE138)&gt;=2),"Whole sector","")</f>
        <v/>
      </c>
      <c r="EL138" t="str">
        <f>IF(AND(AND(OR($DX138=1,$DW138=1),AND($EC138=0,$EA138=0)),SUM($DV138:$DZ138,$EF138)&gt;=4),"Ecosystem approach","")</f>
        <v/>
      </c>
      <c r="EM138" s="2" t="str">
        <f>IF(AND(AND(AND($DX138=0,$DW138=0),OR($EC138=1,$EA138=1)),SUM($EB138:$EE138)&gt;=2),"Technology approach","")</f>
        <v/>
      </c>
      <c r="EN138"/>
      <c r="EO138"/>
      <c r="EP138" t="str">
        <f>IF(ISNUMBER(BU138),IF(ABS(BU138-[2]QC_indicators!$B$2)&gt;3*[2]QC_indicators!$C$2,"C ratio",IF(ISNUMBER(BY138),IF(ABS(BY138-[2]QC_indicators!$B$1)&gt;3*[2]QC_indicators!$C$1,"DF","no"))),IF(ISNUMBER(BY138),IF(ABS(BY138-[2]QC_indicators!$B$1)&gt;3*[2]QC_indicators!$C$1,"DF","no")))</f>
        <v>no</v>
      </c>
      <c r="EQ138"/>
      <c r="ER138"/>
      <c r="ES138"/>
      <c r="ET138" s="266" t="s">
        <v>3275</v>
      </c>
      <c r="EU138"/>
    </row>
    <row r="139" spans="1:151" s="139" customFormat="1" ht="15" hidden="1" customHeight="1">
      <c r="A139" s="1"/>
      <c r="B139"/>
      <c r="C139"/>
      <c r="D139" t="s">
        <v>2054</v>
      </c>
      <c r="E139" t="s">
        <v>2055</v>
      </c>
      <c r="F139"/>
      <c r="G139" t="s">
        <v>2056</v>
      </c>
      <c r="H139"/>
      <c r="I139">
        <v>2018</v>
      </c>
      <c r="J139"/>
      <c r="K139" s="150" t="s">
        <v>2057</v>
      </c>
      <c r="L139"/>
      <c r="M139" t="str">
        <f>LEFT($D139,FIND(",",$D139)-1)&amp;"_"&amp;I139&amp;L139</f>
        <v>Olguin_2018</v>
      </c>
      <c r="N139" t="s">
        <v>223</v>
      </c>
      <c r="O139" s="157" t="s">
        <v>275</v>
      </c>
      <c r="P139" t="s">
        <v>514</v>
      </c>
      <c r="Q139" t="s">
        <v>390</v>
      </c>
      <c r="R139" s="264" t="s">
        <v>224</v>
      </c>
      <c r="S139" s="265" t="s">
        <v>3212</v>
      </c>
      <c r="T139" t="s">
        <v>2058</v>
      </c>
      <c r="U139" t="s">
        <v>2059</v>
      </c>
      <c r="V139">
        <v>0</v>
      </c>
      <c r="W139">
        <v>0</v>
      </c>
      <c r="X139">
        <v>0</v>
      </c>
      <c r="Y139">
        <v>0</v>
      </c>
      <c r="Z139">
        <v>0</v>
      </c>
      <c r="AA139">
        <v>0</v>
      </c>
      <c r="AB139">
        <v>0</v>
      </c>
      <c r="AC139">
        <v>1</v>
      </c>
      <c r="AD139">
        <v>0</v>
      </c>
      <c r="AE139">
        <v>0</v>
      </c>
      <c r="AF139">
        <v>1</v>
      </c>
      <c r="AG139">
        <v>0</v>
      </c>
      <c r="AH139">
        <v>0</v>
      </c>
      <c r="AI139">
        <v>0</v>
      </c>
      <c r="AJ139">
        <v>0</v>
      </c>
      <c r="AK139">
        <v>0</v>
      </c>
      <c r="AL139">
        <v>0</v>
      </c>
      <c r="AM139">
        <v>0</v>
      </c>
      <c r="AN139">
        <v>0</v>
      </c>
      <c r="AO139">
        <v>0</v>
      </c>
      <c r="AP139">
        <v>0</v>
      </c>
      <c r="AQ139">
        <v>0</v>
      </c>
      <c r="AR139">
        <v>0</v>
      </c>
      <c r="AS139">
        <v>0</v>
      </c>
      <c r="AT139">
        <v>0</v>
      </c>
      <c r="AU139">
        <v>0</v>
      </c>
      <c r="AV139">
        <v>0</v>
      </c>
      <c r="AW139">
        <v>0</v>
      </c>
      <c r="AX139" s="141">
        <f>COUNTIF(V139:AW139,"&lt;&gt;0")</f>
        <v>2</v>
      </c>
      <c r="AY139" s="141">
        <f>COUNTIF(V139:AL139,"&lt;&gt;0")</f>
        <v>2</v>
      </c>
      <c r="AZ139">
        <f>COUNTIF(V139:AC139,"&lt;&gt;0")</f>
        <v>1</v>
      </c>
      <c r="BA139">
        <f>COUNTIF(AD139:AI139,"&lt;&gt;0")</f>
        <v>1</v>
      </c>
      <c r="BB139">
        <f>COUNTIF(AJ139:AL139,"&lt;&gt;0")</f>
        <v>0</v>
      </c>
      <c r="BC139">
        <f>COUNTIF(AS139:AW139,"&lt;&gt;0")</f>
        <v>0</v>
      </c>
      <c r="BD139">
        <f>COUNTIF(AM139:AR139,"&lt;&gt;0")</f>
        <v>0</v>
      </c>
      <c r="BE139" t="str">
        <f t="array" ref="BE139">IF(AY139=1,INDEX($V$7:$AL$7,MATCH(TRUE,INDEX($V139:$AW139&lt;&gt;0,),0)),IF(AY139=0,INDEX($AM$7:$AW$7,MATCH(1,$AM139:$AW139,0)),IF(BF139="Multiple strategies","mixed drivers",IF(BF139="Supply chain","multiple supply","multiple silviculture"))))</f>
        <v>mixed drivers</v>
      </c>
      <c r="BF139" s="2" t="str">
        <f t="array" ref="BF139">IF(COUNTIF(AZ139:BB139,"&lt;&gt;0")=1,INDEX($V$4:$AW$4,MATCH(TRUE,INDEX($V139:$AW139&lt;&gt;0,),0)),IF(COUNTIF(AZ139:BB139,"&lt;&gt;0")=0,INDEX($AM$4:$AW$4,MATCH(1,$AM139:$AW139,0)),"Multiple strategies"))</f>
        <v>Multiple strategies</v>
      </c>
      <c r="BG139" s="1" t="s">
        <v>322</v>
      </c>
      <c r="BH139"/>
      <c r="BI139" s="266" t="s">
        <v>1038</v>
      </c>
      <c r="BJ139" t="s">
        <v>2060</v>
      </c>
      <c r="BK139">
        <v>0</v>
      </c>
      <c r="BL139">
        <v>218025</v>
      </c>
      <c r="BM139" t="str">
        <f>IFERROR(BL139/BK139,"")</f>
        <v/>
      </c>
      <c r="BN139">
        <f>BL139-BK139</f>
        <v>218025</v>
      </c>
      <c r="BO139">
        <f>BN139*tC_to_m3</f>
        <v>946699.95657837612</v>
      </c>
      <c r="BP139" t="s">
        <v>233</v>
      </c>
      <c r="BQ139" s="234" t="s">
        <v>425</v>
      </c>
      <c r="BR139" t="s">
        <v>2065</v>
      </c>
      <c r="BS139"/>
      <c r="BT139"/>
      <c r="BU139" s="144"/>
      <c r="BV139">
        <v>-0.18</v>
      </c>
      <c r="BW139"/>
      <c r="BX139">
        <f>BV139</f>
        <v>-0.18</v>
      </c>
      <c r="BY139">
        <f>IFERROR(BX139/BO139,"")</f>
        <v>-1.9013415892672855E-7</v>
      </c>
      <c r="BZ139">
        <v>0</v>
      </c>
      <c r="CA139">
        <v>0</v>
      </c>
      <c r="CB139">
        <v>0</v>
      </c>
      <c r="CC139">
        <v>0</v>
      </c>
      <c r="CD139">
        <v>0</v>
      </c>
      <c r="CE139">
        <v>0</v>
      </c>
      <c r="CF139">
        <v>0</v>
      </c>
      <c r="CG139">
        <v>0</v>
      </c>
      <c r="CH139">
        <v>0</v>
      </c>
      <c r="CI139">
        <v>0</v>
      </c>
      <c r="CJ139">
        <v>0</v>
      </c>
      <c r="CK139">
        <v>0</v>
      </c>
      <c r="CL139">
        <v>0</v>
      </c>
      <c r="CM139">
        <v>0</v>
      </c>
      <c r="CN139" t="str">
        <f>IF($BL139&lt;$BK139,"refNeedCorrection","refOK")</f>
        <v>refOK</v>
      </c>
      <c r="CO139">
        <f>IF($CN139="refOK",$BK139,$BL139)</f>
        <v>0</v>
      </c>
      <c r="CP139">
        <f>IF($CN139="refOK",$BL139,$BK139)</f>
        <v>218025</v>
      </c>
      <c r="CQ139">
        <f>IF($CN139="refOK",$BO139,-$BO139)</f>
        <v>946699.95657837612</v>
      </c>
      <c r="CR139">
        <f>IF($CN139="refOK",$BS139,$BT139)*IF($BP139="Emissions positive",-1,1)</f>
        <v>0</v>
      </c>
      <c r="CS139">
        <f>IF($CN139="refOK",$BT139,$BS139)*IF($BP139="Emissions positive",-1,1)</f>
        <v>0</v>
      </c>
      <c r="CT139">
        <f>IF($CN139="refNeedCorrection",-BX139,BX139)*IF($BP139="Emissions positive",-1,1)</f>
        <v>-0.18</v>
      </c>
      <c r="CU139">
        <f>IFERROR(CT139/CQ139,"")</f>
        <v>-1.9013415892672855E-7</v>
      </c>
      <c r="CV139" s="2" t="str">
        <f>IFERROR((CS139-CR139)/ABS(CR139),"")</f>
        <v/>
      </c>
      <c r="CW139" s="1" t="s">
        <v>2038</v>
      </c>
      <c r="CX139" t="str">
        <f>IF(OR($CW139="prd",$CW139="std",$CW139="cit"),"loc",IF(OR($CW139="eur",$CW139="reg",$CW139="coy"),"reg",$CW139))</f>
        <v>reg</v>
      </c>
      <c r="CY139" t="s">
        <v>2062</v>
      </c>
      <c r="CZ139">
        <v>2021</v>
      </c>
      <c r="DA139">
        <v>2050</v>
      </c>
      <c r="DB139">
        <f>DA139-CZ139</f>
        <v>29</v>
      </c>
      <c r="DC139" t="str">
        <f>IF(DB139=0,"0",IF(AND(DB139&gt;=1,DB139&lt;=30),"1-30",IF(AND(DB139&gt;30,DB139&lt;=70),"31-70",IF(AND(DB139&gt;70,DB139&lt;=100),"71-100",IF(DB139&gt;100,"+100")))))</f>
        <v>1-30</v>
      </c>
      <c r="DD139">
        <v>0</v>
      </c>
      <c r="DE139">
        <v>0</v>
      </c>
      <c r="DF139">
        <v>0</v>
      </c>
      <c r="DG139">
        <v>1</v>
      </c>
      <c r="DH139">
        <v>0</v>
      </c>
      <c r="DI139">
        <f>SUM(DD139:DG139)</f>
        <v>1</v>
      </c>
      <c r="DJ139" t="str">
        <f>IF(DI139=1,INDEX($DD$7:$DG$7,MATCH(1,$DD139:$DG139,0)),"mixedProduct")</f>
        <v>TimberInput</v>
      </c>
      <c r="DK139">
        <f>IF(DD139=1,DK$7,0)</f>
        <v>0</v>
      </c>
      <c r="DL139">
        <f>IF(DE139=1,DL$7,0)</f>
        <v>0</v>
      </c>
      <c r="DM139">
        <f>IF(DF139=1,DM$7,0)</f>
        <v>0</v>
      </c>
      <c r="DN139" t="str">
        <f>IF(DG139=1,DN$7,0)</f>
        <v>Timber</v>
      </c>
      <c r="DO139"/>
      <c r="DP139">
        <v>1</v>
      </c>
      <c r="DQ139"/>
      <c r="DR139"/>
      <c r="DS139" s="184" t="s">
        <v>2063</v>
      </c>
      <c r="DT139"/>
      <c r="DU139" s="143" t="str">
        <f>IF(DO139=1,"self-calculated DF",IF(DP139=1,"external DF used","explicit C balance"))</f>
        <v>external DF used</v>
      </c>
      <c r="DV139">
        <v>1</v>
      </c>
      <c r="DW139">
        <v>1</v>
      </c>
      <c r="DX139">
        <v>1</v>
      </c>
      <c r="DY139">
        <v>1</v>
      </c>
      <c r="DZ139">
        <v>1</v>
      </c>
      <c r="EA139">
        <v>1</v>
      </c>
      <c r="EB139">
        <v>0</v>
      </c>
      <c r="EC139">
        <v>0</v>
      </c>
      <c r="ED139">
        <v>0</v>
      </c>
      <c r="EE139">
        <v>0</v>
      </c>
      <c r="EF139">
        <v>1</v>
      </c>
      <c r="EG139">
        <v>0</v>
      </c>
      <c r="EH139">
        <v>1</v>
      </c>
      <c r="EI139" s="2">
        <v>0</v>
      </c>
      <c r="EJ139" s="1"/>
      <c r="EK139" t="str">
        <f>IF(AND(AND(AND(OR($DX139=1,$DW139=1),OR($EC139=1,$EA139=1)),SUM($DV139:$DZ139,$EF139)&gt;=4),SUM($EA139:$EE139)&gt;=2),"Whole sector","")</f>
        <v/>
      </c>
      <c r="EL139" t="str">
        <f>IF(AND(AND(OR($DX139=1,$DW139=1),AND($EC139=0,$EA139=0)),SUM($DV139:$DZ139,$EF139)&gt;=4),"Ecosystem approach","")</f>
        <v/>
      </c>
      <c r="EM139" s="2" t="str">
        <f>IF(AND(AND(AND($DX139=0,$DW139=0),OR($EC139=1,$EA139=1)),SUM($EB139:$EE139)&gt;=2),"Technology approach","")</f>
        <v/>
      </c>
      <c r="EN139"/>
      <c r="EO139"/>
      <c r="EP139" t="str">
        <f>IF(ISNUMBER(BU139),IF(ABS(BU139-[2]QC_indicators!$B$2)&gt;3*[2]QC_indicators!$C$2,"C ratio",IF(ISNUMBER(BY139),IF(ABS(BY139-[2]QC_indicators!$B$1)&gt;3*[2]QC_indicators!$C$1,"DF","no"))),IF(ISNUMBER(BY139),IF(ABS(BY139-[2]QC_indicators!$B$1)&gt;3*[2]QC_indicators!$C$1,"DF","no")))</f>
        <v>no</v>
      </c>
      <c r="EQ139"/>
      <c r="ER139"/>
      <c r="ES139"/>
      <c r="ET139" s="266" t="s">
        <v>3275</v>
      </c>
      <c r="EU139"/>
    </row>
    <row r="140" spans="1:151" s="139" customFormat="1" ht="15" hidden="1" customHeight="1">
      <c r="A140" s="1"/>
      <c r="B140"/>
      <c r="C140"/>
      <c r="D140" t="s">
        <v>2054</v>
      </c>
      <c r="E140" t="s">
        <v>2055</v>
      </c>
      <c r="F140"/>
      <c r="G140" t="s">
        <v>2056</v>
      </c>
      <c r="H140"/>
      <c r="I140">
        <v>2018</v>
      </c>
      <c r="J140"/>
      <c r="K140" s="150" t="s">
        <v>2057</v>
      </c>
      <c r="L140"/>
      <c r="M140" t="str">
        <f>LEFT($D140,FIND(",",$D140)-1)&amp;"_"&amp;I140&amp;L140</f>
        <v>Olguin_2018</v>
      </c>
      <c r="N140" t="s">
        <v>223</v>
      </c>
      <c r="O140" s="157" t="s">
        <v>275</v>
      </c>
      <c r="P140" t="s">
        <v>514</v>
      </c>
      <c r="Q140" t="s">
        <v>390</v>
      </c>
      <c r="R140" s="264" t="s">
        <v>224</v>
      </c>
      <c r="S140" s="265" t="s">
        <v>3213</v>
      </c>
      <c r="T140" t="s">
        <v>2058</v>
      </c>
      <c r="U140" t="s">
        <v>2059</v>
      </c>
      <c r="V140">
        <v>0</v>
      </c>
      <c r="W140">
        <v>0</v>
      </c>
      <c r="X140">
        <v>0</v>
      </c>
      <c r="Y140">
        <v>0</v>
      </c>
      <c r="Z140">
        <v>0</v>
      </c>
      <c r="AA140">
        <v>0</v>
      </c>
      <c r="AB140">
        <v>0</v>
      </c>
      <c r="AC140">
        <v>1</v>
      </c>
      <c r="AD140">
        <v>0</v>
      </c>
      <c r="AE140">
        <v>0</v>
      </c>
      <c r="AF140">
        <v>1</v>
      </c>
      <c r="AG140">
        <v>0</v>
      </c>
      <c r="AH140">
        <v>0</v>
      </c>
      <c r="AI140">
        <v>0</v>
      </c>
      <c r="AJ140">
        <v>0</v>
      </c>
      <c r="AK140">
        <v>0</v>
      </c>
      <c r="AL140">
        <v>0</v>
      </c>
      <c r="AM140">
        <v>0</v>
      </c>
      <c r="AN140">
        <v>0</v>
      </c>
      <c r="AO140">
        <v>0</v>
      </c>
      <c r="AP140">
        <v>0</v>
      </c>
      <c r="AQ140">
        <v>0</v>
      </c>
      <c r="AR140">
        <v>0</v>
      </c>
      <c r="AS140">
        <v>0</v>
      </c>
      <c r="AT140">
        <v>0</v>
      </c>
      <c r="AU140">
        <v>0</v>
      </c>
      <c r="AV140">
        <v>0</v>
      </c>
      <c r="AW140">
        <v>0</v>
      </c>
      <c r="AX140" s="141">
        <f>COUNTIF(V140:AW140,"&lt;&gt;0")</f>
        <v>2</v>
      </c>
      <c r="AY140" s="141">
        <f>COUNTIF(V140:AL140,"&lt;&gt;0")</f>
        <v>2</v>
      </c>
      <c r="AZ140">
        <f>COUNTIF(V140:AC140,"&lt;&gt;0")</f>
        <v>1</v>
      </c>
      <c r="BA140">
        <f>COUNTIF(AD140:AI140,"&lt;&gt;0")</f>
        <v>1</v>
      </c>
      <c r="BB140">
        <f>COUNTIF(AJ140:AL140,"&lt;&gt;0")</f>
        <v>0</v>
      </c>
      <c r="BC140">
        <f>COUNTIF(AS140:AW140,"&lt;&gt;0")</f>
        <v>0</v>
      </c>
      <c r="BD140">
        <f>COUNTIF(AM140:AR140,"&lt;&gt;0")</f>
        <v>0</v>
      </c>
      <c r="BE140" t="str">
        <f t="array" ref="BE140">IF(AY140=1,INDEX($V$7:$AL$7,MATCH(TRUE,INDEX($V140:$AW140&lt;&gt;0,),0)),IF(AY140=0,INDEX($AM$7:$AW$7,MATCH(1,$AM140:$AW140,0)),IF(BF140="Multiple strategies","mixed drivers",IF(BF140="Supply chain","multiple supply","multiple silviculture"))))</f>
        <v>mixed drivers</v>
      </c>
      <c r="BF140" s="2" t="str">
        <f t="array" ref="BF140">IF(COUNTIF(AZ140:BB140,"&lt;&gt;0")=1,INDEX($V$4:$AW$4,MATCH(TRUE,INDEX($V140:$AW140&lt;&gt;0,),0)),IF(COUNTIF(AZ140:BB140,"&lt;&gt;0")=0,INDEX($AM$4:$AW$4,MATCH(1,$AM140:$AW140,0)),"Multiple strategies"))</f>
        <v>Multiple strategies</v>
      </c>
      <c r="BG140" s="1" t="s">
        <v>322</v>
      </c>
      <c r="BH140"/>
      <c r="BI140" s="266" t="s">
        <v>1038</v>
      </c>
      <c r="BJ140" t="s">
        <v>2060</v>
      </c>
      <c r="BK140">
        <v>0</v>
      </c>
      <c r="BL140">
        <v>6788</v>
      </c>
      <c r="BM140" t="str">
        <f>IFERROR(BL140/BK140,"")</f>
        <v/>
      </c>
      <c r="BN140">
        <f>BL140-BK140</f>
        <v>6788</v>
      </c>
      <c r="BO140">
        <f>BN140*tC_to_m3</f>
        <v>29474.598349978292</v>
      </c>
      <c r="BP140" t="s">
        <v>233</v>
      </c>
      <c r="BQ140" s="234" t="s">
        <v>425</v>
      </c>
      <c r="BR140" t="s">
        <v>2065</v>
      </c>
      <c r="BS140"/>
      <c r="BT140"/>
      <c r="BU140" s="144"/>
      <c r="BV140">
        <v>-0.18</v>
      </c>
      <c r="BW140"/>
      <c r="BX140">
        <f>BV140</f>
        <v>-0.18</v>
      </c>
      <c r="BY140">
        <f>IFERROR(BX140/BO140,"")</f>
        <v>-6.1069534472598692E-6</v>
      </c>
      <c r="BZ140">
        <v>0</v>
      </c>
      <c r="CA140">
        <v>0</v>
      </c>
      <c r="CB140">
        <v>0</v>
      </c>
      <c r="CC140">
        <v>0</v>
      </c>
      <c r="CD140">
        <v>0</v>
      </c>
      <c r="CE140">
        <v>0</v>
      </c>
      <c r="CF140">
        <v>0</v>
      </c>
      <c r="CG140">
        <v>0</v>
      </c>
      <c r="CH140">
        <v>0</v>
      </c>
      <c r="CI140">
        <v>0</v>
      </c>
      <c r="CJ140">
        <v>0</v>
      </c>
      <c r="CK140">
        <v>0</v>
      </c>
      <c r="CL140">
        <v>0</v>
      </c>
      <c r="CM140">
        <v>0</v>
      </c>
      <c r="CN140" t="str">
        <f>IF($BL140&lt;$BK140,"refNeedCorrection","refOK")</f>
        <v>refOK</v>
      </c>
      <c r="CO140">
        <f>IF($CN140="refOK",$BK140,$BL140)</f>
        <v>0</v>
      </c>
      <c r="CP140">
        <f>IF($CN140="refOK",$BL140,$BK140)</f>
        <v>6788</v>
      </c>
      <c r="CQ140">
        <f>IF($CN140="refOK",$BO140,-$BO140)</f>
        <v>29474.598349978292</v>
      </c>
      <c r="CR140">
        <f>IF($CN140="refOK",$BS140,$BT140)*IF($BP140="Emissions positive",-1,1)</f>
        <v>0</v>
      </c>
      <c r="CS140">
        <f>IF($CN140="refOK",$BT140,$BS140)*IF($BP140="Emissions positive",-1,1)</f>
        <v>0</v>
      </c>
      <c r="CT140">
        <f>IF($CN140="refNeedCorrection",-BX140,BX140)*IF($BP140="Emissions positive",-1,1)</f>
        <v>-0.18</v>
      </c>
      <c r="CU140">
        <f>IFERROR(CT140/CQ140,"")</f>
        <v>-6.1069534472598692E-6</v>
      </c>
      <c r="CV140" s="2" t="str">
        <f>IFERROR((CS140-CR140)/ABS(CR140),"")</f>
        <v/>
      </c>
      <c r="CW140" s="1" t="s">
        <v>2038</v>
      </c>
      <c r="CX140" t="str">
        <f>IF(OR($CW140="prd",$CW140="std",$CW140="cit"),"loc",IF(OR($CW140="eur",$CW140="reg",$CW140="coy"),"reg",$CW140))</f>
        <v>reg</v>
      </c>
      <c r="CY140" t="s">
        <v>2062</v>
      </c>
      <c r="CZ140">
        <v>2021</v>
      </c>
      <c r="DA140">
        <v>2050</v>
      </c>
      <c r="DB140">
        <f>DA140-CZ140</f>
        <v>29</v>
      </c>
      <c r="DC140" t="str">
        <f>IF(DB140=0,"0",IF(AND(DB140&gt;=1,DB140&lt;=30),"1-30",IF(AND(DB140&gt;30,DB140&lt;=70),"31-70",IF(AND(DB140&gt;70,DB140&lt;=100),"71-100",IF(DB140&gt;100,"+100")))))</f>
        <v>1-30</v>
      </c>
      <c r="DD140">
        <v>0</v>
      </c>
      <c r="DE140">
        <v>0</v>
      </c>
      <c r="DF140">
        <v>0</v>
      </c>
      <c r="DG140">
        <v>1</v>
      </c>
      <c r="DH140">
        <v>0</v>
      </c>
      <c r="DI140">
        <f>SUM(DD140:DG140)</f>
        <v>1</v>
      </c>
      <c r="DJ140" t="str">
        <f>IF(DI140=1,INDEX($DD$7:$DG$7,MATCH(1,$DD140:$DG140,0)),"mixedProduct")</f>
        <v>TimberInput</v>
      </c>
      <c r="DK140">
        <f>IF(DD140=1,DK$7,0)</f>
        <v>0</v>
      </c>
      <c r="DL140">
        <f>IF(DE140=1,DL$7,0)</f>
        <v>0</v>
      </c>
      <c r="DM140">
        <f>IF(DF140=1,DM$7,0)</f>
        <v>0</v>
      </c>
      <c r="DN140" t="str">
        <f>IF(DG140=1,DN$7,0)</f>
        <v>Timber</v>
      </c>
      <c r="DO140"/>
      <c r="DP140">
        <v>1</v>
      </c>
      <c r="DQ140"/>
      <c r="DR140"/>
      <c r="DS140" s="184" t="s">
        <v>2063</v>
      </c>
      <c r="DT140"/>
      <c r="DU140" s="143" t="str">
        <f>IF(DO140=1,"self-calculated DF",IF(DP140=1,"external DF used","explicit C balance"))</f>
        <v>external DF used</v>
      </c>
      <c r="DV140">
        <v>1</v>
      </c>
      <c r="DW140">
        <v>1</v>
      </c>
      <c r="DX140">
        <v>1</v>
      </c>
      <c r="DY140">
        <v>1</v>
      </c>
      <c r="DZ140">
        <v>1</v>
      </c>
      <c r="EA140">
        <v>1</v>
      </c>
      <c r="EB140">
        <v>0</v>
      </c>
      <c r="EC140">
        <v>0</v>
      </c>
      <c r="ED140">
        <v>0</v>
      </c>
      <c r="EE140">
        <v>0</v>
      </c>
      <c r="EF140">
        <v>1</v>
      </c>
      <c r="EG140">
        <v>0</v>
      </c>
      <c r="EH140">
        <v>1</v>
      </c>
      <c r="EI140" s="2">
        <v>0</v>
      </c>
      <c r="EJ140" s="1"/>
      <c r="EK140" t="str">
        <f>IF(AND(AND(AND(OR($DX140=1,$DW140=1),OR($EC140=1,$EA140=1)),SUM($DV140:$DZ140,$EF140)&gt;=4),SUM($EA140:$EE140)&gt;=2),"Whole sector","")</f>
        <v/>
      </c>
      <c r="EL140" t="str">
        <f>IF(AND(AND(OR($DX140=1,$DW140=1),AND($EC140=0,$EA140=0)),SUM($DV140:$DZ140,$EF140)&gt;=4),"Ecosystem approach","")</f>
        <v/>
      </c>
      <c r="EM140" s="2" t="str">
        <f>IF(AND(AND(AND($DX140=0,$DW140=0),OR($EC140=1,$EA140=1)),SUM($EB140:$EE140)&gt;=2),"Technology approach","")</f>
        <v/>
      </c>
      <c r="EN140"/>
      <c r="EO140"/>
      <c r="EP140" t="str">
        <f>IF(ISNUMBER(BU140),IF(ABS(BU140-[2]QC_indicators!$B$2)&gt;3*[2]QC_indicators!$C$2,"C ratio",IF(ISNUMBER(BY140),IF(ABS(BY140-[2]QC_indicators!$B$1)&gt;3*[2]QC_indicators!$C$1,"DF","no"))),IF(ISNUMBER(BY140),IF(ABS(BY140-[2]QC_indicators!$B$1)&gt;3*[2]QC_indicators!$C$1,"DF","no")))</f>
        <v>no</v>
      </c>
      <c r="EQ140"/>
      <c r="ER140"/>
      <c r="ES140"/>
      <c r="ET140" s="266" t="s">
        <v>3275</v>
      </c>
      <c r="EU140"/>
    </row>
    <row r="141" spans="1:151" s="139" customFormat="1" ht="15" hidden="1" customHeight="1">
      <c r="A141" s="1" t="s">
        <v>266</v>
      </c>
      <c r="B141" t="s">
        <v>267</v>
      </c>
      <c r="C141" t="s">
        <v>268</v>
      </c>
      <c r="D141" t="s">
        <v>269</v>
      </c>
      <c r="E141" t="s">
        <v>270</v>
      </c>
      <c r="F141" t="s">
        <v>271</v>
      </c>
      <c r="G141" t="s">
        <v>272</v>
      </c>
      <c r="H141" t="s">
        <v>255</v>
      </c>
      <c r="I141">
        <v>2022</v>
      </c>
      <c r="J141">
        <v>0</v>
      </c>
      <c r="K141" t="s">
        <v>273</v>
      </c>
      <c r="L141"/>
      <c r="M141" t="str">
        <f>LEFT($D141,FIND(",",$D141)-1)&amp;"_"&amp;I141&amp;L141</f>
        <v>Aryapratama_2022</v>
      </c>
      <c r="N141" t="s">
        <v>223</v>
      </c>
      <c r="O141" s="145" t="s">
        <v>275</v>
      </c>
      <c r="P141"/>
      <c r="Q141" t="s">
        <v>225</v>
      </c>
      <c r="R141" s="264" t="s">
        <v>224</v>
      </c>
      <c r="S141" s="1" t="s">
        <v>315</v>
      </c>
      <c r="T141" t="s">
        <v>318</v>
      </c>
      <c r="U141" t="s">
        <v>319</v>
      </c>
      <c r="V141">
        <v>0</v>
      </c>
      <c r="W141">
        <v>0</v>
      </c>
      <c r="X141">
        <v>1</v>
      </c>
      <c r="Y141">
        <v>0</v>
      </c>
      <c r="Z141">
        <v>0</v>
      </c>
      <c r="AA141">
        <v>0</v>
      </c>
      <c r="AB141">
        <v>0</v>
      </c>
      <c r="AC141">
        <v>0</v>
      </c>
      <c r="AD141">
        <v>0</v>
      </c>
      <c r="AE141">
        <v>0</v>
      </c>
      <c r="AF141">
        <v>0</v>
      </c>
      <c r="AG141">
        <v>0</v>
      </c>
      <c r="AH141">
        <v>0</v>
      </c>
      <c r="AI141">
        <v>2</v>
      </c>
      <c r="AJ141">
        <v>0</v>
      </c>
      <c r="AK141">
        <v>0</v>
      </c>
      <c r="AL141">
        <v>0</v>
      </c>
      <c r="AM141">
        <v>0</v>
      </c>
      <c r="AN141">
        <v>0</v>
      </c>
      <c r="AO141">
        <v>0</v>
      </c>
      <c r="AP141">
        <v>0</v>
      </c>
      <c r="AQ141">
        <v>0</v>
      </c>
      <c r="AR141">
        <v>0</v>
      </c>
      <c r="AS141">
        <v>0</v>
      </c>
      <c r="AT141">
        <v>0</v>
      </c>
      <c r="AU141">
        <v>0</v>
      </c>
      <c r="AV141">
        <v>0</v>
      </c>
      <c r="AW141">
        <v>0</v>
      </c>
      <c r="AX141" s="141">
        <f>COUNTIF(V141:AW141,"&lt;&gt;0")</f>
        <v>2</v>
      </c>
      <c r="AY141" s="141">
        <f>COUNTIF(V141:AL141,"&lt;&gt;0")</f>
        <v>2</v>
      </c>
      <c r="AZ141">
        <f>COUNTIF(V141:AC141,"&lt;&gt;0")</f>
        <v>1</v>
      </c>
      <c r="BA141">
        <f>COUNTIF(AD141:AI141,"&lt;&gt;0")</f>
        <v>1</v>
      </c>
      <c r="BB141">
        <f>COUNTIF(AJ141:AL141,"&lt;&gt;0")</f>
        <v>0</v>
      </c>
      <c r="BC141">
        <f>COUNTIF(AS141:AW141,"&lt;&gt;0")</f>
        <v>0</v>
      </c>
      <c r="BD141">
        <f>COUNTIF(AM141:AR141,"&lt;&gt;0")</f>
        <v>0</v>
      </c>
      <c r="BE141" t="str">
        <f t="array" ref="BE141">IF(AY141=1,INDEX($V$7:$AL$7,MATCH(TRUE,INDEX($V141:$AW141&lt;&gt;0,),0)),IF(AY141=0,INDEX($AM$7:$AW$7,MATCH(1,$AM141:$AW141,0)),IF(BF141="Multiple strategies","mixed drivers",IF(BF141="Supply chain","multiple supply","multiple silviculture"))))</f>
        <v>mixed drivers</v>
      </c>
      <c r="BF141" s="2" t="str">
        <f t="array" ref="BF141">IF(COUNTIF(AZ141:BB141,"&lt;&gt;0")=1,INDEX($V$4:$AW$4,MATCH(TRUE,INDEX($V141:$AW141&lt;&gt;0,),0)),IF(COUNTIF(AZ141:BB141,"&lt;&gt;0")=0,INDEX($AM$4:$AW$4,MATCH(1,$AM141:$AW141,0)),"Multiple strategies"))</f>
        <v>Multiple strategies</v>
      </c>
      <c r="BG141" s="1" t="s">
        <v>230</v>
      </c>
      <c r="BH141" t="s">
        <v>278</v>
      </c>
      <c r="BI141" s="266" t="s">
        <v>3108</v>
      </c>
      <c r="BJ141" t="s">
        <v>279</v>
      </c>
      <c r="BK141">
        <v>455.74756079224562</v>
      </c>
      <c r="BL141">
        <v>656.10508355919967</v>
      </c>
      <c r="BM141">
        <f>BL141/BK141</f>
        <v>1.4396239058716276</v>
      </c>
      <c r="BN141">
        <f>BL141-BK141</f>
        <v>200.35752276695405</v>
      </c>
      <c r="BO141">
        <f>BN141*tC_to_m3</f>
        <v>869.98490128942274</v>
      </c>
      <c r="BP141" t="s">
        <v>233</v>
      </c>
      <c r="BQ141" s="305" t="s">
        <v>3109</v>
      </c>
      <c r="BR141" t="s">
        <v>280</v>
      </c>
      <c r="BS141">
        <v>23.49403951814293</v>
      </c>
      <c r="BT141">
        <v>-227.6520247861325</v>
      </c>
      <c r="BU141" s="144">
        <f>IFERROR(BT141/BS141,"")</f>
        <v>-9.6897778949563591</v>
      </c>
      <c r="BV141">
        <f>BT141-BS141</f>
        <v>-251.14606430427543</v>
      </c>
      <c r="BW141"/>
      <c r="BX141">
        <f>BV141</f>
        <v>-251.14606430427543</v>
      </c>
      <c r="BY141">
        <f>IFERROR(BX141/BO141,"")</f>
        <v>-0.28867864710300906</v>
      </c>
      <c r="BZ141">
        <v>0</v>
      </c>
      <c r="CA141">
        <v>0</v>
      </c>
      <c r="CB141">
        <v>0</v>
      </c>
      <c r="CC141">
        <v>0</v>
      </c>
      <c r="CD141">
        <v>0</v>
      </c>
      <c r="CE141">
        <v>0</v>
      </c>
      <c r="CF141">
        <v>0</v>
      </c>
      <c r="CG141">
        <v>0</v>
      </c>
      <c r="CH141">
        <v>0</v>
      </c>
      <c r="CI141">
        <v>0</v>
      </c>
      <c r="CJ141">
        <v>0</v>
      </c>
      <c r="CK141">
        <v>0</v>
      </c>
      <c r="CL141">
        <v>0</v>
      </c>
      <c r="CM141">
        <v>0</v>
      </c>
      <c r="CN141" t="str">
        <f>IF($BL141&lt;$BK141,"refNeedCorrection","refOK")</f>
        <v>refOK</v>
      </c>
      <c r="CO141">
        <f>IF($CN141="refNeedCorrection",BL141,BK141)</f>
        <v>455.74756079224562</v>
      </c>
      <c r="CP141">
        <f>IF($CN141="refNeedCorrection",BK141,BL141)</f>
        <v>656.10508355919967</v>
      </c>
      <c r="CQ141">
        <f>IF($CN141="refOK",$BO141,-$BO141)</f>
        <v>869.98490128942274</v>
      </c>
      <c r="CR141">
        <f>IF($CN141="refOK",$BS141,$BT141)*IF($BP141="Emissions positive",-1,1)</f>
        <v>23.49403951814293</v>
      </c>
      <c r="CS141">
        <f>IF($CN141="refOK",$BT141,$BS141)*IF($BP141="Emissions positive",-1,1)</f>
        <v>-227.6520247861325</v>
      </c>
      <c r="CT141">
        <f>IF($CN141="refNeedCorrection",-BX141,BX141)*IF($BP141="Emissions positive",-1,1)</f>
        <v>-251.14606430427543</v>
      </c>
      <c r="CU141">
        <f>IFERROR(CT141/CQ141,"")</f>
        <v>-0.28867864710300906</v>
      </c>
      <c r="CV141" s="2">
        <f>IFERROR((CS141-CR141)/ABS(CR141),"")</f>
        <v>-10.689777894956359</v>
      </c>
      <c r="CW141" s="1" t="s">
        <v>235</v>
      </c>
      <c r="CX141" t="str">
        <f>IF(OR($CW141="prd",$CW141="std",$CW141="cit"),"loc",IF(OR($CW141="eur",$CW141="reg",$CW141="coy"),"reg",$CW141))</f>
        <v>loc</v>
      </c>
      <c r="CY141" t="s">
        <v>281</v>
      </c>
      <c r="CZ141"/>
      <c r="DA141"/>
      <c r="DB141">
        <v>200</v>
      </c>
      <c r="DC141" t="str">
        <f>IF(DB141=0,"0",IF(AND(DB141&gt;=1,DB141&lt;=30),"1-30",IF(AND(DB141&gt;30,DB141&lt;=70),"31-70",IF(AND(DB141&gt;70,DB141&lt;=100),"71-100",IF(DB141&gt;100,"+100")))))</f>
        <v>+100</v>
      </c>
      <c r="DD141">
        <v>0</v>
      </c>
      <c r="DE141">
        <v>0</v>
      </c>
      <c r="DF141">
        <v>1</v>
      </c>
      <c r="DG141">
        <v>0</v>
      </c>
      <c r="DH141"/>
      <c r="DI141">
        <f>SUM(DD141:DG141)</f>
        <v>1</v>
      </c>
      <c r="DJ141" t="str">
        <f>IF(DI141=1,INDEX($DD$7:$DG$7,MATCH(1,$DD141:$DG141,0)),"mixedProduct")</f>
        <v>PulpPaperInput</v>
      </c>
      <c r="DK141">
        <f>IF(DD141=1,DK$7,0)</f>
        <v>0</v>
      </c>
      <c r="DL141">
        <f>IF(DE141=1,DL$7,0)</f>
        <v>0</v>
      </c>
      <c r="DM141" t="str">
        <f>IF(DF141=1,DM$7,0)</f>
        <v>Pulp/Paper</v>
      </c>
      <c r="DN141">
        <f>IF(DG141=1,DN$7,0)</f>
        <v>0</v>
      </c>
      <c r="DO141">
        <v>0</v>
      </c>
      <c r="DP141">
        <v>1</v>
      </c>
      <c r="DQ141">
        <v>0</v>
      </c>
      <c r="DR141" t="s">
        <v>282</v>
      </c>
      <c r="DS141">
        <v>0</v>
      </c>
      <c r="DT141">
        <f>SUM(DO141:DP141)</f>
        <v>1</v>
      </c>
      <c r="DU141" s="143" t="str">
        <f>IF(DO141=1,"self-calculated DF",IF(DP141=1,"external DF used","explicit C balance"))</f>
        <v>external DF used</v>
      </c>
      <c r="DV141">
        <v>0</v>
      </c>
      <c r="DW141">
        <v>1</v>
      </c>
      <c r="DX141">
        <v>1</v>
      </c>
      <c r="DY141">
        <v>1</v>
      </c>
      <c r="DZ141">
        <v>1</v>
      </c>
      <c r="EA141" s="143">
        <v>0</v>
      </c>
      <c r="EB141">
        <v>1</v>
      </c>
      <c r="EC141">
        <v>1</v>
      </c>
      <c r="ED141">
        <v>0</v>
      </c>
      <c r="EE141">
        <v>1</v>
      </c>
      <c r="EF141">
        <v>1</v>
      </c>
      <c r="EG141">
        <v>1</v>
      </c>
      <c r="EH141">
        <v>0</v>
      </c>
      <c r="EI141" s="2">
        <v>0</v>
      </c>
      <c r="EJ141" s="1"/>
      <c r="EK141" t="str">
        <f>IF(AND(AND(AND(OR($DX141=1,$DW141=1),OR($EC141=1,$EA141=1)),SUM($DV141:$DZ141,$EF141)&gt;=4),SUM($EA141:$EE141)&gt;=2),"Whole sector","")</f>
        <v>Whole sector</v>
      </c>
      <c r="EL141" t="str">
        <f>IF(AND(AND(OR($DX141=1,$DW141=1),AND($EC141=0,$EA141=0)),SUM($DV141:$DZ141,$EF141)&gt;=4),"Ecosystem approach","")</f>
        <v/>
      </c>
      <c r="EM141" s="2" t="str">
        <f>IF(AND(AND(AND($DX141=0,$DW141=0),OR($EC141=1,$EA141=1)),SUM($EB141:$EE141)&gt;=2),"Technology approach","")</f>
        <v/>
      </c>
      <c r="EN141"/>
      <c r="EO141"/>
      <c r="EP141" t="str">
        <f>IF(ISNUMBER(BU141),IF(ABS(BU141-[2]QC_indicators!$B$2)&gt;3*[2]QC_indicators!$C$2,"C ratio",IF(ISNUMBER(BY141),IF(ABS(BY141-[2]QC_indicators!$B$1)&gt;3*[2]QC_indicators!$C$1,"DF","no"))),IF(ISNUMBER(BY141),IF(ABS(BY141-[2]QC_indicators!$B$1)&gt;3*[2]QC_indicators!$C$1,"DF","no")))</f>
        <v>C ratio</v>
      </c>
      <c r="EQ141" t="s">
        <v>287</v>
      </c>
      <c r="ER141"/>
      <c r="ES141"/>
      <c r="ET141" s="266" t="s">
        <v>3275</v>
      </c>
      <c r="EU141"/>
    </row>
    <row r="142" spans="1:151" s="139" customFormat="1" ht="15" hidden="1" customHeight="1">
      <c r="A142" s="1" t="s">
        <v>266</v>
      </c>
      <c r="B142" t="s">
        <v>267</v>
      </c>
      <c r="C142" t="s">
        <v>268</v>
      </c>
      <c r="D142" t="s">
        <v>269</v>
      </c>
      <c r="E142" t="s">
        <v>270</v>
      </c>
      <c r="F142" t="s">
        <v>271</v>
      </c>
      <c r="G142" t="s">
        <v>272</v>
      </c>
      <c r="H142" t="s">
        <v>255</v>
      </c>
      <c r="I142">
        <v>2022</v>
      </c>
      <c r="J142">
        <v>0</v>
      </c>
      <c r="K142" t="s">
        <v>273</v>
      </c>
      <c r="L142"/>
      <c r="M142" t="str">
        <f>LEFT($D142,FIND(",",$D142)-1)&amp;"_"&amp;I142&amp;L142</f>
        <v>Aryapratama_2022</v>
      </c>
      <c r="N142" t="s">
        <v>223</v>
      </c>
      <c r="O142" s="145" t="s">
        <v>275</v>
      </c>
      <c r="P142"/>
      <c r="Q142" t="s">
        <v>225</v>
      </c>
      <c r="R142" s="264" t="s">
        <v>224</v>
      </c>
      <c r="S142" s="1" t="s">
        <v>315</v>
      </c>
      <c r="T142" t="s">
        <v>316</v>
      </c>
      <c r="U142" t="s">
        <v>317</v>
      </c>
      <c r="V142">
        <v>0</v>
      </c>
      <c r="W142">
        <v>0</v>
      </c>
      <c r="X142">
        <v>1</v>
      </c>
      <c r="Y142">
        <v>0</v>
      </c>
      <c r="Z142">
        <v>0</v>
      </c>
      <c r="AA142">
        <v>0</v>
      </c>
      <c r="AB142">
        <v>0</v>
      </c>
      <c r="AC142">
        <v>0</v>
      </c>
      <c r="AD142">
        <v>0</v>
      </c>
      <c r="AE142">
        <v>0</v>
      </c>
      <c r="AF142">
        <v>0</v>
      </c>
      <c r="AG142">
        <v>0</v>
      </c>
      <c r="AH142">
        <v>0</v>
      </c>
      <c r="AI142">
        <v>2</v>
      </c>
      <c r="AJ142">
        <v>0</v>
      </c>
      <c r="AK142">
        <v>0</v>
      </c>
      <c r="AL142">
        <v>0</v>
      </c>
      <c r="AM142">
        <v>0</v>
      </c>
      <c r="AN142">
        <v>0</v>
      </c>
      <c r="AO142">
        <v>0</v>
      </c>
      <c r="AP142">
        <v>0</v>
      </c>
      <c r="AQ142">
        <v>0</v>
      </c>
      <c r="AR142">
        <v>0</v>
      </c>
      <c r="AS142">
        <v>0</v>
      </c>
      <c r="AT142">
        <v>0</v>
      </c>
      <c r="AU142">
        <v>0</v>
      </c>
      <c r="AV142">
        <v>0</v>
      </c>
      <c r="AW142">
        <v>0</v>
      </c>
      <c r="AX142" s="141">
        <f>COUNTIF(V142:AW142,"&lt;&gt;0")</f>
        <v>2</v>
      </c>
      <c r="AY142" s="141">
        <f>COUNTIF(V142:AL142,"&lt;&gt;0")</f>
        <v>2</v>
      </c>
      <c r="AZ142">
        <f>COUNTIF(V142:AC142,"&lt;&gt;0")</f>
        <v>1</v>
      </c>
      <c r="BA142">
        <f>COUNTIF(AD142:AI142,"&lt;&gt;0")</f>
        <v>1</v>
      </c>
      <c r="BB142">
        <f>COUNTIF(AJ142:AL142,"&lt;&gt;0")</f>
        <v>0</v>
      </c>
      <c r="BC142">
        <f>COUNTIF(AS142:AW142,"&lt;&gt;0")</f>
        <v>0</v>
      </c>
      <c r="BD142">
        <f>COUNTIF(AM142:AR142,"&lt;&gt;0")</f>
        <v>0</v>
      </c>
      <c r="BE142" t="str">
        <f t="array" ref="BE142">IF(AY142=1,INDEX($V$7:$AL$7,MATCH(TRUE,INDEX($V142:$AW142&lt;&gt;0,),0)),IF(AY142=0,INDEX($AM$7:$AW$7,MATCH(1,$AM142:$AW142,0)),IF(BF142="Multiple strategies","mixed drivers",IF(BF142="Supply chain","multiple supply","multiple silviculture"))))</f>
        <v>mixed drivers</v>
      </c>
      <c r="BF142" s="2" t="str">
        <f t="array" ref="BF142">IF(COUNTIF(AZ142:BB142,"&lt;&gt;0")=1,INDEX($V$4:$AW$4,MATCH(TRUE,INDEX($V142:$AW142&lt;&gt;0,),0)),IF(COUNTIF(AZ142:BB142,"&lt;&gt;0")=0,INDEX($AM$4:$AW$4,MATCH(1,$AM142:$AW142,0)),"Multiple strategies"))</f>
        <v>Multiple strategies</v>
      </c>
      <c r="BG142" s="1" t="s">
        <v>230</v>
      </c>
      <c r="BH142" t="s">
        <v>278</v>
      </c>
      <c r="BI142" s="266" t="s">
        <v>3108</v>
      </c>
      <c r="BJ142" t="s">
        <v>279</v>
      </c>
      <c r="BK142">
        <v>591.32718343375518</v>
      </c>
      <c r="BL142">
        <v>757.78980054033161</v>
      </c>
      <c r="BM142">
        <f>BL142/BK142</f>
        <v>1.2815067897605368</v>
      </c>
      <c r="BN142">
        <f>BL142-BK142</f>
        <v>166.46261710657643</v>
      </c>
      <c r="BO142">
        <f>BN142*tC_to_m3</f>
        <v>722.80771648535142</v>
      </c>
      <c r="BP142" t="s">
        <v>233</v>
      </c>
      <c r="BQ142" s="305" t="s">
        <v>3109</v>
      </c>
      <c r="BR142" t="s">
        <v>280</v>
      </c>
      <c r="BS142">
        <v>-956.54496754124091</v>
      </c>
      <c r="BT142">
        <v>-1160.011828609915</v>
      </c>
      <c r="BU142" s="144">
        <f>IFERROR(BT142/BS142,"")</f>
        <v>1.2127101892466983</v>
      </c>
      <c r="BV142">
        <f>BT142-BS142</f>
        <v>-203.46686106867412</v>
      </c>
      <c r="BW142"/>
      <c r="BX142">
        <f>BV142</f>
        <v>-203.46686106867412</v>
      </c>
      <c r="BY142">
        <f>IFERROR(BX142/BO142,"")</f>
        <v>-0.2814951423845205</v>
      </c>
      <c r="BZ142">
        <v>0</v>
      </c>
      <c r="CA142">
        <v>0</v>
      </c>
      <c r="CB142">
        <v>0</v>
      </c>
      <c r="CC142">
        <v>0</v>
      </c>
      <c r="CD142">
        <v>0</v>
      </c>
      <c r="CE142">
        <v>0</v>
      </c>
      <c r="CF142">
        <v>0</v>
      </c>
      <c r="CG142">
        <v>0</v>
      </c>
      <c r="CH142">
        <v>0</v>
      </c>
      <c r="CI142">
        <v>0</v>
      </c>
      <c r="CJ142">
        <v>0</v>
      </c>
      <c r="CK142">
        <v>0</v>
      </c>
      <c r="CL142">
        <v>0</v>
      </c>
      <c r="CM142">
        <v>0</v>
      </c>
      <c r="CN142" t="str">
        <f>IF($BL142&lt;$BK142,"refNeedCorrection","refOK")</f>
        <v>refOK</v>
      </c>
      <c r="CO142">
        <f>IF($CN142="refNeedCorrection",BL142,BK142)</f>
        <v>591.32718343375518</v>
      </c>
      <c r="CP142">
        <f>IF($CN142="refNeedCorrection",BK142,BL142)</f>
        <v>757.78980054033161</v>
      </c>
      <c r="CQ142">
        <f>IF($CN142="refOK",$BO142,-$BO142)</f>
        <v>722.80771648535142</v>
      </c>
      <c r="CR142">
        <f>IF($CN142="refOK",$BS142,$BT142)*IF($BP142="Emissions positive",-1,1)</f>
        <v>-956.54496754124091</v>
      </c>
      <c r="CS142">
        <f>IF($CN142="refOK",$BT142,$BS142)*IF($BP142="Emissions positive",-1,1)</f>
        <v>-1160.011828609915</v>
      </c>
      <c r="CT142">
        <f>IF($CN142="refNeedCorrection",-BX142,BX142)*IF($BP142="Emissions positive",-1,1)</f>
        <v>-203.46686106867412</v>
      </c>
      <c r="CU142">
        <f>IFERROR(CT142/CQ142,"")</f>
        <v>-0.2814951423845205</v>
      </c>
      <c r="CV142" s="2">
        <f>IFERROR((CS142-CR142)/ABS(CR142),"")</f>
        <v>-0.21271018924669818</v>
      </c>
      <c r="CW142" s="1" t="s">
        <v>235</v>
      </c>
      <c r="CX142" t="str">
        <f>IF(OR($CW142="prd",$CW142="std",$CW142="cit"),"loc",IF(OR($CW142="eur",$CW142="reg",$CW142="coy"),"reg",$CW142))</f>
        <v>loc</v>
      </c>
      <c r="CY142" t="s">
        <v>281</v>
      </c>
      <c r="CZ142"/>
      <c r="DA142"/>
      <c r="DB142">
        <v>200</v>
      </c>
      <c r="DC142" t="str">
        <f>IF(DB142=0,"0",IF(AND(DB142&gt;=1,DB142&lt;=30),"1-30",IF(AND(DB142&gt;30,DB142&lt;=70),"31-70",IF(AND(DB142&gt;70,DB142&lt;=100),"71-100",IF(DB142&gt;100,"+100")))))</f>
        <v>+100</v>
      </c>
      <c r="DD142">
        <v>0</v>
      </c>
      <c r="DE142">
        <v>0</v>
      </c>
      <c r="DF142">
        <v>1</v>
      </c>
      <c r="DG142">
        <v>0</v>
      </c>
      <c r="DH142"/>
      <c r="DI142">
        <f>SUM(DD142:DG142)</f>
        <v>1</v>
      </c>
      <c r="DJ142" t="str">
        <f>IF(DI142=1,INDEX($DD$7:$DG$7,MATCH(1,$DD142:$DG142,0)),"mixedProduct")</f>
        <v>PulpPaperInput</v>
      </c>
      <c r="DK142">
        <f>IF(DD142=1,DK$7,0)</f>
        <v>0</v>
      </c>
      <c r="DL142">
        <f>IF(DE142=1,DL$7,0)</f>
        <v>0</v>
      </c>
      <c r="DM142" t="str">
        <f>IF(DF142=1,DM$7,0)</f>
        <v>Pulp/Paper</v>
      </c>
      <c r="DN142">
        <f>IF(DG142=1,DN$7,0)</f>
        <v>0</v>
      </c>
      <c r="DO142">
        <v>0</v>
      </c>
      <c r="DP142">
        <v>1</v>
      </c>
      <c r="DQ142">
        <v>0</v>
      </c>
      <c r="DR142" t="s">
        <v>282</v>
      </c>
      <c r="DS142">
        <v>0</v>
      </c>
      <c r="DT142">
        <f>SUM(DO142:DP142)</f>
        <v>1</v>
      </c>
      <c r="DU142" s="143" t="str">
        <f>IF(DO142=1,"self-calculated DF",IF(DP142=1,"external DF used","explicit C balance"))</f>
        <v>external DF used</v>
      </c>
      <c r="DV142">
        <v>0</v>
      </c>
      <c r="DW142">
        <v>1</v>
      </c>
      <c r="DX142">
        <v>1</v>
      </c>
      <c r="DY142">
        <v>1</v>
      </c>
      <c r="DZ142">
        <v>1</v>
      </c>
      <c r="EA142" s="143">
        <v>0</v>
      </c>
      <c r="EB142">
        <v>1</v>
      </c>
      <c r="EC142">
        <v>1</v>
      </c>
      <c r="ED142">
        <v>0</v>
      </c>
      <c r="EE142">
        <v>1</v>
      </c>
      <c r="EF142">
        <v>1</v>
      </c>
      <c r="EG142">
        <v>1</v>
      </c>
      <c r="EH142">
        <v>0</v>
      </c>
      <c r="EI142" s="2">
        <v>0</v>
      </c>
      <c r="EJ142" s="1"/>
      <c r="EK142" t="str">
        <f>IF(AND(AND(AND(OR($DX142=1,$DW142=1),OR($EC142=1,$EA142=1)),SUM($DV142:$DZ142,$EF142)&gt;=4),SUM($EA142:$EE142)&gt;=2),"Whole sector","")</f>
        <v>Whole sector</v>
      </c>
      <c r="EL142" t="str">
        <f>IF(AND(AND(OR($DX142=1,$DW142=1),AND($EC142=0,$EA142=0)),SUM($DV142:$DZ142,$EF142)&gt;=4),"Ecosystem approach","")</f>
        <v/>
      </c>
      <c r="EM142" s="2" t="str">
        <f>IF(AND(AND(AND($DX142=0,$DW142=0),OR($EC142=1,$EA142=1)),SUM($EB142:$EE142)&gt;=2),"Technology approach","")</f>
        <v/>
      </c>
      <c r="EN142"/>
      <c r="EO142"/>
      <c r="EP142" t="str">
        <f>IF(ISNUMBER(BU142),IF(ABS(BU142-[2]QC_indicators!$B$2)&gt;3*[2]QC_indicators!$C$2,"C ratio",IF(ISNUMBER(BY142),IF(ABS(BY142-[2]QC_indicators!$B$1)&gt;3*[2]QC_indicators!$C$1,"DF","no"))),IF(ISNUMBER(BY142),IF(ABS(BY142-[2]QC_indicators!$B$1)&gt;3*[2]QC_indicators!$C$1,"DF","no")))</f>
        <v>no</v>
      </c>
      <c r="EQ142" t="s">
        <v>287</v>
      </c>
      <c r="ER142"/>
      <c r="ES142"/>
      <c r="ET142" s="266" t="s">
        <v>3275</v>
      </c>
      <c r="EU142"/>
    </row>
    <row r="143" spans="1:151" s="139" customFormat="1" ht="15" hidden="1" customHeight="1">
      <c r="A143" s="1" t="s">
        <v>1362</v>
      </c>
      <c r="B143" t="s">
        <v>2100</v>
      </c>
      <c r="C143" t="s">
        <v>2101</v>
      </c>
      <c r="D143" t="s">
        <v>2102</v>
      </c>
      <c r="E143" t="s">
        <v>2103</v>
      </c>
      <c r="F143" t="s">
        <v>2104</v>
      </c>
      <c r="G143" t="s">
        <v>1368</v>
      </c>
      <c r="H143" t="s">
        <v>1630</v>
      </c>
      <c r="I143">
        <v>2004</v>
      </c>
      <c r="J143">
        <v>53</v>
      </c>
      <c r="K143" t="s">
        <v>2105</v>
      </c>
      <c r="L143"/>
      <c r="M143" t="str">
        <f>LEFT($D143,FIND(",",$D143)-1)&amp;"_"&amp;I143&amp;L143</f>
        <v>Phat_2004</v>
      </c>
      <c r="N143" t="s">
        <v>223</v>
      </c>
      <c r="O143" s="171" t="s">
        <v>514</v>
      </c>
      <c r="P143" s="141" t="s">
        <v>226</v>
      </c>
      <c r="Q143" t="s">
        <v>390</v>
      </c>
      <c r="R143" s="2" t="s">
        <v>275</v>
      </c>
      <c r="S143" s="1" t="s">
        <v>2106</v>
      </c>
      <c r="T143" t="s">
        <v>2107</v>
      </c>
      <c r="U143" t="s">
        <v>2108</v>
      </c>
      <c r="V143">
        <v>0</v>
      </c>
      <c r="W143">
        <v>0</v>
      </c>
      <c r="X143">
        <v>0</v>
      </c>
      <c r="Y143">
        <v>1</v>
      </c>
      <c r="Z143">
        <v>0</v>
      </c>
      <c r="AA143">
        <v>0</v>
      </c>
      <c r="AB143">
        <v>0</v>
      </c>
      <c r="AC143">
        <v>0</v>
      </c>
      <c r="AD143">
        <v>1</v>
      </c>
      <c r="AE143">
        <v>0</v>
      </c>
      <c r="AF143">
        <v>0</v>
      </c>
      <c r="AG143">
        <v>0</v>
      </c>
      <c r="AH143">
        <v>0</v>
      </c>
      <c r="AI143">
        <v>0</v>
      </c>
      <c r="AJ143"/>
      <c r="AK143">
        <v>0</v>
      </c>
      <c r="AL143">
        <v>0</v>
      </c>
      <c r="AM143">
        <v>0</v>
      </c>
      <c r="AN143">
        <v>0</v>
      </c>
      <c r="AO143">
        <v>0</v>
      </c>
      <c r="AP143">
        <v>0</v>
      </c>
      <c r="AQ143">
        <v>0</v>
      </c>
      <c r="AR143">
        <v>0</v>
      </c>
      <c r="AS143">
        <v>0</v>
      </c>
      <c r="AT143">
        <v>0</v>
      </c>
      <c r="AU143">
        <v>0</v>
      </c>
      <c r="AV143">
        <v>0</v>
      </c>
      <c r="AW143">
        <v>0</v>
      </c>
      <c r="AX143" s="141">
        <f>COUNTIF(V143:AW143,"&lt;&gt;0")</f>
        <v>3</v>
      </c>
      <c r="AY143" s="141">
        <f>COUNTIF(V143:AL143,"&lt;&gt;0")</f>
        <v>3</v>
      </c>
      <c r="AZ143">
        <f>COUNTIF(V143:AC143,"&lt;&gt;0")</f>
        <v>1</v>
      </c>
      <c r="BA143">
        <f>COUNTIF(AD143:AI143,"&lt;&gt;0")</f>
        <v>1</v>
      </c>
      <c r="BB143">
        <f>COUNTIF(AJ143:AL143,"&lt;&gt;0")</f>
        <v>1</v>
      </c>
      <c r="BC143">
        <f>COUNTIF(AS143:AW143,"&lt;&gt;0")</f>
        <v>0</v>
      </c>
      <c r="BD143">
        <f>COUNTIF(AM143:AR143,"&lt;&gt;0")</f>
        <v>0</v>
      </c>
      <c r="BE143" t="str">
        <f t="array" ref="BE143">IF(AY143=1,INDEX($V$7:$AL$7,MATCH(TRUE,INDEX($V143:$AW143&lt;&gt;0,),0)),IF(AY143=0,INDEX($AM$7:$AW$7,MATCH(1,$AM143:$AW143,0)),IF(BF143="Multiple strategies","mixed drivers",IF(BF143="Supply chain","multiple supply","multiple silviculture"))))</f>
        <v>mixed drivers</v>
      </c>
      <c r="BF143" s="2" t="str">
        <f t="array" ref="BF143">IF(COUNTIF(AZ143:BB143,"&lt;&gt;0")=1,INDEX($V$4:$AW$4,MATCH(TRUE,INDEX($V143:$AW143&lt;&gt;0,),0)),IF(COUNTIF(AZ143:BB143,"&lt;&gt;0")=0,INDEX($AM$4:$AW$4,MATCH(1,$AM143:$AW143,0)),"Multiple strategies"))</f>
        <v>Multiple strategies</v>
      </c>
      <c r="BG143" s="142" t="s">
        <v>322</v>
      </c>
      <c r="BH143" t="s">
        <v>2109</v>
      </c>
      <c r="BI143" t="s">
        <v>2110</v>
      </c>
      <c r="BJ143" t="s">
        <v>499</v>
      </c>
      <c r="BK143">
        <v>5865000000</v>
      </c>
      <c r="BL143">
        <v>10857500000</v>
      </c>
      <c r="BM143">
        <f>IFERROR(BL143/BK143,"")</f>
        <v>1.851236146632566</v>
      </c>
      <c r="BN143">
        <f>BL143-BK143</f>
        <v>4992500000</v>
      </c>
      <c r="BO143">
        <f>BL143-BK143</f>
        <v>4992500000</v>
      </c>
      <c r="BP143" t="s">
        <v>233</v>
      </c>
      <c r="BQ143" s="303" t="s">
        <v>2115</v>
      </c>
      <c r="BR143" t="s">
        <v>2111</v>
      </c>
      <c r="BS143">
        <v>8.9</v>
      </c>
      <c r="BT143">
        <v>4.3</v>
      </c>
      <c r="BU143" s="144"/>
      <c r="BV143">
        <f>(BT143-BS143)*1000000000</f>
        <v>-4600000000.000001</v>
      </c>
      <c r="BW143"/>
      <c r="BX143">
        <f>BV143*C_to_CO2</f>
        <v>-16882000000.000004</v>
      </c>
      <c r="BY143">
        <f>IFERROR(BX143/BO143,"")</f>
        <v>-3.3814722083124695</v>
      </c>
      <c r="BZ143">
        <v>0</v>
      </c>
      <c r="CA143">
        <v>0</v>
      </c>
      <c r="CB143">
        <v>0</v>
      </c>
      <c r="CC143">
        <v>0</v>
      </c>
      <c r="CD143">
        <v>0</v>
      </c>
      <c r="CE143">
        <v>0</v>
      </c>
      <c r="CF143">
        <v>0</v>
      </c>
      <c r="CG143">
        <v>0</v>
      </c>
      <c r="CH143">
        <v>0</v>
      </c>
      <c r="CI143">
        <v>0</v>
      </c>
      <c r="CJ143">
        <v>0</v>
      </c>
      <c r="CK143">
        <v>0</v>
      </c>
      <c r="CL143">
        <v>0</v>
      </c>
      <c r="CM143">
        <v>0</v>
      </c>
      <c r="CN143" t="str">
        <f>IF($BL143&lt;$BK143,"refNeedCorrection","refOK")</f>
        <v>refOK</v>
      </c>
      <c r="CO143">
        <f>IF($CN143="refOK",$BK143,$BL143)</f>
        <v>5865000000</v>
      </c>
      <c r="CP143">
        <f>IF($CN143="refOK",$BL143,$BK143)</f>
        <v>10857500000</v>
      </c>
      <c r="CQ143">
        <f>IF($CN143="refOK",$BO143,-$BO143)</f>
        <v>4992500000</v>
      </c>
      <c r="CR143">
        <f>IF($CN143="refOK",$BS143,$BT143)*IF($BP143="Emissions positive",-1,1)</f>
        <v>8.9</v>
      </c>
      <c r="CS143">
        <f>IF($CN143="refOK",$BT143,$BS143)*IF($BP143="Emissions positive",-1,1)</f>
        <v>4.3</v>
      </c>
      <c r="CT143">
        <f>IF($CN143="refNeedCorrection",-BX143,BX143)*IF($BP143="Emissions positive",-1,1)</f>
        <v>-16882000000.000004</v>
      </c>
      <c r="CU143">
        <f>IFERROR(CT143/CQ143,"")</f>
        <v>-3.3814722083124695</v>
      </c>
      <c r="CV143" s="2">
        <f>IFERROR((CS143-CR143)/ABS(CR143),"")</f>
        <v>-0.5168539325842697</v>
      </c>
      <c r="CW143" s="1" t="s">
        <v>1201</v>
      </c>
      <c r="CX143" t="str">
        <f>IF(OR($CW143="prd",$CW143="std",$CW143="cit"),"loc",IF(OR($CW143="eur",$CW143="reg",$CW143="coy"),"reg",$CW143))</f>
        <v>reg</v>
      </c>
      <c r="CY143" t="s">
        <v>2112</v>
      </c>
      <c r="CZ143">
        <v>2000</v>
      </c>
      <c r="DA143">
        <v>2050</v>
      </c>
      <c r="DB143">
        <v>50</v>
      </c>
      <c r="DC143" t="str">
        <f>IF(DB143=0,"0",IF(AND(DB143&gt;=1,DB143&lt;=30),"1-30",IF(AND(DB143&gt;30,DB143&lt;=70),"31-70",IF(AND(DB143&gt;70,DB143&lt;=100),"71-100",IF(DB143&gt;100,"+100")))))</f>
        <v>31-70</v>
      </c>
      <c r="DD143">
        <v>1</v>
      </c>
      <c r="DE143">
        <v>0</v>
      </c>
      <c r="DF143">
        <v>0</v>
      </c>
      <c r="DG143">
        <v>0</v>
      </c>
      <c r="DH143"/>
      <c r="DI143">
        <f>SUM(DD143:DG143)</f>
        <v>1</v>
      </c>
      <c r="DJ143" t="str">
        <f>IF(DI143=1,INDEX($DD$7:$DG$7,MATCH(1,$DD143:$DG143,0)),"mixedProduct")</f>
        <v>UpstreamInput</v>
      </c>
      <c r="DK143" t="str">
        <f>IF(DD143=1,DK$7,0)</f>
        <v>Upstream</v>
      </c>
      <c r="DL143">
        <f>IF(DE143=1,DL$7,0)</f>
        <v>0</v>
      </c>
      <c r="DM143">
        <f>IF(DF143=1,DM$7,0)</f>
        <v>0</v>
      </c>
      <c r="DN143">
        <f>IF(DG143=1,DN$7,0)</f>
        <v>0</v>
      </c>
      <c r="DO143">
        <v>0</v>
      </c>
      <c r="DP143">
        <v>0</v>
      </c>
      <c r="DQ143">
        <v>0</v>
      </c>
      <c r="DR143">
        <v>0</v>
      </c>
      <c r="DS143">
        <v>0</v>
      </c>
      <c r="DT143">
        <f>SUM(DO143:DP143)</f>
        <v>0</v>
      </c>
      <c r="DU143" s="143" t="str">
        <f>IF(DO143=1,"self-calculated DF",IF(DP143=1,"external DF used","explicit C balance"))</f>
        <v>explicit C balance</v>
      </c>
      <c r="DV143">
        <v>0</v>
      </c>
      <c r="DW143">
        <v>0</v>
      </c>
      <c r="DX143">
        <v>1</v>
      </c>
      <c r="DY143">
        <v>1</v>
      </c>
      <c r="DZ143">
        <v>1</v>
      </c>
      <c r="EA143" s="143">
        <v>0</v>
      </c>
      <c r="EB143">
        <v>0</v>
      </c>
      <c r="EC143">
        <v>0</v>
      </c>
      <c r="ED143">
        <v>0</v>
      </c>
      <c r="EE143">
        <v>0</v>
      </c>
      <c r="EF143">
        <v>0</v>
      </c>
      <c r="EG143" s="143">
        <v>0</v>
      </c>
      <c r="EH143" s="143">
        <v>1</v>
      </c>
      <c r="EI143" s="2">
        <v>0</v>
      </c>
      <c r="EJ143" s="1"/>
      <c r="EK143" t="str">
        <f>IF(AND(AND(AND(OR($DX143=1,$DW143=1),OR($EC143=1,$EA143=1)),SUM($DV143:$DZ143,$EF143)&gt;=4),SUM($EA143:$EE143)&gt;=2),"Whole sector","")</f>
        <v/>
      </c>
      <c r="EL143" t="str">
        <f>IF(AND(AND(OR($DX143=1,$DW143=1),AND($EC143=0,$EA143=0)),SUM($DV143:$DZ143,$EF143)&gt;=4),"Ecosystem approach","")</f>
        <v/>
      </c>
      <c r="EM143" s="2" t="str">
        <f>IF(AND(AND(AND($DX143=0,$DW143=0),OR($EC143=1,$EA143=1)),SUM($EB143:$EE143)&gt;=2),"Technology approach","")</f>
        <v/>
      </c>
      <c r="EN143"/>
      <c r="EO143"/>
      <c r="EP143" t="str">
        <f>IF(ISNUMBER(BU143),IF(ABS(BU143-[3]QC_indicators!$B$2)&gt;3*[3]QC_indicators!$C$2,"C ratio",IF(ISNUMBER(BY143),IF(ABS(BY143-[3]QC_indicators!$B$1)&gt;3*[3]QC_indicators!$C$1,"DF","no"))),IF(ISNUMBER(BY143),IF(ABS(BY143-[3]QC_indicators!$B$1)&gt;3*[3]QC_indicators!$C$1,"DF","no")))</f>
        <v>no</v>
      </c>
      <c r="EQ143"/>
      <c r="ER143"/>
      <c r="ES143"/>
      <c r="ET143" s="266" t="s">
        <v>3273</v>
      </c>
      <c r="EU143" s="266"/>
    </row>
    <row r="144" spans="1:151" s="139" customFormat="1" ht="15" hidden="1" customHeight="1">
      <c r="A144" s="1" t="s">
        <v>1362</v>
      </c>
      <c r="B144" t="s">
        <v>2100</v>
      </c>
      <c r="C144" t="s">
        <v>2101</v>
      </c>
      <c r="D144" t="s">
        <v>2102</v>
      </c>
      <c r="E144" t="s">
        <v>2103</v>
      </c>
      <c r="F144" t="s">
        <v>2104</v>
      </c>
      <c r="G144" t="s">
        <v>1368</v>
      </c>
      <c r="H144" t="s">
        <v>1630</v>
      </c>
      <c r="I144">
        <v>2004</v>
      </c>
      <c r="J144">
        <v>53</v>
      </c>
      <c r="K144" t="s">
        <v>2105</v>
      </c>
      <c r="L144"/>
      <c r="M144" t="str">
        <f>LEFT($D144,FIND(",",$D144)-1)&amp;"_"&amp;I144&amp;L144</f>
        <v>Phat_2004</v>
      </c>
      <c r="N144" t="s">
        <v>223</v>
      </c>
      <c r="O144" s="171" t="s">
        <v>514</v>
      </c>
      <c r="P144" s="141" t="s">
        <v>226</v>
      </c>
      <c r="Q144" t="s">
        <v>390</v>
      </c>
      <c r="R144" s="2" t="s">
        <v>275</v>
      </c>
      <c r="S144" s="1" t="s">
        <v>2113</v>
      </c>
      <c r="T144" t="s">
        <v>2114</v>
      </c>
      <c r="U144" t="s">
        <v>2108</v>
      </c>
      <c r="V144">
        <v>0</v>
      </c>
      <c r="W144">
        <v>0</v>
      </c>
      <c r="X144">
        <v>0</v>
      </c>
      <c r="Y144">
        <v>1</v>
      </c>
      <c r="Z144">
        <v>0</v>
      </c>
      <c r="AA144">
        <v>0</v>
      </c>
      <c r="AB144">
        <v>0</v>
      </c>
      <c r="AC144">
        <v>0</v>
      </c>
      <c r="AD144">
        <v>1</v>
      </c>
      <c r="AE144">
        <v>0</v>
      </c>
      <c r="AF144">
        <v>0</v>
      </c>
      <c r="AG144">
        <v>0</v>
      </c>
      <c r="AH144">
        <v>0</v>
      </c>
      <c r="AI144">
        <v>0</v>
      </c>
      <c r="AJ144">
        <v>1</v>
      </c>
      <c r="AK144">
        <v>0</v>
      </c>
      <c r="AL144">
        <v>0</v>
      </c>
      <c r="AM144">
        <v>0</v>
      </c>
      <c r="AN144">
        <v>0</v>
      </c>
      <c r="AO144">
        <v>0</v>
      </c>
      <c r="AP144">
        <v>0</v>
      </c>
      <c r="AQ144">
        <v>0</v>
      </c>
      <c r="AR144">
        <v>0</v>
      </c>
      <c r="AS144">
        <v>0</v>
      </c>
      <c r="AT144">
        <v>0</v>
      </c>
      <c r="AU144">
        <v>0</v>
      </c>
      <c r="AV144">
        <v>0</v>
      </c>
      <c r="AW144">
        <v>0</v>
      </c>
      <c r="AX144" s="141">
        <f>COUNTIF(V144:AW144,"&lt;&gt;0")</f>
        <v>3</v>
      </c>
      <c r="AY144" s="141">
        <f>COUNTIF(V144:AL144,"&lt;&gt;0")</f>
        <v>3</v>
      </c>
      <c r="AZ144">
        <f>COUNTIF(V144:AC144,"&lt;&gt;0")</f>
        <v>1</v>
      </c>
      <c r="BA144">
        <f>COUNTIF(AD144:AI144,"&lt;&gt;0")</f>
        <v>1</v>
      </c>
      <c r="BB144">
        <f>COUNTIF(AJ144:AL144,"&lt;&gt;0")</f>
        <v>1</v>
      </c>
      <c r="BC144">
        <f>COUNTIF(AS144:AW144,"&lt;&gt;0")</f>
        <v>0</v>
      </c>
      <c r="BD144">
        <f>COUNTIF(AM144:AR144,"&lt;&gt;0")</f>
        <v>0</v>
      </c>
      <c r="BE144" t="str">
        <f t="array" ref="BE144">IF(AY144=1,INDEX($V$7:$AL$7,MATCH(TRUE,INDEX($V144:$AW144&lt;&gt;0,),0)),IF(AY144=0,INDEX($AM$7:$AW$7,MATCH(1,$AM144:$AW144,0)),IF(BF144="Multiple strategies","mixed drivers",IF(BF144="Supply chain","multiple supply","multiple silviculture"))))</f>
        <v>mixed drivers</v>
      </c>
      <c r="BF144" s="2" t="str">
        <f t="array" ref="BF144">IF(COUNTIF(AZ144:BB144,"&lt;&gt;0")=1,INDEX($V$4:$AW$4,MATCH(TRUE,INDEX($V144:$AW144&lt;&gt;0,),0)),IF(COUNTIF(AZ144:BB144,"&lt;&gt;0")=0,INDEX($AM$4:$AW$4,MATCH(1,$AM144:$AW144,0)),"Multiple strategies"))</f>
        <v>Multiple strategies</v>
      </c>
      <c r="BG144" s="142" t="s">
        <v>322</v>
      </c>
      <c r="BH144" t="s">
        <v>2109</v>
      </c>
      <c r="BI144" t="s">
        <v>2110</v>
      </c>
      <c r="BJ144" t="s">
        <v>499</v>
      </c>
      <c r="BK144">
        <v>7280000000</v>
      </c>
      <c r="BL144">
        <v>10857500000</v>
      </c>
      <c r="BM144">
        <f>IFERROR(BL144/BK144,"")</f>
        <v>1.4914148351648351</v>
      </c>
      <c r="BN144">
        <f>BL144-BK144</f>
        <v>3577500000</v>
      </c>
      <c r="BO144">
        <f>BL144-BK144</f>
        <v>3577500000</v>
      </c>
      <c r="BP144" t="s">
        <v>233</v>
      </c>
      <c r="BQ144" s="234" t="s">
        <v>2115</v>
      </c>
      <c r="BR144" t="s">
        <v>2111</v>
      </c>
      <c r="BS144">
        <v>9.8000000000000007</v>
      </c>
      <c r="BT144">
        <v>4.3</v>
      </c>
      <c r="BU144" s="144"/>
      <c r="BV144">
        <f>(BT144-BS144)*1000000000</f>
        <v>-5500000000.000001</v>
      </c>
      <c r="BW144"/>
      <c r="BX144">
        <f>BV144*C_to_CO2</f>
        <v>-20185000000.000004</v>
      </c>
      <c r="BY144">
        <f>IFERROR(BX144/BO144,"")</f>
        <v>-5.6422082459818323</v>
      </c>
      <c r="BZ144">
        <v>0</v>
      </c>
      <c r="CA144">
        <v>0</v>
      </c>
      <c r="CB144">
        <v>0</v>
      </c>
      <c r="CC144">
        <v>0</v>
      </c>
      <c r="CD144">
        <v>0</v>
      </c>
      <c r="CE144">
        <v>0</v>
      </c>
      <c r="CF144">
        <v>0</v>
      </c>
      <c r="CG144">
        <v>0</v>
      </c>
      <c r="CH144">
        <v>0</v>
      </c>
      <c r="CI144">
        <v>0</v>
      </c>
      <c r="CJ144">
        <v>0</v>
      </c>
      <c r="CK144">
        <v>0</v>
      </c>
      <c r="CL144">
        <v>0</v>
      </c>
      <c r="CM144">
        <v>0</v>
      </c>
      <c r="CN144" t="str">
        <f>IF($BL144&lt;$BK144,"refNeedCorrection","refOK")</f>
        <v>refOK</v>
      </c>
      <c r="CO144">
        <f>IF($CN144="refOK",$BK144,$BL144)</f>
        <v>7280000000</v>
      </c>
      <c r="CP144">
        <f>IF($CN144="refOK",$BL144,$BK144)</f>
        <v>10857500000</v>
      </c>
      <c r="CQ144">
        <f>IF($CN144="refOK",$BO144,-$BO144)</f>
        <v>3577500000</v>
      </c>
      <c r="CR144">
        <f>IF($CN144="refOK",$BS144,$BT144)*IF($BP144="Emissions positive",-1,1)</f>
        <v>9.8000000000000007</v>
      </c>
      <c r="CS144">
        <f>IF($CN144="refOK",$BT144,$BS144)*IF($BP144="Emissions positive",-1,1)</f>
        <v>4.3</v>
      </c>
      <c r="CT144">
        <f>IF($CN144="refNeedCorrection",-BX144,BX144)*IF($BP144="Emissions positive",-1,1)</f>
        <v>-20185000000.000004</v>
      </c>
      <c r="CU144">
        <f>IFERROR(CT144/CQ144,"")</f>
        <v>-5.6422082459818323</v>
      </c>
      <c r="CV144" s="2">
        <f>IFERROR((CS144-CR144)/ABS(CR144),"")</f>
        <v>-0.56122448979591844</v>
      </c>
      <c r="CW144" s="1" t="s">
        <v>1201</v>
      </c>
      <c r="CX144" t="str">
        <f>IF(OR($CW144="prd",$CW144="std",$CW144="cit"),"loc",IF(OR($CW144="eur",$CW144="reg",$CW144="coy"),"reg",$CW144))</f>
        <v>reg</v>
      </c>
      <c r="CY144" t="s">
        <v>2112</v>
      </c>
      <c r="CZ144">
        <v>2000</v>
      </c>
      <c r="DA144">
        <v>2050</v>
      </c>
      <c r="DB144">
        <v>50</v>
      </c>
      <c r="DC144" t="str">
        <f>IF(DB144=0,"0",IF(AND(DB144&gt;=1,DB144&lt;=30),"1-30",IF(AND(DB144&gt;30,DB144&lt;=70),"31-70",IF(AND(DB144&gt;70,DB144&lt;=100),"71-100",IF(DB144&gt;100,"+100")))))</f>
        <v>31-70</v>
      </c>
      <c r="DD144">
        <v>1</v>
      </c>
      <c r="DE144">
        <v>0</v>
      </c>
      <c r="DF144">
        <v>0</v>
      </c>
      <c r="DG144">
        <v>0</v>
      </c>
      <c r="DH144"/>
      <c r="DI144">
        <f>SUM(DD144:DG144)</f>
        <v>1</v>
      </c>
      <c r="DJ144" t="str">
        <f>IF(DI144=1,INDEX($DD$7:$DG$7,MATCH(1,$DD144:$DG144,0)),"mixedProduct")</f>
        <v>UpstreamInput</v>
      </c>
      <c r="DK144" t="str">
        <f>IF(DD144=1,DK$7,0)</f>
        <v>Upstream</v>
      </c>
      <c r="DL144">
        <f>IF(DE144=1,DL$7,0)</f>
        <v>0</v>
      </c>
      <c r="DM144">
        <f>IF(DF144=1,DM$7,0)</f>
        <v>0</v>
      </c>
      <c r="DN144">
        <f>IF(DG144=1,DN$7,0)</f>
        <v>0</v>
      </c>
      <c r="DO144">
        <v>0</v>
      </c>
      <c r="DP144">
        <v>0</v>
      </c>
      <c r="DQ144">
        <v>0</v>
      </c>
      <c r="DR144">
        <v>0</v>
      </c>
      <c r="DS144">
        <v>0</v>
      </c>
      <c r="DT144">
        <f>SUM(DO144:DP144)</f>
        <v>0</v>
      </c>
      <c r="DU144" s="143" t="str">
        <f>IF(DO144=1,"self-calculated DF",IF(DP144=1,"external DF used","explicit C balance"))</f>
        <v>explicit C balance</v>
      </c>
      <c r="DV144">
        <v>0</v>
      </c>
      <c r="DW144">
        <v>0</v>
      </c>
      <c r="DX144">
        <v>1</v>
      </c>
      <c r="DY144">
        <v>1</v>
      </c>
      <c r="DZ144">
        <v>1</v>
      </c>
      <c r="EA144" s="143">
        <v>0</v>
      </c>
      <c r="EB144">
        <v>0</v>
      </c>
      <c r="EC144">
        <v>0</v>
      </c>
      <c r="ED144">
        <v>0</v>
      </c>
      <c r="EE144">
        <v>0</v>
      </c>
      <c r="EF144">
        <v>0</v>
      </c>
      <c r="EG144" s="143">
        <v>0</v>
      </c>
      <c r="EH144" s="143">
        <v>1</v>
      </c>
      <c r="EI144" s="2">
        <v>0</v>
      </c>
      <c r="EJ144" s="1"/>
      <c r="EK144" t="str">
        <f>IF(AND(AND(AND(OR($DX144=1,$DW144=1),OR($EC144=1,$EA144=1)),SUM($DV144:$DZ144,$EF144)&gt;=4),SUM($EA144:$EE144)&gt;=2),"Whole sector","")</f>
        <v/>
      </c>
      <c r="EL144" t="str">
        <f>IF(AND(AND(OR($DX144=1,$DW144=1),AND($EC144=0,$EA144=0)),SUM($DV144:$DZ144,$EF144)&gt;=4),"Ecosystem approach","")</f>
        <v/>
      </c>
      <c r="EM144" s="2" t="str">
        <f>IF(AND(AND(AND($DX144=0,$DW144=0),OR($EC144=1,$EA144=1)),SUM($EB144:$EE144)&gt;=2),"Technology approach","")</f>
        <v/>
      </c>
      <c r="EN144"/>
      <c r="EO144"/>
      <c r="EP144" t="str">
        <f>IF(ISNUMBER(BU144),IF(ABS(BU144-[3]QC_indicators!$B$2)&gt;3*[3]QC_indicators!$C$2,"C ratio",IF(ISNUMBER(BY144),IF(ABS(BY144-[3]QC_indicators!$B$1)&gt;3*[3]QC_indicators!$C$1,"DF","no"))),IF(ISNUMBER(BY144),IF(ABS(BY144-[3]QC_indicators!$B$1)&gt;3*[3]QC_indicators!$C$1,"DF","no")))</f>
        <v>no</v>
      </c>
      <c r="EQ144"/>
      <c r="ER144"/>
      <c r="ES144"/>
      <c r="ET144" s="266" t="s">
        <v>3273</v>
      </c>
      <c r="EU144" s="266"/>
    </row>
    <row r="145" spans="1:151" s="139" customFormat="1" ht="15" hidden="1" customHeight="1">
      <c r="A145" s="1" t="s">
        <v>1170</v>
      </c>
      <c r="B145" t="s">
        <v>1171</v>
      </c>
      <c r="C145" t="s">
        <v>1172</v>
      </c>
      <c r="D145" t="s">
        <v>1173</v>
      </c>
      <c r="E145" t="s">
        <v>1174</v>
      </c>
      <c r="F145" t="s">
        <v>1175</v>
      </c>
      <c r="G145" t="s">
        <v>1176</v>
      </c>
      <c r="H145" t="s">
        <v>255</v>
      </c>
      <c r="I145">
        <v>2010</v>
      </c>
      <c r="J145">
        <v>51</v>
      </c>
      <c r="K145" t="s">
        <v>1177</v>
      </c>
      <c r="L145"/>
      <c r="M145" t="str">
        <f>LEFT($D145,FIND(",",$D145)-1)&amp;"_"&amp;I145&amp;L145</f>
        <v>Vukotic_2010</v>
      </c>
      <c r="N145" t="s">
        <v>223</v>
      </c>
      <c r="O145" s="145" t="s">
        <v>1156</v>
      </c>
      <c r="P145"/>
      <c r="Q145" t="s">
        <v>257</v>
      </c>
      <c r="R145" s="271" t="s">
        <v>275</v>
      </c>
      <c r="S145" s="1" t="s">
        <v>1178</v>
      </c>
      <c r="T145" t="s">
        <v>1179</v>
      </c>
      <c r="U145" t="s">
        <v>1180</v>
      </c>
      <c r="V145">
        <v>0</v>
      </c>
      <c r="W145">
        <v>0</v>
      </c>
      <c r="X145">
        <v>0</v>
      </c>
      <c r="Y145">
        <v>0</v>
      </c>
      <c r="Z145">
        <v>0</v>
      </c>
      <c r="AA145">
        <v>0</v>
      </c>
      <c r="AB145">
        <v>0</v>
      </c>
      <c r="AC145">
        <v>0</v>
      </c>
      <c r="AD145">
        <v>0</v>
      </c>
      <c r="AE145">
        <v>2</v>
      </c>
      <c r="AF145">
        <v>0</v>
      </c>
      <c r="AG145">
        <v>0</v>
      </c>
      <c r="AH145">
        <v>0</v>
      </c>
      <c r="AI145">
        <v>0</v>
      </c>
      <c r="AJ145">
        <v>0</v>
      </c>
      <c r="AK145">
        <v>1</v>
      </c>
      <c r="AL145">
        <v>0</v>
      </c>
      <c r="AM145">
        <v>0</v>
      </c>
      <c r="AN145">
        <v>0</v>
      </c>
      <c r="AO145">
        <v>0</v>
      </c>
      <c r="AP145">
        <v>0</v>
      </c>
      <c r="AQ145">
        <v>0</v>
      </c>
      <c r="AR145">
        <v>0</v>
      </c>
      <c r="AS145">
        <v>0</v>
      </c>
      <c r="AT145">
        <v>0</v>
      </c>
      <c r="AU145">
        <v>0</v>
      </c>
      <c r="AV145">
        <v>0</v>
      </c>
      <c r="AW145">
        <v>0</v>
      </c>
      <c r="AX145" s="141">
        <f>COUNTIF(V145:AW145,"&lt;&gt;0")</f>
        <v>2</v>
      </c>
      <c r="AY145" s="141">
        <f>COUNTIF(V145:AL145,"&lt;&gt;0")</f>
        <v>2</v>
      </c>
      <c r="AZ145">
        <f>COUNTIF(V145:AC145,"&lt;&gt;0")</f>
        <v>0</v>
      </c>
      <c r="BA145">
        <f>COUNTIF(AD145:AI145,"&lt;&gt;0")</f>
        <v>1</v>
      </c>
      <c r="BB145">
        <f>COUNTIF(AJ145:AL145,"&lt;&gt;0")</f>
        <v>1</v>
      </c>
      <c r="BC145">
        <f>COUNTIF(AS145:AW145,"&lt;&gt;0")</f>
        <v>0</v>
      </c>
      <c r="BD145">
        <f>COUNTIF(AM145:AR145,"&lt;&gt;0")</f>
        <v>0</v>
      </c>
      <c r="BE145" t="str">
        <f t="array" ref="BE145">IF(AY145=1,INDEX($V$7:$AL$7,MATCH(TRUE,INDEX($V145:$AW145&lt;&gt;0,),0)),IF(AY145=0,INDEX($AM$7:$AW$7,MATCH(1,$AM145:$AW145,0)),IF(BF145="Multiple strategies","mixed drivers",IF(BF145="Supply chain","multiple supply","multiple silviculture"))))</f>
        <v>mixed drivers</v>
      </c>
      <c r="BF145" s="2" t="str">
        <f t="array" ref="BF145">IF(COUNTIF(AZ145:BB145,"&lt;&gt;0")=1,INDEX($V$4:$AW$4,MATCH(TRUE,INDEX($V145:$AW145&lt;&gt;0,),0)),IF(COUNTIF(AZ145:BB145,"&lt;&gt;0")=0,INDEX($AM$4:$AW$4,MATCH(1,$AM145:$AW145,0)),"Multiple strategies"))</f>
        <v>Multiple strategies</v>
      </c>
      <c r="BG145" s="1" t="s">
        <v>230</v>
      </c>
      <c r="BH145" t="s">
        <v>1181</v>
      </c>
      <c r="BI145"/>
      <c r="BJ145" t="s">
        <v>1182</v>
      </c>
      <c r="BK145">
        <v>0</v>
      </c>
      <c r="BL145">
        <v>0.27407407407407408</v>
      </c>
      <c r="BM145" s="143" t="e">
        <f>BL145/BK145</f>
        <v>#DIV/0!</v>
      </c>
      <c r="BN145">
        <f>BL145-BK145</f>
        <v>0.27407407407407408</v>
      </c>
      <c r="BO145">
        <f>BN145*t_to_m3</f>
        <v>0.55933484504913078</v>
      </c>
      <c r="BP145" t="s">
        <v>233</v>
      </c>
      <c r="BQ145" s="234"/>
      <c r="BR145" t="s">
        <v>1183</v>
      </c>
      <c r="BS145">
        <v>53.97</v>
      </c>
      <c r="BT145">
        <v>93.36</v>
      </c>
      <c r="BU145" s="144">
        <f>IFERROR(BT145/BS145,"")</f>
        <v>1.7298499166203447</v>
      </c>
      <c r="BV145" s="144">
        <f>BT145-BS145</f>
        <v>39.39</v>
      </c>
      <c r="BW145" s="144"/>
      <c r="BX145" s="144">
        <f>BV145*0.001</f>
        <v>3.9390000000000001E-2</v>
      </c>
      <c r="BY145">
        <f>IFERROR(BX145/BO145,"")</f>
        <v>7.0422932432432431E-2</v>
      </c>
      <c r="BZ145">
        <v>0</v>
      </c>
      <c r="CA145">
        <v>0</v>
      </c>
      <c r="CB145">
        <v>0</v>
      </c>
      <c r="CC145">
        <v>0</v>
      </c>
      <c r="CD145">
        <v>0</v>
      </c>
      <c r="CE145">
        <v>0</v>
      </c>
      <c r="CF145">
        <v>0</v>
      </c>
      <c r="CG145">
        <v>0</v>
      </c>
      <c r="CH145">
        <v>0</v>
      </c>
      <c r="CI145">
        <v>0</v>
      </c>
      <c r="CJ145">
        <v>0</v>
      </c>
      <c r="CK145">
        <v>0</v>
      </c>
      <c r="CL145">
        <v>0</v>
      </c>
      <c r="CM145">
        <v>0</v>
      </c>
      <c r="CN145" t="str">
        <f>IF($BL145&lt;$BK145,"refNeedCorrection","refOK")</f>
        <v>refOK</v>
      </c>
      <c r="CO145">
        <f>IF($CN145="refOK",$BK145,$BL145)</f>
        <v>0</v>
      </c>
      <c r="CP145">
        <f>IF($CN145="refOK",$BL145,$BK145)</f>
        <v>0.27407407407407408</v>
      </c>
      <c r="CQ145">
        <f>IF($CN145="refOK",$BO145,-$BO145)</f>
        <v>0.55933484504913078</v>
      </c>
      <c r="CR145">
        <f>IF($CN145="refOK",$BS145,$BT145)*IF($BP145="Emissions positive",-1,1)</f>
        <v>53.97</v>
      </c>
      <c r="CS145">
        <f>IF($CN145="refOK",$BT145,$BS145)*IF($BP145="Emissions positive",-1,1)</f>
        <v>93.36</v>
      </c>
      <c r="CT145">
        <f>IF($CN145="refNeedCorrection",-BX145,BX145)*IF($BP145="Emissions positive",-1,1)</f>
        <v>3.9390000000000001E-2</v>
      </c>
      <c r="CU145">
        <f>IFERROR(CT145/CQ145,"")</f>
        <v>7.0422932432432431E-2</v>
      </c>
      <c r="CV145" s="2">
        <f>IFERROR((CS145-CR145)/ABS(CR145),"")</f>
        <v>0.72984991662034471</v>
      </c>
      <c r="CW145" s="1" t="s">
        <v>264</v>
      </c>
      <c r="CX145" t="str">
        <f>IF(OR($CW145="prd",$CW145="std",$CW145="cit"),"loc",IF(OR($CW145="eur",$CW145="reg",$CW145="coy"),"reg",$CW145))</f>
        <v>loc</v>
      </c>
      <c r="CY145" t="s">
        <v>600</v>
      </c>
      <c r="CZ145"/>
      <c r="DA145"/>
      <c r="DB145">
        <v>60</v>
      </c>
      <c r="DC145" t="str">
        <f>IF(DB145=0,"0",IF(AND(DB145&gt;=1,DB145&lt;=30),"1-30",IF(AND(DB145&gt;30,DB145&lt;=70),"31-70",IF(AND(DB145&gt;70,DB145&lt;=100),"71-100",IF(DB145&gt;100,"+100")))))</f>
        <v>31-70</v>
      </c>
      <c r="DD145">
        <v>0</v>
      </c>
      <c r="DE145">
        <v>0</v>
      </c>
      <c r="DF145">
        <v>0</v>
      </c>
      <c r="DG145">
        <v>1</v>
      </c>
      <c r="DH145"/>
      <c r="DI145">
        <f>SUM(DD145:DG145)</f>
        <v>1</v>
      </c>
      <c r="DJ145" t="str">
        <f>IF(DI145=1,INDEX($DD$7:$DG$7,MATCH(1,$DD145:$DG145,0)),"mixedProduct")</f>
        <v>TimberInput</v>
      </c>
      <c r="DK145">
        <f>IF(DD145=1,DK$7,0)</f>
        <v>0</v>
      </c>
      <c r="DL145">
        <f>IF(DE145=1,DL$7,0)</f>
        <v>0</v>
      </c>
      <c r="DM145">
        <f>IF(DF145=1,DM$7,0)</f>
        <v>0</v>
      </c>
      <c r="DN145" t="str">
        <f>IF(DG145=1,DN$7,0)</f>
        <v>Timber</v>
      </c>
      <c r="DO145">
        <v>1</v>
      </c>
      <c r="DP145">
        <v>0</v>
      </c>
      <c r="DQ145">
        <v>0</v>
      </c>
      <c r="DR145">
        <v>0</v>
      </c>
      <c r="DS145">
        <v>0</v>
      </c>
      <c r="DT145">
        <f>SUM(DO145:DP145)</f>
        <v>1</v>
      </c>
      <c r="DU145" s="143" t="str">
        <f>IF(DO145=1,"self-calculated DF",IF(DP145=1,"external DF used","explicit C balance"))</f>
        <v>self-calculated DF</v>
      </c>
      <c r="DV145">
        <v>0</v>
      </c>
      <c r="DW145">
        <v>0</v>
      </c>
      <c r="DX145">
        <v>0</v>
      </c>
      <c r="DY145">
        <v>0</v>
      </c>
      <c r="DZ145">
        <v>0</v>
      </c>
      <c r="EA145" s="143">
        <v>1</v>
      </c>
      <c r="EB145">
        <v>0</v>
      </c>
      <c r="EC145">
        <v>0</v>
      </c>
      <c r="ED145">
        <v>0</v>
      </c>
      <c r="EE145">
        <v>1</v>
      </c>
      <c r="EF145">
        <v>0</v>
      </c>
      <c r="EG145">
        <v>0</v>
      </c>
      <c r="EH145">
        <v>0</v>
      </c>
      <c r="EI145" s="2">
        <v>0</v>
      </c>
      <c r="EJ145" s="1"/>
      <c r="EK145" t="str">
        <f>IF(AND(AND(AND(OR($DX145=1,$DW145=1),OR($EC145=1,$EA145=1)),SUM($DV145:$DZ145,$EF145)&gt;=4),SUM($EA145:$EE145)&gt;=2),"Whole sector","")</f>
        <v/>
      </c>
      <c r="EL145" t="str">
        <f>IF(AND(AND(OR($DX145=1,$DW145=1),AND($EC145=0,$EA145=0)),SUM($DV145:$DZ145,$EF145)&gt;=4),"Ecosystem approach","")</f>
        <v/>
      </c>
      <c r="EM145" s="2" t="str">
        <f>IF(AND(AND(AND($DX145=0,$DW145=0),OR($EC145=1,$EA145=1)),SUM($EB145:$EE145)&gt;=2),"Technology approach","")</f>
        <v/>
      </c>
      <c r="EN145"/>
      <c r="EO145"/>
      <c r="EP145" t="str">
        <f>IF(ISNUMBER(BU145),IF(ABS(BU145-[3]QC_indicators!$B$2)&gt;3*[3]QC_indicators!$C$2,"C ratio",IF(ISNUMBER(BY145),IF(ABS(BY145-[3]QC_indicators!$B$1)&gt;3*[3]QC_indicators!$C$1,"DF","no"))),IF(ISNUMBER(BY145),IF(ABS(BY145-[3]QC_indicators!$B$1)&gt;3*[3]QC_indicators!$C$1,"DF","no")))</f>
        <v>no</v>
      </c>
      <c r="EQ145"/>
      <c r="ER145"/>
      <c r="ES145"/>
      <c r="ET145" s="266" t="s">
        <v>3265</v>
      </c>
      <c r="EU145"/>
    </row>
    <row r="146" spans="1:151" s="139" customFormat="1" ht="15" hidden="1" customHeight="1">
      <c r="A146" s="1" t="s">
        <v>1170</v>
      </c>
      <c r="B146" t="s">
        <v>1171</v>
      </c>
      <c r="C146" t="s">
        <v>1172</v>
      </c>
      <c r="D146" t="s">
        <v>1173</v>
      </c>
      <c r="E146" t="s">
        <v>1174</v>
      </c>
      <c r="F146" t="s">
        <v>1175</v>
      </c>
      <c r="G146" t="s">
        <v>1176</v>
      </c>
      <c r="H146" t="s">
        <v>255</v>
      </c>
      <c r="I146">
        <v>2010</v>
      </c>
      <c r="J146">
        <v>51</v>
      </c>
      <c r="K146" t="s">
        <v>1177</v>
      </c>
      <c r="L146"/>
      <c r="M146" t="str">
        <f>LEFT($D146,FIND(",",$D146)-1)&amp;"_"&amp;I146&amp;L146</f>
        <v>Vukotic_2010</v>
      </c>
      <c r="N146" t="s">
        <v>223</v>
      </c>
      <c r="O146" s="145" t="s">
        <v>1156</v>
      </c>
      <c r="P146"/>
      <c r="Q146" t="s">
        <v>257</v>
      </c>
      <c r="R146" s="271" t="s">
        <v>275</v>
      </c>
      <c r="S146" s="1" t="s">
        <v>1178</v>
      </c>
      <c r="T146" t="s">
        <v>1179</v>
      </c>
      <c r="U146" t="s">
        <v>1180</v>
      </c>
      <c r="V146">
        <v>0</v>
      </c>
      <c r="W146">
        <v>0</v>
      </c>
      <c r="X146">
        <v>0</v>
      </c>
      <c r="Y146">
        <v>0</v>
      </c>
      <c r="Z146">
        <v>0</v>
      </c>
      <c r="AA146">
        <v>0</v>
      </c>
      <c r="AB146">
        <v>0</v>
      </c>
      <c r="AC146">
        <v>0</v>
      </c>
      <c r="AD146">
        <v>0</v>
      </c>
      <c r="AE146">
        <v>2</v>
      </c>
      <c r="AF146">
        <v>0</v>
      </c>
      <c r="AG146">
        <v>0</v>
      </c>
      <c r="AH146">
        <v>0</v>
      </c>
      <c r="AI146">
        <v>0</v>
      </c>
      <c r="AJ146">
        <v>0</v>
      </c>
      <c r="AK146">
        <v>1</v>
      </c>
      <c r="AL146">
        <v>0</v>
      </c>
      <c r="AM146">
        <v>0</v>
      </c>
      <c r="AN146">
        <v>0</v>
      </c>
      <c r="AO146">
        <v>0</v>
      </c>
      <c r="AP146">
        <v>0</v>
      </c>
      <c r="AQ146">
        <v>0</v>
      </c>
      <c r="AR146">
        <v>0</v>
      </c>
      <c r="AS146">
        <v>0</v>
      </c>
      <c r="AT146">
        <v>0</v>
      </c>
      <c r="AU146">
        <v>0</v>
      </c>
      <c r="AV146">
        <v>0</v>
      </c>
      <c r="AW146">
        <v>0</v>
      </c>
      <c r="AX146" s="141">
        <f>COUNTIF(V146:AW146,"&lt;&gt;0")</f>
        <v>2</v>
      </c>
      <c r="AY146" s="141">
        <f>COUNTIF(V146:AL146,"&lt;&gt;0")</f>
        <v>2</v>
      </c>
      <c r="AZ146">
        <f>COUNTIF(V146:AC146,"&lt;&gt;0")</f>
        <v>0</v>
      </c>
      <c r="BA146">
        <f>COUNTIF(AD146:AI146,"&lt;&gt;0")</f>
        <v>1</v>
      </c>
      <c r="BB146">
        <f>COUNTIF(AJ146:AL146,"&lt;&gt;0")</f>
        <v>1</v>
      </c>
      <c r="BC146">
        <f>COUNTIF(AS146:AW146,"&lt;&gt;0")</f>
        <v>0</v>
      </c>
      <c r="BD146">
        <f>COUNTIF(AM146:AR146,"&lt;&gt;0")</f>
        <v>0</v>
      </c>
      <c r="BE146" t="str">
        <f t="array" ref="BE146">IF(AY146=1,INDEX($V$7:$AL$7,MATCH(TRUE,INDEX($V146:$AW146&lt;&gt;0,),0)),IF(AY146=0,INDEX($AM$7:$AW$7,MATCH(1,$AM146:$AW146,0)),IF(BF146="Multiple strategies","mixed drivers",IF(BF146="Supply chain","multiple supply","multiple silviculture"))))</f>
        <v>mixed drivers</v>
      </c>
      <c r="BF146" s="2" t="str">
        <f t="array" ref="BF146">IF(COUNTIF(AZ146:BB146,"&lt;&gt;0")=1,INDEX($V$4:$AW$4,MATCH(TRUE,INDEX($V146:$AW146&lt;&gt;0,),0)),IF(COUNTIF(AZ146:BB146,"&lt;&gt;0")=0,INDEX($AM$4:$AW$4,MATCH(1,$AM146:$AW146,0)),"Multiple strategies"))</f>
        <v>Multiple strategies</v>
      </c>
      <c r="BG146" s="1" t="s">
        <v>230</v>
      </c>
      <c r="BH146" t="s">
        <v>1181</v>
      </c>
      <c r="BI146"/>
      <c r="BJ146" t="s">
        <v>1182</v>
      </c>
      <c r="BK146">
        <v>0</v>
      </c>
      <c r="BL146">
        <v>0.27407407407407408</v>
      </c>
      <c r="BM146" s="143" t="e">
        <f>BL146/BK146</f>
        <v>#DIV/0!</v>
      </c>
      <c r="BN146">
        <f>BL146-BK146</f>
        <v>0.27407407407407408</v>
      </c>
      <c r="BO146">
        <f>BN146*t_to_m3</f>
        <v>0.55933484504913078</v>
      </c>
      <c r="BP146" t="s">
        <v>233</v>
      </c>
      <c r="BQ146" s="234"/>
      <c r="BR146" t="s">
        <v>1183</v>
      </c>
      <c r="BS146">
        <v>-272.77999999999997</v>
      </c>
      <c r="BT146">
        <v>-200.19</v>
      </c>
      <c r="BU146" s="144">
        <f>IFERROR(BT146/BS146,"")</f>
        <v>0.73388811496444029</v>
      </c>
      <c r="BV146" s="144">
        <f>BT146-BS146</f>
        <v>72.589999999999975</v>
      </c>
      <c r="BW146" s="144"/>
      <c r="BX146" s="144">
        <f>BV146*0.001</f>
        <v>7.2589999999999974E-2</v>
      </c>
      <c r="BY146">
        <f>IFERROR(BX146/BO146,"")</f>
        <v>0.12977914864864859</v>
      </c>
      <c r="BZ146">
        <v>0</v>
      </c>
      <c r="CA146">
        <v>0</v>
      </c>
      <c r="CB146">
        <v>0</v>
      </c>
      <c r="CC146">
        <v>0</v>
      </c>
      <c r="CD146">
        <v>0</v>
      </c>
      <c r="CE146">
        <v>0</v>
      </c>
      <c r="CF146">
        <v>0</v>
      </c>
      <c r="CG146">
        <v>0</v>
      </c>
      <c r="CH146">
        <v>0</v>
      </c>
      <c r="CI146">
        <v>0</v>
      </c>
      <c r="CJ146">
        <v>0</v>
      </c>
      <c r="CK146">
        <v>0</v>
      </c>
      <c r="CL146">
        <v>0</v>
      </c>
      <c r="CM146">
        <v>0</v>
      </c>
      <c r="CN146" t="str">
        <f>IF($BL146&lt;$BK146,"refNeedCorrection","refOK")</f>
        <v>refOK</v>
      </c>
      <c r="CO146">
        <f>IF($CN146="refOK",$BK146,$BL146)</f>
        <v>0</v>
      </c>
      <c r="CP146">
        <f>IF($CN146="refOK",$BL146,$BK146)</f>
        <v>0.27407407407407408</v>
      </c>
      <c r="CQ146">
        <f>IF($CN146="refOK",$BO146,-$BO146)</f>
        <v>0.55933484504913078</v>
      </c>
      <c r="CR146">
        <f>IF($CN146="refOK",$BS146,$BT146)*IF($BP146="Emissions positive",-1,1)</f>
        <v>-272.77999999999997</v>
      </c>
      <c r="CS146">
        <f>IF($CN146="refOK",$BT146,$BS146)*IF($BP146="Emissions positive",-1,1)</f>
        <v>-200.19</v>
      </c>
      <c r="CT146">
        <f>IF($CN146="refNeedCorrection",-BX146,BX146)*IF($BP146="Emissions positive",-1,1)</f>
        <v>7.2589999999999974E-2</v>
      </c>
      <c r="CU146">
        <f>IFERROR(CT146/CQ146,"")</f>
        <v>0.12977914864864859</v>
      </c>
      <c r="CV146" s="2">
        <f>IFERROR((CS146-CR146)/ABS(CR146),"")</f>
        <v>0.26611188503555971</v>
      </c>
      <c r="CW146" s="1" t="s">
        <v>264</v>
      </c>
      <c r="CX146" t="str">
        <f>IF(OR($CW146="prd",$CW146="std",$CW146="cit"),"loc",IF(OR($CW146="eur",$CW146="reg",$CW146="coy"),"reg",$CW146))</f>
        <v>loc</v>
      </c>
      <c r="CY146" t="s">
        <v>600</v>
      </c>
      <c r="CZ146"/>
      <c r="DA146"/>
      <c r="DB146">
        <v>60</v>
      </c>
      <c r="DC146" t="str">
        <f>IF(DB146=0,"0",IF(AND(DB146&gt;=1,DB146&lt;=30),"1-30",IF(AND(DB146&gt;30,DB146&lt;=70),"31-70",IF(AND(DB146&gt;70,DB146&lt;=100),"71-100",IF(DB146&gt;100,"+100")))))</f>
        <v>31-70</v>
      </c>
      <c r="DD146">
        <v>0</v>
      </c>
      <c r="DE146">
        <v>0</v>
      </c>
      <c r="DF146">
        <v>0</v>
      </c>
      <c r="DG146">
        <v>1</v>
      </c>
      <c r="DH146"/>
      <c r="DI146">
        <f>SUM(DD146:DG146)</f>
        <v>1</v>
      </c>
      <c r="DJ146" t="str">
        <f>IF(DI146=1,INDEX($DD$7:$DG$7,MATCH(1,$DD146:$DG146,0)),"mixedProduct")</f>
        <v>TimberInput</v>
      </c>
      <c r="DK146">
        <f>IF(DD146=1,DK$7,0)</f>
        <v>0</v>
      </c>
      <c r="DL146">
        <f>IF(DE146=1,DL$7,0)</f>
        <v>0</v>
      </c>
      <c r="DM146">
        <f>IF(DF146=1,DM$7,0)</f>
        <v>0</v>
      </c>
      <c r="DN146" t="str">
        <f>IF(DG146=1,DN$7,0)</f>
        <v>Timber</v>
      </c>
      <c r="DO146">
        <v>1</v>
      </c>
      <c r="DP146">
        <v>0</v>
      </c>
      <c r="DQ146">
        <v>0</v>
      </c>
      <c r="DR146">
        <v>0</v>
      </c>
      <c r="DS146">
        <v>0</v>
      </c>
      <c r="DT146">
        <f>SUM(DO146:DP146)</f>
        <v>1</v>
      </c>
      <c r="DU146" s="143" t="str">
        <f>IF(DO146=1,"self-calculated DF",IF(DP146=1,"external DF used","explicit C balance"))</f>
        <v>self-calculated DF</v>
      </c>
      <c r="DV146">
        <v>0</v>
      </c>
      <c r="DW146">
        <v>0</v>
      </c>
      <c r="DX146">
        <v>0</v>
      </c>
      <c r="DY146">
        <v>0</v>
      </c>
      <c r="DZ146">
        <v>0</v>
      </c>
      <c r="EA146" s="143">
        <v>0</v>
      </c>
      <c r="EB146">
        <v>0</v>
      </c>
      <c r="EC146">
        <v>1</v>
      </c>
      <c r="ED146">
        <v>1</v>
      </c>
      <c r="EE146">
        <v>0</v>
      </c>
      <c r="EF146">
        <v>0</v>
      </c>
      <c r="EG146">
        <v>0</v>
      </c>
      <c r="EH146">
        <v>0</v>
      </c>
      <c r="EI146" s="2">
        <v>0</v>
      </c>
      <c r="EJ146" s="1"/>
      <c r="EK146" t="str">
        <f>IF(AND(AND(AND(OR($DX146=1,$DW146=1),OR($EC146=1,$EA146=1)),SUM($DV146:$DZ146,$EF146)&gt;=4),SUM($EA146:$EE146)&gt;=2),"Whole sector","")</f>
        <v/>
      </c>
      <c r="EL146" t="str">
        <f>IF(AND(AND(OR($DX146=1,$DW146=1),AND($EC146=0,$EA146=0)),SUM($DV146:$DZ146,$EF146)&gt;=4),"Ecosystem approach","")</f>
        <v/>
      </c>
      <c r="EM146" s="2" t="str">
        <f>IF(AND(AND(AND($DX146=0,$DW146=0),OR($EC146=1,$EA146=1)),SUM($EB146:$EE146)&gt;=2),"Technology approach","")</f>
        <v>Technology approach</v>
      </c>
      <c r="EN146"/>
      <c r="EO146"/>
      <c r="EP146" t="str">
        <f>IF(ISNUMBER(BU146),IF(ABS(BU146-[3]QC_indicators!$B$2)&gt;3*[3]QC_indicators!$C$2,"C ratio",IF(ISNUMBER(BY146),IF(ABS(BY146-[3]QC_indicators!$B$1)&gt;3*[3]QC_indicators!$C$1,"DF","no"))),IF(ISNUMBER(BY146),IF(ABS(BY146-[3]QC_indicators!$B$1)&gt;3*[3]QC_indicators!$C$1,"DF","no")))</f>
        <v>no</v>
      </c>
      <c r="EQ146"/>
      <c r="ER146"/>
      <c r="ES146"/>
      <c r="ET146" s="266" t="s">
        <v>3265</v>
      </c>
      <c r="EU146"/>
    </row>
    <row r="147" spans="1:151" s="139" customFormat="1" ht="15" hidden="1" customHeight="1">
      <c r="A147" s="1" t="s">
        <v>1170</v>
      </c>
      <c r="B147" t="s">
        <v>1171</v>
      </c>
      <c r="C147" t="s">
        <v>1172</v>
      </c>
      <c r="D147" t="s">
        <v>1173</v>
      </c>
      <c r="E147" t="s">
        <v>1174</v>
      </c>
      <c r="F147" t="s">
        <v>1175</v>
      </c>
      <c r="G147" t="s">
        <v>1176</v>
      </c>
      <c r="H147" t="s">
        <v>255</v>
      </c>
      <c r="I147">
        <v>2010</v>
      </c>
      <c r="J147">
        <v>51</v>
      </c>
      <c r="K147" t="s">
        <v>1177</v>
      </c>
      <c r="L147"/>
      <c r="M147" t="str">
        <f>LEFT($D147,FIND(",",$D147)-1)&amp;"_"&amp;I147&amp;L147</f>
        <v>Vukotic_2010</v>
      </c>
      <c r="N147" t="s">
        <v>223</v>
      </c>
      <c r="O147" s="145" t="s">
        <v>1156</v>
      </c>
      <c r="P147"/>
      <c r="Q147" t="s">
        <v>257</v>
      </c>
      <c r="R147" s="271" t="s">
        <v>275</v>
      </c>
      <c r="S147" s="1" t="s">
        <v>1178</v>
      </c>
      <c r="T147" t="s">
        <v>1179</v>
      </c>
      <c r="U147" t="s">
        <v>1180</v>
      </c>
      <c r="V147">
        <v>0</v>
      </c>
      <c r="W147">
        <v>0</v>
      </c>
      <c r="X147">
        <v>0</v>
      </c>
      <c r="Y147">
        <v>0</v>
      </c>
      <c r="Z147">
        <v>0</v>
      </c>
      <c r="AA147">
        <v>0</v>
      </c>
      <c r="AB147">
        <v>0</v>
      </c>
      <c r="AC147">
        <v>0</v>
      </c>
      <c r="AD147">
        <v>0</v>
      </c>
      <c r="AE147">
        <v>2</v>
      </c>
      <c r="AF147">
        <v>0</v>
      </c>
      <c r="AG147">
        <v>0</v>
      </c>
      <c r="AH147">
        <v>0</v>
      </c>
      <c r="AI147">
        <v>0</v>
      </c>
      <c r="AJ147">
        <v>0</v>
      </c>
      <c r="AK147">
        <v>1</v>
      </c>
      <c r="AL147">
        <v>0</v>
      </c>
      <c r="AM147">
        <v>0</v>
      </c>
      <c r="AN147">
        <v>0</v>
      </c>
      <c r="AO147">
        <v>0</v>
      </c>
      <c r="AP147">
        <v>0</v>
      </c>
      <c r="AQ147">
        <v>0</v>
      </c>
      <c r="AR147">
        <v>0</v>
      </c>
      <c r="AS147">
        <v>0</v>
      </c>
      <c r="AT147">
        <v>0</v>
      </c>
      <c r="AU147">
        <v>0</v>
      </c>
      <c r="AV147">
        <v>0</v>
      </c>
      <c r="AW147">
        <v>0</v>
      </c>
      <c r="AX147" s="141">
        <f>COUNTIF(V147:AW147,"&lt;&gt;0")</f>
        <v>2</v>
      </c>
      <c r="AY147" s="141">
        <f>COUNTIF(V147:AL147,"&lt;&gt;0")</f>
        <v>2</v>
      </c>
      <c r="AZ147">
        <f>COUNTIF(V147:AC147,"&lt;&gt;0")</f>
        <v>0</v>
      </c>
      <c r="BA147">
        <f>COUNTIF(AD147:AI147,"&lt;&gt;0")</f>
        <v>1</v>
      </c>
      <c r="BB147">
        <f>COUNTIF(AJ147:AL147,"&lt;&gt;0")</f>
        <v>1</v>
      </c>
      <c r="BC147">
        <f>COUNTIF(AS147:AW147,"&lt;&gt;0")</f>
        <v>0</v>
      </c>
      <c r="BD147">
        <f>COUNTIF(AM147:AR147,"&lt;&gt;0")</f>
        <v>0</v>
      </c>
      <c r="BE147" t="str">
        <f t="array" ref="BE147">IF(AY147=1,INDEX($V$7:$AL$7,MATCH(TRUE,INDEX($V147:$AW147&lt;&gt;0,),0)),IF(AY147=0,INDEX($AM$7:$AW$7,MATCH(1,$AM147:$AW147,0)),IF(BF147="Multiple strategies","mixed drivers",IF(BF147="Supply chain","multiple supply","multiple silviculture"))))</f>
        <v>mixed drivers</v>
      </c>
      <c r="BF147" s="2" t="str">
        <f t="array" ref="BF147">IF(COUNTIF(AZ147:BB147,"&lt;&gt;0")=1,INDEX($V$4:$AW$4,MATCH(TRUE,INDEX($V147:$AW147&lt;&gt;0,),0)),IF(COUNTIF(AZ147:BB147,"&lt;&gt;0")=0,INDEX($AM$4:$AW$4,MATCH(1,$AM147:$AW147,0)),"Multiple strategies"))</f>
        <v>Multiple strategies</v>
      </c>
      <c r="BG147" s="1" t="s">
        <v>230</v>
      </c>
      <c r="BH147" t="s">
        <v>1181</v>
      </c>
      <c r="BI147"/>
      <c r="BJ147" t="s">
        <v>1182</v>
      </c>
      <c r="BK147">
        <v>0</v>
      </c>
      <c r="BL147">
        <v>0.27407407407407408</v>
      </c>
      <c r="BM147" s="143" t="e">
        <f>BL147/BK147</f>
        <v>#DIV/0!</v>
      </c>
      <c r="BN147">
        <f>BL147-BK147</f>
        <v>0.27407407407407408</v>
      </c>
      <c r="BO147">
        <f>BN147*t_to_m3</f>
        <v>0.55933484504913078</v>
      </c>
      <c r="BP147" t="s">
        <v>233</v>
      </c>
      <c r="BQ147" s="234"/>
      <c r="BR147" t="s">
        <v>1183</v>
      </c>
      <c r="BS147">
        <v>-218.80999999999995</v>
      </c>
      <c r="BT147">
        <v>-106.82999999999998</v>
      </c>
      <c r="BU147" s="144">
        <f>IFERROR(BT147/BS147,"")</f>
        <v>0.48823179927791238</v>
      </c>
      <c r="BV147" s="144">
        <f>BT147-BS147</f>
        <v>111.97999999999996</v>
      </c>
      <c r="BW147" s="144"/>
      <c r="BX147" s="144">
        <f>BV147*0.001</f>
        <v>0.11197999999999997</v>
      </c>
      <c r="BY147">
        <f>IFERROR(BX147/BO147,"")</f>
        <v>0.20020208108108101</v>
      </c>
      <c r="BZ147">
        <v>0</v>
      </c>
      <c r="CA147">
        <v>0</v>
      </c>
      <c r="CB147">
        <v>0</v>
      </c>
      <c r="CC147">
        <v>0</v>
      </c>
      <c r="CD147">
        <v>0</v>
      </c>
      <c r="CE147">
        <v>0</v>
      </c>
      <c r="CF147">
        <v>0</v>
      </c>
      <c r="CG147">
        <v>0</v>
      </c>
      <c r="CH147">
        <v>0</v>
      </c>
      <c r="CI147">
        <v>0</v>
      </c>
      <c r="CJ147">
        <v>0</v>
      </c>
      <c r="CK147">
        <v>0</v>
      </c>
      <c r="CL147">
        <v>0</v>
      </c>
      <c r="CM147">
        <v>0</v>
      </c>
      <c r="CN147" t="str">
        <f>IF($BL147&lt;$BK147,"refNeedCorrection","refOK")</f>
        <v>refOK</v>
      </c>
      <c r="CO147">
        <f>IF($CN147="refOK",$BK147,$BL147)</f>
        <v>0</v>
      </c>
      <c r="CP147">
        <f>IF($CN147="refOK",$BL147,$BK147)</f>
        <v>0.27407407407407408</v>
      </c>
      <c r="CQ147">
        <f>IF($CN147="refOK",$BO147,-$BO147)</f>
        <v>0.55933484504913078</v>
      </c>
      <c r="CR147">
        <f>IF($CN147="refOK",$BS147,$BT147)*IF($BP147="Emissions positive",-1,1)</f>
        <v>-218.80999999999995</v>
      </c>
      <c r="CS147">
        <f>IF($CN147="refOK",$BT147,$BS147)*IF($BP147="Emissions positive",-1,1)</f>
        <v>-106.82999999999998</v>
      </c>
      <c r="CT147">
        <f>IF($CN147="refNeedCorrection",-BX147,BX147)*IF($BP147="Emissions positive",-1,1)</f>
        <v>0.11197999999999997</v>
      </c>
      <c r="CU147">
        <f>IFERROR(CT147/CQ147,"")</f>
        <v>0.20020208108108101</v>
      </c>
      <c r="CV147" s="2">
        <f>IFERROR((CS147-CR147)/ABS(CR147),"")</f>
        <v>0.51176820072208762</v>
      </c>
      <c r="CW147" s="1" t="s">
        <v>264</v>
      </c>
      <c r="CX147" t="str">
        <f>IF(OR($CW147="prd",$CW147="std",$CW147="cit"),"loc",IF(OR($CW147="eur",$CW147="reg",$CW147="coy"),"reg",$CW147))</f>
        <v>loc</v>
      </c>
      <c r="CY147" t="s">
        <v>600</v>
      </c>
      <c r="CZ147"/>
      <c r="DA147"/>
      <c r="DB147">
        <v>60</v>
      </c>
      <c r="DC147" t="str">
        <f>IF(DB147=0,"0",IF(AND(DB147&gt;=1,DB147&lt;=30),"1-30",IF(AND(DB147&gt;30,DB147&lt;=70),"31-70",IF(AND(DB147&gt;70,DB147&lt;=100),"71-100",IF(DB147&gt;100,"+100")))))</f>
        <v>31-70</v>
      </c>
      <c r="DD147">
        <v>0</v>
      </c>
      <c r="DE147">
        <v>0</v>
      </c>
      <c r="DF147">
        <v>0</v>
      </c>
      <c r="DG147">
        <v>1</v>
      </c>
      <c r="DH147"/>
      <c r="DI147">
        <f>SUM(DD147:DG147)</f>
        <v>1</v>
      </c>
      <c r="DJ147" t="str">
        <f>IF(DI147=1,INDEX($DD$7:$DG$7,MATCH(1,$DD147:$DG147,0)),"mixedProduct")</f>
        <v>TimberInput</v>
      </c>
      <c r="DK147">
        <f>IF(DD147=1,DK$7,0)</f>
        <v>0</v>
      </c>
      <c r="DL147">
        <f>IF(DE147=1,DL$7,0)</f>
        <v>0</v>
      </c>
      <c r="DM147">
        <f>IF(DF147=1,DM$7,0)</f>
        <v>0</v>
      </c>
      <c r="DN147" t="str">
        <f>IF(DG147=1,DN$7,0)</f>
        <v>Timber</v>
      </c>
      <c r="DO147">
        <v>1</v>
      </c>
      <c r="DP147">
        <v>0</v>
      </c>
      <c r="DQ147">
        <v>0</v>
      </c>
      <c r="DR147">
        <v>0</v>
      </c>
      <c r="DS147">
        <v>0</v>
      </c>
      <c r="DT147">
        <f>SUM(DO147:DP147)</f>
        <v>1</v>
      </c>
      <c r="DU147" s="143" t="str">
        <f>IF(DO147=1,"self-calculated DF",IF(DP147=1,"external DF used","explicit C balance"))</f>
        <v>self-calculated DF</v>
      </c>
      <c r="DV147">
        <v>0</v>
      </c>
      <c r="DW147">
        <v>0</v>
      </c>
      <c r="DX147">
        <v>0</v>
      </c>
      <c r="DY147">
        <v>0</v>
      </c>
      <c r="DZ147">
        <v>0</v>
      </c>
      <c r="EA147" s="143">
        <v>1</v>
      </c>
      <c r="EB147">
        <v>0</v>
      </c>
      <c r="EC147">
        <v>1</v>
      </c>
      <c r="ED147">
        <v>1</v>
      </c>
      <c r="EE147">
        <v>1</v>
      </c>
      <c r="EF147">
        <v>0</v>
      </c>
      <c r="EG147">
        <v>0</v>
      </c>
      <c r="EH147">
        <v>0</v>
      </c>
      <c r="EI147" s="2">
        <v>0</v>
      </c>
      <c r="EJ147" s="1"/>
      <c r="EK147" t="str">
        <f>IF(AND(AND(AND(OR($DX147=1,$DW147=1),OR($EC147=1,$EA147=1)),SUM($DV147:$DZ147,$EF147)&gt;=4),SUM($EA147:$EE147)&gt;=2),"Whole sector","")</f>
        <v/>
      </c>
      <c r="EL147" t="str">
        <f>IF(AND(AND(OR($DX147=1,$DW147=1),AND($EC147=0,$EA147=0)),SUM($DV147:$DZ147,$EF147)&gt;=4),"Ecosystem approach","")</f>
        <v/>
      </c>
      <c r="EM147" s="2" t="str">
        <f>IF(AND(AND(AND($DX147=0,$DW147=0),OR($EC147=1,$EA147=1)),SUM($EB147:$EE147)&gt;=2),"Technology approach","")</f>
        <v>Technology approach</v>
      </c>
      <c r="EN147"/>
      <c r="EO147"/>
      <c r="EP147" t="str">
        <f>IF(ISNUMBER(BU147),IF(ABS(BU147-[3]QC_indicators!$B$2)&gt;3*[3]QC_indicators!$C$2,"C ratio",IF(ISNUMBER(BY147),IF(ABS(BY147-[3]QC_indicators!$B$1)&gt;3*[3]QC_indicators!$C$1,"DF","no"))),IF(ISNUMBER(BY147),IF(ABS(BY147-[3]QC_indicators!$B$1)&gt;3*[3]QC_indicators!$C$1,"DF","no")))</f>
        <v>no</v>
      </c>
      <c r="EQ147"/>
      <c r="ER147"/>
      <c r="ES147"/>
      <c r="ET147" s="266" t="s">
        <v>3265</v>
      </c>
      <c r="EU147"/>
    </row>
    <row r="148" spans="1:151" s="139" customFormat="1" ht="15" customHeight="1">
      <c r="A148" s="1" t="s">
        <v>1362</v>
      </c>
      <c r="B148" t="s">
        <v>2137</v>
      </c>
      <c r="C148" t="s">
        <v>2138</v>
      </c>
      <c r="D148" t="s">
        <v>2139</v>
      </c>
      <c r="E148" t="s">
        <v>2140</v>
      </c>
      <c r="F148" t="s">
        <v>2141</v>
      </c>
      <c r="G148" t="s">
        <v>1368</v>
      </c>
      <c r="H148" t="s">
        <v>255</v>
      </c>
      <c r="I148">
        <v>2012</v>
      </c>
      <c r="J148">
        <v>21</v>
      </c>
      <c r="K148" t="s">
        <v>2142</v>
      </c>
      <c r="L148" s="192"/>
      <c r="M148" t="str">
        <f>LEFT($D148,FIND(",",$D148)-1)&amp;"_"&amp;I148&amp;L148</f>
        <v>Pyorala_2012</v>
      </c>
      <c r="N148" t="s">
        <v>223</v>
      </c>
      <c r="O148" s="145" t="s">
        <v>342</v>
      </c>
      <c r="P148" s="180" t="s">
        <v>224</v>
      </c>
      <c r="Q148" s="266" t="s">
        <v>257</v>
      </c>
      <c r="R148" s="271" t="s">
        <v>1156</v>
      </c>
      <c r="S148" s="265" t="s">
        <v>2157</v>
      </c>
      <c r="T148" s="266" t="s">
        <v>2145</v>
      </c>
      <c r="U148" s="266" t="s">
        <v>2154</v>
      </c>
      <c r="V148">
        <v>0</v>
      </c>
      <c r="W148">
        <v>0</v>
      </c>
      <c r="X148">
        <v>0</v>
      </c>
      <c r="Y148">
        <v>0</v>
      </c>
      <c r="Z148">
        <v>0</v>
      </c>
      <c r="AA148">
        <v>0</v>
      </c>
      <c r="AB148">
        <v>1</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s="141">
        <f>COUNTIF(V148:AW148,"&lt;&gt;0")</f>
        <v>1</v>
      </c>
      <c r="AY148" s="141">
        <f>COUNTIF(V148:AL148,"&lt;&gt;0")</f>
        <v>1</v>
      </c>
      <c r="AZ148">
        <f>COUNTIF(V148:AC148,"&lt;&gt;0")</f>
        <v>1</v>
      </c>
      <c r="BA148">
        <f>COUNTIF(AD148:AI148,"&lt;&gt;0")</f>
        <v>0</v>
      </c>
      <c r="BB148">
        <f>COUNTIF(AJ148:AL148,"&lt;&gt;0")</f>
        <v>0</v>
      </c>
      <c r="BC148">
        <f>COUNTIF(AS148:AW148,"&lt;&gt;0")</f>
        <v>0</v>
      </c>
      <c r="BD148">
        <f>COUNTIF(AM148:AR148,"&lt;&gt;0")</f>
        <v>0</v>
      </c>
      <c r="BE148" t="str" cm="1">
        <f t="array" ref="BE148">IF(AY148=1,INDEX($V$7:$AL$7,MATCH(TRUE,INDEX($V148:$AW148&lt;&gt;0,),0)),IF(AY148=0,INDEX($AM$7:$AW$7,MATCH(1,$AM148:$AW148,0)),IF(BF148="Multiple strategies","mixed drivers",IF(BF148="Supply chain","multiple supply","multiple silviculture"))))</f>
        <v>fertilisation</v>
      </c>
      <c r="BF148" s="2" t="str" cm="1">
        <f t="array" ref="BF148">IF(COUNTIF(AZ148:BB148,"&lt;&gt;0")=1,INDEX($V$4:$AW$4,MATCH(TRUE,INDEX($V148:$AW148&lt;&gt;0,),0)),IF(COUNTIF(AZ148:BB148,"&lt;&gt;0")=0,INDEX($AM$4:$AW$4,MATCH(1,$AM148:$AW148,0)),"Multiple strategies"))</f>
        <v>SilvicultureProd</v>
      </c>
      <c r="BG148" s="178" t="s">
        <v>322</v>
      </c>
      <c r="BH148" s="266" t="s">
        <v>2146</v>
      </c>
      <c r="BI148" s="266" t="s">
        <v>703</v>
      </c>
      <c r="BJ148" s="160" t="s">
        <v>702</v>
      </c>
      <c r="BK148">
        <v>6.5</v>
      </c>
      <c r="BL148">
        <v>7</v>
      </c>
      <c r="BM148"/>
      <c r="BN148">
        <f>BL148-BK148</f>
        <v>0.5</v>
      </c>
      <c r="BO148">
        <f>BN148</f>
        <v>0.5</v>
      </c>
      <c r="BP148" s="155" t="s">
        <v>233</v>
      </c>
      <c r="BQ148" s="303" t="s">
        <v>788</v>
      </c>
      <c r="BR148" s="272" t="s">
        <v>2147</v>
      </c>
      <c r="BS148" s="266">
        <f>99.4/80</f>
        <v>1.2425000000000002</v>
      </c>
      <c r="BT148" s="266">
        <f>100.6/80</f>
        <v>1.2574999999999998</v>
      </c>
      <c r="BU148" s="144"/>
      <c r="BV148">
        <f>BT148-BS148</f>
        <v>1.499999999999968E-2</v>
      </c>
      <c r="BW148"/>
      <c r="BX148">
        <f>BV148</f>
        <v>1.499999999999968E-2</v>
      </c>
      <c r="BY148">
        <f>IFERROR(BX148/BO148,"")</f>
        <v>2.9999999999999361E-2</v>
      </c>
      <c r="BZ148">
        <v>0</v>
      </c>
      <c r="CA148">
        <v>0</v>
      </c>
      <c r="CB148">
        <v>0</v>
      </c>
      <c r="CC148">
        <v>0</v>
      </c>
      <c r="CD148">
        <v>0</v>
      </c>
      <c r="CE148">
        <v>0</v>
      </c>
      <c r="CF148">
        <v>0</v>
      </c>
      <c r="CG148">
        <v>0</v>
      </c>
      <c r="CH148">
        <v>0</v>
      </c>
      <c r="CI148">
        <v>0</v>
      </c>
      <c r="CJ148">
        <v>0</v>
      </c>
      <c r="CK148">
        <v>0</v>
      </c>
      <c r="CL148">
        <v>0</v>
      </c>
      <c r="CM148">
        <v>0</v>
      </c>
      <c r="CN148" t="str">
        <f>IF($BL148&lt;$BK148,"refNeedCorrection","refOK")</f>
        <v>refOK</v>
      </c>
      <c r="CO148">
        <f>IF($CN148="refOK",$BK148,$BL148)</f>
        <v>6.5</v>
      </c>
      <c r="CP148">
        <f>IF($CN148="refOK",$BL148,$BK148)</f>
        <v>7</v>
      </c>
      <c r="CQ148">
        <f>IF($CN148="refOK",$BO148,-$BO148)</f>
        <v>0.5</v>
      </c>
      <c r="CR148">
        <f>IF($CN148="refOK",$BS148,$BT148)*IF($BP148="Emissions positive",-1,1)</f>
        <v>1.2425000000000002</v>
      </c>
      <c r="CS148">
        <f>IF($CN148="refOK",$BT148,$BS148)*IF($BP148="Emissions positive",-1,1)</f>
        <v>1.2574999999999998</v>
      </c>
      <c r="CT148">
        <f>IF($CN148="refNeedCorrection",-BX148,BX148)*IF($BP148="Emissions positive",-1,1)</f>
        <v>1.499999999999968E-2</v>
      </c>
      <c r="CU148">
        <f>IFERROR(CT148/CQ148,"")</f>
        <v>2.9999999999999361E-2</v>
      </c>
      <c r="CV148" s="2">
        <f>IFERROR((CS148-CR148)/ABS(CR148),"")</f>
        <v>1.2072434607645616E-2</v>
      </c>
      <c r="CW148" s="1" t="s">
        <v>1201</v>
      </c>
      <c r="CX148" s="266" t="str">
        <f>IF(OR($CW148="prd",$CW148="std",$CW148="cit"),"loc",IF(OR($CW148="eur",$CW148="reg",$CW148="coy"),"reg",$CW148))</f>
        <v>reg</v>
      </c>
      <c r="CY148" t="s">
        <v>236</v>
      </c>
      <c r="CZ148"/>
      <c r="DA148"/>
      <c r="DB148">
        <v>80</v>
      </c>
      <c r="DC148" t="str">
        <f>IF(DB148=0,"0",IF(AND(DB148&gt;=1,DB148&lt;=30),"1-30",IF(AND(DB148&gt;30,DB148&lt;=70),"31-70",IF(AND(DB148&gt;70,DB148&lt;=100),"71-100",IF(DB148&gt;100,"+100")))))</f>
        <v>71-100</v>
      </c>
      <c r="DD148">
        <v>0</v>
      </c>
      <c r="DE148">
        <v>1</v>
      </c>
      <c r="DF148">
        <v>1</v>
      </c>
      <c r="DG148">
        <v>1</v>
      </c>
      <c r="DH148"/>
      <c r="DI148">
        <f>SUM(DD148:DG148)</f>
        <v>3</v>
      </c>
      <c r="DJ148" t="str">
        <f>IF(DI148=1,INDEX($DD$7:$DG$7,MATCH(1,$DD148:$DG148,0)),"mixedProduct")</f>
        <v>mixedProduct</v>
      </c>
      <c r="DK148">
        <f>IF(DD148=1,DK$7,0)</f>
        <v>0</v>
      </c>
      <c r="DL148" t="str">
        <f>IF(DE148=1,DL$7,0)</f>
        <v>Energy</v>
      </c>
      <c r="DM148" t="str">
        <f>IF(DF148=1,DM$7,0)</f>
        <v>Pulp/Paper</v>
      </c>
      <c r="DN148" t="str">
        <f>IF(DG148=1,DN$7,0)</f>
        <v>Timber</v>
      </c>
      <c r="DO148">
        <v>0</v>
      </c>
      <c r="DP148">
        <v>1</v>
      </c>
      <c r="DQ148" t="s">
        <v>2148</v>
      </c>
      <c r="DR148">
        <v>0</v>
      </c>
      <c r="DS148">
        <v>0</v>
      </c>
      <c r="DT148">
        <f>SUM(DO148:DP148)</f>
        <v>1</v>
      </c>
      <c r="DU148" s="143" t="str">
        <f>IF(DO148=1,"self-calculated DF",IF(DP148=1,"external DF used","explicit C balance"))</f>
        <v>external DF used</v>
      </c>
      <c r="DV148">
        <v>1</v>
      </c>
      <c r="DW148">
        <v>1</v>
      </c>
      <c r="DX148">
        <v>1</v>
      </c>
      <c r="DY148">
        <v>0</v>
      </c>
      <c r="DZ148">
        <v>0</v>
      </c>
      <c r="EA148" s="143">
        <v>0</v>
      </c>
      <c r="EB148">
        <v>0</v>
      </c>
      <c r="EC148">
        <v>0</v>
      </c>
      <c r="ED148">
        <v>0</v>
      </c>
      <c r="EE148">
        <v>0</v>
      </c>
      <c r="EF148">
        <v>1</v>
      </c>
      <c r="EG148">
        <v>0</v>
      </c>
      <c r="EH148">
        <v>0</v>
      </c>
      <c r="EI148" s="2">
        <v>0</v>
      </c>
      <c r="EJ148" s="1"/>
      <c r="EK148" t="str">
        <f>IF(AND(AND(AND(OR($DX148=1,$DW148=1),OR($EC148=1,$EA148=1)),SUM($DV148:$DZ148,$EF148)&gt;=4),SUM($EA148:$EE148)&gt;=2),"Whole sector","")</f>
        <v/>
      </c>
      <c r="EL148" t="str">
        <f>IF(AND(AND(OR($DX148=1,$DW148=1),AND($EC148=0,$EA148=0)),SUM($DV148:$DZ148,$EF148)&gt;=4),"Ecosystem approach","")</f>
        <v>Ecosystem approach</v>
      </c>
      <c r="EM148" s="2" t="str">
        <f>IF(AND(AND(AND($DX148=0,$DW148=0),OR($EC148=1,$EA148=1)),SUM($EB148:$EE148)&gt;=2),"Technology approach","")</f>
        <v/>
      </c>
      <c r="EN148"/>
      <c r="EO148"/>
      <c r="EP148" t="str">
        <f>IF(ISNUMBER(BU148),IF(ABS(BU148-[1]QC_indicators!$B$2)&gt;3*[1]QC_indicators!$C$2,"C ratio",IF(ISNUMBER(BY148),IF(ABS(BY148-[1]QC_indicators!$B$1)&gt;3*[1]QC_indicators!$C$1,"DF","no"))),IF(ISNUMBER(BY148),IF(ABS(BY148-[1]QC_indicators!$B$1)&gt;3*[1]QC_indicators!$C$1,"DF","no")))</f>
        <v>no</v>
      </c>
      <c r="EQ148"/>
      <c r="ER148"/>
      <c r="ES148"/>
      <c r="ET148" s="266" t="s">
        <v>3409</v>
      </c>
      <c r="EU148"/>
    </row>
    <row r="149" spans="1:151" s="139" customFormat="1" ht="15" hidden="1" customHeight="1">
      <c r="A149" s="1" t="s">
        <v>1288</v>
      </c>
      <c r="B149" t="s">
        <v>1338</v>
      </c>
      <c r="C149" t="s">
        <v>1339</v>
      </c>
      <c r="D149" t="s">
        <v>1340</v>
      </c>
      <c r="E149" t="s">
        <v>1341</v>
      </c>
      <c r="F149" t="s">
        <v>1342</v>
      </c>
      <c r="G149" t="s">
        <v>1294</v>
      </c>
      <c r="H149" t="s">
        <v>255</v>
      </c>
      <c r="I149">
        <v>2016</v>
      </c>
      <c r="J149">
        <v>27</v>
      </c>
      <c r="K149" t="s">
        <v>1343</v>
      </c>
      <c r="L149"/>
      <c r="M149" t="str">
        <f>LEFT($D149,FIND(",",$D149)-1)&amp;"_"&amp;I149&amp;L149</f>
        <v>Braun_2016</v>
      </c>
      <c r="N149" t="s">
        <v>223</v>
      </c>
      <c r="O149" s="145" t="s">
        <v>224</v>
      </c>
      <c r="P149"/>
      <c r="Q149" t="s">
        <v>257</v>
      </c>
      <c r="R149" s="255" t="s">
        <v>226</v>
      </c>
      <c r="S149" s="1" t="s">
        <v>1350</v>
      </c>
      <c r="T149" t="s">
        <v>1345</v>
      </c>
      <c r="U149" t="s">
        <v>1351</v>
      </c>
      <c r="V149">
        <v>0</v>
      </c>
      <c r="W149">
        <v>0</v>
      </c>
      <c r="X149">
        <v>0</v>
      </c>
      <c r="Y149">
        <v>1</v>
      </c>
      <c r="Z149">
        <v>0</v>
      </c>
      <c r="AA149">
        <v>0</v>
      </c>
      <c r="AB149">
        <v>0</v>
      </c>
      <c r="AC149">
        <v>0</v>
      </c>
      <c r="AD149">
        <v>0</v>
      </c>
      <c r="AE149">
        <v>0</v>
      </c>
      <c r="AF149">
        <v>2</v>
      </c>
      <c r="AG149">
        <v>0</v>
      </c>
      <c r="AH149">
        <v>0</v>
      </c>
      <c r="AI149">
        <v>0</v>
      </c>
      <c r="AJ149">
        <v>0</v>
      </c>
      <c r="AK149">
        <v>0</v>
      </c>
      <c r="AL149">
        <v>0</v>
      </c>
      <c r="AM149">
        <v>0</v>
      </c>
      <c r="AN149">
        <v>0</v>
      </c>
      <c r="AO149">
        <v>0</v>
      </c>
      <c r="AP149">
        <v>0</v>
      </c>
      <c r="AQ149">
        <v>0</v>
      </c>
      <c r="AR149">
        <v>0</v>
      </c>
      <c r="AS149">
        <v>0</v>
      </c>
      <c r="AT149">
        <v>0</v>
      </c>
      <c r="AU149">
        <v>0</v>
      </c>
      <c r="AV149">
        <v>0</v>
      </c>
      <c r="AW149">
        <v>0</v>
      </c>
      <c r="AX149" s="141">
        <f>COUNTIF(V149:AW149,"&lt;&gt;0")</f>
        <v>2</v>
      </c>
      <c r="AY149" s="141">
        <f>COUNTIF(V149:AL149,"&lt;&gt;0")</f>
        <v>2</v>
      </c>
      <c r="AZ149">
        <f>COUNTIF(V149:AC149,"&lt;&gt;0")</f>
        <v>1</v>
      </c>
      <c r="BA149">
        <f>COUNTIF(AD149:AI149,"&lt;&gt;0")</f>
        <v>1</v>
      </c>
      <c r="BB149">
        <f>COUNTIF(AJ149:AL149,"&lt;&gt;0")</f>
        <v>0</v>
      </c>
      <c r="BC149">
        <f>COUNTIF(AS149:AW149,"&lt;&gt;0")</f>
        <v>0</v>
      </c>
      <c r="BD149">
        <f>COUNTIF(AM149:AR149,"&lt;&gt;0")</f>
        <v>0</v>
      </c>
      <c r="BE149" t="str">
        <f t="array" ref="BE149">IF(AY149=1,INDEX($V$7:$AL$7,MATCH(TRUE,INDEX($V149:$AW149&lt;&gt;0,),0)),IF(AY149=0,INDEX($AM$7:$AW$7,MATCH(1,$AM149:$AW149,0)),IF(BF149="Multiple strategies","mixed drivers",IF(BF149="Supply chain","multiple supply","multiple silviculture"))))</f>
        <v>mixed drivers</v>
      </c>
      <c r="BF149" s="2" t="str">
        <f t="array" ref="BF149">IF(COUNTIF(AZ149:BB149,"&lt;&gt;0")=1,INDEX($V$4:$AW$4,MATCH(TRUE,INDEX($V149:$AW149&lt;&gt;0,),0)),IF(COUNTIF(AZ149:BB149,"&lt;&gt;0")=0,INDEX($AM$4:$AW$4,MATCH(1,$AM149:$AW149,0)),"Multiple strategies"))</f>
        <v>Multiple strategies</v>
      </c>
      <c r="BG149" s="1" t="s">
        <v>230</v>
      </c>
      <c r="BH149" t="s">
        <v>1346</v>
      </c>
      <c r="BI149" s="260" t="s">
        <v>3279</v>
      </c>
      <c r="BJ149" t="s">
        <v>1347</v>
      </c>
      <c r="BK149">
        <v>1.1674521913429727</v>
      </c>
      <c r="BL149">
        <v>1.9442734851451886</v>
      </c>
      <c r="BM149">
        <f>BL149/BK149</f>
        <v>1.6653988056749489</v>
      </c>
      <c r="BN149">
        <f>BL149-BK149</f>
        <v>0.77682129380221587</v>
      </c>
      <c r="BO149">
        <f>BN149*10^9</f>
        <v>776821293.80221581</v>
      </c>
      <c r="BP149" t="s">
        <v>233</v>
      </c>
      <c r="BQ149" s="302" t="s">
        <v>3280</v>
      </c>
      <c r="BR149" t="s">
        <v>1348</v>
      </c>
      <c r="BS149" s="266">
        <v>1.93686006825938</v>
      </c>
      <c r="BT149" s="266">
        <v>1.22013651877133</v>
      </c>
      <c r="BU149" s="144">
        <f>IFERROR(BT149/BS149,"")</f>
        <v>0.62995594713656522</v>
      </c>
      <c r="BV149">
        <f>BT149-BS149</f>
        <v>-0.71672354948804995</v>
      </c>
      <c r="BW149"/>
      <c r="BX149">
        <f>BV149*10^9</f>
        <v>-716723549.48804998</v>
      </c>
      <c r="BY149">
        <f>IFERROR(BX149/BO149,"")</f>
        <v>-0.92263633245683507</v>
      </c>
      <c r="BZ149" s="143">
        <v>0</v>
      </c>
      <c r="CA149" s="143">
        <v>0</v>
      </c>
      <c r="CB149" s="143">
        <v>0</v>
      </c>
      <c r="CC149" s="143">
        <v>0</v>
      </c>
      <c r="CD149" s="143">
        <v>0</v>
      </c>
      <c r="CE149" s="143">
        <v>0</v>
      </c>
      <c r="CF149" s="143">
        <v>0</v>
      </c>
      <c r="CG149" s="143">
        <v>0</v>
      </c>
      <c r="CH149" s="143">
        <v>0</v>
      </c>
      <c r="CI149" s="143">
        <v>0</v>
      </c>
      <c r="CJ149" s="143">
        <v>0</v>
      </c>
      <c r="CK149" s="143">
        <v>0</v>
      </c>
      <c r="CL149" s="143">
        <v>0</v>
      </c>
      <c r="CM149">
        <v>0</v>
      </c>
      <c r="CN149" t="str">
        <f>IF($BL149&lt;$BK149,"refNeedCorrection","refOK")</f>
        <v>refOK</v>
      </c>
      <c r="CO149">
        <f>IF($CN149="refOK",$BK149,$BL149)</f>
        <v>1.1674521913429727</v>
      </c>
      <c r="CP149">
        <f>IF($CN149="refOK",$BL149,$BK149)</f>
        <v>1.9442734851451886</v>
      </c>
      <c r="CQ149">
        <f>IF($CN149="refOK",$BO149,-$BO149)</f>
        <v>776821293.80221581</v>
      </c>
      <c r="CR149">
        <f>IF($CN149="refOK",$BS149,$BT149)*IF($BP149="Emissions positive",-1,1)</f>
        <v>1.93686006825938</v>
      </c>
      <c r="CS149">
        <f>IF($CN149="refOK",$BT149,$BS149)*IF($BP149="Emissions positive",-1,1)</f>
        <v>1.22013651877133</v>
      </c>
      <c r="CT149">
        <f>IF($CN149="refNeedCorrection",-BX149,BX149)*IF($BP149="Emissions positive",-1,1)</f>
        <v>-716723549.48804998</v>
      </c>
      <c r="CU149">
        <f>IFERROR(CT149/CQ149,"")</f>
        <v>-0.92263633245683507</v>
      </c>
      <c r="CV149" s="2">
        <f>IFERROR((CS149-CR149)/ABS(CR149),"")</f>
        <v>-0.37004405286343484</v>
      </c>
      <c r="CW149" s="1" t="s">
        <v>1205</v>
      </c>
      <c r="CX149" t="str">
        <f>IF(OR($CW149="prd",$CW149="std",$CW149="cit"),"loc",IF(OR($CW149="eur",$CW149="reg",$CW149="coy"),"reg",$CW149))</f>
        <v>reg</v>
      </c>
      <c r="CY149" t="s">
        <v>668</v>
      </c>
      <c r="CZ149">
        <v>2010</v>
      </c>
      <c r="DA149">
        <v>2100</v>
      </c>
      <c r="DB149">
        <f>DA149-CZ149</f>
        <v>90</v>
      </c>
      <c r="DC149" t="str">
        <f>IF(DB149=0,"0",IF(AND(DB149&gt;=1,DB149&lt;=30),"1-30",IF(AND(DB149&gt;30,DB149&lt;=70),"31-70",IF(AND(DB149&gt;70,DB149&lt;=100),"71-100",IF(DB149&gt;100,"+100")))))</f>
        <v>71-100</v>
      </c>
      <c r="DD149">
        <v>0</v>
      </c>
      <c r="DE149">
        <v>1</v>
      </c>
      <c r="DF149">
        <v>1</v>
      </c>
      <c r="DG149">
        <v>1</v>
      </c>
      <c r="DH149"/>
      <c r="DI149">
        <f>SUM(DD149:DG149)</f>
        <v>3</v>
      </c>
      <c r="DJ149" t="str">
        <f>IF(DI149=1,INDEX($DD$7:$DG$7,MATCH(1,$DD149:$DG149,0)),"mixedProduct")</f>
        <v>mixedProduct</v>
      </c>
      <c r="DK149">
        <f>IF(DD149=1,DK$7,0)</f>
        <v>0</v>
      </c>
      <c r="DL149" t="str">
        <f>IF(DE149=1,DL$7,0)</f>
        <v>Energy</v>
      </c>
      <c r="DM149" t="str">
        <f>IF(DF149=1,DM$7,0)</f>
        <v>Pulp/Paper</v>
      </c>
      <c r="DN149" t="str">
        <f>IF(DG149=1,DN$7,0)</f>
        <v>Timber</v>
      </c>
      <c r="DO149">
        <v>1</v>
      </c>
      <c r="DP149" s="143">
        <v>0</v>
      </c>
      <c r="DQ149" s="143">
        <v>0</v>
      </c>
      <c r="DR149" s="143">
        <v>0</v>
      </c>
      <c r="DS149">
        <v>0</v>
      </c>
      <c r="DT149">
        <f>SUM(DO149:DP149)</f>
        <v>1</v>
      </c>
      <c r="DU149" s="143" t="str">
        <f>IF(DO149=1,"self-calculated DF",IF(DP149=1,"external DF used","explicit C balance"))</f>
        <v>self-calculated DF</v>
      </c>
      <c r="DV149">
        <v>1</v>
      </c>
      <c r="DW149" s="143">
        <v>1</v>
      </c>
      <c r="DX149" s="143">
        <v>1</v>
      </c>
      <c r="DY149" s="143">
        <v>1</v>
      </c>
      <c r="DZ149">
        <v>1</v>
      </c>
      <c r="EA149" s="141">
        <v>1</v>
      </c>
      <c r="EB149">
        <v>0</v>
      </c>
      <c r="EC149" s="143">
        <v>1</v>
      </c>
      <c r="ED149" s="143">
        <v>1</v>
      </c>
      <c r="EE149">
        <v>0</v>
      </c>
      <c r="EF149">
        <v>1</v>
      </c>
      <c r="EG149" s="143">
        <v>0</v>
      </c>
      <c r="EH149" s="143">
        <v>0</v>
      </c>
      <c r="EI149" s="2">
        <v>0</v>
      </c>
      <c r="EJ149" s="1"/>
      <c r="EK149" t="str">
        <f>IF(AND(AND(AND(OR($DX149=1,$DW149=1),OR($EC149=1,$EA149=1)),SUM($DV149:$DZ149,$EF149)&gt;=4),SUM($EA149:$EE149)&gt;=2),"Whole sector","")</f>
        <v>Whole sector</v>
      </c>
      <c r="EL149" t="str">
        <f>IF(AND(AND(OR($DX149=1,$DW149=1),AND($EC149=0,$EA149=0)),SUM($DV149:$DZ149,$EF149)&gt;=4),"Ecosystem approach","")</f>
        <v/>
      </c>
      <c r="EM149" s="2" t="str">
        <f>IF(AND(AND(AND($DX149=0,$DW149=0),OR($EC149=1,$EA149=1)),SUM($EB149:$EE149)&gt;=2),"Technology approach","")</f>
        <v/>
      </c>
      <c r="EN149" t="s">
        <v>3285</v>
      </c>
      <c r="EO149"/>
      <c r="EP149" t="str">
        <f>IF(ISNUMBER(BU149),IF(ABS(BU149-[4]QC_indicators!$B$2)&gt;3*[4]QC_indicators!$C$2,"C ratio",IF(ISNUMBER(BY149),IF(ABS(BY149-[4]QC_indicators!$B$1)&gt;3*[4]QC_indicators!$C$1,"DF","no"))),IF(ISNUMBER(BY149),IF(ABS(BY149-[4]QC_indicators!$B$1)&gt;3*[4]QC_indicators!$C$1,"DF","no")))</f>
        <v>no</v>
      </c>
      <c r="EQ149"/>
      <c r="ER149"/>
      <c r="ES149"/>
      <c r="ET149" s="266" t="s">
        <v>3275</v>
      </c>
      <c r="EU149"/>
    </row>
    <row r="150" spans="1:151" s="139" customFormat="1" ht="15" customHeight="1">
      <c r="A150" s="1" t="s">
        <v>1362</v>
      </c>
      <c r="B150" t="s">
        <v>2137</v>
      </c>
      <c r="C150" t="s">
        <v>2138</v>
      </c>
      <c r="D150" t="s">
        <v>2139</v>
      </c>
      <c r="E150" t="s">
        <v>2140</v>
      </c>
      <c r="F150" t="s">
        <v>2141</v>
      </c>
      <c r="G150" t="s">
        <v>1368</v>
      </c>
      <c r="H150" t="s">
        <v>255</v>
      </c>
      <c r="I150">
        <v>2012</v>
      </c>
      <c r="J150">
        <v>21</v>
      </c>
      <c r="K150" t="s">
        <v>2142</v>
      </c>
      <c r="L150" s="192"/>
      <c r="M150" t="str">
        <f>LEFT($D150,FIND(",",$D150)-1)&amp;"_"&amp;I150&amp;L150</f>
        <v>Pyorala_2012</v>
      </c>
      <c r="N150" t="s">
        <v>223</v>
      </c>
      <c r="O150" s="145" t="s">
        <v>342</v>
      </c>
      <c r="P150" s="180" t="s">
        <v>224</v>
      </c>
      <c r="Q150" s="266" t="s">
        <v>257</v>
      </c>
      <c r="R150" s="271" t="s">
        <v>1156</v>
      </c>
      <c r="S150" s="265" t="s">
        <v>2153</v>
      </c>
      <c r="T150" s="266" t="s">
        <v>2145</v>
      </c>
      <c r="U150" s="266" t="s">
        <v>2154</v>
      </c>
      <c r="V150">
        <v>0</v>
      </c>
      <c r="W150">
        <v>0</v>
      </c>
      <c r="X150">
        <v>0</v>
      </c>
      <c r="Y150">
        <v>0</v>
      </c>
      <c r="Z150">
        <v>0</v>
      </c>
      <c r="AA150">
        <v>0</v>
      </c>
      <c r="AB150">
        <v>1</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s="141">
        <f>COUNTIF(V150:AW150,"&lt;&gt;0")</f>
        <v>1</v>
      </c>
      <c r="AY150" s="141">
        <f>COUNTIF(V150:AL150,"&lt;&gt;0")</f>
        <v>1</v>
      </c>
      <c r="AZ150">
        <f>COUNTIF(V150:AC150,"&lt;&gt;0")</f>
        <v>1</v>
      </c>
      <c r="BA150">
        <f>COUNTIF(AD150:AI150,"&lt;&gt;0")</f>
        <v>0</v>
      </c>
      <c r="BB150">
        <f>COUNTIF(AJ150:AL150,"&lt;&gt;0")</f>
        <v>0</v>
      </c>
      <c r="BC150">
        <f>COUNTIF(AS150:AW150,"&lt;&gt;0")</f>
        <v>0</v>
      </c>
      <c r="BD150">
        <f>COUNTIF(AM150:AR150,"&lt;&gt;0")</f>
        <v>0</v>
      </c>
      <c r="BE150" t="str" cm="1">
        <f t="array" ref="BE150">IF(AY150=1,INDEX($V$7:$AL$7,MATCH(TRUE,INDEX($V150:$AW150&lt;&gt;0,),0)),IF(AY150=0,INDEX($AM$7:$AW$7,MATCH(1,$AM150:$AW150,0)),IF(BF150="Multiple strategies","mixed drivers",IF(BF150="Supply chain","multiple supply","multiple silviculture"))))</f>
        <v>fertilisation</v>
      </c>
      <c r="BF150" s="2" t="str" cm="1">
        <f t="array" ref="BF150">IF(COUNTIF(AZ150:BB150,"&lt;&gt;0")=1,INDEX($V$4:$AW$4,MATCH(TRUE,INDEX($V150:$AW150&lt;&gt;0,),0)),IF(COUNTIF(AZ150:BB150,"&lt;&gt;0")=0,INDEX($AM$4:$AW$4,MATCH(1,$AM150:$AW150,0)),"Multiple strategies"))</f>
        <v>SilvicultureProd</v>
      </c>
      <c r="BG150" s="178" t="s">
        <v>322</v>
      </c>
      <c r="BH150" s="266" t="s">
        <v>2146</v>
      </c>
      <c r="BI150" s="266" t="s">
        <v>427</v>
      </c>
      <c r="BJ150" s="160" t="s">
        <v>702</v>
      </c>
      <c r="BK150">
        <v>8.4</v>
      </c>
      <c r="BL150">
        <v>8.6999999999999993</v>
      </c>
      <c r="BM150"/>
      <c r="BN150">
        <f>BL150-BK150</f>
        <v>0.29999999999999893</v>
      </c>
      <c r="BO150">
        <f>BN150</f>
        <v>0.29999999999999893</v>
      </c>
      <c r="BP150" s="155" t="s">
        <v>233</v>
      </c>
      <c r="BQ150" s="303" t="s">
        <v>788</v>
      </c>
      <c r="BR150" s="272" t="s">
        <v>2147</v>
      </c>
      <c r="BS150" s="266">
        <f>113.9/80</f>
        <v>1.4237500000000001</v>
      </c>
      <c r="BT150" s="266">
        <f>117.1/80</f>
        <v>1.4637499999999999</v>
      </c>
      <c r="BU150" s="144"/>
      <c r="BV150">
        <f>BT150-BS150</f>
        <v>3.9999999999999813E-2</v>
      </c>
      <c r="BW150"/>
      <c r="BX150">
        <f>BV150</f>
        <v>3.9999999999999813E-2</v>
      </c>
      <c r="BY150">
        <f>IFERROR(BX150/BO150,"")</f>
        <v>0.13333333333333319</v>
      </c>
      <c r="BZ150">
        <v>0</v>
      </c>
      <c r="CA150">
        <v>0</v>
      </c>
      <c r="CB150">
        <v>0</v>
      </c>
      <c r="CC150">
        <v>0</v>
      </c>
      <c r="CD150">
        <v>0</v>
      </c>
      <c r="CE150">
        <v>0</v>
      </c>
      <c r="CF150">
        <v>0</v>
      </c>
      <c r="CG150">
        <v>0</v>
      </c>
      <c r="CH150">
        <v>0</v>
      </c>
      <c r="CI150">
        <v>0</v>
      </c>
      <c r="CJ150">
        <v>0</v>
      </c>
      <c r="CK150">
        <v>0</v>
      </c>
      <c r="CL150">
        <v>0</v>
      </c>
      <c r="CM150">
        <v>0</v>
      </c>
      <c r="CN150" t="str">
        <f>IF($BL150&lt;$BK150,"refNeedCorrection","refOK")</f>
        <v>refOK</v>
      </c>
      <c r="CO150">
        <f>IF($CN150="refOK",$BK150,$BL150)</f>
        <v>8.4</v>
      </c>
      <c r="CP150">
        <f>IF($CN150="refOK",$BL150,$BK150)</f>
        <v>8.6999999999999993</v>
      </c>
      <c r="CQ150">
        <f>IF($CN150="refOK",$BO150,-$BO150)</f>
        <v>0.29999999999999893</v>
      </c>
      <c r="CR150">
        <f>IF($CN150="refOK",$BS150,$BT150)*IF($BP150="Emissions positive",-1,1)</f>
        <v>1.4237500000000001</v>
      </c>
      <c r="CS150">
        <f>IF($CN150="refOK",$BT150,$BS150)*IF($BP150="Emissions positive",-1,1)</f>
        <v>1.4637499999999999</v>
      </c>
      <c r="CT150">
        <f>IF($CN150="refNeedCorrection",-BX150,BX150)*IF($BP150="Emissions positive",-1,1)</f>
        <v>3.9999999999999813E-2</v>
      </c>
      <c r="CU150">
        <f>IFERROR(CT150/CQ150,"")</f>
        <v>0.13333333333333319</v>
      </c>
      <c r="CV150" s="2">
        <f>IFERROR((CS150-CR150)/ABS(CR150),"")</f>
        <v>2.8094820017559131E-2</v>
      </c>
      <c r="CW150" s="1" t="s">
        <v>1201</v>
      </c>
      <c r="CX150" s="266" t="str">
        <f>IF(OR($CW150="prd",$CW150="std",$CW150="cit"),"loc",IF(OR($CW150="eur",$CW150="reg",$CW150="coy"),"reg",$CW150))</f>
        <v>reg</v>
      </c>
      <c r="CY150" t="s">
        <v>236</v>
      </c>
      <c r="CZ150"/>
      <c r="DA150"/>
      <c r="DB150">
        <v>80</v>
      </c>
      <c r="DC150" t="str">
        <f>IF(DB150=0,"0",IF(AND(DB150&gt;=1,DB150&lt;=30),"1-30",IF(AND(DB150&gt;30,DB150&lt;=70),"31-70",IF(AND(DB150&gt;70,DB150&lt;=100),"71-100",IF(DB150&gt;100,"+100")))))</f>
        <v>71-100</v>
      </c>
      <c r="DD150">
        <v>0</v>
      </c>
      <c r="DE150">
        <v>1</v>
      </c>
      <c r="DF150">
        <v>1</v>
      </c>
      <c r="DG150">
        <v>1</v>
      </c>
      <c r="DH150"/>
      <c r="DI150">
        <f>SUM(DD150:DG150)</f>
        <v>3</v>
      </c>
      <c r="DJ150" t="str">
        <f>IF(DI150=1,INDEX($DD$7:$DG$7,MATCH(1,$DD150:$DG150,0)),"mixedProduct")</f>
        <v>mixedProduct</v>
      </c>
      <c r="DK150">
        <f>IF(DD150=1,DK$7,0)</f>
        <v>0</v>
      </c>
      <c r="DL150" t="str">
        <f>IF(DE150=1,DL$7,0)</f>
        <v>Energy</v>
      </c>
      <c r="DM150" t="str">
        <f>IF(DF150=1,DM$7,0)</f>
        <v>Pulp/Paper</v>
      </c>
      <c r="DN150" t="str">
        <f>IF(DG150=1,DN$7,0)</f>
        <v>Timber</v>
      </c>
      <c r="DO150">
        <v>0</v>
      </c>
      <c r="DP150">
        <v>1</v>
      </c>
      <c r="DQ150" t="s">
        <v>2148</v>
      </c>
      <c r="DR150">
        <v>0</v>
      </c>
      <c r="DS150">
        <v>0</v>
      </c>
      <c r="DT150">
        <f>SUM(DO150:DP150)</f>
        <v>1</v>
      </c>
      <c r="DU150" s="143" t="str">
        <f>IF(DO150=1,"self-calculated DF",IF(DP150=1,"external DF used","explicit C balance"))</f>
        <v>external DF used</v>
      </c>
      <c r="DV150">
        <v>1</v>
      </c>
      <c r="DW150">
        <v>1</v>
      </c>
      <c r="DX150">
        <v>1</v>
      </c>
      <c r="DY150">
        <v>0</v>
      </c>
      <c r="DZ150">
        <v>0</v>
      </c>
      <c r="EA150" s="143">
        <v>0</v>
      </c>
      <c r="EB150">
        <v>0</v>
      </c>
      <c r="EC150">
        <v>0</v>
      </c>
      <c r="ED150">
        <v>0</v>
      </c>
      <c r="EE150">
        <v>0</v>
      </c>
      <c r="EF150">
        <v>1</v>
      </c>
      <c r="EG150">
        <v>0</v>
      </c>
      <c r="EH150">
        <v>0</v>
      </c>
      <c r="EI150" s="2">
        <v>0</v>
      </c>
      <c r="EJ150" s="1"/>
      <c r="EK150" t="str">
        <f>IF(AND(AND(AND(OR($DX150=1,$DW150=1),OR($EC150=1,$EA150=1)),SUM($DV150:$DZ150,$EF150)&gt;=4),SUM($EA150:$EE150)&gt;=2),"Whole sector","")</f>
        <v/>
      </c>
      <c r="EL150" t="str">
        <f>IF(AND(AND(OR($DX150=1,$DW150=1),AND($EC150=0,$EA150=0)),SUM($DV150:$DZ150,$EF150)&gt;=4),"Ecosystem approach","")</f>
        <v>Ecosystem approach</v>
      </c>
      <c r="EM150" s="2" t="str">
        <f>IF(AND(AND(AND($DX150=0,$DW150=0),OR($EC150=1,$EA150=1)),SUM($EB150:$EE150)&gt;=2),"Technology approach","")</f>
        <v/>
      </c>
      <c r="EN150"/>
      <c r="EO150"/>
      <c r="EP150" t="str">
        <f>IF(ISNUMBER(BU150),IF(ABS(BU150-[1]QC_indicators!$B$2)&gt;3*[1]QC_indicators!$C$2,"C ratio",IF(ISNUMBER(BY150),IF(ABS(BY150-[1]QC_indicators!$B$1)&gt;3*[1]QC_indicators!$C$1,"DF","no"))),IF(ISNUMBER(BY150),IF(ABS(BY150-[1]QC_indicators!$B$1)&gt;3*[1]QC_indicators!$C$1,"DF","no")))</f>
        <v>no</v>
      </c>
      <c r="EQ150"/>
      <c r="ER150"/>
      <c r="ES150"/>
      <c r="ET150" s="266" t="s">
        <v>3409</v>
      </c>
      <c r="EU150"/>
    </row>
    <row r="151" spans="1:151" s="139" customFormat="1" ht="15" hidden="1" customHeight="1">
      <c r="A151" s="1" t="s">
        <v>1974</v>
      </c>
      <c r="B151" t="s">
        <v>2318</v>
      </c>
      <c r="C151" t="s">
        <v>2319</v>
      </c>
      <c r="D151" t="s">
        <v>2320</v>
      </c>
      <c r="E151" t="s">
        <v>2321</v>
      </c>
      <c r="F151" t="s">
        <v>2322</v>
      </c>
      <c r="G151" t="s">
        <v>1980</v>
      </c>
      <c r="H151" t="s">
        <v>255</v>
      </c>
      <c r="I151">
        <v>2020</v>
      </c>
      <c r="J151">
        <v>7</v>
      </c>
      <c r="K151" t="s">
        <v>2323</v>
      </c>
      <c r="L151"/>
      <c r="M151" t="str">
        <f>LEFT($D151,FIND(",",$D151)-1)&amp;"_"&amp;I151&amp;L151</f>
        <v>Smyth_2020</v>
      </c>
      <c r="N151" t="s">
        <v>223</v>
      </c>
      <c r="O151" s="145" t="s">
        <v>342</v>
      </c>
      <c r="P151"/>
      <c r="Q151" t="s">
        <v>257</v>
      </c>
      <c r="R151" s="292" t="s">
        <v>226</v>
      </c>
      <c r="S151" s="1" t="s">
        <v>2337</v>
      </c>
      <c r="T151" t="s">
        <v>1157</v>
      </c>
      <c r="U151" t="s">
        <v>2338</v>
      </c>
      <c r="V151">
        <v>0</v>
      </c>
      <c r="W151">
        <v>0</v>
      </c>
      <c r="X151">
        <v>0</v>
      </c>
      <c r="Y151">
        <v>1</v>
      </c>
      <c r="Z151">
        <v>0</v>
      </c>
      <c r="AA151">
        <v>0</v>
      </c>
      <c r="AB151">
        <v>0</v>
      </c>
      <c r="AC151">
        <v>0</v>
      </c>
      <c r="AD151">
        <v>0</v>
      </c>
      <c r="AE151">
        <v>0</v>
      </c>
      <c r="AF151">
        <v>1</v>
      </c>
      <c r="AG151">
        <v>0</v>
      </c>
      <c r="AH151">
        <v>0</v>
      </c>
      <c r="AI151">
        <v>1</v>
      </c>
      <c r="AJ151">
        <v>0</v>
      </c>
      <c r="AK151">
        <v>0</v>
      </c>
      <c r="AL151">
        <v>0</v>
      </c>
      <c r="AM151">
        <v>0</v>
      </c>
      <c r="AN151">
        <v>0</v>
      </c>
      <c r="AO151">
        <v>0</v>
      </c>
      <c r="AP151">
        <v>0</v>
      </c>
      <c r="AQ151">
        <v>0</v>
      </c>
      <c r="AR151">
        <v>0</v>
      </c>
      <c r="AS151">
        <v>0</v>
      </c>
      <c r="AT151">
        <v>0</v>
      </c>
      <c r="AU151">
        <v>0</v>
      </c>
      <c r="AV151">
        <v>0</v>
      </c>
      <c r="AW151">
        <v>0</v>
      </c>
      <c r="AX151" s="141">
        <f>COUNTIF(V151:AW151,"&lt;&gt;0")</f>
        <v>3</v>
      </c>
      <c r="AY151" s="141">
        <f>COUNTIF(V151:AL151,"&lt;&gt;0")</f>
        <v>3</v>
      </c>
      <c r="AZ151">
        <f>COUNTIF(V151:AC151,"&lt;&gt;0")</f>
        <v>1</v>
      </c>
      <c r="BA151">
        <f>COUNTIF(AD151:AI151,"&lt;&gt;0")</f>
        <v>2</v>
      </c>
      <c r="BB151">
        <f>COUNTIF(AJ151:AL151,"&lt;&gt;0")</f>
        <v>0</v>
      </c>
      <c r="BC151">
        <f>COUNTIF(AS151:AW151,"&lt;&gt;0")</f>
        <v>0</v>
      </c>
      <c r="BD151">
        <f>COUNTIF(AM151:AR151,"&lt;&gt;0")</f>
        <v>0</v>
      </c>
      <c r="BE151" t="str">
        <f t="array" ref="BE151">IF(AY151=1,INDEX($V$7:$AL$7,MATCH(TRUE,INDEX($V151:$AW151&lt;&gt;0,),0)),IF(AY151=0,INDEX($AM$7:$AW$7,MATCH(1,$AM151:$AW151,0)),IF(BF151="Multiple strategies","mixed drivers",IF(BF151="Supply chain","multiple supply","multiple silviculture"))))</f>
        <v>mixed drivers</v>
      </c>
      <c r="BF151" s="2" t="str">
        <f t="array" ref="BF151">IF(COUNTIF(AZ151:BB151,"&lt;&gt;0")=1,INDEX($V$4:$AW$4,MATCH(TRUE,INDEX($V151:$AW151&lt;&gt;0,),0)),IF(COUNTIF(AZ151:BB151,"&lt;&gt;0")=0,INDEX($AM$4:$AW$4,MATCH(1,$AM151:$AW151,0)),"Multiple strategies"))</f>
        <v>Multiple strategies</v>
      </c>
      <c r="BG151" s="1" t="s">
        <v>322</v>
      </c>
      <c r="BH151" t="s">
        <v>2326</v>
      </c>
      <c r="BI151" s="260" t="s">
        <v>3395</v>
      </c>
      <c r="BJ151" t="s">
        <v>1361</v>
      </c>
      <c r="BK151">
        <v>457</v>
      </c>
      <c r="BL151" s="293">
        <f>488+(4.2/tC_to_m3*55)</f>
        <v>541.19929999999999</v>
      </c>
      <c r="BM151">
        <f>BL151/BK151</f>
        <v>1.1842435448577679</v>
      </c>
      <c r="BN151">
        <f>BL151-BK151</f>
        <v>84.199299999999994</v>
      </c>
      <c r="BO151">
        <f>BN151*10^6*tC_to_m3</f>
        <v>365607034.30308294</v>
      </c>
      <c r="BP151" t="s">
        <v>233</v>
      </c>
      <c r="BQ151" s="302" t="s">
        <v>3393</v>
      </c>
      <c r="BR151" t="s">
        <v>2327</v>
      </c>
      <c r="BS151"/>
      <c r="BT151"/>
      <c r="BU151" s="144"/>
      <c r="BV151">
        <v>268</v>
      </c>
      <c r="BW151"/>
      <c r="BX151">
        <f>BV151*10^6</f>
        <v>268000000</v>
      </c>
      <c r="BY151">
        <f>IFERROR(BX151/BO151,"")</f>
        <v>0.7330274717248243</v>
      </c>
      <c r="BZ151">
        <v>0</v>
      </c>
      <c r="CA151">
        <v>1</v>
      </c>
      <c r="CB151">
        <v>1</v>
      </c>
      <c r="CC151">
        <v>1</v>
      </c>
      <c r="CD151">
        <v>0</v>
      </c>
      <c r="CE151">
        <v>0</v>
      </c>
      <c r="CF151">
        <v>0</v>
      </c>
      <c r="CG151">
        <v>0</v>
      </c>
      <c r="CH151">
        <v>0</v>
      </c>
      <c r="CI151">
        <v>0</v>
      </c>
      <c r="CJ151">
        <v>0</v>
      </c>
      <c r="CK151">
        <v>0</v>
      </c>
      <c r="CL151">
        <v>0</v>
      </c>
      <c r="CM151">
        <v>0</v>
      </c>
      <c r="CN151" t="str">
        <f>IF(BL151&lt;BK151,"refNeedCorrection","refOK")</f>
        <v>refOK</v>
      </c>
      <c r="CO151"/>
      <c r="CP151"/>
      <c r="CQ151">
        <f>IF($CN151="refOK",$BO151,-$BO151)</f>
        <v>365607034.30308294</v>
      </c>
      <c r="CR151">
        <f>IF($CN151="refOK",$BS151,$BT151)*IF($BP151="Emissions positive",-1,1)</f>
        <v>0</v>
      </c>
      <c r="CS151">
        <f>IF($CN151="refOK",$BT151,$BS151)*IF($BP151="Emissions positive",-1,1)</f>
        <v>0</v>
      </c>
      <c r="CT151">
        <f>IF($CN151="refNeedCorrection",-BX151,BX151)*IF($BP151="Emissions positive",-1,1)</f>
        <v>268000000</v>
      </c>
      <c r="CU151">
        <f>IFERROR(CT151/CQ151,"")</f>
        <v>0.7330274717248243</v>
      </c>
      <c r="CV151" s="2" t="str">
        <f>IFERROR((CS151-CR151)/ABS(CR151),"")</f>
        <v/>
      </c>
      <c r="CW151" s="1" t="s">
        <v>1201</v>
      </c>
      <c r="CX151" t="str">
        <f>IF(OR($CW151="prd",$CW151="std",$CW151="cit"),"loc",IF(OR($CW151="eur",$CW151="reg",$CW151="coy"),"reg",$CW151))</f>
        <v>reg</v>
      </c>
      <c r="CY151" t="s">
        <v>541</v>
      </c>
      <c r="CZ151">
        <v>2015</v>
      </c>
      <c r="DA151">
        <v>2070</v>
      </c>
      <c r="DB151">
        <v>45</v>
      </c>
      <c r="DC151" t="str">
        <f>IF(DB151=0,"0",IF(AND(DB151&gt;=1,DB151&lt;=30),"1-30",IF(AND(DB151&gt;30,DB151&lt;=70),"31-70",IF(AND(DB151&gt;70,DB151&lt;=100),"71-100",IF(DB151&gt;100,"+100")))))</f>
        <v>31-70</v>
      </c>
      <c r="DD151">
        <v>0</v>
      </c>
      <c r="DE151">
        <v>1</v>
      </c>
      <c r="DF151">
        <v>1</v>
      </c>
      <c r="DG151">
        <v>1</v>
      </c>
      <c r="DH151"/>
      <c r="DI151">
        <f>SUM(DD151:DG151)</f>
        <v>3</v>
      </c>
      <c r="DJ151" t="str">
        <f>IF(DI151=1,INDEX($DD$7:$DG$7,MATCH(1,$DD151:$DG151,0)),"mixedProduct")</f>
        <v>mixedProduct</v>
      </c>
      <c r="DK151">
        <f>IF(DD151=1,DK$7,0)</f>
        <v>0</v>
      </c>
      <c r="DL151" t="str">
        <f>IF(DE151=1,DL$7,0)</f>
        <v>Energy</v>
      </c>
      <c r="DM151" t="str">
        <f>IF(DF151=1,DM$7,0)</f>
        <v>Pulp/Paper</v>
      </c>
      <c r="DN151" t="str">
        <f>IF(DG151=1,DN$7,0)</f>
        <v>Timber</v>
      </c>
      <c r="DO151">
        <v>1</v>
      </c>
      <c r="DP151">
        <v>1</v>
      </c>
      <c r="DQ151" t="s">
        <v>2317</v>
      </c>
      <c r="DR151">
        <v>0</v>
      </c>
      <c r="DS151">
        <v>0</v>
      </c>
      <c r="DT151">
        <f>SUM(DO151:DP151)</f>
        <v>2</v>
      </c>
      <c r="DU151" s="143" t="str">
        <f>IF(DO151=1,"self-calculated DF",IF(DP151=1,"external DF used","explicit C balance"))</f>
        <v>self-calculated DF</v>
      </c>
      <c r="DV151">
        <v>1</v>
      </c>
      <c r="DW151">
        <v>1</v>
      </c>
      <c r="DX151">
        <v>1</v>
      </c>
      <c r="DY151">
        <v>1</v>
      </c>
      <c r="DZ151">
        <v>1</v>
      </c>
      <c r="EA151" s="143">
        <v>1</v>
      </c>
      <c r="EB151">
        <v>1</v>
      </c>
      <c r="EC151">
        <v>1</v>
      </c>
      <c r="ED151">
        <v>1</v>
      </c>
      <c r="EE151">
        <v>1</v>
      </c>
      <c r="EF151">
        <v>1</v>
      </c>
      <c r="EG151">
        <v>1</v>
      </c>
      <c r="EH151">
        <v>0</v>
      </c>
      <c r="EI151" s="2">
        <v>0</v>
      </c>
      <c r="EJ151" s="1"/>
      <c r="EK151" t="str">
        <f>IF(AND(AND(AND(OR($DX151=1,$DW151=1),OR($EC151=1,$EA151=1)),SUM($DV151:$DZ151,$EF151)&gt;=4),SUM($EA151:$EE151)&gt;=2),"Whole sector","")</f>
        <v>Whole sector</v>
      </c>
      <c r="EL151" t="str">
        <f>IF(AND(AND(OR($DX151=1,$DW151=1),AND($EC151=0,$EA151=0)),SUM($DV151:$DZ151,$EF151)&gt;=4),"Ecosystem approach","")</f>
        <v/>
      </c>
      <c r="EM151" s="2" t="str">
        <f>IF(AND(AND(AND($DX151=0,$DW151=0),OR($EC151=1,$EA151=1)),SUM($EB151:$EE151)&gt;=2),"Technology approach","")</f>
        <v/>
      </c>
      <c r="EN151"/>
      <c r="EO151"/>
      <c r="EP151" t="str">
        <f>IF(ISNUMBER(BU151),IF(ABS(BU151-[4]QC_indicators!$B$2)&gt;3*[4]QC_indicators!$C$2,"C ratio",IF(ISNUMBER(BY151),IF(ABS(BY151-[4]QC_indicators!$B$1)&gt;3*[4]QC_indicators!$C$1,"DF","no"))),IF(ISNUMBER(BY151),IF(ABS(BY151-[4]QC_indicators!$B$1)&gt;3*[4]QC_indicators!$C$1,"DF","no")))</f>
        <v>no</v>
      </c>
      <c r="EQ151"/>
      <c r="ER151" s="149" t="s">
        <v>2328</v>
      </c>
      <c r="ES151"/>
      <c r="ET151" s="266" t="s">
        <v>3275</v>
      </c>
      <c r="EU151"/>
    </row>
    <row r="152" spans="1:151" s="139" customFormat="1" ht="15" hidden="1" customHeight="1">
      <c r="A152" s="1" t="s">
        <v>1974</v>
      </c>
      <c r="B152" t="s">
        <v>2318</v>
      </c>
      <c r="C152" t="s">
        <v>2319</v>
      </c>
      <c r="D152" t="s">
        <v>2320</v>
      </c>
      <c r="E152" t="s">
        <v>2321</v>
      </c>
      <c r="F152" t="s">
        <v>2322</v>
      </c>
      <c r="G152" t="s">
        <v>1980</v>
      </c>
      <c r="H152" t="s">
        <v>255</v>
      </c>
      <c r="I152">
        <v>2020</v>
      </c>
      <c r="J152">
        <v>7</v>
      </c>
      <c r="K152" t="s">
        <v>2323</v>
      </c>
      <c r="L152"/>
      <c r="M152" t="str">
        <f>LEFT($D152,FIND(",",$D152)-1)&amp;"_"&amp;I152&amp;L152</f>
        <v>Smyth_2020</v>
      </c>
      <c r="N152" t="s">
        <v>223</v>
      </c>
      <c r="O152" s="145" t="s">
        <v>342</v>
      </c>
      <c r="P152"/>
      <c r="Q152" t="s">
        <v>257</v>
      </c>
      <c r="R152" s="292" t="s">
        <v>226</v>
      </c>
      <c r="S152" s="1" t="s">
        <v>2339</v>
      </c>
      <c r="T152" t="s">
        <v>1157</v>
      </c>
      <c r="U152" t="s">
        <v>2340</v>
      </c>
      <c r="V152">
        <v>0</v>
      </c>
      <c r="W152">
        <v>0</v>
      </c>
      <c r="X152">
        <v>0</v>
      </c>
      <c r="Y152">
        <v>1</v>
      </c>
      <c r="Z152">
        <v>0</v>
      </c>
      <c r="AA152">
        <v>0</v>
      </c>
      <c r="AB152">
        <v>0</v>
      </c>
      <c r="AC152">
        <v>0</v>
      </c>
      <c r="AD152">
        <v>0</v>
      </c>
      <c r="AE152">
        <v>0</v>
      </c>
      <c r="AF152">
        <v>1</v>
      </c>
      <c r="AG152">
        <v>0</v>
      </c>
      <c r="AH152">
        <v>0</v>
      </c>
      <c r="AI152">
        <v>1</v>
      </c>
      <c r="AJ152">
        <v>0</v>
      </c>
      <c r="AK152">
        <v>0</v>
      </c>
      <c r="AL152">
        <v>0</v>
      </c>
      <c r="AM152">
        <v>0</v>
      </c>
      <c r="AN152">
        <v>0</v>
      </c>
      <c r="AO152">
        <v>0</v>
      </c>
      <c r="AP152">
        <v>0</v>
      </c>
      <c r="AQ152">
        <v>0</v>
      </c>
      <c r="AR152">
        <v>0</v>
      </c>
      <c r="AS152">
        <v>0</v>
      </c>
      <c r="AT152">
        <v>0</v>
      </c>
      <c r="AU152">
        <v>0</v>
      </c>
      <c r="AV152">
        <v>0</v>
      </c>
      <c r="AW152">
        <v>0</v>
      </c>
      <c r="AX152" s="141">
        <f>COUNTIF(V152:AW152,"&lt;&gt;0")</f>
        <v>3</v>
      </c>
      <c r="AY152" s="141">
        <f>COUNTIF(V152:AL152,"&lt;&gt;0")</f>
        <v>3</v>
      </c>
      <c r="AZ152">
        <f>COUNTIF(V152:AC152,"&lt;&gt;0")</f>
        <v>1</v>
      </c>
      <c r="BA152">
        <f>COUNTIF(AD152:AI152,"&lt;&gt;0")</f>
        <v>2</v>
      </c>
      <c r="BB152">
        <f>COUNTIF(AJ152:AL152,"&lt;&gt;0")</f>
        <v>0</v>
      </c>
      <c r="BC152">
        <f>COUNTIF(AS152:AW152,"&lt;&gt;0")</f>
        <v>0</v>
      </c>
      <c r="BD152">
        <f>COUNTIF(AM152:AR152,"&lt;&gt;0")</f>
        <v>0</v>
      </c>
      <c r="BE152" t="str">
        <f t="array" ref="BE152">IF(AY152=1,INDEX($V$7:$AL$7,MATCH(TRUE,INDEX($V152:$AW152&lt;&gt;0,),0)),IF(AY152=0,INDEX($AM$7:$AW$7,MATCH(1,$AM152:$AW152,0)),IF(BF152="Multiple strategies","mixed drivers",IF(BF152="Supply chain","multiple supply","multiple silviculture"))))</f>
        <v>mixed drivers</v>
      </c>
      <c r="BF152" s="2" t="str">
        <f t="array" ref="BF152">IF(COUNTIF(AZ152:BB152,"&lt;&gt;0")=1,INDEX($V$4:$AW$4,MATCH(TRUE,INDEX($V152:$AW152&lt;&gt;0,),0)),IF(COUNTIF(AZ152:BB152,"&lt;&gt;0")=0,INDEX($AM$4:$AW$4,MATCH(1,$AM152:$AW152,0)),"Multiple strategies"))</f>
        <v>Multiple strategies</v>
      </c>
      <c r="BG152" s="1" t="s">
        <v>322</v>
      </c>
      <c r="BH152" t="s">
        <v>2326</v>
      </c>
      <c r="BI152" s="260" t="s">
        <v>3395</v>
      </c>
      <c r="BJ152" t="s">
        <v>1361</v>
      </c>
      <c r="BK152">
        <v>457</v>
      </c>
      <c r="BL152" s="293">
        <f>488+(4.2/tC_to_m3*55)</f>
        <v>541.19929999999999</v>
      </c>
      <c r="BM152">
        <f>BL152/BK152</f>
        <v>1.1842435448577679</v>
      </c>
      <c r="BN152">
        <f>BL152-BK152</f>
        <v>84.199299999999994</v>
      </c>
      <c r="BO152">
        <f>BN152*10^6*tC_to_m3</f>
        <v>365607034.30308294</v>
      </c>
      <c r="BP152" t="s">
        <v>233</v>
      </c>
      <c r="BQ152" s="302" t="s">
        <v>3394</v>
      </c>
      <c r="BR152" t="s">
        <v>2327</v>
      </c>
      <c r="BS152"/>
      <c r="BT152"/>
      <c r="BU152" s="144"/>
      <c r="BV152">
        <v>527</v>
      </c>
      <c r="BW152"/>
      <c r="BX152">
        <f>BV152*10^6</f>
        <v>527000000</v>
      </c>
      <c r="BY152">
        <f>IFERROR(BX152/BO152,"")</f>
        <v>1.4414383492499343</v>
      </c>
      <c r="BZ152">
        <v>0</v>
      </c>
      <c r="CA152">
        <v>1</v>
      </c>
      <c r="CB152">
        <v>1</v>
      </c>
      <c r="CC152">
        <v>1</v>
      </c>
      <c r="CD152">
        <v>0</v>
      </c>
      <c r="CE152">
        <v>0</v>
      </c>
      <c r="CF152">
        <v>0</v>
      </c>
      <c r="CG152">
        <v>0</v>
      </c>
      <c r="CH152">
        <v>0</v>
      </c>
      <c r="CI152">
        <v>0</v>
      </c>
      <c r="CJ152">
        <v>0</v>
      </c>
      <c r="CK152">
        <v>0</v>
      </c>
      <c r="CL152">
        <v>0</v>
      </c>
      <c r="CM152">
        <v>0</v>
      </c>
      <c r="CN152" t="str">
        <f>IF(BL152&lt;BK152,"refNeedCorrection","refOK")</f>
        <v>refOK</v>
      </c>
      <c r="CO152"/>
      <c r="CP152"/>
      <c r="CQ152">
        <f>IF($CN152="refOK",$BO152,-$BO152)</f>
        <v>365607034.30308294</v>
      </c>
      <c r="CR152">
        <f>IF($CN152="refOK",$BS152,$BT152)*IF($BP152="Emissions positive",-1,1)</f>
        <v>0</v>
      </c>
      <c r="CS152">
        <f>IF($CN152="refOK",$BT152,$BS152)*IF($BP152="Emissions positive",-1,1)</f>
        <v>0</v>
      </c>
      <c r="CT152">
        <f>IF($CN152="refNeedCorrection",-BX152,BX152)*IF($BP152="Emissions positive",-1,1)</f>
        <v>527000000</v>
      </c>
      <c r="CU152">
        <f>IFERROR(CT152/CQ152,"")</f>
        <v>1.4414383492499343</v>
      </c>
      <c r="CV152" s="2" t="str">
        <f>IFERROR((CS152-CR152)/ABS(CR152),"")</f>
        <v/>
      </c>
      <c r="CW152" s="1" t="s">
        <v>1201</v>
      </c>
      <c r="CX152" t="str">
        <f>IF(OR($CW152="prd",$CW152="std",$CW152="cit"),"loc",IF(OR($CW152="eur",$CW152="reg",$CW152="coy"),"reg",$CW152))</f>
        <v>reg</v>
      </c>
      <c r="CY152" t="s">
        <v>541</v>
      </c>
      <c r="CZ152">
        <v>2015</v>
      </c>
      <c r="DA152">
        <v>2070</v>
      </c>
      <c r="DB152">
        <v>45</v>
      </c>
      <c r="DC152" t="str">
        <f>IF(DB152=0,"0",IF(AND(DB152&gt;=1,DB152&lt;=30),"1-30",IF(AND(DB152&gt;30,DB152&lt;=70),"31-70",IF(AND(DB152&gt;70,DB152&lt;=100),"71-100",IF(DB152&gt;100,"+100")))))</f>
        <v>31-70</v>
      </c>
      <c r="DD152">
        <v>0</v>
      </c>
      <c r="DE152">
        <v>1</v>
      </c>
      <c r="DF152">
        <v>1</v>
      </c>
      <c r="DG152">
        <v>1</v>
      </c>
      <c r="DH152"/>
      <c r="DI152">
        <f>SUM(DD152:DG152)</f>
        <v>3</v>
      </c>
      <c r="DJ152" t="str">
        <f>IF(DI152=1,INDEX($DD$7:$DG$7,MATCH(1,$DD152:$DG152,0)),"mixedProduct")</f>
        <v>mixedProduct</v>
      </c>
      <c r="DK152">
        <f>IF(DD152=1,DK$7,0)</f>
        <v>0</v>
      </c>
      <c r="DL152" t="str">
        <f>IF(DE152=1,DL$7,0)</f>
        <v>Energy</v>
      </c>
      <c r="DM152" t="str">
        <f>IF(DF152=1,DM$7,0)</f>
        <v>Pulp/Paper</v>
      </c>
      <c r="DN152" t="str">
        <f>IF(DG152=1,DN$7,0)</f>
        <v>Timber</v>
      </c>
      <c r="DO152">
        <v>1</v>
      </c>
      <c r="DP152">
        <v>1</v>
      </c>
      <c r="DQ152" t="s">
        <v>2317</v>
      </c>
      <c r="DR152">
        <v>0</v>
      </c>
      <c r="DS152">
        <v>0</v>
      </c>
      <c r="DT152">
        <f>SUM(DO152:DP152)</f>
        <v>2</v>
      </c>
      <c r="DU152" s="143" t="str">
        <f>IF(DO152=1,"self-calculated DF",IF(DP152=1,"external DF used","explicit C balance"))</f>
        <v>self-calculated DF</v>
      </c>
      <c r="DV152">
        <v>1</v>
      </c>
      <c r="DW152">
        <v>1</v>
      </c>
      <c r="DX152">
        <v>1</v>
      </c>
      <c r="DY152">
        <v>1</v>
      </c>
      <c r="DZ152">
        <v>1</v>
      </c>
      <c r="EA152" s="143">
        <v>1</v>
      </c>
      <c r="EB152">
        <v>1</v>
      </c>
      <c r="EC152">
        <v>1</v>
      </c>
      <c r="ED152">
        <v>1</v>
      </c>
      <c r="EE152">
        <v>1</v>
      </c>
      <c r="EF152">
        <v>1</v>
      </c>
      <c r="EG152">
        <v>1</v>
      </c>
      <c r="EH152">
        <v>0</v>
      </c>
      <c r="EI152" s="2">
        <v>0</v>
      </c>
      <c r="EJ152" s="1"/>
      <c r="EK152" t="str">
        <f>IF(AND(AND(AND(OR($DX152=1,$DW152=1),OR($EC152=1,$EA152=1)),SUM($DV152:$DZ152,$EF152)&gt;=4),SUM($EA152:$EE152)&gt;=2),"Whole sector","")</f>
        <v>Whole sector</v>
      </c>
      <c r="EL152" t="str">
        <f>IF(AND(AND(OR($DX152=1,$DW152=1),AND($EC152=0,$EA152=0)),SUM($DV152:$DZ152,$EF152)&gt;=4),"Ecosystem approach","")</f>
        <v/>
      </c>
      <c r="EM152" s="2" t="str">
        <f>IF(AND(AND(AND($DX152=0,$DW152=0),OR($EC152=1,$EA152=1)),SUM($EB152:$EE152)&gt;=2),"Technology approach","")</f>
        <v/>
      </c>
      <c r="EN152"/>
      <c r="EO152"/>
      <c r="EP152" t="str">
        <f>IF(ISNUMBER(BU152),IF(ABS(BU152-[4]QC_indicators!$B$2)&gt;3*[4]QC_indicators!$C$2,"C ratio",IF(ISNUMBER(BY152),IF(ABS(BY152-[4]QC_indicators!$B$1)&gt;3*[4]QC_indicators!$C$1,"DF","no"))),IF(ISNUMBER(BY152),IF(ABS(BY152-[4]QC_indicators!$B$1)&gt;3*[4]QC_indicators!$C$1,"DF","no")))</f>
        <v>no</v>
      </c>
      <c r="EQ152"/>
      <c r="ER152" s="149" t="s">
        <v>2328</v>
      </c>
      <c r="ES152"/>
      <c r="ET152" s="266" t="s">
        <v>3275</v>
      </c>
      <c r="EU152"/>
    </row>
    <row r="153" spans="1:151" s="139" customFormat="1" ht="15" hidden="1" customHeight="1">
      <c r="A153" s="1" t="s">
        <v>2350</v>
      </c>
      <c r="B153" t="s">
        <v>2351</v>
      </c>
      <c r="C153" t="s">
        <v>545</v>
      </c>
      <c r="D153" t="s">
        <v>2352</v>
      </c>
      <c r="E153" t="s">
        <v>2353</v>
      </c>
      <c r="F153" t="s">
        <v>2354</v>
      </c>
      <c r="G153" t="s">
        <v>2355</v>
      </c>
      <c r="H153" t="s">
        <v>255</v>
      </c>
      <c r="I153">
        <v>2021</v>
      </c>
      <c r="J153">
        <v>1</v>
      </c>
      <c r="K153" t="s">
        <v>2356</v>
      </c>
      <c r="L153"/>
      <c r="M153" t="str">
        <f>LEFT($D153,FIND(",",$D153)-1)&amp;"_"&amp;I153&amp;L153</f>
        <v>Soimakallio_2021</v>
      </c>
      <c r="N153" t="s">
        <v>223</v>
      </c>
      <c r="O153" s="145" t="s">
        <v>342</v>
      </c>
      <c r="P153"/>
      <c r="Q153" t="s">
        <v>257</v>
      </c>
      <c r="R153" s="285" t="s">
        <v>226</v>
      </c>
      <c r="S153" s="1" t="s">
        <v>2357</v>
      </c>
      <c r="T153" t="s">
        <v>1113</v>
      </c>
      <c r="U153" s="151" t="s">
        <v>3087</v>
      </c>
      <c r="V153" s="151">
        <v>0</v>
      </c>
      <c r="W153">
        <v>0</v>
      </c>
      <c r="X153">
        <v>0</v>
      </c>
      <c r="Y153" s="151">
        <v>2</v>
      </c>
      <c r="Z153">
        <v>0</v>
      </c>
      <c r="AA153">
        <v>0</v>
      </c>
      <c r="AB153">
        <v>0</v>
      </c>
      <c r="AC153">
        <v>0</v>
      </c>
      <c r="AD153">
        <v>0</v>
      </c>
      <c r="AE153">
        <v>0</v>
      </c>
      <c r="AF153" s="151">
        <v>1</v>
      </c>
      <c r="AG153">
        <v>0</v>
      </c>
      <c r="AH153">
        <v>0</v>
      </c>
      <c r="AI153">
        <v>0</v>
      </c>
      <c r="AJ153">
        <v>0</v>
      </c>
      <c r="AK153">
        <v>0</v>
      </c>
      <c r="AL153">
        <v>0</v>
      </c>
      <c r="AM153">
        <v>0</v>
      </c>
      <c r="AN153">
        <v>0</v>
      </c>
      <c r="AO153">
        <v>0</v>
      </c>
      <c r="AP153">
        <v>0</v>
      </c>
      <c r="AQ153">
        <v>0</v>
      </c>
      <c r="AR153">
        <v>0</v>
      </c>
      <c r="AS153">
        <v>0</v>
      </c>
      <c r="AT153">
        <v>0</v>
      </c>
      <c r="AU153">
        <v>0</v>
      </c>
      <c r="AV153">
        <v>0</v>
      </c>
      <c r="AW153">
        <v>0</v>
      </c>
      <c r="AX153" s="141">
        <f>COUNTIF(V153:AW153,"&lt;&gt;0")</f>
        <v>2</v>
      </c>
      <c r="AY153" s="141">
        <f>COUNTIF(V153:AL153,"&lt;&gt;0")</f>
        <v>2</v>
      </c>
      <c r="AZ153">
        <f>COUNTIF(V153:AC153,"&lt;&gt;0")</f>
        <v>1</v>
      </c>
      <c r="BA153">
        <f>COUNTIF(AD153:AI153,"&lt;&gt;0")</f>
        <v>1</v>
      </c>
      <c r="BB153">
        <f>COUNTIF(AJ153:AL153,"&lt;&gt;0")</f>
        <v>0</v>
      </c>
      <c r="BC153">
        <f>COUNTIF(AS153:AW153,"&lt;&gt;0")</f>
        <v>0</v>
      </c>
      <c r="BD153">
        <f>COUNTIF(AM153:AR153,"&lt;&gt;0")</f>
        <v>0</v>
      </c>
      <c r="BE153" t="str">
        <f t="array" ref="BE153">IF(AY153=1,INDEX($V$7:$AL$7,MATCH(TRUE,INDEX($V153:$AW153&lt;&gt;0,),0)),IF(AY153=0,INDEX($AM$7:$AW$7,MATCH(1,$AM153:$AW153,0)),IF(BF153="Multiple strategies","mixed drivers",IF(BF153="Supply chain","multiple supply","multiple silviculture"))))</f>
        <v>mixed drivers</v>
      </c>
      <c r="BF153" s="2" t="str">
        <f t="array" ref="BF153">IF(COUNTIF(AZ153:BB153,"&lt;&gt;0")=1,INDEX($V$4:$AW$4,MATCH(TRUE,INDEX($V153:$AW153&lt;&gt;0,),0)),IF(COUNTIF(AZ153:BB153,"&lt;&gt;0")=0,INDEX($AM$4:$AW$4,MATCH(1,$AM153:$AW153,0)),"Multiple strategies"))</f>
        <v>Multiple strategies</v>
      </c>
      <c r="BG153" s="1" t="s">
        <v>230</v>
      </c>
      <c r="BH153" t="s">
        <v>2358</v>
      </c>
      <c r="BI153" s="151" t="s">
        <v>813</v>
      </c>
      <c r="BJ153" s="151" t="s">
        <v>1361</v>
      </c>
      <c r="BK153"/>
      <c r="BL153"/>
      <c r="BM153"/>
      <c r="BN153">
        <v>0.9</v>
      </c>
      <c r="BO153">
        <f>BN153*10^6*tC_to_m3</f>
        <v>3907946.1571862791</v>
      </c>
      <c r="BP153" t="s">
        <v>233</v>
      </c>
      <c r="BQ153" s="315" t="s">
        <v>813</v>
      </c>
      <c r="BR153" s="151" t="s">
        <v>1302</v>
      </c>
      <c r="BS153"/>
      <c r="BT153"/>
      <c r="BU153" s="144"/>
      <c r="BV153">
        <v>-3.9</v>
      </c>
      <c r="BW153"/>
      <c r="BX153">
        <f>BV153*10^6*C_to_CO2</f>
        <v>-14313000</v>
      </c>
      <c r="BY153">
        <f>IFERROR(BX153/BO153,"")</f>
        <v>-3.6625376666666662</v>
      </c>
      <c r="BZ153">
        <v>0</v>
      </c>
      <c r="CA153">
        <v>1</v>
      </c>
      <c r="CB153" s="151">
        <v>0</v>
      </c>
      <c r="CC153" s="151">
        <v>1</v>
      </c>
      <c r="CD153">
        <v>0</v>
      </c>
      <c r="CE153">
        <v>0</v>
      </c>
      <c r="CF153">
        <v>0</v>
      </c>
      <c r="CG153">
        <v>0</v>
      </c>
      <c r="CH153">
        <v>0</v>
      </c>
      <c r="CI153">
        <v>0</v>
      </c>
      <c r="CJ153">
        <v>0</v>
      </c>
      <c r="CK153">
        <v>0</v>
      </c>
      <c r="CL153">
        <v>0</v>
      </c>
      <c r="CM153">
        <v>0</v>
      </c>
      <c r="CN153" t="str">
        <f>IF(BL153&lt;BK153,"refNeedCorrection","refOK")</f>
        <v>refOK</v>
      </c>
      <c r="CO153"/>
      <c r="CP153"/>
      <c r="CQ153">
        <f>IF($CN153="refNeedCorrection",-BO153,BO153)</f>
        <v>3907946.1571862791</v>
      </c>
      <c r="CR153">
        <f>IF($CN153="refOK",$BS153,$BT153)*IF($BP153="Emissions positive",-1,1)</f>
        <v>0</v>
      </c>
      <c r="CS153">
        <f>IF($CN153="refOK",$BT153,$BS153)*IF($BP153="Emissions positive",-1,1)</f>
        <v>0</v>
      </c>
      <c r="CT153">
        <f>IF($CN153="refNeedCorrection",-BX153,BX153)*IF($BP153="Emissions positive",-1,1)</f>
        <v>-14313000</v>
      </c>
      <c r="CU153">
        <f>IFERROR(CT153/CQ153,"")</f>
        <v>-3.6625376666666662</v>
      </c>
      <c r="CV153" s="2" t="str">
        <f>IFERROR((CS153-CR153)/ABS(CR153),"")</f>
        <v/>
      </c>
      <c r="CW153" s="1" t="s">
        <v>1205</v>
      </c>
      <c r="CX153" t="str">
        <f>IF(OR($CW153="prd",$CW153="std",$CW153="cit"),"loc",IF(OR($CW153="eur",$CW153="reg",$CW153="coy"),"reg",$CW153))</f>
        <v>reg</v>
      </c>
      <c r="CY153" t="s">
        <v>236</v>
      </c>
      <c r="CZ153">
        <v>2015</v>
      </c>
      <c r="DA153">
        <v>2044</v>
      </c>
      <c r="DB153">
        <f>DA153-CZ153</f>
        <v>29</v>
      </c>
      <c r="DC153" t="str">
        <f>IF(DB153=0,"0",IF(AND(DB153&gt;=1,DB153&lt;=30),"1-30",IF(AND(DB153&gt;30,DB153&lt;=70),"31-70",IF(AND(DB153&gt;70,DB153&lt;=100),"71-100",IF(DB153&gt;100,"+100")))))</f>
        <v>1-30</v>
      </c>
      <c r="DD153">
        <v>0</v>
      </c>
      <c r="DE153">
        <v>1</v>
      </c>
      <c r="DF153">
        <v>1</v>
      </c>
      <c r="DG153">
        <v>1</v>
      </c>
      <c r="DH153"/>
      <c r="DI153">
        <f>SUM(DD153:DG153)</f>
        <v>3</v>
      </c>
      <c r="DJ153" t="str">
        <f>IF(DI153=1,INDEX($DD$7:$DG$7,MATCH(1,$DD153:$DG153,0)),"mixedProduct")</f>
        <v>mixedProduct</v>
      </c>
      <c r="DK153">
        <f>IF(DD153=1,DK$7,0)</f>
        <v>0</v>
      </c>
      <c r="DL153" t="str">
        <f>IF(DE153=1,DL$7,0)</f>
        <v>Energy</v>
      </c>
      <c r="DM153" t="str">
        <f>IF(DF153=1,DM$7,0)</f>
        <v>Pulp/Paper</v>
      </c>
      <c r="DN153" t="str">
        <f>IF(DG153=1,DN$7,0)</f>
        <v>Timber</v>
      </c>
      <c r="DO153">
        <v>1</v>
      </c>
      <c r="DP153">
        <v>1</v>
      </c>
      <c r="DQ153" t="s">
        <v>2359</v>
      </c>
      <c r="DR153">
        <v>0</v>
      </c>
      <c r="DS153" t="s">
        <v>2360</v>
      </c>
      <c r="DT153">
        <f>SUM(DO153:DP153)</f>
        <v>2</v>
      </c>
      <c r="DU153" s="143" t="str">
        <f>IF(DO153=1,"self-calculated DF",IF(DP153=1,"external DF used","explicit C balance"))</f>
        <v>self-calculated DF</v>
      </c>
      <c r="DV153">
        <v>1</v>
      </c>
      <c r="DW153">
        <v>1</v>
      </c>
      <c r="DX153">
        <v>1</v>
      </c>
      <c r="DY153">
        <v>1</v>
      </c>
      <c r="DZ153" s="151">
        <v>1</v>
      </c>
      <c r="EA153" s="294">
        <v>1</v>
      </c>
      <c r="EB153">
        <v>0</v>
      </c>
      <c r="EC153">
        <v>1</v>
      </c>
      <c r="ED153">
        <v>0</v>
      </c>
      <c r="EE153">
        <v>0</v>
      </c>
      <c r="EF153">
        <v>1</v>
      </c>
      <c r="EG153">
        <v>0</v>
      </c>
      <c r="EH153">
        <v>0</v>
      </c>
      <c r="EI153" s="2">
        <v>0</v>
      </c>
      <c r="EJ153" s="1"/>
      <c r="EK153" t="str">
        <f>IF(AND(AND(AND(OR($DX153=1,$DW153=1),OR($EC153=1,$EA153=1)),SUM($DV153:$DZ153,$EF153)&gt;=4),SUM($EA153:$EE153)&gt;=2),"Whole sector","")</f>
        <v>Whole sector</v>
      </c>
      <c r="EL153" t="str">
        <f>IF(AND(AND(OR($DX153=1,$DW153=1),AND($EC153=0,$EA153=0)),SUM($DV153:$DZ153,$EF153)&gt;=4),"Ecosystem approach","")</f>
        <v/>
      </c>
      <c r="EM153" s="2" t="str">
        <f>IF(AND(AND(AND($DX153=0,$DW153=0),OR($EC153=1,$EA153=1)),SUM($EB153:$EE153)&gt;=2),"Technology approach","")</f>
        <v/>
      </c>
      <c r="EN153"/>
      <c r="EO153"/>
      <c r="EP153" t="str">
        <f>IF(ISNUMBER(BU153),IF(ABS(BU153-[4]QC_indicators!$B$2)&gt;3*[4]QC_indicators!$C$2,"C ratio",IF(ISNUMBER(BY153),IF(ABS(BY153-[4]QC_indicators!$B$1)&gt;3*[4]QC_indicators!$C$1,"DF","no"))),IF(ISNUMBER(BY153),IF(ABS(BY153-[4]QC_indicators!$B$1)&gt;3*[4]QC_indicators!$C$1,"DF","no")))</f>
        <v>no</v>
      </c>
      <c r="EQ153"/>
      <c r="ER153" s="149" t="s">
        <v>350</v>
      </c>
      <c r="ES153"/>
      <c r="ET153" t="s">
        <v>3086</v>
      </c>
      <c r="EU153"/>
    </row>
    <row r="154" spans="1:151" s="139" customFormat="1" ht="15" hidden="1" customHeight="1">
      <c r="A154" s="1" t="s">
        <v>2350</v>
      </c>
      <c r="B154" t="s">
        <v>2351</v>
      </c>
      <c r="C154" t="s">
        <v>545</v>
      </c>
      <c r="D154" t="s">
        <v>2352</v>
      </c>
      <c r="E154" t="s">
        <v>2353</v>
      </c>
      <c r="F154" t="s">
        <v>2354</v>
      </c>
      <c r="G154" t="s">
        <v>2355</v>
      </c>
      <c r="H154" t="s">
        <v>255</v>
      </c>
      <c r="I154">
        <v>2021</v>
      </c>
      <c r="J154">
        <v>1</v>
      </c>
      <c r="K154" t="s">
        <v>2356</v>
      </c>
      <c r="L154"/>
      <c r="M154" t="str">
        <f>LEFT($D154,FIND(",",$D154)-1)&amp;"_"&amp;I154&amp;L154</f>
        <v>Soimakallio_2021</v>
      </c>
      <c r="N154" t="s">
        <v>223</v>
      </c>
      <c r="O154" s="145" t="s">
        <v>342</v>
      </c>
      <c r="P154"/>
      <c r="Q154" t="s">
        <v>257</v>
      </c>
      <c r="R154" s="285" t="s">
        <v>226</v>
      </c>
      <c r="S154" s="1" t="s">
        <v>2361</v>
      </c>
      <c r="T154" t="s">
        <v>1113</v>
      </c>
      <c r="U154" s="151" t="s">
        <v>3088</v>
      </c>
      <c r="V154" s="151">
        <v>0</v>
      </c>
      <c r="W154">
        <v>0</v>
      </c>
      <c r="X154">
        <v>0</v>
      </c>
      <c r="Y154" s="151">
        <v>2</v>
      </c>
      <c r="Z154">
        <v>0</v>
      </c>
      <c r="AA154">
        <v>0</v>
      </c>
      <c r="AB154">
        <v>0</v>
      </c>
      <c r="AC154">
        <v>0</v>
      </c>
      <c r="AD154">
        <v>0</v>
      </c>
      <c r="AE154">
        <v>0</v>
      </c>
      <c r="AF154" s="151">
        <v>1</v>
      </c>
      <c r="AG154">
        <v>0</v>
      </c>
      <c r="AH154">
        <v>0</v>
      </c>
      <c r="AI154">
        <v>0</v>
      </c>
      <c r="AJ154">
        <v>0</v>
      </c>
      <c r="AK154">
        <v>0</v>
      </c>
      <c r="AL154">
        <v>0</v>
      </c>
      <c r="AM154">
        <v>0</v>
      </c>
      <c r="AN154">
        <v>0</v>
      </c>
      <c r="AO154">
        <v>0</v>
      </c>
      <c r="AP154">
        <v>0</v>
      </c>
      <c r="AQ154">
        <v>0</v>
      </c>
      <c r="AR154">
        <v>0</v>
      </c>
      <c r="AS154">
        <v>2</v>
      </c>
      <c r="AT154">
        <v>0</v>
      </c>
      <c r="AU154">
        <v>0</v>
      </c>
      <c r="AV154">
        <v>0</v>
      </c>
      <c r="AW154">
        <v>0</v>
      </c>
      <c r="AX154" s="141">
        <f>COUNTIF(V154:AW154,"&lt;&gt;0")</f>
        <v>3</v>
      </c>
      <c r="AY154" s="141">
        <f>COUNTIF(V154:AL154,"&lt;&gt;0")</f>
        <v>2</v>
      </c>
      <c r="AZ154">
        <f>COUNTIF(V154:AC154,"&lt;&gt;0")</f>
        <v>1</v>
      </c>
      <c r="BA154">
        <f>COUNTIF(AD154:AI154,"&lt;&gt;0")</f>
        <v>1</v>
      </c>
      <c r="BB154">
        <f>COUNTIF(AJ154:AL154,"&lt;&gt;0")</f>
        <v>0</v>
      </c>
      <c r="BC154">
        <f>COUNTIF(AS154:AW154,"&lt;&gt;0")</f>
        <v>1</v>
      </c>
      <c r="BD154">
        <f>COUNTIF(AM154:AR154,"&lt;&gt;0")</f>
        <v>0</v>
      </c>
      <c r="BE154" t="str">
        <f t="array" ref="BE154">IF(AY154=1,INDEX($V$7:$AL$7,MATCH(TRUE,INDEX($V154:$AW154&lt;&gt;0,),0)),IF(AY154=0,INDEX($AM$7:$AW$7,MATCH(1,$AM154:$AW154,0)),IF(BF154="Multiple strategies","mixed drivers",IF(BF154="Supply chain","multiple supply","multiple silviculture"))))</f>
        <v>mixed drivers</v>
      </c>
      <c r="BF154" s="2" t="str">
        <f t="array" ref="BF154">IF(COUNTIF(AZ154:BB154,"&lt;&gt;0")=1,INDEX($V$4:$AW$4,MATCH(TRUE,INDEX($V154:$AW154&lt;&gt;0,),0)),IF(COUNTIF(AZ154:BB154,"&lt;&gt;0")=0,INDEX($AM$4:$AW$4,MATCH(1,$AM154:$AW154,0)),"Multiple strategies"))</f>
        <v>Multiple strategies</v>
      </c>
      <c r="BG154" s="1" t="s">
        <v>230</v>
      </c>
      <c r="BH154" t="s">
        <v>2358</v>
      </c>
      <c r="BI154" s="151" t="s">
        <v>813</v>
      </c>
      <c r="BJ154" s="151" t="s">
        <v>1361</v>
      </c>
      <c r="BK154"/>
      <c r="BL154"/>
      <c r="BM154"/>
      <c r="BN154">
        <v>0.3</v>
      </c>
      <c r="BO154">
        <f>BN154*10^6*tC_to_m3</f>
        <v>1302648.7190620929</v>
      </c>
      <c r="BP154" t="s">
        <v>233</v>
      </c>
      <c r="BQ154" s="315" t="s">
        <v>813</v>
      </c>
      <c r="BR154" s="151" t="s">
        <v>1302</v>
      </c>
      <c r="BS154"/>
      <c r="BT154"/>
      <c r="BU154" s="144"/>
      <c r="BV154">
        <v>-0.9</v>
      </c>
      <c r="BW154"/>
      <c r="BX154">
        <f>BV154*10^6*C_to_CO2</f>
        <v>-3303000</v>
      </c>
      <c r="BY154">
        <f>IFERROR(BX154/BO154,"")</f>
        <v>-2.5356030000000001</v>
      </c>
      <c r="BZ154">
        <v>0</v>
      </c>
      <c r="CA154">
        <v>1</v>
      </c>
      <c r="CB154" s="151">
        <v>0</v>
      </c>
      <c r="CC154" s="151">
        <v>1</v>
      </c>
      <c r="CD154">
        <v>0</v>
      </c>
      <c r="CE154">
        <v>0</v>
      </c>
      <c r="CF154">
        <v>0</v>
      </c>
      <c r="CG154">
        <v>0</v>
      </c>
      <c r="CH154">
        <v>0</v>
      </c>
      <c r="CI154">
        <v>0</v>
      </c>
      <c r="CJ154">
        <v>0</v>
      </c>
      <c r="CK154">
        <v>0</v>
      </c>
      <c r="CL154">
        <v>0</v>
      </c>
      <c r="CM154">
        <v>0</v>
      </c>
      <c r="CN154" t="str">
        <f>IF(BL154&lt;BK154,"refNeedCorrection","refOK")</f>
        <v>refOK</v>
      </c>
      <c r="CO154"/>
      <c r="CP154"/>
      <c r="CQ154">
        <f>IF($CN154="refNeedCorrection",-BO154,BO154)</f>
        <v>1302648.7190620929</v>
      </c>
      <c r="CR154">
        <f>IF($CN154="refOK",$BS154,$BT154)*IF($BP154="Emissions positive",-1,1)</f>
        <v>0</v>
      </c>
      <c r="CS154">
        <f>IF($CN154="refOK",$BT154,$BS154)*IF($BP154="Emissions positive",-1,1)</f>
        <v>0</v>
      </c>
      <c r="CT154">
        <f>IF($CN154="refNeedCorrection",-BX154,BX154)*IF($BP154="Emissions positive",-1,1)</f>
        <v>-3303000</v>
      </c>
      <c r="CU154">
        <f>IFERROR(CT154/CQ154,"")</f>
        <v>-2.5356030000000001</v>
      </c>
      <c r="CV154" s="2" t="str">
        <f>IFERROR((CS154-CR154)/ABS(CR154),"")</f>
        <v/>
      </c>
      <c r="CW154" s="1" t="s">
        <v>1205</v>
      </c>
      <c r="CX154" t="str">
        <f>IF(OR($CW154="prd",$CW154="std",$CW154="cit"),"loc",IF(OR($CW154="eur",$CW154="reg",$CW154="coy"),"reg",$CW154))</f>
        <v>reg</v>
      </c>
      <c r="CY154" t="s">
        <v>236</v>
      </c>
      <c r="CZ154">
        <v>2015</v>
      </c>
      <c r="DA154">
        <v>2044</v>
      </c>
      <c r="DB154">
        <f>DA154-CZ154</f>
        <v>29</v>
      </c>
      <c r="DC154" t="str">
        <f>IF(DB154=0,"0",IF(AND(DB154&gt;=1,DB154&lt;=30),"1-30",IF(AND(DB154&gt;30,DB154&lt;=70),"31-70",IF(AND(DB154&gt;70,DB154&lt;=100),"71-100",IF(DB154&gt;100,"+100")))))</f>
        <v>1-30</v>
      </c>
      <c r="DD154">
        <v>0</v>
      </c>
      <c r="DE154">
        <v>1</v>
      </c>
      <c r="DF154">
        <v>1</v>
      </c>
      <c r="DG154">
        <v>1</v>
      </c>
      <c r="DH154"/>
      <c r="DI154">
        <f>SUM(DD154:DG154)</f>
        <v>3</v>
      </c>
      <c r="DJ154" t="str">
        <f>IF(DI154=1,INDEX($DD$7:$DG$7,MATCH(1,$DD154:$DG154,0)),"mixedProduct")</f>
        <v>mixedProduct</v>
      </c>
      <c r="DK154">
        <f>IF(DD154=1,DK$7,0)</f>
        <v>0</v>
      </c>
      <c r="DL154" t="str">
        <f>IF(DE154=1,DL$7,0)</f>
        <v>Energy</v>
      </c>
      <c r="DM154" t="str">
        <f>IF(DF154=1,DM$7,0)</f>
        <v>Pulp/Paper</v>
      </c>
      <c r="DN154" t="str">
        <f>IF(DG154=1,DN$7,0)</f>
        <v>Timber</v>
      </c>
      <c r="DO154">
        <v>1</v>
      </c>
      <c r="DP154">
        <v>1</v>
      </c>
      <c r="DQ154" t="s">
        <v>2359</v>
      </c>
      <c r="DR154">
        <v>0</v>
      </c>
      <c r="DS154" t="s">
        <v>2360</v>
      </c>
      <c r="DT154">
        <f>SUM(DO154:DP154)</f>
        <v>2</v>
      </c>
      <c r="DU154" s="143" t="str">
        <f>IF(DO154=1,"self-calculated DF",IF(DP154=1,"external DF used","explicit C balance"))</f>
        <v>self-calculated DF</v>
      </c>
      <c r="DV154">
        <v>1</v>
      </c>
      <c r="DW154">
        <v>1</v>
      </c>
      <c r="DX154">
        <v>1</v>
      </c>
      <c r="DY154">
        <v>1</v>
      </c>
      <c r="DZ154" s="151">
        <v>1</v>
      </c>
      <c r="EA154" s="294">
        <v>1</v>
      </c>
      <c r="EB154">
        <v>0</v>
      </c>
      <c r="EC154">
        <v>1</v>
      </c>
      <c r="ED154">
        <v>0</v>
      </c>
      <c r="EE154">
        <v>0</v>
      </c>
      <c r="EF154">
        <v>1</v>
      </c>
      <c r="EG154">
        <v>0</v>
      </c>
      <c r="EH154">
        <v>0</v>
      </c>
      <c r="EI154" s="2">
        <v>0</v>
      </c>
      <c r="EJ154" s="1"/>
      <c r="EK154" t="str">
        <f>IF(AND(AND(AND(OR($DX154=1,$DW154=1),OR($EC154=1,$EA154=1)),SUM($DV154:$DZ154,$EF154)&gt;=4),SUM($EA154:$EE154)&gt;=2),"Whole sector","")</f>
        <v>Whole sector</v>
      </c>
      <c r="EL154" t="str">
        <f>IF(AND(AND(OR($DX154=1,$DW154=1),AND($EC154=0,$EA154=0)),SUM($DV154:$DZ154,$EF154)&gt;=4),"Ecosystem approach","")</f>
        <v/>
      </c>
      <c r="EM154" s="2" t="str">
        <f>IF(AND(AND(AND($DX154=0,$DW154=0),OR($EC154=1,$EA154=1)),SUM($EB154:$EE154)&gt;=2),"Technology approach","")</f>
        <v/>
      </c>
      <c r="EN154"/>
      <c r="EO154"/>
      <c r="EP154" t="str">
        <f>IF(ISNUMBER(BU154),IF(ABS(BU154-[4]QC_indicators!$B$2)&gt;3*[4]QC_indicators!$C$2,"C ratio",IF(ISNUMBER(BY154),IF(ABS(BY154-[4]QC_indicators!$B$1)&gt;3*[4]QC_indicators!$C$1,"DF","no"))),IF(ISNUMBER(BY154),IF(ABS(BY154-[4]QC_indicators!$B$1)&gt;3*[4]QC_indicators!$C$1,"DF","no")))</f>
        <v>no</v>
      </c>
      <c r="EQ154"/>
      <c r="ER154" s="149" t="s">
        <v>350</v>
      </c>
      <c r="ES154"/>
      <c r="ET154" t="s">
        <v>3086</v>
      </c>
      <c r="EU154"/>
    </row>
    <row r="155" spans="1:151" s="139" customFormat="1" ht="15" hidden="1" customHeight="1">
      <c r="A155" s="1" t="s">
        <v>1810</v>
      </c>
      <c r="B155" t="s">
        <v>2259</v>
      </c>
      <c r="C155" t="s">
        <v>2260</v>
      </c>
      <c r="D155" t="s">
        <v>2261</v>
      </c>
      <c r="E155" t="s">
        <v>2262</v>
      </c>
      <c r="F155" t="s">
        <v>2263</v>
      </c>
      <c r="G155" t="s">
        <v>1816</v>
      </c>
      <c r="H155" t="s">
        <v>255</v>
      </c>
      <c r="I155">
        <v>2013</v>
      </c>
      <c r="J155">
        <v>49</v>
      </c>
      <c r="K155" t="s">
        <v>2264</v>
      </c>
      <c r="L155"/>
      <c r="M155" t="str">
        <f>LEFT($D155,FIND(",",$D155)-1)&amp;"_"&amp;I155&amp;L155</f>
        <v>Sikkema_2013</v>
      </c>
      <c r="N155" t="s">
        <v>223</v>
      </c>
      <c r="O155" s="145" t="s">
        <v>342</v>
      </c>
      <c r="P155"/>
      <c r="Q155" s="266" t="s">
        <v>257</v>
      </c>
      <c r="R155" s="271" t="s">
        <v>1156</v>
      </c>
      <c r="S155" s="1" t="s">
        <v>2265</v>
      </c>
      <c r="T155" t="s">
        <v>1101</v>
      </c>
      <c r="U155" t="e">
        <f>#REF!</f>
        <v>#REF!</v>
      </c>
      <c r="V155">
        <v>2</v>
      </c>
      <c r="W155">
        <v>0</v>
      </c>
      <c r="X155">
        <v>0</v>
      </c>
      <c r="Y155">
        <v>0</v>
      </c>
      <c r="Z155">
        <v>0</v>
      </c>
      <c r="AA155">
        <v>0</v>
      </c>
      <c r="AB155">
        <v>0</v>
      </c>
      <c r="AC155">
        <v>0</v>
      </c>
      <c r="AD155">
        <v>0</v>
      </c>
      <c r="AE155">
        <v>0</v>
      </c>
      <c r="AF155">
        <v>1</v>
      </c>
      <c r="AG155">
        <v>0</v>
      </c>
      <c r="AH155">
        <v>0</v>
      </c>
      <c r="AI155">
        <v>0</v>
      </c>
      <c r="AJ155">
        <v>0</v>
      </c>
      <c r="AK155">
        <v>0</v>
      </c>
      <c r="AL155">
        <v>0</v>
      </c>
      <c r="AM155">
        <v>0</v>
      </c>
      <c r="AN155">
        <v>0</v>
      </c>
      <c r="AO155">
        <v>0</v>
      </c>
      <c r="AP155">
        <v>0</v>
      </c>
      <c r="AQ155">
        <v>0</v>
      </c>
      <c r="AR155">
        <v>0</v>
      </c>
      <c r="AS155">
        <v>0</v>
      </c>
      <c r="AT155">
        <v>0</v>
      </c>
      <c r="AU155">
        <v>0</v>
      </c>
      <c r="AV155">
        <v>0</v>
      </c>
      <c r="AW155">
        <v>0</v>
      </c>
      <c r="AX155" s="141">
        <f>COUNTIF(V155:AW155,"&lt;&gt;0")</f>
        <v>2</v>
      </c>
      <c r="AY155" s="141">
        <f>COUNTIF(V155:AL155,"&lt;&gt;0")</f>
        <v>2</v>
      </c>
      <c r="AZ155">
        <f>COUNTIF(V155:AC155,"&lt;&gt;0")</f>
        <v>1</v>
      </c>
      <c r="BA155">
        <f>COUNTIF(AD155:AI155,"&lt;&gt;0")</f>
        <v>1</v>
      </c>
      <c r="BB155">
        <f>COUNTIF(AJ155:AL155,"&lt;&gt;0")</f>
        <v>0</v>
      </c>
      <c r="BC155">
        <f>COUNTIF(AS155:AW155,"&lt;&gt;0")</f>
        <v>0</v>
      </c>
      <c r="BD155">
        <f>COUNTIF(AM155:AR155,"&lt;&gt;0")</f>
        <v>0</v>
      </c>
      <c r="BE155" t="str" cm="1">
        <f t="array" ref="BE155">IF(AY155=1,INDEX($V$7:$AL$7,MATCH(TRUE,INDEX($V155:$AW155&lt;&gt;0,),0)),IF(AY155=0,INDEX($AM$7:$AW$7,MATCH(1,$AM155:$AW155,0)),IF(BF155="Multiple strategies","mixed drivers",IF(BF155="Supply chain","multiple supply","multiple silviculture"))))</f>
        <v>mixed drivers</v>
      </c>
      <c r="BF155" s="2" t="str" cm="1">
        <f t="array" ref="BF155">IF(COUNTIF(AZ155:BB155,"&lt;&gt;0")=1,INDEX($V$4:$AW$4,MATCH(TRUE,INDEX($V155:$AW155&lt;&gt;0,),0)),IF(COUNTIF(AZ155:BB155,"&lt;&gt;0")=0,INDEX($AM$4:$AW$4,MATCH(1,$AM155:$AW155,0)),"Multiple strategies"))</f>
        <v>Multiple strategies</v>
      </c>
      <c r="BG155" s="1" t="s">
        <v>322</v>
      </c>
      <c r="BH155" t="s">
        <v>2266</v>
      </c>
      <c r="BI155"/>
      <c r="BJ155" t="s">
        <v>1357</v>
      </c>
      <c r="BK155">
        <v>130</v>
      </c>
      <c r="BL155">
        <v>180</v>
      </c>
      <c r="BM155"/>
      <c r="BN155">
        <f>BL155-BK155</f>
        <v>50</v>
      </c>
      <c r="BO155">
        <f>BN155*10^6</f>
        <v>50000000</v>
      </c>
      <c r="BP155" s="266" t="s">
        <v>233</v>
      </c>
      <c r="BQ155" s="303"/>
      <c r="BR155" t="s">
        <v>1142</v>
      </c>
      <c r="BS155">
        <v>-41.3</v>
      </c>
      <c r="BT155">
        <v>-25.4</v>
      </c>
      <c r="BU155" s="144">
        <v>0.61501210653753025</v>
      </c>
      <c r="BV155">
        <v>15.899999999999999</v>
      </c>
      <c r="BW155"/>
      <c r="BX155">
        <f>BV155*10^6</f>
        <v>15899999.999999998</v>
      </c>
      <c r="BY155">
        <f>IFERROR(BX155/BO155,"")</f>
        <v>0.31799999999999995</v>
      </c>
      <c r="BZ155">
        <v>0</v>
      </c>
      <c r="CA155">
        <v>0</v>
      </c>
      <c r="CB155">
        <v>0</v>
      </c>
      <c r="CC155">
        <v>0</v>
      </c>
      <c r="CD155">
        <v>0</v>
      </c>
      <c r="CE155">
        <v>0</v>
      </c>
      <c r="CF155">
        <v>0</v>
      </c>
      <c r="CG155">
        <v>0</v>
      </c>
      <c r="CH155">
        <v>0</v>
      </c>
      <c r="CI155">
        <v>0</v>
      </c>
      <c r="CJ155">
        <v>0</v>
      </c>
      <c r="CK155">
        <v>0</v>
      </c>
      <c r="CL155">
        <v>0</v>
      </c>
      <c r="CM155">
        <v>0</v>
      </c>
      <c r="CN155" t="str">
        <f>IF($BL155&lt;$BK155,"refNeedCorrection","refOK")</f>
        <v>refOK</v>
      </c>
      <c r="CO155">
        <f>IF($CN155="refOK",$BK155,$BL155)</f>
        <v>130</v>
      </c>
      <c r="CP155">
        <f>IF($CN155="refOK",$BL155,$BK155)</f>
        <v>180</v>
      </c>
      <c r="CQ155">
        <f>IF($CN155="refOK",$BO155,-$BO155)</f>
        <v>50000000</v>
      </c>
      <c r="CR155">
        <f>IF($CN155="refOK",$BS155,$BT155)*IF($BP155="Emissions positive",-1,1)</f>
        <v>-41.3</v>
      </c>
      <c r="CS155">
        <f>IF($CN155="refOK",$BT155,$BS155)*IF($BP155="Emissions positive",-1,1)</f>
        <v>-25.4</v>
      </c>
      <c r="CT155">
        <f>IF($CN155="refNeedCorrection",-BX155,BX155)*IF($BP155="Emissions positive",-1,1)</f>
        <v>15899999.999999998</v>
      </c>
      <c r="CU155">
        <f>IFERROR(CT155/CQ155,"")</f>
        <v>0.31799999999999995</v>
      </c>
      <c r="CV155" s="2">
        <f>IFERROR((CS155-CR155)/ABS(CR155),"")</f>
        <v>0.3849878934624697</v>
      </c>
      <c r="CW155" s="1" t="s">
        <v>1205</v>
      </c>
      <c r="CX155" s="266" t="str">
        <f>IF(OR($CW155="prd",$CW155="std",$CW155="cit"),"loc",IF(OR($CW155="eur",$CW155="reg",$CW155="coy"),"reg",$CW155))</f>
        <v>reg</v>
      </c>
      <c r="CY155" t="s">
        <v>541</v>
      </c>
      <c r="CZ155">
        <v>2012</v>
      </c>
      <c r="DA155">
        <v>2112</v>
      </c>
      <c r="DB155">
        <v>100</v>
      </c>
      <c r="DC155" t="str">
        <f>IF(DB155=0,"0",IF(AND(DB155&gt;=1,DB155&lt;=30),"1-30",IF(AND(DB155&gt;30,DB155&lt;=70),"31-70",IF(AND(DB155&gt;70,DB155&lt;=100),"71-100",IF(DB155&gt;100,"+100")))))</f>
        <v>71-100</v>
      </c>
      <c r="DD155">
        <v>0</v>
      </c>
      <c r="DE155">
        <v>1</v>
      </c>
      <c r="DF155">
        <v>1</v>
      </c>
      <c r="DG155">
        <v>1</v>
      </c>
      <c r="DH155"/>
      <c r="DI155">
        <f>SUM(DD155:DG155)</f>
        <v>3</v>
      </c>
      <c r="DJ155" t="str">
        <f>IF(DI155=1,INDEX($DD$7:$DG$7,MATCH(1,$DD155:$DG155,0)),"mixedProduct")</f>
        <v>mixedProduct</v>
      </c>
      <c r="DK155">
        <f>IF(DD155=1,DK$7,0)</f>
        <v>0</v>
      </c>
      <c r="DL155" t="str">
        <f>IF(DE155=1,DL$7,0)</f>
        <v>Energy</v>
      </c>
      <c r="DM155" t="str">
        <f>IF(DF155=1,DM$7,0)</f>
        <v>Pulp/Paper</v>
      </c>
      <c r="DN155" t="str">
        <f>IF(DG155=1,DN$7,0)</f>
        <v>Timber</v>
      </c>
      <c r="DO155" t="s">
        <v>2267</v>
      </c>
      <c r="DP155">
        <v>1</v>
      </c>
      <c r="DQ155" s="184" t="s">
        <v>2268</v>
      </c>
      <c r="DR155" t="s">
        <v>2269</v>
      </c>
      <c r="DS155"/>
      <c r="DT155">
        <f>SUM(DO155:DP155)</f>
        <v>1</v>
      </c>
      <c r="DU155" s="143" t="str">
        <f>IF(DO155=1,"self-calculated DF",IF(DP155=1,"external DF used","explicit C balance"))</f>
        <v>external DF used</v>
      </c>
      <c r="DV155">
        <v>0</v>
      </c>
      <c r="DW155">
        <v>0</v>
      </c>
      <c r="DX155">
        <v>0</v>
      </c>
      <c r="DY155">
        <v>1</v>
      </c>
      <c r="DZ155">
        <v>1</v>
      </c>
      <c r="EA155">
        <v>1</v>
      </c>
      <c r="EB155">
        <v>0</v>
      </c>
      <c r="EC155">
        <v>1</v>
      </c>
      <c r="ED155">
        <v>0</v>
      </c>
      <c r="EE155">
        <v>1</v>
      </c>
      <c r="EF155">
        <v>1</v>
      </c>
      <c r="EG155">
        <v>1</v>
      </c>
      <c r="EH155">
        <v>1</v>
      </c>
      <c r="EI155" s="2">
        <v>0</v>
      </c>
      <c r="EJ155" s="1"/>
      <c r="EK155" t="str">
        <f>IF(AND(AND(AND(OR($DX155=1,$DW155=1),OR($EC155=1,$EA155=1)),SUM($DV155:$DZ155,$EF155)&gt;=4),SUM($EA155:$EE155)&gt;=2),"Whole sector","")</f>
        <v/>
      </c>
      <c r="EL155" t="str">
        <f>IF(AND(AND(OR($DX155=1,$DW155=1),AND($EC155=0,$EA155=0)),SUM($DV155:$DZ155,$EF155)&gt;=4),"Ecosystem approach","")</f>
        <v/>
      </c>
      <c r="EM155" s="2" t="str">
        <f>IF(AND(AND(AND($DX155=0,$DW155=0),OR($EC155=1,$EA155=1)),SUM($EB155:$EE155)&gt;=2),"Technology approach","")</f>
        <v>Technology approach</v>
      </c>
      <c r="EN155"/>
      <c r="EO155"/>
      <c r="EP155" t="str">
        <f>IF(ISNUMBER(BU155),IF(ABS(BU155-[1]QC_indicators!$B$2)&gt;3*[1]QC_indicators!$C$2,"C ratio",IF(ISNUMBER(BY155),IF(ABS(BY155-[1]QC_indicators!$B$1)&gt;3*[1]QC_indicators!$C$1,"DF","no"))),IF(ISNUMBER(BY155),IF(ABS(BY155-[1]QC_indicators!$B$1)&gt;3*[1]QC_indicators!$C$1,"DF","no")))</f>
        <v>no</v>
      </c>
      <c r="EQ155"/>
      <c r="ER155" s="266" t="s">
        <v>2270</v>
      </c>
      <c r="ES155"/>
      <c r="ET155" s="266" t="s">
        <v>3409</v>
      </c>
      <c r="EU155"/>
    </row>
    <row r="156" spans="1:151" s="139" customFormat="1" ht="15" hidden="1" customHeight="1">
      <c r="A156" s="1" t="s">
        <v>1810</v>
      </c>
      <c r="B156" t="s">
        <v>2259</v>
      </c>
      <c r="C156" t="s">
        <v>2260</v>
      </c>
      <c r="D156" t="s">
        <v>2261</v>
      </c>
      <c r="E156" t="s">
        <v>2262</v>
      </c>
      <c r="F156" t="s">
        <v>2263</v>
      </c>
      <c r="G156" t="s">
        <v>1816</v>
      </c>
      <c r="H156" t="s">
        <v>255</v>
      </c>
      <c r="I156">
        <v>2013</v>
      </c>
      <c r="J156">
        <v>49</v>
      </c>
      <c r="K156" t="s">
        <v>2264</v>
      </c>
      <c r="L156"/>
      <c r="M156" t="str">
        <f>LEFT($D156,FIND(",",$D156)-1)&amp;"_"&amp;I156&amp;L156</f>
        <v>Sikkema_2013</v>
      </c>
      <c r="N156" t="s">
        <v>223</v>
      </c>
      <c r="O156" s="145" t="s">
        <v>342</v>
      </c>
      <c r="P156"/>
      <c r="Q156" s="266" t="s">
        <v>257</v>
      </c>
      <c r="R156" s="271" t="s">
        <v>1156</v>
      </c>
      <c r="S156" s="1" t="s">
        <v>2271</v>
      </c>
      <c r="T156" t="s">
        <v>1101</v>
      </c>
      <c r="U156" t="e">
        <f>#REF!</f>
        <v>#REF!</v>
      </c>
      <c r="V156">
        <v>2</v>
      </c>
      <c r="W156">
        <v>0</v>
      </c>
      <c r="X156">
        <v>0</v>
      </c>
      <c r="Y156">
        <v>0</v>
      </c>
      <c r="Z156">
        <v>0</v>
      </c>
      <c r="AA156">
        <v>0</v>
      </c>
      <c r="AB156">
        <v>0</v>
      </c>
      <c r="AC156">
        <v>0</v>
      </c>
      <c r="AD156">
        <v>0</v>
      </c>
      <c r="AE156">
        <v>0</v>
      </c>
      <c r="AF156">
        <v>1</v>
      </c>
      <c r="AG156">
        <v>0</v>
      </c>
      <c r="AH156">
        <v>0</v>
      </c>
      <c r="AI156">
        <v>0</v>
      </c>
      <c r="AJ156">
        <v>0</v>
      </c>
      <c r="AK156">
        <v>0</v>
      </c>
      <c r="AL156">
        <v>0</v>
      </c>
      <c r="AM156">
        <v>0</v>
      </c>
      <c r="AN156">
        <v>0</v>
      </c>
      <c r="AO156">
        <v>0</v>
      </c>
      <c r="AP156">
        <v>0</v>
      </c>
      <c r="AQ156">
        <v>0</v>
      </c>
      <c r="AR156">
        <v>0</v>
      </c>
      <c r="AS156">
        <v>0</v>
      </c>
      <c r="AT156">
        <v>0</v>
      </c>
      <c r="AU156">
        <v>0</v>
      </c>
      <c r="AV156">
        <v>0</v>
      </c>
      <c r="AW156">
        <v>0</v>
      </c>
      <c r="AX156" s="141">
        <f>COUNTIF(V156:AW156,"&lt;&gt;0")</f>
        <v>2</v>
      </c>
      <c r="AY156" s="141">
        <f>COUNTIF(V156:AL156,"&lt;&gt;0")</f>
        <v>2</v>
      </c>
      <c r="AZ156">
        <f>COUNTIF(V156:AC156,"&lt;&gt;0")</f>
        <v>1</v>
      </c>
      <c r="BA156">
        <f>COUNTIF(AD156:AI156,"&lt;&gt;0")</f>
        <v>1</v>
      </c>
      <c r="BB156">
        <f>COUNTIF(AJ156:AL156,"&lt;&gt;0")</f>
        <v>0</v>
      </c>
      <c r="BC156">
        <f>COUNTIF(AS156:AW156,"&lt;&gt;0")</f>
        <v>0</v>
      </c>
      <c r="BD156">
        <f>COUNTIF(AM156:AR156,"&lt;&gt;0")</f>
        <v>0</v>
      </c>
      <c r="BE156" t="str" cm="1">
        <f t="array" ref="BE156">IF(AY156=1,INDEX($V$7:$AL$7,MATCH(TRUE,INDEX($V156:$AW156&lt;&gt;0,),0)),IF(AY156=0,INDEX($AM$7:$AW$7,MATCH(1,$AM156:$AW156,0)),IF(BF156="Multiple strategies","mixed drivers",IF(BF156="Supply chain","multiple supply","multiple silviculture"))))</f>
        <v>mixed drivers</v>
      </c>
      <c r="BF156" s="2" t="str" cm="1">
        <f t="array" ref="BF156">IF(COUNTIF(AZ156:BB156,"&lt;&gt;0")=1,INDEX($V$4:$AW$4,MATCH(TRUE,INDEX($V156:$AW156&lt;&gt;0,),0)),IF(COUNTIF(AZ156:BB156,"&lt;&gt;0")=0,INDEX($AM$4:$AW$4,MATCH(1,$AM156:$AW156,0)),"Multiple strategies"))</f>
        <v>Multiple strategies</v>
      </c>
      <c r="BG156" s="1" t="s">
        <v>322</v>
      </c>
      <c r="BH156" t="s">
        <v>2266</v>
      </c>
      <c r="BI156"/>
      <c r="BJ156" t="s">
        <v>1357</v>
      </c>
      <c r="BK156">
        <v>130</v>
      </c>
      <c r="BL156">
        <v>180</v>
      </c>
      <c r="BM156"/>
      <c r="BN156">
        <f>BL156-BK156</f>
        <v>50</v>
      </c>
      <c r="BO156">
        <f>BN156*10^6</f>
        <v>50000000</v>
      </c>
      <c r="BP156" s="266" t="s">
        <v>233</v>
      </c>
      <c r="BQ156" s="303"/>
      <c r="BR156" t="s">
        <v>1142</v>
      </c>
      <c r="BS156">
        <v>-41.3</v>
      </c>
      <c r="BT156">
        <v>-24.3</v>
      </c>
      <c r="BU156" s="144">
        <v>0.58837772397094434</v>
      </c>
      <c r="BV156">
        <v>16.999999999999996</v>
      </c>
      <c r="BW156"/>
      <c r="BX156">
        <f>BV156*10^6</f>
        <v>16999999.999999996</v>
      </c>
      <c r="BY156">
        <f>IFERROR(BX156/BO156,"")</f>
        <v>0.33999999999999991</v>
      </c>
      <c r="BZ156">
        <v>0</v>
      </c>
      <c r="CA156">
        <v>0</v>
      </c>
      <c r="CB156">
        <v>0</v>
      </c>
      <c r="CC156">
        <v>0</v>
      </c>
      <c r="CD156">
        <v>0</v>
      </c>
      <c r="CE156">
        <v>0</v>
      </c>
      <c r="CF156">
        <v>0</v>
      </c>
      <c r="CG156">
        <v>0</v>
      </c>
      <c r="CH156">
        <v>0</v>
      </c>
      <c r="CI156">
        <v>0</v>
      </c>
      <c r="CJ156">
        <v>0</v>
      </c>
      <c r="CK156">
        <v>0</v>
      </c>
      <c r="CL156">
        <v>0</v>
      </c>
      <c r="CM156">
        <v>0</v>
      </c>
      <c r="CN156" t="str">
        <f>IF($BL156&lt;$BK156,"refNeedCorrection","refOK")</f>
        <v>refOK</v>
      </c>
      <c r="CO156">
        <f>IF($CN156="refOK",$BK156,$BL156)</f>
        <v>130</v>
      </c>
      <c r="CP156">
        <f>IF($CN156="refOK",$BL156,$BK156)</f>
        <v>180</v>
      </c>
      <c r="CQ156">
        <f>IF($CN156="refOK",$BO156,-$BO156)</f>
        <v>50000000</v>
      </c>
      <c r="CR156">
        <f>IF($CN156="refOK",$BS156,$BT156)*IF($BP156="Emissions positive",-1,1)</f>
        <v>-41.3</v>
      </c>
      <c r="CS156">
        <f>IF($CN156="refOK",$BT156,$BS156)*IF($BP156="Emissions positive",-1,1)</f>
        <v>-24.3</v>
      </c>
      <c r="CT156">
        <f>IF($CN156="refNeedCorrection",-BX156,BX156)*IF($BP156="Emissions positive",-1,1)</f>
        <v>16999999.999999996</v>
      </c>
      <c r="CU156">
        <f>IFERROR(CT156/CQ156,"")</f>
        <v>0.33999999999999991</v>
      </c>
      <c r="CV156" s="2">
        <f>IFERROR((CS156-CR156)/ABS(CR156),"")</f>
        <v>0.41162227602905566</v>
      </c>
      <c r="CW156" s="1" t="s">
        <v>1205</v>
      </c>
      <c r="CX156" s="266" t="str">
        <f>IF(OR($CW156="prd",$CW156="std",$CW156="cit"),"loc",IF(OR($CW156="eur",$CW156="reg",$CW156="coy"),"reg",$CW156))</f>
        <v>reg</v>
      </c>
      <c r="CY156" t="s">
        <v>541</v>
      </c>
      <c r="CZ156">
        <v>2012</v>
      </c>
      <c r="DA156">
        <v>2112</v>
      </c>
      <c r="DB156">
        <v>100</v>
      </c>
      <c r="DC156" t="str">
        <f>IF(DB156=0,"0",IF(AND(DB156&gt;=1,DB156&lt;=30),"1-30",IF(AND(DB156&gt;30,DB156&lt;=70),"31-70",IF(AND(DB156&gt;70,DB156&lt;=100),"71-100",IF(DB156&gt;100,"+100")))))</f>
        <v>71-100</v>
      </c>
      <c r="DD156">
        <v>0</v>
      </c>
      <c r="DE156">
        <v>1</v>
      </c>
      <c r="DF156">
        <v>1</v>
      </c>
      <c r="DG156">
        <v>1</v>
      </c>
      <c r="DH156"/>
      <c r="DI156">
        <f>SUM(DD156:DG156)</f>
        <v>3</v>
      </c>
      <c r="DJ156" t="str">
        <f>IF(DI156=1,INDEX($DD$7:$DG$7,MATCH(1,$DD156:$DG156,0)),"mixedProduct")</f>
        <v>mixedProduct</v>
      </c>
      <c r="DK156">
        <f>IF(DD156=1,DK$7,0)</f>
        <v>0</v>
      </c>
      <c r="DL156" t="str">
        <f>IF(DE156=1,DL$7,0)</f>
        <v>Energy</v>
      </c>
      <c r="DM156" t="str">
        <f>IF(DF156=1,DM$7,0)</f>
        <v>Pulp/Paper</v>
      </c>
      <c r="DN156" t="str">
        <f>IF(DG156=1,DN$7,0)</f>
        <v>Timber</v>
      </c>
      <c r="DO156" t="s">
        <v>2267</v>
      </c>
      <c r="DP156">
        <v>1</v>
      </c>
      <c r="DQ156" s="184" t="s">
        <v>2268</v>
      </c>
      <c r="DR156" t="s">
        <v>2269</v>
      </c>
      <c r="DS156"/>
      <c r="DT156">
        <f>SUM(DO156:DP156)</f>
        <v>1</v>
      </c>
      <c r="DU156" s="143" t="str">
        <f>IF(DO156=1,"self-calculated DF",IF(DP156=1,"external DF used","explicit C balance"))</f>
        <v>external DF used</v>
      </c>
      <c r="DV156">
        <v>0</v>
      </c>
      <c r="DW156">
        <v>0</v>
      </c>
      <c r="DX156">
        <v>0</v>
      </c>
      <c r="DY156">
        <v>1</v>
      </c>
      <c r="DZ156">
        <v>1</v>
      </c>
      <c r="EA156">
        <v>1</v>
      </c>
      <c r="EB156">
        <v>0</v>
      </c>
      <c r="EC156">
        <v>1</v>
      </c>
      <c r="ED156">
        <v>0</v>
      </c>
      <c r="EE156">
        <v>1</v>
      </c>
      <c r="EF156">
        <v>1</v>
      </c>
      <c r="EG156">
        <v>1</v>
      </c>
      <c r="EH156">
        <v>1</v>
      </c>
      <c r="EI156" s="2">
        <v>0</v>
      </c>
      <c r="EJ156" s="1"/>
      <c r="EK156" t="str">
        <f>IF(AND(AND(AND(OR($DX156=1,$DW156=1),OR($EC156=1,$EA156=1)),SUM($DV156:$DZ156,$EF156)&gt;=4),SUM($EA156:$EE156)&gt;=2),"Whole sector","")</f>
        <v/>
      </c>
      <c r="EL156" t="str">
        <f>IF(AND(AND(OR($DX156=1,$DW156=1),AND($EC156=0,$EA156=0)),SUM($DV156:$DZ156,$EF156)&gt;=4),"Ecosystem approach","")</f>
        <v/>
      </c>
      <c r="EM156" s="2" t="str">
        <f>IF(AND(AND(AND($DX156=0,$DW156=0),OR($EC156=1,$EA156=1)),SUM($EB156:$EE156)&gt;=2),"Technology approach","")</f>
        <v>Technology approach</v>
      </c>
      <c r="EN156"/>
      <c r="EO156"/>
      <c r="EP156" t="str">
        <f>IF(ISNUMBER(BU156),IF(ABS(BU156-[1]QC_indicators!$B$2)&gt;3*[1]QC_indicators!$C$2,"C ratio",IF(ISNUMBER(BY156),IF(ABS(BY156-[1]QC_indicators!$B$1)&gt;3*[1]QC_indicators!$C$1,"DF","no"))),IF(ISNUMBER(BY156),IF(ABS(BY156-[1]QC_indicators!$B$1)&gt;3*[1]QC_indicators!$C$1,"DF","no")))</f>
        <v>no</v>
      </c>
      <c r="EQ156"/>
      <c r="ER156" s="266" t="s">
        <v>2270</v>
      </c>
      <c r="ES156"/>
      <c r="ET156" s="266" t="s">
        <v>3409</v>
      </c>
      <c r="EU156"/>
    </row>
    <row r="157" spans="1:151" s="139" customFormat="1" ht="15" hidden="1" customHeight="1">
      <c r="A157" s="1" t="s">
        <v>1810</v>
      </c>
      <c r="B157" t="s">
        <v>2259</v>
      </c>
      <c r="C157" t="s">
        <v>2260</v>
      </c>
      <c r="D157" t="s">
        <v>2261</v>
      </c>
      <c r="E157" t="s">
        <v>2262</v>
      </c>
      <c r="F157" t="s">
        <v>2263</v>
      </c>
      <c r="G157" t="s">
        <v>1816</v>
      </c>
      <c r="H157" t="s">
        <v>255</v>
      </c>
      <c r="I157">
        <v>2013</v>
      </c>
      <c r="J157">
        <v>49</v>
      </c>
      <c r="K157" t="s">
        <v>2264</v>
      </c>
      <c r="L157"/>
      <c r="M157" t="str">
        <f>LEFT($D157,FIND(",",$D157)-1)&amp;"_"&amp;I157&amp;L157</f>
        <v>Sikkema_2013</v>
      </c>
      <c r="N157" t="s">
        <v>223</v>
      </c>
      <c r="O157" s="145" t="s">
        <v>342</v>
      </c>
      <c r="P157"/>
      <c r="Q157" s="266" t="s">
        <v>257</v>
      </c>
      <c r="R157" s="271" t="s">
        <v>1156</v>
      </c>
      <c r="S157" s="1" t="s">
        <v>2272</v>
      </c>
      <c r="T157" t="s">
        <v>1101</v>
      </c>
      <c r="U157" t="e">
        <f>#REF!</f>
        <v>#REF!</v>
      </c>
      <c r="V157">
        <v>2</v>
      </c>
      <c r="W157">
        <v>0</v>
      </c>
      <c r="X157">
        <v>0</v>
      </c>
      <c r="Y157">
        <v>0</v>
      </c>
      <c r="Z157">
        <v>0</v>
      </c>
      <c r="AA157">
        <v>0</v>
      </c>
      <c r="AB157">
        <v>0</v>
      </c>
      <c r="AC157">
        <v>0</v>
      </c>
      <c r="AD157">
        <v>0</v>
      </c>
      <c r="AE157">
        <v>0</v>
      </c>
      <c r="AF157">
        <v>1</v>
      </c>
      <c r="AG157">
        <v>0</v>
      </c>
      <c r="AH157">
        <v>0</v>
      </c>
      <c r="AI157">
        <v>0</v>
      </c>
      <c r="AJ157">
        <v>0</v>
      </c>
      <c r="AK157">
        <v>0</v>
      </c>
      <c r="AL157">
        <v>0</v>
      </c>
      <c r="AM157">
        <v>0</v>
      </c>
      <c r="AN157">
        <v>0</v>
      </c>
      <c r="AO157">
        <v>0</v>
      </c>
      <c r="AP157">
        <v>0</v>
      </c>
      <c r="AQ157">
        <v>0</v>
      </c>
      <c r="AR157">
        <v>0</v>
      </c>
      <c r="AS157">
        <v>0</v>
      </c>
      <c r="AT157">
        <v>0</v>
      </c>
      <c r="AU157">
        <v>0</v>
      </c>
      <c r="AV157">
        <v>0</v>
      </c>
      <c r="AW157">
        <v>0</v>
      </c>
      <c r="AX157" s="141">
        <f>COUNTIF(V157:AW157,"&lt;&gt;0")</f>
        <v>2</v>
      </c>
      <c r="AY157" s="141">
        <f>COUNTIF(V157:AL157,"&lt;&gt;0")</f>
        <v>2</v>
      </c>
      <c r="AZ157">
        <f>COUNTIF(V157:AC157,"&lt;&gt;0")</f>
        <v>1</v>
      </c>
      <c r="BA157">
        <f>COUNTIF(AD157:AI157,"&lt;&gt;0")</f>
        <v>1</v>
      </c>
      <c r="BB157">
        <f>COUNTIF(AJ157:AL157,"&lt;&gt;0")</f>
        <v>0</v>
      </c>
      <c r="BC157">
        <f>COUNTIF(AS157:AW157,"&lt;&gt;0")</f>
        <v>0</v>
      </c>
      <c r="BD157">
        <f>COUNTIF(AM157:AR157,"&lt;&gt;0")</f>
        <v>0</v>
      </c>
      <c r="BE157" t="str" cm="1">
        <f t="array" ref="BE157">IF(AY157=1,INDEX($V$7:$AL$7,MATCH(TRUE,INDEX($V157:$AW157&lt;&gt;0,),0)),IF(AY157=0,INDEX($AM$7:$AW$7,MATCH(1,$AM157:$AW157,0)),IF(BF157="Multiple strategies","mixed drivers",IF(BF157="Supply chain","multiple supply","multiple silviculture"))))</f>
        <v>mixed drivers</v>
      </c>
      <c r="BF157" s="2" t="str" cm="1">
        <f t="array" ref="BF157">IF(COUNTIF(AZ157:BB157,"&lt;&gt;0")=1,INDEX($V$4:$AW$4,MATCH(TRUE,INDEX($V157:$AW157&lt;&gt;0,),0)),IF(COUNTIF(AZ157:BB157,"&lt;&gt;0")=0,INDEX($AM$4:$AW$4,MATCH(1,$AM157:$AW157,0)),"Multiple strategies"))</f>
        <v>Multiple strategies</v>
      </c>
      <c r="BG157" s="1" t="s">
        <v>322</v>
      </c>
      <c r="BH157" t="s">
        <v>2266</v>
      </c>
      <c r="BI157"/>
      <c r="BJ157" t="s">
        <v>1357</v>
      </c>
      <c r="BK157">
        <v>130</v>
      </c>
      <c r="BL157">
        <v>180</v>
      </c>
      <c r="BM157"/>
      <c r="BN157">
        <f>BL157-BK157</f>
        <v>50</v>
      </c>
      <c r="BO157">
        <f>BN157*10^6</f>
        <v>50000000</v>
      </c>
      <c r="BP157" s="266" t="s">
        <v>233</v>
      </c>
      <c r="BQ157" s="303"/>
      <c r="BR157" t="s">
        <v>1142</v>
      </c>
      <c r="BS157">
        <v>-41.3</v>
      </c>
      <c r="BT157">
        <v>-20.9</v>
      </c>
      <c r="BU157" s="144">
        <v>0.50605326876513312</v>
      </c>
      <c r="BV157">
        <v>20.399999999999999</v>
      </c>
      <c r="BW157"/>
      <c r="BX157">
        <f>BV157*10^6</f>
        <v>20400000</v>
      </c>
      <c r="BY157">
        <f>IFERROR(BX157/BO157,"")</f>
        <v>0.40799999999999997</v>
      </c>
      <c r="BZ157">
        <v>0</v>
      </c>
      <c r="CA157">
        <v>0</v>
      </c>
      <c r="CB157">
        <v>0</v>
      </c>
      <c r="CC157">
        <v>0</v>
      </c>
      <c r="CD157">
        <v>0</v>
      </c>
      <c r="CE157">
        <v>0</v>
      </c>
      <c r="CF157">
        <v>0</v>
      </c>
      <c r="CG157">
        <v>0</v>
      </c>
      <c r="CH157">
        <v>0</v>
      </c>
      <c r="CI157">
        <v>0</v>
      </c>
      <c r="CJ157">
        <v>0</v>
      </c>
      <c r="CK157">
        <v>0</v>
      </c>
      <c r="CL157">
        <v>0</v>
      </c>
      <c r="CM157">
        <v>0</v>
      </c>
      <c r="CN157" t="str">
        <f>IF($BL157&lt;$BK157,"refNeedCorrection","refOK")</f>
        <v>refOK</v>
      </c>
      <c r="CO157">
        <f>IF($CN157="refOK",$BK157,$BL157)</f>
        <v>130</v>
      </c>
      <c r="CP157">
        <f>IF($CN157="refOK",$BL157,$BK157)</f>
        <v>180</v>
      </c>
      <c r="CQ157">
        <f>IF($CN157="refOK",$BO157,-$BO157)</f>
        <v>50000000</v>
      </c>
      <c r="CR157">
        <f>IF($CN157="refOK",$BS157,$BT157)*IF($BP157="Emissions positive",-1,1)</f>
        <v>-41.3</v>
      </c>
      <c r="CS157">
        <f>IF($CN157="refOK",$BT157,$BS157)*IF($BP157="Emissions positive",-1,1)</f>
        <v>-20.9</v>
      </c>
      <c r="CT157">
        <f>IF($CN157="refNeedCorrection",-BX157,BX157)*IF($BP157="Emissions positive",-1,1)</f>
        <v>20400000</v>
      </c>
      <c r="CU157">
        <f>IFERROR(CT157/CQ157,"")</f>
        <v>0.40799999999999997</v>
      </c>
      <c r="CV157" s="2">
        <f>IFERROR((CS157-CR157)/ABS(CR157),"")</f>
        <v>0.49394673123486682</v>
      </c>
      <c r="CW157" s="1" t="s">
        <v>1205</v>
      </c>
      <c r="CX157" s="266" t="str">
        <f>IF(OR($CW157="prd",$CW157="std",$CW157="cit"),"loc",IF(OR($CW157="eur",$CW157="reg",$CW157="coy"),"reg",$CW157))</f>
        <v>reg</v>
      </c>
      <c r="CY157" t="s">
        <v>541</v>
      </c>
      <c r="CZ157">
        <v>2012</v>
      </c>
      <c r="DA157">
        <v>2112</v>
      </c>
      <c r="DB157">
        <v>100</v>
      </c>
      <c r="DC157" t="str">
        <f>IF(DB157=0,"0",IF(AND(DB157&gt;=1,DB157&lt;=30),"1-30",IF(AND(DB157&gt;30,DB157&lt;=70),"31-70",IF(AND(DB157&gt;70,DB157&lt;=100),"71-100",IF(DB157&gt;100,"+100")))))</f>
        <v>71-100</v>
      </c>
      <c r="DD157">
        <v>0</v>
      </c>
      <c r="DE157">
        <v>1</v>
      </c>
      <c r="DF157">
        <v>1</v>
      </c>
      <c r="DG157">
        <v>1</v>
      </c>
      <c r="DH157"/>
      <c r="DI157">
        <f>SUM(DD157:DG157)</f>
        <v>3</v>
      </c>
      <c r="DJ157" t="str">
        <f>IF(DI157=1,INDEX($DD$7:$DG$7,MATCH(1,$DD157:$DG157,0)),"mixedProduct")</f>
        <v>mixedProduct</v>
      </c>
      <c r="DK157">
        <f>IF(DD157=1,DK$7,0)</f>
        <v>0</v>
      </c>
      <c r="DL157" t="str">
        <f>IF(DE157=1,DL$7,0)</f>
        <v>Energy</v>
      </c>
      <c r="DM157" t="str">
        <f>IF(DF157=1,DM$7,0)</f>
        <v>Pulp/Paper</v>
      </c>
      <c r="DN157" t="str">
        <f>IF(DG157=1,DN$7,0)</f>
        <v>Timber</v>
      </c>
      <c r="DO157" t="s">
        <v>2267</v>
      </c>
      <c r="DP157">
        <v>1</v>
      </c>
      <c r="DQ157" s="184" t="s">
        <v>2268</v>
      </c>
      <c r="DR157" t="s">
        <v>2269</v>
      </c>
      <c r="DS157"/>
      <c r="DT157">
        <f>SUM(DO157:DP157)</f>
        <v>1</v>
      </c>
      <c r="DU157" s="143" t="str">
        <f>IF(DO157=1,"self-calculated DF",IF(DP157=1,"external DF used","explicit C balance"))</f>
        <v>external DF used</v>
      </c>
      <c r="DV157">
        <v>0</v>
      </c>
      <c r="DW157">
        <v>0</v>
      </c>
      <c r="DX157">
        <v>0</v>
      </c>
      <c r="DY157">
        <v>1</v>
      </c>
      <c r="DZ157">
        <v>1</v>
      </c>
      <c r="EA157">
        <v>1</v>
      </c>
      <c r="EB157">
        <v>0</v>
      </c>
      <c r="EC157">
        <v>1</v>
      </c>
      <c r="ED157">
        <v>0</v>
      </c>
      <c r="EE157">
        <v>1</v>
      </c>
      <c r="EF157">
        <v>1</v>
      </c>
      <c r="EG157">
        <v>1</v>
      </c>
      <c r="EH157">
        <v>1</v>
      </c>
      <c r="EI157" s="2">
        <v>0</v>
      </c>
      <c r="EJ157" s="1"/>
      <c r="EK157" t="str">
        <f>IF(AND(AND(AND(OR($DX157=1,$DW157=1),OR($EC157=1,$EA157=1)),SUM($DV157:$DZ157,$EF157)&gt;=4),SUM($EA157:$EE157)&gt;=2),"Whole sector","")</f>
        <v/>
      </c>
      <c r="EL157" t="str">
        <f>IF(AND(AND(OR($DX157=1,$DW157=1),AND($EC157=0,$EA157=0)),SUM($DV157:$DZ157,$EF157)&gt;=4),"Ecosystem approach","")</f>
        <v/>
      </c>
      <c r="EM157" s="2" t="str">
        <f>IF(AND(AND(AND($DX157=0,$DW157=0),OR($EC157=1,$EA157=1)),SUM($EB157:$EE157)&gt;=2),"Technology approach","")</f>
        <v>Technology approach</v>
      </c>
      <c r="EN157"/>
      <c r="EO157"/>
      <c r="EP157" t="str">
        <f>IF(ISNUMBER(BU157),IF(ABS(BU157-[1]QC_indicators!$B$2)&gt;3*[1]QC_indicators!$C$2,"C ratio",IF(ISNUMBER(BY157),IF(ABS(BY157-[1]QC_indicators!$B$1)&gt;3*[1]QC_indicators!$C$1,"DF","no"))),IF(ISNUMBER(BY157),IF(ABS(BY157-[1]QC_indicators!$B$1)&gt;3*[1]QC_indicators!$C$1,"DF","no")))</f>
        <v>no</v>
      </c>
      <c r="EQ157"/>
      <c r="ER157" s="266" t="s">
        <v>2270</v>
      </c>
      <c r="ES157"/>
      <c r="ET157" s="266" t="s">
        <v>3409</v>
      </c>
      <c r="EU157"/>
    </row>
    <row r="158" spans="1:151" s="139" customFormat="1" ht="15" hidden="1" customHeight="1">
      <c r="A158" s="1" t="s">
        <v>1810</v>
      </c>
      <c r="B158" t="s">
        <v>2259</v>
      </c>
      <c r="C158" t="s">
        <v>2260</v>
      </c>
      <c r="D158" t="s">
        <v>2261</v>
      </c>
      <c r="E158" t="s">
        <v>2262</v>
      </c>
      <c r="F158" t="s">
        <v>2263</v>
      </c>
      <c r="G158" t="s">
        <v>1816</v>
      </c>
      <c r="H158" t="s">
        <v>255</v>
      </c>
      <c r="I158">
        <v>2013</v>
      </c>
      <c r="J158">
        <v>49</v>
      </c>
      <c r="K158" t="s">
        <v>2264</v>
      </c>
      <c r="L158"/>
      <c r="M158" t="str">
        <f>LEFT($D158,FIND(",",$D158)-1)&amp;"_"&amp;I158&amp;L158</f>
        <v>Sikkema_2013</v>
      </c>
      <c r="N158" t="s">
        <v>223</v>
      </c>
      <c r="O158" s="145" t="s">
        <v>342</v>
      </c>
      <c r="P158"/>
      <c r="Q158" s="266" t="s">
        <v>257</v>
      </c>
      <c r="R158" s="271" t="s">
        <v>1156</v>
      </c>
      <c r="S158" s="1" t="s">
        <v>2273</v>
      </c>
      <c r="T158" t="s">
        <v>1101</v>
      </c>
      <c r="U158" t="e">
        <f>#REF!</f>
        <v>#REF!</v>
      </c>
      <c r="V158">
        <v>2</v>
      </c>
      <c r="W158">
        <v>0</v>
      </c>
      <c r="X158">
        <v>0</v>
      </c>
      <c r="Y158">
        <v>0</v>
      </c>
      <c r="Z158">
        <v>0</v>
      </c>
      <c r="AA158">
        <v>0</v>
      </c>
      <c r="AB158">
        <v>0</v>
      </c>
      <c r="AC158">
        <v>0</v>
      </c>
      <c r="AD158">
        <v>0</v>
      </c>
      <c r="AE158">
        <v>0</v>
      </c>
      <c r="AF158">
        <v>1</v>
      </c>
      <c r="AG158">
        <v>0</v>
      </c>
      <c r="AH158">
        <v>0</v>
      </c>
      <c r="AI158">
        <v>0</v>
      </c>
      <c r="AJ158">
        <v>0</v>
      </c>
      <c r="AK158">
        <v>0</v>
      </c>
      <c r="AL158">
        <v>0</v>
      </c>
      <c r="AM158">
        <v>0</v>
      </c>
      <c r="AN158">
        <v>0</v>
      </c>
      <c r="AO158">
        <v>0</v>
      </c>
      <c r="AP158">
        <v>0</v>
      </c>
      <c r="AQ158">
        <v>0</v>
      </c>
      <c r="AR158">
        <v>0</v>
      </c>
      <c r="AS158">
        <v>0</v>
      </c>
      <c r="AT158">
        <v>0</v>
      </c>
      <c r="AU158">
        <v>0</v>
      </c>
      <c r="AV158">
        <v>0</v>
      </c>
      <c r="AW158">
        <v>0</v>
      </c>
      <c r="AX158" s="141">
        <f>COUNTIF(V158:AW158,"&lt;&gt;0")</f>
        <v>2</v>
      </c>
      <c r="AY158" s="141">
        <f>COUNTIF(V158:AL158,"&lt;&gt;0")</f>
        <v>2</v>
      </c>
      <c r="AZ158">
        <f>COUNTIF(V158:AC158,"&lt;&gt;0")</f>
        <v>1</v>
      </c>
      <c r="BA158">
        <f>COUNTIF(AD158:AI158,"&lt;&gt;0")</f>
        <v>1</v>
      </c>
      <c r="BB158">
        <f>COUNTIF(AJ158:AL158,"&lt;&gt;0")</f>
        <v>0</v>
      </c>
      <c r="BC158">
        <f>COUNTIF(AS158:AW158,"&lt;&gt;0")</f>
        <v>0</v>
      </c>
      <c r="BD158">
        <f>COUNTIF(AM158:AR158,"&lt;&gt;0")</f>
        <v>0</v>
      </c>
      <c r="BE158" t="str" cm="1">
        <f t="array" ref="BE158">IF(AY158=1,INDEX($V$7:$AL$7,MATCH(TRUE,INDEX($V158:$AW158&lt;&gt;0,),0)),IF(AY158=0,INDEX($AM$7:$AW$7,MATCH(1,$AM158:$AW158,0)),IF(BF158="Multiple strategies","mixed drivers",IF(BF158="Supply chain","multiple supply","multiple silviculture"))))</f>
        <v>mixed drivers</v>
      </c>
      <c r="BF158" s="2" t="str" cm="1">
        <f t="array" ref="BF158">IF(COUNTIF(AZ158:BB158,"&lt;&gt;0")=1,INDEX($V$4:$AW$4,MATCH(TRUE,INDEX($V158:$AW158&lt;&gt;0,),0)),IF(COUNTIF(AZ158:BB158,"&lt;&gt;0")=0,INDEX($AM$4:$AW$4,MATCH(1,$AM158:$AW158,0)),"Multiple strategies"))</f>
        <v>Multiple strategies</v>
      </c>
      <c r="BG158" s="1" t="s">
        <v>322</v>
      </c>
      <c r="BH158" t="s">
        <v>2266</v>
      </c>
      <c r="BI158"/>
      <c r="BJ158" t="s">
        <v>1357</v>
      </c>
      <c r="BK158">
        <v>130</v>
      </c>
      <c r="BL158">
        <v>180</v>
      </c>
      <c r="BM158"/>
      <c r="BN158">
        <f>BL158-BK158</f>
        <v>50</v>
      </c>
      <c r="BO158">
        <f>BN158*10^6</f>
        <v>50000000</v>
      </c>
      <c r="BP158" s="266" t="s">
        <v>233</v>
      </c>
      <c r="BQ158" s="303"/>
      <c r="BR158" t="s">
        <v>1142</v>
      </c>
      <c r="BS158">
        <v>-41.3</v>
      </c>
      <c r="BT158">
        <v>-19.7</v>
      </c>
      <c r="BU158" s="144">
        <v>0.47699757869249398</v>
      </c>
      <c r="BV158">
        <v>21.599999999999998</v>
      </c>
      <c r="BW158"/>
      <c r="BX158">
        <f>BV158*10^6</f>
        <v>21599999.999999996</v>
      </c>
      <c r="BY158">
        <f>IFERROR(BX158/BO158,"")</f>
        <v>0.43199999999999994</v>
      </c>
      <c r="BZ158">
        <v>0</v>
      </c>
      <c r="CA158">
        <v>0</v>
      </c>
      <c r="CB158">
        <v>0</v>
      </c>
      <c r="CC158">
        <v>0</v>
      </c>
      <c r="CD158">
        <v>0</v>
      </c>
      <c r="CE158">
        <v>0</v>
      </c>
      <c r="CF158">
        <v>0</v>
      </c>
      <c r="CG158">
        <v>0</v>
      </c>
      <c r="CH158">
        <v>0</v>
      </c>
      <c r="CI158">
        <v>0</v>
      </c>
      <c r="CJ158">
        <v>0</v>
      </c>
      <c r="CK158">
        <v>0</v>
      </c>
      <c r="CL158">
        <v>0</v>
      </c>
      <c r="CM158">
        <v>0</v>
      </c>
      <c r="CN158" t="str">
        <f>IF($BL158&lt;$BK158,"refNeedCorrection","refOK")</f>
        <v>refOK</v>
      </c>
      <c r="CO158">
        <f>IF($CN158="refOK",$BK158,$BL158)</f>
        <v>130</v>
      </c>
      <c r="CP158">
        <f>IF($CN158="refOK",$BL158,$BK158)</f>
        <v>180</v>
      </c>
      <c r="CQ158">
        <f>IF($CN158="refOK",$BO158,-$BO158)</f>
        <v>50000000</v>
      </c>
      <c r="CR158">
        <f>IF($CN158="refOK",$BS158,$BT158)*IF($BP158="Emissions positive",-1,1)</f>
        <v>-41.3</v>
      </c>
      <c r="CS158">
        <f>IF($CN158="refOK",$BT158,$BS158)*IF($BP158="Emissions positive",-1,1)</f>
        <v>-19.7</v>
      </c>
      <c r="CT158">
        <f>IF($CN158="refNeedCorrection",-BX158,BX158)*IF($BP158="Emissions positive",-1,1)</f>
        <v>21599999.999999996</v>
      </c>
      <c r="CU158">
        <f>IFERROR(CT158/CQ158,"")</f>
        <v>0.43199999999999994</v>
      </c>
      <c r="CV158" s="2">
        <f>IFERROR((CS158-CR158)/ABS(CR158),"")</f>
        <v>0.52300242130750607</v>
      </c>
      <c r="CW158" s="1" t="s">
        <v>1205</v>
      </c>
      <c r="CX158" s="266" t="str">
        <f>IF(OR($CW158="prd",$CW158="std",$CW158="cit"),"loc",IF(OR($CW158="eur",$CW158="reg",$CW158="coy"),"reg",$CW158))</f>
        <v>reg</v>
      </c>
      <c r="CY158" t="s">
        <v>541</v>
      </c>
      <c r="CZ158">
        <v>2012</v>
      </c>
      <c r="DA158">
        <v>2112</v>
      </c>
      <c r="DB158">
        <v>100</v>
      </c>
      <c r="DC158" t="str">
        <f>IF(DB158=0,"0",IF(AND(DB158&gt;=1,DB158&lt;=30),"1-30",IF(AND(DB158&gt;30,DB158&lt;=70),"31-70",IF(AND(DB158&gt;70,DB158&lt;=100),"71-100",IF(DB158&gt;100,"+100")))))</f>
        <v>71-100</v>
      </c>
      <c r="DD158">
        <v>0</v>
      </c>
      <c r="DE158">
        <v>1</v>
      </c>
      <c r="DF158">
        <v>1</v>
      </c>
      <c r="DG158">
        <v>1</v>
      </c>
      <c r="DH158"/>
      <c r="DI158">
        <f>SUM(DD158:DG158)</f>
        <v>3</v>
      </c>
      <c r="DJ158" t="str">
        <f>IF(DI158=1,INDEX($DD$7:$DG$7,MATCH(1,$DD158:$DG158,0)),"mixedProduct")</f>
        <v>mixedProduct</v>
      </c>
      <c r="DK158">
        <f>IF(DD158=1,DK$7,0)</f>
        <v>0</v>
      </c>
      <c r="DL158" t="str">
        <f>IF(DE158=1,DL$7,0)</f>
        <v>Energy</v>
      </c>
      <c r="DM158" t="str">
        <f>IF(DF158=1,DM$7,0)</f>
        <v>Pulp/Paper</v>
      </c>
      <c r="DN158" t="str">
        <f>IF(DG158=1,DN$7,0)</f>
        <v>Timber</v>
      </c>
      <c r="DO158" t="s">
        <v>2267</v>
      </c>
      <c r="DP158">
        <v>1</v>
      </c>
      <c r="DQ158" s="184" t="s">
        <v>2268</v>
      </c>
      <c r="DR158" t="s">
        <v>2269</v>
      </c>
      <c r="DS158"/>
      <c r="DT158">
        <f>SUM(DO158:DP158)</f>
        <v>1</v>
      </c>
      <c r="DU158" s="143" t="str">
        <f>IF(DO158=1,"self-calculated DF",IF(DP158=1,"external DF used","explicit C balance"))</f>
        <v>external DF used</v>
      </c>
      <c r="DV158">
        <v>0</v>
      </c>
      <c r="DW158">
        <v>0</v>
      </c>
      <c r="DX158">
        <v>0</v>
      </c>
      <c r="DY158">
        <v>1</v>
      </c>
      <c r="DZ158">
        <v>1</v>
      </c>
      <c r="EA158">
        <v>1</v>
      </c>
      <c r="EB158">
        <v>0</v>
      </c>
      <c r="EC158">
        <v>1</v>
      </c>
      <c r="ED158">
        <v>0</v>
      </c>
      <c r="EE158">
        <v>1</v>
      </c>
      <c r="EF158">
        <v>1</v>
      </c>
      <c r="EG158">
        <v>1</v>
      </c>
      <c r="EH158">
        <v>1</v>
      </c>
      <c r="EI158" s="2">
        <v>0</v>
      </c>
      <c r="EJ158" s="1"/>
      <c r="EK158" t="str">
        <f>IF(AND(AND(AND(OR($DX158=1,$DW158=1),OR($EC158=1,$EA158=1)),SUM($DV158:$DZ158,$EF158)&gt;=4),SUM($EA158:$EE158)&gt;=2),"Whole sector","")</f>
        <v/>
      </c>
      <c r="EL158" t="str">
        <f>IF(AND(AND(OR($DX158=1,$DW158=1),AND($EC158=0,$EA158=0)),SUM($DV158:$DZ158,$EF158)&gt;=4),"Ecosystem approach","")</f>
        <v/>
      </c>
      <c r="EM158" s="2" t="str">
        <f>IF(AND(AND(AND($DX158=0,$DW158=0),OR($EC158=1,$EA158=1)),SUM($EB158:$EE158)&gt;=2),"Technology approach","")</f>
        <v>Technology approach</v>
      </c>
      <c r="EN158"/>
      <c r="EO158"/>
      <c r="EP158" t="str">
        <f>IF(ISNUMBER(BU158),IF(ABS(BU158-[1]QC_indicators!$B$2)&gt;3*[1]QC_indicators!$C$2,"C ratio",IF(ISNUMBER(BY158),IF(ABS(BY158-[1]QC_indicators!$B$1)&gt;3*[1]QC_indicators!$C$1,"DF","no"))),IF(ISNUMBER(BY158),IF(ABS(BY158-[1]QC_indicators!$B$1)&gt;3*[1]QC_indicators!$C$1,"DF","no")))</f>
        <v>no</v>
      </c>
      <c r="EQ158"/>
      <c r="ER158" s="296" t="s">
        <v>350</v>
      </c>
      <c r="ES158"/>
      <c r="ET158" s="266" t="s">
        <v>3409</v>
      </c>
      <c r="EU158"/>
    </row>
    <row r="159" spans="1:151" s="139" customFormat="1" ht="15" hidden="1" customHeight="1">
      <c r="A159" s="1" t="s">
        <v>1810</v>
      </c>
      <c r="B159" t="s">
        <v>2259</v>
      </c>
      <c r="C159" t="s">
        <v>2260</v>
      </c>
      <c r="D159" t="s">
        <v>2261</v>
      </c>
      <c r="E159" t="s">
        <v>2262</v>
      </c>
      <c r="F159" t="s">
        <v>2263</v>
      </c>
      <c r="G159" t="s">
        <v>1816</v>
      </c>
      <c r="H159" t="s">
        <v>255</v>
      </c>
      <c r="I159">
        <v>2013</v>
      </c>
      <c r="J159">
        <v>49</v>
      </c>
      <c r="K159" t="s">
        <v>2264</v>
      </c>
      <c r="L159"/>
      <c r="M159" t="str">
        <f>LEFT($D159,FIND(",",$D159)-1)&amp;"_"&amp;I159&amp;L159</f>
        <v>Sikkema_2013</v>
      </c>
      <c r="N159" t="s">
        <v>223</v>
      </c>
      <c r="O159" s="145" t="s">
        <v>342</v>
      </c>
      <c r="P159"/>
      <c r="Q159" s="266" t="s">
        <v>257</v>
      </c>
      <c r="R159" s="271" t="s">
        <v>1156</v>
      </c>
      <c r="S159" s="1" t="s">
        <v>2274</v>
      </c>
      <c r="T159" t="s">
        <v>1101</v>
      </c>
      <c r="U159" t="e">
        <f>#REF!</f>
        <v>#REF!</v>
      </c>
      <c r="V159">
        <v>2</v>
      </c>
      <c r="W159">
        <v>0</v>
      </c>
      <c r="X159">
        <v>0</v>
      </c>
      <c r="Y159">
        <v>0</v>
      </c>
      <c r="Z159">
        <v>0</v>
      </c>
      <c r="AA159">
        <v>0</v>
      </c>
      <c r="AB159">
        <v>0</v>
      </c>
      <c r="AC159">
        <v>0</v>
      </c>
      <c r="AD159">
        <v>0</v>
      </c>
      <c r="AE159">
        <v>0</v>
      </c>
      <c r="AF159">
        <v>1</v>
      </c>
      <c r="AG159">
        <v>0</v>
      </c>
      <c r="AH159">
        <v>0</v>
      </c>
      <c r="AI159">
        <v>0</v>
      </c>
      <c r="AJ159">
        <v>0</v>
      </c>
      <c r="AK159">
        <v>0</v>
      </c>
      <c r="AL159">
        <v>0</v>
      </c>
      <c r="AM159">
        <v>0</v>
      </c>
      <c r="AN159">
        <v>0</v>
      </c>
      <c r="AO159">
        <v>0</v>
      </c>
      <c r="AP159">
        <v>0</v>
      </c>
      <c r="AQ159">
        <v>0</v>
      </c>
      <c r="AR159">
        <v>0</v>
      </c>
      <c r="AS159">
        <v>0</v>
      </c>
      <c r="AT159">
        <v>0</v>
      </c>
      <c r="AU159">
        <v>0</v>
      </c>
      <c r="AV159">
        <v>0</v>
      </c>
      <c r="AW159">
        <v>0</v>
      </c>
      <c r="AX159" s="141">
        <f>COUNTIF(V159:AW159,"&lt;&gt;0")</f>
        <v>2</v>
      </c>
      <c r="AY159" s="141">
        <f>COUNTIF(V159:AL159,"&lt;&gt;0")</f>
        <v>2</v>
      </c>
      <c r="AZ159">
        <f>COUNTIF(V159:AC159,"&lt;&gt;0")</f>
        <v>1</v>
      </c>
      <c r="BA159">
        <f>COUNTIF(AD159:AI159,"&lt;&gt;0")</f>
        <v>1</v>
      </c>
      <c r="BB159">
        <f>COUNTIF(AJ159:AL159,"&lt;&gt;0")</f>
        <v>0</v>
      </c>
      <c r="BC159">
        <f>COUNTIF(AS159:AW159,"&lt;&gt;0")</f>
        <v>0</v>
      </c>
      <c r="BD159">
        <f>COUNTIF(AM159:AR159,"&lt;&gt;0")</f>
        <v>0</v>
      </c>
      <c r="BE159" t="str" cm="1">
        <f t="array" ref="BE159">IF(AY159=1,INDEX($V$7:$AL$7,MATCH(TRUE,INDEX($V159:$AW159&lt;&gt;0,),0)),IF(AY159=0,INDEX($AM$7:$AW$7,MATCH(1,$AM159:$AW159,0)),IF(BF159="Multiple strategies","mixed drivers",IF(BF159="Supply chain","multiple supply","multiple silviculture"))))</f>
        <v>mixed drivers</v>
      </c>
      <c r="BF159" s="2" t="str" cm="1">
        <f t="array" ref="BF159">IF(COUNTIF(AZ159:BB159,"&lt;&gt;0")=1,INDEX($V$4:$AW$4,MATCH(TRUE,INDEX($V159:$AW159&lt;&gt;0,),0)),IF(COUNTIF(AZ159:BB159,"&lt;&gt;0")=0,INDEX($AM$4:$AW$4,MATCH(1,$AM159:$AW159,0)),"Multiple strategies"))</f>
        <v>Multiple strategies</v>
      </c>
      <c r="BG159" s="1" t="s">
        <v>322</v>
      </c>
      <c r="BH159" t="s">
        <v>2266</v>
      </c>
      <c r="BI159"/>
      <c r="BJ159" t="s">
        <v>1357</v>
      </c>
      <c r="BK159">
        <v>130</v>
      </c>
      <c r="BL159">
        <v>180</v>
      </c>
      <c r="BM159"/>
      <c r="BN159">
        <f>BL159-BK159</f>
        <v>50</v>
      </c>
      <c r="BO159">
        <f>BN159*10^6</f>
        <v>50000000</v>
      </c>
      <c r="BP159" s="266" t="s">
        <v>233</v>
      </c>
      <c r="BQ159" s="303"/>
      <c r="BR159" t="s">
        <v>1142</v>
      </c>
      <c r="BS159">
        <v>-41.3</v>
      </c>
      <c r="BT159">
        <v>-19.5</v>
      </c>
      <c r="BU159" s="144">
        <v>0.47215496368038745</v>
      </c>
      <c r="BV159">
        <v>21.799999999999997</v>
      </c>
      <c r="BW159"/>
      <c r="BX159">
        <f>BV159*10^6</f>
        <v>21799999.999999996</v>
      </c>
      <c r="BY159">
        <f>IFERROR(BX159/BO159,"")</f>
        <v>0.43599999999999994</v>
      </c>
      <c r="BZ159">
        <v>0</v>
      </c>
      <c r="CA159">
        <v>0</v>
      </c>
      <c r="CB159">
        <v>0</v>
      </c>
      <c r="CC159">
        <v>0</v>
      </c>
      <c r="CD159">
        <v>0</v>
      </c>
      <c r="CE159">
        <v>0</v>
      </c>
      <c r="CF159">
        <v>0</v>
      </c>
      <c r="CG159">
        <v>0</v>
      </c>
      <c r="CH159">
        <v>0</v>
      </c>
      <c r="CI159">
        <v>0</v>
      </c>
      <c r="CJ159">
        <v>0</v>
      </c>
      <c r="CK159">
        <v>0</v>
      </c>
      <c r="CL159">
        <v>0</v>
      </c>
      <c r="CM159">
        <v>0</v>
      </c>
      <c r="CN159" t="str">
        <f>IF($BL159&lt;$BK159,"refNeedCorrection","refOK")</f>
        <v>refOK</v>
      </c>
      <c r="CO159">
        <f>IF($CN159="refOK",$BK159,$BL159)</f>
        <v>130</v>
      </c>
      <c r="CP159">
        <f>IF($CN159="refOK",$BL159,$BK159)</f>
        <v>180</v>
      </c>
      <c r="CQ159">
        <f>IF($CN159="refOK",$BO159,-$BO159)</f>
        <v>50000000</v>
      </c>
      <c r="CR159">
        <f>IF($CN159="refOK",$BS159,$BT159)*IF($BP159="Emissions positive",-1,1)</f>
        <v>-41.3</v>
      </c>
      <c r="CS159">
        <f>IF($CN159="refOK",$BT159,$BS159)*IF($BP159="Emissions positive",-1,1)</f>
        <v>-19.5</v>
      </c>
      <c r="CT159">
        <f>IF($CN159="refNeedCorrection",-BX159,BX159)*IF($BP159="Emissions positive",-1,1)</f>
        <v>21799999.999999996</v>
      </c>
      <c r="CU159">
        <f>IFERROR(CT159/CQ159,"")</f>
        <v>0.43599999999999994</v>
      </c>
      <c r="CV159" s="2">
        <f>IFERROR((CS159-CR159)/ABS(CR159),"")</f>
        <v>0.52784503631961255</v>
      </c>
      <c r="CW159" s="1" t="s">
        <v>1205</v>
      </c>
      <c r="CX159" s="266" t="str">
        <f>IF(OR($CW159="prd",$CW159="std",$CW159="cit"),"loc",IF(OR($CW159="eur",$CW159="reg",$CW159="coy"),"reg",$CW159))</f>
        <v>reg</v>
      </c>
      <c r="CY159" t="s">
        <v>541</v>
      </c>
      <c r="CZ159">
        <v>2012</v>
      </c>
      <c r="DA159">
        <v>2112</v>
      </c>
      <c r="DB159">
        <v>100</v>
      </c>
      <c r="DC159" t="str">
        <f>IF(DB159=0,"0",IF(AND(DB159&gt;=1,DB159&lt;=30),"1-30",IF(AND(DB159&gt;30,DB159&lt;=70),"31-70",IF(AND(DB159&gt;70,DB159&lt;=100),"71-100",IF(DB159&gt;100,"+100")))))</f>
        <v>71-100</v>
      </c>
      <c r="DD159">
        <v>0</v>
      </c>
      <c r="DE159">
        <v>1</v>
      </c>
      <c r="DF159">
        <v>1</v>
      </c>
      <c r="DG159">
        <v>1</v>
      </c>
      <c r="DH159"/>
      <c r="DI159">
        <f>SUM(DD159:DG159)</f>
        <v>3</v>
      </c>
      <c r="DJ159" t="str">
        <f>IF(DI159=1,INDEX($DD$7:$DG$7,MATCH(1,$DD159:$DG159,0)),"mixedProduct")</f>
        <v>mixedProduct</v>
      </c>
      <c r="DK159">
        <f>IF(DD159=1,DK$7,0)</f>
        <v>0</v>
      </c>
      <c r="DL159" t="str">
        <f>IF(DE159=1,DL$7,0)</f>
        <v>Energy</v>
      </c>
      <c r="DM159" t="str">
        <f>IF(DF159=1,DM$7,0)</f>
        <v>Pulp/Paper</v>
      </c>
      <c r="DN159" t="str">
        <f>IF(DG159=1,DN$7,0)</f>
        <v>Timber</v>
      </c>
      <c r="DO159" t="s">
        <v>2267</v>
      </c>
      <c r="DP159">
        <v>1</v>
      </c>
      <c r="DQ159" s="184" t="s">
        <v>2268</v>
      </c>
      <c r="DR159" t="s">
        <v>2269</v>
      </c>
      <c r="DS159"/>
      <c r="DT159">
        <f>SUM(DO159:DP159)</f>
        <v>1</v>
      </c>
      <c r="DU159" s="143" t="str">
        <f>IF(DO159=1,"self-calculated DF",IF(DP159=1,"external DF used","explicit C balance"))</f>
        <v>external DF used</v>
      </c>
      <c r="DV159">
        <v>0</v>
      </c>
      <c r="DW159">
        <v>0</v>
      </c>
      <c r="DX159">
        <v>0</v>
      </c>
      <c r="DY159">
        <v>1</v>
      </c>
      <c r="DZ159">
        <v>1</v>
      </c>
      <c r="EA159">
        <v>1</v>
      </c>
      <c r="EB159">
        <v>0</v>
      </c>
      <c r="EC159">
        <v>1</v>
      </c>
      <c r="ED159">
        <v>0</v>
      </c>
      <c r="EE159">
        <v>1</v>
      </c>
      <c r="EF159">
        <v>1</v>
      </c>
      <c r="EG159">
        <v>1</v>
      </c>
      <c r="EH159">
        <v>1</v>
      </c>
      <c r="EI159" s="2">
        <v>0</v>
      </c>
      <c r="EJ159" s="1"/>
      <c r="EK159" t="str">
        <f>IF(AND(AND(AND(OR($DX159=1,$DW159=1),OR($EC159=1,$EA159=1)),SUM($DV159:$DZ159,$EF159)&gt;=4),SUM($EA159:$EE159)&gt;=2),"Whole sector","")</f>
        <v/>
      </c>
      <c r="EL159" t="str">
        <f>IF(AND(AND(OR($DX159=1,$DW159=1),AND($EC159=0,$EA159=0)),SUM($DV159:$DZ159,$EF159)&gt;=4),"Ecosystem approach","")</f>
        <v/>
      </c>
      <c r="EM159" s="2" t="str">
        <f>IF(AND(AND(AND($DX159=0,$DW159=0),OR($EC159=1,$EA159=1)),SUM($EB159:$EE159)&gt;=2),"Technology approach","")</f>
        <v>Technology approach</v>
      </c>
      <c r="EN159"/>
      <c r="EO159"/>
      <c r="EP159" t="str">
        <f>IF(ISNUMBER(BU159),IF(ABS(BU159-[1]QC_indicators!$B$2)&gt;3*[1]QC_indicators!$C$2,"C ratio",IF(ISNUMBER(BY159),IF(ABS(BY159-[1]QC_indicators!$B$1)&gt;3*[1]QC_indicators!$C$1,"DF","no"))),IF(ISNUMBER(BY159),IF(ABS(BY159-[1]QC_indicators!$B$1)&gt;3*[1]QC_indicators!$C$1,"DF","no")))</f>
        <v>no</v>
      </c>
      <c r="EQ159"/>
      <c r="ER159" s="266" t="s">
        <v>2270</v>
      </c>
      <c r="ES159"/>
      <c r="ET159" s="266" t="s">
        <v>3409</v>
      </c>
      <c r="EU159"/>
    </row>
    <row r="160" spans="1:151" s="139" customFormat="1" ht="15" hidden="1" customHeight="1">
      <c r="A160" s="1" t="s">
        <v>1810</v>
      </c>
      <c r="B160" t="s">
        <v>2259</v>
      </c>
      <c r="C160" t="s">
        <v>2260</v>
      </c>
      <c r="D160" t="s">
        <v>2261</v>
      </c>
      <c r="E160" t="s">
        <v>2262</v>
      </c>
      <c r="F160" t="s">
        <v>2263</v>
      </c>
      <c r="G160" t="s">
        <v>1816</v>
      </c>
      <c r="H160" t="s">
        <v>255</v>
      </c>
      <c r="I160">
        <v>2013</v>
      </c>
      <c r="J160">
        <v>49</v>
      </c>
      <c r="K160" t="s">
        <v>2264</v>
      </c>
      <c r="L160"/>
      <c r="M160" t="str">
        <f>LEFT($D160,FIND(",",$D160)-1)&amp;"_"&amp;I160&amp;L160</f>
        <v>Sikkema_2013</v>
      </c>
      <c r="N160" t="s">
        <v>223</v>
      </c>
      <c r="O160" s="145" t="s">
        <v>342</v>
      </c>
      <c r="P160"/>
      <c r="Q160" s="266" t="s">
        <v>257</v>
      </c>
      <c r="R160" s="271" t="s">
        <v>1156</v>
      </c>
      <c r="S160" s="1" t="s">
        <v>2275</v>
      </c>
      <c r="T160" t="s">
        <v>1101</v>
      </c>
      <c r="U160" t="e">
        <f>#REF!</f>
        <v>#REF!</v>
      </c>
      <c r="V160">
        <v>2</v>
      </c>
      <c r="W160">
        <v>0</v>
      </c>
      <c r="X160">
        <v>0</v>
      </c>
      <c r="Y160">
        <v>0</v>
      </c>
      <c r="Z160">
        <v>0</v>
      </c>
      <c r="AA160">
        <v>0</v>
      </c>
      <c r="AB160">
        <v>0</v>
      </c>
      <c r="AC160">
        <v>0</v>
      </c>
      <c r="AD160">
        <v>0</v>
      </c>
      <c r="AE160">
        <v>0</v>
      </c>
      <c r="AF160">
        <v>1</v>
      </c>
      <c r="AG160">
        <v>0</v>
      </c>
      <c r="AH160">
        <v>0</v>
      </c>
      <c r="AI160">
        <v>0</v>
      </c>
      <c r="AJ160">
        <v>0</v>
      </c>
      <c r="AK160">
        <v>0</v>
      </c>
      <c r="AL160">
        <v>0</v>
      </c>
      <c r="AM160">
        <v>0</v>
      </c>
      <c r="AN160">
        <v>0</v>
      </c>
      <c r="AO160">
        <v>0</v>
      </c>
      <c r="AP160">
        <v>0</v>
      </c>
      <c r="AQ160">
        <v>0</v>
      </c>
      <c r="AR160">
        <v>0</v>
      </c>
      <c r="AS160">
        <v>0</v>
      </c>
      <c r="AT160">
        <v>0</v>
      </c>
      <c r="AU160">
        <v>0</v>
      </c>
      <c r="AV160">
        <v>0</v>
      </c>
      <c r="AW160">
        <v>0</v>
      </c>
      <c r="AX160" s="141">
        <f>COUNTIF(V160:AW160,"&lt;&gt;0")</f>
        <v>2</v>
      </c>
      <c r="AY160" s="141">
        <f>COUNTIF(V160:AL160,"&lt;&gt;0")</f>
        <v>2</v>
      </c>
      <c r="AZ160">
        <f>COUNTIF(V160:AC160,"&lt;&gt;0")</f>
        <v>1</v>
      </c>
      <c r="BA160">
        <f>COUNTIF(AD160:AI160,"&lt;&gt;0")</f>
        <v>1</v>
      </c>
      <c r="BB160">
        <f>COUNTIF(AJ160:AL160,"&lt;&gt;0")</f>
        <v>0</v>
      </c>
      <c r="BC160">
        <f>COUNTIF(AS160:AW160,"&lt;&gt;0")</f>
        <v>0</v>
      </c>
      <c r="BD160">
        <f>COUNTIF(AM160:AR160,"&lt;&gt;0")</f>
        <v>0</v>
      </c>
      <c r="BE160" t="str" cm="1">
        <f t="array" ref="BE160">IF(AY160=1,INDEX($V$7:$AL$7,MATCH(TRUE,INDEX($V160:$AW160&lt;&gt;0,),0)),IF(AY160=0,INDEX($AM$7:$AW$7,MATCH(1,$AM160:$AW160,0)),IF(BF160="Multiple strategies","mixed drivers",IF(BF160="Supply chain","multiple supply","multiple silviculture"))))</f>
        <v>mixed drivers</v>
      </c>
      <c r="BF160" s="2" t="str" cm="1">
        <f t="array" ref="BF160">IF(COUNTIF(AZ160:BB160,"&lt;&gt;0")=1,INDEX($V$4:$AW$4,MATCH(TRUE,INDEX($V160:$AW160&lt;&gt;0,),0)),IF(COUNTIF(AZ160:BB160,"&lt;&gt;0")=0,INDEX($AM$4:$AW$4,MATCH(1,$AM160:$AW160,0)),"Multiple strategies"))</f>
        <v>Multiple strategies</v>
      </c>
      <c r="BG160" s="1" t="s">
        <v>322</v>
      </c>
      <c r="BH160" t="s">
        <v>2266</v>
      </c>
      <c r="BI160"/>
      <c r="BJ160" t="s">
        <v>1357</v>
      </c>
      <c r="BK160">
        <v>130</v>
      </c>
      <c r="BL160">
        <v>180</v>
      </c>
      <c r="BM160"/>
      <c r="BN160">
        <f>BL160-BK160</f>
        <v>50</v>
      </c>
      <c r="BO160">
        <f>BN160*10^6</f>
        <v>50000000</v>
      </c>
      <c r="BP160" s="266" t="s">
        <v>233</v>
      </c>
      <c r="BQ160" s="303"/>
      <c r="BR160" t="s">
        <v>1142</v>
      </c>
      <c r="BS160">
        <v>-41.3</v>
      </c>
      <c r="BT160">
        <v>-19.2</v>
      </c>
      <c r="BU160" s="144">
        <v>0.46489104116222763</v>
      </c>
      <c r="BV160">
        <v>22.099999999999998</v>
      </c>
      <c r="BW160"/>
      <c r="BX160">
        <f>BV160*10^6</f>
        <v>22099999.999999996</v>
      </c>
      <c r="BY160">
        <f>IFERROR(BX160/BO160,"")</f>
        <v>0.44199999999999995</v>
      </c>
      <c r="BZ160">
        <v>0</v>
      </c>
      <c r="CA160">
        <v>0</v>
      </c>
      <c r="CB160">
        <v>0</v>
      </c>
      <c r="CC160">
        <v>0</v>
      </c>
      <c r="CD160">
        <v>0</v>
      </c>
      <c r="CE160">
        <v>0</v>
      </c>
      <c r="CF160">
        <v>0</v>
      </c>
      <c r="CG160">
        <v>0</v>
      </c>
      <c r="CH160">
        <v>0</v>
      </c>
      <c r="CI160">
        <v>0</v>
      </c>
      <c r="CJ160">
        <v>0</v>
      </c>
      <c r="CK160">
        <v>0</v>
      </c>
      <c r="CL160">
        <v>0</v>
      </c>
      <c r="CM160">
        <v>0</v>
      </c>
      <c r="CN160" t="str">
        <f>IF($BL160&lt;$BK160,"refNeedCorrection","refOK")</f>
        <v>refOK</v>
      </c>
      <c r="CO160">
        <f>IF($CN160="refOK",$BK160,$BL160)</f>
        <v>130</v>
      </c>
      <c r="CP160">
        <f>IF($CN160="refOK",$BL160,$BK160)</f>
        <v>180</v>
      </c>
      <c r="CQ160">
        <f>IF($CN160="refOK",$BO160,-$BO160)</f>
        <v>50000000</v>
      </c>
      <c r="CR160">
        <f>IF($CN160="refOK",$BS160,$BT160)*IF($BP160="Emissions positive",-1,1)</f>
        <v>-41.3</v>
      </c>
      <c r="CS160">
        <f>IF($CN160="refOK",$BT160,$BS160)*IF($BP160="Emissions positive",-1,1)</f>
        <v>-19.2</v>
      </c>
      <c r="CT160">
        <f>IF($CN160="refNeedCorrection",-BX160,BX160)*IF($BP160="Emissions positive",-1,1)</f>
        <v>22099999.999999996</v>
      </c>
      <c r="CU160">
        <f>IFERROR(CT160/CQ160,"")</f>
        <v>0.44199999999999995</v>
      </c>
      <c r="CV160" s="2">
        <f>IFERROR((CS160-CR160)/ABS(CR160),"")</f>
        <v>0.53510895883777243</v>
      </c>
      <c r="CW160" s="1" t="s">
        <v>1205</v>
      </c>
      <c r="CX160" s="266" t="str">
        <f>IF(OR($CW160="prd",$CW160="std",$CW160="cit"),"loc",IF(OR($CW160="eur",$CW160="reg",$CW160="coy"),"reg",$CW160))</f>
        <v>reg</v>
      </c>
      <c r="CY160" t="s">
        <v>541</v>
      </c>
      <c r="CZ160">
        <v>2012</v>
      </c>
      <c r="DA160">
        <v>2112</v>
      </c>
      <c r="DB160">
        <v>100</v>
      </c>
      <c r="DC160" t="str">
        <f>IF(DB160=0,"0",IF(AND(DB160&gt;=1,DB160&lt;=30),"1-30",IF(AND(DB160&gt;30,DB160&lt;=70),"31-70",IF(AND(DB160&gt;70,DB160&lt;=100),"71-100",IF(DB160&gt;100,"+100")))))</f>
        <v>71-100</v>
      </c>
      <c r="DD160">
        <v>0</v>
      </c>
      <c r="DE160">
        <v>1</v>
      </c>
      <c r="DF160">
        <v>1</v>
      </c>
      <c r="DG160">
        <v>1</v>
      </c>
      <c r="DH160"/>
      <c r="DI160">
        <f>SUM(DD160:DG160)</f>
        <v>3</v>
      </c>
      <c r="DJ160" t="str">
        <f>IF(DI160=1,INDEX($DD$7:$DG$7,MATCH(1,$DD160:$DG160,0)),"mixedProduct")</f>
        <v>mixedProduct</v>
      </c>
      <c r="DK160">
        <f>IF(DD160=1,DK$7,0)</f>
        <v>0</v>
      </c>
      <c r="DL160" t="str">
        <f>IF(DE160=1,DL$7,0)</f>
        <v>Energy</v>
      </c>
      <c r="DM160" t="str">
        <f>IF(DF160=1,DM$7,0)</f>
        <v>Pulp/Paper</v>
      </c>
      <c r="DN160" t="str">
        <f>IF(DG160=1,DN$7,0)</f>
        <v>Timber</v>
      </c>
      <c r="DO160" t="s">
        <v>2267</v>
      </c>
      <c r="DP160">
        <v>1</v>
      </c>
      <c r="DQ160" s="184" t="s">
        <v>2268</v>
      </c>
      <c r="DR160" t="s">
        <v>2269</v>
      </c>
      <c r="DS160"/>
      <c r="DT160">
        <f>SUM(DO160:DP160)</f>
        <v>1</v>
      </c>
      <c r="DU160" s="143" t="str">
        <f>IF(DO160=1,"self-calculated DF",IF(DP160=1,"external DF used","explicit C balance"))</f>
        <v>external DF used</v>
      </c>
      <c r="DV160">
        <v>0</v>
      </c>
      <c r="DW160">
        <v>0</v>
      </c>
      <c r="DX160">
        <v>0</v>
      </c>
      <c r="DY160">
        <v>1</v>
      </c>
      <c r="DZ160">
        <v>1</v>
      </c>
      <c r="EA160">
        <v>1</v>
      </c>
      <c r="EB160">
        <v>0</v>
      </c>
      <c r="EC160">
        <v>1</v>
      </c>
      <c r="ED160">
        <v>0</v>
      </c>
      <c r="EE160">
        <v>1</v>
      </c>
      <c r="EF160">
        <v>1</v>
      </c>
      <c r="EG160">
        <v>1</v>
      </c>
      <c r="EH160">
        <v>1</v>
      </c>
      <c r="EI160" s="2">
        <v>0</v>
      </c>
      <c r="EJ160" s="1"/>
      <c r="EK160" t="str">
        <f>IF(AND(AND(AND(OR($DX160=1,$DW160=1),OR($EC160=1,$EA160=1)),SUM($DV160:$DZ160,$EF160)&gt;=4),SUM($EA160:$EE160)&gt;=2),"Whole sector","")</f>
        <v/>
      </c>
      <c r="EL160" t="str">
        <f>IF(AND(AND(OR($DX160=1,$DW160=1),AND($EC160=0,$EA160=0)),SUM($DV160:$DZ160,$EF160)&gt;=4),"Ecosystem approach","")</f>
        <v/>
      </c>
      <c r="EM160" s="2" t="str">
        <f>IF(AND(AND(AND($DX160=0,$DW160=0),OR($EC160=1,$EA160=1)),SUM($EB160:$EE160)&gt;=2),"Technology approach","")</f>
        <v>Technology approach</v>
      </c>
      <c r="EN160"/>
      <c r="EO160"/>
      <c r="EP160" t="str">
        <f>IF(ISNUMBER(BU160),IF(ABS(BU160-[1]QC_indicators!$B$2)&gt;3*[1]QC_indicators!$C$2,"C ratio",IF(ISNUMBER(BY160),IF(ABS(BY160-[1]QC_indicators!$B$1)&gt;3*[1]QC_indicators!$C$1,"DF","no"))),IF(ISNUMBER(BY160),IF(ABS(BY160-[1]QC_indicators!$B$1)&gt;3*[1]QC_indicators!$C$1,"DF","no")))</f>
        <v>no</v>
      </c>
      <c r="EQ160"/>
      <c r="ER160" s="266" t="s">
        <v>2270</v>
      </c>
      <c r="ES160"/>
      <c r="ET160" s="266" t="s">
        <v>3409</v>
      </c>
      <c r="EU160"/>
    </row>
    <row r="161" spans="1:151" s="139" customFormat="1" ht="15" hidden="1" customHeight="1">
      <c r="A161" s="1" t="s">
        <v>1810</v>
      </c>
      <c r="B161" t="s">
        <v>2259</v>
      </c>
      <c r="C161" t="s">
        <v>2260</v>
      </c>
      <c r="D161" t="s">
        <v>2261</v>
      </c>
      <c r="E161" t="s">
        <v>2262</v>
      </c>
      <c r="F161" t="s">
        <v>2263</v>
      </c>
      <c r="G161" t="s">
        <v>1816</v>
      </c>
      <c r="H161" t="s">
        <v>255</v>
      </c>
      <c r="I161">
        <v>2013</v>
      </c>
      <c r="J161">
        <v>49</v>
      </c>
      <c r="K161" t="s">
        <v>2264</v>
      </c>
      <c r="L161"/>
      <c r="M161" t="str">
        <f>LEFT($D161,FIND(",",$D161)-1)&amp;"_"&amp;I161&amp;L161</f>
        <v>Sikkema_2013</v>
      </c>
      <c r="N161" t="s">
        <v>223</v>
      </c>
      <c r="O161" s="145" t="s">
        <v>342</v>
      </c>
      <c r="P161"/>
      <c r="Q161" s="266" t="s">
        <v>257</v>
      </c>
      <c r="R161" s="271" t="s">
        <v>1156</v>
      </c>
      <c r="S161" s="1" t="s">
        <v>2276</v>
      </c>
      <c r="T161" t="s">
        <v>1101</v>
      </c>
      <c r="U161" t="e">
        <f>#REF!</f>
        <v>#REF!</v>
      </c>
      <c r="V161">
        <v>2</v>
      </c>
      <c r="W161">
        <v>0</v>
      </c>
      <c r="X161">
        <v>0</v>
      </c>
      <c r="Y161">
        <v>0</v>
      </c>
      <c r="Z161">
        <v>0</v>
      </c>
      <c r="AA161">
        <v>0</v>
      </c>
      <c r="AB161">
        <v>0</v>
      </c>
      <c r="AC161">
        <v>0</v>
      </c>
      <c r="AD161">
        <v>0</v>
      </c>
      <c r="AE161">
        <v>0</v>
      </c>
      <c r="AF161">
        <v>1</v>
      </c>
      <c r="AG161">
        <v>0</v>
      </c>
      <c r="AH161">
        <v>0</v>
      </c>
      <c r="AI161">
        <v>0</v>
      </c>
      <c r="AJ161">
        <v>0</v>
      </c>
      <c r="AK161">
        <v>0</v>
      </c>
      <c r="AL161">
        <v>0</v>
      </c>
      <c r="AM161">
        <v>0</v>
      </c>
      <c r="AN161">
        <v>0</v>
      </c>
      <c r="AO161">
        <v>0</v>
      </c>
      <c r="AP161">
        <v>0</v>
      </c>
      <c r="AQ161">
        <v>0</v>
      </c>
      <c r="AR161">
        <v>0</v>
      </c>
      <c r="AS161">
        <v>0</v>
      </c>
      <c r="AT161">
        <v>0</v>
      </c>
      <c r="AU161">
        <v>0</v>
      </c>
      <c r="AV161">
        <v>0</v>
      </c>
      <c r="AW161">
        <v>0</v>
      </c>
      <c r="AX161" s="141">
        <f>COUNTIF(V161:AW161,"&lt;&gt;0")</f>
        <v>2</v>
      </c>
      <c r="AY161" s="141">
        <f>COUNTIF(V161:AL161,"&lt;&gt;0")</f>
        <v>2</v>
      </c>
      <c r="AZ161">
        <f>COUNTIF(V161:AC161,"&lt;&gt;0")</f>
        <v>1</v>
      </c>
      <c r="BA161">
        <f>COUNTIF(AD161:AI161,"&lt;&gt;0")</f>
        <v>1</v>
      </c>
      <c r="BB161">
        <f>COUNTIF(AJ161:AL161,"&lt;&gt;0")</f>
        <v>0</v>
      </c>
      <c r="BC161">
        <f>COUNTIF(AS161:AW161,"&lt;&gt;0")</f>
        <v>0</v>
      </c>
      <c r="BD161">
        <f>COUNTIF(AM161:AR161,"&lt;&gt;0")</f>
        <v>0</v>
      </c>
      <c r="BE161" t="str" cm="1">
        <f t="array" ref="BE161">IF(AY161=1,INDEX($V$7:$AL$7,MATCH(TRUE,INDEX($V161:$AW161&lt;&gt;0,),0)),IF(AY161=0,INDEX($AM$7:$AW$7,MATCH(1,$AM161:$AW161,0)),IF(BF161="Multiple strategies","mixed drivers",IF(BF161="Supply chain","multiple supply","multiple silviculture"))))</f>
        <v>mixed drivers</v>
      </c>
      <c r="BF161" s="2" t="str" cm="1">
        <f t="array" ref="BF161">IF(COUNTIF(AZ161:BB161,"&lt;&gt;0")=1,INDEX($V$4:$AW$4,MATCH(TRUE,INDEX($V161:$AW161&lt;&gt;0,),0)),IF(COUNTIF(AZ161:BB161,"&lt;&gt;0")=0,INDEX($AM$4:$AW$4,MATCH(1,$AM161:$AW161,0)),"Multiple strategies"))</f>
        <v>Multiple strategies</v>
      </c>
      <c r="BG161" s="1" t="s">
        <v>322</v>
      </c>
      <c r="BH161" t="s">
        <v>2266</v>
      </c>
      <c r="BI161"/>
      <c r="BJ161" t="s">
        <v>1357</v>
      </c>
      <c r="BK161">
        <v>130</v>
      </c>
      <c r="BL161">
        <v>180</v>
      </c>
      <c r="BM161"/>
      <c r="BN161">
        <f>BL161-BK161</f>
        <v>50</v>
      </c>
      <c r="BO161">
        <f>BN161*10^6</f>
        <v>50000000</v>
      </c>
      <c r="BP161" s="266" t="s">
        <v>233</v>
      </c>
      <c r="BQ161" s="303"/>
      <c r="BR161" t="s">
        <v>1142</v>
      </c>
      <c r="BS161">
        <v>-41.3</v>
      </c>
      <c r="BT161">
        <v>-19</v>
      </c>
      <c r="BU161" s="144">
        <v>0.46004842615012109</v>
      </c>
      <c r="BV161">
        <v>22.299999999999997</v>
      </c>
      <c r="BW161"/>
      <c r="BX161">
        <f>BV161*10^6</f>
        <v>22299999.999999996</v>
      </c>
      <c r="BY161">
        <f>IFERROR(BX161/BO161,"")</f>
        <v>0.44599999999999995</v>
      </c>
      <c r="BZ161">
        <v>0</v>
      </c>
      <c r="CA161">
        <v>0</v>
      </c>
      <c r="CB161">
        <v>0</v>
      </c>
      <c r="CC161">
        <v>0</v>
      </c>
      <c r="CD161">
        <v>0</v>
      </c>
      <c r="CE161">
        <v>0</v>
      </c>
      <c r="CF161">
        <v>0</v>
      </c>
      <c r="CG161">
        <v>0</v>
      </c>
      <c r="CH161">
        <v>0</v>
      </c>
      <c r="CI161">
        <v>0</v>
      </c>
      <c r="CJ161">
        <v>0</v>
      </c>
      <c r="CK161">
        <v>0</v>
      </c>
      <c r="CL161">
        <v>0</v>
      </c>
      <c r="CM161">
        <v>0</v>
      </c>
      <c r="CN161" t="str">
        <f>IF($BL161&lt;$BK161,"refNeedCorrection","refOK")</f>
        <v>refOK</v>
      </c>
      <c r="CO161">
        <f>IF($CN161="refOK",$BK161,$BL161)</f>
        <v>130</v>
      </c>
      <c r="CP161">
        <f>IF($CN161="refOK",$BL161,$BK161)</f>
        <v>180</v>
      </c>
      <c r="CQ161">
        <f>IF($CN161="refOK",$BO161,-$BO161)</f>
        <v>50000000</v>
      </c>
      <c r="CR161">
        <f>IF($CN161="refOK",$BS161,$BT161)*IF($BP161="Emissions positive",-1,1)</f>
        <v>-41.3</v>
      </c>
      <c r="CS161">
        <f>IF($CN161="refOK",$BT161,$BS161)*IF($BP161="Emissions positive",-1,1)</f>
        <v>-19</v>
      </c>
      <c r="CT161">
        <f>IF($CN161="refNeedCorrection",-BX161,BX161)*IF($BP161="Emissions positive",-1,1)</f>
        <v>22299999.999999996</v>
      </c>
      <c r="CU161">
        <f>IFERROR(CT161/CQ161,"")</f>
        <v>0.44599999999999995</v>
      </c>
      <c r="CV161" s="2">
        <f>IFERROR((CS161-CR161)/ABS(CR161),"")</f>
        <v>0.53995157384987891</v>
      </c>
      <c r="CW161" s="1" t="s">
        <v>1205</v>
      </c>
      <c r="CX161" s="266" t="str">
        <f>IF(OR($CW161="prd",$CW161="std",$CW161="cit"),"loc",IF(OR($CW161="eur",$CW161="reg",$CW161="coy"),"reg",$CW161))</f>
        <v>reg</v>
      </c>
      <c r="CY161" t="s">
        <v>541</v>
      </c>
      <c r="CZ161">
        <v>2012</v>
      </c>
      <c r="DA161">
        <v>2112</v>
      </c>
      <c r="DB161">
        <v>100</v>
      </c>
      <c r="DC161" t="str">
        <f>IF(DB161=0,"0",IF(AND(DB161&gt;=1,DB161&lt;=30),"1-30",IF(AND(DB161&gt;30,DB161&lt;=70),"31-70",IF(AND(DB161&gt;70,DB161&lt;=100),"71-100",IF(DB161&gt;100,"+100")))))</f>
        <v>71-100</v>
      </c>
      <c r="DD161">
        <v>0</v>
      </c>
      <c r="DE161">
        <v>1</v>
      </c>
      <c r="DF161">
        <v>1</v>
      </c>
      <c r="DG161">
        <v>1</v>
      </c>
      <c r="DH161"/>
      <c r="DI161">
        <f>SUM(DD161:DG161)</f>
        <v>3</v>
      </c>
      <c r="DJ161" t="str">
        <f>IF(DI161=1,INDEX($DD$7:$DG$7,MATCH(1,$DD161:$DG161,0)),"mixedProduct")</f>
        <v>mixedProduct</v>
      </c>
      <c r="DK161">
        <f>IF(DD161=1,DK$7,0)</f>
        <v>0</v>
      </c>
      <c r="DL161" t="str">
        <f>IF(DE161=1,DL$7,0)</f>
        <v>Energy</v>
      </c>
      <c r="DM161" t="str">
        <f>IF(DF161=1,DM$7,0)</f>
        <v>Pulp/Paper</v>
      </c>
      <c r="DN161" t="str">
        <f>IF(DG161=1,DN$7,0)</f>
        <v>Timber</v>
      </c>
      <c r="DO161" t="s">
        <v>2267</v>
      </c>
      <c r="DP161">
        <v>1</v>
      </c>
      <c r="DQ161" s="184" t="s">
        <v>2268</v>
      </c>
      <c r="DR161" t="s">
        <v>2269</v>
      </c>
      <c r="DS161"/>
      <c r="DT161">
        <f>SUM(DO161:DP161)</f>
        <v>1</v>
      </c>
      <c r="DU161" s="143" t="str">
        <f>IF(DO161=1,"self-calculated DF",IF(DP161=1,"external DF used","explicit C balance"))</f>
        <v>external DF used</v>
      </c>
      <c r="DV161">
        <v>0</v>
      </c>
      <c r="DW161">
        <v>0</v>
      </c>
      <c r="DX161">
        <v>0</v>
      </c>
      <c r="DY161">
        <v>1</v>
      </c>
      <c r="DZ161">
        <v>1</v>
      </c>
      <c r="EA161">
        <v>1</v>
      </c>
      <c r="EB161">
        <v>0</v>
      </c>
      <c r="EC161">
        <v>1</v>
      </c>
      <c r="ED161">
        <v>0</v>
      </c>
      <c r="EE161">
        <v>1</v>
      </c>
      <c r="EF161">
        <v>1</v>
      </c>
      <c r="EG161">
        <v>1</v>
      </c>
      <c r="EH161">
        <v>1</v>
      </c>
      <c r="EI161" s="2">
        <v>0</v>
      </c>
      <c r="EJ161" s="1"/>
      <c r="EK161" t="str">
        <f>IF(AND(AND(AND(OR($DX161=1,$DW161=1),OR($EC161=1,$EA161=1)),SUM($DV161:$DZ161,$EF161)&gt;=4),SUM($EA161:$EE161)&gt;=2),"Whole sector","")</f>
        <v/>
      </c>
      <c r="EL161" t="str">
        <f>IF(AND(AND(OR($DX161=1,$DW161=1),AND($EC161=0,$EA161=0)),SUM($DV161:$DZ161,$EF161)&gt;=4),"Ecosystem approach","")</f>
        <v/>
      </c>
      <c r="EM161" s="2" t="str">
        <f>IF(AND(AND(AND($DX161=0,$DW161=0),OR($EC161=1,$EA161=1)),SUM($EB161:$EE161)&gt;=2),"Technology approach","")</f>
        <v>Technology approach</v>
      </c>
      <c r="EN161"/>
      <c r="EO161"/>
      <c r="EP161" t="str">
        <f>IF(ISNUMBER(BU161),IF(ABS(BU161-[1]QC_indicators!$B$2)&gt;3*[1]QC_indicators!$C$2,"C ratio",IF(ISNUMBER(BY161),IF(ABS(BY161-[1]QC_indicators!$B$1)&gt;3*[1]QC_indicators!$C$1,"DF","no"))),IF(ISNUMBER(BY161),IF(ABS(BY161-[1]QC_indicators!$B$1)&gt;3*[1]QC_indicators!$C$1,"DF","no")))</f>
        <v>no</v>
      </c>
      <c r="EQ161"/>
      <c r="ER161" s="266" t="s">
        <v>2270</v>
      </c>
      <c r="ES161"/>
      <c r="ET161" s="266" t="s">
        <v>3409</v>
      </c>
      <c r="EU161"/>
    </row>
    <row r="162" spans="1:151" s="139" customFormat="1" ht="15" hidden="1" customHeight="1">
      <c r="A162" s="1" t="s">
        <v>1810</v>
      </c>
      <c r="B162" t="s">
        <v>2259</v>
      </c>
      <c r="C162" t="s">
        <v>2260</v>
      </c>
      <c r="D162" t="s">
        <v>2261</v>
      </c>
      <c r="E162" t="s">
        <v>2262</v>
      </c>
      <c r="F162" t="s">
        <v>2263</v>
      </c>
      <c r="G162" t="s">
        <v>1816</v>
      </c>
      <c r="H162" t="s">
        <v>255</v>
      </c>
      <c r="I162">
        <v>2013</v>
      </c>
      <c r="J162">
        <v>49</v>
      </c>
      <c r="K162" t="s">
        <v>2264</v>
      </c>
      <c r="L162"/>
      <c r="M162" t="str">
        <f>LEFT($D162,FIND(",",$D162)-1)&amp;"_"&amp;I162&amp;L162</f>
        <v>Sikkema_2013</v>
      </c>
      <c r="N162" t="s">
        <v>223</v>
      </c>
      <c r="O162" s="145" t="s">
        <v>342</v>
      </c>
      <c r="P162"/>
      <c r="Q162" s="266" t="s">
        <v>257</v>
      </c>
      <c r="R162" s="271" t="s">
        <v>1156</v>
      </c>
      <c r="S162" s="1" t="s">
        <v>2277</v>
      </c>
      <c r="T162" t="s">
        <v>1101</v>
      </c>
      <c r="U162" t="e">
        <f>#REF!</f>
        <v>#REF!</v>
      </c>
      <c r="V162">
        <v>2</v>
      </c>
      <c r="W162">
        <v>0</v>
      </c>
      <c r="X162">
        <v>0</v>
      </c>
      <c r="Y162">
        <v>0</v>
      </c>
      <c r="Z162">
        <v>0</v>
      </c>
      <c r="AA162">
        <v>0</v>
      </c>
      <c r="AB162">
        <v>0</v>
      </c>
      <c r="AC162">
        <v>0</v>
      </c>
      <c r="AD162">
        <v>0</v>
      </c>
      <c r="AE162">
        <v>0</v>
      </c>
      <c r="AF162">
        <v>1</v>
      </c>
      <c r="AG162">
        <v>0</v>
      </c>
      <c r="AH162">
        <v>0</v>
      </c>
      <c r="AI162">
        <v>0</v>
      </c>
      <c r="AJ162">
        <v>0</v>
      </c>
      <c r="AK162">
        <v>0</v>
      </c>
      <c r="AL162">
        <v>0</v>
      </c>
      <c r="AM162">
        <v>0</v>
      </c>
      <c r="AN162">
        <v>0</v>
      </c>
      <c r="AO162">
        <v>0</v>
      </c>
      <c r="AP162">
        <v>0</v>
      </c>
      <c r="AQ162">
        <v>0</v>
      </c>
      <c r="AR162">
        <v>0</v>
      </c>
      <c r="AS162">
        <v>0</v>
      </c>
      <c r="AT162">
        <v>0</v>
      </c>
      <c r="AU162">
        <v>0</v>
      </c>
      <c r="AV162">
        <v>0</v>
      </c>
      <c r="AW162">
        <v>0</v>
      </c>
      <c r="AX162" s="141">
        <f>COUNTIF(V162:AW162,"&lt;&gt;0")</f>
        <v>2</v>
      </c>
      <c r="AY162" s="141">
        <f>COUNTIF(V162:AL162,"&lt;&gt;0")</f>
        <v>2</v>
      </c>
      <c r="AZ162">
        <f>COUNTIF(V162:AC162,"&lt;&gt;0")</f>
        <v>1</v>
      </c>
      <c r="BA162">
        <f>COUNTIF(AD162:AI162,"&lt;&gt;0")</f>
        <v>1</v>
      </c>
      <c r="BB162">
        <f>COUNTIF(AJ162:AL162,"&lt;&gt;0")</f>
        <v>0</v>
      </c>
      <c r="BC162">
        <f>COUNTIF(AS162:AW162,"&lt;&gt;0")</f>
        <v>0</v>
      </c>
      <c r="BD162">
        <f>COUNTIF(AM162:AR162,"&lt;&gt;0")</f>
        <v>0</v>
      </c>
      <c r="BE162" t="str" cm="1">
        <f t="array" ref="BE162">IF(AY162=1,INDEX($V$7:$AL$7,MATCH(TRUE,INDEX($V162:$AW162&lt;&gt;0,),0)),IF(AY162=0,INDEX($AM$7:$AW$7,MATCH(1,$AM162:$AW162,0)),IF(BF162="Multiple strategies","mixed drivers",IF(BF162="Supply chain","multiple supply","multiple silviculture"))))</f>
        <v>mixed drivers</v>
      </c>
      <c r="BF162" s="2" t="str" cm="1">
        <f t="array" ref="BF162">IF(COUNTIF(AZ162:BB162,"&lt;&gt;0")=1,INDEX($V$4:$AW$4,MATCH(TRUE,INDEX($V162:$AW162&lt;&gt;0,),0)),IF(COUNTIF(AZ162:BB162,"&lt;&gt;0")=0,INDEX($AM$4:$AW$4,MATCH(1,$AM162:$AW162,0)),"Multiple strategies"))</f>
        <v>Multiple strategies</v>
      </c>
      <c r="BG162" s="1" t="s">
        <v>322</v>
      </c>
      <c r="BH162" t="s">
        <v>2266</v>
      </c>
      <c r="BI162"/>
      <c r="BJ162" t="s">
        <v>1357</v>
      </c>
      <c r="BK162">
        <v>130</v>
      </c>
      <c r="BL162">
        <v>180</v>
      </c>
      <c r="BM162"/>
      <c r="BN162">
        <f>BL162-BK162</f>
        <v>50</v>
      </c>
      <c r="BO162">
        <f>BN162*10^6</f>
        <v>50000000</v>
      </c>
      <c r="BP162" s="266" t="s">
        <v>233</v>
      </c>
      <c r="BQ162" s="303"/>
      <c r="BR162" t="s">
        <v>1142</v>
      </c>
      <c r="BS162">
        <v>-41.3</v>
      </c>
      <c r="BT162">
        <v>-18.399999999999999</v>
      </c>
      <c r="BU162" s="144">
        <v>0.44552058111380144</v>
      </c>
      <c r="BV162">
        <v>22.9</v>
      </c>
      <c r="BW162"/>
      <c r="BX162">
        <f>BV162*10^6</f>
        <v>22900000</v>
      </c>
      <c r="BY162">
        <f>IFERROR(BX162/BO162,"")</f>
        <v>0.45800000000000002</v>
      </c>
      <c r="BZ162">
        <v>0</v>
      </c>
      <c r="CA162">
        <v>0</v>
      </c>
      <c r="CB162">
        <v>0</v>
      </c>
      <c r="CC162">
        <v>0</v>
      </c>
      <c r="CD162">
        <v>0</v>
      </c>
      <c r="CE162">
        <v>0</v>
      </c>
      <c r="CF162">
        <v>0</v>
      </c>
      <c r="CG162">
        <v>0</v>
      </c>
      <c r="CH162">
        <v>0</v>
      </c>
      <c r="CI162">
        <v>0</v>
      </c>
      <c r="CJ162">
        <v>0</v>
      </c>
      <c r="CK162">
        <v>0</v>
      </c>
      <c r="CL162">
        <v>0</v>
      </c>
      <c r="CM162">
        <v>0</v>
      </c>
      <c r="CN162" t="str">
        <f>IF($BL162&lt;$BK162,"refNeedCorrection","refOK")</f>
        <v>refOK</v>
      </c>
      <c r="CO162">
        <f>IF($CN162="refOK",$BK162,$BL162)</f>
        <v>130</v>
      </c>
      <c r="CP162">
        <f>IF($CN162="refOK",$BL162,$BK162)</f>
        <v>180</v>
      </c>
      <c r="CQ162">
        <f>IF($CN162="refOK",$BO162,-$BO162)</f>
        <v>50000000</v>
      </c>
      <c r="CR162">
        <f>IF($CN162="refOK",$BS162,$BT162)*IF($BP162="Emissions positive",-1,1)</f>
        <v>-41.3</v>
      </c>
      <c r="CS162">
        <f>IF($CN162="refOK",$BT162,$BS162)*IF($BP162="Emissions positive",-1,1)</f>
        <v>-18.399999999999999</v>
      </c>
      <c r="CT162">
        <f>IF($CN162="refNeedCorrection",-BX162,BX162)*IF($BP162="Emissions positive",-1,1)</f>
        <v>22900000</v>
      </c>
      <c r="CU162">
        <f>IFERROR(CT162/CQ162,"")</f>
        <v>0.45800000000000002</v>
      </c>
      <c r="CV162" s="2">
        <f>IFERROR((CS162-CR162)/ABS(CR162),"")</f>
        <v>0.55447941888619856</v>
      </c>
      <c r="CW162" s="1" t="s">
        <v>1205</v>
      </c>
      <c r="CX162" s="266" t="str">
        <f>IF(OR($CW162="prd",$CW162="std",$CW162="cit"),"loc",IF(OR($CW162="eur",$CW162="reg",$CW162="coy"),"reg",$CW162))</f>
        <v>reg</v>
      </c>
      <c r="CY162" t="s">
        <v>541</v>
      </c>
      <c r="CZ162">
        <v>2012</v>
      </c>
      <c r="DA162">
        <v>2112</v>
      </c>
      <c r="DB162">
        <v>100</v>
      </c>
      <c r="DC162" t="str">
        <f>IF(DB162=0,"0",IF(AND(DB162&gt;=1,DB162&lt;=30),"1-30",IF(AND(DB162&gt;30,DB162&lt;=70),"31-70",IF(AND(DB162&gt;70,DB162&lt;=100),"71-100",IF(DB162&gt;100,"+100")))))</f>
        <v>71-100</v>
      </c>
      <c r="DD162">
        <v>0</v>
      </c>
      <c r="DE162">
        <v>1</v>
      </c>
      <c r="DF162">
        <v>1</v>
      </c>
      <c r="DG162">
        <v>1</v>
      </c>
      <c r="DH162"/>
      <c r="DI162">
        <f>SUM(DD162:DG162)</f>
        <v>3</v>
      </c>
      <c r="DJ162" t="str">
        <f>IF(DI162=1,INDEX($DD$7:$DG$7,MATCH(1,$DD162:$DG162,0)),"mixedProduct")</f>
        <v>mixedProduct</v>
      </c>
      <c r="DK162">
        <f>IF(DD162=1,DK$7,0)</f>
        <v>0</v>
      </c>
      <c r="DL162" t="str">
        <f>IF(DE162=1,DL$7,0)</f>
        <v>Energy</v>
      </c>
      <c r="DM162" t="str">
        <f>IF(DF162=1,DM$7,0)</f>
        <v>Pulp/Paper</v>
      </c>
      <c r="DN162" t="str">
        <f>IF(DG162=1,DN$7,0)</f>
        <v>Timber</v>
      </c>
      <c r="DO162" t="s">
        <v>2267</v>
      </c>
      <c r="DP162">
        <v>1</v>
      </c>
      <c r="DQ162" s="184" t="s">
        <v>2268</v>
      </c>
      <c r="DR162" t="s">
        <v>2269</v>
      </c>
      <c r="DS162"/>
      <c r="DT162">
        <f>SUM(DO162:DP162)</f>
        <v>1</v>
      </c>
      <c r="DU162" s="143" t="str">
        <f>IF(DO162=1,"self-calculated DF",IF(DP162=1,"external DF used","explicit C balance"))</f>
        <v>external DF used</v>
      </c>
      <c r="DV162">
        <v>0</v>
      </c>
      <c r="DW162">
        <v>0</v>
      </c>
      <c r="DX162">
        <v>0</v>
      </c>
      <c r="DY162">
        <v>1</v>
      </c>
      <c r="DZ162">
        <v>1</v>
      </c>
      <c r="EA162">
        <v>1</v>
      </c>
      <c r="EB162">
        <v>0</v>
      </c>
      <c r="EC162">
        <v>1</v>
      </c>
      <c r="ED162">
        <v>0</v>
      </c>
      <c r="EE162">
        <v>1</v>
      </c>
      <c r="EF162">
        <v>1</v>
      </c>
      <c r="EG162">
        <v>1</v>
      </c>
      <c r="EH162">
        <v>1</v>
      </c>
      <c r="EI162" s="2">
        <v>0</v>
      </c>
      <c r="EJ162" s="1"/>
      <c r="EK162" t="str">
        <f>IF(AND(AND(AND(OR($DX162=1,$DW162=1),OR($EC162=1,$EA162=1)),SUM($DV162:$DZ162,$EF162)&gt;=4),SUM($EA162:$EE162)&gt;=2),"Whole sector","")</f>
        <v/>
      </c>
      <c r="EL162" t="str">
        <f>IF(AND(AND(OR($DX162=1,$DW162=1),AND($EC162=0,$EA162=0)),SUM($DV162:$DZ162,$EF162)&gt;=4),"Ecosystem approach","")</f>
        <v/>
      </c>
      <c r="EM162" s="2" t="str">
        <f>IF(AND(AND(AND($DX162=0,$DW162=0),OR($EC162=1,$EA162=1)),SUM($EB162:$EE162)&gt;=2),"Technology approach","")</f>
        <v>Technology approach</v>
      </c>
      <c r="EN162"/>
      <c r="EO162"/>
      <c r="EP162" t="str">
        <f>IF(ISNUMBER(BU162),IF(ABS(BU162-[1]QC_indicators!$B$2)&gt;3*[1]QC_indicators!$C$2,"C ratio",IF(ISNUMBER(BY162),IF(ABS(BY162-[1]QC_indicators!$B$1)&gt;3*[1]QC_indicators!$C$1,"DF","no"))),IF(ISNUMBER(BY162),IF(ABS(BY162-[1]QC_indicators!$B$1)&gt;3*[1]QC_indicators!$C$1,"DF","no")))</f>
        <v>no</v>
      </c>
      <c r="EQ162"/>
      <c r="ER162" s="266" t="s">
        <v>2270</v>
      </c>
      <c r="ES162"/>
      <c r="ET162" s="266" t="s">
        <v>3409</v>
      </c>
      <c r="EU162"/>
    </row>
    <row r="163" spans="1:151" s="139" customFormat="1" ht="15" hidden="1" customHeight="1">
      <c r="A163" s="1" t="s">
        <v>1810</v>
      </c>
      <c r="B163" t="s">
        <v>2259</v>
      </c>
      <c r="C163" t="s">
        <v>2260</v>
      </c>
      <c r="D163" t="s">
        <v>2261</v>
      </c>
      <c r="E163" t="s">
        <v>2262</v>
      </c>
      <c r="F163" t="s">
        <v>2263</v>
      </c>
      <c r="G163" t="s">
        <v>1816</v>
      </c>
      <c r="H163" t="s">
        <v>255</v>
      </c>
      <c r="I163">
        <v>2013</v>
      </c>
      <c r="J163">
        <v>49</v>
      </c>
      <c r="K163" t="s">
        <v>2264</v>
      </c>
      <c r="L163"/>
      <c r="M163" t="str">
        <f>LEFT($D163,FIND(",",$D163)-1)&amp;"_"&amp;I163&amp;L163</f>
        <v>Sikkema_2013</v>
      </c>
      <c r="N163" t="s">
        <v>223</v>
      </c>
      <c r="O163" s="145" t="s">
        <v>342</v>
      </c>
      <c r="P163"/>
      <c r="Q163" s="266" t="s">
        <v>257</v>
      </c>
      <c r="R163" s="271" t="s">
        <v>1156</v>
      </c>
      <c r="S163" s="1" t="s">
        <v>2278</v>
      </c>
      <c r="T163" t="s">
        <v>1101</v>
      </c>
      <c r="U163" t="e">
        <f>#REF!</f>
        <v>#REF!</v>
      </c>
      <c r="V163">
        <v>2</v>
      </c>
      <c r="W163">
        <v>0</v>
      </c>
      <c r="X163">
        <v>0</v>
      </c>
      <c r="Y163">
        <v>0</v>
      </c>
      <c r="Z163">
        <v>0</v>
      </c>
      <c r="AA163">
        <v>0</v>
      </c>
      <c r="AB163">
        <v>0</v>
      </c>
      <c r="AC163">
        <v>0</v>
      </c>
      <c r="AD163">
        <v>0</v>
      </c>
      <c r="AE163">
        <v>0</v>
      </c>
      <c r="AF163">
        <v>1</v>
      </c>
      <c r="AG163">
        <v>0</v>
      </c>
      <c r="AH163">
        <v>0</v>
      </c>
      <c r="AI163">
        <v>0</v>
      </c>
      <c r="AJ163">
        <v>0</v>
      </c>
      <c r="AK163">
        <v>0</v>
      </c>
      <c r="AL163">
        <v>0</v>
      </c>
      <c r="AM163">
        <v>0</v>
      </c>
      <c r="AN163">
        <v>0</v>
      </c>
      <c r="AO163">
        <v>0</v>
      </c>
      <c r="AP163">
        <v>0</v>
      </c>
      <c r="AQ163">
        <v>0</v>
      </c>
      <c r="AR163">
        <v>0</v>
      </c>
      <c r="AS163">
        <v>0</v>
      </c>
      <c r="AT163">
        <v>0</v>
      </c>
      <c r="AU163">
        <v>0</v>
      </c>
      <c r="AV163">
        <v>0</v>
      </c>
      <c r="AW163">
        <v>0</v>
      </c>
      <c r="AX163" s="141">
        <f>COUNTIF(V163:AW163,"&lt;&gt;0")</f>
        <v>2</v>
      </c>
      <c r="AY163" s="141">
        <f>COUNTIF(V163:AL163,"&lt;&gt;0")</f>
        <v>2</v>
      </c>
      <c r="AZ163">
        <f>COUNTIF(V163:AC163,"&lt;&gt;0")</f>
        <v>1</v>
      </c>
      <c r="BA163">
        <f>COUNTIF(AD163:AI163,"&lt;&gt;0")</f>
        <v>1</v>
      </c>
      <c r="BB163">
        <f>COUNTIF(AJ163:AL163,"&lt;&gt;0")</f>
        <v>0</v>
      </c>
      <c r="BC163">
        <f>COUNTIF(AS163:AW163,"&lt;&gt;0")</f>
        <v>0</v>
      </c>
      <c r="BD163">
        <f>COUNTIF(AM163:AR163,"&lt;&gt;0")</f>
        <v>0</v>
      </c>
      <c r="BE163" t="str" cm="1">
        <f t="array" ref="BE163">IF(AY163=1,INDEX($V$7:$AL$7,MATCH(TRUE,INDEX($V163:$AW163&lt;&gt;0,),0)),IF(AY163=0,INDEX($AM$7:$AW$7,MATCH(1,$AM163:$AW163,0)),IF(BF163="Multiple strategies","mixed drivers",IF(BF163="Supply chain","multiple supply","multiple silviculture"))))</f>
        <v>mixed drivers</v>
      </c>
      <c r="BF163" s="2" t="str" cm="1">
        <f t="array" ref="BF163">IF(COUNTIF(AZ163:BB163,"&lt;&gt;0")=1,INDEX($V$4:$AW$4,MATCH(TRUE,INDEX($V163:$AW163&lt;&gt;0,),0)),IF(COUNTIF(AZ163:BB163,"&lt;&gt;0")=0,INDEX($AM$4:$AW$4,MATCH(1,$AM163:$AW163,0)),"Multiple strategies"))</f>
        <v>Multiple strategies</v>
      </c>
      <c r="BG163" s="1" t="s">
        <v>322</v>
      </c>
      <c r="BH163" t="s">
        <v>2266</v>
      </c>
      <c r="BI163"/>
      <c r="BJ163" t="s">
        <v>1357</v>
      </c>
      <c r="BK163">
        <v>130</v>
      </c>
      <c r="BL163">
        <v>180</v>
      </c>
      <c r="BM163"/>
      <c r="BN163">
        <f>BL163-BK163</f>
        <v>50</v>
      </c>
      <c r="BO163">
        <f>BN163*10^6</f>
        <v>50000000</v>
      </c>
      <c r="BP163" s="266" t="s">
        <v>233</v>
      </c>
      <c r="BQ163" s="303"/>
      <c r="BR163" t="s">
        <v>1142</v>
      </c>
      <c r="BS163">
        <v>-41.3</v>
      </c>
      <c r="BT163">
        <v>-18.100000000000001</v>
      </c>
      <c r="BU163" s="144">
        <v>0.43825665859564172</v>
      </c>
      <c r="BV163">
        <v>23.199999999999996</v>
      </c>
      <c r="BW163"/>
      <c r="BX163">
        <f>BV163*10^6</f>
        <v>23199999.999999996</v>
      </c>
      <c r="BY163">
        <f>IFERROR(BX163/BO163,"")</f>
        <v>0.46399999999999991</v>
      </c>
      <c r="BZ163">
        <v>0</v>
      </c>
      <c r="CA163">
        <v>0</v>
      </c>
      <c r="CB163">
        <v>0</v>
      </c>
      <c r="CC163">
        <v>0</v>
      </c>
      <c r="CD163">
        <v>0</v>
      </c>
      <c r="CE163">
        <v>0</v>
      </c>
      <c r="CF163">
        <v>0</v>
      </c>
      <c r="CG163">
        <v>0</v>
      </c>
      <c r="CH163">
        <v>0</v>
      </c>
      <c r="CI163">
        <v>0</v>
      </c>
      <c r="CJ163">
        <v>0</v>
      </c>
      <c r="CK163">
        <v>0</v>
      </c>
      <c r="CL163">
        <v>0</v>
      </c>
      <c r="CM163">
        <v>0</v>
      </c>
      <c r="CN163" t="str">
        <f>IF($BL163&lt;$BK163,"refNeedCorrection","refOK")</f>
        <v>refOK</v>
      </c>
      <c r="CO163">
        <f>IF($CN163="refOK",$BK163,$BL163)</f>
        <v>130</v>
      </c>
      <c r="CP163">
        <f>IF($CN163="refOK",$BL163,$BK163)</f>
        <v>180</v>
      </c>
      <c r="CQ163">
        <f>IF($CN163="refOK",$BO163,-$BO163)</f>
        <v>50000000</v>
      </c>
      <c r="CR163">
        <f>IF($CN163="refOK",$BS163,$BT163)*IF($BP163="Emissions positive",-1,1)</f>
        <v>-41.3</v>
      </c>
      <c r="CS163">
        <f>IF($CN163="refOK",$BT163,$BS163)*IF($BP163="Emissions positive",-1,1)</f>
        <v>-18.100000000000001</v>
      </c>
      <c r="CT163">
        <f>IF($CN163="refNeedCorrection",-BX163,BX163)*IF($BP163="Emissions positive",-1,1)</f>
        <v>23199999.999999996</v>
      </c>
      <c r="CU163">
        <f>IFERROR(CT163/CQ163,"")</f>
        <v>0.46399999999999991</v>
      </c>
      <c r="CV163" s="2">
        <f>IFERROR((CS163-CR163)/ABS(CR163),"")</f>
        <v>0.56174334140435833</v>
      </c>
      <c r="CW163" s="1" t="s">
        <v>1205</v>
      </c>
      <c r="CX163" s="266" t="str">
        <f>IF(OR($CW163="prd",$CW163="std",$CW163="cit"),"loc",IF(OR($CW163="eur",$CW163="reg",$CW163="coy"),"reg",$CW163))</f>
        <v>reg</v>
      </c>
      <c r="CY163" t="s">
        <v>541</v>
      </c>
      <c r="CZ163">
        <v>2012</v>
      </c>
      <c r="DA163">
        <v>2112</v>
      </c>
      <c r="DB163">
        <v>100</v>
      </c>
      <c r="DC163" t="str">
        <f>IF(DB163=0,"0",IF(AND(DB163&gt;=1,DB163&lt;=30),"1-30",IF(AND(DB163&gt;30,DB163&lt;=70),"31-70",IF(AND(DB163&gt;70,DB163&lt;=100),"71-100",IF(DB163&gt;100,"+100")))))</f>
        <v>71-100</v>
      </c>
      <c r="DD163">
        <v>0</v>
      </c>
      <c r="DE163">
        <v>1</v>
      </c>
      <c r="DF163">
        <v>1</v>
      </c>
      <c r="DG163">
        <v>1</v>
      </c>
      <c r="DH163"/>
      <c r="DI163">
        <f>SUM(DD163:DG163)</f>
        <v>3</v>
      </c>
      <c r="DJ163" t="str">
        <f>IF(DI163=1,INDEX($DD$7:$DG$7,MATCH(1,$DD163:$DG163,0)),"mixedProduct")</f>
        <v>mixedProduct</v>
      </c>
      <c r="DK163">
        <f>IF(DD163=1,DK$7,0)</f>
        <v>0</v>
      </c>
      <c r="DL163" t="str">
        <f>IF(DE163=1,DL$7,0)</f>
        <v>Energy</v>
      </c>
      <c r="DM163" t="str">
        <f>IF(DF163=1,DM$7,0)</f>
        <v>Pulp/Paper</v>
      </c>
      <c r="DN163" t="str">
        <f>IF(DG163=1,DN$7,0)</f>
        <v>Timber</v>
      </c>
      <c r="DO163" t="s">
        <v>2267</v>
      </c>
      <c r="DP163">
        <v>1</v>
      </c>
      <c r="DQ163" s="184" t="s">
        <v>2268</v>
      </c>
      <c r="DR163" t="s">
        <v>2269</v>
      </c>
      <c r="DS163"/>
      <c r="DT163">
        <f>SUM(DO163:DP163)</f>
        <v>1</v>
      </c>
      <c r="DU163" s="143" t="str">
        <f>IF(DO163=1,"self-calculated DF",IF(DP163=1,"external DF used","explicit C balance"))</f>
        <v>external DF used</v>
      </c>
      <c r="DV163">
        <v>0</v>
      </c>
      <c r="DW163">
        <v>0</v>
      </c>
      <c r="DX163">
        <v>0</v>
      </c>
      <c r="DY163">
        <v>1</v>
      </c>
      <c r="DZ163">
        <v>1</v>
      </c>
      <c r="EA163">
        <v>1</v>
      </c>
      <c r="EB163">
        <v>0</v>
      </c>
      <c r="EC163">
        <v>1</v>
      </c>
      <c r="ED163">
        <v>0</v>
      </c>
      <c r="EE163">
        <v>1</v>
      </c>
      <c r="EF163">
        <v>1</v>
      </c>
      <c r="EG163">
        <v>1</v>
      </c>
      <c r="EH163">
        <v>1</v>
      </c>
      <c r="EI163" s="2">
        <v>0</v>
      </c>
      <c r="EJ163" s="1"/>
      <c r="EK163" t="str">
        <f>IF(AND(AND(AND(OR($DX163=1,$DW163=1),OR($EC163=1,$EA163=1)),SUM($DV163:$DZ163,$EF163)&gt;=4),SUM($EA163:$EE163)&gt;=2),"Whole sector","")</f>
        <v/>
      </c>
      <c r="EL163" t="str">
        <f>IF(AND(AND(OR($DX163=1,$DW163=1),AND($EC163=0,$EA163=0)),SUM($DV163:$DZ163,$EF163)&gt;=4),"Ecosystem approach","")</f>
        <v/>
      </c>
      <c r="EM163" s="2" t="str">
        <f>IF(AND(AND(AND($DX163=0,$DW163=0),OR($EC163=1,$EA163=1)),SUM($EB163:$EE163)&gt;=2),"Technology approach","")</f>
        <v>Technology approach</v>
      </c>
      <c r="EN163"/>
      <c r="EO163"/>
      <c r="EP163" t="str">
        <f>IF(ISNUMBER(BU163),IF(ABS(BU163-[1]QC_indicators!$B$2)&gt;3*[1]QC_indicators!$C$2,"C ratio",IF(ISNUMBER(BY163),IF(ABS(BY163-[1]QC_indicators!$B$1)&gt;3*[1]QC_indicators!$C$1,"DF","no"))),IF(ISNUMBER(BY163),IF(ABS(BY163-[1]QC_indicators!$B$1)&gt;3*[1]QC_indicators!$C$1,"DF","no")))</f>
        <v>no</v>
      </c>
      <c r="EQ163"/>
      <c r="ER163" s="266" t="s">
        <v>2270</v>
      </c>
      <c r="ES163"/>
      <c r="ET163" s="266" t="s">
        <v>3409</v>
      </c>
      <c r="EU163"/>
    </row>
    <row r="164" spans="1:151" s="139" customFormat="1" ht="15" hidden="1" customHeight="1">
      <c r="A164" s="1" t="s">
        <v>588</v>
      </c>
      <c r="B164" t="s">
        <v>1450</v>
      </c>
      <c r="C164" t="s">
        <v>1451</v>
      </c>
      <c r="D164" t="s">
        <v>1452</v>
      </c>
      <c r="E164" t="s">
        <v>1453</v>
      </c>
      <c r="F164" t="s">
        <v>1454</v>
      </c>
      <c r="G164" t="s">
        <v>594</v>
      </c>
      <c r="H164" t="s">
        <v>255</v>
      </c>
      <c r="I164">
        <v>2020</v>
      </c>
      <c r="J164">
        <v>12</v>
      </c>
      <c r="K164" t="s">
        <v>1455</v>
      </c>
      <c r="L164"/>
      <c r="M164" t="str">
        <f>LEFT($D164,FIND(",",$D164)-1)&amp;"_"&amp;I164&amp;L164</f>
        <v>Elisa_2020</v>
      </c>
      <c r="N164" s="266" t="s">
        <v>223</v>
      </c>
      <c r="O164" s="171" t="s">
        <v>275</v>
      </c>
      <c r="P164" t="s">
        <v>224</v>
      </c>
      <c r="Q164" s="266" t="s">
        <v>390</v>
      </c>
      <c r="R164" s="271" t="s">
        <v>1156</v>
      </c>
      <c r="S164" s="154" t="s">
        <v>1456</v>
      </c>
      <c r="T164" s="296" t="s">
        <v>1457</v>
      </c>
      <c r="U164" s="143" t="s">
        <v>1485</v>
      </c>
      <c r="V164">
        <v>0</v>
      </c>
      <c r="W164">
        <v>0</v>
      </c>
      <c r="X164">
        <v>0</v>
      </c>
      <c r="Y164">
        <v>0</v>
      </c>
      <c r="Z164">
        <v>0</v>
      </c>
      <c r="AA164">
        <v>0</v>
      </c>
      <c r="AB164">
        <v>0</v>
      </c>
      <c r="AC164">
        <v>0</v>
      </c>
      <c r="AD164">
        <v>0</v>
      </c>
      <c r="AE164">
        <v>1</v>
      </c>
      <c r="AF164">
        <v>0</v>
      </c>
      <c r="AG164">
        <v>0</v>
      </c>
      <c r="AH164">
        <v>0</v>
      </c>
      <c r="AI164">
        <v>0</v>
      </c>
      <c r="AJ164">
        <v>0</v>
      </c>
      <c r="AK164">
        <v>1</v>
      </c>
      <c r="AL164">
        <v>0</v>
      </c>
      <c r="AM164">
        <v>0</v>
      </c>
      <c r="AN164">
        <v>0</v>
      </c>
      <c r="AO164">
        <v>0</v>
      </c>
      <c r="AP164">
        <v>0</v>
      </c>
      <c r="AQ164">
        <v>0</v>
      </c>
      <c r="AR164">
        <v>0</v>
      </c>
      <c r="AS164">
        <v>0</v>
      </c>
      <c r="AT164">
        <v>0</v>
      </c>
      <c r="AU164">
        <v>0</v>
      </c>
      <c r="AV164">
        <v>0</v>
      </c>
      <c r="AW164">
        <v>0</v>
      </c>
      <c r="AX164" s="141">
        <f>COUNTIF(V164:AW164,"&lt;&gt;0")</f>
        <v>2</v>
      </c>
      <c r="AY164" s="141">
        <f>COUNTIF(V164:AL164,"&lt;&gt;0")</f>
        <v>2</v>
      </c>
      <c r="AZ164">
        <f>COUNTIF(V164:AC164,"&lt;&gt;0")</f>
        <v>0</v>
      </c>
      <c r="BA164">
        <f>COUNTIF(AD164:AI164,"&lt;&gt;0")</f>
        <v>1</v>
      </c>
      <c r="BB164">
        <f>COUNTIF(AJ164:AL164,"&lt;&gt;0")</f>
        <v>1</v>
      </c>
      <c r="BC164">
        <f>COUNTIF(AS164:AW164,"&lt;&gt;0")</f>
        <v>0</v>
      </c>
      <c r="BD164">
        <f>COUNTIF(AM164:AR164,"&lt;&gt;0")</f>
        <v>0</v>
      </c>
      <c r="BE164" t="str" cm="1">
        <f t="array" ref="BE164">IF(AY164=1,INDEX($V$7:$AL$7,MATCH(TRUE,INDEX($V164:$AW164&lt;&gt;0,),0)),IF(AY164=0,INDEX($AM$7:$AW$7,MATCH(1,$AM164:$AW164,0)),IF(BF164="Multiple strategies","mixed drivers",IF(BF164="Supply chain","multiple supply","multiple silviculture"))))</f>
        <v>mixed drivers</v>
      </c>
      <c r="BF164" s="2" t="str" cm="1">
        <f t="array" ref="BF164">IF(COUNTIF(AZ164:BB164,"&lt;&gt;0")=1,INDEX($V$4:$AW$4,MATCH(TRUE,INDEX($V164:$AW164&lt;&gt;0,),0)),IF(COUNTIF(AZ164:BB164,"&lt;&gt;0")=0,INDEX($AM$4:$AW$4,MATCH(1,$AM164:$AW164,0)),"Multiple strategies"))</f>
        <v>Multiple strategies</v>
      </c>
      <c r="BG164" s="142" t="s">
        <v>322</v>
      </c>
      <c r="BH164" s="160" t="s">
        <v>1459</v>
      </c>
      <c r="BI164" s="160" t="s">
        <v>1460</v>
      </c>
      <c r="BJ164" s="143" t="s">
        <v>499</v>
      </c>
      <c r="BK164" s="143">
        <v>944</v>
      </c>
      <c r="BL164" s="143">
        <v>11773</v>
      </c>
      <c r="BM164">
        <f>IFERROR(BL164/BK164,"")</f>
        <v>12.471398305084746</v>
      </c>
      <c r="BN164">
        <f>BL164-BK164</f>
        <v>10829</v>
      </c>
      <c r="BO164" s="159">
        <f>BN164</f>
        <v>10829</v>
      </c>
      <c r="BP164" s="155" t="s">
        <v>233</v>
      </c>
      <c r="BQ164" s="313" t="s">
        <v>1461</v>
      </c>
      <c r="BR164" s="155" t="s">
        <v>827</v>
      </c>
      <c r="BS164" s="143" t="s">
        <v>1462</v>
      </c>
      <c r="BT164" t="s">
        <v>1486</v>
      </c>
      <c r="BU164" s="144">
        <f>BT164/BS164</f>
        <v>15.863389767032684</v>
      </c>
      <c r="BV164">
        <f>BT164-BS164</f>
        <v>-104.313015833333</v>
      </c>
      <c r="BW164"/>
      <c r="BX164">
        <f>BV164</f>
        <v>-104.313015833333</v>
      </c>
      <c r="BY164">
        <f>IFERROR(BX164/BO164,"")</f>
        <v>-9.6327468679779302E-3</v>
      </c>
      <c r="BZ164">
        <v>0</v>
      </c>
      <c r="CA164">
        <v>0</v>
      </c>
      <c r="CB164">
        <v>0</v>
      </c>
      <c r="CC164">
        <v>0</v>
      </c>
      <c r="CD164">
        <v>0</v>
      </c>
      <c r="CE164">
        <v>0</v>
      </c>
      <c r="CF164">
        <v>0</v>
      </c>
      <c r="CG164">
        <v>0</v>
      </c>
      <c r="CH164">
        <v>0</v>
      </c>
      <c r="CI164">
        <v>0</v>
      </c>
      <c r="CJ164">
        <v>0</v>
      </c>
      <c r="CK164">
        <v>0</v>
      </c>
      <c r="CL164">
        <v>0</v>
      </c>
      <c r="CM164">
        <v>0</v>
      </c>
      <c r="CN164" t="str">
        <f>IF($BL164&lt;$BK164,"refNeedCorrection","refOK")</f>
        <v>refOK</v>
      </c>
      <c r="CO164">
        <f>IF($CN164="refOK",$BK164,$BL164)</f>
        <v>944</v>
      </c>
      <c r="CP164">
        <f>IF($CN164="refOK",$BL164,$BK164)</f>
        <v>11773</v>
      </c>
      <c r="CQ164">
        <f>IF($CN164="refOK",$BO164,-$BO164)</f>
        <v>10829</v>
      </c>
      <c r="CR164">
        <f>IF($CN164="refOK",$BS164,$BT164)*IF($BP164="Emissions positive",-1,1)</f>
        <v>-7.0181174999999998</v>
      </c>
      <c r="CS164">
        <f>IF($CN164="refOK",$BT164,$BS164)*IF($BP164="Emissions positive",-1,1)</f>
        <v>-111.331133333333</v>
      </c>
      <c r="CT164">
        <f>IF($CN164="refNeedCorrection",-BX164,BX164)*IF($BP164="Emissions positive",-1,1)</f>
        <v>-104.313015833333</v>
      </c>
      <c r="CU164">
        <f>IFERROR(CT164/CQ164,"")</f>
        <v>-9.6327468679779302E-3</v>
      </c>
      <c r="CV164" s="2">
        <f>IFERROR((CS164-CR164)/ABS(CR164),"")</f>
        <v>-14.863389767032684</v>
      </c>
      <c r="CW164" s="265" t="s">
        <v>1464</v>
      </c>
      <c r="CX164" s="266" t="str">
        <f>IF(OR($CW164="prd",$CW164="std",$CW164="cit"),"loc",IF(OR($CW164="eur",$CW164="reg",$CW164="coy"),"reg",$CW164))</f>
        <v>reg</v>
      </c>
      <c r="CY164" s="272" t="s">
        <v>745</v>
      </c>
      <c r="CZ164"/>
      <c r="DA164" s="143"/>
      <c r="DB164" s="143">
        <v>0</v>
      </c>
      <c r="DC164" t="str">
        <f>IF(DB164=0,"0",IF(AND(DB164&gt;=1,DB164&lt;=30),"1-30",IF(AND(DB164&gt;30,DB164&lt;=70),"31-70",IF(AND(DB164&gt;70,DB164&lt;=100),"71-100",IF(DB164&gt;100,"+100")))))</f>
        <v>0</v>
      </c>
      <c r="DD164">
        <v>0</v>
      </c>
      <c r="DE164">
        <v>1</v>
      </c>
      <c r="DF164">
        <v>0</v>
      </c>
      <c r="DG164">
        <v>0</v>
      </c>
      <c r="DH164">
        <v>0</v>
      </c>
      <c r="DI164">
        <f>SUM(DD164:DH164)</f>
        <v>1</v>
      </c>
      <c r="DJ164" t="str">
        <f>IF(DI164=1,INDEX($DD$7:$DG$7,MATCH(1,$DD164:$DG164,0)),"mixedProduct")</f>
        <v>EnergyInput</v>
      </c>
      <c r="DK164">
        <f>IF(DD164=1,DK$7,0)</f>
        <v>0</v>
      </c>
      <c r="DL164" t="str">
        <f>IF(DE164=1,DL$7,0)</f>
        <v>Energy</v>
      </c>
      <c r="DM164">
        <f>IF(DF164=1,DM$7,0)</f>
        <v>0</v>
      </c>
      <c r="DN164">
        <f>IF(DG164=1,DN$7,0)</f>
        <v>0</v>
      </c>
      <c r="DO164">
        <v>0</v>
      </c>
      <c r="DP164" s="143">
        <v>0</v>
      </c>
      <c r="DQ164" s="143">
        <v>0</v>
      </c>
      <c r="DR164">
        <v>0</v>
      </c>
      <c r="DS164" s="143">
        <v>0</v>
      </c>
      <c r="DT164">
        <f>SUM(DO164:DP164)</f>
        <v>0</v>
      </c>
      <c r="DU164" s="143" t="str">
        <f>IF(DO164=1,"self-calculated DF",IF(DP164=1,"external DF used","explicit C balance"))</f>
        <v>explicit C balance</v>
      </c>
      <c r="DV164" s="143">
        <v>0</v>
      </c>
      <c r="DW164" s="143">
        <v>0</v>
      </c>
      <c r="DX164" s="143">
        <v>0</v>
      </c>
      <c r="DY164" s="143">
        <v>0</v>
      </c>
      <c r="DZ164">
        <v>0</v>
      </c>
      <c r="EA164" s="143">
        <v>0</v>
      </c>
      <c r="EB164" s="143">
        <v>1</v>
      </c>
      <c r="EC164" s="143">
        <v>1</v>
      </c>
      <c r="ED164" s="143">
        <v>0</v>
      </c>
      <c r="EE164">
        <v>1</v>
      </c>
      <c r="EF164">
        <v>0</v>
      </c>
      <c r="EG164" s="143">
        <v>0</v>
      </c>
      <c r="EH164" s="143">
        <v>0</v>
      </c>
      <c r="EI164" s="2">
        <v>0</v>
      </c>
      <c r="EJ164" s="1"/>
      <c r="EK164" t="str">
        <f>IF(AND(AND(AND(OR($DX164=1,$DW164=1),OR($EC164=1,$EA164=1)),SUM($DV164:$DZ164,$EF164)&gt;=4),SUM($EA164:$EE164)&gt;=2),"Whole sector","")</f>
        <v/>
      </c>
      <c r="EL164" t="str">
        <f>IF(AND(AND(OR($DX164=1,$DW164=1),AND($EC164=0,$EA164=0)),SUM($DV164:$DZ164,$EF164)&gt;=4),"Ecosystem approach","")</f>
        <v/>
      </c>
      <c r="EM164" s="2" t="str">
        <f>IF(AND(AND(AND($DX164=0,$DW164=0),OR($EC164=1,$EA164=1)),SUM($EB164:$EE164)&gt;=2),"Technology approach","")</f>
        <v>Technology approach</v>
      </c>
      <c r="EN164"/>
      <c r="EO164"/>
      <c r="EP164" t="str">
        <f>IF(ISNUMBER(BU164),IF(ABS(BU164-[1]QC_indicators!$B$2)&gt;3*[1]QC_indicators!$C$2,"C ratio",IF(ISNUMBER(BY164),IF(ABS(BY164-[1]QC_indicators!$B$1)&gt;3*[1]QC_indicators!$C$1,"DF","no"))),IF(ISNUMBER(BY164),IF(ABS(BY164-[1]QC_indicators!$B$1)&gt;3*[1]QC_indicators!$C$1,"DF","no")))</f>
        <v>no</v>
      </c>
      <c r="EQ164"/>
      <c r="ER164" s="149"/>
      <c r="ES164"/>
      <c r="ET164" s="266" t="s">
        <v>3409</v>
      </c>
      <c r="EU164"/>
    </row>
    <row r="165" spans="1:151" s="139" customFormat="1" ht="15" hidden="1" customHeight="1">
      <c r="A165" s="1" t="s">
        <v>588</v>
      </c>
      <c r="B165" t="s">
        <v>1450</v>
      </c>
      <c r="C165" t="s">
        <v>1451</v>
      </c>
      <c r="D165" t="s">
        <v>1452</v>
      </c>
      <c r="E165" t="s">
        <v>1453</v>
      </c>
      <c r="F165" t="s">
        <v>1454</v>
      </c>
      <c r="G165" t="s">
        <v>594</v>
      </c>
      <c r="H165" t="s">
        <v>255</v>
      </c>
      <c r="I165">
        <v>2020</v>
      </c>
      <c r="J165">
        <v>12</v>
      </c>
      <c r="K165" t="s">
        <v>1455</v>
      </c>
      <c r="L165"/>
      <c r="M165" t="str">
        <f>LEFT($D165,FIND(",",$D165)-1)&amp;"_"&amp;I165&amp;L165</f>
        <v>Elisa_2020</v>
      </c>
      <c r="N165" s="266" t="s">
        <v>223</v>
      </c>
      <c r="O165" s="171" t="s">
        <v>275</v>
      </c>
      <c r="P165" t="s">
        <v>224</v>
      </c>
      <c r="Q165" s="266" t="s">
        <v>390</v>
      </c>
      <c r="R165" s="271" t="s">
        <v>1156</v>
      </c>
      <c r="S165" s="154" t="s">
        <v>1456</v>
      </c>
      <c r="T165" s="296" t="s">
        <v>1457</v>
      </c>
      <c r="U165" s="143" t="s">
        <v>1485</v>
      </c>
      <c r="V165">
        <v>0</v>
      </c>
      <c r="W165">
        <v>0</v>
      </c>
      <c r="X165">
        <v>0</v>
      </c>
      <c r="Y165">
        <v>0</v>
      </c>
      <c r="Z165">
        <v>0</v>
      </c>
      <c r="AA165">
        <v>0</v>
      </c>
      <c r="AB165">
        <v>0</v>
      </c>
      <c r="AC165">
        <v>0</v>
      </c>
      <c r="AD165">
        <v>0</v>
      </c>
      <c r="AE165">
        <v>1</v>
      </c>
      <c r="AF165">
        <v>0</v>
      </c>
      <c r="AG165">
        <v>0</v>
      </c>
      <c r="AH165">
        <v>0</v>
      </c>
      <c r="AI165">
        <v>0</v>
      </c>
      <c r="AJ165">
        <v>0</v>
      </c>
      <c r="AK165">
        <v>1</v>
      </c>
      <c r="AL165">
        <v>0</v>
      </c>
      <c r="AM165">
        <v>0</v>
      </c>
      <c r="AN165">
        <v>0</v>
      </c>
      <c r="AO165">
        <v>0</v>
      </c>
      <c r="AP165">
        <v>0</v>
      </c>
      <c r="AQ165">
        <v>0</v>
      </c>
      <c r="AR165">
        <v>0</v>
      </c>
      <c r="AS165">
        <v>0</v>
      </c>
      <c r="AT165">
        <v>0</v>
      </c>
      <c r="AU165">
        <v>0</v>
      </c>
      <c r="AV165">
        <v>0</v>
      </c>
      <c r="AW165">
        <v>0</v>
      </c>
      <c r="AX165" s="141">
        <f>COUNTIF(V165:AW165,"&lt;&gt;0")</f>
        <v>2</v>
      </c>
      <c r="AY165" s="141">
        <f>COUNTIF(V165:AL165,"&lt;&gt;0")</f>
        <v>2</v>
      </c>
      <c r="AZ165">
        <f>COUNTIF(V165:AC165,"&lt;&gt;0")</f>
        <v>0</v>
      </c>
      <c r="BA165">
        <f>COUNTIF(AD165:AI165,"&lt;&gt;0")</f>
        <v>1</v>
      </c>
      <c r="BB165">
        <f>COUNTIF(AJ165:AL165,"&lt;&gt;0")</f>
        <v>1</v>
      </c>
      <c r="BC165">
        <f>COUNTIF(AS165:AW165,"&lt;&gt;0")</f>
        <v>0</v>
      </c>
      <c r="BD165">
        <f>COUNTIF(AM165:AR165,"&lt;&gt;0")</f>
        <v>0</v>
      </c>
      <c r="BE165" t="str" cm="1">
        <f t="array" ref="BE165">IF(AY165=1,INDEX($V$7:$AL$7,MATCH(TRUE,INDEX($V165:$AW165&lt;&gt;0,),0)),IF(AY165=0,INDEX($AM$7:$AW$7,MATCH(1,$AM165:$AW165,0)),IF(BF165="Multiple strategies","mixed drivers",IF(BF165="Supply chain","multiple supply","multiple silviculture"))))</f>
        <v>mixed drivers</v>
      </c>
      <c r="BF165" s="2" t="str" cm="1">
        <f t="array" ref="BF165">IF(COUNTIF(AZ165:BB165,"&lt;&gt;0")=1,INDEX($V$4:$AW$4,MATCH(TRUE,INDEX($V165:$AW165&lt;&gt;0,),0)),IF(COUNTIF(AZ165:BB165,"&lt;&gt;0")=0,INDEX($AM$4:$AW$4,MATCH(1,$AM165:$AW165,0)),"Multiple strategies"))</f>
        <v>Multiple strategies</v>
      </c>
      <c r="BG165" s="142" t="s">
        <v>322</v>
      </c>
      <c r="BH165" s="160" t="s">
        <v>1459</v>
      </c>
      <c r="BI165" s="160" t="s">
        <v>1460</v>
      </c>
      <c r="BJ165" s="143" t="s">
        <v>499</v>
      </c>
      <c r="BK165" s="143">
        <v>944</v>
      </c>
      <c r="BL165" s="143">
        <v>11773</v>
      </c>
      <c r="BM165">
        <f>IFERROR(BL167/BK165,"")</f>
        <v>14.03072033898305</v>
      </c>
      <c r="BN165">
        <f>BL165-BK165</f>
        <v>10829</v>
      </c>
      <c r="BO165" s="159">
        <f>BN165</f>
        <v>10829</v>
      </c>
      <c r="BP165" s="155" t="s">
        <v>233</v>
      </c>
      <c r="BQ165" s="313" t="s">
        <v>1461</v>
      </c>
      <c r="BR165" s="155" t="s">
        <v>827</v>
      </c>
      <c r="BS165" s="143" t="s">
        <v>1465</v>
      </c>
      <c r="BT165" t="s">
        <v>1487</v>
      </c>
      <c r="BU165" s="144">
        <f>BT165/BS165</f>
        <v>15.816594959634072</v>
      </c>
      <c r="BV165">
        <f>BT165-BS165</f>
        <v>-102.392190833333</v>
      </c>
      <c r="BW165"/>
      <c r="BX165">
        <f>BV165</f>
        <v>-102.392190833333</v>
      </c>
      <c r="BY165">
        <f>IFERROR(BX165/BO165,"")</f>
        <v>-9.4553689937513161E-3</v>
      </c>
      <c r="BZ165">
        <v>0</v>
      </c>
      <c r="CA165">
        <v>0</v>
      </c>
      <c r="CB165">
        <v>0</v>
      </c>
      <c r="CC165">
        <v>0</v>
      </c>
      <c r="CD165">
        <v>0</v>
      </c>
      <c r="CE165">
        <v>0</v>
      </c>
      <c r="CF165">
        <v>0</v>
      </c>
      <c r="CG165">
        <v>0</v>
      </c>
      <c r="CH165">
        <v>0</v>
      </c>
      <c r="CI165">
        <v>0</v>
      </c>
      <c r="CJ165">
        <v>0</v>
      </c>
      <c r="CK165">
        <v>0</v>
      </c>
      <c r="CL165">
        <v>0</v>
      </c>
      <c r="CM165">
        <v>0</v>
      </c>
      <c r="CN165" t="str">
        <f>IF($BL165&lt;$BK165,"refNeedCorrection","refOK")</f>
        <v>refOK</v>
      </c>
      <c r="CO165">
        <f>IF($CN165="refOK",$BK165,$BL165)</f>
        <v>944</v>
      </c>
      <c r="CP165">
        <f>IF($CN165="refOK",$BL165,$BK165)</f>
        <v>11773</v>
      </c>
      <c r="CQ165">
        <f>IF($CN165="refOK",$BO165,-$BO165)</f>
        <v>10829</v>
      </c>
      <c r="CR165">
        <f>IF($CN165="refOK",$BS165,$BT165)*IF($BP165="Emissions positive",-1,1)</f>
        <v>-6.9106424999999998</v>
      </c>
      <c r="CS165">
        <f>IF($CN165="refOK",$BT165,$BS165)*IF($BP165="Emissions positive",-1,1)</f>
        <v>-109.302833333333</v>
      </c>
      <c r="CT165">
        <f>IF($CN165="refNeedCorrection",-BX165,BX165)*IF($BP165="Emissions positive",-1,1)</f>
        <v>-102.392190833333</v>
      </c>
      <c r="CU165">
        <f>IFERROR(CT165/CQ165,"")</f>
        <v>-9.4553689937513161E-3</v>
      </c>
      <c r="CV165" s="2">
        <f>IFERROR((CS165-CR165)/ABS(CR165),"")</f>
        <v>-14.816594959634072</v>
      </c>
      <c r="CW165" s="265" t="s">
        <v>1464</v>
      </c>
      <c r="CX165" s="266" t="str">
        <f>IF(OR($CW165="prd",$CW165="std",$CW165="cit"),"loc",IF(OR($CW165="eur",$CW165="reg",$CW165="coy"),"reg",$CW165))</f>
        <v>reg</v>
      </c>
      <c r="CY165" s="272" t="s">
        <v>745</v>
      </c>
      <c r="CZ165"/>
      <c r="DA165" s="143"/>
      <c r="DB165" s="143">
        <v>0</v>
      </c>
      <c r="DC165" t="str">
        <f>IF(DB165=0,"0",IF(AND(DB165&gt;=1,DB165&lt;=30),"1-30",IF(AND(DB165&gt;30,DB165&lt;=70),"31-70",IF(AND(DB165&gt;70,DB165&lt;=100),"71-100",IF(DB165&gt;100,"+100")))))</f>
        <v>0</v>
      </c>
      <c r="DD165">
        <v>0</v>
      </c>
      <c r="DE165">
        <v>1</v>
      </c>
      <c r="DF165">
        <v>0</v>
      </c>
      <c r="DG165">
        <v>0</v>
      </c>
      <c r="DH165">
        <v>0</v>
      </c>
      <c r="DI165">
        <f>SUM(DD165:DH165)</f>
        <v>1</v>
      </c>
      <c r="DJ165" t="str">
        <f>IF(DI165=1,INDEX($DD$7:$DG$7,MATCH(1,$DD165:$DG165,0)),"mixedProduct")</f>
        <v>EnergyInput</v>
      </c>
      <c r="DK165">
        <f>IF(DD165=1,DK$7,0)</f>
        <v>0</v>
      </c>
      <c r="DL165" t="str">
        <f>IF(DE165=1,DL$7,0)</f>
        <v>Energy</v>
      </c>
      <c r="DM165">
        <f>IF(DF165=1,DM$7,0)</f>
        <v>0</v>
      </c>
      <c r="DN165">
        <f>IF(DG165=1,DN$7,0)</f>
        <v>0</v>
      </c>
      <c r="DO165">
        <v>0</v>
      </c>
      <c r="DP165" s="143">
        <v>0</v>
      </c>
      <c r="DQ165" s="143">
        <v>0</v>
      </c>
      <c r="DR165">
        <v>0</v>
      </c>
      <c r="DS165" s="143">
        <v>0</v>
      </c>
      <c r="DT165">
        <f>SUM(DO165:DP165)</f>
        <v>0</v>
      </c>
      <c r="DU165" s="143" t="str">
        <f>IF(DO165=1,"self-calculated DF",IF(DP165=1,"external DF used","explicit C balance"))</f>
        <v>explicit C balance</v>
      </c>
      <c r="DV165" s="143">
        <v>0</v>
      </c>
      <c r="DW165" s="143">
        <v>0</v>
      </c>
      <c r="DX165" s="143">
        <v>0</v>
      </c>
      <c r="DY165" s="143">
        <v>0</v>
      </c>
      <c r="DZ165">
        <v>0</v>
      </c>
      <c r="EA165" s="143">
        <v>0</v>
      </c>
      <c r="EB165" s="143">
        <v>0</v>
      </c>
      <c r="EC165" s="143">
        <v>1</v>
      </c>
      <c r="ED165" s="143">
        <v>0</v>
      </c>
      <c r="EE165">
        <v>1</v>
      </c>
      <c r="EF165">
        <v>0</v>
      </c>
      <c r="EG165" s="143">
        <v>0</v>
      </c>
      <c r="EH165" s="143">
        <v>0</v>
      </c>
      <c r="EI165" s="2">
        <v>0</v>
      </c>
      <c r="EJ165" s="1"/>
      <c r="EK165" t="str">
        <f>IF(AND(AND(AND(OR($DX165=1,$DW165=1),OR($EC165=1,$EA165=1)),SUM($DV165:$DZ165,$EF165)&gt;=4),SUM($EA165:$EE165)&gt;=2),"Whole sector","")</f>
        <v/>
      </c>
      <c r="EL165" t="str">
        <f>IF(AND(AND(OR($DX165=1,$DW165=1),AND($EC165=0,$EA165=0)),SUM($DV165:$DZ165,$EF165)&gt;=4),"Ecosystem approach","")</f>
        <v/>
      </c>
      <c r="EM165" s="2" t="str">
        <f>IF(AND(AND(AND($DX165=0,$DW165=0),OR($EC165=1,$EA165=1)),SUM($EB165:$EE165)&gt;=2),"Technology approach","")</f>
        <v>Technology approach</v>
      </c>
      <c r="EN165"/>
      <c r="EO165"/>
      <c r="EP165" t="str">
        <f>IF(ISNUMBER(BU165),IF(ABS(BU165-[1]QC_indicators!$B$2)&gt;3*[1]QC_indicators!$C$2,"C ratio",IF(ISNUMBER(BY165),IF(ABS(BY165-[1]QC_indicators!$B$1)&gt;3*[1]QC_indicators!$C$1,"DF","no"))),IF(ISNUMBER(BY165),IF(ABS(BY165-[1]QC_indicators!$B$1)&gt;3*[1]QC_indicators!$C$1,"DF","no")))</f>
        <v>no</v>
      </c>
      <c r="EQ165"/>
      <c r="ER165" s="149"/>
      <c r="ES165"/>
      <c r="ET165" s="266" t="s">
        <v>3409</v>
      </c>
      <c r="EU165"/>
    </row>
    <row r="166" spans="1:151" s="139" customFormat="1" ht="15" hidden="1" customHeight="1">
      <c r="A166" s="1" t="s">
        <v>588</v>
      </c>
      <c r="B166" t="s">
        <v>1450</v>
      </c>
      <c r="C166" t="s">
        <v>1451</v>
      </c>
      <c r="D166" t="s">
        <v>1452</v>
      </c>
      <c r="E166" t="s">
        <v>1453</v>
      </c>
      <c r="F166" t="s">
        <v>1454</v>
      </c>
      <c r="G166" t="s">
        <v>594</v>
      </c>
      <c r="H166" t="s">
        <v>255</v>
      </c>
      <c r="I166">
        <v>2020</v>
      </c>
      <c r="J166">
        <v>12</v>
      </c>
      <c r="K166" t="s">
        <v>1455</v>
      </c>
      <c r="L166"/>
      <c r="M166" t="str">
        <f>LEFT($D166,FIND(",",$D166)-1)&amp;"_"&amp;I166&amp;L166</f>
        <v>Elisa_2020</v>
      </c>
      <c r="N166" s="266" t="s">
        <v>223</v>
      </c>
      <c r="O166" s="171" t="s">
        <v>275</v>
      </c>
      <c r="P166" t="s">
        <v>224</v>
      </c>
      <c r="Q166" s="266" t="s">
        <v>390</v>
      </c>
      <c r="R166" s="271" t="s">
        <v>1156</v>
      </c>
      <c r="S166" s="154" t="s">
        <v>1456</v>
      </c>
      <c r="T166" s="296" t="s">
        <v>1457</v>
      </c>
      <c r="U166" s="143" t="s">
        <v>1045</v>
      </c>
      <c r="V166">
        <v>0</v>
      </c>
      <c r="W166">
        <v>0</v>
      </c>
      <c r="X166">
        <v>0</v>
      </c>
      <c r="Y166">
        <v>0</v>
      </c>
      <c r="Z166">
        <v>0</v>
      </c>
      <c r="AA166">
        <v>0</v>
      </c>
      <c r="AB166">
        <v>0</v>
      </c>
      <c r="AC166">
        <v>0</v>
      </c>
      <c r="AD166">
        <v>0</v>
      </c>
      <c r="AE166">
        <v>1</v>
      </c>
      <c r="AF166">
        <v>0</v>
      </c>
      <c r="AG166">
        <v>0</v>
      </c>
      <c r="AH166">
        <v>0</v>
      </c>
      <c r="AI166">
        <v>0</v>
      </c>
      <c r="AJ166">
        <v>0</v>
      </c>
      <c r="AK166">
        <v>1</v>
      </c>
      <c r="AL166">
        <v>0</v>
      </c>
      <c r="AM166">
        <v>0</v>
      </c>
      <c r="AN166">
        <v>0</v>
      </c>
      <c r="AO166">
        <v>0</v>
      </c>
      <c r="AP166">
        <v>0</v>
      </c>
      <c r="AQ166">
        <v>0</v>
      </c>
      <c r="AR166">
        <v>0</v>
      </c>
      <c r="AS166">
        <v>0</v>
      </c>
      <c r="AT166">
        <v>0</v>
      </c>
      <c r="AU166">
        <v>0</v>
      </c>
      <c r="AV166">
        <v>0</v>
      </c>
      <c r="AW166">
        <v>0</v>
      </c>
      <c r="AX166" s="141">
        <f>COUNTIF(V166:AW166,"&lt;&gt;0")</f>
        <v>2</v>
      </c>
      <c r="AY166" s="141">
        <f>COUNTIF(V166:AL166,"&lt;&gt;0")</f>
        <v>2</v>
      </c>
      <c r="AZ166">
        <f>COUNTIF(V166:AC166,"&lt;&gt;0")</f>
        <v>0</v>
      </c>
      <c r="BA166">
        <f>COUNTIF(AD166:AI166,"&lt;&gt;0")</f>
        <v>1</v>
      </c>
      <c r="BB166">
        <f>COUNTIF(AJ166:AL166,"&lt;&gt;0")</f>
        <v>1</v>
      </c>
      <c r="BC166">
        <f>COUNTIF(AS166:AW166,"&lt;&gt;0")</f>
        <v>0</v>
      </c>
      <c r="BD166">
        <f>COUNTIF(AM166:AR166,"&lt;&gt;0")</f>
        <v>0</v>
      </c>
      <c r="BE166" t="str" cm="1">
        <f t="array" ref="BE166">IF(AY166=1,INDEX($V$7:$AL$7,MATCH(TRUE,INDEX($V166:$AW166&lt;&gt;0,),0)),IF(AY166=0,INDEX($AM$7:$AW$7,MATCH(1,$AM166:$AW166,0)),IF(BF166="Multiple strategies","mixed drivers",IF(BF166="Supply chain","multiple supply","multiple silviculture"))))</f>
        <v>mixed drivers</v>
      </c>
      <c r="BF166" s="2" t="str" cm="1">
        <f t="array" ref="BF166">IF(COUNTIF(AZ166:BB166,"&lt;&gt;0")=1,INDEX($V$4:$AW$4,MATCH(TRUE,INDEX($V166:$AW166&lt;&gt;0,),0)),IF(COUNTIF(AZ166:BB166,"&lt;&gt;0")=0,INDEX($AM$4:$AW$4,MATCH(1,$AM166:$AW166,0)),"Multiple strategies"))</f>
        <v>Multiple strategies</v>
      </c>
      <c r="BG166" s="142" t="s">
        <v>322</v>
      </c>
      <c r="BH166" s="160" t="s">
        <v>1459</v>
      </c>
      <c r="BI166" s="160" t="s">
        <v>1460</v>
      </c>
      <c r="BJ166" s="143" t="s">
        <v>499</v>
      </c>
      <c r="BK166" s="143">
        <v>944</v>
      </c>
      <c r="BL166" s="143">
        <v>13245</v>
      </c>
      <c r="BM166">
        <f>IFERROR(BL166/BK166,"")</f>
        <v>14.03072033898305</v>
      </c>
      <c r="BN166">
        <f>BL166-BK166</f>
        <v>12301</v>
      </c>
      <c r="BO166" s="159">
        <f>BN166</f>
        <v>12301</v>
      </c>
      <c r="BP166" s="155" t="s">
        <v>233</v>
      </c>
      <c r="BQ166" s="313" t="s">
        <v>1461</v>
      </c>
      <c r="BR166" s="155" t="s">
        <v>827</v>
      </c>
      <c r="BS166" s="143" t="s">
        <v>1462</v>
      </c>
      <c r="BT166" t="s">
        <v>1488</v>
      </c>
      <c r="BU166" s="144">
        <f>BT166/BS166</f>
        <v>11.732134721312375</v>
      </c>
      <c r="BV166">
        <f>BT166-BS166</f>
        <v>-75.319382500000003</v>
      </c>
      <c r="BW166"/>
      <c r="BX166">
        <f>BV166</f>
        <v>-75.319382500000003</v>
      </c>
      <c r="BY166">
        <f>IFERROR(BX166/BO166,"")</f>
        <v>-6.1230292252662391E-3</v>
      </c>
      <c r="BZ166">
        <v>0</v>
      </c>
      <c r="CA166">
        <v>0</v>
      </c>
      <c r="CB166">
        <v>0</v>
      </c>
      <c r="CC166">
        <v>0</v>
      </c>
      <c r="CD166">
        <v>0</v>
      </c>
      <c r="CE166">
        <v>0</v>
      </c>
      <c r="CF166">
        <v>0</v>
      </c>
      <c r="CG166">
        <v>0</v>
      </c>
      <c r="CH166">
        <v>0</v>
      </c>
      <c r="CI166">
        <v>0</v>
      </c>
      <c r="CJ166">
        <v>0</v>
      </c>
      <c r="CK166">
        <v>0</v>
      </c>
      <c r="CL166">
        <v>0</v>
      </c>
      <c r="CM166">
        <v>0</v>
      </c>
      <c r="CN166" t="str">
        <f>IF($BL166&lt;$BK166,"refNeedCorrection","refOK")</f>
        <v>refOK</v>
      </c>
      <c r="CO166">
        <f>IF($CN166="refOK",$BK166,$BL166)</f>
        <v>944</v>
      </c>
      <c r="CP166">
        <f>IF($CN166="refOK",$BL166,$BK166)</f>
        <v>13245</v>
      </c>
      <c r="CQ166">
        <f>IF($CN166="refOK",$BO166,-$BO166)</f>
        <v>12301</v>
      </c>
      <c r="CR166">
        <f>IF($CN166="refOK",$BS166,$BT166)*IF($BP166="Emissions positive",-1,1)</f>
        <v>-7.0181174999999998</v>
      </c>
      <c r="CS166">
        <f>IF($CN166="refOK",$BT166,$BS166)*IF($BP166="Emissions positive",-1,1)</f>
        <v>-82.337500000000006</v>
      </c>
      <c r="CT166">
        <f>IF($CN166="refNeedCorrection",-BX166,BX166)*IF($BP166="Emissions positive",-1,1)</f>
        <v>-75.319382500000003</v>
      </c>
      <c r="CU166">
        <f>IFERROR(CT166/CQ166,"")</f>
        <v>-6.1230292252662391E-3</v>
      </c>
      <c r="CV166" s="2">
        <f>IFERROR((CS166-CR166)/ABS(CR166),"")</f>
        <v>-10.732134721312375</v>
      </c>
      <c r="CW166" s="265" t="s">
        <v>1464</v>
      </c>
      <c r="CX166" s="266" t="str">
        <f>IF(OR($CW166="prd",$CW166="std",$CW166="cit"),"loc",IF(OR($CW166="eur",$CW166="reg",$CW166="coy"),"reg",$CW166))</f>
        <v>reg</v>
      </c>
      <c r="CY166" s="272" t="s">
        <v>745</v>
      </c>
      <c r="CZ166"/>
      <c r="DA166" s="143"/>
      <c r="DB166" s="143">
        <v>0</v>
      </c>
      <c r="DC166" t="str">
        <f>IF(DB166=0,"0",IF(AND(DB166&gt;=1,DB166&lt;=30),"1-30",IF(AND(DB166&gt;30,DB166&lt;=70),"31-70",IF(AND(DB166&gt;70,DB166&lt;=100),"71-100",IF(DB166&gt;100,"+100")))))</f>
        <v>0</v>
      </c>
      <c r="DD166">
        <v>0</v>
      </c>
      <c r="DE166">
        <v>1</v>
      </c>
      <c r="DF166">
        <v>0</v>
      </c>
      <c r="DG166">
        <v>0</v>
      </c>
      <c r="DH166">
        <v>0</v>
      </c>
      <c r="DI166">
        <f>SUM(DD166:DH166)</f>
        <v>1</v>
      </c>
      <c r="DJ166" t="str">
        <f>IF(DI166=1,INDEX($DD$7:$DG$7,MATCH(1,$DD166:$DG166,0)),"mixedProduct")</f>
        <v>EnergyInput</v>
      </c>
      <c r="DK166">
        <f>IF(DD166=1,DK$7,0)</f>
        <v>0</v>
      </c>
      <c r="DL166" t="str">
        <f>IF(DE166=1,DL$7,0)</f>
        <v>Energy</v>
      </c>
      <c r="DM166">
        <f>IF(DF166=1,DM$7,0)</f>
        <v>0</v>
      </c>
      <c r="DN166">
        <f>IF(DG166=1,DN$7,0)</f>
        <v>0</v>
      </c>
      <c r="DO166">
        <v>0</v>
      </c>
      <c r="DP166" s="143">
        <v>0</v>
      </c>
      <c r="DQ166" s="143">
        <v>0</v>
      </c>
      <c r="DR166">
        <v>0</v>
      </c>
      <c r="DS166" s="143">
        <v>0</v>
      </c>
      <c r="DT166">
        <f>SUM(DO166:DP166)</f>
        <v>0</v>
      </c>
      <c r="DU166" s="143" t="str">
        <f>IF(DO166=1,"self-calculated DF",IF(DP166=1,"external DF used","explicit C balance"))</f>
        <v>explicit C balance</v>
      </c>
      <c r="DV166" s="143">
        <v>0</v>
      </c>
      <c r="DW166" s="143">
        <v>0</v>
      </c>
      <c r="DX166" s="143">
        <v>0</v>
      </c>
      <c r="DY166" s="143">
        <v>0</v>
      </c>
      <c r="DZ166">
        <v>0</v>
      </c>
      <c r="EA166" s="143">
        <v>0</v>
      </c>
      <c r="EB166" s="143">
        <v>1</v>
      </c>
      <c r="EC166" s="143">
        <v>1</v>
      </c>
      <c r="ED166" s="143">
        <v>0</v>
      </c>
      <c r="EE166">
        <v>1</v>
      </c>
      <c r="EF166">
        <v>0</v>
      </c>
      <c r="EG166" s="143">
        <v>0</v>
      </c>
      <c r="EH166" s="143">
        <v>0</v>
      </c>
      <c r="EI166" s="2">
        <v>0</v>
      </c>
      <c r="EJ166" s="1"/>
      <c r="EK166" t="str">
        <f>IF(AND(AND(AND(OR($DX166=1,$DW166=1),OR($EC166=1,$EA166=1)),SUM($DV166:$DZ166,$EF166)&gt;=4),SUM($EA166:$EE166)&gt;=2),"Whole sector","")</f>
        <v/>
      </c>
      <c r="EL166" t="str">
        <f>IF(AND(AND(OR($DX166=1,$DW166=1),AND($EC166=0,$EA166=0)),SUM($DV166:$DZ166,$EF166)&gt;=4),"Ecosystem approach","")</f>
        <v/>
      </c>
      <c r="EM166" s="2" t="str">
        <f>IF(AND(AND(AND($DX166=0,$DW166=0),OR($EC166=1,$EA166=1)),SUM($EB166:$EE166)&gt;=2),"Technology approach","")</f>
        <v>Technology approach</v>
      </c>
      <c r="EN166"/>
      <c r="EO166"/>
      <c r="EP166" t="str">
        <f>IF(ISNUMBER(BU166),IF(ABS(BU166-[1]QC_indicators!$B$2)&gt;3*[1]QC_indicators!$C$2,"C ratio",IF(ISNUMBER(BY166),IF(ABS(BY166-[1]QC_indicators!$B$1)&gt;3*[1]QC_indicators!$C$1,"DF","no"))),IF(ISNUMBER(BY166),IF(ABS(BY166-[1]QC_indicators!$B$1)&gt;3*[1]QC_indicators!$C$1,"DF","no")))</f>
        <v>no</v>
      </c>
      <c r="EQ166"/>
      <c r="ER166" s="149"/>
      <c r="ES166"/>
      <c r="ET166" s="266" t="s">
        <v>3409</v>
      </c>
      <c r="EU166"/>
    </row>
    <row r="167" spans="1:151" s="139" customFormat="1" ht="15" hidden="1" customHeight="1">
      <c r="A167" s="1" t="s">
        <v>588</v>
      </c>
      <c r="B167" t="s">
        <v>1450</v>
      </c>
      <c r="C167" t="s">
        <v>1451</v>
      </c>
      <c r="D167" t="s">
        <v>1452</v>
      </c>
      <c r="E167" t="s">
        <v>1453</v>
      </c>
      <c r="F167" t="s">
        <v>1454</v>
      </c>
      <c r="G167" t="s">
        <v>594</v>
      </c>
      <c r="H167" t="s">
        <v>255</v>
      </c>
      <c r="I167">
        <v>2020</v>
      </c>
      <c r="J167">
        <v>12</v>
      </c>
      <c r="K167" t="s">
        <v>1455</v>
      </c>
      <c r="L167"/>
      <c r="M167" t="str">
        <f>LEFT($D167,FIND(",",$D167)-1)&amp;"_"&amp;I167&amp;L167</f>
        <v>Elisa_2020</v>
      </c>
      <c r="N167" s="266" t="s">
        <v>223</v>
      </c>
      <c r="O167" s="171" t="s">
        <v>275</v>
      </c>
      <c r="P167" t="s">
        <v>224</v>
      </c>
      <c r="Q167" s="266" t="s">
        <v>390</v>
      </c>
      <c r="R167" s="271" t="s">
        <v>1156</v>
      </c>
      <c r="S167" s="154" t="s">
        <v>1456</v>
      </c>
      <c r="T167" s="296" t="s">
        <v>1457</v>
      </c>
      <c r="U167" s="143" t="s">
        <v>1045</v>
      </c>
      <c r="V167">
        <v>0</v>
      </c>
      <c r="W167">
        <v>0</v>
      </c>
      <c r="X167">
        <v>0</v>
      </c>
      <c r="Y167">
        <v>0</v>
      </c>
      <c r="Z167">
        <v>0</v>
      </c>
      <c r="AA167">
        <v>0</v>
      </c>
      <c r="AB167">
        <v>0</v>
      </c>
      <c r="AC167">
        <v>0</v>
      </c>
      <c r="AD167">
        <v>0</v>
      </c>
      <c r="AE167">
        <v>1</v>
      </c>
      <c r="AF167">
        <v>0</v>
      </c>
      <c r="AG167">
        <v>0</v>
      </c>
      <c r="AH167">
        <v>0</v>
      </c>
      <c r="AI167">
        <v>0</v>
      </c>
      <c r="AJ167">
        <v>0</v>
      </c>
      <c r="AK167">
        <v>1</v>
      </c>
      <c r="AL167">
        <v>0</v>
      </c>
      <c r="AM167">
        <v>0</v>
      </c>
      <c r="AN167">
        <v>0</v>
      </c>
      <c r="AO167">
        <v>0</v>
      </c>
      <c r="AP167">
        <v>0</v>
      </c>
      <c r="AQ167">
        <v>0</v>
      </c>
      <c r="AR167">
        <v>0</v>
      </c>
      <c r="AS167">
        <v>0</v>
      </c>
      <c r="AT167">
        <v>0</v>
      </c>
      <c r="AU167">
        <v>0</v>
      </c>
      <c r="AV167">
        <v>0</v>
      </c>
      <c r="AW167">
        <v>0</v>
      </c>
      <c r="AX167" s="141">
        <f>COUNTIF(V167:AW167,"&lt;&gt;0")</f>
        <v>2</v>
      </c>
      <c r="AY167" s="141">
        <f>COUNTIF(V167:AL167,"&lt;&gt;0")</f>
        <v>2</v>
      </c>
      <c r="AZ167">
        <f>COUNTIF(V167:AC167,"&lt;&gt;0")</f>
        <v>0</v>
      </c>
      <c r="BA167">
        <f>COUNTIF(AD167:AI167,"&lt;&gt;0")</f>
        <v>1</v>
      </c>
      <c r="BB167">
        <f>COUNTIF(AJ167:AL167,"&lt;&gt;0")</f>
        <v>1</v>
      </c>
      <c r="BC167">
        <f>COUNTIF(AS167:AW167,"&lt;&gt;0")</f>
        <v>0</v>
      </c>
      <c r="BD167">
        <f>COUNTIF(AM167:AR167,"&lt;&gt;0")</f>
        <v>0</v>
      </c>
      <c r="BE167" t="str" cm="1">
        <f t="array" ref="BE167">IF(AY167=1,INDEX($V$7:$AL$7,MATCH(TRUE,INDEX($V167:$AW167&lt;&gt;0,),0)),IF(AY167=0,INDEX($AM$7:$AW$7,MATCH(1,$AM167:$AW167,0)),IF(BF167="Multiple strategies","mixed drivers",IF(BF167="Supply chain","multiple supply","multiple silviculture"))))</f>
        <v>mixed drivers</v>
      </c>
      <c r="BF167" s="2" t="str" cm="1">
        <f t="array" ref="BF167">IF(COUNTIF(AZ167:BB167,"&lt;&gt;0")=1,INDEX($V$4:$AW$4,MATCH(TRUE,INDEX($V167:$AW167&lt;&gt;0,),0)),IF(COUNTIF(AZ167:BB167,"&lt;&gt;0")=0,INDEX($AM$4:$AW$4,MATCH(1,$AM167:$AW167,0)),"Multiple strategies"))</f>
        <v>Multiple strategies</v>
      </c>
      <c r="BG167" s="142" t="s">
        <v>322</v>
      </c>
      <c r="BH167" s="160" t="s">
        <v>1459</v>
      </c>
      <c r="BI167" s="160" t="s">
        <v>1460</v>
      </c>
      <c r="BJ167" s="143" t="s">
        <v>499</v>
      </c>
      <c r="BK167" s="143">
        <v>944</v>
      </c>
      <c r="BL167" s="143">
        <v>13245</v>
      </c>
      <c r="BM167">
        <f>IFERROR(BL169/BK167,"")</f>
        <v>4.7669491525423728</v>
      </c>
      <c r="BN167">
        <f>BL167-BK167</f>
        <v>12301</v>
      </c>
      <c r="BO167" s="159">
        <f>BN167</f>
        <v>12301</v>
      </c>
      <c r="BP167" s="155" t="s">
        <v>233</v>
      </c>
      <c r="BQ167" s="313" t="s">
        <v>1461</v>
      </c>
      <c r="BR167" s="155" t="s">
        <v>827</v>
      </c>
      <c r="BS167" s="143" t="s">
        <v>1465</v>
      </c>
      <c r="BT167" t="s">
        <v>1489</v>
      </c>
      <c r="BU167" s="144">
        <f>BT167/BS167</f>
        <v>11.69090524747398</v>
      </c>
      <c r="BV167">
        <f>BT167-BS167</f>
        <v>-73.881024166666705</v>
      </c>
      <c r="BW167"/>
      <c r="BX167">
        <f>BV167</f>
        <v>-73.881024166666705</v>
      </c>
      <c r="BY167">
        <f>IFERROR(BX167/BO167,"")</f>
        <v>-6.0060990298891719E-3</v>
      </c>
      <c r="BZ167">
        <v>0</v>
      </c>
      <c r="CA167">
        <v>0</v>
      </c>
      <c r="CB167">
        <v>0</v>
      </c>
      <c r="CC167">
        <v>0</v>
      </c>
      <c r="CD167">
        <v>0</v>
      </c>
      <c r="CE167">
        <v>0</v>
      </c>
      <c r="CF167">
        <v>0</v>
      </c>
      <c r="CG167">
        <v>0</v>
      </c>
      <c r="CH167">
        <v>0</v>
      </c>
      <c r="CI167">
        <v>0</v>
      </c>
      <c r="CJ167">
        <v>0</v>
      </c>
      <c r="CK167">
        <v>0</v>
      </c>
      <c r="CL167">
        <v>0</v>
      </c>
      <c r="CM167">
        <v>0</v>
      </c>
      <c r="CN167" t="str">
        <f>IF($BL167&lt;$BK167,"refNeedCorrection","refOK")</f>
        <v>refOK</v>
      </c>
      <c r="CO167">
        <f>IF($CN167="refOK",$BK167,$BL167)</f>
        <v>944</v>
      </c>
      <c r="CP167">
        <f>IF($CN167="refOK",$BL167,$BK167)</f>
        <v>13245</v>
      </c>
      <c r="CQ167">
        <f>IF($CN167="refOK",$BO167,-$BO167)</f>
        <v>12301</v>
      </c>
      <c r="CR167">
        <f>IF($CN167="refOK",$BS167,$BT167)*IF($BP167="Emissions positive",-1,1)</f>
        <v>-6.9106424999999998</v>
      </c>
      <c r="CS167">
        <f>IF($CN167="refOK",$BT167,$BS167)*IF($BP167="Emissions positive",-1,1)</f>
        <v>-80.7916666666667</v>
      </c>
      <c r="CT167">
        <f>IF($CN167="refNeedCorrection",-BX167,BX167)*IF($BP167="Emissions positive",-1,1)</f>
        <v>-73.881024166666705</v>
      </c>
      <c r="CU167">
        <f>IFERROR(CT167/CQ167,"")</f>
        <v>-6.0060990298891719E-3</v>
      </c>
      <c r="CV167" s="2">
        <f>IFERROR((CS167-CR167)/ABS(CR167),"")</f>
        <v>-10.69090524747398</v>
      </c>
      <c r="CW167" s="265" t="s">
        <v>1464</v>
      </c>
      <c r="CX167" s="266" t="str">
        <f>IF(OR($CW167="prd",$CW167="std",$CW167="cit"),"loc",IF(OR($CW167="eur",$CW167="reg",$CW167="coy"),"reg",$CW167))</f>
        <v>reg</v>
      </c>
      <c r="CY167" s="272" t="s">
        <v>745</v>
      </c>
      <c r="CZ167"/>
      <c r="DA167" s="143"/>
      <c r="DB167" s="143">
        <v>0</v>
      </c>
      <c r="DC167" t="str">
        <f>IF(DB167=0,"0",IF(AND(DB167&gt;=1,DB167&lt;=30),"1-30",IF(AND(DB167&gt;30,DB167&lt;=70),"31-70",IF(AND(DB167&gt;70,DB167&lt;=100),"71-100",IF(DB167&gt;100,"+100")))))</f>
        <v>0</v>
      </c>
      <c r="DD167">
        <v>0</v>
      </c>
      <c r="DE167">
        <v>1</v>
      </c>
      <c r="DF167">
        <v>0</v>
      </c>
      <c r="DG167">
        <v>0</v>
      </c>
      <c r="DH167">
        <v>0</v>
      </c>
      <c r="DI167">
        <f>SUM(DD167:DH167)</f>
        <v>1</v>
      </c>
      <c r="DJ167" t="str">
        <f>IF(DI167=1,INDEX($DD$7:$DG$7,MATCH(1,$DD167:$DG167,0)),"mixedProduct")</f>
        <v>EnergyInput</v>
      </c>
      <c r="DK167">
        <f>IF(DD167=1,DK$7,0)</f>
        <v>0</v>
      </c>
      <c r="DL167" t="str">
        <f>IF(DE167=1,DL$7,0)</f>
        <v>Energy</v>
      </c>
      <c r="DM167">
        <f>IF(DF167=1,DM$7,0)</f>
        <v>0</v>
      </c>
      <c r="DN167">
        <f>IF(DG167=1,DN$7,0)</f>
        <v>0</v>
      </c>
      <c r="DO167">
        <v>0</v>
      </c>
      <c r="DP167" s="143">
        <v>0</v>
      </c>
      <c r="DQ167" s="143">
        <v>0</v>
      </c>
      <c r="DR167">
        <v>0</v>
      </c>
      <c r="DS167" s="143">
        <v>0</v>
      </c>
      <c r="DT167">
        <f>SUM(DO167:DP167)</f>
        <v>0</v>
      </c>
      <c r="DU167" s="143" t="str">
        <f>IF(DO167=1,"self-calculated DF",IF(DP167=1,"external DF used","explicit C balance"))</f>
        <v>explicit C balance</v>
      </c>
      <c r="DV167" s="143">
        <v>0</v>
      </c>
      <c r="DW167" s="143">
        <v>0</v>
      </c>
      <c r="DX167" s="143">
        <v>0</v>
      </c>
      <c r="DY167" s="143">
        <v>0</v>
      </c>
      <c r="DZ167">
        <v>0</v>
      </c>
      <c r="EA167" s="143">
        <v>0</v>
      </c>
      <c r="EB167" s="143">
        <v>0</v>
      </c>
      <c r="EC167" s="143">
        <v>1</v>
      </c>
      <c r="ED167" s="143">
        <v>0</v>
      </c>
      <c r="EE167">
        <v>1</v>
      </c>
      <c r="EF167">
        <v>0</v>
      </c>
      <c r="EG167" s="143">
        <v>0</v>
      </c>
      <c r="EH167" s="143">
        <v>0</v>
      </c>
      <c r="EI167" s="2">
        <v>0</v>
      </c>
      <c r="EJ167" s="1"/>
      <c r="EK167" t="str">
        <f>IF(AND(AND(AND(OR($DX167=1,$DW167=1),OR($EC167=1,$EA167=1)),SUM($DV167:$DZ167,$EF167)&gt;=4),SUM($EA167:$EE167)&gt;=2),"Whole sector","")</f>
        <v/>
      </c>
      <c r="EL167" t="str">
        <f>IF(AND(AND(OR($DX167=1,$DW167=1),AND($EC167=0,$EA167=0)),SUM($DV167:$DZ167,$EF167)&gt;=4),"Ecosystem approach","")</f>
        <v/>
      </c>
      <c r="EM167" s="2" t="str">
        <f>IF(AND(AND(AND($DX167=0,$DW167=0),OR($EC167=1,$EA167=1)),SUM($EB167:$EE167)&gt;=2),"Technology approach","")</f>
        <v>Technology approach</v>
      </c>
      <c r="EN167"/>
      <c r="EO167"/>
      <c r="EP167" t="str">
        <f>IF(ISNUMBER(BU167),IF(ABS(BU167-[1]QC_indicators!$B$2)&gt;3*[1]QC_indicators!$C$2,"C ratio",IF(ISNUMBER(BY167),IF(ABS(BY167-[1]QC_indicators!$B$1)&gt;3*[1]QC_indicators!$C$1,"DF","no"))),IF(ISNUMBER(BY167),IF(ABS(BY167-[1]QC_indicators!$B$1)&gt;3*[1]QC_indicators!$C$1,"DF","no")))</f>
        <v>no</v>
      </c>
      <c r="EQ167"/>
      <c r="ER167" s="149"/>
      <c r="ES167"/>
      <c r="ET167" s="266" t="s">
        <v>3409</v>
      </c>
      <c r="EU167"/>
    </row>
    <row r="168" spans="1:151" s="139" customFormat="1" ht="15" hidden="1" customHeight="1">
      <c r="A168" s="1" t="s">
        <v>588</v>
      </c>
      <c r="B168" t="s">
        <v>1450</v>
      </c>
      <c r="C168" t="s">
        <v>1451</v>
      </c>
      <c r="D168" t="s">
        <v>1452</v>
      </c>
      <c r="E168" t="s">
        <v>1453</v>
      </c>
      <c r="F168" t="s">
        <v>1454</v>
      </c>
      <c r="G168" t="s">
        <v>594</v>
      </c>
      <c r="H168" t="s">
        <v>255</v>
      </c>
      <c r="I168">
        <v>2020</v>
      </c>
      <c r="J168">
        <v>12</v>
      </c>
      <c r="K168" t="s">
        <v>1455</v>
      </c>
      <c r="L168"/>
      <c r="M168" t="str">
        <f>LEFT($D168,FIND(",",$D168)-1)&amp;"_"&amp;I168&amp;L168</f>
        <v>Elisa_2020</v>
      </c>
      <c r="N168" s="266" t="s">
        <v>223</v>
      </c>
      <c r="O168" s="171" t="s">
        <v>275</v>
      </c>
      <c r="P168" t="s">
        <v>224</v>
      </c>
      <c r="Q168" s="266" t="s">
        <v>390</v>
      </c>
      <c r="R168" s="271" t="s">
        <v>1156</v>
      </c>
      <c r="S168" s="154" t="s">
        <v>1456</v>
      </c>
      <c r="T168" s="296" t="s">
        <v>1457</v>
      </c>
      <c r="U168" s="143" t="s">
        <v>1490</v>
      </c>
      <c r="V168">
        <v>0</v>
      </c>
      <c r="W168">
        <v>0</v>
      </c>
      <c r="X168">
        <v>0</v>
      </c>
      <c r="Y168">
        <v>0</v>
      </c>
      <c r="Z168">
        <v>0</v>
      </c>
      <c r="AA168">
        <v>0</v>
      </c>
      <c r="AB168">
        <v>0</v>
      </c>
      <c r="AC168">
        <v>0</v>
      </c>
      <c r="AD168">
        <v>0</v>
      </c>
      <c r="AE168">
        <v>1</v>
      </c>
      <c r="AF168">
        <v>0</v>
      </c>
      <c r="AG168">
        <v>0</v>
      </c>
      <c r="AH168">
        <v>0</v>
      </c>
      <c r="AI168">
        <v>0</v>
      </c>
      <c r="AJ168">
        <v>0</v>
      </c>
      <c r="AK168">
        <v>1</v>
      </c>
      <c r="AL168">
        <v>0</v>
      </c>
      <c r="AM168">
        <v>0</v>
      </c>
      <c r="AN168">
        <v>0</v>
      </c>
      <c r="AO168">
        <v>0</v>
      </c>
      <c r="AP168">
        <v>0</v>
      </c>
      <c r="AQ168">
        <v>0</v>
      </c>
      <c r="AR168">
        <v>0</v>
      </c>
      <c r="AS168">
        <v>0</v>
      </c>
      <c r="AT168">
        <v>0</v>
      </c>
      <c r="AU168">
        <v>0</v>
      </c>
      <c r="AV168">
        <v>0</v>
      </c>
      <c r="AW168">
        <v>0</v>
      </c>
      <c r="AX168" s="141">
        <f>COUNTIF(V168:AW168,"&lt;&gt;0")</f>
        <v>2</v>
      </c>
      <c r="AY168" s="141">
        <f>COUNTIF(V168:AL168,"&lt;&gt;0")</f>
        <v>2</v>
      </c>
      <c r="AZ168">
        <f>COUNTIF(V168:AC168,"&lt;&gt;0")</f>
        <v>0</v>
      </c>
      <c r="BA168">
        <f>COUNTIF(AD168:AI168,"&lt;&gt;0")</f>
        <v>1</v>
      </c>
      <c r="BB168">
        <f>COUNTIF(AJ168:AL168,"&lt;&gt;0")</f>
        <v>1</v>
      </c>
      <c r="BC168">
        <f>COUNTIF(AS168:AW168,"&lt;&gt;0")</f>
        <v>0</v>
      </c>
      <c r="BD168">
        <f>COUNTIF(AM168:AR168,"&lt;&gt;0")</f>
        <v>0</v>
      </c>
      <c r="BE168" t="str" cm="1">
        <f t="array" ref="BE168">IF(AY168=1,INDEX($V$7:$AL$7,MATCH(TRUE,INDEX($V168:$AW168&lt;&gt;0,),0)),IF(AY168=0,INDEX($AM$7:$AW$7,MATCH(1,$AM168:$AW168,0)),IF(BF168="Multiple strategies","mixed drivers",IF(BF168="Supply chain","multiple supply","multiple silviculture"))))</f>
        <v>mixed drivers</v>
      </c>
      <c r="BF168" s="2" t="str" cm="1">
        <f t="array" ref="BF168">IF(COUNTIF(AZ168:BB168,"&lt;&gt;0")=1,INDEX($V$4:$AW$4,MATCH(TRUE,INDEX($V168:$AW168&lt;&gt;0,),0)),IF(COUNTIF(AZ168:BB168,"&lt;&gt;0")=0,INDEX($AM$4:$AW$4,MATCH(1,$AM168:$AW168,0)),"Multiple strategies"))</f>
        <v>Multiple strategies</v>
      </c>
      <c r="BG168" s="142" t="s">
        <v>322</v>
      </c>
      <c r="BH168" s="160" t="s">
        <v>1459</v>
      </c>
      <c r="BI168" s="160" t="s">
        <v>1460</v>
      </c>
      <c r="BJ168" s="143" t="s">
        <v>499</v>
      </c>
      <c r="BK168" s="143">
        <v>944</v>
      </c>
      <c r="BL168" s="143">
        <v>4000</v>
      </c>
      <c r="BM168">
        <f>IFERROR(BL168/BK168,"")</f>
        <v>4.2372881355932206</v>
      </c>
      <c r="BN168">
        <f>BL168-BK168</f>
        <v>3056</v>
      </c>
      <c r="BO168" s="159">
        <f>BN168</f>
        <v>3056</v>
      </c>
      <c r="BP168" s="155" t="s">
        <v>233</v>
      </c>
      <c r="BQ168" s="313" t="s">
        <v>1461</v>
      </c>
      <c r="BR168" s="155" t="s">
        <v>827</v>
      </c>
      <c r="BS168" s="143" t="s">
        <v>1462</v>
      </c>
      <c r="BT168" t="s">
        <v>1491</v>
      </c>
      <c r="BU168" s="144">
        <f>BT168/BS168</f>
        <v>3.3022538570112716</v>
      </c>
      <c r="BV168">
        <f>BT168-BS168</f>
        <v>-16.157488083333302</v>
      </c>
      <c r="BW168"/>
      <c r="BX168">
        <f>BV168</f>
        <v>-16.157488083333302</v>
      </c>
      <c r="BY168">
        <f>IFERROR(BX168/BO168,"")</f>
        <v>-5.2871361529232006E-3</v>
      </c>
      <c r="BZ168">
        <v>0</v>
      </c>
      <c r="CA168">
        <v>0</v>
      </c>
      <c r="CB168">
        <v>0</v>
      </c>
      <c r="CC168">
        <v>0</v>
      </c>
      <c r="CD168">
        <v>0</v>
      </c>
      <c r="CE168">
        <v>0</v>
      </c>
      <c r="CF168">
        <v>0</v>
      </c>
      <c r="CG168">
        <v>0</v>
      </c>
      <c r="CH168">
        <v>0</v>
      </c>
      <c r="CI168">
        <v>0</v>
      </c>
      <c r="CJ168">
        <v>0</v>
      </c>
      <c r="CK168">
        <v>0</v>
      </c>
      <c r="CL168">
        <v>0</v>
      </c>
      <c r="CM168">
        <v>0</v>
      </c>
      <c r="CN168" t="str">
        <f>IF($BL168&lt;$BK168,"refNeedCorrection","refOK")</f>
        <v>refOK</v>
      </c>
      <c r="CO168">
        <f>IF($CN168="refOK",$BK168,$BL168)</f>
        <v>944</v>
      </c>
      <c r="CP168">
        <f>IF($CN168="refOK",$BL168,$BK168)</f>
        <v>4000</v>
      </c>
      <c r="CQ168">
        <f>IF($CN168="refOK",$BO168,-$BO168)</f>
        <v>3056</v>
      </c>
      <c r="CR168">
        <f>IF($CN168="refOK",$BS168,$BT168)*IF($BP168="Emissions positive",-1,1)</f>
        <v>-7.0181174999999998</v>
      </c>
      <c r="CS168">
        <f>IF($CN168="refOK",$BT168,$BS168)*IF($BP168="Emissions positive",-1,1)</f>
        <v>-23.175605583333301</v>
      </c>
      <c r="CT168">
        <f>IF($CN168="refNeedCorrection",-BX168,BX168)*IF($BP168="Emissions positive",-1,1)</f>
        <v>-16.157488083333302</v>
      </c>
      <c r="CU168">
        <f>IFERROR(CT168/CQ168,"")</f>
        <v>-5.2871361529232006E-3</v>
      </c>
      <c r="CV168" s="2">
        <f>IFERROR((CS168-CR168)/ABS(CR168),"")</f>
        <v>-2.3022538570112716</v>
      </c>
      <c r="CW168" s="265" t="s">
        <v>1464</v>
      </c>
      <c r="CX168" s="266" t="str">
        <f>IF(OR($CW168="prd",$CW168="std",$CW168="cit"),"loc",IF(OR($CW168="eur",$CW168="reg",$CW168="coy"),"reg",$CW168))</f>
        <v>reg</v>
      </c>
      <c r="CY168" s="272" t="s">
        <v>745</v>
      </c>
      <c r="CZ168"/>
      <c r="DA168" s="143"/>
      <c r="DB168" s="143">
        <v>0</v>
      </c>
      <c r="DC168" t="str">
        <f>IF(DB168=0,"0",IF(AND(DB168&gt;=1,DB168&lt;=30),"1-30",IF(AND(DB168&gt;30,DB168&lt;=70),"31-70",IF(AND(DB168&gt;70,DB168&lt;=100),"71-100",IF(DB168&gt;100,"+100")))))</f>
        <v>0</v>
      </c>
      <c r="DD168">
        <v>0</v>
      </c>
      <c r="DE168">
        <v>1</v>
      </c>
      <c r="DF168">
        <v>0</v>
      </c>
      <c r="DG168">
        <v>0</v>
      </c>
      <c r="DH168">
        <v>0</v>
      </c>
      <c r="DI168">
        <f>SUM(DD168:DH168)</f>
        <v>1</v>
      </c>
      <c r="DJ168" t="str">
        <f>IF(DI168=1,INDEX($DD$7:$DG$7,MATCH(1,$DD168:$DG168,0)),"mixedProduct")</f>
        <v>EnergyInput</v>
      </c>
      <c r="DK168">
        <f>IF(DD168=1,DK$7,0)</f>
        <v>0</v>
      </c>
      <c r="DL168" t="str">
        <f>IF(DE168=1,DL$7,0)</f>
        <v>Energy</v>
      </c>
      <c r="DM168">
        <f>IF(DF168=1,DM$7,0)</f>
        <v>0</v>
      </c>
      <c r="DN168">
        <f>IF(DG168=1,DN$7,0)</f>
        <v>0</v>
      </c>
      <c r="DO168">
        <v>0</v>
      </c>
      <c r="DP168" s="143">
        <v>0</v>
      </c>
      <c r="DQ168" s="143">
        <v>0</v>
      </c>
      <c r="DR168">
        <v>0</v>
      </c>
      <c r="DS168" s="143">
        <v>0</v>
      </c>
      <c r="DT168">
        <f>SUM(DO168:DP168)</f>
        <v>0</v>
      </c>
      <c r="DU168" s="143" t="str">
        <f>IF(DO168=1,"self-calculated DF",IF(DP168=1,"external DF used","explicit C balance"))</f>
        <v>explicit C balance</v>
      </c>
      <c r="DV168" s="143">
        <v>0</v>
      </c>
      <c r="DW168" s="143">
        <v>0</v>
      </c>
      <c r="DX168" s="143">
        <v>0</v>
      </c>
      <c r="DY168" s="143">
        <v>0</v>
      </c>
      <c r="DZ168">
        <v>0</v>
      </c>
      <c r="EA168" s="143">
        <v>0</v>
      </c>
      <c r="EB168" s="143">
        <v>1</v>
      </c>
      <c r="EC168" s="143">
        <v>1</v>
      </c>
      <c r="ED168" s="143">
        <v>0</v>
      </c>
      <c r="EE168">
        <v>1</v>
      </c>
      <c r="EF168">
        <v>0</v>
      </c>
      <c r="EG168" s="143">
        <v>0</v>
      </c>
      <c r="EH168" s="143">
        <v>0</v>
      </c>
      <c r="EI168" s="2">
        <v>0</v>
      </c>
      <c r="EJ168" s="1"/>
      <c r="EK168" t="str">
        <f>IF(AND(AND(AND(OR($DX168=1,$DW168=1),OR($EC168=1,$EA168=1)),SUM($DV168:$DZ168,$EF168)&gt;=4),SUM($EA168:$EE168)&gt;=2),"Whole sector","")</f>
        <v/>
      </c>
      <c r="EL168" t="str">
        <f>IF(AND(AND(OR($DX168=1,$DW168=1),AND($EC168=0,$EA168=0)),SUM($DV168:$DZ168,$EF168)&gt;=4),"Ecosystem approach","")</f>
        <v/>
      </c>
      <c r="EM168" s="2" t="str">
        <f>IF(AND(AND(AND($DX168=0,$DW168=0),OR($EC168=1,$EA168=1)),SUM($EB168:$EE168)&gt;=2),"Technology approach","")</f>
        <v>Technology approach</v>
      </c>
      <c r="EN168"/>
      <c r="EO168"/>
      <c r="EP168" t="str">
        <f>IF(ISNUMBER(BU168),IF(ABS(BU168-[1]QC_indicators!$B$2)&gt;3*[1]QC_indicators!$C$2,"C ratio",IF(ISNUMBER(BY168),IF(ABS(BY168-[1]QC_indicators!$B$1)&gt;3*[1]QC_indicators!$C$1,"DF","no"))),IF(ISNUMBER(BY168),IF(ABS(BY168-[1]QC_indicators!$B$1)&gt;3*[1]QC_indicators!$C$1,"DF","no")))</f>
        <v>no</v>
      </c>
      <c r="EQ168"/>
      <c r="ER168" s="149"/>
      <c r="ES168"/>
      <c r="ET168" s="266" t="s">
        <v>3409</v>
      </c>
      <c r="EU168"/>
    </row>
    <row r="169" spans="1:151" s="139" customFormat="1" ht="85" hidden="1">
      <c r="A169" s="1" t="s">
        <v>588</v>
      </c>
      <c r="B169" t="s">
        <v>1450</v>
      </c>
      <c r="C169" t="s">
        <v>1451</v>
      </c>
      <c r="D169" t="s">
        <v>1452</v>
      </c>
      <c r="E169" t="s">
        <v>1453</v>
      </c>
      <c r="F169" t="s">
        <v>1454</v>
      </c>
      <c r="G169" t="s">
        <v>594</v>
      </c>
      <c r="H169" t="s">
        <v>255</v>
      </c>
      <c r="I169">
        <v>2020</v>
      </c>
      <c r="J169">
        <v>12</v>
      </c>
      <c r="K169" t="s">
        <v>1455</v>
      </c>
      <c r="L169"/>
      <c r="M169" t="str">
        <f>LEFT($D169,FIND(",",$D169)-1)&amp;"_"&amp;I169&amp;L169</f>
        <v>Elisa_2020</v>
      </c>
      <c r="N169" s="266" t="s">
        <v>223</v>
      </c>
      <c r="O169" s="171" t="s">
        <v>275</v>
      </c>
      <c r="P169" t="s">
        <v>224</v>
      </c>
      <c r="Q169" s="266" t="s">
        <v>390</v>
      </c>
      <c r="R169" s="271" t="s">
        <v>1156</v>
      </c>
      <c r="S169" s="154" t="s">
        <v>1456</v>
      </c>
      <c r="T169" s="296" t="s">
        <v>1457</v>
      </c>
      <c r="U169" s="143" t="s">
        <v>1492</v>
      </c>
      <c r="V169">
        <v>0</v>
      </c>
      <c r="W169">
        <v>0</v>
      </c>
      <c r="X169">
        <v>0</v>
      </c>
      <c r="Y169">
        <v>0</v>
      </c>
      <c r="Z169">
        <v>0</v>
      </c>
      <c r="AA169">
        <v>0</v>
      </c>
      <c r="AB169">
        <v>0</v>
      </c>
      <c r="AC169">
        <v>0</v>
      </c>
      <c r="AD169">
        <v>0</v>
      </c>
      <c r="AE169">
        <v>1</v>
      </c>
      <c r="AF169">
        <v>0</v>
      </c>
      <c r="AG169">
        <v>0</v>
      </c>
      <c r="AH169">
        <v>0</v>
      </c>
      <c r="AI169">
        <v>0</v>
      </c>
      <c r="AJ169">
        <v>0</v>
      </c>
      <c r="AK169">
        <v>1</v>
      </c>
      <c r="AL169">
        <v>0</v>
      </c>
      <c r="AM169">
        <v>0</v>
      </c>
      <c r="AN169">
        <v>0</v>
      </c>
      <c r="AO169">
        <v>0</v>
      </c>
      <c r="AP169">
        <v>0</v>
      </c>
      <c r="AQ169">
        <v>0</v>
      </c>
      <c r="AR169">
        <v>0</v>
      </c>
      <c r="AS169">
        <v>0</v>
      </c>
      <c r="AT169">
        <v>0</v>
      </c>
      <c r="AU169">
        <v>0</v>
      </c>
      <c r="AV169">
        <v>0</v>
      </c>
      <c r="AW169">
        <v>0</v>
      </c>
      <c r="AX169" s="141">
        <f>COUNTIF(V169:AW169,"&lt;&gt;0")</f>
        <v>2</v>
      </c>
      <c r="AY169" s="141">
        <f>COUNTIF(V169:AL169,"&lt;&gt;0")</f>
        <v>2</v>
      </c>
      <c r="AZ169">
        <f>COUNTIF(V169:AC169,"&lt;&gt;0")</f>
        <v>0</v>
      </c>
      <c r="BA169">
        <f>COUNTIF(AD169:AI169,"&lt;&gt;0")</f>
        <v>1</v>
      </c>
      <c r="BB169">
        <f>COUNTIF(AJ169:AL169,"&lt;&gt;0")</f>
        <v>1</v>
      </c>
      <c r="BC169">
        <f>COUNTIF(AS169:AW169,"&lt;&gt;0")</f>
        <v>0</v>
      </c>
      <c r="BD169">
        <f>COUNTIF(AM169:AR169,"&lt;&gt;0")</f>
        <v>0</v>
      </c>
      <c r="BE169" t="str" cm="1">
        <f t="array" ref="BE169">IF(AY169=1,INDEX($V$7:$AL$7,MATCH(TRUE,INDEX($V169:$AW169&lt;&gt;0,),0)),IF(AY169=0,INDEX($AM$7:$AW$7,MATCH(1,$AM169:$AW169,0)),IF(BF169="Multiple strategies","mixed drivers",IF(BF169="Supply chain","multiple supply","multiple silviculture"))))</f>
        <v>mixed drivers</v>
      </c>
      <c r="BF169" s="2" t="str" cm="1">
        <f t="array" ref="BF169">IF(COUNTIF(AZ169:BB169,"&lt;&gt;0")=1,INDEX($V$4:$AW$4,MATCH(TRUE,INDEX($V169:$AW169&lt;&gt;0,),0)),IF(COUNTIF(AZ169:BB169,"&lt;&gt;0")=0,INDEX($AM$4:$AW$4,MATCH(1,$AM169:$AW169,0)),"Multiple strategies"))</f>
        <v>Multiple strategies</v>
      </c>
      <c r="BG169" s="142" t="s">
        <v>322</v>
      </c>
      <c r="BH169" s="160" t="s">
        <v>1459</v>
      </c>
      <c r="BI169" s="160" t="s">
        <v>1460</v>
      </c>
      <c r="BJ169" s="143" t="s">
        <v>499</v>
      </c>
      <c r="BK169" s="143">
        <v>944</v>
      </c>
      <c r="BL169" s="143">
        <v>4500</v>
      </c>
      <c r="BM169">
        <f>IFERROR(BL169/BK169,"")</f>
        <v>4.7669491525423728</v>
      </c>
      <c r="BN169">
        <f>BL169-BK169</f>
        <v>3556</v>
      </c>
      <c r="BO169" s="159">
        <f>BN169</f>
        <v>3556</v>
      </c>
      <c r="BP169" s="155" t="s">
        <v>233</v>
      </c>
      <c r="BQ169" s="313" t="s">
        <v>1461</v>
      </c>
      <c r="BR169" s="155" t="s">
        <v>827</v>
      </c>
      <c r="BS169" s="143" t="s">
        <v>1462</v>
      </c>
      <c r="BT169" t="s">
        <v>1493</v>
      </c>
      <c r="BU169" s="144">
        <f>BT169/BS169</f>
        <v>3.6424356911474765</v>
      </c>
      <c r="BV169">
        <f>BT169-BS169</f>
        <v>-18.5449241666667</v>
      </c>
      <c r="BW169"/>
      <c r="BX169">
        <f>BV169</f>
        <v>-18.5449241666667</v>
      </c>
      <c r="BY169">
        <f>IFERROR(BX169/BO169,"")</f>
        <v>-5.2151080333708378E-3</v>
      </c>
      <c r="BZ169">
        <v>0</v>
      </c>
      <c r="CA169">
        <v>0</v>
      </c>
      <c r="CB169">
        <v>0</v>
      </c>
      <c r="CC169">
        <v>0</v>
      </c>
      <c r="CD169">
        <v>0</v>
      </c>
      <c r="CE169">
        <v>0</v>
      </c>
      <c r="CF169">
        <v>0</v>
      </c>
      <c r="CG169">
        <v>0</v>
      </c>
      <c r="CH169">
        <v>0</v>
      </c>
      <c r="CI169">
        <v>0</v>
      </c>
      <c r="CJ169">
        <v>0</v>
      </c>
      <c r="CK169">
        <v>0</v>
      </c>
      <c r="CL169">
        <v>0</v>
      </c>
      <c r="CM169">
        <v>0</v>
      </c>
      <c r="CN169" t="str">
        <f>IF($BL169&lt;$BK169,"refNeedCorrection","refOK")</f>
        <v>refOK</v>
      </c>
      <c r="CO169">
        <f>IF($CN169="refOK",$BK169,$BL169)</f>
        <v>944</v>
      </c>
      <c r="CP169">
        <f>IF($CN169="refOK",$BL169,$BK169)</f>
        <v>4500</v>
      </c>
      <c r="CQ169">
        <f>IF($CN169="refOK",$BO169,-$BO169)</f>
        <v>3556</v>
      </c>
      <c r="CR169">
        <f>IF($CN169="refOK",$BS169,$BT169)*IF($BP169="Emissions positive",-1,1)</f>
        <v>-7.0181174999999998</v>
      </c>
      <c r="CS169">
        <f>IF($CN169="refOK",$BT169,$BS169)*IF($BP169="Emissions positive",-1,1)</f>
        <v>-25.563041666666699</v>
      </c>
      <c r="CT169">
        <f>IF($CN169="refNeedCorrection",-BX169,BX169)*IF($BP169="Emissions positive",-1,1)</f>
        <v>-18.5449241666667</v>
      </c>
      <c r="CU169">
        <f>IFERROR(CT169/CQ169,"")</f>
        <v>-5.2151080333708378E-3</v>
      </c>
      <c r="CV169" s="2">
        <f>IFERROR((CS169-CR169)/ABS(CR169),"")</f>
        <v>-2.6424356911474765</v>
      </c>
      <c r="CW169" s="265" t="s">
        <v>1464</v>
      </c>
      <c r="CX169" s="266" t="str">
        <f>IF(OR($CW169="prd",$CW169="std",$CW169="cit"),"loc",IF(OR($CW169="eur",$CW169="reg",$CW169="coy"),"reg",$CW169))</f>
        <v>reg</v>
      </c>
      <c r="CY169" s="272" t="s">
        <v>745</v>
      </c>
      <c r="CZ169"/>
      <c r="DA169" s="143"/>
      <c r="DB169" s="143">
        <v>0</v>
      </c>
      <c r="DC169" t="str">
        <f>IF(DB169=0,"0",IF(AND(DB169&gt;=1,DB169&lt;=30),"1-30",IF(AND(DB169&gt;30,DB169&lt;=70),"31-70",IF(AND(DB169&gt;70,DB169&lt;=100),"71-100",IF(DB169&gt;100,"+100")))))</f>
        <v>0</v>
      </c>
      <c r="DD169">
        <v>0</v>
      </c>
      <c r="DE169">
        <v>1</v>
      </c>
      <c r="DF169">
        <v>0</v>
      </c>
      <c r="DG169">
        <v>0</v>
      </c>
      <c r="DH169">
        <v>0</v>
      </c>
      <c r="DI169">
        <f>SUM(DD169:DH169)</f>
        <v>1</v>
      </c>
      <c r="DJ169" t="str">
        <f>IF(DI169=1,INDEX($DD$7:$DG$7,MATCH(1,$DD169:$DG169,0)),"mixedProduct")</f>
        <v>EnergyInput</v>
      </c>
      <c r="DK169">
        <f>IF(DD169=1,DK$7,0)</f>
        <v>0</v>
      </c>
      <c r="DL169" t="str">
        <f>IF(DE169=1,DL$7,0)</f>
        <v>Energy</v>
      </c>
      <c r="DM169">
        <f>IF(DF169=1,DM$7,0)</f>
        <v>0</v>
      </c>
      <c r="DN169">
        <f>IF(DG169=1,DN$7,0)</f>
        <v>0</v>
      </c>
      <c r="DO169">
        <v>0</v>
      </c>
      <c r="DP169" s="143">
        <v>0</v>
      </c>
      <c r="DQ169" s="143">
        <v>0</v>
      </c>
      <c r="DR169">
        <v>0</v>
      </c>
      <c r="DS169" s="143">
        <v>0</v>
      </c>
      <c r="DT169">
        <f>SUM(DO169:DP169)</f>
        <v>0</v>
      </c>
      <c r="DU169" s="143" t="str">
        <f>IF(DO169=1,"self-calculated DF",IF(DP169=1,"external DF used","explicit C balance"))</f>
        <v>explicit C balance</v>
      </c>
      <c r="DV169" s="143">
        <v>0</v>
      </c>
      <c r="DW169" s="143">
        <v>0</v>
      </c>
      <c r="DX169" s="143">
        <v>0</v>
      </c>
      <c r="DY169" s="143">
        <v>0</v>
      </c>
      <c r="DZ169">
        <v>0</v>
      </c>
      <c r="EA169" s="143">
        <v>0</v>
      </c>
      <c r="EB169" s="143">
        <v>1</v>
      </c>
      <c r="EC169" s="143">
        <v>1</v>
      </c>
      <c r="ED169" s="143">
        <v>0</v>
      </c>
      <c r="EE169">
        <v>1</v>
      </c>
      <c r="EF169">
        <v>0</v>
      </c>
      <c r="EG169" s="143">
        <v>0</v>
      </c>
      <c r="EH169" s="143">
        <v>0</v>
      </c>
      <c r="EI169" s="2">
        <v>0</v>
      </c>
      <c r="EJ169" s="1"/>
      <c r="EK169" t="str">
        <f>IF(AND(AND(AND(OR($DX169=1,$DW169=1),OR($EC169=1,$EA169=1)),SUM($DV169:$DZ169,$EF169)&gt;=4),SUM($EA169:$EE169)&gt;=2),"Whole sector","")</f>
        <v/>
      </c>
      <c r="EL169" t="str">
        <f>IF(AND(AND(OR($DX169=1,$DW169=1),AND($EC169=0,$EA169=0)),SUM($DV169:$DZ169,$EF169)&gt;=4),"Ecosystem approach","")</f>
        <v/>
      </c>
      <c r="EM169" s="2" t="str">
        <f>IF(AND(AND(AND($DX169=0,$DW169=0),OR($EC169=1,$EA169=1)),SUM($EB169:$EE169)&gt;=2),"Technology approach","")</f>
        <v>Technology approach</v>
      </c>
      <c r="EN169"/>
      <c r="EO169"/>
      <c r="EP169" t="str">
        <f>IF(ISNUMBER(BU169),IF(ABS(BU169-[1]QC_indicators!$B$2)&gt;3*[1]QC_indicators!$C$2,"C ratio",IF(ISNUMBER(BY169),IF(ABS(BY169-[1]QC_indicators!$B$1)&gt;3*[1]QC_indicators!$C$1,"DF","no"))),IF(ISNUMBER(BY169),IF(ABS(BY169-[1]QC_indicators!$B$1)&gt;3*[1]QC_indicators!$C$1,"DF","no")))</f>
        <v>no</v>
      </c>
      <c r="EQ169"/>
      <c r="ER169" s="149"/>
      <c r="ES169"/>
      <c r="ET169" s="266" t="s">
        <v>3409</v>
      </c>
      <c r="EU169"/>
    </row>
    <row r="170" spans="1:151" s="139" customFormat="1" ht="15" hidden="1" customHeight="1">
      <c r="A170" s="1" t="s">
        <v>588</v>
      </c>
      <c r="B170" t="s">
        <v>1450</v>
      </c>
      <c r="C170" t="s">
        <v>1451</v>
      </c>
      <c r="D170" t="s">
        <v>1452</v>
      </c>
      <c r="E170" t="s">
        <v>1453</v>
      </c>
      <c r="F170" t="s">
        <v>1454</v>
      </c>
      <c r="G170" t="s">
        <v>594</v>
      </c>
      <c r="H170" t="s">
        <v>255</v>
      </c>
      <c r="I170">
        <v>2020</v>
      </c>
      <c r="J170">
        <v>12</v>
      </c>
      <c r="K170" t="s">
        <v>1455</v>
      </c>
      <c r="L170"/>
      <c r="M170" t="str">
        <f>LEFT($D170,FIND(",",$D170)-1)&amp;"_"&amp;I170&amp;L170</f>
        <v>Elisa_2020</v>
      </c>
      <c r="N170" s="266" t="s">
        <v>223</v>
      </c>
      <c r="O170" s="171" t="s">
        <v>275</v>
      </c>
      <c r="P170" t="s">
        <v>224</v>
      </c>
      <c r="Q170" s="266" t="s">
        <v>390</v>
      </c>
      <c r="R170" s="271" t="s">
        <v>1156</v>
      </c>
      <c r="S170" s="154" t="s">
        <v>1456</v>
      </c>
      <c r="T170" s="296" t="s">
        <v>1457</v>
      </c>
      <c r="U170" s="143" t="s">
        <v>1490</v>
      </c>
      <c r="V170">
        <v>0</v>
      </c>
      <c r="W170">
        <v>0</v>
      </c>
      <c r="X170">
        <v>0</v>
      </c>
      <c r="Y170">
        <v>0</v>
      </c>
      <c r="Z170">
        <v>0</v>
      </c>
      <c r="AA170">
        <v>0</v>
      </c>
      <c r="AB170">
        <v>0</v>
      </c>
      <c r="AC170">
        <v>0</v>
      </c>
      <c r="AD170">
        <v>0</v>
      </c>
      <c r="AE170">
        <v>1</v>
      </c>
      <c r="AF170">
        <v>0</v>
      </c>
      <c r="AG170">
        <v>0</v>
      </c>
      <c r="AH170">
        <v>0</v>
      </c>
      <c r="AI170">
        <v>0</v>
      </c>
      <c r="AJ170">
        <v>0</v>
      </c>
      <c r="AK170">
        <v>1</v>
      </c>
      <c r="AL170">
        <v>0</v>
      </c>
      <c r="AM170">
        <v>0</v>
      </c>
      <c r="AN170">
        <v>0</v>
      </c>
      <c r="AO170">
        <v>0</v>
      </c>
      <c r="AP170">
        <v>0</v>
      </c>
      <c r="AQ170">
        <v>0</v>
      </c>
      <c r="AR170">
        <v>0</v>
      </c>
      <c r="AS170">
        <v>0</v>
      </c>
      <c r="AT170">
        <v>0</v>
      </c>
      <c r="AU170">
        <v>0</v>
      </c>
      <c r="AV170">
        <v>0</v>
      </c>
      <c r="AW170">
        <v>0</v>
      </c>
      <c r="AX170" s="141">
        <f>COUNTIF(V170:AW170,"&lt;&gt;0")</f>
        <v>2</v>
      </c>
      <c r="AY170" s="141">
        <f>COUNTIF(V170:AL170,"&lt;&gt;0")</f>
        <v>2</v>
      </c>
      <c r="AZ170">
        <f>COUNTIF(V170:AC170,"&lt;&gt;0")</f>
        <v>0</v>
      </c>
      <c r="BA170">
        <f>COUNTIF(AD170:AI170,"&lt;&gt;0")</f>
        <v>1</v>
      </c>
      <c r="BB170">
        <f>COUNTIF(AJ170:AL170,"&lt;&gt;0")</f>
        <v>1</v>
      </c>
      <c r="BC170">
        <f>COUNTIF(AS170:AW170,"&lt;&gt;0")</f>
        <v>0</v>
      </c>
      <c r="BD170">
        <f>COUNTIF(AM170:AR170,"&lt;&gt;0")</f>
        <v>0</v>
      </c>
      <c r="BE170" t="str" cm="1">
        <f t="array" ref="BE170">IF(AY170=1,INDEX($V$7:$AL$7,MATCH(TRUE,INDEX($V170:$AW170&lt;&gt;0,),0)),IF(AY170=0,INDEX($AM$7:$AW$7,MATCH(1,$AM170:$AW170,0)),IF(BF170="Multiple strategies","mixed drivers",IF(BF170="Supply chain","multiple supply","multiple silviculture"))))</f>
        <v>mixed drivers</v>
      </c>
      <c r="BF170" s="2" t="str" cm="1">
        <f t="array" ref="BF170">IF(COUNTIF(AZ170:BB170,"&lt;&gt;0")=1,INDEX($V$4:$AW$4,MATCH(TRUE,INDEX($V170:$AW170&lt;&gt;0,),0)),IF(COUNTIF(AZ170:BB170,"&lt;&gt;0")=0,INDEX($AM$4:$AW$4,MATCH(1,$AM170:$AW170,0)),"Multiple strategies"))</f>
        <v>Multiple strategies</v>
      </c>
      <c r="BG170" s="142" t="s">
        <v>322</v>
      </c>
      <c r="BH170" s="160" t="s">
        <v>1459</v>
      </c>
      <c r="BI170" s="160" t="s">
        <v>1460</v>
      </c>
      <c r="BJ170" s="143" t="s">
        <v>499</v>
      </c>
      <c r="BK170" s="143">
        <v>944</v>
      </c>
      <c r="BL170" s="143">
        <v>4000</v>
      </c>
      <c r="BM170">
        <f>IFERROR(BL172/BK170,"")</f>
        <v>21.1864406779661</v>
      </c>
      <c r="BN170">
        <f>BL170-BK170</f>
        <v>3056</v>
      </c>
      <c r="BO170" s="159">
        <f>BN170</f>
        <v>3056</v>
      </c>
      <c r="BP170" s="155" t="s">
        <v>233</v>
      </c>
      <c r="BQ170" s="313" t="s">
        <v>1461</v>
      </c>
      <c r="BR170" s="155" t="s">
        <v>827</v>
      </c>
      <c r="BS170" s="143" t="s">
        <v>1465</v>
      </c>
      <c r="BT170" t="s">
        <v>1494</v>
      </c>
      <c r="BU170" s="144">
        <f>BT170/BS170</f>
        <v>3.2919959403999846</v>
      </c>
      <c r="BV170">
        <f>BT170-BS170</f>
        <v>-15.8391645555556</v>
      </c>
      <c r="BW170"/>
      <c r="BX170">
        <f>BV170</f>
        <v>-15.8391645555556</v>
      </c>
      <c r="BY170">
        <f>IFERROR(BX170/BO170,"")</f>
        <v>-5.1829726948807589E-3</v>
      </c>
      <c r="BZ170">
        <v>0</v>
      </c>
      <c r="CA170">
        <v>0</v>
      </c>
      <c r="CB170">
        <v>0</v>
      </c>
      <c r="CC170">
        <v>0</v>
      </c>
      <c r="CD170">
        <v>0</v>
      </c>
      <c r="CE170">
        <v>0</v>
      </c>
      <c r="CF170">
        <v>0</v>
      </c>
      <c r="CG170">
        <v>0</v>
      </c>
      <c r="CH170">
        <v>0</v>
      </c>
      <c r="CI170">
        <v>0</v>
      </c>
      <c r="CJ170">
        <v>0</v>
      </c>
      <c r="CK170">
        <v>0</v>
      </c>
      <c r="CL170">
        <v>0</v>
      </c>
      <c r="CM170">
        <v>0</v>
      </c>
      <c r="CN170" t="str">
        <f>IF($BL170&lt;$BK170,"refNeedCorrection","refOK")</f>
        <v>refOK</v>
      </c>
      <c r="CO170">
        <f>IF($CN170="refOK",$BK170,$BL170)</f>
        <v>944</v>
      </c>
      <c r="CP170">
        <f>IF($CN170="refOK",$BL170,$BK170)</f>
        <v>4000</v>
      </c>
      <c r="CQ170">
        <f>IF($CN170="refOK",$BO170,-$BO170)</f>
        <v>3056</v>
      </c>
      <c r="CR170">
        <f>IF($CN170="refOK",$BS170,$BT170)*IF($BP170="Emissions positive",-1,1)</f>
        <v>-6.9106424999999998</v>
      </c>
      <c r="CS170">
        <f>IF($CN170="refOK",$BT170,$BS170)*IF($BP170="Emissions positive",-1,1)</f>
        <v>-22.7498070555556</v>
      </c>
      <c r="CT170">
        <f>IF($CN170="refNeedCorrection",-BX170,BX170)*IF($BP170="Emissions positive",-1,1)</f>
        <v>-15.8391645555556</v>
      </c>
      <c r="CU170">
        <f>IFERROR(CT170/CQ170,"")</f>
        <v>-5.1829726948807589E-3</v>
      </c>
      <c r="CV170" s="2">
        <f>IFERROR((CS170-CR170)/ABS(CR170),"")</f>
        <v>-2.2919959403999846</v>
      </c>
      <c r="CW170" s="265" t="s">
        <v>1464</v>
      </c>
      <c r="CX170" s="266" t="str">
        <f>IF(OR($CW170="prd",$CW170="std",$CW170="cit"),"loc",IF(OR($CW170="eur",$CW170="reg",$CW170="coy"),"reg",$CW170))</f>
        <v>reg</v>
      </c>
      <c r="CY170" s="272" t="s">
        <v>745</v>
      </c>
      <c r="CZ170"/>
      <c r="DA170" s="143"/>
      <c r="DB170" s="143">
        <v>0</v>
      </c>
      <c r="DC170" t="str">
        <f>IF(DB170=0,"0",IF(AND(DB170&gt;=1,DB170&lt;=30),"1-30",IF(AND(DB170&gt;30,DB170&lt;=70),"31-70",IF(AND(DB170&gt;70,DB170&lt;=100),"71-100",IF(DB170&gt;100,"+100")))))</f>
        <v>0</v>
      </c>
      <c r="DD170">
        <v>0</v>
      </c>
      <c r="DE170">
        <v>1</v>
      </c>
      <c r="DF170">
        <v>0</v>
      </c>
      <c r="DG170">
        <v>0</v>
      </c>
      <c r="DH170">
        <v>0</v>
      </c>
      <c r="DI170">
        <f>SUM(DD170:DH170)</f>
        <v>1</v>
      </c>
      <c r="DJ170" t="str">
        <f>IF(DI170=1,INDEX($DD$7:$DG$7,MATCH(1,$DD170:$DG170,0)),"mixedProduct")</f>
        <v>EnergyInput</v>
      </c>
      <c r="DK170">
        <f>IF(DD170=1,DK$7,0)</f>
        <v>0</v>
      </c>
      <c r="DL170" t="str">
        <f>IF(DE170=1,DL$7,0)</f>
        <v>Energy</v>
      </c>
      <c r="DM170">
        <f>IF(DF170=1,DM$7,0)</f>
        <v>0</v>
      </c>
      <c r="DN170">
        <f>IF(DG170=1,DN$7,0)</f>
        <v>0</v>
      </c>
      <c r="DO170">
        <v>0</v>
      </c>
      <c r="DP170" s="143">
        <v>0</v>
      </c>
      <c r="DQ170" s="143">
        <v>0</v>
      </c>
      <c r="DR170">
        <v>0</v>
      </c>
      <c r="DS170" s="143">
        <v>0</v>
      </c>
      <c r="DT170">
        <f>SUM(DO170:DP170)</f>
        <v>0</v>
      </c>
      <c r="DU170" s="143" t="str">
        <f>IF(DO170=1,"self-calculated DF",IF(DP170=1,"external DF used","explicit C balance"))</f>
        <v>explicit C balance</v>
      </c>
      <c r="DV170" s="143">
        <v>0</v>
      </c>
      <c r="DW170" s="143">
        <v>0</v>
      </c>
      <c r="DX170" s="143">
        <v>0</v>
      </c>
      <c r="DY170" s="143">
        <v>0</v>
      </c>
      <c r="DZ170">
        <v>0</v>
      </c>
      <c r="EA170" s="143">
        <v>0</v>
      </c>
      <c r="EB170" s="143">
        <v>0</v>
      </c>
      <c r="EC170" s="143">
        <v>1</v>
      </c>
      <c r="ED170" s="143">
        <v>0</v>
      </c>
      <c r="EE170">
        <v>1</v>
      </c>
      <c r="EF170">
        <v>0</v>
      </c>
      <c r="EG170" s="143">
        <v>0</v>
      </c>
      <c r="EH170" s="143">
        <v>0</v>
      </c>
      <c r="EI170" s="2">
        <v>0</v>
      </c>
      <c r="EJ170" s="1"/>
      <c r="EK170" t="str">
        <f>IF(AND(AND(AND(OR($DX170=1,$DW170=1),OR($EC170=1,$EA170=1)),SUM($DV170:$DZ170,$EF170)&gt;=4),SUM($EA170:$EE170)&gt;=2),"Whole sector","")</f>
        <v/>
      </c>
      <c r="EL170" t="str">
        <f>IF(AND(AND(OR($DX170=1,$DW170=1),AND($EC170=0,$EA170=0)),SUM($DV170:$DZ170,$EF170)&gt;=4),"Ecosystem approach","")</f>
        <v/>
      </c>
      <c r="EM170" s="2" t="str">
        <f>IF(AND(AND(AND($DX170=0,$DW170=0),OR($EC170=1,$EA170=1)),SUM($EB170:$EE170)&gt;=2),"Technology approach","")</f>
        <v>Technology approach</v>
      </c>
      <c r="EN170"/>
      <c r="EO170"/>
      <c r="EP170" t="str">
        <f>IF(ISNUMBER(BU170),IF(ABS(BU170-[1]QC_indicators!$B$2)&gt;3*[1]QC_indicators!$C$2,"C ratio",IF(ISNUMBER(BY170),IF(ABS(BY170-[1]QC_indicators!$B$1)&gt;3*[1]QC_indicators!$C$1,"DF","no"))),IF(ISNUMBER(BY170),IF(ABS(BY170-[1]QC_indicators!$B$1)&gt;3*[1]QC_indicators!$C$1,"DF","no")))</f>
        <v>no</v>
      </c>
      <c r="EQ170"/>
      <c r="ER170" s="149"/>
      <c r="ES170"/>
      <c r="ET170" s="266" t="s">
        <v>3409</v>
      </c>
      <c r="EU170"/>
    </row>
    <row r="171" spans="1:151" s="139" customFormat="1" ht="15" hidden="1" customHeight="1">
      <c r="A171" s="1" t="s">
        <v>588</v>
      </c>
      <c r="B171" t="s">
        <v>1450</v>
      </c>
      <c r="C171" t="s">
        <v>1451</v>
      </c>
      <c r="D171" t="s">
        <v>1452</v>
      </c>
      <c r="E171" t="s">
        <v>1453</v>
      </c>
      <c r="F171" t="s">
        <v>1454</v>
      </c>
      <c r="G171" t="s">
        <v>594</v>
      </c>
      <c r="H171" t="s">
        <v>255</v>
      </c>
      <c r="I171">
        <v>2020</v>
      </c>
      <c r="J171">
        <v>12</v>
      </c>
      <c r="K171" t="s">
        <v>1455</v>
      </c>
      <c r="L171"/>
      <c r="M171" t="str">
        <f>LEFT($D171,FIND(",",$D171)-1)&amp;"_"&amp;I171&amp;L171</f>
        <v>Elisa_2020</v>
      </c>
      <c r="N171" s="266" t="s">
        <v>223</v>
      </c>
      <c r="O171" s="171" t="s">
        <v>275</v>
      </c>
      <c r="P171" t="s">
        <v>224</v>
      </c>
      <c r="Q171" s="266" t="s">
        <v>390</v>
      </c>
      <c r="R171" s="271" t="s">
        <v>1156</v>
      </c>
      <c r="S171" s="154" t="s">
        <v>1456</v>
      </c>
      <c r="T171" s="296" t="s">
        <v>1457</v>
      </c>
      <c r="U171" s="143" t="s">
        <v>1492</v>
      </c>
      <c r="V171">
        <v>0</v>
      </c>
      <c r="W171">
        <v>0</v>
      </c>
      <c r="X171">
        <v>0</v>
      </c>
      <c r="Y171">
        <v>0</v>
      </c>
      <c r="Z171">
        <v>0</v>
      </c>
      <c r="AA171">
        <v>0</v>
      </c>
      <c r="AB171">
        <v>0</v>
      </c>
      <c r="AC171">
        <v>0</v>
      </c>
      <c r="AD171">
        <v>0</v>
      </c>
      <c r="AE171">
        <v>1</v>
      </c>
      <c r="AF171">
        <v>0</v>
      </c>
      <c r="AG171">
        <v>0</v>
      </c>
      <c r="AH171">
        <v>0</v>
      </c>
      <c r="AI171">
        <v>0</v>
      </c>
      <c r="AJ171">
        <v>0</v>
      </c>
      <c r="AK171">
        <v>1</v>
      </c>
      <c r="AL171">
        <v>0</v>
      </c>
      <c r="AM171">
        <v>0</v>
      </c>
      <c r="AN171">
        <v>0</v>
      </c>
      <c r="AO171">
        <v>0</v>
      </c>
      <c r="AP171">
        <v>0</v>
      </c>
      <c r="AQ171">
        <v>0</v>
      </c>
      <c r="AR171">
        <v>0</v>
      </c>
      <c r="AS171">
        <v>0</v>
      </c>
      <c r="AT171">
        <v>0</v>
      </c>
      <c r="AU171">
        <v>0</v>
      </c>
      <c r="AV171">
        <v>0</v>
      </c>
      <c r="AW171">
        <v>0</v>
      </c>
      <c r="AX171" s="141">
        <f>COUNTIF(V171:AW171,"&lt;&gt;0")</f>
        <v>2</v>
      </c>
      <c r="AY171" s="141">
        <f>COUNTIF(V171:AL171,"&lt;&gt;0")</f>
        <v>2</v>
      </c>
      <c r="AZ171">
        <f>COUNTIF(V171:AC171,"&lt;&gt;0")</f>
        <v>0</v>
      </c>
      <c r="BA171">
        <f>COUNTIF(AD171:AI171,"&lt;&gt;0")</f>
        <v>1</v>
      </c>
      <c r="BB171">
        <f>COUNTIF(AJ171:AL171,"&lt;&gt;0")</f>
        <v>1</v>
      </c>
      <c r="BC171">
        <f>COUNTIF(AS171:AW171,"&lt;&gt;0")</f>
        <v>0</v>
      </c>
      <c r="BD171">
        <f>COUNTIF(AM171:AR171,"&lt;&gt;0")</f>
        <v>0</v>
      </c>
      <c r="BE171" t="str" cm="1">
        <f t="array" ref="BE171">IF(AY171=1,INDEX($V$7:$AL$7,MATCH(TRUE,INDEX($V171:$AW171&lt;&gt;0,),0)),IF(AY171=0,INDEX($AM$7:$AW$7,MATCH(1,$AM171:$AW171,0)),IF(BF171="Multiple strategies","mixed drivers",IF(BF171="Supply chain","multiple supply","multiple silviculture"))))</f>
        <v>mixed drivers</v>
      </c>
      <c r="BF171" s="2" t="str" cm="1">
        <f t="array" ref="BF171">IF(COUNTIF(AZ171:BB171,"&lt;&gt;0")=1,INDEX($V$4:$AW$4,MATCH(TRUE,INDEX($V171:$AW171&lt;&gt;0,),0)),IF(COUNTIF(AZ171:BB171,"&lt;&gt;0")=0,INDEX($AM$4:$AW$4,MATCH(1,$AM171:$AW171,0)),"Multiple strategies"))</f>
        <v>Multiple strategies</v>
      </c>
      <c r="BG171" s="142" t="s">
        <v>322</v>
      </c>
      <c r="BH171" s="160" t="s">
        <v>1459</v>
      </c>
      <c r="BI171" s="160" t="s">
        <v>1460</v>
      </c>
      <c r="BJ171" s="143" t="s">
        <v>499</v>
      </c>
      <c r="BK171" s="143">
        <v>944</v>
      </c>
      <c r="BL171" s="143">
        <v>4500</v>
      </c>
      <c r="BM171">
        <f>IFERROR(BL173/BK171,"")</f>
        <v>5.1239406779661021</v>
      </c>
      <c r="BN171">
        <f>BL171-BK171</f>
        <v>3556</v>
      </c>
      <c r="BO171" s="159">
        <f>BN171</f>
        <v>3556</v>
      </c>
      <c r="BP171" s="155" t="s">
        <v>233</v>
      </c>
      <c r="BQ171" s="313" t="s">
        <v>1461</v>
      </c>
      <c r="BR171" s="155" t="s">
        <v>827</v>
      </c>
      <c r="BS171" s="143" t="s">
        <v>1465</v>
      </c>
      <c r="BT171" t="s">
        <v>1495</v>
      </c>
      <c r="BU171" s="144">
        <f>BT171/BS171</f>
        <v>3.6235173984666837</v>
      </c>
      <c r="BV171">
        <f>BT171-BS171</f>
        <v>-18.130190833333302</v>
      </c>
      <c r="BW171"/>
      <c r="BX171">
        <f>BV171</f>
        <v>-18.130190833333302</v>
      </c>
      <c r="BY171">
        <f>IFERROR(BX171/BO171,"")</f>
        <v>-5.0984788620172389E-3</v>
      </c>
      <c r="BZ171">
        <v>0</v>
      </c>
      <c r="CA171">
        <v>0</v>
      </c>
      <c r="CB171">
        <v>0</v>
      </c>
      <c r="CC171">
        <v>0</v>
      </c>
      <c r="CD171">
        <v>0</v>
      </c>
      <c r="CE171">
        <v>0</v>
      </c>
      <c r="CF171">
        <v>0</v>
      </c>
      <c r="CG171">
        <v>0</v>
      </c>
      <c r="CH171">
        <v>0</v>
      </c>
      <c r="CI171">
        <v>0</v>
      </c>
      <c r="CJ171">
        <v>0</v>
      </c>
      <c r="CK171">
        <v>0</v>
      </c>
      <c r="CL171">
        <v>0</v>
      </c>
      <c r="CM171">
        <v>0</v>
      </c>
      <c r="CN171" t="str">
        <f>IF($BL171&lt;$BK171,"refNeedCorrection","refOK")</f>
        <v>refOK</v>
      </c>
      <c r="CO171">
        <f>IF($CN171="refOK",$BK171,$BL171)</f>
        <v>944</v>
      </c>
      <c r="CP171">
        <f>IF($CN171="refOK",$BL171,$BK171)</f>
        <v>4500</v>
      </c>
      <c r="CQ171">
        <f>IF($CN171="refOK",$BO171,-$BO171)</f>
        <v>3556</v>
      </c>
      <c r="CR171">
        <f>IF($CN171="refOK",$BS171,$BT171)*IF($BP171="Emissions positive",-1,1)</f>
        <v>-6.9106424999999998</v>
      </c>
      <c r="CS171">
        <f>IF($CN171="refOK",$BT171,$BS171)*IF($BP171="Emissions positive",-1,1)</f>
        <v>-25.0408333333333</v>
      </c>
      <c r="CT171">
        <f>IF($CN171="refNeedCorrection",-BX171,BX171)*IF($BP171="Emissions positive",-1,1)</f>
        <v>-18.130190833333302</v>
      </c>
      <c r="CU171">
        <f>IFERROR(CT171/CQ171,"")</f>
        <v>-5.0984788620172389E-3</v>
      </c>
      <c r="CV171" s="2">
        <f>IFERROR((CS171-CR171)/ABS(CR171),"")</f>
        <v>-2.6235173984666842</v>
      </c>
      <c r="CW171" s="265" t="s">
        <v>1464</v>
      </c>
      <c r="CX171" s="266" t="str">
        <f>IF(OR($CW171="prd",$CW171="std",$CW171="cit"),"loc",IF(OR($CW171="eur",$CW171="reg",$CW171="coy"),"reg",$CW171))</f>
        <v>reg</v>
      </c>
      <c r="CY171" s="272" t="s">
        <v>745</v>
      </c>
      <c r="CZ171"/>
      <c r="DA171" s="143"/>
      <c r="DB171" s="143">
        <v>0</v>
      </c>
      <c r="DC171" t="str">
        <f>IF(DB171=0,"0",IF(AND(DB171&gt;=1,DB171&lt;=30),"1-30",IF(AND(DB171&gt;30,DB171&lt;=70),"31-70",IF(AND(DB171&gt;70,DB171&lt;=100),"71-100",IF(DB171&gt;100,"+100")))))</f>
        <v>0</v>
      </c>
      <c r="DD171">
        <v>0</v>
      </c>
      <c r="DE171">
        <v>1</v>
      </c>
      <c r="DF171">
        <v>0</v>
      </c>
      <c r="DG171">
        <v>0</v>
      </c>
      <c r="DH171">
        <v>0</v>
      </c>
      <c r="DI171">
        <f>SUM(DD171:DH171)</f>
        <v>1</v>
      </c>
      <c r="DJ171" t="str">
        <f>IF(DI171=1,INDEX($DD$7:$DG$7,MATCH(1,$DD171:$DG171,0)),"mixedProduct")</f>
        <v>EnergyInput</v>
      </c>
      <c r="DK171">
        <f>IF(DD171=1,DK$7,0)</f>
        <v>0</v>
      </c>
      <c r="DL171" t="str">
        <f>IF(DE171=1,DL$7,0)</f>
        <v>Energy</v>
      </c>
      <c r="DM171">
        <f>IF(DF171=1,DM$7,0)</f>
        <v>0</v>
      </c>
      <c r="DN171">
        <f>IF(DG171=1,DN$7,0)</f>
        <v>0</v>
      </c>
      <c r="DO171">
        <v>0</v>
      </c>
      <c r="DP171" s="143">
        <v>0</v>
      </c>
      <c r="DQ171" s="143">
        <v>0</v>
      </c>
      <c r="DR171">
        <v>0</v>
      </c>
      <c r="DS171" s="143">
        <v>0</v>
      </c>
      <c r="DT171">
        <f>SUM(DO171:DP171)</f>
        <v>0</v>
      </c>
      <c r="DU171" s="143" t="str">
        <f>IF(DO171=1,"self-calculated DF",IF(DP171=1,"external DF used","explicit C balance"))</f>
        <v>explicit C balance</v>
      </c>
      <c r="DV171" s="143">
        <v>0</v>
      </c>
      <c r="DW171" s="143">
        <v>0</v>
      </c>
      <c r="DX171" s="143">
        <v>0</v>
      </c>
      <c r="DY171" s="143">
        <v>0</v>
      </c>
      <c r="DZ171">
        <v>0</v>
      </c>
      <c r="EA171" s="143">
        <v>0</v>
      </c>
      <c r="EB171" s="143">
        <v>0</v>
      </c>
      <c r="EC171" s="143">
        <v>1</v>
      </c>
      <c r="ED171" s="143">
        <v>0</v>
      </c>
      <c r="EE171">
        <v>1</v>
      </c>
      <c r="EF171">
        <v>0</v>
      </c>
      <c r="EG171" s="143">
        <v>0</v>
      </c>
      <c r="EH171" s="143">
        <v>0</v>
      </c>
      <c r="EI171" s="2">
        <v>0</v>
      </c>
      <c r="EJ171" s="1"/>
      <c r="EK171" t="str">
        <f>IF(AND(AND(AND(OR($DX171=1,$DW171=1),OR($EC171=1,$EA171=1)),SUM($DV171:$DZ171,$EF171)&gt;=4),SUM($EA171:$EE171)&gt;=2),"Whole sector","")</f>
        <v/>
      </c>
      <c r="EL171" t="str">
        <f>IF(AND(AND(OR($DX171=1,$DW171=1),AND($EC171=0,$EA171=0)),SUM($DV171:$DZ171,$EF171)&gt;=4),"Ecosystem approach","")</f>
        <v/>
      </c>
      <c r="EM171" s="2" t="str">
        <f>IF(AND(AND(AND($DX171=0,$DW171=0),OR($EC171=1,$EA171=1)),SUM($EB171:$EE171)&gt;=2),"Technology approach","")</f>
        <v>Technology approach</v>
      </c>
      <c r="EN171"/>
      <c r="EO171"/>
      <c r="EP171" t="str">
        <f>IF(ISNUMBER(BU171),IF(ABS(BU171-[1]QC_indicators!$B$2)&gt;3*[1]QC_indicators!$C$2,"C ratio",IF(ISNUMBER(BY171),IF(ABS(BY171-[1]QC_indicators!$B$1)&gt;3*[1]QC_indicators!$C$1,"DF","no"))),IF(ISNUMBER(BY171),IF(ABS(BY171-[1]QC_indicators!$B$1)&gt;3*[1]QC_indicators!$C$1,"DF","no")))</f>
        <v>no</v>
      </c>
      <c r="EQ171"/>
      <c r="ER171" s="149"/>
      <c r="ES171"/>
      <c r="ET171" s="266" t="s">
        <v>3409</v>
      </c>
      <c r="EU171"/>
    </row>
    <row r="172" spans="1:151" s="139" customFormat="1" ht="15" hidden="1" customHeight="1">
      <c r="A172" s="1" t="s">
        <v>588</v>
      </c>
      <c r="B172" t="s">
        <v>1450</v>
      </c>
      <c r="C172" t="s">
        <v>1451</v>
      </c>
      <c r="D172" t="s">
        <v>1452</v>
      </c>
      <c r="E172" t="s">
        <v>1453</v>
      </c>
      <c r="F172" t="s">
        <v>1454</v>
      </c>
      <c r="G172" t="s">
        <v>594</v>
      </c>
      <c r="H172" t="s">
        <v>255</v>
      </c>
      <c r="I172">
        <v>2020</v>
      </c>
      <c r="J172">
        <v>12</v>
      </c>
      <c r="K172" t="s">
        <v>1455</v>
      </c>
      <c r="L172"/>
      <c r="M172" t="str">
        <f>LEFT($D172,FIND(",",$D172)-1)&amp;"_"&amp;I172&amp;L172</f>
        <v>Elisa_2020</v>
      </c>
      <c r="N172" s="266" t="s">
        <v>223</v>
      </c>
      <c r="O172" s="171" t="s">
        <v>275</v>
      </c>
      <c r="P172" t="s">
        <v>224</v>
      </c>
      <c r="Q172" s="266" t="s">
        <v>390</v>
      </c>
      <c r="R172" s="271" t="s">
        <v>1156</v>
      </c>
      <c r="S172" s="154" t="s">
        <v>1456</v>
      </c>
      <c r="T172" s="296" t="s">
        <v>1457</v>
      </c>
      <c r="U172" s="143" t="s">
        <v>1496</v>
      </c>
      <c r="V172">
        <v>0</v>
      </c>
      <c r="W172">
        <v>0</v>
      </c>
      <c r="X172">
        <v>0</v>
      </c>
      <c r="Y172">
        <v>0</v>
      </c>
      <c r="Z172">
        <v>0</v>
      </c>
      <c r="AA172">
        <v>0</v>
      </c>
      <c r="AB172">
        <v>0</v>
      </c>
      <c r="AC172">
        <v>0</v>
      </c>
      <c r="AD172">
        <v>0</v>
      </c>
      <c r="AE172">
        <v>1</v>
      </c>
      <c r="AF172">
        <v>0</v>
      </c>
      <c r="AG172">
        <v>0</v>
      </c>
      <c r="AH172">
        <v>0</v>
      </c>
      <c r="AI172">
        <v>0</v>
      </c>
      <c r="AJ172">
        <v>0</v>
      </c>
      <c r="AK172">
        <v>1</v>
      </c>
      <c r="AL172">
        <v>0</v>
      </c>
      <c r="AM172">
        <v>0</v>
      </c>
      <c r="AN172">
        <v>0</v>
      </c>
      <c r="AO172">
        <v>0</v>
      </c>
      <c r="AP172">
        <v>0</v>
      </c>
      <c r="AQ172">
        <v>0</v>
      </c>
      <c r="AR172">
        <v>0</v>
      </c>
      <c r="AS172">
        <v>0</v>
      </c>
      <c r="AT172">
        <v>0</v>
      </c>
      <c r="AU172">
        <v>0</v>
      </c>
      <c r="AV172">
        <v>0</v>
      </c>
      <c r="AW172">
        <v>0</v>
      </c>
      <c r="AX172" s="141">
        <f>COUNTIF(V172:AW172,"&lt;&gt;0")</f>
        <v>2</v>
      </c>
      <c r="AY172" s="141">
        <f>COUNTIF(V172:AL172,"&lt;&gt;0")</f>
        <v>2</v>
      </c>
      <c r="AZ172">
        <f>COUNTIF(V172:AC172,"&lt;&gt;0")</f>
        <v>0</v>
      </c>
      <c r="BA172">
        <f>COUNTIF(AD172:AI172,"&lt;&gt;0")</f>
        <v>1</v>
      </c>
      <c r="BB172">
        <f>COUNTIF(AJ172:AL172,"&lt;&gt;0")</f>
        <v>1</v>
      </c>
      <c r="BC172">
        <f>COUNTIF(AS172:AW172,"&lt;&gt;0")</f>
        <v>0</v>
      </c>
      <c r="BD172">
        <f>COUNTIF(AM172:AR172,"&lt;&gt;0")</f>
        <v>0</v>
      </c>
      <c r="BE172" t="str" cm="1">
        <f t="array" ref="BE172">IF(AY172=1,INDEX($V$7:$AL$7,MATCH(TRUE,INDEX($V172:$AW172&lt;&gt;0,),0)),IF(AY172=0,INDEX($AM$7:$AW$7,MATCH(1,$AM172:$AW172,0)),IF(BF172="Multiple strategies","mixed drivers",IF(BF172="Supply chain","multiple supply","multiple silviculture"))))</f>
        <v>mixed drivers</v>
      </c>
      <c r="BF172" s="2" t="str" cm="1">
        <f t="array" ref="BF172">IF(COUNTIF(AZ172:BB172,"&lt;&gt;0")=1,INDEX($V$4:$AW$4,MATCH(TRUE,INDEX($V172:$AW172&lt;&gt;0,),0)),IF(COUNTIF(AZ172:BB172,"&lt;&gt;0")=0,INDEX($AM$4:$AW$4,MATCH(1,$AM172:$AW172,0)),"Multiple strategies"))</f>
        <v>Multiple strategies</v>
      </c>
      <c r="BG172" s="142" t="s">
        <v>322</v>
      </c>
      <c r="BH172" s="160" t="s">
        <v>1459</v>
      </c>
      <c r="BI172" s="160" t="s">
        <v>1460</v>
      </c>
      <c r="BJ172" s="143" t="s">
        <v>499</v>
      </c>
      <c r="BK172" s="143">
        <v>944</v>
      </c>
      <c r="BL172" s="143">
        <v>20000</v>
      </c>
      <c r="BM172">
        <f>IFERROR(BL172/BK172,"")</f>
        <v>21.1864406779661</v>
      </c>
      <c r="BN172">
        <f>BL172-BK172</f>
        <v>19056</v>
      </c>
      <c r="BO172" s="159">
        <f>BN172</f>
        <v>19056</v>
      </c>
      <c r="BP172" s="155" t="s">
        <v>233</v>
      </c>
      <c r="BQ172" s="313" t="s">
        <v>1461</v>
      </c>
      <c r="BR172" s="155" t="s">
        <v>827</v>
      </c>
      <c r="BS172" s="143" t="s">
        <v>1462</v>
      </c>
      <c r="BT172" t="s">
        <v>1497</v>
      </c>
      <c r="BU172" s="144">
        <f>BT172/BS172</f>
        <v>14.458917698846307</v>
      </c>
      <c r="BV172">
        <f>BT172-BS172</f>
        <v>-94.456265833332992</v>
      </c>
      <c r="BW172"/>
      <c r="BX172">
        <f>BV172</f>
        <v>-94.456265833332992</v>
      </c>
      <c r="BY172">
        <f>IFERROR(BX172/BO172,"")</f>
        <v>-4.95677297614048E-3</v>
      </c>
      <c r="BZ172">
        <v>0</v>
      </c>
      <c r="CA172">
        <v>0</v>
      </c>
      <c r="CB172">
        <v>0</v>
      </c>
      <c r="CC172">
        <v>0</v>
      </c>
      <c r="CD172">
        <v>0</v>
      </c>
      <c r="CE172">
        <v>0</v>
      </c>
      <c r="CF172">
        <v>0</v>
      </c>
      <c r="CG172">
        <v>0</v>
      </c>
      <c r="CH172">
        <v>0</v>
      </c>
      <c r="CI172">
        <v>0</v>
      </c>
      <c r="CJ172">
        <v>0</v>
      </c>
      <c r="CK172">
        <v>0</v>
      </c>
      <c r="CL172">
        <v>0</v>
      </c>
      <c r="CM172">
        <v>0</v>
      </c>
      <c r="CN172" t="str">
        <f>IF($BL172&lt;$BK172,"refNeedCorrection","refOK")</f>
        <v>refOK</v>
      </c>
      <c r="CO172">
        <f>IF($CN172="refOK",$BK172,$BL172)</f>
        <v>944</v>
      </c>
      <c r="CP172">
        <f>IF($CN172="refOK",$BL172,$BK172)</f>
        <v>20000</v>
      </c>
      <c r="CQ172">
        <f>IF($CN172="refOK",$BO172,-$BO172)</f>
        <v>19056</v>
      </c>
      <c r="CR172">
        <f>IF($CN172="refOK",$BS172,$BT172)*IF($BP172="Emissions positive",-1,1)</f>
        <v>-7.0181174999999998</v>
      </c>
      <c r="CS172">
        <f>IF($CN172="refOK",$BT172,$BS172)*IF($BP172="Emissions positive",-1,1)</f>
        <v>-101.47438333333299</v>
      </c>
      <c r="CT172">
        <f>IF($CN172="refNeedCorrection",-BX172,BX172)*IF($BP172="Emissions positive",-1,1)</f>
        <v>-94.456265833332992</v>
      </c>
      <c r="CU172">
        <f>IFERROR(CT172/CQ172,"")</f>
        <v>-4.95677297614048E-3</v>
      </c>
      <c r="CV172" s="2">
        <f>IFERROR((CS172-CR172)/ABS(CR172),"")</f>
        <v>-13.458917698846307</v>
      </c>
      <c r="CW172" s="265" t="s">
        <v>1464</v>
      </c>
      <c r="CX172" s="266" t="str">
        <f>IF(OR($CW172="prd",$CW172="std",$CW172="cit"),"loc",IF(OR($CW172="eur",$CW172="reg",$CW172="coy"),"reg",$CW172))</f>
        <v>reg</v>
      </c>
      <c r="CY172" s="272" t="s">
        <v>745</v>
      </c>
      <c r="CZ172"/>
      <c r="DA172" s="143"/>
      <c r="DB172" s="143">
        <v>0</v>
      </c>
      <c r="DC172" t="str">
        <f>IF(DB172=0,"0",IF(AND(DB172&gt;=1,DB172&lt;=30),"1-30",IF(AND(DB172&gt;30,DB172&lt;=70),"31-70",IF(AND(DB172&gt;70,DB172&lt;=100),"71-100",IF(DB172&gt;100,"+100")))))</f>
        <v>0</v>
      </c>
      <c r="DD172">
        <v>0</v>
      </c>
      <c r="DE172">
        <v>1</v>
      </c>
      <c r="DF172">
        <v>0</v>
      </c>
      <c r="DG172">
        <v>0</v>
      </c>
      <c r="DH172">
        <v>0</v>
      </c>
      <c r="DI172">
        <f>SUM(DD172:DH172)</f>
        <v>1</v>
      </c>
      <c r="DJ172" t="str">
        <f>IF(DI172=1,INDEX($DD$7:$DG$7,MATCH(1,$DD172:$DG172,0)),"mixedProduct")</f>
        <v>EnergyInput</v>
      </c>
      <c r="DK172">
        <f>IF(DD172=1,DK$7,0)</f>
        <v>0</v>
      </c>
      <c r="DL172" t="str">
        <f>IF(DE172=1,DL$7,0)</f>
        <v>Energy</v>
      </c>
      <c r="DM172">
        <f>IF(DF172=1,DM$7,0)</f>
        <v>0</v>
      </c>
      <c r="DN172">
        <f>IF(DG172=1,DN$7,0)</f>
        <v>0</v>
      </c>
      <c r="DO172">
        <v>0</v>
      </c>
      <c r="DP172" s="143">
        <v>0</v>
      </c>
      <c r="DQ172" s="143">
        <v>0</v>
      </c>
      <c r="DR172">
        <v>0</v>
      </c>
      <c r="DS172" s="143">
        <v>0</v>
      </c>
      <c r="DT172">
        <f>SUM(DO172:DP172)</f>
        <v>0</v>
      </c>
      <c r="DU172" s="143" t="str">
        <f>IF(DO172=1,"self-calculated DF",IF(DP172=1,"external DF used","explicit C balance"))</f>
        <v>explicit C balance</v>
      </c>
      <c r="DV172" s="143">
        <v>0</v>
      </c>
      <c r="DW172" s="143">
        <v>0</v>
      </c>
      <c r="DX172" s="143">
        <v>0</v>
      </c>
      <c r="DY172" s="143">
        <v>0</v>
      </c>
      <c r="DZ172">
        <v>0</v>
      </c>
      <c r="EA172" s="143">
        <v>0</v>
      </c>
      <c r="EB172" s="143">
        <v>1</v>
      </c>
      <c r="EC172" s="143">
        <v>1</v>
      </c>
      <c r="ED172" s="143">
        <v>0</v>
      </c>
      <c r="EE172">
        <v>1</v>
      </c>
      <c r="EF172">
        <v>0</v>
      </c>
      <c r="EG172" s="143">
        <v>0</v>
      </c>
      <c r="EH172" s="143">
        <v>0</v>
      </c>
      <c r="EI172" s="2">
        <v>0</v>
      </c>
      <c r="EJ172" s="1"/>
      <c r="EK172" t="str">
        <f>IF(AND(AND(AND(OR($DX172=1,$DW172=1),OR($EC172=1,$EA172=1)),SUM($DV172:$DZ172,$EF172)&gt;=4),SUM($EA172:$EE172)&gt;=2),"Whole sector","")</f>
        <v/>
      </c>
      <c r="EL172" t="str">
        <f>IF(AND(AND(OR($DX172=1,$DW172=1),AND($EC172=0,$EA172=0)),SUM($DV172:$DZ172,$EF172)&gt;=4),"Ecosystem approach","")</f>
        <v/>
      </c>
      <c r="EM172" s="2" t="str">
        <f>IF(AND(AND(AND($DX172=0,$DW172=0),OR($EC172=1,$EA172=1)),SUM($EB172:$EE172)&gt;=2),"Technology approach","")</f>
        <v>Technology approach</v>
      </c>
      <c r="EN172"/>
      <c r="EO172"/>
      <c r="EP172" t="str">
        <f>IF(ISNUMBER(BU172),IF(ABS(BU172-[1]QC_indicators!$B$2)&gt;3*[1]QC_indicators!$C$2,"C ratio",IF(ISNUMBER(BY172),IF(ABS(BY172-[1]QC_indicators!$B$1)&gt;3*[1]QC_indicators!$C$1,"DF","no"))),IF(ISNUMBER(BY172),IF(ABS(BY172-[1]QC_indicators!$B$1)&gt;3*[1]QC_indicators!$C$1,"DF","no")))</f>
        <v>no</v>
      </c>
      <c r="EQ172"/>
      <c r="ER172" s="149"/>
      <c r="ES172"/>
      <c r="ET172" s="266" t="s">
        <v>3409</v>
      </c>
      <c r="EU172"/>
    </row>
    <row r="173" spans="1:151" s="139" customFormat="1" ht="15" hidden="1" customHeight="1">
      <c r="A173" s="1" t="s">
        <v>588</v>
      </c>
      <c r="B173" t="s">
        <v>1450</v>
      </c>
      <c r="C173" t="s">
        <v>1451</v>
      </c>
      <c r="D173" t="s">
        <v>1452</v>
      </c>
      <c r="E173" t="s">
        <v>1453</v>
      </c>
      <c r="F173" t="s">
        <v>1454</v>
      </c>
      <c r="G173" t="s">
        <v>594</v>
      </c>
      <c r="H173" t="s">
        <v>255</v>
      </c>
      <c r="I173">
        <v>2020</v>
      </c>
      <c r="J173">
        <v>12</v>
      </c>
      <c r="K173" t="s">
        <v>1455</v>
      </c>
      <c r="L173"/>
      <c r="M173" t="str">
        <f>LEFT($D173,FIND(",",$D173)-1)&amp;"_"&amp;I173&amp;L173</f>
        <v>Elisa_2020</v>
      </c>
      <c r="N173" s="266" t="s">
        <v>223</v>
      </c>
      <c r="O173" s="171" t="s">
        <v>275</v>
      </c>
      <c r="P173" t="s">
        <v>224</v>
      </c>
      <c r="Q173" s="266" t="s">
        <v>390</v>
      </c>
      <c r="R173" s="271" t="s">
        <v>1156</v>
      </c>
      <c r="S173" s="154" t="s">
        <v>1456</v>
      </c>
      <c r="T173" s="296" t="s">
        <v>1457</v>
      </c>
      <c r="U173" s="143" t="s">
        <v>1498</v>
      </c>
      <c r="V173">
        <v>0</v>
      </c>
      <c r="W173">
        <v>0</v>
      </c>
      <c r="X173">
        <v>0</v>
      </c>
      <c r="Y173">
        <v>0</v>
      </c>
      <c r="Z173">
        <v>0</v>
      </c>
      <c r="AA173">
        <v>0</v>
      </c>
      <c r="AB173">
        <v>0</v>
      </c>
      <c r="AC173">
        <v>0</v>
      </c>
      <c r="AD173">
        <v>0</v>
      </c>
      <c r="AE173">
        <v>1</v>
      </c>
      <c r="AF173">
        <v>0</v>
      </c>
      <c r="AG173">
        <v>0</v>
      </c>
      <c r="AH173">
        <v>0</v>
      </c>
      <c r="AI173">
        <v>0</v>
      </c>
      <c r="AJ173">
        <v>0</v>
      </c>
      <c r="AK173">
        <v>1</v>
      </c>
      <c r="AL173">
        <v>0</v>
      </c>
      <c r="AM173">
        <v>0</v>
      </c>
      <c r="AN173">
        <v>0</v>
      </c>
      <c r="AO173">
        <v>0</v>
      </c>
      <c r="AP173">
        <v>0</v>
      </c>
      <c r="AQ173">
        <v>0</v>
      </c>
      <c r="AR173">
        <v>0</v>
      </c>
      <c r="AS173">
        <v>0</v>
      </c>
      <c r="AT173">
        <v>0</v>
      </c>
      <c r="AU173">
        <v>0</v>
      </c>
      <c r="AV173">
        <v>0</v>
      </c>
      <c r="AW173">
        <v>0</v>
      </c>
      <c r="AX173" s="141">
        <f>COUNTIF(V173:AW173,"&lt;&gt;0")</f>
        <v>2</v>
      </c>
      <c r="AY173" s="141">
        <f>COUNTIF(V173:AL173,"&lt;&gt;0")</f>
        <v>2</v>
      </c>
      <c r="AZ173">
        <f>COUNTIF(V173:AC173,"&lt;&gt;0")</f>
        <v>0</v>
      </c>
      <c r="BA173">
        <f>COUNTIF(AD173:AI173,"&lt;&gt;0")</f>
        <v>1</v>
      </c>
      <c r="BB173">
        <f>COUNTIF(AJ173:AL173,"&lt;&gt;0")</f>
        <v>1</v>
      </c>
      <c r="BC173">
        <f>COUNTIF(AS173:AW173,"&lt;&gt;0")</f>
        <v>0</v>
      </c>
      <c r="BD173">
        <f>COUNTIF(AM173:AR173,"&lt;&gt;0")</f>
        <v>0</v>
      </c>
      <c r="BE173" t="str" cm="1">
        <f t="array" ref="BE173">IF(AY173=1,INDEX($V$7:$AL$7,MATCH(TRUE,INDEX($V173:$AW173&lt;&gt;0,),0)),IF(AY173=0,INDEX($AM$7:$AW$7,MATCH(1,$AM173:$AW173,0)),IF(BF173="Multiple strategies","mixed drivers",IF(BF173="Supply chain","multiple supply","multiple silviculture"))))</f>
        <v>mixed drivers</v>
      </c>
      <c r="BF173" s="2" t="str" cm="1">
        <f t="array" ref="BF173">IF(COUNTIF(AZ173:BB173,"&lt;&gt;0")=1,INDEX($V$4:$AW$4,MATCH(TRUE,INDEX($V173:$AW173&lt;&gt;0,),0)),IF(COUNTIF(AZ173:BB173,"&lt;&gt;0")=0,INDEX($AM$4:$AW$4,MATCH(1,$AM173:$AW173,0)),"Multiple strategies"))</f>
        <v>Multiple strategies</v>
      </c>
      <c r="BG173" s="142" t="s">
        <v>322</v>
      </c>
      <c r="BH173" s="160" t="s">
        <v>1459</v>
      </c>
      <c r="BI173" s="160" t="s">
        <v>1460</v>
      </c>
      <c r="BJ173" s="143" t="s">
        <v>499</v>
      </c>
      <c r="BK173" s="143">
        <v>944</v>
      </c>
      <c r="BL173" s="143">
        <v>4837</v>
      </c>
      <c r="BM173">
        <f>IFERROR(BL173/BK173,"")</f>
        <v>5.1239406779661021</v>
      </c>
      <c r="BN173">
        <f>BL173-BK173</f>
        <v>3893</v>
      </c>
      <c r="BO173" s="159">
        <f>BN173</f>
        <v>3893</v>
      </c>
      <c r="BP173" s="155" t="s">
        <v>233</v>
      </c>
      <c r="BQ173" s="313" t="s">
        <v>1461</v>
      </c>
      <c r="BR173" s="155" t="s">
        <v>827</v>
      </c>
      <c r="BS173" s="143" t="s">
        <v>1462</v>
      </c>
      <c r="BT173" t="s">
        <v>1499</v>
      </c>
      <c r="BU173" s="144">
        <f>BT173/BS173</f>
        <v>3.6923663361293109</v>
      </c>
      <c r="BV173">
        <f>BT173-BS173</f>
        <v>-18.8953433</v>
      </c>
      <c r="BW173"/>
      <c r="BX173">
        <f>BV173</f>
        <v>-18.8953433</v>
      </c>
      <c r="BY173">
        <f>IFERROR(BX173/BO173,"")</f>
        <v>-4.8536715386591316E-3</v>
      </c>
      <c r="BZ173">
        <v>0</v>
      </c>
      <c r="CA173">
        <v>0</v>
      </c>
      <c r="CB173">
        <v>0</v>
      </c>
      <c r="CC173">
        <v>0</v>
      </c>
      <c r="CD173">
        <v>0</v>
      </c>
      <c r="CE173">
        <v>0</v>
      </c>
      <c r="CF173">
        <v>0</v>
      </c>
      <c r="CG173">
        <v>0</v>
      </c>
      <c r="CH173">
        <v>0</v>
      </c>
      <c r="CI173">
        <v>0</v>
      </c>
      <c r="CJ173">
        <v>0</v>
      </c>
      <c r="CK173">
        <v>0</v>
      </c>
      <c r="CL173">
        <v>0</v>
      </c>
      <c r="CM173">
        <v>0</v>
      </c>
      <c r="CN173" t="str">
        <f>IF($BL173&lt;$BK173,"refNeedCorrection","refOK")</f>
        <v>refOK</v>
      </c>
      <c r="CO173">
        <f>IF($CN173="refOK",$BK173,$BL173)</f>
        <v>944</v>
      </c>
      <c r="CP173">
        <f>IF($CN173="refOK",$BL173,$BK173)</f>
        <v>4837</v>
      </c>
      <c r="CQ173">
        <f>IF($CN173="refOK",$BO173,-$BO173)</f>
        <v>3893</v>
      </c>
      <c r="CR173">
        <f>IF($CN173="refOK",$BS173,$BT173)*IF($BP173="Emissions positive",-1,1)</f>
        <v>-7.0181174999999998</v>
      </c>
      <c r="CS173">
        <f>IF($CN173="refOK",$BT173,$BS173)*IF($BP173="Emissions positive",-1,1)</f>
        <v>-25.913460799999999</v>
      </c>
      <c r="CT173">
        <f>IF($CN173="refNeedCorrection",-BX173,BX173)*IF($BP173="Emissions positive",-1,1)</f>
        <v>-18.8953433</v>
      </c>
      <c r="CU173">
        <f>IFERROR(CT173/CQ173,"")</f>
        <v>-4.8536715386591316E-3</v>
      </c>
      <c r="CV173" s="2">
        <f>IFERROR((CS173-CR173)/ABS(CR173),"")</f>
        <v>-2.6923663361293113</v>
      </c>
      <c r="CW173" s="265" t="s">
        <v>1464</v>
      </c>
      <c r="CX173" s="266" t="str">
        <f>IF(OR($CW173="prd",$CW173="std",$CW173="cit"),"loc",IF(OR($CW173="eur",$CW173="reg",$CW173="coy"),"reg",$CW173))</f>
        <v>reg</v>
      </c>
      <c r="CY173" s="272" t="s">
        <v>745</v>
      </c>
      <c r="CZ173"/>
      <c r="DA173" s="143"/>
      <c r="DB173" s="143">
        <v>0</v>
      </c>
      <c r="DC173" t="str">
        <f>IF(DB173=0,"0",IF(AND(DB173&gt;=1,DB173&lt;=30),"1-30",IF(AND(DB173&gt;30,DB173&lt;=70),"31-70",IF(AND(DB173&gt;70,DB173&lt;=100),"71-100",IF(DB173&gt;100,"+100")))))</f>
        <v>0</v>
      </c>
      <c r="DD173">
        <v>0</v>
      </c>
      <c r="DE173">
        <v>1</v>
      </c>
      <c r="DF173">
        <v>0</v>
      </c>
      <c r="DG173">
        <v>0</v>
      </c>
      <c r="DH173">
        <v>0</v>
      </c>
      <c r="DI173">
        <f>SUM(DD173:DH173)</f>
        <v>1</v>
      </c>
      <c r="DJ173" t="str">
        <f>IF(DI173=1,INDEX($DD$7:$DG$7,MATCH(1,$DD173:$DG173,0)),"mixedProduct")</f>
        <v>EnergyInput</v>
      </c>
      <c r="DK173">
        <f>IF(DD173=1,DK$7,0)</f>
        <v>0</v>
      </c>
      <c r="DL173" t="str">
        <f>IF(DE173=1,DL$7,0)</f>
        <v>Energy</v>
      </c>
      <c r="DM173">
        <f>IF(DF173=1,DM$7,0)</f>
        <v>0</v>
      </c>
      <c r="DN173">
        <f>IF(DG173=1,DN$7,0)</f>
        <v>0</v>
      </c>
      <c r="DO173">
        <v>0</v>
      </c>
      <c r="DP173" s="143">
        <v>0</v>
      </c>
      <c r="DQ173" s="143">
        <v>0</v>
      </c>
      <c r="DR173">
        <v>0</v>
      </c>
      <c r="DS173" s="143">
        <v>0</v>
      </c>
      <c r="DT173">
        <f>SUM(DO173:DP173)</f>
        <v>0</v>
      </c>
      <c r="DU173" s="143" t="str">
        <f>IF(DO173=1,"self-calculated DF",IF(DP173=1,"external DF used","explicit C balance"))</f>
        <v>explicit C balance</v>
      </c>
      <c r="DV173" s="143">
        <v>0</v>
      </c>
      <c r="DW173" s="143">
        <v>0</v>
      </c>
      <c r="DX173" s="143">
        <v>0</v>
      </c>
      <c r="DY173" s="143">
        <v>0</v>
      </c>
      <c r="DZ173">
        <v>0</v>
      </c>
      <c r="EA173" s="143">
        <v>0</v>
      </c>
      <c r="EB173" s="143">
        <v>1</v>
      </c>
      <c r="EC173" s="143">
        <v>1</v>
      </c>
      <c r="ED173" s="143">
        <v>0</v>
      </c>
      <c r="EE173">
        <v>1</v>
      </c>
      <c r="EF173">
        <v>0</v>
      </c>
      <c r="EG173" s="143">
        <v>0</v>
      </c>
      <c r="EH173" s="143">
        <v>0</v>
      </c>
      <c r="EI173" s="2">
        <v>0</v>
      </c>
      <c r="EJ173" s="1"/>
      <c r="EK173" t="str">
        <f>IF(AND(AND(AND(OR($DX173=1,$DW173=1),OR($EC173=1,$EA173=1)),SUM($DV173:$DZ173,$EF173)&gt;=4),SUM($EA173:$EE173)&gt;=2),"Whole sector","")</f>
        <v/>
      </c>
      <c r="EL173" t="str">
        <f>IF(AND(AND(OR($DX173=1,$DW173=1),AND($EC173=0,$EA173=0)),SUM($DV173:$DZ173,$EF173)&gt;=4),"Ecosystem approach","")</f>
        <v/>
      </c>
      <c r="EM173" s="2" t="str">
        <f>IF(AND(AND(AND($DX173=0,$DW173=0),OR($EC173=1,$EA173=1)),SUM($EB173:$EE173)&gt;=2),"Technology approach","")</f>
        <v>Technology approach</v>
      </c>
      <c r="EN173"/>
      <c r="EO173"/>
      <c r="EP173" t="str">
        <f>IF(ISNUMBER(BU173),IF(ABS(BU173-[1]QC_indicators!$B$2)&gt;3*[1]QC_indicators!$C$2,"C ratio",IF(ISNUMBER(BY173),IF(ABS(BY173-[1]QC_indicators!$B$1)&gt;3*[1]QC_indicators!$C$1,"DF","no"))),IF(ISNUMBER(BY173),IF(ABS(BY173-[1]QC_indicators!$B$1)&gt;3*[1]QC_indicators!$C$1,"DF","no")))</f>
        <v>no</v>
      </c>
      <c r="EQ173"/>
      <c r="ER173" s="149"/>
      <c r="ES173"/>
      <c r="ET173" s="266" t="s">
        <v>3409</v>
      </c>
      <c r="EU173"/>
    </row>
    <row r="174" spans="1:151" s="139" customFormat="1" ht="15" hidden="1" customHeight="1">
      <c r="A174" s="1" t="s">
        <v>588</v>
      </c>
      <c r="B174" t="s">
        <v>1450</v>
      </c>
      <c r="C174" t="s">
        <v>1451</v>
      </c>
      <c r="D174" t="s">
        <v>1452</v>
      </c>
      <c r="E174" t="s">
        <v>1453</v>
      </c>
      <c r="F174" t="s">
        <v>1454</v>
      </c>
      <c r="G174" t="s">
        <v>594</v>
      </c>
      <c r="H174" t="s">
        <v>255</v>
      </c>
      <c r="I174">
        <v>2020</v>
      </c>
      <c r="J174">
        <v>12</v>
      </c>
      <c r="K174" t="s">
        <v>1455</v>
      </c>
      <c r="L174"/>
      <c r="M174" t="str">
        <f>LEFT($D174,FIND(",",$D174)-1)&amp;"_"&amp;I174&amp;L174</f>
        <v>Elisa_2020</v>
      </c>
      <c r="N174" s="266" t="s">
        <v>223</v>
      </c>
      <c r="O174" s="171" t="s">
        <v>275</v>
      </c>
      <c r="P174" t="s">
        <v>224</v>
      </c>
      <c r="Q174" s="266" t="s">
        <v>390</v>
      </c>
      <c r="R174" s="271" t="s">
        <v>1156</v>
      </c>
      <c r="S174" s="154" t="s">
        <v>1456</v>
      </c>
      <c r="T174" s="296" t="s">
        <v>1457</v>
      </c>
      <c r="U174" s="143" t="s">
        <v>1496</v>
      </c>
      <c r="V174">
        <v>0</v>
      </c>
      <c r="W174">
        <v>0</v>
      </c>
      <c r="X174">
        <v>0</v>
      </c>
      <c r="Y174">
        <v>0</v>
      </c>
      <c r="Z174">
        <v>0</v>
      </c>
      <c r="AA174">
        <v>0</v>
      </c>
      <c r="AB174">
        <v>0</v>
      </c>
      <c r="AC174">
        <v>0</v>
      </c>
      <c r="AD174">
        <v>0</v>
      </c>
      <c r="AE174">
        <v>1</v>
      </c>
      <c r="AF174">
        <v>0</v>
      </c>
      <c r="AG174">
        <v>0</v>
      </c>
      <c r="AH174">
        <v>0</v>
      </c>
      <c r="AI174">
        <v>0</v>
      </c>
      <c r="AJ174">
        <v>0</v>
      </c>
      <c r="AK174">
        <v>1</v>
      </c>
      <c r="AL174">
        <v>0</v>
      </c>
      <c r="AM174">
        <v>0</v>
      </c>
      <c r="AN174">
        <v>0</v>
      </c>
      <c r="AO174">
        <v>0</v>
      </c>
      <c r="AP174">
        <v>0</v>
      </c>
      <c r="AQ174">
        <v>0</v>
      </c>
      <c r="AR174">
        <v>0</v>
      </c>
      <c r="AS174">
        <v>0</v>
      </c>
      <c r="AT174">
        <v>0</v>
      </c>
      <c r="AU174">
        <v>0</v>
      </c>
      <c r="AV174">
        <v>0</v>
      </c>
      <c r="AW174">
        <v>0</v>
      </c>
      <c r="AX174" s="141">
        <f>COUNTIF(V174:AW174,"&lt;&gt;0")</f>
        <v>2</v>
      </c>
      <c r="AY174" s="141">
        <f>COUNTIF(V174:AL174,"&lt;&gt;0")</f>
        <v>2</v>
      </c>
      <c r="AZ174">
        <f>COUNTIF(V174:AC174,"&lt;&gt;0")</f>
        <v>0</v>
      </c>
      <c r="BA174">
        <f>COUNTIF(AD174:AI174,"&lt;&gt;0")</f>
        <v>1</v>
      </c>
      <c r="BB174">
        <f>COUNTIF(AJ174:AL174,"&lt;&gt;0")</f>
        <v>1</v>
      </c>
      <c r="BC174">
        <f>COUNTIF(AS174:AW174,"&lt;&gt;0")</f>
        <v>0</v>
      </c>
      <c r="BD174">
        <f>COUNTIF(AM174:AR174,"&lt;&gt;0")</f>
        <v>0</v>
      </c>
      <c r="BE174" t="str" cm="1">
        <f t="array" ref="BE174">IF(AY174=1,INDEX($V$7:$AL$7,MATCH(TRUE,INDEX($V174:$AW174&lt;&gt;0,),0)),IF(AY174=0,INDEX($AM$7:$AW$7,MATCH(1,$AM174:$AW174,0)),IF(BF174="Multiple strategies","mixed drivers",IF(BF174="Supply chain","multiple supply","multiple silviculture"))))</f>
        <v>mixed drivers</v>
      </c>
      <c r="BF174" s="2" t="str" cm="1">
        <f t="array" ref="BF174">IF(COUNTIF(AZ174:BB174,"&lt;&gt;0")=1,INDEX($V$4:$AW$4,MATCH(TRUE,INDEX($V174:$AW174&lt;&gt;0,),0)),IF(COUNTIF(AZ174:BB174,"&lt;&gt;0")=0,INDEX($AM$4:$AW$4,MATCH(1,$AM174:$AW174,0)),"Multiple strategies"))</f>
        <v>Multiple strategies</v>
      </c>
      <c r="BG174" s="142" t="s">
        <v>322</v>
      </c>
      <c r="BH174" s="160" t="s">
        <v>1459</v>
      </c>
      <c r="BI174" s="160" t="s">
        <v>1460</v>
      </c>
      <c r="BJ174" s="143" t="s">
        <v>499</v>
      </c>
      <c r="BK174" s="143">
        <v>944</v>
      </c>
      <c r="BL174" s="143">
        <v>20000</v>
      </c>
      <c r="BM174">
        <f>IFERROR(BL176/BK174,"")</f>
        <v>143.7415254237288</v>
      </c>
      <c r="BN174">
        <f>BL174-BK174</f>
        <v>19056</v>
      </c>
      <c r="BO174" s="159">
        <f>BN174</f>
        <v>19056</v>
      </c>
      <c r="BP174" s="155" t="s">
        <v>233</v>
      </c>
      <c r="BQ174" s="313" t="s">
        <v>1461</v>
      </c>
      <c r="BR174" s="155" t="s">
        <v>827</v>
      </c>
      <c r="BS174" s="143" t="s">
        <v>1465</v>
      </c>
      <c r="BT174" t="s">
        <v>1500</v>
      </c>
      <c r="BU174" s="144">
        <f>BT174/BS174</f>
        <v>14.351077583114263</v>
      </c>
      <c r="BV174">
        <f>BT174-BS174</f>
        <v>-92.264524166666703</v>
      </c>
      <c r="BW174"/>
      <c r="BX174">
        <f>BV174</f>
        <v>-92.264524166666703</v>
      </c>
      <c r="BY174">
        <f>IFERROR(BX174/BO174,"")</f>
        <v>-4.8417571456059356E-3</v>
      </c>
      <c r="BZ174">
        <v>0</v>
      </c>
      <c r="CA174">
        <v>0</v>
      </c>
      <c r="CB174">
        <v>0</v>
      </c>
      <c r="CC174">
        <v>0</v>
      </c>
      <c r="CD174">
        <v>0</v>
      </c>
      <c r="CE174">
        <v>0</v>
      </c>
      <c r="CF174">
        <v>0</v>
      </c>
      <c r="CG174">
        <v>0</v>
      </c>
      <c r="CH174">
        <v>0</v>
      </c>
      <c r="CI174">
        <v>0</v>
      </c>
      <c r="CJ174">
        <v>0</v>
      </c>
      <c r="CK174">
        <v>0</v>
      </c>
      <c r="CL174">
        <v>0</v>
      </c>
      <c r="CM174">
        <v>0</v>
      </c>
      <c r="CN174" t="str">
        <f>IF($BL174&lt;$BK174,"refNeedCorrection","refOK")</f>
        <v>refOK</v>
      </c>
      <c r="CO174">
        <f>IF($CN174="refOK",$BK174,$BL174)</f>
        <v>944</v>
      </c>
      <c r="CP174">
        <f>IF($CN174="refOK",$BL174,$BK174)</f>
        <v>20000</v>
      </c>
      <c r="CQ174">
        <f>IF($CN174="refOK",$BO174,-$BO174)</f>
        <v>19056</v>
      </c>
      <c r="CR174">
        <f>IF($CN174="refOK",$BS174,$BT174)*IF($BP174="Emissions positive",-1,1)</f>
        <v>-6.9106424999999998</v>
      </c>
      <c r="CS174">
        <f>IF($CN174="refOK",$BT174,$BS174)*IF($BP174="Emissions positive",-1,1)</f>
        <v>-99.175166666666698</v>
      </c>
      <c r="CT174">
        <f>IF($CN174="refNeedCorrection",-BX174,BX174)*IF($BP174="Emissions positive",-1,1)</f>
        <v>-92.264524166666703</v>
      </c>
      <c r="CU174">
        <f>IFERROR(CT174/CQ174,"")</f>
        <v>-4.8417571456059356E-3</v>
      </c>
      <c r="CV174" s="2">
        <f>IFERROR((CS174-CR174)/ABS(CR174),"")</f>
        <v>-13.351077583114263</v>
      </c>
      <c r="CW174" s="265" t="s">
        <v>1464</v>
      </c>
      <c r="CX174" s="266" t="str">
        <f>IF(OR($CW174="prd",$CW174="std",$CW174="cit"),"loc",IF(OR($CW174="eur",$CW174="reg",$CW174="coy"),"reg",$CW174))</f>
        <v>reg</v>
      </c>
      <c r="CY174" s="272" t="s">
        <v>745</v>
      </c>
      <c r="CZ174"/>
      <c r="DA174" s="143"/>
      <c r="DB174" s="143">
        <v>0</v>
      </c>
      <c r="DC174" t="str">
        <f>IF(DB174=0,"0",IF(AND(DB174&gt;=1,DB174&lt;=30),"1-30",IF(AND(DB174&gt;30,DB174&lt;=70),"31-70",IF(AND(DB174&gt;70,DB174&lt;=100),"71-100",IF(DB174&gt;100,"+100")))))</f>
        <v>0</v>
      </c>
      <c r="DD174">
        <v>0</v>
      </c>
      <c r="DE174">
        <v>1</v>
      </c>
      <c r="DF174">
        <v>0</v>
      </c>
      <c r="DG174">
        <v>0</v>
      </c>
      <c r="DH174">
        <v>0</v>
      </c>
      <c r="DI174">
        <f>SUM(DD174:DH174)</f>
        <v>1</v>
      </c>
      <c r="DJ174" t="str">
        <f>IF(DI174=1,INDEX($DD$7:$DG$7,MATCH(1,$DD174:$DG174,0)),"mixedProduct")</f>
        <v>EnergyInput</v>
      </c>
      <c r="DK174">
        <f>IF(DD174=1,DK$7,0)</f>
        <v>0</v>
      </c>
      <c r="DL174" t="str">
        <f>IF(DE174=1,DL$7,0)</f>
        <v>Energy</v>
      </c>
      <c r="DM174">
        <f>IF(DF174=1,DM$7,0)</f>
        <v>0</v>
      </c>
      <c r="DN174">
        <f>IF(DG174=1,DN$7,0)</f>
        <v>0</v>
      </c>
      <c r="DO174">
        <v>0</v>
      </c>
      <c r="DP174" s="143">
        <v>0</v>
      </c>
      <c r="DQ174" s="143">
        <v>0</v>
      </c>
      <c r="DR174">
        <v>0</v>
      </c>
      <c r="DS174" s="143">
        <v>0</v>
      </c>
      <c r="DT174">
        <f>SUM(DO174:DP174)</f>
        <v>0</v>
      </c>
      <c r="DU174" s="143" t="str">
        <f>IF(DO174=1,"self-calculated DF",IF(DP174=1,"external DF used","explicit C balance"))</f>
        <v>explicit C balance</v>
      </c>
      <c r="DV174" s="143">
        <v>0</v>
      </c>
      <c r="DW174" s="143">
        <v>0</v>
      </c>
      <c r="DX174" s="143">
        <v>0</v>
      </c>
      <c r="DY174" s="143">
        <v>0</v>
      </c>
      <c r="DZ174">
        <v>0</v>
      </c>
      <c r="EA174" s="143">
        <v>0</v>
      </c>
      <c r="EB174" s="143">
        <v>0</v>
      </c>
      <c r="EC174" s="143">
        <v>1</v>
      </c>
      <c r="ED174" s="143">
        <v>0</v>
      </c>
      <c r="EE174">
        <v>1</v>
      </c>
      <c r="EF174">
        <v>0</v>
      </c>
      <c r="EG174" s="143">
        <v>0</v>
      </c>
      <c r="EH174" s="143">
        <v>0</v>
      </c>
      <c r="EI174" s="2">
        <v>0</v>
      </c>
      <c r="EJ174" s="1"/>
      <c r="EK174" t="str">
        <f>IF(AND(AND(AND(OR($DX174=1,$DW174=1),OR($EC174=1,$EA174=1)),SUM($DV174:$DZ174,$EF174)&gt;=4),SUM($EA174:$EE174)&gt;=2),"Whole sector","")</f>
        <v/>
      </c>
      <c r="EL174" t="str">
        <f>IF(AND(AND(OR($DX174=1,$DW174=1),AND($EC174=0,$EA174=0)),SUM($DV174:$DZ174,$EF174)&gt;=4),"Ecosystem approach","")</f>
        <v/>
      </c>
      <c r="EM174" s="2" t="str">
        <f>IF(AND(AND(AND($DX174=0,$DW174=0),OR($EC174=1,$EA174=1)),SUM($EB174:$EE174)&gt;=2),"Technology approach","")</f>
        <v>Technology approach</v>
      </c>
      <c r="EN174"/>
      <c r="EO174"/>
      <c r="EP174" t="str">
        <f>IF(ISNUMBER(BU174),IF(ABS(BU174-[1]QC_indicators!$B$2)&gt;3*[1]QC_indicators!$C$2,"C ratio",IF(ISNUMBER(BY174),IF(ABS(BY174-[1]QC_indicators!$B$1)&gt;3*[1]QC_indicators!$C$1,"DF","no"))),IF(ISNUMBER(BY174),IF(ABS(BY174-[1]QC_indicators!$B$1)&gt;3*[1]QC_indicators!$C$1,"DF","no")))</f>
        <v>no</v>
      </c>
      <c r="EQ174"/>
      <c r="ER174" s="149"/>
      <c r="ES174"/>
      <c r="ET174" s="266" t="s">
        <v>3409</v>
      </c>
      <c r="EU174"/>
    </row>
    <row r="175" spans="1:151" s="139" customFormat="1" ht="15" hidden="1" customHeight="1">
      <c r="A175" s="1" t="s">
        <v>588</v>
      </c>
      <c r="B175" t="s">
        <v>1450</v>
      </c>
      <c r="C175" t="s">
        <v>1451</v>
      </c>
      <c r="D175" t="s">
        <v>1452</v>
      </c>
      <c r="E175" t="s">
        <v>1453</v>
      </c>
      <c r="F175" t="s">
        <v>1454</v>
      </c>
      <c r="G175" t="s">
        <v>594</v>
      </c>
      <c r="H175" t="s">
        <v>255</v>
      </c>
      <c r="I175">
        <v>2020</v>
      </c>
      <c r="J175">
        <v>12</v>
      </c>
      <c r="K175" t="s">
        <v>1455</v>
      </c>
      <c r="L175"/>
      <c r="M175" t="str">
        <f>LEFT($D175,FIND(",",$D175)-1)&amp;"_"&amp;I175&amp;L175</f>
        <v>Elisa_2020</v>
      </c>
      <c r="N175" s="266" t="s">
        <v>223</v>
      </c>
      <c r="O175" s="171" t="s">
        <v>275</v>
      </c>
      <c r="P175" t="s">
        <v>224</v>
      </c>
      <c r="Q175" s="266" t="s">
        <v>390</v>
      </c>
      <c r="R175" s="271" t="s">
        <v>1156</v>
      </c>
      <c r="S175" s="154" t="s">
        <v>1456</v>
      </c>
      <c r="T175" s="296" t="s">
        <v>1457</v>
      </c>
      <c r="U175" s="143" t="s">
        <v>1498</v>
      </c>
      <c r="V175">
        <v>0</v>
      </c>
      <c r="W175">
        <v>0</v>
      </c>
      <c r="X175">
        <v>0</v>
      </c>
      <c r="Y175">
        <v>0</v>
      </c>
      <c r="Z175">
        <v>0</v>
      </c>
      <c r="AA175">
        <v>0</v>
      </c>
      <c r="AB175">
        <v>0</v>
      </c>
      <c r="AC175">
        <v>0</v>
      </c>
      <c r="AD175">
        <v>0</v>
      </c>
      <c r="AE175">
        <v>1</v>
      </c>
      <c r="AF175">
        <v>0</v>
      </c>
      <c r="AG175">
        <v>0</v>
      </c>
      <c r="AH175">
        <v>0</v>
      </c>
      <c r="AI175">
        <v>0</v>
      </c>
      <c r="AJ175">
        <v>0</v>
      </c>
      <c r="AK175">
        <v>1</v>
      </c>
      <c r="AL175">
        <v>0</v>
      </c>
      <c r="AM175">
        <v>0</v>
      </c>
      <c r="AN175">
        <v>0</v>
      </c>
      <c r="AO175">
        <v>0</v>
      </c>
      <c r="AP175">
        <v>0</v>
      </c>
      <c r="AQ175">
        <v>0</v>
      </c>
      <c r="AR175">
        <v>0</v>
      </c>
      <c r="AS175">
        <v>0</v>
      </c>
      <c r="AT175">
        <v>0</v>
      </c>
      <c r="AU175">
        <v>0</v>
      </c>
      <c r="AV175">
        <v>0</v>
      </c>
      <c r="AW175">
        <v>0</v>
      </c>
      <c r="AX175" s="141">
        <f>COUNTIF(V175:AW175,"&lt;&gt;0")</f>
        <v>2</v>
      </c>
      <c r="AY175" s="141">
        <f>COUNTIF(V175:AL175,"&lt;&gt;0")</f>
        <v>2</v>
      </c>
      <c r="AZ175">
        <f>COUNTIF(V175:AC175,"&lt;&gt;0")</f>
        <v>0</v>
      </c>
      <c r="BA175">
        <f>COUNTIF(AD175:AI175,"&lt;&gt;0")</f>
        <v>1</v>
      </c>
      <c r="BB175">
        <f>COUNTIF(AJ175:AL175,"&lt;&gt;0")</f>
        <v>1</v>
      </c>
      <c r="BC175">
        <f>COUNTIF(AS175:AW175,"&lt;&gt;0")</f>
        <v>0</v>
      </c>
      <c r="BD175">
        <f>COUNTIF(AM175:AR175,"&lt;&gt;0")</f>
        <v>0</v>
      </c>
      <c r="BE175" t="str" cm="1">
        <f t="array" ref="BE175">IF(AY175=1,INDEX($V$7:$AL$7,MATCH(TRUE,INDEX($V175:$AW175&lt;&gt;0,),0)),IF(AY175=0,INDEX($AM$7:$AW$7,MATCH(1,$AM175:$AW175,0)),IF(BF175="Multiple strategies","mixed drivers",IF(BF175="Supply chain","multiple supply","multiple silviculture"))))</f>
        <v>mixed drivers</v>
      </c>
      <c r="BF175" s="2" t="str" cm="1">
        <f t="array" ref="BF175">IF(COUNTIF(AZ175:BB175,"&lt;&gt;0")=1,INDEX($V$4:$AW$4,MATCH(TRUE,INDEX($V175:$AW175&lt;&gt;0,),0)),IF(COUNTIF(AZ175:BB175,"&lt;&gt;0")=0,INDEX($AM$4:$AW$4,MATCH(1,$AM175:$AW175,0)),"Multiple strategies"))</f>
        <v>Multiple strategies</v>
      </c>
      <c r="BG175" s="142" t="s">
        <v>322</v>
      </c>
      <c r="BH175" s="160" t="s">
        <v>1459</v>
      </c>
      <c r="BI175" s="160" t="s">
        <v>1460</v>
      </c>
      <c r="BJ175" s="143" t="s">
        <v>499</v>
      </c>
      <c r="BK175" s="143">
        <v>944</v>
      </c>
      <c r="BL175" s="143">
        <v>4837</v>
      </c>
      <c r="BM175">
        <f>IFERROR(BL177/BK175,"")</f>
        <v>143.7415254237288</v>
      </c>
      <c r="BN175">
        <f>BL175-BK175</f>
        <v>3893</v>
      </c>
      <c r="BO175" s="159">
        <f>BN175</f>
        <v>3893</v>
      </c>
      <c r="BP175" s="155" t="s">
        <v>233</v>
      </c>
      <c r="BQ175" s="313" t="s">
        <v>1461</v>
      </c>
      <c r="BR175" s="155" t="s">
        <v>827</v>
      </c>
      <c r="BS175" s="143" t="s">
        <v>1465</v>
      </c>
      <c r="BT175" t="s">
        <v>1501</v>
      </c>
      <c r="BU175" s="144">
        <f>BT175/BS175</f>
        <v>3.680938301564102</v>
      </c>
      <c r="BV175">
        <f>BT175-BS175</f>
        <v>-18.527006166666702</v>
      </c>
      <c r="BW175"/>
      <c r="BX175">
        <f>BV175</f>
        <v>-18.527006166666702</v>
      </c>
      <c r="BY175">
        <f>IFERROR(BX175/BO175,"")</f>
        <v>-4.7590562976282304E-3</v>
      </c>
      <c r="BZ175">
        <v>0</v>
      </c>
      <c r="CA175">
        <v>0</v>
      </c>
      <c r="CB175">
        <v>0</v>
      </c>
      <c r="CC175">
        <v>0</v>
      </c>
      <c r="CD175">
        <v>0</v>
      </c>
      <c r="CE175">
        <v>0</v>
      </c>
      <c r="CF175">
        <v>0</v>
      </c>
      <c r="CG175">
        <v>0</v>
      </c>
      <c r="CH175">
        <v>0</v>
      </c>
      <c r="CI175">
        <v>0</v>
      </c>
      <c r="CJ175">
        <v>0</v>
      </c>
      <c r="CK175">
        <v>0</v>
      </c>
      <c r="CL175">
        <v>0</v>
      </c>
      <c r="CM175">
        <v>0</v>
      </c>
      <c r="CN175" t="str">
        <f>IF($BL175&lt;$BK175,"refNeedCorrection","refOK")</f>
        <v>refOK</v>
      </c>
      <c r="CO175">
        <f>IF($CN175="refOK",$BK175,$BL175)</f>
        <v>944</v>
      </c>
      <c r="CP175">
        <f>IF($CN175="refOK",$BL175,$BK175)</f>
        <v>4837</v>
      </c>
      <c r="CQ175">
        <f>IF($CN175="refOK",$BO175,-$BO175)</f>
        <v>3893</v>
      </c>
      <c r="CR175">
        <f>IF($CN175="refOK",$BS175,$BT175)*IF($BP175="Emissions positive",-1,1)</f>
        <v>-6.9106424999999998</v>
      </c>
      <c r="CS175">
        <f>IF($CN175="refOK",$BT175,$BS175)*IF($BP175="Emissions positive",-1,1)</f>
        <v>-25.4376486666667</v>
      </c>
      <c r="CT175">
        <f>IF($CN175="refNeedCorrection",-BX175,BX175)*IF($BP175="Emissions positive",-1,1)</f>
        <v>-18.527006166666702</v>
      </c>
      <c r="CU175">
        <f>IFERROR(CT175/CQ175,"")</f>
        <v>-4.7590562976282304E-3</v>
      </c>
      <c r="CV175" s="2">
        <f>IFERROR((CS175-CR175)/ABS(CR175),"")</f>
        <v>-2.6809383015641024</v>
      </c>
      <c r="CW175" s="265" t="s">
        <v>1464</v>
      </c>
      <c r="CX175" s="266" t="str">
        <f>IF(OR($CW175="prd",$CW175="std",$CW175="cit"),"loc",IF(OR($CW175="eur",$CW175="reg",$CW175="coy"),"reg",$CW175))</f>
        <v>reg</v>
      </c>
      <c r="CY175" s="272" t="s">
        <v>745</v>
      </c>
      <c r="CZ175"/>
      <c r="DA175" s="143"/>
      <c r="DB175" s="143">
        <v>0</v>
      </c>
      <c r="DC175" t="str">
        <f>IF(DB175=0,"0",IF(AND(DB175&gt;=1,DB175&lt;=30),"1-30",IF(AND(DB175&gt;30,DB175&lt;=70),"31-70",IF(AND(DB175&gt;70,DB175&lt;=100),"71-100",IF(DB175&gt;100,"+100")))))</f>
        <v>0</v>
      </c>
      <c r="DD175">
        <v>0</v>
      </c>
      <c r="DE175">
        <v>1</v>
      </c>
      <c r="DF175">
        <v>0</v>
      </c>
      <c r="DG175">
        <v>0</v>
      </c>
      <c r="DH175">
        <v>0</v>
      </c>
      <c r="DI175">
        <f>SUM(DD175:DH175)</f>
        <v>1</v>
      </c>
      <c r="DJ175" t="str">
        <f>IF(DI175=1,INDEX($DD$7:$DG$7,MATCH(1,$DD175:$DG175,0)),"mixedProduct")</f>
        <v>EnergyInput</v>
      </c>
      <c r="DK175">
        <f>IF(DD175=1,DK$7,0)</f>
        <v>0</v>
      </c>
      <c r="DL175" t="str">
        <f>IF(DE175=1,DL$7,0)</f>
        <v>Energy</v>
      </c>
      <c r="DM175">
        <f>IF(DF175=1,DM$7,0)</f>
        <v>0</v>
      </c>
      <c r="DN175">
        <f>IF(DG175=1,DN$7,0)</f>
        <v>0</v>
      </c>
      <c r="DO175">
        <v>0</v>
      </c>
      <c r="DP175" s="143">
        <v>0</v>
      </c>
      <c r="DQ175" s="143">
        <v>0</v>
      </c>
      <c r="DR175">
        <v>0</v>
      </c>
      <c r="DS175" s="143">
        <v>0</v>
      </c>
      <c r="DT175">
        <f>SUM(DO175:DP175)</f>
        <v>0</v>
      </c>
      <c r="DU175" s="143" t="str">
        <f>IF(DO175=1,"self-calculated DF",IF(DP175=1,"external DF used","explicit C balance"))</f>
        <v>explicit C balance</v>
      </c>
      <c r="DV175" s="143">
        <v>0</v>
      </c>
      <c r="DW175" s="143">
        <v>0</v>
      </c>
      <c r="DX175" s="143">
        <v>0</v>
      </c>
      <c r="DY175" s="143">
        <v>0</v>
      </c>
      <c r="DZ175">
        <v>0</v>
      </c>
      <c r="EA175" s="143">
        <v>0</v>
      </c>
      <c r="EB175" s="143">
        <v>0</v>
      </c>
      <c r="EC175" s="143">
        <v>1</v>
      </c>
      <c r="ED175" s="143">
        <v>0</v>
      </c>
      <c r="EE175">
        <v>1</v>
      </c>
      <c r="EF175">
        <v>0</v>
      </c>
      <c r="EG175" s="143">
        <v>0</v>
      </c>
      <c r="EH175" s="143">
        <v>0</v>
      </c>
      <c r="EI175" s="2">
        <v>0</v>
      </c>
      <c r="EJ175" s="1"/>
      <c r="EK175" t="str">
        <f>IF(AND(AND(AND(OR($DX175=1,$DW175=1),OR($EC175=1,$EA175=1)),SUM($DV175:$DZ175,$EF175)&gt;=4),SUM($EA175:$EE175)&gt;=2),"Whole sector","")</f>
        <v/>
      </c>
      <c r="EL175" t="str">
        <f>IF(AND(AND(OR($DX175=1,$DW175=1),AND($EC175=0,$EA175=0)),SUM($DV175:$DZ175,$EF175)&gt;=4),"Ecosystem approach","")</f>
        <v/>
      </c>
      <c r="EM175" s="2" t="str">
        <f>IF(AND(AND(AND($DX175=0,$DW175=0),OR($EC175=1,$EA175=1)),SUM($EB175:$EE175)&gt;=2),"Technology approach","")</f>
        <v>Technology approach</v>
      </c>
      <c r="EN175"/>
      <c r="EO175"/>
      <c r="EP175" t="str">
        <f>IF(ISNUMBER(BU175),IF(ABS(BU175-[1]QC_indicators!$B$2)&gt;3*[1]QC_indicators!$C$2,"C ratio",IF(ISNUMBER(BY175),IF(ABS(BY175-[1]QC_indicators!$B$1)&gt;3*[1]QC_indicators!$C$1,"DF","no"))),IF(ISNUMBER(BY175),IF(ABS(BY175-[1]QC_indicators!$B$1)&gt;3*[1]QC_indicators!$C$1,"DF","no")))</f>
        <v>no</v>
      </c>
      <c r="EQ175"/>
      <c r="ER175" s="149"/>
      <c r="ES175"/>
      <c r="ET175" s="266" t="s">
        <v>3409</v>
      </c>
      <c r="EU175"/>
    </row>
    <row r="176" spans="1:151" s="139" customFormat="1" ht="15" hidden="1" customHeight="1">
      <c r="A176" s="1" t="s">
        <v>588</v>
      </c>
      <c r="B176" t="s">
        <v>1450</v>
      </c>
      <c r="C176" t="s">
        <v>1451</v>
      </c>
      <c r="D176" t="s">
        <v>1452</v>
      </c>
      <c r="E176" t="s">
        <v>1453</v>
      </c>
      <c r="F176" t="s">
        <v>1454</v>
      </c>
      <c r="G176" t="s">
        <v>594</v>
      </c>
      <c r="H176" t="s">
        <v>255</v>
      </c>
      <c r="I176">
        <v>2020</v>
      </c>
      <c r="J176">
        <v>12</v>
      </c>
      <c r="K176" t="s">
        <v>1455</v>
      </c>
      <c r="L176"/>
      <c r="M176" t="str">
        <f>LEFT($D176,FIND(",",$D176)-1)&amp;"_"&amp;I176&amp;L176</f>
        <v>Elisa_2020</v>
      </c>
      <c r="N176" s="266" t="s">
        <v>223</v>
      </c>
      <c r="O176" s="171" t="s">
        <v>275</v>
      </c>
      <c r="P176" t="s">
        <v>224</v>
      </c>
      <c r="Q176" s="266" t="s">
        <v>390</v>
      </c>
      <c r="R176" s="271" t="s">
        <v>1156</v>
      </c>
      <c r="S176" s="154" t="s">
        <v>1456</v>
      </c>
      <c r="T176" s="296" t="s">
        <v>1457</v>
      </c>
      <c r="U176" s="143" t="s">
        <v>1502</v>
      </c>
      <c r="V176">
        <v>0</v>
      </c>
      <c r="W176">
        <v>0</v>
      </c>
      <c r="X176">
        <v>0</v>
      </c>
      <c r="Y176">
        <v>0</v>
      </c>
      <c r="Z176">
        <v>0</v>
      </c>
      <c r="AA176">
        <v>0</v>
      </c>
      <c r="AB176">
        <v>0</v>
      </c>
      <c r="AC176">
        <v>0</v>
      </c>
      <c r="AD176">
        <v>0</v>
      </c>
      <c r="AE176">
        <v>1</v>
      </c>
      <c r="AF176">
        <v>0</v>
      </c>
      <c r="AG176">
        <v>0</v>
      </c>
      <c r="AH176">
        <v>0</v>
      </c>
      <c r="AI176">
        <v>0</v>
      </c>
      <c r="AJ176">
        <v>0</v>
      </c>
      <c r="AK176">
        <v>1</v>
      </c>
      <c r="AL176">
        <v>0</v>
      </c>
      <c r="AM176">
        <v>0</v>
      </c>
      <c r="AN176">
        <v>0</v>
      </c>
      <c r="AO176">
        <v>0</v>
      </c>
      <c r="AP176">
        <v>0</v>
      </c>
      <c r="AQ176">
        <v>0</v>
      </c>
      <c r="AR176">
        <v>0</v>
      </c>
      <c r="AS176">
        <v>0</v>
      </c>
      <c r="AT176">
        <v>0</v>
      </c>
      <c r="AU176">
        <v>0</v>
      </c>
      <c r="AV176">
        <v>0</v>
      </c>
      <c r="AW176">
        <v>0</v>
      </c>
      <c r="AX176" s="141">
        <f>COUNTIF(V176:AW176,"&lt;&gt;0")</f>
        <v>2</v>
      </c>
      <c r="AY176" s="141">
        <f>COUNTIF(V176:AL176,"&lt;&gt;0")</f>
        <v>2</v>
      </c>
      <c r="AZ176">
        <f>COUNTIF(V176:AC176,"&lt;&gt;0")</f>
        <v>0</v>
      </c>
      <c r="BA176">
        <f>COUNTIF(AD176:AI176,"&lt;&gt;0")</f>
        <v>1</v>
      </c>
      <c r="BB176">
        <f>COUNTIF(AJ176:AL176,"&lt;&gt;0")</f>
        <v>1</v>
      </c>
      <c r="BC176">
        <f>COUNTIF(AS176:AW176,"&lt;&gt;0")</f>
        <v>0</v>
      </c>
      <c r="BD176">
        <f>COUNTIF(AM176:AR176,"&lt;&gt;0")</f>
        <v>0</v>
      </c>
      <c r="BE176" t="str" cm="1">
        <f t="array" ref="BE176">IF(AY176=1,INDEX($V$7:$AL$7,MATCH(TRUE,INDEX($V176:$AW176&lt;&gt;0,),0)),IF(AY176=0,INDEX($AM$7:$AW$7,MATCH(1,$AM176:$AW176,0)),IF(BF176="Multiple strategies","mixed drivers",IF(BF176="Supply chain","multiple supply","multiple silviculture"))))</f>
        <v>mixed drivers</v>
      </c>
      <c r="BF176" s="2" t="str" cm="1">
        <f t="array" ref="BF176">IF(COUNTIF(AZ176:BB176,"&lt;&gt;0")=1,INDEX($V$4:$AW$4,MATCH(TRUE,INDEX($V176:$AW176&lt;&gt;0,),0)),IF(COUNTIF(AZ176:BB176,"&lt;&gt;0")=0,INDEX($AM$4:$AW$4,MATCH(1,$AM176:$AW176,0)),"Multiple strategies"))</f>
        <v>Multiple strategies</v>
      </c>
      <c r="BG176" s="142" t="s">
        <v>322</v>
      </c>
      <c r="BH176" s="160" t="s">
        <v>1459</v>
      </c>
      <c r="BI176" s="160" t="s">
        <v>1460</v>
      </c>
      <c r="BJ176" s="143" t="s">
        <v>499</v>
      </c>
      <c r="BK176" s="143">
        <v>944</v>
      </c>
      <c r="BL176" s="143">
        <v>135692</v>
      </c>
      <c r="BM176">
        <f>IFERROR(BL176/BK176,"")</f>
        <v>143.7415254237288</v>
      </c>
      <c r="BN176">
        <f>BL176-BK176</f>
        <v>134748</v>
      </c>
      <c r="BO176" s="159">
        <f>BN176</f>
        <v>134748</v>
      </c>
      <c r="BP176" s="155" t="s">
        <v>233</v>
      </c>
      <c r="BQ176" s="313" t="s">
        <v>1461</v>
      </c>
      <c r="BR176" s="155" t="s">
        <v>827</v>
      </c>
      <c r="BS176" s="143" t="s">
        <v>1462</v>
      </c>
      <c r="BT176" t="s">
        <v>1503</v>
      </c>
      <c r="BU176" s="144">
        <f>BT176/BS176</f>
        <v>62.280946421885929</v>
      </c>
      <c r="BV176">
        <f>BT176-BS176</f>
        <v>-430.07688250000001</v>
      </c>
      <c r="BW176"/>
      <c r="BX176">
        <f>BV176</f>
        <v>-430.07688250000001</v>
      </c>
      <c r="BY176">
        <f>IFERROR(BX176/BO176,"")</f>
        <v>-3.1917125486092559E-3</v>
      </c>
      <c r="BZ176">
        <v>0</v>
      </c>
      <c r="CA176">
        <v>0</v>
      </c>
      <c r="CB176">
        <v>0</v>
      </c>
      <c r="CC176">
        <v>0</v>
      </c>
      <c r="CD176">
        <v>0</v>
      </c>
      <c r="CE176">
        <v>0</v>
      </c>
      <c r="CF176">
        <v>0</v>
      </c>
      <c r="CG176">
        <v>0</v>
      </c>
      <c r="CH176">
        <v>0</v>
      </c>
      <c r="CI176">
        <v>0</v>
      </c>
      <c r="CJ176">
        <v>0</v>
      </c>
      <c r="CK176">
        <v>0</v>
      </c>
      <c r="CL176">
        <v>0</v>
      </c>
      <c r="CM176">
        <v>0</v>
      </c>
      <c r="CN176" t="str">
        <f>IF($BL176&lt;$BK176,"refNeedCorrection","refOK")</f>
        <v>refOK</v>
      </c>
      <c r="CO176">
        <f>IF($CN176="refOK",$BK176,$BL176)</f>
        <v>944</v>
      </c>
      <c r="CP176">
        <f>IF($CN176="refOK",$BL176,$BK176)</f>
        <v>135692</v>
      </c>
      <c r="CQ176">
        <f>IF($CN176="refOK",$BO176,-$BO176)</f>
        <v>134748</v>
      </c>
      <c r="CR176">
        <f>IF($CN176="refOK",$BS176,$BT176)*IF($BP176="Emissions positive",-1,1)</f>
        <v>-7.0181174999999998</v>
      </c>
      <c r="CS176">
        <f>IF($CN176="refOK",$BT176,$BS176)*IF($BP176="Emissions positive",-1,1)</f>
        <v>-437.09500000000003</v>
      </c>
      <c r="CT176">
        <f>IF($CN176="refNeedCorrection",-BX176,BX176)*IF($BP176="Emissions positive",-1,1)</f>
        <v>-430.07688250000001</v>
      </c>
      <c r="CU176">
        <f>IFERROR(CT176/CQ176,"")</f>
        <v>-3.1917125486092559E-3</v>
      </c>
      <c r="CV176" s="2">
        <f>IFERROR((CS176-CR176)/ABS(CR176),"")</f>
        <v>-61.280946421885929</v>
      </c>
      <c r="CW176" s="265" t="s">
        <v>1464</v>
      </c>
      <c r="CX176" s="266" t="str">
        <f>IF(OR($CW176="prd",$CW176="std",$CW176="cit"),"loc",IF(OR($CW176="eur",$CW176="reg",$CW176="coy"),"reg",$CW176))</f>
        <v>reg</v>
      </c>
      <c r="CY176" s="272" t="s">
        <v>745</v>
      </c>
      <c r="CZ176"/>
      <c r="DA176" s="143"/>
      <c r="DB176" s="143">
        <v>0</v>
      </c>
      <c r="DC176" t="str">
        <f>IF(DB176=0,"0",IF(AND(DB176&gt;=1,DB176&lt;=30),"1-30",IF(AND(DB176&gt;30,DB176&lt;=70),"31-70",IF(AND(DB176&gt;70,DB176&lt;=100),"71-100",IF(DB176&gt;100,"+100")))))</f>
        <v>0</v>
      </c>
      <c r="DD176">
        <v>0</v>
      </c>
      <c r="DE176">
        <v>1</v>
      </c>
      <c r="DF176">
        <v>0</v>
      </c>
      <c r="DG176">
        <v>0</v>
      </c>
      <c r="DH176">
        <v>0</v>
      </c>
      <c r="DI176">
        <f>SUM(DD176:DH176)</f>
        <v>1</v>
      </c>
      <c r="DJ176" t="str">
        <f>IF(DI176=1,INDEX($DD$7:$DG$7,MATCH(1,$DD176:$DG176,0)),"mixedProduct")</f>
        <v>EnergyInput</v>
      </c>
      <c r="DK176">
        <f>IF(DD176=1,DK$7,0)</f>
        <v>0</v>
      </c>
      <c r="DL176" t="str">
        <f>IF(DE176=1,DL$7,0)</f>
        <v>Energy</v>
      </c>
      <c r="DM176">
        <f>IF(DF176=1,DM$7,0)</f>
        <v>0</v>
      </c>
      <c r="DN176">
        <f>IF(DG176=1,DN$7,0)</f>
        <v>0</v>
      </c>
      <c r="DO176">
        <v>0</v>
      </c>
      <c r="DP176" s="143">
        <v>0</v>
      </c>
      <c r="DQ176" s="143">
        <v>0</v>
      </c>
      <c r="DR176">
        <v>0</v>
      </c>
      <c r="DS176" s="143">
        <v>0</v>
      </c>
      <c r="DT176">
        <f>SUM(DO176:DP176)</f>
        <v>0</v>
      </c>
      <c r="DU176" s="143" t="str">
        <f>IF(DO176=1,"self-calculated DF",IF(DP176=1,"external DF used","explicit C balance"))</f>
        <v>explicit C balance</v>
      </c>
      <c r="DV176" s="143">
        <v>0</v>
      </c>
      <c r="DW176" s="143">
        <v>0</v>
      </c>
      <c r="DX176" s="143">
        <v>0</v>
      </c>
      <c r="DY176" s="143">
        <v>0</v>
      </c>
      <c r="DZ176">
        <v>0</v>
      </c>
      <c r="EA176" s="143">
        <v>0</v>
      </c>
      <c r="EB176" s="143">
        <v>1</v>
      </c>
      <c r="EC176" s="143">
        <v>1</v>
      </c>
      <c r="ED176" s="143">
        <v>0</v>
      </c>
      <c r="EE176">
        <v>1</v>
      </c>
      <c r="EF176">
        <v>0</v>
      </c>
      <c r="EG176" s="143">
        <v>0</v>
      </c>
      <c r="EH176" s="143">
        <v>0</v>
      </c>
      <c r="EI176" s="2">
        <v>0</v>
      </c>
      <c r="EJ176" s="1"/>
      <c r="EK176" t="str">
        <f>IF(AND(AND(AND(OR($DX176=1,$DW176=1),OR($EC176=1,$EA176=1)),SUM($DV176:$DZ176,$EF176)&gt;=4),SUM($EA176:$EE176)&gt;=2),"Whole sector","")</f>
        <v/>
      </c>
      <c r="EL176" t="str">
        <f>IF(AND(AND(OR($DX176=1,$DW176=1),AND($EC176=0,$EA176=0)),SUM($DV176:$DZ176,$EF176)&gt;=4),"Ecosystem approach","")</f>
        <v/>
      </c>
      <c r="EM176" s="2" t="str">
        <f>IF(AND(AND(AND($DX176=0,$DW176=0),OR($EC176=1,$EA176=1)),SUM($EB176:$EE176)&gt;=2),"Technology approach","")</f>
        <v>Technology approach</v>
      </c>
      <c r="EN176"/>
      <c r="EO176"/>
      <c r="EP176" t="str">
        <f>IF(ISNUMBER(BU176),IF(ABS(BU176-[1]QC_indicators!$B$2)&gt;3*[1]QC_indicators!$C$2,"C ratio",IF(ISNUMBER(BY176),IF(ABS(BY176-[1]QC_indicators!$B$1)&gt;3*[1]QC_indicators!$C$1,"DF","no"))),IF(ISNUMBER(BY176),IF(ABS(BY176-[1]QC_indicators!$B$1)&gt;3*[1]QC_indicators!$C$1,"DF","no")))</f>
        <v>C ratio</v>
      </c>
      <c r="EQ176"/>
      <c r="ER176" s="149"/>
      <c r="ES176"/>
      <c r="ET176" s="266" t="s">
        <v>3409</v>
      </c>
      <c r="EU176"/>
    </row>
    <row r="177" spans="1:151" s="139" customFormat="1" ht="15" hidden="1" customHeight="1">
      <c r="A177" s="1" t="s">
        <v>588</v>
      </c>
      <c r="B177" t="s">
        <v>1450</v>
      </c>
      <c r="C177" t="s">
        <v>1451</v>
      </c>
      <c r="D177" t="s">
        <v>1452</v>
      </c>
      <c r="E177" t="s">
        <v>1453</v>
      </c>
      <c r="F177" t="s">
        <v>1454</v>
      </c>
      <c r="G177" t="s">
        <v>594</v>
      </c>
      <c r="H177" t="s">
        <v>255</v>
      </c>
      <c r="I177">
        <v>2020</v>
      </c>
      <c r="J177">
        <v>12</v>
      </c>
      <c r="K177" t="s">
        <v>1455</v>
      </c>
      <c r="L177"/>
      <c r="M177" t="str">
        <f>LEFT($D177,FIND(",",$D177)-1)&amp;"_"&amp;I177&amp;L177</f>
        <v>Elisa_2020</v>
      </c>
      <c r="N177" s="266" t="s">
        <v>223</v>
      </c>
      <c r="O177" s="171" t="s">
        <v>275</v>
      </c>
      <c r="P177" t="s">
        <v>224</v>
      </c>
      <c r="Q177" s="266" t="s">
        <v>390</v>
      </c>
      <c r="R177" s="271" t="s">
        <v>1156</v>
      </c>
      <c r="S177" s="154" t="s">
        <v>1456</v>
      </c>
      <c r="T177" s="296" t="s">
        <v>1457</v>
      </c>
      <c r="U177" s="143" t="s">
        <v>1502</v>
      </c>
      <c r="V177">
        <v>0</v>
      </c>
      <c r="W177">
        <v>0</v>
      </c>
      <c r="X177">
        <v>0</v>
      </c>
      <c r="Y177">
        <v>0</v>
      </c>
      <c r="Z177">
        <v>0</v>
      </c>
      <c r="AA177">
        <v>0</v>
      </c>
      <c r="AB177">
        <v>0</v>
      </c>
      <c r="AC177">
        <v>0</v>
      </c>
      <c r="AD177">
        <v>0</v>
      </c>
      <c r="AE177">
        <v>1</v>
      </c>
      <c r="AF177">
        <v>0</v>
      </c>
      <c r="AG177">
        <v>0</v>
      </c>
      <c r="AH177">
        <v>0</v>
      </c>
      <c r="AI177">
        <v>0</v>
      </c>
      <c r="AJ177">
        <v>0</v>
      </c>
      <c r="AK177">
        <v>1</v>
      </c>
      <c r="AL177">
        <v>0</v>
      </c>
      <c r="AM177">
        <v>0</v>
      </c>
      <c r="AN177">
        <v>0</v>
      </c>
      <c r="AO177">
        <v>0</v>
      </c>
      <c r="AP177">
        <v>0</v>
      </c>
      <c r="AQ177">
        <v>0</v>
      </c>
      <c r="AR177">
        <v>0</v>
      </c>
      <c r="AS177">
        <v>0</v>
      </c>
      <c r="AT177">
        <v>0</v>
      </c>
      <c r="AU177">
        <v>0</v>
      </c>
      <c r="AV177">
        <v>0</v>
      </c>
      <c r="AW177">
        <v>0</v>
      </c>
      <c r="AX177" s="141">
        <f>COUNTIF(V177:AW177,"&lt;&gt;0")</f>
        <v>2</v>
      </c>
      <c r="AY177" s="141">
        <f>COUNTIF(V177:AL177,"&lt;&gt;0")</f>
        <v>2</v>
      </c>
      <c r="AZ177">
        <f>COUNTIF(V177:AC177,"&lt;&gt;0")</f>
        <v>0</v>
      </c>
      <c r="BA177">
        <f>COUNTIF(AD177:AI177,"&lt;&gt;0")</f>
        <v>1</v>
      </c>
      <c r="BB177">
        <f>COUNTIF(AJ177:AL177,"&lt;&gt;0")</f>
        <v>1</v>
      </c>
      <c r="BC177">
        <f>COUNTIF(AS177:AW177,"&lt;&gt;0")</f>
        <v>0</v>
      </c>
      <c r="BD177">
        <f>COUNTIF(AM177:AR177,"&lt;&gt;0")</f>
        <v>0</v>
      </c>
      <c r="BE177" t="str" cm="1">
        <f t="array" ref="BE177">IF(AY177=1,INDEX($V$7:$AL$7,MATCH(TRUE,INDEX($V177:$AW177&lt;&gt;0,),0)),IF(AY177=0,INDEX($AM$7:$AW$7,MATCH(1,$AM177:$AW177,0)),IF(BF177="Multiple strategies","mixed drivers",IF(BF177="Supply chain","multiple supply","multiple silviculture"))))</f>
        <v>mixed drivers</v>
      </c>
      <c r="BF177" s="2" t="str" cm="1">
        <f t="array" ref="BF177">IF(COUNTIF(AZ177:BB177,"&lt;&gt;0")=1,INDEX($V$4:$AW$4,MATCH(TRUE,INDEX($V177:$AW177&lt;&gt;0,),0)),IF(COUNTIF(AZ177:BB177,"&lt;&gt;0")=0,INDEX($AM$4:$AW$4,MATCH(1,$AM177:$AW177,0)),"Multiple strategies"))</f>
        <v>Multiple strategies</v>
      </c>
      <c r="BG177" s="142" t="s">
        <v>322</v>
      </c>
      <c r="BH177" s="160" t="s">
        <v>1459</v>
      </c>
      <c r="BI177" s="160" t="s">
        <v>1460</v>
      </c>
      <c r="BJ177" s="143" t="s">
        <v>499</v>
      </c>
      <c r="BK177" s="143">
        <v>944</v>
      </c>
      <c r="BL177" s="143">
        <v>135692</v>
      </c>
      <c r="BM177" t="str">
        <f>IFERROR(#REF!/BK177,"")</f>
        <v/>
      </c>
      <c r="BN177">
        <f>BL177-BK177</f>
        <v>134748</v>
      </c>
      <c r="BO177" s="159">
        <f>BN177</f>
        <v>134748</v>
      </c>
      <c r="BP177" s="155" t="s">
        <v>233</v>
      </c>
      <c r="BQ177" s="313" t="s">
        <v>1461</v>
      </c>
      <c r="BR177" s="155" t="s">
        <v>827</v>
      </c>
      <c r="BS177" s="143" t="s">
        <v>1465</v>
      </c>
      <c r="BT177" t="s">
        <v>1504</v>
      </c>
      <c r="BU177" s="144">
        <f>BT177/BS177</f>
        <v>62.136045960994217</v>
      </c>
      <c r="BV177">
        <f>BT177-BS177</f>
        <v>-422.48935749999998</v>
      </c>
      <c r="BW177"/>
      <c r="BX177">
        <f>BV177</f>
        <v>-422.48935749999998</v>
      </c>
      <c r="BY177">
        <f>IFERROR(BX177/BO177,"")</f>
        <v>-3.135403549588862E-3</v>
      </c>
      <c r="BZ177">
        <v>0</v>
      </c>
      <c r="CA177">
        <v>0</v>
      </c>
      <c r="CB177">
        <v>0</v>
      </c>
      <c r="CC177">
        <v>0</v>
      </c>
      <c r="CD177">
        <v>0</v>
      </c>
      <c r="CE177">
        <v>0</v>
      </c>
      <c r="CF177">
        <v>0</v>
      </c>
      <c r="CG177">
        <v>0</v>
      </c>
      <c r="CH177">
        <v>0</v>
      </c>
      <c r="CI177">
        <v>0</v>
      </c>
      <c r="CJ177">
        <v>0</v>
      </c>
      <c r="CK177">
        <v>0</v>
      </c>
      <c r="CL177">
        <v>0</v>
      </c>
      <c r="CM177">
        <v>0</v>
      </c>
      <c r="CN177" t="str">
        <f>IF($BL177&lt;$BK177,"refNeedCorrection","refOK")</f>
        <v>refOK</v>
      </c>
      <c r="CO177">
        <f>IF($CN177="refOK",$BK177,$BL177)</f>
        <v>944</v>
      </c>
      <c r="CP177">
        <f>IF($CN177="refOK",$BL177,$BK177)</f>
        <v>135692</v>
      </c>
      <c r="CQ177">
        <f>IF($CN177="refOK",$BO177,-$BO177)</f>
        <v>134748</v>
      </c>
      <c r="CR177">
        <f>IF($CN177="refOK",$BS177,$BT177)*IF($BP177="Emissions positive",-1,1)</f>
        <v>-6.9106424999999998</v>
      </c>
      <c r="CS177">
        <f>IF($CN177="refOK",$BT177,$BS177)*IF($BP177="Emissions positive",-1,1)</f>
        <v>-429.4</v>
      </c>
      <c r="CT177">
        <f>IF($CN177="refNeedCorrection",-BX177,BX177)*IF($BP177="Emissions positive",-1,1)</f>
        <v>-422.48935749999998</v>
      </c>
      <c r="CU177">
        <f>IFERROR(CT177/CQ177,"")</f>
        <v>-3.135403549588862E-3</v>
      </c>
      <c r="CV177" s="2">
        <f>IFERROR((CS177-CR177)/ABS(CR177),"")</f>
        <v>-61.136045960994217</v>
      </c>
      <c r="CW177" s="265" t="s">
        <v>1464</v>
      </c>
      <c r="CX177" s="266" t="str">
        <f>IF(OR($CW177="prd",$CW177="std",$CW177="cit"),"loc",IF(OR($CW177="eur",$CW177="reg",$CW177="coy"),"reg",$CW177))</f>
        <v>reg</v>
      </c>
      <c r="CY177" s="272" t="s">
        <v>745</v>
      </c>
      <c r="CZ177"/>
      <c r="DA177" s="143"/>
      <c r="DB177" s="143">
        <v>0</v>
      </c>
      <c r="DC177" t="str">
        <f>IF(DB177=0,"0",IF(AND(DB177&gt;=1,DB177&lt;=30),"1-30",IF(AND(DB177&gt;30,DB177&lt;=70),"31-70",IF(AND(DB177&gt;70,DB177&lt;=100),"71-100",IF(DB177&gt;100,"+100")))))</f>
        <v>0</v>
      </c>
      <c r="DD177">
        <v>0</v>
      </c>
      <c r="DE177">
        <v>1</v>
      </c>
      <c r="DF177">
        <v>0</v>
      </c>
      <c r="DG177">
        <v>0</v>
      </c>
      <c r="DH177">
        <v>0</v>
      </c>
      <c r="DI177">
        <f>SUM(DD177:DH177)</f>
        <v>1</v>
      </c>
      <c r="DJ177" t="str">
        <f>IF(DI177=1,INDEX($DD$7:$DG$7,MATCH(1,$DD177:$DG177,0)),"mixedProduct")</f>
        <v>EnergyInput</v>
      </c>
      <c r="DK177">
        <f>IF(DD177=1,DK$7,0)</f>
        <v>0</v>
      </c>
      <c r="DL177" t="str">
        <f>IF(DE177=1,DL$7,0)</f>
        <v>Energy</v>
      </c>
      <c r="DM177">
        <f>IF(DF177=1,DM$7,0)</f>
        <v>0</v>
      </c>
      <c r="DN177">
        <f>IF(DG177=1,DN$7,0)</f>
        <v>0</v>
      </c>
      <c r="DO177">
        <v>0</v>
      </c>
      <c r="DP177" s="143">
        <v>0</v>
      </c>
      <c r="DQ177" s="143">
        <v>0</v>
      </c>
      <c r="DR177">
        <v>0</v>
      </c>
      <c r="DS177" s="143">
        <v>0</v>
      </c>
      <c r="DT177">
        <f>SUM(DO177:DP177)</f>
        <v>0</v>
      </c>
      <c r="DU177" s="143" t="str">
        <f>IF(DO177=1,"self-calculated DF",IF(DP177=1,"external DF used","explicit C balance"))</f>
        <v>explicit C balance</v>
      </c>
      <c r="DV177" s="143">
        <v>0</v>
      </c>
      <c r="DW177" s="143">
        <v>0</v>
      </c>
      <c r="DX177" s="143">
        <v>0</v>
      </c>
      <c r="DY177" s="143">
        <v>0</v>
      </c>
      <c r="DZ177">
        <v>0</v>
      </c>
      <c r="EA177" s="143">
        <v>0</v>
      </c>
      <c r="EB177" s="143">
        <v>0</v>
      </c>
      <c r="EC177" s="143">
        <v>1</v>
      </c>
      <c r="ED177" s="143">
        <v>0</v>
      </c>
      <c r="EE177">
        <v>1</v>
      </c>
      <c r="EF177">
        <v>0</v>
      </c>
      <c r="EG177" s="143">
        <v>0</v>
      </c>
      <c r="EH177" s="143">
        <v>0</v>
      </c>
      <c r="EI177" s="2">
        <v>0</v>
      </c>
      <c r="EJ177" s="1"/>
      <c r="EK177" t="str">
        <f>IF(AND(AND(AND(OR($DX177=1,$DW177=1),OR($EC177=1,$EA177=1)),SUM($DV177:$DZ177,$EF177)&gt;=4),SUM($EA177:$EE177)&gt;=2),"Whole sector","")</f>
        <v/>
      </c>
      <c r="EL177" t="str">
        <f>IF(AND(AND(OR($DX177=1,$DW177=1),AND($EC177=0,$EA177=0)),SUM($DV177:$DZ177,$EF177)&gt;=4),"Ecosystem approach","")</f>
        <v/>
      </c>
      <c r="EM177" s="2" t="str">
        <f>IF(AND(AND(AND($DX177=0,$DW177=0),OR($EC177=1,$EA177=1)),SUM($EB177:$EE177)&gt;=2),"Technology approach","")</f>
        <v>Technology approach</v>
      </c>
      <c r="EN177"/>
      <c r="EO177"/>
      <c r="EP177" t="str">
        <f>IF(ISNUMBER(BU177),IF(ABS(BU177-[1]QC_indicators!$B$2)&gt;3*[1]QC_indicators!$C$2,"C ratio",IF(ISNUMBER(BY177),IF(ABS(BY177-[1]QC_indicators!$B$1)&gt;3*[1]QC_indicators!$C$1,"DF","no"))),IF(ISNUMBER(BY177),IF(ABS(BY177-[1]QC_indicators!$B$1)&gt;3*[1]QC_indicators!$C$1,"DF","no")))</f>
        <v>C ratio</v>
      </c>
      <c r="EQ177"/>
      <c r="ER177" s="149"/>
      <c r="ES177"/>
      <c r="ET177" s="266" t="s">
        <v>3409</v>
      </c>
      <c r="EU177"/>
    </row>
    <row r="178" spans="1:151" s="139" customFormat="1" ht="15" hidden="1" customHeight="1">
      <c r="A178" s="1" t="s">
        <v>588</v>
      </c>
      <c r="B178" t="s">
        <v>1450</v>
      </c>
      <c r="C178" t="s">
        <v>1451</v>
      </c>
      <c r="D178" t="s">
        <v>1452</v>
      </c>
      <c r="E178" t="s">
        <v>1453</v>
      </c>
      <c r="F178" t="s">
        <v>1454</v>
      </c>
      <c r="G178" t="s">
        <v>594</v>
      </c>
      <c r="H178" t="s">
        <v>255</v>
      </c>
      <c r="I178">
        <v>2020</v>
      </c>
      <c r="J178">
        <v>12</v>
      </c>
      <c r="K178" t="s">
        <v>1455</v>
      </c>
      <c r="L178"/>
      <c r="M178" t="str">
        <f>LEFT($D178,FIND(",",$D178)-1)&amp;"_"&amp;I178&amp;L178</f>
        <v>Elisa_2020</v>
      </c>
      <c r="N178" s="266" t="s">
        <v>223</v>
      </c>
      <c r="O178" s="171" t="s">
        <v>275</v>
      </c>
      <c r="P178" t="s">
        <v>224</v>
      </c>
      <c r="Q178" s="266" t="s">
        <v>390</v>
      </c>
      <c r="R178" s="271" t="s">
        <v>1156</v>
      </c>
      <c r="S178" s="154" t="s">
        <v>1456</v>
      </c>
      <c r="T178" s="296" t="s">
        <v>1457</v>
      </c>
      <c r="U178" s="143" t="s">
        <v>1505</v>
      </c>
      <c r="V178">
        <v>0</v>
      </c>
      <c r="W178">
        <v>0</v>
      </c>
      <c r="X178">
        <v>0</v>
      </c>
      <c r="Y178">
        <v>0</v>
      </c>
      <c r="Z178">
        <v>0</v>
      </c>
      <c r="AA178">
        <v>0</v>
      </c>
      <c r="AB178">
        <v>0</v>
      </c>
      <c r="AC178">
        <v>0</v>
      </c>
      <c r="AD178">
        <v>0</v>
      </c>
      <c r="AE178">
        <v>1</v>
      </c>
      <c r="AF178">
        <v>0</v>
      </c>
      <c r="AG178">
        <v>0</v>
      </c>
      <c r="AH178">
        <v>0</v>
      </c>
      <c r="AI178">
        <v>0</v>
      </c>
      <c r="AJ178">
        <v>0</v>
      </c>
      <c r="AK178">
        <v>1</v>
      </c>
      <c r="AL178">
        <v>0</v>
      </c>
      <c r="AM178">
        <v>0</v>
      </c>
      <c r="AN178">
        <v>0</v>
      </c>
      <c r="AO178">
        <v>0</v>
      </c>
      <c r="AP178">
        <v>0</v>
      </c>
      <c r="AQ178">
        <v>0</v>
      </c>
      <c r="AR178">
        <v>0</v>
      </c>
      <c r="AS178">
        <v>0</v>
      </c>
      <c r="AT178">
        <v>0</v>
      </c>
      <c r="AU178">
        <v>0</v>
      </c>
      <c r="AV178">
        <v>0</v>
      </c>
      <c r="AW178">
        <v>0</v>
      </c>
      <c r="AX178" s="141">
        <f>COUNTIF(V178:AW178,"&lt;&gt;0")</f>
        <v>2</v>
      </c>
      <c r="AY178" s="141">
        <f>COUNTIF(V178:AL178,"&lt;&gt;0")</f>
        <v>2</v>
      </c>
      <c r="AZ178">
        <f>COUNTIF(V178:AC178,"&lt;&gt;0")</f>
        <v>0</v>
      </c>
      <c r="BA178">
        <f>COUNTIF(AD178:AI178,"&lt;&gt;0")</f>
        <v>1</v>
      </c>
      <c r="BB178">
        <f>COUNTIF(AJ178:AL178,"&lt;&gt;0")</f>
        <v>1</v>
      </c>
      <c r="BC178">
        <f>COUNTIF(AS178:AW178,"&lt;&gt;0")</f>
        <v>0</v>
      </c>
      <c r="BD178">
        <f>COUNTIF(AM178:AR178,"&lt;&gt;0")</f>
        <v>0</v>
      </c>
      <c r="BE178" t="str" cm="1">
        <f t="array" ref="BE178">IF(AY178=1,INDEX($V$7:$AL$7,MATCH(TRUE,INDEX($V178:$AW178&lt;&gt;0,),0)),IF(AY178=0,INDEX($AM$7:$AW$7,MATCH(1,$AM178:$AW178,0)),IF(BF178="Multiple strategies","mixed drivers",IF(BF178="Supply chain","multiple supply","multiple silviculture"))))</f>
        <v>mixed drivers</v>
      </c>
      <c r="BF178" s="2" t="str" cm="1">
        <f t="array" ref="BF178">IF(COUNTIF(AZ178:BB178,"&lt;&gt;0")=1,INDEX($V$4:$AW$4,MATCH(TRUE,INDEX($V178:$AW178&lt;&gt;0,),0)),IF(COUNTIF(AZ178:BB178,"&lt;&gt;0")=0,INDEX($AM$4:$AW$4,MATCH(1,$AM178:$AW178,0)),"Multiple strategies"))</f>
        <v>Multiple strategies</v>
      </c>
      <c r="BG178" s="142" t="s">
        <v>322</v>
      </c>
      <c r="BH178" s="160" t="s">
        <v>1459</v>
      </c>
      <c r="BI178" s="160" t="s">
        <v>1460</v>
      </c>
      <c r="BJ178" s="143" t="s">
        <v>499</v>
      </c>
      <c r="BK178" s="143">
        <v>944</v>
      </c>
      <c r="BL178" s="143">
        <v>170044</v>
      </c>
      <c r="BM178">
        <f>IFERROR(BL179/BK178,"")</f>
        <v>112.64936440677967</v>
      </c>
      <c r="BN178">
        <f>BL178-BK178</f>
        <v>169100</v>
      </c>
      <c r="BO178" s="159">
        <f>BN178</f>
        <v>169100</v>
      </c>
      <c r="BP178" s="155" t="s">
        <v>233</v>
      </c>
      <c r="BQ178" s="313" t="s">
        <v>1461</v>
      </c>
      <c r="BR178" s="155" t="s">
        <v>827</v>
      </c>
      <c r="BS178" s="143" t="s">
        <v>1462</v>
      </c>
      <c r="BT178" t="s">
        <v>1506</v>
      </c>
      <c r="BU178" s="144">
        <f>BT178/BS178</f>
        <v>29.643443083799468</v>
      </c>
      <c r="BV178">
        <f>BT178-BS178</f>
        <v>-201.02304916666702</v>
      </c>
      <c r="BW178"/>
      <c r="BX178">
        <f>BV178</f>
        <v>-201.02304916666702</v>
      </c>
      <c r="BY178">
        <f>IFERROR(BX178/BO178,"")</f>
        <v>-1.1887820766804673E-3</v>
      </c>
      <c r="BZ178">
        <v>0</v>
      </c>
      <c r="CA178">
        <v>0</v>
      </c>
      <c r="CB178">
        <v>0</v>
      </c>
      <c r="CC178">
        <v>0</v>
      </c>
      <c r="CD178">
        <v>0</v>
      </c>
      <c r="CE178">
        <v>0</v>
      </c>
      <c r="CF178">
        <v>0</v>
      </c>
      <c r="CG178">
        <v>0</v>
      </c>
      <c r="CH178">
        <v>0</v>
      </c>
      <c r="CI178">
        <v>0</v>
      </c>
      <c r="CJ178">
        <v>0</v>
      </c>
      <c r="CK178">
        <v>0</v>
      </c>
      <c r="CL178">
        <v>0</v>
      </c>
      <c r="CM178">
        <v>0</v>
      </c>
      <c r="CN178" t="str">
        <f>IF($BL178&lt;$BK178,"refNeedCorrection","refOK")</f>
        <v>refOK</v>
      </c>
      <c r="CO178">
        <f>IF($CN178="refOK",$BK178,$BL178)</f>
        <v>944</v>
      </c>
      <c r="CP178">
        <f>IF($CN178="refOK",$BL178,$BK178)</f>
        <v>170044</v>
      </c>
      <c r="CQ178">
        <f>IF($CN178="refOK",$BO178,-$BO178)</f>
        <v>169100</v>
      </c>
      <c r="CR178">
        <f>IF($CN178="refOK",$BS178,$BT178)*IF($BP178="Emissions positive",-1,1)</f>
        <v>-7.0181174999999998</v>
      </c>
      <c r="CS178">
        <f>IF($CN178="refOK",$BT178,$BS178)*IF($BP178="Emissions positive",-1,1)</f>
        <v>-208.04116666666701</v>
      </c>
      <c r="CT178">
        <f>IF($CN178="refNeedCorrection",-BX178,BX178)*IF($BP178="Emissions positive",-1,1)</f>
        <v>-201.02304916666702</v>
      </c>
      <c r="CU178">
        <f>IFERROR(CT178/CQ178,"")</f>
        <v>-1.1887820766804673E-3</v>
      </c>
      <c r="CV178" s="2">
        <f>IFERROR((CS178-CR178)/ABS(CR178),"")</f>
        <v>-28.643443083799472</v>
      </c>
      <c r="CW178" s="265" t="s">
        <v>1464</v>
      </c>
      <c r="CX178" s="266" t="str">
        <f>IF(OR($CW178="prd",$CW178="std",$CW178="cit"),"loc",IF(OR($CW178="eur",$CW178="reg",$CW178="coy"),"reg",$CW178))</f>
        <v>reg</v>
      </c>
      <c r="CY178" s="272" t="s">
        <v>745</v>
      </c>
      <c r="CZ178"/>
      <c r="DA178" s="143"/>
      <c r="DB178" s="143">
        <v>0</v>
      </c>
      <c r="DC178" t="str">
        <f>IF(DB178=0,"0",IF(AND(DB178&gt;=1,DB178&lt;=30),"1-30",IF(AND(DB178&gt;30,DB178&lt;=70),"31-70",IF(AND(DB178&gt;70,DB178&lt;=100),"71-100",IF(DB178&gt;100,"+100")))))</f>
        <v>0</v>
      </c>
      <c r="DD178">
        <v>0</v>
      </c>
      <c r="DE178">
        <v>1</v>
      </c>
      <c r="DF178">
        <v>0</v>
      </c>
      <c r="DG178">
        <v>0</v>
      </c>
      <c r="DH178">
        <v>0</v>
      </c>
      <c r="DI178">
        <f>SUM(DD178:DH178)</f>
        <v>1</v>
      </c>
      <c r="DJ178" t="str">
        <f>IF(DI178=1,INDEX($DD$7:$DG$7,MATCH(1,$DD178:$DG178,0)),"mixedProduct")</f>
        <v>EnergyInput</v>
      </c>
      <c r="DK178">
        <f>IF(DD178=1,DK$7,0)</f>
        <v>0</v>
      </c>
      <c r="DL178" t="str">
        <f>IF(DE178=1,DL$7,0)</f>
        <v>Energy</v>
      </c>
      <c r="DM178">
        <f>IF(DF178=1,DM$7,0)</f>
        <v>0</v>
      </c>
      <c r="DN178">
        <f>IF(DG178=1,DN$7,0)</f>
        <v>0</v>
      </c>
      <c r="DO178">
        <v>0</v>
      </c>
      <c r="DP178" s="143">
        <v>0</v>
      </c>
      <c r="DQ178" s="143">
        <v>0</v>
      </c>
      <c r="DR178">
        <v>0</v>
      </c>
      <c r="DS178" s="143">
        <v>0</v>
      </c>
      <c r="DT178">
        <f>SUM(DO178:DP178)</f>
        <v>0</v>
      </c>
      <c r="DU178" s="143" t="str">
        <f>IF(DO178=1,"self-calculated DF",IF(DP178=1,"external DF used","explicit C balance"))</f>
        <v>explicit C balance</v>
      </c>
      <c r="DV178" s="143">
        <v>0</v>
      </c>
      <c r="DW178" s="143">
        <v>0</v>
      </c>
      <c r="DX178" s="143">
        <v>0</v>
      </c>
      <c r="DY178" s="143">
        <v>0</v>
      </c>
      <c r="DZ178">
        <v>0</v>
      </c>
      <c r="EA178" s="143">
        <v>0</v>
      </c>
      <c r="EB178" s="143">
        <v>1</v>
      </c>
      <c r="EC178" s="143">
        <v>1</v>
      </c>
      <c r="ED178" s="143">
        <v>0</v>
      </c>
      <c r="EE178">
        <v>1</v>
      </c>
      <c r="EF178">
        <v>0</v>
      </c>
      <c r="EG178" s="143">
        <v>0</v>
      </c>
      <c r="EH178" s="143">
        <v>0</v>
      </c>
      <c r="EI178" s="2">
        <v>0</v>
      </c>
      <c r="EJ178" s="1"/>
      <c r="EK178" t="str">
        <f>IF(AND(AND(AND(OR($DX178=1,$DW178=1),OR($EC178=1,$EA178=1)),SUM($DV178:$DZ178,$EF178)&gt;=4),SUM($EA178:$EE178)&gt;=2),"Whole sector","")</f>
        <v/>
      </c>
      <c r="EL178" t="str">
        <f>IF(AND(AND(OR($DX178=1,$DW178=1),AND($EC178=0,$EA178=0)),SUM($DV178:$DZ178,$EF178)&gt;=4),"Ecosystem approach","")</f>
        <v/>
      </c>
      <c r="EM178" s="2" t="str">
        <f>IF(AND(AND(AND($DX178=0,$DW178=0),OR($EC178=1,$EA178=1)),SUM($EB178:$EE178)&gt;=2),"Technology approach","")</f>
        <v>Technology approach</v>
      </c>
      <c r="EN178"/>
      <c r="EO178"/>
      <c r="EP178" t="str">
        <f>IF(ISNUMBER(BU178),IF(ABS(BU178-[1]QC_indicators!$B$2)&gt;3*[1]QC_indicators!$C$2,"C ratio",IF(ISNUMBER(BY178),IF(ABS(BY178-[1]QC_indicators!$B$1)&gt;3*[1]QC_indicators!$C$1,"DF","no"))),IF(ISNUMBER(BY178),IF(ABS(BY178-[1]QC_indicators!$B$1)&gt;3*[1]QC_indicators!$C$1,"DF","no")))</f>
        <v>no</v>
      </c>
      <c r="EQ178"/>
      <c r="ER178" s="149"/>
      <c r="ES178"/>
      <c r="ET178" s="266" t="s">
        <v>3409</v>
      </c>
      <c r="EU178"/>
    </row>
    <row r="179" spans="1:151" s="139" customFormat="1" ht="15" hidden="1" customHeight="1">
      <c r="A179" s="1" t="s">
        <v>588</v>
      </c>
      <c r="B179" t="s">
        <v>1450</v>
      </c>
      <c r="C179" t="s">
        <v>1451</v>
      </c>
      <c r="D179" t="s">
        <v>1452</v>
      </c>
      <c r="E179" t="s">
        <v>1453</v>
      </c>
      <c r="F179" t="s">
        <v>1454</v>
      </c>
      <c r="G179" t="s">
        <v>594</v>
      </c>
      <c r="H179" t="s">
        <v>255</v>
      </c>
      <c r="I179">
        <v>2020</v>
      </c>
      <c r="J179">
        <v>12</v>
      </c>
      <c r="K179" t="s">
        <v>1455</v>
      </c>
      <c r="L179"/>
      <c r="M179" t="str">
        <f>LEFT($D179,FIND(",",$D179)-1)&amp;"_"&amp;I179&amp;L179</f>
        <v>Elisa_2020</v>
      </c>
      <c r="N179" s="266" t="s">
        <v>223</v>
      </c>
      <c r="O179" s="171" t="s">
        <v>275</v>
      </c>
      <c r="P179" t="s">
        <v>224</v>
      </c>
      <c r="Q179" s="266" t="s">
        <v>390</v>
      </c>
      <c r="R179" s="271" t="s">
        <v>1156</v>
      </c>
      <c r="S179" s="154" t="s">
        <v>1456</v>
      </c>
      <c r="T179" s="296" t="s">
        <v>1457</v>
      </c>
      <c r="U179" s="143" t="s">
        <v>1507</v>
      </c>
      <c r="V179">
        <v>0</v>
      </c>
      <c r="W179">
        <v>0</v>
      </c>
      <c r="X179">
        <v>0</v>
      </c>
      <c r="Y179">
        <v>0</v>
      </c>
      <c r="Z179">
        <v>0</v>
      </c>
      <c r="AA179">
        <v>0</v>
      </c>
      <c r="AB179">
        <v>0</v>
      </c>
      <c r="AC179">
        <v>0</v>
      </c>
      <c r="AD179">
        <v>0</v>
      </c>
      <c r="AE179">
        <v>1</v>
      </c>
      <c r="AF179">
        <v>0</v>
      </c>
      <c r="AG179">
        <v>0</v>
      </c>
      <c r="AH179">
        <v>0</v>
      </c>
      <c r="AI179">
        <v>0</v>
      </c>
      <c r="AJ179">
        <v>0</v>
      </c>
      <c r="AK179">
        <v>1</v>
      </c>
      <c r="AL179">
        <v>0</v>
      </c>
      <c r="AM179">
        <v>0</v>
      </c>
      <c r="AN179">
        <v>0</v>
      </c>
      <c r="AO179">
        <v>0</v>
      </c>
      <c r="AP179">
        <v>0</v>
      </c>
      <c r="AQ179">
        <v>0</v>
      </c>
      <c r="AR179">
        <v>0</v>
      </c>
      <c r="AS179">
        <v>0</v>
      </c>
      <c r="AT179">
        <v>0</v>
      </c>
      <c r="AU179">
        <v>0</v>
      </c>
      <c r="AV179">
        <v>0</v>
      </c>
      <c r="AW179">
        <v>0</v>
      </c>
      <c r="AX179" s="141">
        <f>COUNTIF(V179:AW179,"&lt;&gt;0")</f>
        <v>2</v>
      </c>
      <c r="AY179" s="141">
        <f>COUNTIF(V179:AL179,"&lt;&gt;0")</f>
        <v>2</v>
      </c>
      <c r="AZ179">
        <f>COUNTIF(V179:AC179,"&lt;&gt;0")</f>
        <v>0</v>
      </c>
      <c r="BA179">
        <f>COUNTIF(AD179:AI179,"&lt;&gt;0")</f>
        <v>1</v>
      </c>
      <c r="BB179">
        <f>COUNTIF(AJ179:AL179,"&lt;&gt;0")</f>
        <v>1</v>
      </c>
      <c r="BC179">
        <f>COUNTIF(AS179:AW179,"&lt;&gt;0")</f>
        <v>0</v>
      </c>
      <c r="BD179">
        <f>COUNTIF(AM179:AR179,"&lt;&gt;0")</f>
        <v>0</v>
      </c>
      <c r="BE179" t="str" cm="1">
        <f t="array" ref="BE179">IF(AY179=1,INDEX($V$7:$AL$7,MATCH(TRUE,INDEX($V179:$AW179&lt;&gt;0,),0)),IF(AY179=0,INDEX($AM$7:$AW$7,MATCH(1,$AM179:$AW179,0)),IF(BF179="Multiple strategies","mixed drivers",IF(BF179="Supply chain","multiple supply","multiple silviculture"))))</f>
        <v>mixed drivers</v>
      </c>
      <c r="BF179" s="2" t="str" cm="1">
        <f t="array" ref="BF179">IF(COUNTIF(AZ179:BB179,"&lt;&gt;0")=1,INDEX($V$4:$AW$4,MATCH(TRUE,INDEX($V179:$AW179&lt;&gt;0,),0)),IF(COUNTIF(AZ179:BB179,"&lt;&gt;0")=0,INDEX($AM$4:$AW$4,MATCH(1,$AM179:$AW179,0)),"Multiple strategies"))</f>
        <v>Multiple strategies</v>
      </c>
      <c r="BG179" s="142" t="s">
        <v>322</v>
      </c>
      <c r="BH179" s="160" t="s">
        <v>1459</v>
      </c>
      <c r="BI179" s="160" t="s">
        <v>1460</v>
      </c>
      <c r="BJ179" s="143" t="s">
        <v>499</v>
      </c>
      <c r="BK179" s="143">
        <v>944</v>
      </c>
      <c r="BL179" s="143">
        <v>106341</v>
      </c>
      <c r="BM179">
        <f>IFERROR(BL179/BK179,"")</f>
        <v>112.64936440677967</v>
      </c>
      <c r="BN179">
        <f>BL179-BK179</f>
        <v>105397</v>
      </c>
      <c r="BO179" s="159">
        <f>BN179</f>
        <v>105397</v>
      </c>
      <c r="BP179" s="155" t="s">
        <v>233</v>
      </c>
      <c r="BQ179" s="313" t="s">
        <v>1461</v>
      </c>
      <c r="BR179" s="155" t="s">
        <v>827</v>
      </c>
      <c r="BS179" s="143" t="s">
        <v>1462</v>
      </c>
      <c r="BT179" t="s">
        <v>1508</v>
      </c>
      <c r="BU179" s="144">
        <f>BT179/BS179</f>
        <v>18.200058080627318</v>
      </c>
      <c r="BV179">
        <f>BT179-BS179</f>
        <v>-120.712028616667</v>
      </c>
      <c r="BW179"/>
      <c r="BX179">
        <f>BV179</f>
        <v>-120.712028616667</v>
      </c>
      <c r="BY179">
        <f>IFERROR(BX179/BO179,"")</f>
        <v>-1.1453080127201629E-3</v>
      </c>
      <c r="BZ179">
        <v>0</v>
      </c>
      <c r="CA179">
        <v>0</v>
      </c>
      <c r="CB179">
        <v>0</v>
      </c>
      <c r="CC179">
        <v>0</v>
      </c>
      <c r="CD179">
        <v>0</v>
      </c>
      <c r="CE179">
        <v>0</v>
      </c>
      <c r="CF179">
        <v>0</v>
      </c>
      <c r="CG179">
        <v>0</v>
      </c>
      <c r="CH179">
        <v>0</v>
      </c>
      <c r="CI179">
        <v>0</v>
      </c>
      <c r="CJ179">
        <v>0</v>
      </c>
      <c r="CK179">
        <v>0</v>
      </c>
      <c r="CL179">
        <v>0</v>
      </c>
      <c r="CM179">
        <v>0</v>
      </c>
      <c r="CN179" t="str">
        <f>IF($BL179&lt;$BK179,"refNeedCorrection","refOK")</f>
        <v>refOK</v>
      </c>
      <c r="CO179">
        <f>IF($CN179="refOK",$BK179,$BL179)</f>
        <v>944</v>
      </c>
      <c r="CP179">
        <f>IF($CN179="refOK",$BL179,$BK179)</f>
        <v>106341</v>
      </c>
      <c r="CQ179">
        <f>IF($CN179="refOK",$BO179,-$BO179)</f>
        <v>105397</v>
      </c>
      <c r="CR179">
        <f>IF($CN179="refOK",$BS179,$BT179)*IF($BP179="Emissions positive",-1,1)</f>
        <v>-7.0181174999999998</v>
      </c>
      <c r="CS179">
        <f>IF($CN179="refOK",$BT179,$BS179)*IF($BP179="Emissions positive",-1,1)</f>
        <v>-127.730146116667</v>
      </c>
      <c r="CT179">
        <f>IF($CN179="refNeedCorrection",-BX179,BX179)*IF($BP179="Emissions positive",-1,1)</f>
        <v>-120.712028616667</v>
      </c>
      <c r="CU179">
        <f>IFERROR(CT179/CQ179,"")</f>
        <v>-1.1453080127201629E-3</v>
      </c>
      <c r="CV179" s="2">
        <f>IFERROR((CS179-CR179)/ABS(CR179),"")</f>
        <v>-17.200058080627318</v>
      </c>
      <c r="CW179" s="265" t="s">
        <v>1464</v>
      </c>
      <c r="CX179" s="266" t="str">
        <f>IF(OR($CW179="prd",$CW179="std",$CW179="cit"),"loc",IF(OR($CW179="eur",$CW179="reg",$CW179="coy"),"reg",$CW179))</f>
        <v>reg</v>
      </c>
      <c r="CY179" s="272" t="s">
        <v>745</v>
      </c>
      <c r="CZ179"/>
      <c r="DA179" s="143"/>
      <c r="DB179" s="143">
        <v>0</v>
      </c>
      <c r="DC179" t="str">
        <f>IF(DB179=0,"0",IF(AND(DB179&gt;=1,DB179&lt;=30),"1-30",IF(AND(DB179&gt;30,DB179&lt;=70),"31-70",IF(AND(DB179&gt;70,DB179&lt;=100),"71-100",IF(DB179&gt;100,"+100")))))</f>
        <v>0</v>
      </c>
      <c r="DD179">
        <v>0</v>
      </c>
      <c r="DE179">
        <v>1</v>
      </c>
      <c r="DF179">
        <v>0</v>
      </c>
      <c r="DG179">
        <v>0</v>
      </c>
      <c r="DH179">
        <v>0</v>
      </c>
      <c r="DI179">
        <f>SUM(DD179:DH179)</f>
        <v>1</v>
      </c>
      <c r="DJ179" t="str">
        <f>IF(DI179=1,INDEX($DD$7:$DG$7,MATCH(1,$DD179:$DG179,0)),"mixedProduct")</f>
        <v>EnergyInput</v>
      </c>
      <c r="DK179">
        <f>IF(DD179=1,DK$7,0)</f>
        <v>0</v>
      </c>
      <c r="DL179" t="str">
        <f>IF(DE179=1,DL$7,0)</f>
        <v>Energy</v>
      </c>
      <c r="DM179">
        <f>IF(DF179=1,DM$7,0)</f>
        <v>0</v>
      </c>
      <c r="DN179">
        <f>IF(DG179=1,DN$7,0)</f>
        <v>0</v>
      </c>
      <c r="DO179">
        <v>0</v>
      </c>
      <c r="DP179" s="143">
        <v>0</v>
      </c>
      <c r="DQ179" s="143">
        <v>0</v>
      </c>
      <c r="DR179">
        <v>0</v>
      </c>
      <c r="DS179" s="143">
        <v>0</v>
      </c>
      <c r="DT179">
        <f>SUM(DO179:DP179)</f>
        <v>0</v>
      </c>
      <c r="DU179" s="143" t="str">
        <f>IF(DO179=1,"self-calculated DF",IF(DP179=1,"external DF used","explicit C balance"))</f>
        <v>explicit C balance</v>
      </c>
      <c r="DV179" s="143">
        <v>0</v>
      </c>
      <c r="DW179" s="143">
        <v>0</v>
      </c>
      <c r="DX179" s="143">
        <v>0</v>
      </c>
      <c r="DY179" s="143">
        <v>0</v>
      </c>
      <c r="DZ179">
        <v>0</v>
      </c>
      <c r="EA179" s="143">
        <v>0</v>
      </c>
      <c r="EB179" s="143">
        <v>1</v>
      </c>
      <c r="EC179" s="143">
        <v>1</v>
      </c>
      <c r="ED179" s="143">
        <v>0</v>
      </c>
      <c r="EE179">
        <v>1</v>
      </c>
      <c r="EF179">
        <v>0</v>
      </c>
      <c r="EG179" s="143">
        <v>0</v>
      </c>
      <c r="EH179" s="143">
        <v>0</v>
      </c>
      <c r="EI179" s="2">
        <v>0</v>
      </c>
      <c r="EJ179" s="1"/>
      <c r="EK179" t="str">
        <f>IF(AND(AND(AND(OR($DX179=1,$DW179=1),OR($EC179=1,$EA179=1)),SUM($DV179:$DZ179,$EF179)&gt;=4),SUM($EA179:$EE179)&gt;=2),"Whole sector","")</f>
        <v/>
      </c>
      <c r="EL179" t="str">
        <f>IF(AND(AND(OR($DX179=1,$DW179=1),AND($EC179=0,$EA179=0)),SUM($DV179:$DZ179,$EF179)&gt;=4),"Ecosystem approach","")</f>
        <v/>
      </c>
      <c r="EM179" s="2" t="str">
        <f>IF(AND(AND(AND($DX179=0,$DW179=0),OR($EC179=1,$EA179=1)),SUM($EB179:$EE179)&gt;=2),"Technology approach","")</f>
        <v>Technology approach</v>
      </c>
      <c r="EN179"/>
      <c r="EO179"/>
      <c r="EP179" t="str">
        <f>IF(ISNUMBER(BU179),IF(ABS(BU179-[1]QC_indicators!$B$2)&gt;3*[1]QC_indicators!$C$2,"C ratio",IF(ISNUMBER(BY179),IF(ABS(BY179-[1]QC_indicators!$B$1)&gt;3*[1]QC_indicators!$C$1,"DF","no"))),IF(ISNUMBER(BY179),IF(ABS(BY179-[1]QC_indicators!$B$1)&gt;3*[1]QC_indicators!$C$1,"DF","no")))</f>
        <v>no</v>
      </c>
      <c r="EQ179"/>
      <c r="ER179" s="149"/>
      <c r="ES179"/>
      <c r="ET179" s="266" t="s">
        <v>3409</v>
      </c>
      <c r="EU179"/>
    </row>
    <row r="180" spans="1:151" s="139" customFormat="1" ht="15" hidden="1" customHeight="1">
      <c r="A180" s="1" t="s">
        <v>588</v>
      </c>
      <c r="B180" t="s">
        <v>1450</v>
      </c>
      <c r="C180" t="s">
        <v>1451</v>
      </c>
      <c r="D180" t="s">
        <v>1452</v>
      </c>
      <c r="E180" t="s">
        <v>1453</v>
      </c>
      <c r="F180" t="s">
        <v>1454</v>
      </c>
      <c r="G180" t="s">
        <v>594</v>
      </c>
      <c r="H180" t="s">
        <v>255</v>
      </c>
      <c r="I180">
        <v>2020</v>
      </c>
      <c r="J180">
        <v>12</v>
      </c>
      <c r="K180" t="s">
        <v>1455</v>
      </c>
      <c r="L180"/>
      <c r="M180" t="str">
        <f>LEFT($D180,FIND(",",$D180)-1)&amp;"_"&amp;I180&amp;L180</f>
        <v>Elisa_2020</v>
      </c>
      <c r="N180" s="266" t="s">
        <v>223</v>
      </c>
      <c r="O180" s="171" t="s">
        <v>275</v>
      </c>
      <c r="P180" t="s">
        <v>224</v>
      </c>
      <c r="Q180" s="266" t="s">
        <v>390</v>
      </c>
      <c r="R180" s="271" t="s">
        <v>1156</v>
      </c>
      <c r="S180" s="154" t="s">
        <v>1456</v>
      </c>
      <c r="T180" s="296" t="s">
        <v>1457</v>
      </c>
      <c r="U180" s="143" t="s">
        <v>1505</v>
      </c>
      <c r="V180">
        <v>0</v>
      </c>
      <c r="W180">
        <v>0</v>
      </c>
      <c r="X180">
        <v>0</v>
      </c>
      <c r="Y180">
        <v>0</v>
      </c>
      <c r="Z180">
        <v>0</v>
      </c>
      <c r="AA180">
        <v>0</v>
      </c>
      <c r="AB180">
        <v>0</v>
      </c>
      <c r="AC180">
        <v>0</v>
      </c>
      <c r="AD180">
        <v>0</v>
      </c>
      <c r="AE180">
        <v>1</v>
      </c>
      <c r="AF180">
        <v>0</v>
      </c>
      <c r="AG180">
        <v>0</v>
      </c>
      <c r="AH180">
        <v>0</v>
      </c>
      <c r="AI180">
        <v>0</v>
      </c>
      <c r="AJ180">
        <v>0</v>
      </c>
      <c r="AK180">
        <v>1</v>
      </c>
      <c r="AL180">
        <v>0</v>
      </c>
      <c r="AM180">
        <v>0</v>
      </c>
      <c r="AN180">
        <v>0</v>
      </c>
      <c r="AO180">
        <v>0</v>
      </c>
      <c r="AP180">
        <v>0</v>
      </c>
      <c r="AQ180">
        <v>0</v>
      </c>
      <c r="AR180">
        <v>0</v>
      </c>
      <c r="AS180">
        <v>0</v>
      </c>
      <c r="AT180">
        <v>0</v>
      </c>
      <c r="AU180">
        <v>0</v>
      </c>
      <c r="AV180">
        <v>0</v>
      </c>
      <c r="AW180">
        <v>0</v>
      </c>
      <c r="AX180" s="141">
        <f>COUNTIF(V180:AW180,"&lt;&gt;0")</f>
        <v>2</v>
      </c>
      <c r="AY180" s="141">
        <f>COUNTIF(V180:AL180,"&lt;&gt;0")</f>
        <v>2</v>
      </c>
      <c r="AZ180">
        <f>COUNTIF(V180:AC180,"&lt;&gt;0")</f>
        <v>0</v>
      </c>
      <c r="BA180">
        <f>COUNTIF(AD180:AI180,"&lt;&gt;0")</f>
        <v>1</v>
      </c>
      <c r="BB180">
        <f>COUNTIF(AJ180:AL180,"&lt;&gt;0")</f>
        <v>1</v>
      </c>
      <c r="BC180">
        <f>COUNTIF(AS180:AW180,"&lt;&gt;0")</f>
        <v>0</v>
      </c>
      <c r="BD180">
        <f>COUNTIF(AM180:AR180,"&lt;&gt;0")</f>
        <v>0</v>
      </c>
      <c r="BE180" t="str" cm="1">
        <f t="array" ref="BE180">IF(AY180=1,INDEX($V$7:$AL$7,MATCH(TRUE,INDEX($V180:$AW180&lt;&gt;0,),0)),IF(AY180=0,INDEX($AM$7:$AW$7,MATCH(1,$AM180:$AW180,0)),IF(BF180="Multiple strategies","mixed drivers",IF(BF180="Supply chain","multiple supply","multiple silviculture"))))</f>
        <v>mixed drivers</v>
      </c>
      <c r="BF180" s="2" t="str" cm="1">
        <f t="array" ref="BF180">IF(COUNTIF(AZ180:BB180,"&lt;&gt;0")=1,INDEX($V$4:$AW$4,MATCH(TRUE,INDEX($V180:$AW180&lt;&gt;0,),0)),IF(COUNTIF(AZ180:BB180,"&lt;&gt;0")=0,INDEX($AM$4:$AW$4,MATCH(1,$AM180:$AW180,0)),"Multiple strategies"))</f>
        <v>Multiple strategies</v>
      </c>
      <c r="BG180" s="142" t="s">
        <v>322</v>
      </c>
      <c r="BH180" s="160" t="s">
        <v>1459</v>
      </c>
      <c r="BI180" s="160" t="s">
        <v>1460</v>
      </c>
      <c r="BJ180" s="143" t="s">
        <v>499</v>
      </c>
      <c r="BK180" s="143">
        <v>944</v>
      </c>
      <c r="BL180" s="143">
        <v>170044</v>
      </c>
      <c r="BM180">
        <f>IFERROR(BL191/BK180,"")</f>
        <v>4.2372881355932206</v>
      </c>
      <c r="BN180">
        <f>BL180-BK180</f>
        <v>169100</v>
      </c>
      <c r="BO180" s="159">
        <f>BN180</f>
        <v>169100</v>
      </c>
      <c r="BP180" s="155" t="s">
        <v>233</v>
      </c>
      <c r="BQ180" s="313" t="s">
        <v>1461</v>
      </c>
      <c r="BR180" s="155" t="s">
        <v>827</v>
      </c>
      <c r="BS180" s="143" t="s">
        <v>1465</v>
      </c>
      <c r="BT180" t="s">
        <v>1509</v>
      </c>
      <c r="BU180" s="144">
        <f>BT180/BS180</f>
        <v>28.512730746654743</v>
      </c>
      <c r="BV180">
        <f>BT180-BS180</f>
        <v>-190.13064638888901</v>
      </c>
      <c r="BW180"/>
      <c r="BX180">
        <f>BV180</f>
        <v>-190.13064638888901</v>
      </c>
      <c r="BY180">
        <f>IFERROR(BX180/BO180,"")</f>
        <v>-1.1243681040147191E-3</v>
      </c>
      <c r="BZ180">
        <v>0</v>
      </c>
      <c r="CA180">
        <v>0</v>
      </c>
      <c r="CB180">
        <v>0</v>
      </c>
      <c r="CC180">
        <v>0</v>
      </c>
      <c r="CD180">
        <v>0</v>
      </c>
      <c r="CE180">
        <v>0</v>
      </c>
      <c r="CF180">
        <v>0</v>
      </c>
      <c r="CG180">
        <v>0</v>
      </c>
      <c r="CH180">
        <v>0</v>
      </c>
      <c r="CI180">
        <v>0</v>
      </c>
      <c r="CJ180">
        <v>0</v>
      </c>
      <c r="CK180">
        <v>0</v>
      </c>
      <c r="CL180">
        <v>0</v>
      </c>
      <c r="CM180">
        <v>0</v>
      </c>
      <c r="CN180" t="str">
        <f>IF($BL180&lt;$BK180,"refNeedCorrection","refOK")</f>
        <v>refOK</v>
      </c>
      <c r="CO180">
        <f>IF($CN180="refOK",$BK180,$BL180)</f>
        <v>944</v>
      </c>
      <c r="CP180">
        <f>IF($CN180="refOK",$BL180,$BK180)</f>
        <v>170044</v>
      </c>
      <c r="CQ180">
        <f>IF($CN180="refOK",$BO180,-$BO180)</f>
        <v>169100</v>
      </c>
      <c r="CR180">
        <f>IF($CN180="refOK",$BS180,$BT180)*IF($BP180="Emissions positive",-1,1)</f>
        <v>-6.9106424999999998</v>
      </c>
      <c r="CS180">
        <f>IF($CN180="refOK",$BT180,$BS180)*IF($BP180="Emissions positive",-1,1)</f>
        <v>-197.041288888889</v>
      </c>
      <c r="CT180">
        <f>IF($CN180="refNeedCorrection",-BX180,BX180)*IF($BP180="Emissions positive",-1,1)</f>
        <v>-190.13064638888901</v>
      </c>
      <c r="CU180">
        <f>IFERROR(CT180/CQ180,"")</f>
        <v>-1.1243681040147191E-3</v>
      </c>
      <c r="CV180" s="2">
        <f>IFERROR((CS180-CR180)/ABS(CR180),"")</f>
        <v>-27.512730746654743</v>
      </c>
      <c r="CW180" s="265" t="s">
        <v>1464</v>
      </c>
      <c r="CX180" s="266" t="str">
        <f>IF(OR($CW180="prd",$CW180="std",$CW180="cit"),"loc",IF(OR($CW180="eur",$CW180="reg",$CW180="coy"),"reg",$CW180))</f>
        <v>reg</v>
      </c>
      <c r="CY180" s="272" t="s">
        <v>745</v>
      </c>
      <c r="CZ180"/>
      <c r="DA180" s="143"/>
      <c r="DB180" s="143">
        <v>0</v>
      </c>
      <c r="DC180" t="str">
        <f>IF(DB180=0,"0",IF(AND(DB180&gt;=1,DB180&lt;=30),"1-30",IF(AND(DB180&gt;30,DB180&lt;=70),"31-70",IF(AND(DB180&gt;70,DB180&lt;=100),"71-100",IF(DB180&gt;100,"+100")))))</f>
        <v>0</v>
      </c>
      <c r="DD180">
        <v>0</v>
      </c>
      <c r="DE180">
        <v>1</v>
      </c>
      <c r="DF180">
        <v>0</v>
      </c>
      <c r="DG180">
        <v>0</v>
      </c>
      <c r="DH180">
        <v>0</v>
      </c>
      <c r="DI180">
        <f>SUM(DD180:DH180)</f>
        <v>1</v>
      </c>
      <c r="DJ180" t="str">
        <f>IF(DI180=1,INDEX($DD$7:$DG$7,MATCH(1,$DD180:$DG180,0)),"mixedProduct")</f>
        <v>EnergyInput</v>
      </c>
      <c r="DK180">
        <f>IF(DD180=1,DK$7,0)</f>
        <v>0</v>
      </c>
      <c r="DL180" t="str">
        <f>IF(DE180=1,DL$7,0)</f>
        <v>Energy</v>
      </c>
      <c r="DM180">
        <f>IF(DF180=1,DM$7,0)</f>
        <v>0</v>
      </c>
      <c r="DN180">
        <f>IF(DG180=1,DN$7,0)</f>
        <v>0</v>
      </c>
      <c r="DO180">
        <v>0</v>
      </c>
      <c r="DP180" s="143">
        <v>0</v>
      </c>
      <c r="DQ180" s="143">
        <v>0</v>
      </c>
      <c r="DR180">
        <v>0</v>
      </c>
      <c r="DS180" s="143">
        <v>0</v>
      </c>
      <c r="DT180">
        <f>SUM(DO180:DP180)</f>
        <v>0</v>
      </c>
      <c r="DU180" s="143" t="str">
        <f>IF(DO180=1,"self-calculated DF",IF(DP180=1,"external DF used","explicit C balance"))</f>
        <v>explicit C balance</v>
      </c>
      <c r="DV180" s="143">
        <v>0</v>
      </c>
      <c r="DW180" s="143">
        <v>0</v>
      </c>
      <c r="DX180" s="143">
        <v>0</v>
      </c>
      <c r="DY180" s="143">
        <v>0</v>
      </c>
      <c r="DZ180">
        <v>0</v>
      </c>
      <c r="EA180" s="143">
        <v>0</v>
      </c>
      <c r="EB180" s="143">
        <v>0</v>
      </c>
      <c r="EC180" s="143">
        <v>1</v>
      </c>
      <c r="ED180" s="143">
        <v>0</v>
      </c>
      <c r="EE180">
        <v>1</v>
      </c>
      <c r="EF180">
        <v>0</v>
      </c>
      <c r="EG180" s="143">
        <v>0</v>
      </c>
      <c r="EH180" s="143">
        <v>0</v>
      </c>
      <c r="EI180" s="2">
        <v>0</v>
      </c>
      <c r="EJ180" s="1"/>
      <c r="EK180" t="str">
        <f>IF(AND(AND(AND(OR($DX180=1,$DW180=1),OR($EC180=1,$EA180=1)),SUM($DV180:$DZ180,$EF180)&gt;=4),SUM($EA180:$EE180)&gt;=2),"Whole sector","")</f>
        <v/>
      </c>
      <c r="EL180" t="str">
        <f>IF(AND(AND(OR($DX180=1,$DW180=1),AND($EC180=0,$EA180=0)),SUM($DV180:$DZ180,$EF180)&gt;=4),"Ecosystem approach","")</f>
        <v/>
      </c>
      <c r="EM180" s="2" t="str">
        <f>IF(AND(AND(AND($DX180=0,$DW180=0),OR($EC180=1,$EA180=1)),SUM($EB180:$EE180)&gt;=2),"Technology approach","")</f>
        <v>Technology approach</v>
      </c>
      <c r="EN180"/>
      <c r="EO180"/>
      <c r="EP180" t="str">
        <f>IF(ISNUMBER(BU180),IF(ABS(BU180-[1]QC_indicators!$B$2)&gt;3*[1]QC_indicators!$C$2,"C ratio",IF(ISNUMBER(BY180),IF(ABS(BY180-[1]QC_indicators!$B$1)&gt;3*[1]QC_indicators!$C$1,"DF","no"))),IF(ISNUMBER(BY180),IF(ABS(BY180-[1]QC_indicators!$B$1)&gt;3*[1]QC_indicators!$C$1,"DF","no")))</f>
        <v>no</v>
      </c>
      <c r="EQ180"/>
      <c r="ER180" s="149"/>
      <c r="ES180"/>
      <c r="ET180" s="266" t="s">
        <v>3409</v>
      </c>
      <c r="EU180"/>
    </row>
    <row r="181" spans="1:151" s="139" customFormat="1" ht="15" hidden="1" customHeight="1">
      <c r="A181" s="1" t="s">
        <v>588</v>
      </c>
      <c r="B181" t="s">
        <v>1450</v>
      </c>
      <c r="C181" t="s">
        <v>1451</v>
      </c>
      <c r="D181" t="s">
        <v>1452</v>
      </c>
      <c r="E181" t="s">
        <v>1453</v>
      </c>
      <c r="F181" t="s">
        <v>1454</v>
      </c>
      <c r="G181" t="s">
        <v>594</v>
      </c>
      <c r="H181" t="s">
        <v>255</v>
      </c>
      <c r="I181">
        <v>2020</v>
      </c>
      <c r="J181">
        <v>12</v>
      </c>
      <c r="K181" t="s">
        <v>1455</v>
      </c>
      <c r="L181"/>
      <c r="M181" t="str">
        <f>LEFT($D181,FIND(",",$D181)-1)&amp;"_"&amp;I181&amp;L181</f>
        <v>Elisa_2020</v>
      </c>
      <c r="N181" s="266" t="s">
        <v>223</v>
      </c>
      <c r="O181" s="171" t="s">
        <v>275</v>
      </c>
      <c r="P181" t="s">
        <v>224</v>
      </c>
      <c r="Q181" s="266" t="s">
        <v>390</v>
      </c>
      <c r="R181" s="271" t="s">
        <v>1156</v>
      </c>
      <c r="S181" s="154" t="s">
        <v>1456</v>
      </c>
      <c r="T181" s="296" t="s">
        <v>1457</v>
      </c>
      <c r="U181" s="143" t="s">
        <v>1507</v>
      </c>
      <c r="V181">
        <v>0</v>
      </c>
      <c r="W181">
        <v>0</v>
      </c>
      <c r="X181">
        <v>0</v>
      </c>
      <c r="Y181">
        <v>0</v>
      </c>
      <c r="Z181">
        <v>0</v>
      </c>
      <c r="AA181">
        <v>0</v>
      </c>
      <c r="AB181">
        <v>0</v>
      </c>
      <c r="AC181">
        <v>0</v>
      </c>
      <c r="AD181">
        <v>0</v>
      </c>
      <c r="AE181">
        <v>1</v>
      </c>
      <c r="AF181">
        <v>0</v>
      </c>
      <c r="AG181">
        <v>0</v>
      </c>
      <c r="AH181">
        <v>0</v>
      </c>
      <c r="AI181">
        <v>0</v>
      </c>
      <c r="AJ181">
        <v>0</v>
      </c>
      <c r="AK181">
        <v>1</v>
      </c>
      <c r="AL181">
        <v>0</v>
      </c>
      <c r="AM181">
        <v>0</v>
      </c>
      <c r="AN181">
        <v>0</v>
      </c>
      <c r="AO181">
        <v>0</v>
      </c>
      <c r="AP181">
        <v>0</v>
      </c>
      <c r="AQ181">
        <v>0</v>
      </c>
      <c r="AR181">
        <v>0</v>
      </c>
      <c r="AS181">
        <v>0</v>
      </c>
      <c r="AT181">
        <v>0</v>
      </c>
      <c r="AU181">
        <v>0</v>
      </c>
      <c r="AV181">
        <v>0</v>
      </c>
      <c r="AW181">
        <v>0</v>
      </c>
      <c r="AX181" s="141">
        <f>COUNTIF(V181:AW181,"&lt;&gt;0")</f>
        <v>2</v>
      </c>
      <c r="AY181" s="141">
        <f>COUNTIF(V181:AL181,"&lt;&gt;0")</f>
        <v>2</v>
      </c>
      <c r="AZ181">
        <f>COUNTIF(V181:AC181,"&lt;&gt;0")</f>
        <v>0</v>
      </c>
      <c r="BA181">
        <f>COUNTIF(AD181:AI181,"&lt;&gt;0")</f>
        <v>1</v>
      </c>
      <c r="BB181">
        <f>COUNTIF(AJ181:AL181,"&lt;&gt;0")</f>
        <v>1</v>
      </c>
      <c r="BC181">
        <f>COUNTIF(AS181:AW181,"&lt;&gt;0")</f>
        <v>0</v>
      </c>
      <c r="BD181">
        <f>COUNTIF(AM181:AR181,"&lt;&gt;0")</f>
        <v>0</v>
      </c>
      <c r="BE181" t="str" cm="1">
        <f t="array" ref="BE181">IF(AY181=1,INDEX($V$7:$AL$7,MATCH(TRUE,INDEX($V181:$AW181&lt;&gt;0,),0)),IF(AY181=0,INDEX($AM$7:$AW$7,MATCH(1,$AM181:$AW181,0)),IF(BF181="Multiple strategies","mixed drivers",IF(BF181="Supply chain","multiple supply","multiple silviculture"))))</f>
        <v>mixed drivers</v>
      </c>
      <c r="BF181" s="2" t="str" cm="1">
        <f t="array" ref="BF181">IF(COUNTIF(AZ181:BB181,"&lt;&gt;0")=1,INDEX($V$4:$AW$4,MATCH(TRUE,INDEX($V181:$AW181&lt;&gt;0,),0)),IF(COUNTIF(AZ181:BB181,"&lt;&gt;0")=0,INDEX($AM$4:$AW$4,MATCH(1,$AM181:$AW181,0)),"Multiple strategies"))</f>
        <v>Multiple strategies</v>
      </c>
      <c r="BG181" s="142" t="s">
        <v>322</v>
      </c>
      <c r="BH181" s="160" t="s">
        <v>1459</v>
      </c>
      <c r="BI181" s="160" t="s">
        <v>1460</v>
      </c>
      <c r="BJ181" s="143" t="s">
        <v>499</v>
      </c>
      <c r="BK181" s="143">
        <v>944</v>
      </c>
      <c r="BL181" s="143">
        <v>106341</v>
      </c>
      <c r="BM181">
        <f>IFERROR(BL183/BK181,"")</f>
        <v>13.771186440677965</v>
      </c>
      <c r="BN181">
        <f>BL181-BK181</f>
        <v>105397</v>
      </c>
      <c r="BO181" s="159">
        <f>BN181</f>
        <v>105397</v>
      </c>
      <c r="BP181" s="155" t="s">
        <v>233</v>
      </c>
      <c r="BQ181" s="313" t="s">
        <v>1461</v>
      </c>
      <c r="BR181" s="155" t="s">
        <v>827</v>
      </c>
      <c r="BS181" s="143" t="s">
        <v>1465</v>
      </c>
      <c r="BT181" t="s">
        <v>1510</v>
      </c>
      <c r="BU181" s="144">
        <f>BT181/BS181</f>
        <v>17.76397258125985</v>
      </c>
      <c r="BV181">
        <f>BT181-BS181</f>
        <v>-115.84982138888901</v>
      </c>
      <c r="BW181"/>
      <c r="BX181">
        <f>BV181</f>
        <v>-115.84982138888901</v>
      </c>
      <c r="BY181">
        <f>IFERROR(BX181/BO181,"")</f>
        <v>-1.099175701290255E-3</v>
      </c>
      <c r="BZ181">
        <v>0</v>
      </c>
      <c r="CA181">
        <v>0</v>
      </c>
      <c r="CB181">
        <v>0</v>
      </c>
      <c r="CC181">
        <v>0</v>
      </c>
      <c r="CD181">
        <v>0</v>
      </c>
      <c r="CE181">
        <v>0</v>
      </c>
      <c r="CF181">
        <v>0</v>
      </c>
      <c r="CG181">
        <v>0</v>
      </c>
      <c r="CH181">
        <v>0</v>
      </c>
      <c r="CI181">
        <v>0</v>
      </c>
      <c r="CJ181">
        <v>0</v>
      </c>
      <c r="CK181">
        <v>0</v>
      </c>
      <c r="CL181">
        <v>0</v>
      </c>
      <c r="CM181">
        <v>0</v>
      </c>
      <c r="CN181" t="str">
        <f>IF($BL181&lt;$BK181,"refNeedCorrection","refOK")</f>
        <v>refOK</v>
      </c>
      <c r="CO181">
        <f>IF($CN181="refOK",$BK181,$BL181)</f>
        <v>944</v>
      </c>
      <c r="CP181">
        <f>IF($CN181="refOK",$BL181,$BK181)</f>
        <v>106341</v>
      </c>
      <c r="CQ181">
        <f>IF($CN181="refOK",$BO181,-$BO181)</f>
        <v>105397</v>
      </c>
      <c r="CR181">
        <f>IF($CN181="refOK",$BS181,$BT181)*IF($BP181="Emissions positive",-1,1)</f>
        <v>-6.9106424999999998</v>
      </c>
      <c r="CS181">
        <f>IF($CN181="refOK",$BT181,$BS181)*IF($BP181="Emissions positive",-1,1)</f>
        <v>-122.76046388888901</v>
      </c>
      <c r="CT181">
        <f>IF($CN181="refNeedCorrection",-BX181,BX181)*IF($BP181="Emissions positive",-1,1)</f>
        <v>-115.84982138888901</v>
      </c>
      <c r="CU181">
        <f>IFERROR(CT181/CQ181,"")</f>
        <v>-1.099175701290255E-3</v>
      </c>
      <c r="CV181" s="2">
        <f>IFERROR((CS181-CR181)/ABS(CR181),"")</f>
        <v>-16.76397258125985</v>
      </c>
      <c r="CW181" s="265" t="s">
        <v>1464</v>
      </c>
      <c r="CX181" s="266" t="str">
        <f>IF(OR($CW181="prd",$CW181="std",$CW181="cit"),"loc",IF(OR($CW181="eur",$CW181="reg",$CW181="coy"),"reg",$CW181))</f>
        <v>reg</v>
      </c>
      <c r="CY181" s="272" t="s">
        <v>745</v>
      </c>
      <c r="CZ181"/>
      <c r="DA181" s="143"/>
      <c r="DB181" s="143">
        <v>0</v>
      </c>
      <c r="DC181" t="str">
        <f>IF(DB181=0,"0",IF(AND(DB181&gt;=1,DB181&lt;=30),"1-30",IF(AND(DB181&gt;30,DB181&lt;=70),"31-70",IF(AND(DB181&gt;70,DB181&lt;=100),"71-100",IF(DB181&gt;100,"+100")))))</f>
        <v>0</v>
      </c>
      <c r="DD181">
        <v>0</v>
      </c>
      <c r="DE181">
        <v>1</v>
      </c>
      <c r="DF181">
        <v>0</v>
      </c>
      <c r="DG181">
        <v>0</v>
      </c>
      <c r="DH181">
        <v>0</v>
      </c>
      <c r="DI181">
        <f>SUM(DD181:DH181)</f>
        <v>1</v>
      </c>
      <c r="DJ181" t="str">
        <f>IF(DI181=1,INDEX($DD$7:$DG$7,MATCH(1,$DD181:$DG181,0)),"mixedProduct")</f>
        <v>EnergyInput</v>
      </c>
      <c r="DK181">
        <f>IF(DD181=1,DK$7,0)</f>
        <v>0</v>
      </c>
      <c r="DL181" t="str">
        <f>IF(DE181=1,DL$7,0)</f>
        <v>Energy</v>
      </c>
      <c r="DM181">
        <f>IF(DF181=1,DM$7,0)</f>
        <v>0</v>
      </c>
      <c r="DN181">
        <f>IF(DG181=1,DN$7,0)</f>
        <v>0</v>
      </c>
      <c r="DO181">
        <v>0</v>
      </c>
      <c r="DP181" s="143">
        <v>0</v>
      </c>
      <c r="DQ181" s="143">
        <v>0</v>
      </c>
      <c r="DR181">
        <v>0</v>
      </c>
      <c r="DS181" s="143">
        <v>0</v>
      </c>
      <c r="DT181">
        <f>SUM(DO181:DP181)</f>
        <v>0</v>
      </c>
      <c r="DU181" s="143" t="str">
        <f>IF(DO181=1,"self-calculated DF",IF(DP181=1,"external DF used","explicit C balance"))</f>
        <v>explicit C balance</v>
      </c>
      <c r="DV181" s="143">
        <v>0</v>
      </c>
      <c r="DW181" s="143">
        <v>0</v>
      </c>
      <c r="DX181" s="143">
        <v>0</v>
      </c>
      <c r="DY181" s="143">
        <v>0</v>
      </c>
      <c r="DZ181">
        <v>0</v>
      </c>
      <c r="EA181" s="143">
        <v>0</v>
      </c>
      <c r="EB181" s="143">
        <v>0</v>
      </c>
      <c r="EC181" s="143">
        <v>1</v>
      </c>
      <c r="ED181" s="143">
        <v>0</v>
      </c>
      <c r="EE181">
        <v>1</v>
      </c>
      <c r="EF181">
        <v>0</v>
      </c>
      <c r="EG181" s="143">
        <v>0</v>
      </c>
      <c r="EH181" s="143">
        <v>0</v>
      </c>
      <c r="EI181" s="2">
        <v>0</v>
      </c>
      <c r="EJ181" s="1"/>
      <c r="EK181" t="str">
        <f>IF(AND(AND(AND(OR($DX181=1,$DW181=1),OR($EC181=1,$EA181=1)),SUM($DV181:$DZ181,$EF181)&gt;=4),SUM($EA181:$EE181)&gt;=2),"Whole sector","")</f>
        <v/>
      </c>
      <c r="EL181" t="str">
        <f>IF(AND(AND(OR($DX181=1,$DW181=1),AND($EC181=0,$EA181=0)),SUM($DV181:$DZ181,$EF181)&gt;=4),"Ecosystem approach","")</f>
        <v/>
      </c>
      <c r="EM181" s="2" t="str">
        <f>IF(AND(AND(AND($DX181=0,$DW181=0),OR($EC181=1,$EA181=1)),SUM($EB181:$EE181)&gt;=2),"Technology approach","")</f>
        <v>Technology approach</v>
      </c>
      <c r="EN181"/>
      <c r="EO181"/>
      <c r="EP181" t="str">
        <f>IF(ISNUMBER(BU181),IF(ABS(BU181-[1]QC_indicators!$B$2)&gt;3*[1]QC_indicators!$C$2,"C ratio",IF(ISNUMBER(BY181),IF(ABS(BY181-[1]QC_indicators!$B$1)&gt;3*[1]QC_indicators!$C$1,"DF","no"))),IF(ISNUMBER(BY181),IF(ABS(BY181-[1]QC_indicators!$B$1)&gt;3*[1]QC_indicators!$C$1,"DF","no")))</f>
        <v>no</v>
      </c>
      <c r="EQ181"/>
      <c r="ER181" s="149"/>
      <c r="ES181"/>
      <c r="ET181" s="266" t="s">
        <v>3409</v>
      </c>
      <c r="EU181"/>
    </row>
    <row r="182" spans="1:151" s="139" customFormat="1" ht="15" hidden="1" customHeight="1">
      <c r="A182" s="1" t="s">
        <v>588</v>
      </c>
      <c r="B182" t="s">
        <v>1450</v>
      </c>
      <c r="C182" t="s">
        <v>1451</v>
      </c>
      <c r="D182" t="s">
        <v>1452</v>
      </c>
      <c r="E182" t="s">
        <v>1453</v>
      </c>
      <c r="F182" t="s">
        <v>1454</v>
      </c>
      <c r="G182" t="s">
        <v>594</v>
      </c>
      <c r="H182" t="s">
        <v>255</v>
      </c>
      <c r="I182">
        <v>2020</v>
      </c>
      <c r="J182">
        <v>12</v>
      </c>
      <c r="K182" t="s">
        <v>1455</v>
      </c>
      <c r="L182"/>
      <c r="M182" t="str">
        <f>LEFT($D182,FIND(",",$D182)-1)&amp;"_"&amp;I182&amp;L182</f>
        <v>Elisa_2020</v>
      </c>
      <c r="N182" s="266" t="s">
        <v>223</v>
      </c>
      <c r="O182" s="171" t="s">
        <v>275</v>
      </c>
      <c r="P182" t="s">
        <v>224</v>
      </c>
      <c r="Q182" s="266" t="s">
        <v>390</v>
      </c>
      <c r="R182" s="271" t="s">
        <v>1156</v>
      </c>
      <c r="S182" s="154" t="s">
        <v>1456</v>
      </c>
      <c r="T182" s="296" t="s">
        <v>1457</v>
      </c>
      <c r="U182" s="143" t="s">
        <v>1511</v>
      </c>
      <c r="V182">
        <v>0</v>
      </c>
      <c r="W182">
        <v>0</v>
      </c>
      <c r="X182">
        <v>0</v>
      </c>
      <c r="Y182">
        <v>0</v>
      </c>
      <c r="Z182">
        <v>0</v>
      </c>
      <c r="AA182">
        <v>0</v>
      </c>
      <c r="AB182">
        <v>0</v>
      </c>
      <c r="AC182">
        <v>0</v>
      </c>
      <c r="AD182">
        <v>0</v>
      </c>
      <c r="AE182">
        <v>1</v>
      </c>
      <c r="AF182">
        <v>0</v>
      </c>
      <c r="AG182">
        <v>0</v>
      </c>
      <c r="AH182">
        <v>0</v>
      </c>
      <c r="AI182">
        <v>0</v>
      </c>
      <c r="AJ182">
        <v>0</v>
      </c>
      <c r="AK182">
        <v>1</v>
      </c>
      <c r="AL182">
        <v>0</v>
      </c>
      <c r="AM182">
        <v>0</v>
      </c>
      <c r="AN182">
        <v>0</v>
      </c>
      <c r="AO182">
        <v>0</v>
      </c>
      <c r="AP182">
        <v>0</v>
      </c>
      <c r="AQ182">
        <v>0</v>
      </c>
      <c r="AR182">
        <v>0</v>
      </c>
      <c r="AS182">
        <v>0</v>
      </c>
      <c r="AT182">
        <v>0</v>
      </c>
      <c r="AU182">
        <v>0</v>
      </c>
      <c r="AV182">
        <v>0</v>
      </c>
      <c r="AW182">
        <v>0</v>
      </c>
      <c r="AX182" s="141">
        <f>COUNTIF(V182:AW182,"&lt;&gt;0")</f>
        <v>2</v>
      </c>
      <c r="AY182" s="141">
        <f>COUNTIF(V182:AL182,"&lt;&gt;0")</f>
        <v>2</v>
      </c>
      <c r="AZ182">
        <f>COUNTIF(V182:AC182,"&lt;&gt;0")</f>
        <v>0</v>
      </c>
      <c r="BA182">
        <f>COUNTIF(AD182:AI182,"&lt;&gt;0")</f>
        <v>1</v>
      </c>
      <c r="BB182">
        <f>COUNTIF(AJ182:AL182,"&lt;&gt;0")</f>
        <v>1</v>
      </c>
      <c r="BC182">
        <f>COUNTIF(AS182:AW182,"&lt;&gt;0")</f>
        <v>0</v>
      </c>
      <c r="BD182">
        <f>COUNTIF(AM182:AR182,"&lt;&gt;0")</f>
        <v>0</v>
      </c>
      <c r="BE182" t="str" cm="1">
        <f t="array" ref="BE182">IF(AY182=1,INDEX($V$7:$AL$7,MATCH(TRUE,INDEX($V182:$AW182&lt;&gt;0,),0)),IF(AY182=0,INDEX($AM$7:$AW$7,MATCH(1,$AM182:$AW182,0)),IF(BF182="Multiple strategies","mixed drivers",IF(BF182="Supply chain","multiple supply","multiple silviculture"))))</f>
        <v>mixed drivers</v>
      </c>
      <c r="BF182" s="2" t="str" cm="1">
        <f t="array" ref="BF182">IF(COUNTIF(AZ182:BB182,"&lt;&gt;0")=1,INDEX($V$4:$AW$4,MATCH(TRUE,INDEX($V182:$AW182&lt;&gt;0,),0)),IF(COUNTIF(AZ182:BB182,"&lt;&gt;0")=0,INDEX($AM$4:$AW$4,MATCH(1,$AM182:$AW182,0)),"Multiple strategies"))</f>
        <v>Multiple strategies</v>
      </c>
      <c r="BG182" s="142" t="s">
        <v>322</v>
      </c>
      <c r="BH182" s="160" t="s">
        <v>1459</v>
      </c>
      <c r="BI182" s="160" t="s">
        <v>1460</v>
      </c>
      <c r="BJ182" s="143" t="s">
        <v>499</v>
      </c>
      <c r="BK182" s="143">
        <v>944</v>
      </c>
      <c r="BL182" s="143">
        <v>13000</v>
      </c>
      <c r="BM182">
        <f>IFERROR(BL182/BK182,"")</f>
        <v>13.771186440677965</v>
      </c>
      <c r="BN182">
        <f>BL182-BK182</f>
        <v>12056</v>
      </c>
      <c r="BO182" s="159">
        <f>BN182</f>
        <v>12056</v>
      </c>
      <c r="BP182" s="155" t="s">
        <v>233</v>
      </c>
      <c r="BQ182" s="313" t="s">
        <v>1461</v>
      </c>
      <c r="BR182" s="155" t="s">
        <v>827</v>
      </c>
      <c r="BS182" s="143" t="s">
        <v>1462</v>
      </c>
      <c r="BT182" t="s">
        <v>1512</v>
      </c>
      <c r="BU182" s="144">
        <f>BT182/BS182</f>
        <v>2.8117701553633578</v>
      </c>
      <c r="BV182">
        <f>BT182-BS182</f>
        <v>-12.7152158333333</v>
      </c>
      <c r="BW182"/>
      <c r="BX182">
        <f>BV182</f>
        <v>-12.7152158333333</v>
      </c>
      <c r="BY182">
        <f>IFERROR(BX182/BO182,"")</f>
        <v>-1.0546794818624171E-3</v>
      </c>
      <c r="BZ182">
        <v>0</v>
      </c>
      <c r="CA182">
        <v>0</v>
      </c>
      <c r="CB182">
        <v>0</v>
      </c>
      <c r="CC182">
        <v>0</v>
      </c>
      <c r="CD182">
        <v>0</v>
      </c>
      <c r="CE182">
        <v>0</v>
      </c>
      <c r="CF182">
        <v>0</v>
      </c>
      <c r="CG182">
        <v>0</v>
      </c>
      <c r="CH182">
        <v>0</v>
      </c>
      <c r="CI182">
        <v>0</v>
      </c>
      <c r="CJ182">
        <v>0</v>
      </c>
      <c r="CK182">
        <v>0</v>
      </c>
      <c r="CL182">
        <v>0</v>
      </c>
      <c r="CM182">
        <v>0</v>
      </c>
      <c r="CN182" t="str">
        <f>IF($BL182&lt;$BK182,"refNeedCorrection","refOK")</f>
        <v>refOK</v>
      </c>
      <c r="CO182">
        <f>IF($CN182="refOK",$BK182,$BL182)</f>
        <v>944</v>
      </c>
      <c r="CP182">
        <f>IF($CN182="refOK",$BL182,$BK182)</f>
        <v>13000</v>
      </c>
      <c r="CQ182">
        <f>IF($CN182="refOK",$BO182,-$BO182)</f>
        <v>12056</v>
      </c>
      <c r="CR182">
        <f>IF($CN182="refOK",$BS182,$BT182)*IF($BP182="Emissions positive",-1,1)</f>
        <v>-7.0181174999999998</v>
      </c>
      <c r="CS182">
        <f>IF($CN182="refOK",$BT182,$BS182)*IF($BP182="Emissions positive",-1,1)</f>
        <v>-19.733333333333299</v>
      </c>
      <c r="CT182">
        <f>IF($CN182="refNeedCorrection",-BX182,BX182)*IF($BP182="Emissions positive",-1,1)</f>
        <v>-12.7152158333333</v>
      </c>
      <c r="CU182">
        <f>IFERROR(CT182/CQ182,"")</f>
        <v>-1.0546794818624171E-3</v>
      </c>
      <c r="CV182" s="2">
        <f>IFERROR((CS182-CR182)/ABS(CR182),"")</f>
        <v>-1.8117701553633578</v>
      </c>
      <c r="CW182" s="265" t="s">
        <v>1464</v>
      </c>
      <c r="CX182" s="266" t="str">
        <f>IF(OR($CW182="prd",$CW182="std",$CW182="cit"),"loc",IF(OR($CW182="eur",$CW182="reg",$CW182="coy"),"reg",$CW182))</f>
        <v>reg</v>
      </c>
      <c r="CY182" s="272" t="s">
        <v>745</v>
      </c>
      <c r="CZ182"/>
      <c r="DA182" s="143"/>
      <c r="DB182" s="143">
        <v>0</v>
      </c>
      <c r="DC182" t="str">
        <f>IF(DB182=0,"0",IF(AND(DB182&gt;=1,DB182&lt;=30),"1-30",IF(AND(DB182&gt;30,DB182&lt;=70),"31-70",IF(AND(DB182&gt;70,DB182&lt;=100),"71-100",IF(DB182&gt;100,"+100")))))</f>
        <v>0</v>
      </c>
      <c r="DD182">
        <v>0</v>
      </c>
      <c r="DE182">
        <v>1</v>
      </c>
      <c r="DF182">
        <v>0</v>
      </c>
      <c r="DG182">
        <v>0</v>
      </c>
      <c r="DH182">
        <v>0</v>
      </c>
      <c r="DI182">
        <f>SUM(DD182:DH182)</f>
        <v>1</v>
      </c>
      <c r="DJ182" t="str">
        <f>IF(DI182=1,INDEX($DD$7:$DG$7,MATCH(1,$DD182:$DG182,0)),"mixedProduct")</f>
        <v>EnergyInput</v>
      </c>
      <c r="DK182">
        <f>IF(DD182=1,DK$7,0)</f>
        <v>0</v>
      </c>
      <c r="DL182" t="str">
        <f>IF(DE182=1,DL$7,0)</f>
        <v>Energy</v>
      </c>
      <c r="DM182">
        <f>IF(DF182=1,DM$7,0)</f>
        <v>0</v>
      </c>
      <c r="DN182">
        <f>IF(DG182=1,DN$7,0)</f>
        <v>0</v>
      </c>
      <c r="DO182">
        <v>0</v>
      </c>
      <c r="DP182" s="143">
        <v>0</v>
      </c>
      <c r="DQ182" s="143">
        <v>0</v>
      </c>
      <c r="DR182">
        <v>0</v>
      </c>
      <c r="DS182" s="143">
        <v>0</v>
      </c>
      <c r="DT182">
        <f>SUM(DO182:DP182)</f>
        <v>0</v>
      </c>
      <c r="DU182" s="143" t="str">
        <f>IF(DO182=1,"self-calculated DF",IF(DP182=1,"external DF used","explicit C balance"))</f>
        <v>explicit C balance</v>
      </c>
      <c r="DV182" s="143">
        <v>0</v>
      </c>
      <c r="DW182" s="143">
        <v>0</v>
      </c>
      <c r="DX182" s="143">
        <v>0</v>
      </c>
      <c r="DY182" s="143">
        <v>0</v>
      </c>
      <c r="DZ182">
        <v>0</v>
      </c>
      <c r="EA182" s="143">
        <v>0</v>
      </c>
      <c r="EB182" s="143">
        <v>1</v>
      </c>
      <c r="EC182" s="143">
        <v>1</v>
      </c>
      <c r="ED182" s="143">
        <v>0</v>
      </c>
      <c r="EE182">
        <v>1</v>
      </c>
      <c r="EF182">
        <v>0</v>
      </c>
      <c r="EG182" s="143">
        <v>0</v>
      </c>
      <c r="EH182" s="143">
        <v>0</v>
      </c>
      <c r="EI182" s="2">
        <v>0</v>
      </c>
      <c r="EJ182" s="1"/>
      <c r="EK182" t="str">
        <f>IF(AND(AND(AND(OR($DX182=1,$DW182=1),OR($EC182=1,$EA182=1)),SUM($DV182:$DZ182,$EF182)&gt;=4),SUM($EA182:$EE182)&gt;=2),"Whole sector","")</f>
        <v/>
      </c>
      <c r="EL182" t="str">
        <f>IF(AND(AND(OR($DX182=1,$DW182=1),AND($EC182=0,$EA182=0)),SUM($DV182:$DZ182,$EF182)&gt;=4),"Ecosystem approach","")</f>
        <v/>
      </c>
      <c r="EM182" s="2" t="str">
        <f>IF(AND(AND(AND($DX182=0,$DW182=0),OR($EC182=1,$EA182=1)),SUM($EB182:$EE182)&gt;=2),"Technology approach","")</f>
        <v>Technology approach</v>
      </c>
      <c r="EN182"/>
      <c r="EO182"/>
      <c r="EP182" t="str">
        <f>IF(ISNUMBER(BU182),IF(ABS(BU182-[1]QC_indicators!$B$2)&gt;3*[1]QC_indicators!$C$2,"C ratio",IF(ISNUMBER(BY182),IF(ABS(BY182-[1]QC_indicators!$B$1)&gt;3*[1]QC_indicators!$C$1,"DF","no"))),IF(ISNUMBER(BY182),IF(ABS(BY182-[1]QC_indicators!$B$1)&gt;3*[1]QC_indicators!$C$1,"DF","no")))</f>
        <v>no</v>
      </c>
      <c r="EQ182"/>
      <c r="ER182" s="149"/>
      <c r="ES182"/>
      <c r="ET182" s="266" t="s">
        <v>3409</v>
      </c>
      <c r="EU182"/>
    </row>
    <row r="183" spans="1:151" s="139" customFormat="1" ht="15" hidden="1" customHeight="1">
      <c r="A183" s="1" t="s">
        <v>588</v>
      </c>
      <c r="B183" t="s">
        <v>1450</v>
      </c>
      <c r="C183" t="s">
        <v>1451</v>
      </c>
      <c r="D183" t="s">
        <v>1452</v>
      </c>
      <c r="E183" t="s">
        <v>1453</v>
      </c>
      <c r="F183" t="s">
        <v>1454</v>
      </c>
      <c r="G183" t="s">
        <v>594</v>
      </c>
      <c r="H183" t="s">
        <v>255</v>
      </c>
      <c r="I183">
        <v>2020</v>
      </c>
      <c r="J183">
        <v>12</v>
      </c>
      <c r="K183" t="s">
        <v>1455</v>
      </c>
      <c r="L183"/>
      <c r="M183" t="str">
        <f>LEFT($D183,FIND(",",$D183)-1)&amp;"_"&amp;I183&amp;L183</f>
        <v>Elisa_2020</v>
      </c>
      <c r="N183" s="266" t="s">
        <v>223</v>
      </c>
      <c r="O183" s="171" t="s">
        <v>275</v>
      </c>
      <c r="P183" t="s">
        <v>224</v>
      </c>
      <c r="Q183" s="266" t="s">
        <v>390</v>
      </c>
      <c r="R183" s="271" t="s">
        <v>1156</v>
      </c>
      <c r="S183" s="154" t="s">
        <v>1456</v>
      </c>
      <c r="T183" s="296" t="s">
        <v>1457</v>
      </c>
      <c r="U183" s="143" t="s">
        <v>1511</v>
      </c>
      <c r="V183">
        <v>0</v>
      </c>
      <c r="W183">
        <v>0</v>
      </c>
      <c r="X183">
        <v>0</v>
      </c>
      <c r="Y183">
        <v>0</v>
      </c>
      <c r="Z183">
        <v>0</v>
      </c>
      <c r="AA183">
        <v>0</v>
      </c>
      <c r="AB183">
        <v>0</v>
      </c>
      <c r="AC183">
        <v>0</v>
      </c>
      <c r="AD183">
        <v>0</v>
      </c>
      <c r="AE183">
        <v>1</v>
      </c>
      <c r="AF183">
        <v>0</v>
      </c>
      <c r="AG183">
        <v>0</v>
      </c>
      <c r="AH183">
        <v>0</v>
      </c>
      <c r="AI183">
        <v>0</v>
      </c>
      <c r="AJ183">
        <v>0</v>
      </c>
      <c r="AK183">
        <v>1</v>
      </c>
      <c r="AL183">
        <v>0</v>
      </c>
      <c r="AM183">
        <v>0</v>
      </c>
      <c r="AN183">
        <v>0</v>
      </c>
      <c r="AO183">
        <v>0</v>
      </c>
      <c r="AP183">
        <v>0</v>
      </c>
      <c r="AQ183">
        <v>0</v>
      </c>
      <c r="AR183">
        <v>0</v>
      </c>
      <c r="AS183">
        <v>0</v>
      </c>
      <c r="AT183">
        <v>0</v>
      </c>
      <c r="AU183">
        <v>0</v>
      </c>
      <c r="AV183">
        <v>0</v>
      </c>
      <c r="AW183">
        <v>0</v>
      </c>
      <c r="AX183" s="141">
        <f>COUNTIF(V183:AW183,"&lt;&gt;0")</f>
        <v>2</v>
      </c>
      <c r="AY183" s="141">
        <f>COUNTIF(V183:AL183,"&lt;&gt;0")</f>
        <v>2</v>
      </c>
      <c r="AZ183">
        <f>COUNTIF(V183:AC183,"&lt;&gt;0")</f>
        <v>0</v>
      </c>
      <c r="BA183">
        <f>COUNTIF(AD183:AI183,"&lt;&gt;0")</f>
        <v>1</v>
      </c>
      <c r="BB183">
        <f>COUNTIF(AJ183:AL183,"&lt;&gt;0")</f>
        <v>1</v>
      </c>
      <c r="BC183">
        <f>COUNTIF(AS183:AW183,"&lt;&gt;0")</f>
        <v>0</v>
      </c>
      <c r="BD183">
        <f>COUNTIF(AM183:AR183,"&lt;&gt;0")</f>
        <v>0</v>
      </c>
      <c r="BE183" t="str" cm="1">
        <f t="array" ref="BE183">IF(AY183=1,INDEX($V$7:$AL$7,MATCH(TRUE,INDEX($V183:$AW183&lt;&gt;0,),0)),IF(AY183=0,INDEX($AM$7:$AW$7,MATCH(1,$AM183:$AW183,0)),IF(BF183="Multiple strategies","mixed drivers",IF(BF183="Supply chain","multiple supply","multiple silviculture"))))</f>
        <v>mixed drivers</v>
      </c>
      <c r="BF183" s="2" t="str" cm="1">
        <f t="array" ref="BF183">IF(COUNTIF(AZ183:BB183,"&lt;&gt;0")=1,INDEX($V$4:$AW$4,MATCH(TRUE,INDEX($V183:$AW183&lt;&gt;0,),0)),IF(COUNTIF(AZ183:BB183,"&lt;&gt;0")=0,INDEX($AM$4:$AW$4,MATCH(1,$AM183:$AW183,0)),"Multiple strategies"))</f>
        <v>Multiple strategies</v>
      </c>
      <c r="BG183" s="142" t="s">
        <v>322</v>
      </c>
      <c r="BH183" s="160" t="s">
        <v>1459</v>
      </c>
      <c r="BI183" s="160" t="s">
        <v>1460</v>
      </c>
      <c r="BJ183" s="143" t="s">
        <v>499</v>
      </c>
      <c r="BK183" s="143">
        <v>944</v>
      </c>
      <c r="BL183" s="143">
        <v>13000</v>
      </c>
      <c r="BM183">
        <f>IFERROR(BL185/BK183,"")</f>
        <v>2.6483050847457625</v>
      </c>
      <c r="BN183">
        <f>BL183-BK183</f>
        <v>12056</v>
      </c>
      <c r="BO183" s="159">
        <f>BN183</f>
        <v>12056</v>
      </c>
      <c r="BP183" s="155" t="s">
        <v>233</v>
      </c>
      <c r="BQ183" s="313" t="s">
        <v>1461</v>
      </c>
      <c r="BR183" s="155" t="s">
        <v>827</v>
      </c>
      <c r="BS183" s="143" t="s">
        <v>1465</v>
      </c>
      <c r="BT183" t="s">
        <v>1513</v>
      </c>
      <c r="BU183" s="144">
        <f>BT183/BS183</f>
        <v>2.6368347403620143</v>
      </c>
      <c r="BV183">
        <f>BT183-BS183</f>
        <v>-11.3115797222222</v>
      </c>
      <c r="BW183"/>
      <c r="BX183">
        <f>BV183</f>
        <v>-11.3115797222222</v>
      </c>
      <c r="BY183">
        <f>IFERROR(BX183/BO183,"")</f>
        <v>-9.382531289169045E-4</v>
      </c>
      <c r="BZ183">
        <v>0</v>
      </c>
      <c r="CA183">
        <v>0</v>
      </c>
      <c r="CB183">
        <v>0</v>
      </c>
      <c r="CC183">
        <v>0</v>
      </c>
      <c r="CD183">
        <v>0</v>
      </c>
      <c r="CE183">
        <v>0</v>
      </c>
      <c r="CF183">
        <v>0</v>
      </c>
      <c r="CG183">
        <v>0</v>
      </c>
      <c r="CH183">
        <v>0</v>
      </c>
      <c r="CI183">
        <v>0</v>
      </c>
      <c r="CJ183">
        <v>0</v>
      </c>
      <c r="CK183">
        <v>0</v>
      </c>
      <c r="CL183">
        <v>0</v>
      </c>
      <c r="CM183">
        <v>0</v>
      </c>
      <c r="CN183" t="str">
        <f>IF($BL183&lt;$BK183,"refNeedCorrection","refOK")</f>
        <v>refOK</v>
      </c>
      <c r="CO183">
        <f>IF($CN183="refOK",$BK183,$BL183)</f>
        <v>944</v>
      </c>
      <c r="CP183">
        <f>IF($CN183="refOK",$BL183,$BK183)</f>
        <v>13000</v>
      </c>
      <c r="CQ183">
        <f>IF($CN183="refOK",$BO183,-$BO183)</f>
        <v>12056</v>
      </c>
      <c r="CR183">
        <f>IF($CN183="refOK",$BS183,$BT183)*IF($BP183="Emissions positive",-1,1)</f>
        <v>-6.9106424999999998</v>
      </c>
      <c r="CS183">
        <f>IF($CN183="refOK",$BT183,$BS183)*IF($BP183="Emissions positive",-1,1)</f>
        <v>-18.2222222222222</v>
      </c>
      <c r="CT183">
        <f>IF($CN183="refNeedCorrection",-BX183,BX183)*IF($BP183="Emissions positive",-1,1)</f>
        <v>-11.3115797222222</v>
      </c>
      <c r="CU183">
        <f>IFERROR(CT183/CQ183,"")</f>
        <v>-9.382531289169045E-4</v>
      </c>
      <c r="CV183" s="2">
        <f>IFERROR((CS183-CR183)/ABS(CR183),"")</f>
        <v>-1.6368347403620143</v>
      </c>
      <c r="CW183" s="265" t="s">
        <v>1464</v>
      </c>
      <c r="CX183" s="266" t="str">
        <f>IF(OR($CW183="prd",$CW183="std",$CW183="cit"),"loc",IF(OR($CW183="eur",$CW183="reg",$CW183="coy"),"reg",$CW183))</f>
        <v>reg</v>
      </c>
      <c r="CY183" s="272" t="s">
        <v>745</v>
      </c>
      <c r="CZ183"/>
      <c r="DA183" s="143"/>
      <c r="DB183" s="143">
        <v>0</v>
      </c>
      <c r="DC183" t="str">
        <f>IF(DB183=0,"0",IF(AND(DB183&gt;=1,DB183&lt;=30),"1-30",IF(AND(DB183&gt;30,DB183&lt;=70),"31-70",IF(AND(DB183&gt;70,DB183&lt;=100),"71-100",IF(DB183&gt;100,"+100")))))</f>
        <v>0</v>
      </c>
      <c r="DD183">
        <v>0</v>
      </c>
      <c r="DE183">
        <v>1</v>
      </c>
      <c r="DF183">
        <v>0</v>
      </c>
      <c r="DG183">
        <v>0</v>
      </c>
      <c r="DH183">
        <v>0</v>
      </c>
      <c r="DI183">
        <f>SUM(DD183:DH183)</f>
        <v>1</v>
      </c>
      <c r="DJ183" t="str">
        <f>IF(DI183=1,INDEX($DD$7:$DG$7,MATCH(1,$DD183:$DG183,0)),"mixedProduct")</f>
        <v>EnergyInput</v>
      </c>
      <c r="DK183">
        <f>IF(DD183=1,DK$7,0)</f>
        <v>0</v>
      </c>
      <c r="DL183" t="str">
        <f>IF(DE183=1,DL$7,0)</f>
        <v>Energy</v>
      </c>
      <c r="DM183">
        <f>IF(DF183=1,DM$7,0)</f>
        <v>0</v>
      </c>
      <c r="DN183">
        <f>IF(DG183=1,DN$7,0)</f>
        <v>0</v>
      </c>
      <c r="DO183">
        <v>0</v>
      </c>
      <c r="DP183" s="143">
        <v>0</v>
      </c>
      <c r="DQ183" s="143">
        <v>0</v>
      </c>
      <c r="DR183">
        <v>0</v>
      </c>
      <c r="DS183" s="143">
        <v>0</v>
      </c>
      <c r="DT183">
        <f>SUM(DO183:DP183)</f>
        <v>0</v>
      </c>
      <c r="DU183" s="143" t="str">
        <f>IF(DO183=1,"self-calculated DF",IF(DP183=1,"external DF used","explicit C balance"))</f>
        <v>explicit C balance</v>
      </c>
      <c r="DV183" s="143">
        <v>0</v>
      </c>
      <c r="DW183" s="143">
        <v>0</v>
      </c>
      <c r="DX183" s="143">
        <v>0</v>
      </c>
      <c r="DY183" s="143">
        <v>0</v>
      </c>
      <c r="DZ183">
        <v>0</v>
      </c>
      <c r="EA183" s="143">
        <v>0</v>
      </c>
      <c r="EB183" s="143">
        <v>0</v>
      </c>
      <c r="EC183" s="143">
        <v>1</v>
      </c>
      <c r="ED183" s="143">
        <v>0</v>
      </c>
      <c r="EE183">
        <v>1</v>
      </c>
      <c r="EF183">
        <v>0</v>
      </c>
      <c r="EG183" s="143">
        <v>0</v>
      </c>
      <c r="EH183" s="143">
        <v>0</v>
      </c>
      <c r="EI183" s="2">
        <v>0</v>
      </c>
      <c r="EJ183" s="1"/>
      <c r="EK183" t="str">
        <f>IF(AND(AND(AND(OR($DX183=1,$DW183=1),OR($EC183=1,$EA183=1)),SUM($DV183:$DZ183,$EF183)&gt;=4),SUM($EA183:$EE183)&gt;=2),"Whole sector","")</f>
        <v/>
      </c>
      <c r="EL183" t="str">
        <f>IF(AND(AND(OR($DX183=1,$DW183=1),AND($EC183=0,$EA183=0)),SUM($DV183:$DZ183,$EF183)&gt;=4),"Ecosystem approach","")</f>
        <v/>
      </c>
      <c r="EM183" s="2" t="str">
        <f>IF(AND(AND(AND($DX183=0,$DW183=0),OR($EC183=1,$EA183=1)),SUM($EB183:$EE183)&gt;=2),"Technology approach","")</f>
        <v>Technology approach</v>
      </c>
      <c r="EN183"/>
      <c r="EO183"/>
      <c r="EP183" t="str">
        <f>IF(ISNUMBER(BU183),IF(ABS(BU183-[1]QC_indicators!$B$2)&gt;3*[1]QC_indicators!$C$2,"C ratio",IF(ISNUMBER(BY183),IF(ABS(BY183-[1]QC_indicators!$B$1)&gt;3*[1]QC_indicators!$C$1,"DF","no"))),IF(ISNUMBER(BY183),IF(ABS(BY183-[1]QC_indicators!$B$1)&gt;3*[1]QC_indicators!$C$1,"DF","no")))</f>
        <v>no</v>
      </c>
      <c r="EQ183"/>
      <c r="ER183" s="149"/>
      <c r="ES183"/>
      <c r="ET183" s="266" t="s">
        <v>3409</v>
      </c>
      <c r="EU183"/>
    </row>
    <row r="184" spans="1:151" s="139" customFormat="1" ht="15" hidden="1" customHeight="1">
      <c r="A184" s="1" t="s">
        <v>588</v>
      </c>
      <c r="B184" t="s">
        <v>1450</v>
      </c>
      <c r="C184" t="s">
        <v>1451</v>
      </c>
      <c r="D184" t="s">
        <v>1452</v>
      </c>
      <c r="E184" t="s">
        <v>1453</v>
      </c>
      <c r="F184" t="s">
        <v>1454</v>
      </c>
      <c r="G184" t="s">
        <v>594</v>
      </c>
      <c r="H184" t="s">
        <v>255</v>
      </c>
      <c r="I184">
        <v>2020</v>
      </c>
      <c r="J184">
        <v>12</v>
      </c>
      <c r="K184" t="s">
        <v>1455</v>
      </c>
      <c r="L184"/>
      <c r="M184" t="str">
        <f>LEFT($D184,FIND(",",$D184)-1)&amp;"_"&amp;I184&amp;L184</f>
        <v>Elisa_2020</v>
      </c>
      <c r="N184" s="266" t="s">
        <v>223</v>
      </c>
      <c r="O184" s="171" t="s">
        <v>275</v>
      </c>
      <c r="P184" t="s">
        <v>224</v>
      </c>
      <c r="Q184" s="266" t="s">
        <v>390</v>
      </c>
      <c r="R184" s="271" t="s">
        <v>1156</v>
      </c>
      <c r="S184" s="154" t="s">
        <v>1456</v>
      </c>
      <c r="T184" s="296" t="s">
        <v>1457</v>
      </c>
      <c r="U184" s="143" t="s">
        <v>1485</v>
      </c>
      <c r="V184">
        <v>0</v>
      </c>
      <c r="W184">
        <v>0</v>
      </c>
      <c r="X184">
        <v>0</v>
      </c>
      <c r="Y184">
        <v>0</v>
      </c>
      <c r="Z184">
        <v>0</v>
      </c>
      <c r="AA184">
        <v>0</v>
      </c>
      <c r="AB184">
        <v>0</v>
      </c>
      <c r="AC184">
        <v>0</v>
      </c>
      <c r="AD184">
        <v>0</v>
      </c>
      <c r="AE184">
        <v>1</v>
      </c>
      <c r="AF184">
        <v>0</v>
      </c>
      <c r="AG184">
        <v>0</v>
      </c>
      <c r="AH184">
        <v>0</v>
      </c>
      <c r="AI184">
        <v>0</v>
      </c>
      <c r="AJ184">
        <v>0</v>
      </c>
      <c r="AK184">
        <v>1</v>
      </c>
      <c r="AL184">
        <v>0</v>
      </c>
      <c r="AM184">
        <v>0</v>
      </c>
      <c r="AN184">
        <v>0</v>
      </c>
      <c r="AO184">
        <v>0</v>
      </c>
      <c r="AP184">
        <v>0</v>
      </c>
      <c r="AQ184">
        <v>0</v>
      </c>
      <c r="AR184">
        <v>0</v>
      </c>
      <c r="AS184">
        <v>0</v>
      </c>
      <c r="AT184">
        <v>0</v>
      </c>
      <c r="AU184">
        <v>0</v>
      </c>
      <c r="AV184">
        <v>0</v>
      </c>
      <c r="AW184">
        <v>0</v>
      </c>
      <c r="AX184" s="141">
        <f>COUNTIF(V184:AW184,"&lt;&gt;0")</f>
        <v>2</v>
      </c>
      <c r="AY184" s="141">
        <f>COUNTIF(V184:AL184,"&lt;&gt;0")</f>
        <v>2</v>
      </c>
      <c r="AZ184">
        <f>COUNTIF(V184:AC184,"&lt;&gt;0")</f>
        <v>0</v>
      </c>
      <c r="BA184">
        <f>COUNTIF(AD184:AI184,"&lt;&gt;0")</f>
        <v>1</v>
      </c>
      <c r="BB184">
        <f>COUNTIF(AJ184:AL184,"&lt;&gt;0")</f>
        <v>1</v>
      </c>
      <c r="BC184">
        <f>COUNTIF(AS184:AW184,"&lt;&gt;0")</f>
        <v>0</v>
      </c>
      <c r="BD184">
        <f>COUNTIF(AM184:AR184,"&lt;&gt;0")</f>
        <v>0</v>
      </c>
      <c r="BE184" t="str" cm="1">
        <f t="array" ref="BE184">IF(AY184=1,INDEX($V$7:$AL$7,MATCH(TRUE,INDEX($V184:$AW184&lt;&gt;0,),0)),IF(AY184=0,INDEX($AM$7:$AW$7,MATCH(1,$AM184:$AW184,0)),IF(BF184="Multiple strategies","mixed drivers",IF(BF184="Supply chain","multiple supply","multiple silviculture"))))</f>
        <v>mixed drivers</v>
      </c>
      <c r="BF184" s="2" t="str" cm="1">
        <f t="array" ref="BF184">IF(COUNTIF(AZ184:BB184,"&lt;&gt;0")=1,INDEX($V$4:$AW$4,MATCH(TRUE,INDEX($V184:$AW184&lt;&gt;0,),0)),IF(COUNTIF(AZ184:BB184,"&lt;&gt;0")=0,INDEX($AM$4:$AW$4,MATCH(1,$AM184:$AW184,0)),"Multiple strategies"))</f>
        <v>Multiple strategies</v>
      </c>
      <c r="BG184" s="142" t="s">
        <v>322</v>
      </c>
      <c r="BH184" s="160" t="s">
        <v>1459</v>
      </c>
      <c r="BI184" s="160" t="s">
        <v>1460</v>
      </c>
      <c r="BJ184" s="143" t="s">
        <v>499</v>
      </c>
      <c r="BK184" s="143">
        <v>944</v>
      </c>
      <c r="BL184" s="143">
        <v>11773</v>
      </c>
      <c r="BM184">
        <f>IFERROR(BL185/BK184,"")</f>
        <v>2.6483050847457625</v>
      </c>
      <c r="BN184">
        <f>BL184-BK184</f>
        <v>10829</v>
      </c>
      <c r="BO184" s="159">
        <f>BN184</f>
        <v>10829</v>
      </c>
      <c r="BP184" s="155" t="s">
        <v>233</v>
      </c>
      <c r="BQ184" s="313" t="s">
        <v>1461</v>
      </c>
      <c r="BR184" s="155" t="s">
        <v>827</v>
      </c>
      <c r="BS184" s="143" t="s">
        <v>1479</v>
      </c>
      <c r="BT184" t="s">
        <v>1514</v>
      </c>
      <c r="BU184" s="144">
        <f>BT184/BS184</f>
        <v>18.872295882763435</v>
      </c>
      <c r="BV184">
        <f>BT184-BS184</f>
        <v>-1.9208250000000002</v>
      </c>
      <c r="BW184"/>
      <c r="BX184">
        <f>BV184</f>
        <v>-1.9208250000000002</v>
      </c>
      <c r="BY184">
        <f>IFERROR(BX184/BO184,"")</f>
        <v>-1.7737787422661375E-4</v>
      </c>
      <c r="BZ184">
        <v>0</v>
      </c>
      <c r="CA184">
        <v>0</v>
      </c>
      <c r="CB184">
        <v>0</v>
      </c>
      <c r="CC184">
        <v>0</v>
      </c>
      <c r="CD184">
        <v>0</v>
      </c>
      <c r="CE184">
        <v>0</v>
      </c>
      <c r="CF184">
        <v>0</v>
      </c>
      <c r="CG184">
        <v>0</v>
      </c>
      <c r="CH184">
        <v>0</v>
      </c>
      <c r="CI184">
        <v>0</v>
      </c>
      <c r="CJ184">
        <v>0</v>
      </c>
      <c r="CK184">
        <v>0</v>
      </c>
      <c r="CL184">
        <v>0</v>
      </c>
      <c r="CM184">
        <v>0</v>
      </c>
      <c r="CN184" t="str">
        <f>IF($BL184&lt;$BK184,"refNeedCorrection","refOK")</f>
        <v>refOK</v>
      </c>
      <c r="CO184">
        <f>IF($CN184="refOK",$BK184,$BL184)</f>
        <v>944</v>
      </c>
      <c r="CP184">
        <f>IF($CN184="refOK",$BL184,$BK184)</f>
        <v>11773</v>
      </c>
      <c r="CQ184">
        <f>IF($CN184="refOK",$BO184,-$BO184)</f>
        <v>10829</v>
      </c>
      <c r="CR184">
        <f>IF($CN184="refOK",$BS184,$BT184)*IF($BP184="Emissions positive",-1,1)</f>
        <v>-0.107475</v>
      </c>
      <c r="CS184">
        <f>IF($CN184="refOK",$BT184,$BS184)*IF($BP184="Emissions positive",-1,1)</f>
        <v>-2.0283000000000002</v>
      </c>
      <c r="CT184">
        <f>IF($CN184="refNeedCorrection",-BX184,BX184)*IF($BP184="Emissions positive",-1,1)</f>
        <v>-1.9208250000000002</v>
      </c>
      <c r="CU184">
        <f>IFERROR(CT184/CQ184,"")</f>
        <v>-1.7737787422661375E-4</v>
      </c>
      <c r="CV184" s="2">
        <f>IFERROR((CS184-CR184)/ABS(CR184),"")</f>
        <v>-17.872295882763435</v>
      </c>
      <c r="CW184" s="265" t="s">
        <v>1464</v>
      </c>
      <c r="CX184" s="266" t="str">
        <f>IF(OR($CW184="prd",$CW184="std",$CW184="cit"),"loc",IF(OR($CW184="eur",$CW184="reg",$CW184="coy"),"reg",$CW184))</f>
        <v>reg</v>
      </c>
      <c r="CY184" s="272" t="s">
        <v>745</v>
      </c>
      <c r="CZ184"/>
      <c r="DA184" s="143"/>
      <c r="DB184" s="143">
        <v>0</v>
      </c>
      <c r="DC184" t="str">
        <f>IF(DB184=0,"0",IF(AND(DB184&gt;=1,DB184&lt;=30),"1-30",IF(AND(DB184&gt;30,DB184&lt;=70),"31-70",IF(AND(DB184&gt;70,DB184&lt;=100),"71-100",IF(DB184&gt;100,"+100")))))</f>
        <v>0</v>
      </c>
      <c r="DD184">
        <v>0</v>
      </c>
      <c r="DE184">
        <v>1</v>
      </c>
      <c r="DF184">
        <v>0</v>
      </c>
      <c r="DG184">
        <v>0</v>
      </c>
      <c r="DH184">
        <v>0</v>
      </c>
      <c r="DI184">
        <f>SUM(DD184:DH184)</f>
        <v>1</v>
      </c>
      <c r="DJ184" t="str">
        <f>IF(DI184=1,INDEX($DD$7:$DG$7,MATCH(1,$DD184:$DG184,0)),"mixedProduct")</f>
        <v>EnergyInput</v>
      </c>
      <c r="DK184">
        <f>IF(DD184=1,DK$7,0)</f>
        <v>0</v>
      </c>
      <c r="DL184" t="str">
        <f>IF(DE184=1,DL$7,0)</f>
        <v>Energy</v>
      </c>
      <c r="DM184">
        <f>IF(DF184=1,DM$7,0)</f>
        <v>0</v>
      </c>
      <c r="DN184">
        <f>IF(DG184=1,DN$7,0)</f>
        <v>0</v>
      </c>
      <c r="DO184">
        <v>0</v>
      </c>
      <c r="DP184" s="143">
        <v>0</v>
      </c>
      <c r="DQ184" s="143">
        <v>0</v>
      </c>
      <c r="DR184">
        <v>0</v>
      </c>
      <c r="DS184" s="143">
        <v>0</v>
      </c>
      <c r="DT184">
        <f>SUM(DO184:DP184)</f>
        <v>0</v>
      </c>
      <c r="DU184" s="143" t="str">
        <f>IF(DO184=1,"self-calculated DF",IF(DP184=1,"external DF used","explicit C balance"))</f>
        <v>explicit C balance</v>
      </c>
      <c r="DV184" s="143">
        <v>0</v>
      </c>
      <c r="DW184" s="143">
        <v>0</v>
      </c>
      <c r="DX184" s="143">
        <v>0</v>
      </c>
      <c r="DY184" s="143">
        <v>0</v>
      </c>
      <c r="DZ184">
        <v>0</v>
      </c>
      <c r="EA184" s="143">
        <v>0</v>
      </c>
      <c r="EB184" s="143">
        <v>1</v>
      </c>
      <c r="EC184" s="143">
        <v>0</v>
      </c>
      <c r="ED184" s="143">
        <v>0</v>
      </c>
      <c r="EE184">
        <v>0</v>
      </c>
      <c r="EF184">
        <v>0</v>
      </c>
      <c r="EG184" s="143">
        <v>0</v>
      </c>
      <c r="EH184" s="143">
        <v>0</v>
      </c>
      <c r="EI184" s="2">
        <v>0</v>
      </c>
      <c r="EJ184" s="1"/>
      <c r="EK184" t="str">
        <f>IF(AND(AND(AND(OR($DX184=1,$DW184=1),OR($EC184=1,$EA184=1)),SUM($DV184:$DZ184,$EF184)&gt;=4),SUM($EA184:$EE184)&gt;=2),"Whole sector","")</f>
        <v/>
      </c>
      <c r="EL184" t="str">
        <f>IF(AND(AND(OR($DX184=1,$DW184=1),AND($EC184=0,$EA184=0)),SUM($DV184:$DZ184,$EF184)&gt;=4),"Ecosystem approach","")</f>
        <v/>
      </c>
      <c r="EM184" s="2" t="str">
        <f>IF(AND(AND(AND($DX184=0,$DW184=0),OR($EC184=1,$EA184=1)),SUM($EB184:$EE184)&gt;=2),"Technology approach","")</f>
        <v/>
      </c>
      <c r="EN184"/>
      <c r="EO184"/>
      <c r="EP184" t="str">
        <f>IF(ISNUMBER(BU184),IF(ABS(BU184-[1]QC_indicators!$B$2)&gt;3*[1]QC_indicators!$C$2,"C ratio",IF(ISNUMBER(BY184),IF(ABS(BY184-[1]QC_indicators!$B$1)&gt;3*[1]QC_indicators!$C$1,"DF","no"))),IF(ISNUMBER(BY184),IF(ABS(BY184-[1]QC_indicators!$B$1)&gt;3*[1]QC_indicators!$C$1,"DF","no")))</f>
        <v>no</v>
      </c>
      <c r="EQ184"/>
      <c r="ER184" s="149"/>
      <c r="ES184"/>
      <c r="ET184" s="266" t="s">
        <v>3409</v>
      </c>
      <c r="EU184"/>
    </row>
    <row r="185" spans="1:151" s="139" customFormat="1" ht="15" hidden="1" customHeight="1">
      <c r="A185" s="1" t="s">
        <v>588</v>
      </c>
      <c r="B185" t="s">
        <v>1450</v>
      </c>
      <c r="C185" t="s">
        <v>1451</v>
      </c>
      <c r="D185" t="s">
        <v>1452</v>
      </c>
      <c r="E185" t="s">
        <v>1453</v>
      </c>
      <c r="F185" t="s">
        <v>1454</v>
      </c>
      <c r="G185" t="s">
        <v>594</v>
      </c>
      <c r="H185" t="s">
        <v>255</v>
      </c>
      <c r="I185">
        <v>2020</v>
      </c>
      <c r="J185">
        <v>12</v>
      </c>
      <c r="K185" t="s">
        <v>1455</v>
      </c>
      <c r="L185"/>
      <c r="M185" t="str">
        <f>LEFT($D185,FIND(",",$D185)-1)&amp;"_"&amp;I185&amp;L185</f>
        <v>Elisa_2020</v>
      </c>
      <c r="N185" s="266" t="s">
        <v>223</v>
      </c>
      <c r="O185" s="171" t="s">
        <v>275</v>
      </c>
      <c r="P185" t="s">
        <v>224</v>
      </c>
      <c r="Q185" s="266" t="s">
        <v>390</v>
      </c>
      <c r="R185" s="271" t="s">
        <v>1156</v>
      </c>
      <c r="S185" s="154" t="s">
        <v>1456</v>
      </c>
      <c r="T185" s="296" t="s">
        <v>1457</v>
      </c>
      <c r="U185" s="143" t="s">
        <v>1515</v>
      </c>
      <c r="V185">
        <v>0</v>
      </c>
      <c r="W185">
        <v>0</v>
      </c>
      <c r="X185">
        <v>0</v>
      </c>
      <c r="Y185">
        <v>0</v>
      </c>
      <c r="Z185">
        <v>0</v>
      </c>
      <c r="AA185">
        <v>0</v>
      </c>
      <c r="AB185">
        <v>0</v>
      </c>
      <c r="AC185">
        <v>0</v>
      </c>
      <c r="AD185">
        <v>0</v>
      </c>
      <c r="AE185">
        <v>1</v>
      </c>
      <c r="AF185">
        <v>0</v>
      </c>
      <c r="AG185">
        <v>0</v>
      </c>
      <c r="AH185">
        <v>0</v>
      </c>
      <c r="AI185">
        <v>0</v>
      </c>
      <c r="AJ185">
        <v>0</v>
      </c>
      <c r="AK185">
        <v>1</v>
      </c>
      <c r="AL185">
        <v>0</v>
      </c>
      <c r="AM185">
        <v>0</v>
      </c>
      <c r="AN185">
        <v>0</v>
      </c>
      <c r="AO185">
        <v>0</v>
      </c>
      <c r="AP185">
        <v>0</v>
      </c>
      <c r="AQ185">
        <v>0</v>
      </c>
      <c r="AR185">
        <v>0</v>
      </c>
      <c r="AS185">
        <v>0</v>
      </c>
      <c r="AT185">
        <v>0</v>
      </c>
      <c r="AU185">
        <v>0</v>
      </c>
      <c r="AV185">
        <v>0</v>
      </c>
      <c r="AW185">
        <v>0</v>
      </c>
      <c r="AX185" s="141">
        <f>COUNTIF(V185:AW185,"&lt;&gt;0")</f>
        <v>2</v>
      </c>
      <c r="AY185" s="141">
        <f>COUNTIF(V185:AL185,"&lt;&gt;0")</f>
        <v>2</v>
      </c>
      <c r="AZ185">
        <f>COUNTIF(V185:AC185,"&lt;&gt;0")</f>
        <v>0</v>
      </c>
      <c r="BA185">
        <f>COUNTIF(AD185:AI185,"&lt;&gt;0")</f>
        <v>1</v>
      </c>
      <c r="BB185">
        <f>COUNTIF(AJ185:AL185,"&lt;&gt;0")</f>
        <v>1</v>
      </c>
      <c r="BC185">
        <f>COUNTIF(AS185:AW185,"&lt;&gt;0")</f>
        <v>0</v>
      </c>
      <c r="BD185">
        <f>COUNTIF(AM185:AR185,"&lt;&gt;0")</f>
        <v>0</v>
      </c>
      <c r="BE185" t="str" cm="1">
        <f t="array" ref="BE185">IF(AY185=1,INDEX($V$7:$AL$7,MATCH(TRUE,INDEX($V185:$AW185&lt;&gt;0,),0)),IF(AY185=0,INDEX($AM$7:$AW$7,MATCH(1,$AM185:$AW185,0)),IF(BF185="Multiple strategies","mixed drivers",IF(BF185="Supply chain","multiple supply","multiple silviculture"))))</f>
        <v>mixed drivers</v>
      </c>
      <c r="BF185" s="2" t="str" cm="1">
        <f t="array" ref="BF185">IF(COUNTIF(AZ185:BB185,"&lt;&gt;0")=1,INDEX($V$4:$AW$4,MATCH(TRUE,INDEX($V185:$AW185&lt;&gt;0,),0)),IF(COUNTIF(AZ185:BB185,"&lt;&gt;0")=0,INDEX($AM$4:$AW$4,MATCH(1,$AM185:$AW185,0)),"Multiple strategies"))</f>
        <v>Multiple strategies</v>
      </c>
      <c r="BG185" s="142" t="s">
        <v>322</v>
      </c>
      <c r="BH185" s="160" t="s">
        <v>1459</v>
      </c>
      <c r="BI185" s="160" t="s">
        <v>1460</v>
      </c>
      <c r="BJ185" s="143" t="s">
        <v>499</v>
      </c>
      <c r="BK185" s="143">
        <v>944</v>
      </c>
      <c r="BL185" s="143">
        <v>2500</v>
      </c>
      <c r="BM185">
        <f>IFERROR(BL186/BK185,"")</f>
        <v>14.03072033898305</v>
      </c>
      <c r="BN185">
        <f>BL185-BK185</f>
        <v>1556</v>
      </c>
      <c r="BO185" s="159">
        <f>BN185</f>
        <v>1556</v>
      </c>
      <c r="BP185" s="155" t="s">
        <v>233</v>
      </c>
      <c r="BQ185" s="313" t="s">
        <v>1461</v>
      </c>
      <c r="BR185" s="155" t="s">
        <v>827</v>
      </c>
      <c r="BS185" s="143" t="s">
        <v>1479</v>
      </c>
      <c r="BT185" t="s">
        <v>1516</v>
      </c>
      <c r="BU185" s="144">
        <f>BT185/BS185</f>
        <v>3.153188079915227</v>
      </c>
      <c r="BV185">
        <f>BT185-BS185</f>
        <v>-0.23141388888888903</v>
      </c>
      <c r="BW185"/>
      <c r="BX185">
        <f>BV185</f>
        <v>-0.23141388888888903</v>
      </c>
      <c r="BY185">
        <f>IFERROR(BX185/BO185,"")</f>
        <v>-1.4872357897743511E-4</v>
      </c>
      <c r="BZ185">
        <v>0</v>
      </c>
      <c r="CA185">
        <v>0</v>
      </c>
      <c r="CB185">
        <v>0</v>
      </c>
      <c r="CC185">
        <v>0</v>
      </c>
      <c r="CD185">
        <v>0</v>
      </c>
      <c r="CE185">
        <v>0</v>
      </c>
      <c r="CF185">
        <v>0</v>
      </c>
      <c r="CG185">
        <v>0</v>
      </c>
      <c r="CH185">
        <v>0</v>
      </c>
      <c r="CI185">
        <v>0</v>
      </c>
      <c r="CJ185">
        <v>0</v>
      </c>
      <c r="CK185">
        <v>0</v>
      </c>
      <c r="CL185">
        <v>0</v>
      </c>
      <c r="CM185">
        <v>0</v>
      </c>
      <c r="CN185" t="str">
        <f>IF($BL185&lt;$BK185,"refNeedCorrection","refOK")</f>
        <v>refOK</v>
      </c>
      <c r="CO185">
        <f>IF($CN185="refOK",$BK185,$BL185)</f>
        <v>944</v>
      </c>
      <c r="CP185">
        <f>IF($CN185="refOK",$BL185,$BK185)</f>
        <v>2500</v>
      </c>
      <c r="CQ185">
        <f>IF($CN185="refOK",$BO185,-$BO185)</f>
        <v>1556</v>
      </c>
      <c r="CR185">
        <f>IF($CN185="refOK",$BS185,$BT185)*IF($BP185="Emissions positive",-1,1)</f>
        <v>-0.107475</v>
      </c>
      <c r="CS185">
        <f>IF($CN185="refOK",$BT185,$BS185)*IF($BP185="Emissions positive",-1,1)</f>
        <v>-0.33888888888888902</v>
      </c>
      <c r="CT185">
        <f>IF($CN185="refNeedCorrection",-BX185,BX185)*IF($BP185="Emissions positive",-1,1)</f>
        <v>-0.23141388888888903</v>
      </c>
      <c r="CU185">
        <f>IFERROR(CT185/CQ185,"")</f>
        <v>-1.4872357897743511E-4</v>
      </c>
      <c r="CV185" s="2">
        <f>IFERROR((CS185-CR185)/ABS(CR185),"")</f>
        <v>-2.153188079915227</v>
      </c>
      <c r="CW185" s="265" t="s">
        <v>1464</v>
      </c>
      <c r="CX185" s="266" t="str">
        <f>IF(OR($CW185="prd",$CW185="std",$CW185="cit"),"loc",IF(OR($CW185="eur",$CW185="reg",$CW185="coy"),"reg",$CW185))</f>
        <v>reg</v>
      </c>
      <c r="CY185" s="272" t="s">
        <v>745</v>
      </c>
      <c r="CZ185"/>
      <c r="DA185" s="143"/>
      <c r="DB185" s="143">
        <v>0</v>
      </c>
      <c r="DC185" t="str">
        <f>IF(DB185=0,"0",IF(AND(DB185&gt;=1,DB185&lt;=30),"1-30",IF(AND(DB185&gt;30,DB185&lt;=70),"31-70",IF(AND(DB185&gt;70,DB185&lt;=100),"71-100",IF(DB185&gt;100,"+100")))))</f>
        <v>0</v>
      </c>
      <c r="DD185">
        <v>0</v>
      </c>
      <c r="DE185">
        <v>1</v>
      </c>
      <c r="DF185">
        <v>0</v>
      </c>
      <c r="DG185">
        <v>0</v>
      </c>
      <c r="DH185">
        <v>0</v>
      </c>
      <c r="DI185">
        <f>SUM(DD185:DH185)</f>
        <v>1</v>
      </c>
      <c r="DJ185" t="str">
        <f>IF(DI185=1,INDEX($DD$7:$DG$7,MATCH(1,$DD185:$DG185,0)),"mixedProduct")</f>
        <v>EnergyInput</v>
      </c>
      <c r="DK185">
        <f>IF(DD185=1,DK$7,0)</f>
        <v>0</v>
      </c>
      <c r="DL185" t="str">
        <f>IF(DE185=1,DL$7,0)</f>
        <v>Energy</v>
      </c>
      <c r="DM185">
        <f>IF(DF185=1,DM$7,0)</f>
        <v>0</v>
      </c>
      <c r="DN185">
        <f>IF(DG185=1,DN$7,0)</f>
        <v>0</v>
      </c>
      <c r="DO185">
        <v>0</v>
      </c>
      <c r="DP185" s="143">
        <v>0</v>
      </c>
      <c r="DQ185" s="143">
        <v>0</v>
      </c>
      <c r="DR185">
        <v>0</v>
      </c>
      <c r="DS185" s="143">
        <v>0</v>
      </c>
      <c r="DT185">
        <f>SUM(DO185:DP185)</f>
        <v>0</v>
      </c>
      <c r="DU185" s="143" t="str">
        <f>IF(DO185=1,"self-calculated DF",IF(DP185=1,"external DF used","explicit C balance"))</f>
        <v>explicit C balance</v>
      </c>
      <c r="DV185" s="143">
        <v>0</v>
      </c>
      <c r="DW185" s="143">
        <v>0</v>
      </c>
      <c r="DX185" s="143">
        <v>0</v>
      </c>
      <c r="DY185" s="143">
        <v>0</v>
      </c>
      <c r="DZ185">
        <v>0</v>
      </c>
      <c r="EA185" s="143">
        <v>0</v>
      </c>
      <c r="EB185" s="143">
        <v>1</v>
      </c>
      <c r="EC185" s="143">
        <v>0</v>
      </c>
      <c r="ED185" s="143">
        <v>0</v>
      </c>
      <c r="EE185">
        <v>0</v>
      </c>
      <c r="EF185">
        <v>0</v>
      </c>
      <c r="EG185" s="143">
        <v>0</v>
      </c>
      <c r="EH185" s="143">
        <v>0</v>
      </c>
      <c r="EI185" s="2">
        <v>0</v>
      </c>
      <c r="EJ185" s="1"/>
      <c r="EK185" t="str">
        <f>IF(AND(AND(AND(OR($DX185=1,$DW185=1),OR($EC185=1,$EA185=1)),SUM($DV185:$DZ185,$EF185)&gt;=4),SUM($EA185:$EE185)&gt;=2),"Whole sector","")</f>
        <v/>
      </c>
      <c r="EL185" t="str">
        <f>IF(AND(AND(OR($DX185=1,$DW185=1),AND($EC185=0,$EA185=0)),SUM($DV185:$DZ185,$EF185)&gt;=4),"Ecosystem approach","")</f>
        <v/>
      </c>
      <c r="EM185" s="2" t="str">
        <f>IF(AND(AND(AND($DX185=0,$DW185=0),OR($EC185=1,$EA185=1)),SUM($EB185:$EE185)&gt;=2),"Technology approach","")</f>
        <v/>
      </c>
      <c r="EN185"/>
      <c r="EO185"/>
      <c r="EP185" t="str">
        <f>IF(ISNUMBER(BU185),IF(ABS(BU185-[1]QC_indicators!$B$2)&gt;3*[1]QC_indicators!$C$2,"C ratio",IF(ISNUMBER(BY185),IF(ABS(BY185-[1]QC_indicators!$B$1)&gt;3*[1]QC_indicators!$C$1,"DF","no"))),IF(ISNUMBER(BY185),IF(ABS(BY185-[1]QC_indicators!$B$1)&gt;3*[1]QC_indicators!$C$1,"DF","no")))</f>
        <v>no</v>
      </c>
      <c r="EQ185"/>
      <c r="ER185" s="149"/>
      <c r="ES185"/>
      <c r="ET185" s="266" t="s">
        <v>3409</v>
      </c>
      <c r="EU185"/>
    </row>
    <row r="186" spans="1:151" s="139" customFormat="1" ht="15" hidden="1" customHeight="1">
      <c r="A186" s="1" t="s">
        <v>588</v>
      </c>
      <c r="B186" t="s">
        <v>1450</v>
      </c>
      <c r="C186" t="s">
        <v>1451</v>
      </c>
      <c r="D186" t="s">
        <v>1452</v>
      </c>
      <c r="E186" t="s">
        <v>1453</v>
      </c>
      <c r="F186" t="s">
        <v>1454</v>
      </c>
      <c r="G186" t="s">
        <v>594</v>
      </c>
      <c r="H186" t="s">
        <v>255</v>
      </c>
      <c r="I186">
        <v>2020</v>
      </c>
      <c r="J186">
        <v>12</v>
      </c>
      <c r="K186" t="s">
        <v>1455</v>
      </c>
      <c r="L186"/>
      <c r="M186" t="str">
        <f>LEFT($D186,FIND(",",$D186)-1)&amp;"_"&amp;I186&amp;L186</f>
        <v>Elisa_2020</v>
      </c>
      <c r="N186" s="266" t="s">
        <v>223</v>
      </c>
      <c r="O186" s="171" t="s">
        <v>275</v>
      </c>
      <c r="P186" t="s">
        <v>224</v>
      </c>
      <c r="Q186" s="266" t="s">
        <v>390</v>
      </c>
      <c r="R186" s="271" t="s">
        <v>1156</v>
      </c>
      <c r="S186" s="154" t="s">
        <v>1456</v>
      </c>
      <c r="T186" s="296" t="s">
        <v>1457</v>
      </c>
      <c r="U186" s="143" t="s">
        <v>1045</v>
      </c>
      <c r="V186">
        <v>0</v>
      </c>
      <c r="W186">
        <v>0</v>
      </c>
      <c r="X186">
        <v>0</v>
      </c>
      <c r="Y186">
        <v>0</v>
      </c>
      <c r="Z186">
        <v>0</v>
      </c>
      <c r="AA186">
        <v>0</v>
      </c>
      <c r="AB186">
        <v>0</v>
      </c>
      <c r="AC186">
        <v>0</v>
      </c>
      <c r="AD186">
        <v>0</v>
      </c>
      <c r="AE186">
        <v>1</v>
      </c>
      <c r="AF186">
        <v>0</v>
      </c>
      <c r="AG186">
        <v>0</v>
      </c>
      <c r="AH186">
        <v>0</v>
      </c>
      <c r="AI186">
        <v>0</v>
      </c>
      <c r="AJ186">
        <v>0</v>
      </c>
      <c r="AK186">
        <v>1</v>
      </c>
      <c r="AL186">
        <v>0</v>
      </c>
      <c r="AM186">
        <v>0</v>
      </c>
      <c r="AN186">
        <v>0</v>
      </c>
      <c r="AO186">
        <v>0</v>
      </c>
      <c r="AP186">
        <v>0</v>
      </c>
      <c r="AQ186">
        <v>0</v>
      </c>
      <c r="AR186">
        <v>0</v>
      </c>
      <c r="AS186">
        <v>0</v>
      </c>
      <c r="AT186">
        <v>0</v>
      </c>
      <c r="AU186">
        <v>0</v>
      </c>
      <c r="AV186">
        <v>0</v>
      </c>
      <c r="AW186">
        <v>0</v>
      </c>
      <c r="AX186" s="141">
        <f>COUNTIF(V186:AW186,"&lt;&gt;0")</f>
        <v>2</v>
      </c>
      <c r="AY186" s="141">
        <f>COUNTIF(V186:AL186,"&lt;&gt;0")</f>
        <v>2</v>
      </c>
      <c r="AZ186">
        <f>COUNTIF(V186:AC186,"&lt;&gt;0")</f>
        <v>0</v>
      </c>
      <c r="BA186">
        <f>COUNTIF(AD186:AI186,"&lt;&gt;0")</f>
        <v>1</v>
      </c>
      <c r="BB186">
        <f>COUNTIF(AJ186:AL186,"&lt;&gt;0")</f>
        <v>1</v>
      </c>
      <c r="BC186">
        <f>COUNTIF(AS186:AW186,"&lt;&gt;0")</f>
        <v>0</v>
      </c>
      <c r="BD186">
        <f>COUNTIF(AM186:AR186,"&lt;&gt;0")</f>
        <v>0</v>
      </c>
      <c r="BE186" t="str" cm="1">
        <f t="array" ref="BE186">IF(AY186=1,INDEX($V$7:$AL$7,MATCH(TRUE,INDEX($V186:$AW186&lt;&gt;0,),0)),IF(AY186=0,INDEX($AM$7:$AW$7,MATCH(1,$AM186:$AW186,0)),IF(BF186="Multiple strategies","mixed drivers",IF(BF186="Supply chain","multiple supply","multiple silviculture"))))</f>
        <v>mixed drivers</v>
      </c>
      <c r="BF186" s="2" t="str" cm="1">
        <f t="array" ref="BF186">IF(COUNTIF(AZ186:BB186,"&lt;&gt;0")=1,INDEX($V$4:$AW$4,MATCH(TRUE,INDEX($V186:$AW186&lt;&gt;0,),0)),IF(COUNTIF(AZ186:BB186,"&lt;&gt;0")=0,INDEX($AM$4:$AW$4,MATCH(1,$AM186:$AW186,0)),"Multiple strategies"))</f>
        <v>Multiple strategies</v>
      </c>
      <c r="BG186" s="142" t="s">
        <v>322</v>
      </c>
      <c r="BH186" s="160" t="s">
        <v>1459</v>
      </c>
      <c r="BI186" s="160" t="s">
        <v>1460</v>
      </c>
      <c r="BJ186" s="143" t="s">
        <v>499</v>
      </c>
      <c r="BK186" s="143">
        <v>944</v>
      </c>
      <c r="BL186" s="143">
        <v>13245</v>
      </c>
      <c r="BM186">
        <f>IFERROR(BL187/BK186,"")</f>
        <v>4.7669491525423728</v>
      </c>
      <c r="BN186">
        <f>BL186-BK186</f>
        <v>12301</v>
      </c>
      <c r="BO186" s="159">
        <f>BN186</f>
        <v>12301</v>
      </c>
      <c r="BP186" s="155" t="s">
        <v>233</v>
      </c>
      <c r="BQ186" s="313" t="s">
        <v>1461</v>
      </c>
      <c r="BR186" s="155" t="s">
        <v>827</v>
      </c>
      <c r="BS186" s="143" t="s">
        <v>1479</v>
      </c>
      <c r="BT186" t="s">
        <v>1517</v>
      </c>
      <c r="BU186" s="144">
        <f>BT186/BS186</f>
        <v>14.383189889121471</v>
      </c>
      <c r="BV186">
        <f>BT186-BS186</f>
        <v>-1.4383583333333301</v>
      </c>
      <c r="BW186"/>
      <c r="BX186">
        <f>BV186</f>
        <v>-1.4383583333333301</v>
      </c>
      <c r="BY186">
        <f>IFERROR(BX186/BO186,"")</f>
        <v>-1.1693019537706935E-4</v>
      </c>
      <c r="BZ186">
        <v>0</v>
      </c>
      <c r="CA186">
        <v>0</v>
      </c>
      <c r="CB186">
        <v>0</v>
      </c>
      <c r="CC186">
        <v>0</v>
      </c>
      <c r="CD186">
        <v>0</v>
      </c>
      <c r="CE186">
        <v>0</v>
      </c>
      <c r="CF186">
        <v>0</v>
      </c>
      <c r="CG186">
        <v>0</v>
      </c>
      <c r="CH186">
        <v>0</v>
      </c>
      <c r="CI186">
        <v>0</v>
      </c>
      <c r="CJ186">
        <v>0</v>
      </c>
      <c r="CK186">
        <v>0</v>
      </c>
      <c r="CL186">
        <v>0</v>
      </c>
      <c r="CM186">
        <v>0</v>
      </c>
      <c r="CN186" t="str">
        <f>IF($BL186&lt;$BK186,"refNeedCorrection","refOK")</f>
        <v>refOK</v>
      </c>
      <c r="CO186">
        <f>IF($CN186="refOK",$BK186,$BL186)</f>
        <v>944</v>
      </c>
      <c r="CP186">
        <f>IF($CN186="refOK",$BL186,$BK186)</f>
        <v>13245</v>
      </c>
      <c r="CQ186">
        <f>IF($CN186="refOK",$BO186,-$BO186)</f>
        <v>12301</v>
      </c>
      <c r="CR186">
        <f>IF($CN186="refOK",$BS186,$BT186)*IF($BP186="Emissions positive",-1,1)</f>
        <v>-0.107475</v>
      </c>
      <c r="CS186">
        <f>IF($CN186="refOK",$BT186,$BS186)*IF($BP186="Emissions positive",-1,1)</f>
        <v>-1.5458333333333301</v>
      </c>
      <c r="CT186">
        <f>IF($CN186="refNeedCorrection",-BX186,BX186)*IF($BP186="Emissions positive",-1,1)</f>
        <v>-1.4383583333333301</v>
      </c>
      <c r="CU186">
        <f>IFERROR(CT186/CQ186,"")</f>
        <v>-1.1693019537706935E-4</v>
      </c>
      <c r="CV186" s="2">
        <f>IFERROR((CS186-CR186)/ABS(CR186),"")</f>
        <v>-13.383189889121471</v>
      </c>
      <c r="CW186" s="265" t="s">
        <v>1464</v>
      </c>
      <c r="CX186" s="266" t="str">
        <f>IF(OR($CW186="prd",$CW186="std",$CW186="cit"),"loc",IF(OR($CW186="eur",$CW186="reg",$CW186="coy"),"reg",$CW186))</f>
        <v>reg</v>
      </c>
      <c r="CY186" s="272" t="s">
        <v>745</v>
      </c>
      <c r="CZ186"/>
      <c r="DA186" s="143"/>
      <c r="DB186" s="143">
        <v>0</v>
      </c>
      <c r="DC186" t="str">
        <f>IF(DB186=0,"0",IF(AND(DB186&gt;=1,DB186&lt;=30),"1-30",IF(AND(DB186&gt;30,DB186&lt;=70),"31-70",IF(AND(DB186&gt;70,DB186&lt;=100),"71-100",IF(DB186&gt;100,"+100")))))</f>
        <v>0</v>
      </c>
      <c r="DD186">
        <v>0</v>
      </c>
      <c r="DE186">
        <v>1</v>
      </c>
      <c r="DF186">
        <v>0</v>
      </c>
      <c r="DG186">
        <v>0</v>
      </c>
      <c r="DH186">
        <v>0</v>
      </c>
      <c r="DI186">
        <f>SUM(DD186:DH186)</f>
        <v>1</v>
      </c>
      <c r="DJ186" t="str">
        <f>IF(DI186=1,INDEX($DD$7:$DG$7,MATCH(1,$DD186:$DG186,0)),"mixedProduct")</f>
        <v>EnergyInput</v>
      </c>
      <c r="DK186">
        <f>IF(DD186=1,DK$7,0)</f>
        <v>0</v>
      </c>
      <c r="DL186" t="str">
        <f>IF(DE186=1,DL$7,0)</f>
        <v>Energy</v>
      </c>
      <c r="DM186">
        <f>IF(DF186=1,DM$7,0)</f>
        <v>0</v>
      </c>
      <c r="DN186">
        <f>IF(DG186=1,DN$7,0)</f>
        <v>0</v>
      </c>
      <c r="DO186">
        <v>0</v>
      </c>
      <c r="DP186" s="143">
        <v>0</v>
      </c>
      <c r="DQ186" s="143">
        <v>0</v>
      </c>
      <c r="DR186">
        <v>0</v>
      </c>
      <c r="DS186" s="143">
        <v>0</v>
      </c>
      <c r="DT186">
        <f>SUM(DO186:DP186)</f>
        <v>0</v>
      </c>
      <c r="DU186" s="143" t="str">
        <f>IF(DO186=1,"self-calculated DF",IF(DP186=1,"external DF used","explicit C balance"))</f>
        <v>explicit C balance</v>
      </c>
      <c r="DV186" s="143">
        <v>0</v>
      </c>
      <c r="DW186" s="143">
        <v>0</v>
      </c>
      <c r="DX186" s="143">
        <v>0</v>
      </c>
      <c r="DY186" s="143">
        <v>0</v>
      </c>
      <c r="DZ186">
        <v>0</v>
      </c>
      <c r="EA186" s="143">
        <v>0</v>
      </c>
      <c r="EB186" s="143">
        <v>1</v>
      </c>
      <c r="EC186" s="143">
        <v>0</v>
      </c>
      <c r="ED186" s="143">
        <v>0</v>
      </c>
      <c r="EE186">
        <v>0</v>
      </c>
      <c r="EF186">
        <v>0</v>
      </c>
      <c r="EG186" s="143">
        <v>0</v>
      </c>
      <c r="EH186" s="143">
        <v>0</v>
      </c>
      <c r="EI186" s="2">
        <v>0</v>
      </c>
      <c r="EJ186" s="1"/>
      <c r="EK186" t="str">
        <f>IF(AND(AND(AND(OR($DX186=1,$DW186=1),OR($EC186=1,$EA186=1)),SUM($DV186:$DZ186,$EF186)&gt;=4),SUM($EA186:$EE186)&gt;=2),"Whole sector","")</f>
        <v/>
      </c>
      <c r="EL186" t="str">
        <f>IF(AND(AND(OR($DX186=1,$DW186=1),AND($EC186=0,$EA186=0)),SUM($DV186:$DZ186,$EF186)&gt;=4),"Ecosystem approach","")</f>
        <v/>
      </c>
      <c r="EM186" s="2" t="str">
        <f>IF(AND(AND(AND($DX186=0,$DW186=0),OR($EC186=1,$EA186=1)),SUM($EB186:$EE186)&gt;=2),"Technology approach","")</f>
        <v/>
      </c>
      <c r="EN186"/>
      <c r="EO186"/>
      <c r="EP186" t="str">
        <f>IF(ISNUMBER(BU186),IF(ABS(BU186-[1]QC_indicators!$B$2)&gt;3*[1]QC_indicators!$C$2,"C ratio",IF(ISNUMBER(BY186),IF(ABS(BY186-[1]QC_indicators!$B$1)&gt;3*[1]QC_indicators!$C$1,"DF","no"))),IF(ISNUMBER(BY186),IF(ABS(BY186-[1]QC_indicators!$B$1)&gt;3*[1]QC_indicators!$C$1,"DF","no")))</f>
        <v>no</v>
      </c>
      <c r="EQ186"/>
      <c r="ER186" s="149"/>
      <c r="ES186"/>
      <c r="ET186" s="266" t="s">
        <v>3409</v>
      </c>
      <c r="EU186"/>
    </row>
    <row r="187" spans="1:151" s="139" customFormat="1" ht="15" hidden="1" customHeight="1">
      <c r="A187" s="1" t="s">
        <v>588</v>
      </c>
      <c r="B187" t="s">
        <v>1450</v>
      </c>
      <c r="C187" t="s">
        <v>1451</v>
      </c>
      <c r="D187" t="s">
        <v>1452</v>
      </c>
      <c r="E187" t="s">
        <v>1453</v>
      </c>
      <c r="F187" t="s">
        <v>1454</v>
      </c>
      <c r="G187" t="s">
        <v>594</v>
      </c>
      <c r="H187" t="s">
        <v>255</v>
      </c>
      <c r="I187">
        <v>2020</v>
      </c>
      <c r="J187">
        <v>12</v>
      </c>
      <c r="K187" t="s">
        <v>1455</v>
      </c>
      <c r="L187"/>
      <c r="M187" t="str">
        <f>LEFT($D187,FIND(",",$D187)-1)&amp;"_"&amp;I187&amp;L187</f>
        <v>Elisa_2020</v>
      </c>
      <c r="N187" s="266" t="s">
        <v>223</v>
      </c>
      <c r="O187" s="171" t="s">
        <v>275</v>
      </c>
      <c r="P187" t="s">
        <v>224</v>
      </c>
      <c r="Q187" s="266" t="s">
        <v>390</v>
      </c>
      <c r="R187" s="271" t="s">
        <v>1156</v>
      </c>
      <c r="S187" s="154" t="s">
        <v>1456</v>
      </c>
      <c r="T187" s="296" t="s">
        <v>1457</v>
      </c>
      <c r="U187" s="143" t="s">
        <v>1492</v>
      </c>
      <c r="V187">
        <v>0</v>
      </c>
      <c r="W187">
        <v>0</v>
      </c>
      <c r="X187">
        <v>0</v>
      </c>
      <c r="Y187">
        <v>0</v>
      </c>
      <c r="Z187">
        <v>0</v>
      </c>
      <c r="AA187">
        <v>0</v>
      </c>
      <c r="AB187">
        <v>0</v>
      </c>
      <c r="AC187">
        <v>0</v>
      </c>
      <c r="AD187">
        <v>0</v>
      </c>
      <c r="AE187">
        <v>1</v>
      </c>
      <c r="AF187">
        <v>0</v>
      </c>
      <c r="AG187">
        <v>0</v>
      </c>
      <c r="AH187">
        <v>0</v>
      </c>
      <c r="AI187">
        <v>0</v>
      </c>
      <c r="AJ187">
        <v>0</v>
      </c>
      <c r="AK187">
        <v>1</v>
      </c>
      <c r="AL187">
        <v>0</v>
      </c>
      <c r="AM187">
        <v>0</v>
      </c>
      <c r="AN187">
        <v>0</v>
      </c>
      <c r="AO187">
        <v>0</v>
      </c>
      <c r="AP187">
        <v>0</v>
      </c>
      <c r="AQ187">
        <v>0</v>
      </c>
      <c r="AR187">
        <v>0</v>
      </c>
      <c r="AS187">
        <v>0</v>
      </c>
      <c r="AT187">
        <v>0</v>
      </c>
      <c r="AU187">
        <v>0</v>
      </c>
      <c r="AV187">
        <v>0</v>
      </c>
      <c r="AW187">
        <v>0</v>
      </c>
      <c r="AX187" s="141">
        <f>COUNTIF(V187:AW187,"&lt;&gt;0")</f>
        <v>2</v>
      </c>
      <c r="AY187" s="141">
        <f>COUNTIF(V187:AL187,"&lt;&gt;0")</f>
        <v>2</v>
      </c>
      <c r="AZ187">
        <f>COUNTIF(V187:AC187,"&lt;&gt;0")</f>
        <v>0</v>
      </c>
      <c r="BA187">
        <f>COUNTIF(AD187:AI187,"&lt;&gt;0")</f>
        <v>1</v>
      </c>
      <c r="BB187">
        <f>COUNTIF(AJ187:AL187,"&lt;&gt;0")</f>
        <v>1</v>
      </c>
      <c r="BC187">
        <f>COUNTIF(AS187:AW187,"&lt;&gt;0")</f>
        <v>0</v>
      </c>
      <c r="BD187">
        <f>COUNTIF(AM187:AR187,"&lt;&gt;0")</f>
        <v>0</v>
      </c>
      <c r="BE187" t="str" cm="1">
        <f t="array" ref="BE187">IF(AY187=1,INDEX($V$7:$AL$7,MATCH(TRUE,INDEX($V187:$AW187&lt;&gt;0,),0)),IF(AY187=0,INDEX($AM$7:$AW$7,MATCH(1,$AM187:$AW187,0)),IF(BF187="Multiple strategies","mixed drivers",IF(BF187="Supply chain","multiple supply","multiple silviculture"))))</f>
        <v>mixed drivers</v>
      </c>
      <c r="BF187" s="2" t="str" cm="1">
        <f t="array" ref="BF187">IF(COUNTIF(AZ187:BB187,"&lt;&gt;0")=1,INDEX($V$4:$AW$4,MATCH(TRUE,INDEX($V187:$AW187&lt;&gt;0,),0)),IF(COUNTIF(AZ187:BB187,"&lt;&gt;0")=0,INDEX($AM$4:$AW$4,MATCH(1,$AM187:$AW187,0)),"Multiple strategies"))</f>
        <v>Multiple strategies</v>
      </c>
      <c r="BG187" s="142" t="s">
        <v>322</v>
      </c>
      <c r="BH187" s="160" t="s">
        <v>1459</v>
      </c>
      <c r="BI187" s="160" t="s">
        <v>1460</v>
      </c>
      <c r="BJ187" s="143" t="s">
        <v>499</v>
      </c>
      <c r="BK187" s="143">
        <v>944</v>
      </c>
      <c r="BL187" s="143">
        <v>4500</v>
      </c>
      <c r="BM187">
        <f>IFERROR(BL188/BK187,"")</f>
        <v>13.771186440677965</v>
      </c>
      <c r="BN187">
        <f>BL187-BK187</f>
        <v>3556</v>
      </c>
      <c r="BO187" s="159">
        <f>BN187</f>
        <v>3556</v>
      </c>
      <c r="BP187" s="155" t="s">
        <v>233</v>
      </c>
      <c r="BQ187" s="313" t="s">
        <v>1461</v>
      </c>
      <c r="BR187" s="155" t="s">
        <v>827</v>
      </c>
      <c r="BS187" s="143" t="s">
        <v>1479</v>
      </c>
      <c r="BT187" t="s">
        <v>1518</v>
      </c>
      <c r="BU187" s="144">
        <f>BT187/BS187</f>
        <v>4.8588819105218244</v>
      </c>
      <c r="BV187">
        <f>BT187-BS187</f>
        <v>-0.41473333333333307</v>
      </c>
      <c r="BW187"/>
      <c r="BX187">
        <f>BV187</f>
        <v>-0.41473333333333307</v>
      </c>
      <c r="BY187">
        <f>IFERROR(BX187/BO187,"")</f>
        <v>-1.1662917135358072E-4</v>
      </c>
      <c r="BZ187">
        <v>0</v>
      </c>
      <c r="CA187">
        <v>0</v>
      </c>
      <c r="CB187">
        <v>0</v>
      </c>
      <c r="CC187">
        <v>0</v>
      </c>
      <c r="CD187">
        <v>0</v>
      </c>
      <c r="CE187">
        <v>0</v>
      </c>
      <c r="CF187">
        <v>0</v>
      </c>
      <c r="CG187">
        <v>0</v>
      </c>
      <c r="CH187">
        <v>0</v>
      </c>
      <c r="CI187">
        <v>0</v>
      </c>
      <c r="CJ187">
        <v>0</v>
      </c>
      <c r="CK187">
        <v>0</v>
      </c>
      <c r="CL187">
        <v>0</v>
      </c>
      <c r="CM187">
        <v>0</v>
      </c>
      <c r="CN187" t="str">
        <f>IF($BL187&lt;$BK187,"refNeedCorrection","refOK")</f>
        <v>refOK</v>
      </c>
      <c r="CO187">
        <f>IF($CN187="refOK",$BK187,$BL187)</f>
        <v>944</v>
      </c>
      <c r="CP187">
        <f>IF($CN187="refOK",$BL187,$BK187)</f>
        <v>4500</v>
      </c>
      <c r="CQ187">
        <f>IF($CN187="refOK",$BO187,-$BO187)</f>
        <v>3556</v>
      </c>
      <c r="CR187">
        <f>IF($CN187="refOK",$BS187,$BT187)*IF($BP187="Emissions positive",-1,1)</f>
        <v>-0.107475</v>
      </c>
      <c r="CS187">
        <f>IF($CN187="refOK",$BT187,$BS187)*IF($BP187="Emissions positive",-1,1)</f>
        <v>-0.52220833333333305</v>
      </c>
      <c r="CT187">
        <f>IF($CN187="refNeedCorrection",-BX187,BX187)*IF($BP187="Emissions positive",-1,1)</f>
        <v>-0.41473333333333307</v>
      </c>
      <c r="CU187">
        <f>IFERROR(CT187/CQ187,"")</f>
        <v>-1.1662917135358072E-4</v>
      </c>
      <c r="CV187" s="2">
        <f>IFERROR((CS187-CR187)/ABS(CR187),"")</f>
        <v>-3.8588819105218244</v>
      </c>
      <c r="CW187" s="265" t="s">
        <v>1464</v>
      </c>
      <c r="CX187" s="266" t="str">
        <f>IF(OR($CW187="prd",$CW187="std",$CW187="cit"),"loc",IF(OR($CW187="eur",$CW187="reg",$CW187="coy"),"reg",$CW187))</f>
        <v>reg</v>
      </c>
      <c r="CY187" s="272" t="s">
        <v>745</v>
      </c>
      <c r="CZ187"/>
      <c r="DA187" s="143"/>
      <c r="DB187" s="143">
        <v>0</v>
      </c>
      <c r="DC187" t="str">
        <f>IF(DB187=0,"0",IF(AND(DB187&gt;=1,DB187&lt;=30),"1-30",IF(AND(DB187&gt;30,DB187&lt;=70),"31-70",IF(AND(DB187&gt;70,DB187&lt;=100),"71-100",IF(DB187&gt;100,"+100")))))</f>
        <v>0</v>
      </c>
      <c r="DD187">
        <v>0</v>
      </c>
      <c r="DE187">
        <v>1</v>
      </c>
      <c r="DF187">
        <v>0</v>
      </c>
      <c r="DG187">
        <v>0</v>
      </c>
      <c r="DH187">
        <v>0</v>
      </c>
      <c r="DI187">
        <f>SUM(DD187:DH187)</f>
        <v>1</v>
      </c>
      <c r="DJ187" t="str">
        <f>IF(DI187=1,INDEX($DD$7:$DG$7,MATCH(1,$DD187:$DG187,0)),"mixedProduct")</f>
        <v>EnergyInput</v>
      </c>
      <c r="DK187">
        <f>IF(DD187=1,DK$7,0)</f>
        <v>0</v>
      </c>
      <c r="DL187" t="str">
        <f>IF(DE187=1,DL$7,0)</f>
        <v>Energy</v>
      </c>
      <c r="DM187">
        <f>IF(DF187=1,DM$7,0)</f>
        <v>0</v>
      </c>
      <c r="DN187">
        <f>IF(DG187=1,DN$7,0)</f>
        <v>0</v>
      </c>
      <c r="DO187">
        <v>0</v>
      </c>
      <c r="DP187" s="143">
        <v>0</v>
      </c>
      <c r="DQ187" s="143">
        <v>0</v>
      </c>
      <c r="DR187">
        <v>0</v>
      </c>
      <c r="DS187" s="143">
        <v>0</v>
      </c>
      <c r="DT187">
        <f>SUM(DO187:DP187)</f>
        <v>0</v>
      </c>
      <c r="DU187" s="143" t="str">
        <f>IF(DO187=1,"self-calculated DF",IF(DP187=1,"external DF used","explicit C balance"))</f>
        <v>explicit C balance</v>
      </c>
      <c r="DV187" s="143">
        <v>0</v>
      </c>
      <c r="DW187" s="143">
        <v>0</v>
      </c>
      <c r="DX187" s="143">
        <v>0</v>
      </c>
      <c r="DY187" s="143">
        <v>0</v>
      </c>
      <c r="DZ187">
        <v>0</v>
      </c>
      <c r="EA187" s="143">
        <v>0</v>
      </c>
      <c r="EB187" s="143">
        <v>1</v>
      </c>
      <c r="EC187" s="143">
        <v>0</v>
      </c>
      <c r="ED187" s="143">
        <v>0</v>
      </c>
      <c r="EE187">
        <v>0</v>
      </c>
      <c r="EF187">
        <v>0</v>
      </c>
      <c r="EG187" s="143">
        <v>0</v>
      </c>
      <c r="EH187" s="143">
        <v>0</v>
      </c>
      <c r="EI187" s="2">
        <v>0</v>
      </c>
      <c r="EJ187" s="1"/>
      <c r="EK187" t="str">
        <f>IF(AND(AND(AND(OR($DX187=1,$DW187=1),OR($EC187=1,$EA187=1)),SUM($DV187:$DZ187,$EF187)&gt;=4),SUM($EA187:$EE187)&gt;=2),"Whole sector","")</f>
        <v/>
      </c>
      <c r="EL187" t="str">
        <f>IF(AND(AND(OR($DX187=1,$DW187=1),AND($EC187=0,$EA187=0)),SUM($DV187:$DZ187,$EF187)&gt;=4),"Ecosystem approach","")</f>
        <v/>
      </c>
      <c r="EM187" s="2" t="str">
        <f>IF(AND(AND(AND($DX187=0,$DW187=0),OR($EC187=1,$EA187=1)),SUM($EB187:$EE187)&gt;=2),"Technology approach","")</f>
        <v/>
      </c>
      <c r="EN187"/>
      <c r="EO187"/>
      <c r="EP187" t="str">
        <f>IF(ISNUMBER(BU187),IF(ABS(BU187-[1]QC_indicators!$B$2)&gt;3*[1]QC_indicators!$C$2,"C ratio",IF(ISNUMBER(BY187),IF(ABS(BY187-[1]QC_indicators!$B$1)&gt;3*[1]QC_indicators!$C$1,"DF","no"))),IF(ISNUMBER(BY187),IF(ABS(BY187-[1]QC_indicators!$B$1)&gt;3*[1]QC_indicators!$C$1,"DF","no")))</f>
        <v>no</v>
      </c>
      <c r="EQ187"/>
      <c r="ER187" s="149"/>
      <c r="ES187"/>
      <c r="ET187" s="266" t="s">
        <v>3409</v>
      </c>
      <c r="EU187"/>
    </row>
    <row r="188" spans="1:151" s="139" customFormat="1" ht="15" hidden="1" customHeight="1">
      <c r="A188" s="1" t="s">
        <v>588</v>
      </c>
      <c r="B188" t="s">
        <v>1450</v>
      </c>
      <c r="C188" t="s">
        <v>1451</v>
      </c>
      <c r="D188" t="s">
        <v>1452</v>
      </c>
      <c r="E188" t="s">
        <v>1453</v>
      </c>
      <c r="F188" t="s">
        <v>1454</v>
      </c>
      <c r="G188" t="s">
        <v>594</v>
      </c>
      <c r="H188" t="s">
        <v>255</v>
      </c>
      <c r="I188">
        <v>2020</v>
      </c>
      <c r="J188">
        <v>12</v>
      </c>
      <c r="K188" t="s">
        <v>1455</v>
      </c>
      <c r="L188"/>
      <c r="M188" t="str">
        <f>LEFT($D188,FIND(",",$D188)-1)&amp;"_"&amp;I188&amp;L188</f>
        <v>Elisa_2020</v>
      </c>
      <c r="N188" s="266" t="s">
        <v>223</v>
      </c>
      <c r="O188" s="171" t="s">
        <v>275</v>
      </c>
      <c r="P188" t="s">
        <v>224</v>
      </c>
      <c r="Q188" s="266" t="s">
        <v>390</v>
      </c>
      <c r="R188" s="271" t="s">
        <v>1156</v>
      </c>
      <c r="S188" s="154" t="s">
        <v>1456</v>
      </c>
      <c r="T188" s="296" t="s">
        <v>1457</v>
      </c>
      <c r="U188" s="143" t="s">
        <v>1511</v>
      </c>
      <c r="V188">
        <v>0</v>
      </c>
      <c r="W188">
        <v>0</v>
      </c>
      <c r="X188">
        <v>0</v>
      </c>
      <c r="Y188">
        <v>0</v>
      </c>
      <c r="Z188">
        <v>0</v>
      </c>
      <c r="AA188">
        <v>0</v>
      </c>
      <c r="AB188">
        <v>0</v>
      </c>
      <c r="AC188">
        <v>0</v>
      </c>
      <c r="AD188">
        <v>0</v>
      </c>
      <c r="AE188">
        <v>1</v>
      </c>
      <c r="AF188">
        <v>0</v>
      </c>
      <c r="AG188">
        <v>0</v>
      </c>
      <c r="AH188">
        <v>0</v>
      </c>
      <c r="AI188">
        <v>0</v>
      </c>
      <c r="AJ188">
        <v>0</v>
      </c>
      <c r="AK188">
        <v>1</v>
      </c>
      <c r="AL188">
        <v>0</v>
      </c>
      <c r="AM188">
        <v>0</v>
      </c>
      <c r="AN188">
        <v>0</v>
      </c>
      <c r="AO188">
        <v>0</v>
      </c>
      <c r="AP188">
        <v>0</v>
      </c>
      <c r="AQ188">
        <v>0</v>
      </c>
      <c r="AR188">
        <v>0</v>
      </c>
      <c r="AS188">
        <v>0</v>
      </c>
      <c r="AT188">
        <v>0</v>
      </c>
      <c r="AU188">
        <v>0</v>
      </c>
      <c r="AV188">
        <v>0</v>
      </c>
      <c r="AW188">
        <v>0</v>
      </c>
      <c r="AX188" s="141">
        <f>COUNTIF(V188:AW188,"&lt;&gt;0")</f>
        <v>2</v>
      </c>
      <c r="AY188" s="141">
        <f>COUNTIF(V188:AL188,"&lt;&gt;0")</f>
        <v>2</v>
      </c>
      <c r="AZ188">
        <f>COUNTIF(V188:AC188,"&lt;&gt;0")</f>
        <v>0</v>
      </c>
      <c r="BA188">
        <f>COUNTIF(AD188:AI188,"&lt;&gt;0")</f>
        <v>1</v>
      </c>
      <c r="BB188">
        <f>COUNTIF(AJ188:AL188,"&lt;&gt;0")</f>
        <v>1</v>
      </c>
      <c r="BC188">
        <f>COUNTIF(AS188:AW188,"&lt;&gt;0")</f>
        <v>0</v>
      </c>
      <c r="BD188">
        <f>COUNTIF(AM188:AR188,"&lt;&gt;0")</f>
        <v>0</v>
      </c>
      <c r="BE188" t="str" cm="1">
        <f t="array" ref="BE188">IF(AY188=1,INDEX($V$7:$AL$7,MATCH(TRUE,INDEX($V188:$AW188&lt;&gt;0,),0)),IF(AY188=0,INDEX($AM$7:$AW$7,MATCH(1,$AM188:$AW188,0)),IF(BF188="Multiple strategies","mixed drivers",IF(BF188="Supply chain","multiple supply","multiple silviculture"))))</f>
        <v>mixed drivers</v>
      </c>
      <c r="BF188" s="2" t="str" cm="1">
        <f t="array" ref="BF188">IF(COUNTIF(AZ188:BB188,"&lt;&gt;0")=1,INDEX($V$4:$AW$4,MATCH(TRUE,INDEX($V188:$AW188&lt;&gt;0,),0)),IF(COUNTIF(AZ188:BB188,"&lt;&gt;0")=0,INDEX($AM$4:$AW$4,MATCH(1,$AM188:$AW188,0)),"Multiple strategies"))</f>
        <v>Multiple strategies</v>
      </c>
      <c r="BG188" s="142" t="s">
        <v>322</v>
      </c>
      <c r="BH188" s="160" t="s">
        <v>1459</v>
      </c>
      <c r="BI188" s="160" t="s">
        <v>1460</v>
      </c>
      <c r="BJ188" s="143" t="s">
        <v>499</v>
      </c>
      <c r="BK188" s="143">
        <v>944</v>
      </c>
      <c r="BL188" s="143">
        <v>13000</v>
      </c>
      <c r="BM188">
        <f>IFERROR(BL189/BK188,"")</f>
        <v>21.1864406779661</v>
      </c>
      <c r="BN188">
        <f>BL188-BK188</f>
        <v>12056</v>
      </c>
      <c r="BO188" s="159">
        <f>BN188</f>
        <v>12056</v>
      </c>
      <c r="BP188" s="155" t="s">
        <v>233</v>
      </c>
      <c r="BQ188" s="313" t="s">
        <v>1461</v>
      </c>
      <c r="BR188" s="155" t="s">
        <v>827</v>
      </c>
      <c r="BS188" s="143" t="s">
        <v>1479</v>
      </c>
      <c r="BT188" t="s">
        <v>1519</v>
      </c>
      <c r="BU188" s="144">
        <f>BT188/BS188</f>
        <v>14.060117339949848</v>
      </c>
      <c r="BV188">
        <f>BT188-BS188</f>
        <v>-1.40363611111111</v>
      </c>
      <c r="BW188"/>
      <c r="BX188">
        <f>BV188</f>
        <v>-1.40363611111111</v>
      </c>
      <c r="BY188">
        <f>IFERROR(BX188/BO188,"")</f>
        <v>-1.1642635294551343E-4</v>
      </c>
      <c r="BZ188">
        <v>0</v>
      </c>
      <c r="CA188">
        <v>0</v>
      </c>
      <c r="CB188">
        <v>0</v>
      </c>
      <c r="CC188">
        <v>0</v>
      </c>
      <c r="CD188">
        <v>0</v>
      </c>
      <c r="CE188">
        <v>0</v>
      </c>
      <c r="CF188">
        <v>0</v>
      </c>
      <c r="CG188">
        <v>0</v>
      </c>
      <c r="CH188">
        <v>0</v>
      </c>
      <c r="CI188">
        <v>0</v>
      </c>
      <c r="CJ188">
        <v>0</v>
      </c>
      <c r="CK188">
        <v>0</v>
      </c>
      <c r="CL188">
        <v>0</v>
      </c>
      <c r="CM188">
        <v>0</v>
      </c>
      <c r="CN188" t="str">
        <f>IF($BL188&lt;$BK188,"refNeedCorrection","refOK")</f>
        <v>refOK</v>
      </c>
      <c r="CO188">
        <f>IF($CN188="refOK",$BK188,$BL188)</f>
        <v>944</v>
      </c>
      <c r="CP188">
        <f>IF($CN188="refOK",$BL188,$BK188)</f>
        <v>13000</v>
      </c>
      <c r="CQ188">
        <f>IF($CN188="refOK",$BO188,-$BO188)</f>
        <v>12056</v>
      </c>
      <c r="CR188">
        <f>IF($CN188="refOK",$BS188,$BT188)*IF($BP188="Emissions positive",-1,1)</f>
        <v>-0.107475</v>
      </c>
      <c r="CS188">
        <f>IF($CN188="refOK",$BT188,$BS188)*IF($BP188="Emissions positive",-1,1)</f>
        <v>-1.51111111111111</v>
      </c>
      <c r="CT188">
        <f>IF($CN188="refNeedCorrection",-BX188,BX188)*IF($BP188="Emissions positive",-1,1)</f>
        <v>-1.40363611111111</v>
      </c>
      <c r="CU188">
        <f>IFERROR(CT188/CQ188,"")</f>
        <v>-1.1642635294551343E-4</v>
      </c>
      <c r="CV188" s="2">
        <f>IFERROR((CS188-CR188)/ABS(CR188),"")</f>
        <v>-13.060117339949848</v>
      </c>
      <c r="CW188" s="265" t="s">
        <v>1464</v>
      </c>
      <c r="CX188" s="266" t="str">
        <f>IF(OR($CW188="prd",$CW188="std",$CW188="cit"),"loc",IF(OR($CW188="eur",$CW188="reg",$CW188="coy"),"reg",$CW188))</f>
        <v>reg</v>
      </c>
      <c r="CY188" s="272" t="s">
        <v>745</v>
      </c>
      <c r="CZ188"/>
      <c r="DA188" s="143"/>
      <c r="DB188" s="143">
        <v>0</v>
      </c>
      <c r="DC188" t="str">
        <f>IF(DB188=0,"0",IF(AND(DB188&gt;=1,DB188&lt;=30),"1-30",IF(AND(DB188&gt;30,DB188&lt;=70),"31-70",IF(AND(DB188&gt;70,DB188&lt;=100),"71-100",IF(DB188&gt;100,"+100")))))</f>
        <v>0</v>
      </c>
      <c r="DD188">
        <v>0</v>
      </c>
      <c r="DE188">
        <v>1</v>
      </c>
      <c r="DF188">
        <v>0</v>
      </c>
      <c r="DG188">
        <v>0</v>
      </c>
      <c r="DH188">
        <v>0</v>
      </c>
      <c r="DI188">
        <f>SUM(DD188:DH188)</f>
        <v>1</v>
      </c>
      <c r="DJ188" t="str">
        <f>IF(DI188=1,INDEX($DD$7:$DG$7,MATCH(1,$DD188:$DG188,0)),"mixedProduct")</f>
        <v>EnergyInput</v>
      </c>
      <c r="DK188">
        <f>IF(DD188=1,DK$7,0)</f>
        <v>0</v>
      </c>
      <c r="DL188" t="str">
        <f>IF(DE188=1,DL$7,0)</f>
        <v>Energy</v>
      </c>
      <c r="DM188">
        <f>IF(DF188=1,DM$7,0)</f>
        <v>0</v>
      </c>
      <c r="DN188">
        <f>IF(DG188=1,DN$7,0)</f>
        <v>0</v>
      </c>
      <c r="DO188">
        <v>0</v>
      </c>
      <c r="DP188" s="143">
        <v>0</v>
      </c>
      <c r="DQ188" s="143">
        <v>0</v>
      </c>
      <c r="DR188">
        <v>0</v>
      </c>
      <c r="DS188" s="143">
        <v>0</v>
      </c>
      <c r="DT188">
        <f>SUM(DO188:DP188)</f>
        <v>0</v>
      </c>
      <c r="DU188" s="143" t="str">
        <f>IF(DO188=1,"self-calculated DF",IF(DP188=1,"external DF used","explicit C balance"))</f>
        <v>explicit C balance</v>
      </c>
      <c r="DV188" s="143">
        <v>0</v>
      </c>
      <c r="DW188" s="143">
        <v>0</v>
      </c>
      <c r="DX188" s="143">
        <v>0</v>
      </c>
      <c r="DY188" s="143">
        <v>0</v>
      </c>
      <c r="DZ188">
        <v>0</v>
      </c>
      <c r="EA188" s="143">
        <v>0</v>
      </c>
      <c r="EB188" s="143">
        <v>1</v>
      </c>
      <c r="EC188" s="143">
        <v>0</v>
      </c>
      <c r="ED188" s="143">
        <v>0</v>
      </c>
      <c r="EE188">
        <v>0</v>
      </c>
      <c r="EF188">
        <v>0</v>
      </c>
      <c r="EG188" s="143">
        <v>0</v>
      </c>
      <c r="EH188" s="143">
        <v>0</v>
      </c>
      <c r="EI188" s="2">
        <v>0</v>
      </c>
      <c r="EJ188" s="1"/>
      <c r="EK188" t="str">
        <f>IF(AND(AND(AND(OR($DX188=1,$DW188=1),OR($EC188=1,$EA188=1)),SUM($DV188:$DZ188,$EF188)&gt;=4),SUM($EA188:$EE188)&gt;=2),"Whole sector","")</f>
        <v/>
      </c>
      <c r="EL188" t="str">
        <f>IF(AND(AND(OR($DX188=1,$DW188=1),AND($EC188=0,$EA188=0)),SUM($DV188:$DZ188,$EF188)&gt;=4),"Ecosystem approach","")</f>
        <v/>
      </c>
      <c r="EM188" s="2" t="str">
        <f>IF(AND(AND(AND($DX188=0,$DW188=0),OR($EC188=1,$EA188=1)),SUM($EB188:$EE188)&gt;=2),"Technology approach","")</f>
        <v/>
      </c>
      <c r="EN188"/>
      <c r="EO188"/>
      <c r="EP188" t="str">
        <f>IF(ISNUMBER(BU188),IF(ABS(BU188-[1]QC_indicators!$B$2)&gt;3*[1]QC_indicators!$C$2,"C ratio",IF(ISNUMBER(BY188),IF(ABS(BY188-[1]QC_indicators!$B$1)&gt;3*[1]QC_indicators!$C$1,"DF","no"))),IF(ISNUMBER(BY188),IF(ABS(BY188-[1]QC_indicators!$B$1)&gt;3*[1]QC_indicators!$C$1,"DF","no")))</f>
        <v>no</v>
      </c>
      <c r="EQ188"/>
      <c r="ER188" s="149"/>
      <c r="ES188"/>
      <c r="ET188" s="266" t="s">
        <v>3409</v>
      </c>
      <c r="EU188"/>
    </row>
    <row r="189" spans="1:151" s="139" customFormat="1" ht="15" hidden="1" customHeight="1">
      <c r="A189" s="1" t="s">
        <v>588</v>
      </c>
      <c r="B189" t="s">
        <v>1450</v>
      </c>
      <c r="C189" t="s">
        <v>1451</v>
      </c>
      <c r="D189" t="s">
        <v>1452</v>
      </c>
      <c r="E189" t="s">
        <v>1453</v>
      </c>
      <c r="F189" t="s">
        <v>1454</v>
      </c>
      <c r="G189" t="s">
        <v>594</v>
      </c>
      <c r="H189" t="s">
        <v>255</v>
      </c>
      <c r="I189">
        <v>2020</v>
      </c>
      <c r="J189">
        <v>12</v>
      </c>
      <c r="K189" t="s">
        <v>1455</v>
      </c>
      <c r="L189"/>
      <c r="M189" t="str">
        <f>LEFT($D189,FIND(",",$D189)-1)&amp;"_"&amp;I189&amp;L189</f>
        <v>Elisa_2020</v>
      </c>
      <c r="N189" s="266" t="s">
        <v>223</v>
      </c>
      <c r="O189" s="171" t="s">
        <v>275</v>
      </c>
      <c r="P189" t="s">
        <v>224</v>
      </c>
      <c r="Q189" s="266" t="s">
        <v>390</v>
      </c>
      <c r="R189" s="271" t="s">
        <v>1156</v>
      </c>
      <c r="S189" s="154" t="s">
        <v>1456</v>
      </c>
      <c r="T189" s="296" t="s">
        <v>1457</v>
      </c>
      <c r="U189" s="143" t="s">
        <v>1496</v>
      </c>
      <c r="V189">
        <v>0</v>
      </c>
      <c r="W189">
        <v>0</v>
      </c>
      <c r="X189">
        <v>0</v>
      </c>
      <c r="Y189">
        <v>0</v>
      </c>
      <c r="Z189">
        <v>0</v>
      </c>
      <c r="AA189">
        <v>0</v>
      </c>
      <c r="AB189">
        <v>0</v>
      </c>
      <c r="AC189">
        <v>0</v>
      </c>
      <c r="AD189">
        <v>0</v>
      </c>
      <c r="AE189">
        <v>1</v>
      </c>
      <c r="AF189">
        <v>0</v>
      </c>
      <c r="AG189">
        <v>0</v>
      </c>
      <c r="AH189">
        <v>0</v>
      </c>
      <c r="AI189">
        <v>0</v>
      </c>
      <c r="AJ189">
        <v>0</v>
      </c>
      <c r="AK189">
        <v>1</v>
      </c>
      <c r="AL189">
        <v>0</v>
      </c>
      <c r="AM189">
        <v>0</v>
      </c>
      <c r="AN189">
        <v>0</v>
      </c>
      <c r="AO189">
        <v>0</v>
      </c>
      <c r="AP189">
        <v>0</v>
      </c>
      <c r="AQ189">
        <v>0</v>
      </c>
      <c r="AR189">
        <v>0</v>
      </c>
      <c r="AS189">
        <v>0</v>
      </c>
      <c r="AT189">
        <v>0</v>
      </c>
      <c r="AU189">
        <v>0</v>
      </c>
      <c r="AV189">
        <v>0</v>
      </c>
      <c r="AW189">
        <v>0</v>
      </c>
      <c r="AX189" s="141">
        <f>COUNTIF(V189:AW189,"&lt;&gt;0")</f>
        <v>2</v>
      </c>
      <c r="AY189" s="141">
        <f>COUNTIF(V189:AL189,"&lt;&gt;0")</f>
        <v>2</v>
      </c>
      <c r="AZ189">
        <f>COUNTIF(V189:AC189,"&lt;&gt;0")</f>
        <v>0</v>
      </c>
      <c r="BA189">
        <f>COUNTIF(AD189:AI189,"&lt;&gt;0")</f>
        <v>1</v>
      </c>
      <c r="BB189">
        <f>COUNTIF(AJ189:AL189,"&lt;&gt;0")</f>
        <v>1</v>
      </c>
      <c r="BC189">
        <f>COUNTIF(AS189:AW189,"&lt;&gt;0")</f>
        <v>0</v>
      </c>
      <c r="BD189">
        <f>COUNTIF(AM189:AR189,"&lt;&gt;0")</f>
        <v>0</v>
      </c>
      <c r="BE189" t="str" cm="1">
        <f t="array" ref="BE189">IF(AY189=1,INDEX($V$7:$AL$7,MATCH(TRUE,INDEX($V189:$AW189&lt;&gt;0,),0)),IF(AY189=0,INDEX($AM$7:$AW$7,MATCH(1,$AM189:$AW189,0)),IF(BF189="Multiple strategies","mixed drivers",IF(BF189="Supply chain","multiple supply","multiple silviculture"))))</f>
        <v>mixed drivers</v>
      </c>
      <c r="BF189" s="2" t="str" cm="1">
        <f t="array" ref="BF189">IF(COUNTIF(AZ189:BB189,"&lt;&gt;0")=1,INDEX($V$4:$AW$4,MATCH(TRUE,INDEX($V189:$AW189&lt;&gt;0,),0)),IF(COUNTIF(AZ189:BB189,"&lt;&gt;0")=0,INDEX($AM$4:$AW$4,MATCH(1,$AM189:$AW189,0)),"Multiple strategies"))</f>
        <v>Multiple strategies</v>
      </c>
      <c r="BG189" s="142" t="s">
        <v>322</v>
      </c>
      <c r="BH189" s="160" t="s">
        <v>1459</v>
      </c>
      <c r="BI189" s="160" t="s">
        <v>1460</v>
      </c>
      <c r="BJ189" s="143" t="s">
        <v>499</v>
      </c>
      <c r="BK189" s="143">
        <v>944</v>
      </c>
      <c r="BL189" s="143">
        <v>20000</v>
      </c>
      <c r="BM189">
        <f>IFERROR(BL190/BK189,"")</f>
        <v>2.1345338983050848</v>
      </c>
      <c r="BN189">
        <f>BL189-BK189</f>
        <v>19056</v>
      </c>
      <c r="BO189" s="159">
        <f>BN189</f>
        <v>19056</v>
      </c>
      <c r="BP189" s="155" t="s">
        <v>233</v>
      </c>
      <c r="BQ189" s="313" t="s">
        <v>1461</v>
      </c>
      <c r="BR189" s="155" t="s">
        <v>827</v>
      </c>
      <c r="BS189" s="143" t="s">
        <v>1479</v>
      </c>
      <c r="BT189" t="s">
        <v>1520</v>
      </c>
      <c r="BU189" s="144">
        <f>BT189/BS189</f>
        <v>21.393037140420283</v>
      </c>
      <c r="BV189">
        <f>BT189-BS189</f>
        <v>-2.1917416666666698</v>
      </c>
      <c r="BW189"/>
      <c r="BX189">
        <f>BV189</f>
        <v>-2.1917416666666698</v>
      </c>
      <c r="BY189">
        <f>IFERROR(BX189/BO189,"")</f>
        <v>-1.1501583053456496E-4</v>
      </c>
      <c r="BZ189">
        <v>0</v>
      </c>
      <c r="CA189">
        <v>0</v>
      </c>
      <c r="CB189">
        <v>0</v>
      </c>
      <c r="CC189">
        <v>0</v>
      </c>
      <c r="CD189">
        <v>0</v>
      </c>
      <c r="CE189">
        <v>0</v>
      </c>
      <c r="CF189">
        <v>0</v>
      </c>
      <c r="CG189">
        <v>0</v>
      </c>
      <c r="CH189">
        <v>0</v>
      </c>
      <c r="CI189">
        <v>0</v>
      </c>
      <c r="CJ189">
        <v>0</v>
      </c>
      <c r="CK189">
        <v>0</v>
      </c>
      <c r="CL189">
        <v>0</v>
      </c>
      <c r="CM189">
        <v>0</v>
      </c>
      <c r="CN189" t="str">
        <f>IF($BL189&lt;$BK189,"refNeedCorrection","refOK")</f>
        <v>refOK</v>
      </c>
      <c r="CO189">
        <f>IF($CN189="refOK",$BK189,$BL189)</f>
        <v>944</v>
      </c>
      <c r="CP189">
        <f>IF($CN189="refOK",$BL189,$BK189)</f>
        <v>20000</v>
      </c>
      <c r="CQ189">
        <f>IF($CN189="refOK",$BO189,-$BO189)</f>
        <v>19056</v>
      </c>
      <c r="CR189">
        <f>IF($CN189="refOK",$BS189,$BT189)*IF($BP189="Emissions positive",-1,1)</f>
        <v>-0.107475</v>
      </c>
      <c r="CS189">
        <f>IF($CN189="refOK",$BT189,$BS189)*IF($BP189="Emissions positive",-1,1)</f>
        <v>-2.2992166666666698</v>
      </c>
      <c r="CT189">
        <f>IF($CN189="refNeedCorrection",-BX189,BX189)*IF($BP189="Emissions positive",-1,1)</f>
        <v>-2.1917416666666698</v>
      </c>
      <c r="CU189">
        <f>IFERROR(CT189/CQ189,"")</f>
        <v>-1.1501583053456496E-4</v>
      </c>
      <c r="CV189" s="2">
        <f>IFERROR((CS189-CR189)/ABS(CR189),"")</f>
        <v>-20.393037140420283</v>
      </c>
      <c r="CW189" s="265" t="s">
        <v>1464</v>
      </c>
      <c r="CX189" s="266" t="str">
        <f>IF(OR($CW189="prd",$CW189="std",$CW189="cit"),"loc",IF(OR($CW189="eur",$CW189="reg",$CW189="coy"),"reg",$CW189))</f>
        <v>reg</v>
      </c>
      <c r="CY189" s="272" t="s">
        <v>745</v>
      </c>
      <c r="CZ189"/>
      <c r="DA189" s="143"/>
      <c r="DB189" s="143">
        <v>0</v>
      </c>
      <c r="DC189" t="str">
        <f>IF(DB189=0,"0",IF(AND(DB189&gt;=1,DB189&lt;=30),"1-30",IF(AND(DB189&gt;30,DB189&lt;=70),"31-70",IF(AND(DB189&gt;70,DB189&lt;=100),"71-100",IF(DB189&gt;100,"+100")))))</f>
        <v>0</v>
      </c>
      <c r="DD189">
        <v>0</v>
      </c>
      <c r="DE189">
        <v>1</v>
      </c>
      <c r="DF189">
        <v>0</v>
      </c>
      <c r="DG189">
        <v>0</v>
      </c>
      <c r="DH189">
        <v>0</v>
      </c>
      <c r="DI189">
        <f>SUM(DD189:DH189)</f>
        <v>1</v>
      </c>
      <c r="DJ189" t="str">
        <f>IF(DI189=1,INDEX($DD$7:$DG$7,MATCH(1,$DD189:$DG189,0)),"mixedProduct")</f>
        <v>EnergyInput</v>
      </c>
      <c r="DK189">
        <f>IF(DD189=1,DK$7,0)</f>
        <v>0</v>
      </c>
      <c r="DL189" t="str">
        <f>IF(DE189=1,DL$7,0)</f>
        <v>Energy</v>
      </c>
      <c r="DM189">
        <f>IF(DF189=1,DM$7,0)</f>
        <v>0</v>
      </c>
      <c r="DN189">
        <f>IF(DG189=1,DN$7,0)</f>
        <v>0</v>
      </c>
      <c r="DO189">
        <v>0</v>
      </c>
      <c r="DP189" s="143">
        <v>0</v>
      </c>
      <c r="DQ189" s="143">
        <v>0</v>
      </c>
      <c r="DR189">
        <v>0</v>
      </c>
      <c r="DS189" s="143">
        <v>0</v>
      </c>
      <c r="DT189">
        <f>SUM(DO189:DP189)</f>
        <v>0</v>
      </c>
      <c r="DU189" s="143" t="str">
        <f>IF(DO189=1,"self-calculated DF",IF(DP189=1,"external DF used","explicit C balance"))</f>
        <v>explicit C balance</v>
      </c>
      <c r="DV189" s="143">
        <v>0</v>
      </c>
      <c r="DW189" s="143">
        <v>0</v>
      </c>
      <c r="DX189" s="143">
        <v>0</v>
      </c>
      <c r="DY189" s="143">
        <v>0</v>
      </c>
      <c r="DZ189">
        <v>0</v>
      </c>
      <c r="EA189" s="143">
        <v>0</v>
      </c>
      <c r="EB189" s="143">
        <v>1</v>
      </c>
      <c r="EC189" s="143">
        <v>0</v>
      </c>
      <c r="ED189" s="143">
        <v>0</v>
      </c>
      <c r="EE189">
        <v>0</v>
      </c>
      <c r="EF189">
        <v>0</v>
      </c>
      <c r="EG189" s="143">
        <v>0</v>
      </c>
      <c r="EH189" s="143">
        <v>0</v>
      </c>
      <c r="EI189" s="2">
        <v>0</v>
      </c>
      <c r="EJ189" s="1"/>
      <c r="EK189" t="str">
        <f>IF(AND(AND(AND(OR($DX189=1,$DW189=1),OR($EC189=1,$EA189=1)),SUM($DV189:$DZ189,$EF189)&gt;=4),SUM($EA189:$EE189)&gt;=2),"Whole sector","")</f>
        <v/>
      </c>
      <c r="EL189" t="str">
        <f>IF(AND(AND(OR($DX189=1,$DW189=1),AND($EC189=0,$EA189=0)),SUM($DV189:$DZ189,$EF189)&gt;=4),"Ecosystem approach","")</f>
        <v/>
      </c>
      <c r="EM189" s="2" t="str">
        <f>IF(AND(AND(AND($DX189=0,$DW189=0),OR($EC189=1,$EA189=1)),SUM($EB189:$EE189)&gt;=2),"Technology approach","")</f>
        <v/>
      </c>
      <c r="EN189"/>
      <c r="EO189"/>
      <c r="EP189" t="str">
        <f>IF(ISNUMBER(BU189),IF(ABS(BU189-[1]QC_indicators!$B$2)&gt;3*[1]QC_indicators!$C$2,"C ratio",IF(ISNUMBER(BY189),IF(ABS(BY189-[1]QC_indicators!$B$1)&gt;3*[1]QC_indicators!$C$1,"DF","no"))),IF(ISNUMBER(BY189),IF(ABS(BY189-[1]QC_indicators!$B$1)&gt;3*[1]QC_indicators!$C$1,"DF","no")))</f>
        <v>no</v>
      </c>
      <c r="EQ189"/>
      <c r="ER189" s="149"/>
      <c r="ES189"/>
      <c r="ET189" s="266" t="s">
        <v>3409</v>
      </c>
      <c r="EU189"/>
    </row>
    <row r="190" spans="1:151" s="139" customFormat="1" ht="15" hidden="1" customHeight="1">
      <c r="A190" s="1" t="s">
        <v>588</v>
      </c>
      <c r="B190" t="s">
        <v>1450</v>
      </c>
      <c r="C190" t="s">
        <v>1451</v>
      </c>
      <c r="D190" t="s">
        <v>1452</v>
      </c>
      <c r="E190" t="s">
        <v>1453</v>
      </c>
      <c r="F190" t="s">
        <v>1454</v>
      </c>
      <c r="G190" t="s">
        <v>594</v>
      </c>
      <c r="H190" t="s">
        <v>255</v>
      </c>
      <c r="I190">
        <v>2020</v>
      </c>
      <c r="J190">
        <v>12</v>
      </c>
      <c r="K190" t="s">
        <v>1455</v>
      </c>
      <c r="L190"/>
      <c r="M190" t="str">
        <f>LEFT($D190,FIND(",",$D190)-1)&amp;"_"&amp;I190&amp;L190</f>
        <v>Elisa_2020</v>
      </c>
      <c r="N190" s="266" t="s">
        <v>223</v>
      </c>
      <c r="O190" s="171" t="s">
        <v>275</v>
      </c>
      <c r="P190" t="s">
        <v>224</v>
      </c>
      <c r="Q190" s="266" t="s">
        <v>390</v>
      </c>
      <c r="R190" s="271" t="s">
        <v>1156</v>
      </c>
      <c r="S190" s="154" t="s">
        <v>1456</v>
      </c>
      <c r="T190" s="296" t="s">
        <v>1457</v>
      </c>
      <c r="U190" s="143" t="s">
        <v>1521</v>
      </c>
      <c r="V190">
        <v>0</v>
      </c>
      <c r="W190">
        <v>0</v>
      </c>
      <c r="X190">
        <v>0</v>
      </c>
      <c r="Y190">
        <v>0</v>
      </c>
      <c r="Z190">
        <v>0</v>
      </c>
      <c r="AA190">
        <v>0</v>
      </c>
      <c r="AB190">
        <v>0</v>
      </c>
      <c r="AC190">
        <v>0</v>
      </c>
      <c r="AD190">
        <v>0</v>
      </c>
      <c r="AE190">
        <v>1</v>
      </c>
      <c r="AF190">
        <v>0</v>
      </c>
      <c r="AG190">
        <v>0</v>
      </c>
      <c r="AH190">
        <v>0</v>
      </c>
      <c r="AI190">
        <v>0</v>
      </c>
      <c r="AJ190">
        <v>0</v>
      </c>
      <c r="AK190">
        <v>1</v>
      </c>
      <c r="AL190">
        <v>0</v>
      </c>
      <c r="AM190">
        <v>0</v>
      </c>
      <c r="AN190">
        <v>0</v>
      </c>
      <c r="AO190">
        <v>0</v>
      </c>
      <c r="AP190">
        <v>0</v>
      </c>
      <c r="AQ190">
        <v>0</v>
      </c>
      <c r="AR190">
        <v>0</v>
      </c>
      <c r="AS190">
        <v>0</v>
      </c>
      <c r="AT190">
        <v>0</v>
      </c>
      <c r="AU190">
        <v>0</v>
      </c>
      <c r="AV190">
        <v>0</v>
      </c>
      <c r="AW190">
        <v>0</v>
      </c>
      <c r="AX190" s="141">
        <f>COUNTIF(V190:AW190,"&lt;&gt;0")</f>
        <v>2</v>
      </c>
      <c r="AY190" s="141">
        <f>COUNTIF(V190:AL190,"&lt;&gt;0")</f>
        <v>2</v>
      </c>
      <c r="AZ190">
        <f>COUNTIF(V190:AC190,"&lt;&gt;0")</f>
        <v>0</v>
      </c>
      <c r="BA190">
        <f>COUNTIF(AD190:AI190,"&lt;&gt;0")</f>
        <v>1</v>
      </c>
      <c r="BB190">
        <f>COUNTIF(AJ190:AL190,"&lt;&gt;0")</f>
        <v>1</v>
      </c>
      <c r="BC190">
        <f>COUNTIF(AS190:AW190,"&lt;&gt;0")</f>
        <v>0</v>
      </c>
      <c r="BD190">
        <f>COUNTIF(AM190:AR190,"&lt;&gt;0")</f>
        <v>0</v>
      </c>
      <c r="BE190" t="str" cm="1">
        <f t="array" ref="BE190">IF(AY190=1,INDEX($V$7:$AL$7,MATCH(TRUE,INDEX($V190:$AW190&lt;&gt;0,),0)),IF(AY190=0,INDEX($AM$7:$AW$7,MATCH(1,$AM190:$AW190,0)),IF(BF190="Multiple strategies","mixed drivers",IF(BF190="Supply chain","multiple supply","multiple silviculture"))))</f>
        <v>mixed drivers</v>
      </c>
      <c r="BF190" s="2" t="str" cm="1">
        <f t="array" ref="BF190">IF(COUNTIF(AZ190:BB190,"&lt;&gt;0")=1,INDEX($V$4:$AW$4,MATCH(TRUE,INDEX($V190:$AW190&lt;&gt;0,),0)),IF(COUNTIF(AZ190:BB190,"&lt;&gt;0")=0,INDEX($AM$4:$AW$4,MATCH(1,$AM190:$AW190,0)),"Multiple strategies"))</f>
        <v>Multiple strategies</v>
      </c>
      <c r="BG190" s="142" t="s">
        <v>322</v>
      </c>
      <c r="BH190" s="160" t="s">
        <v>1459</v>
      </c>
      <c r="BI190" s="160" t="s">
        <v>1460</v>
      </c>
      <c r="BJ190" s="143" t="s">
        <v>499</v>
      </c>
      <c r="BK190" s="143">
        <v>944</v>
      </c>
      <c r="BL190" s="143">
        <v>2015</v>
      </c>
      <c r="BM190">
        <f>IFERROR(BL191/BK190,"")</f>
        <v>4.2372881355932206</v>
      </c>
      <c r="BN190">
        <f>BL190-BK190</f>
        <v>1071</v>
      </c>
      <c r="BO190" s="159">
        <f>BN190</f>
        <v>1071</v>
      </c>
      <c r="BP190" s="155" t="s">
        <v>233</v>
      </c>
      <c r="BQ190" s="313" t="s">
        <v>1461</v>
      </c>
      <c r="BR190" s="155" t="s">
        <v>827</v>
      </c>
      <c r="BS190" s="143" t="s">
        <v>1479</v>
      </c>
      <c r="BT190" t="s">
        <v>1522</v>
      </c>
      <c r="BU190" s="144">
        <f>BT190/BS190</f>
        <v>2.044920007236827</v>
      </c>
      <c r="BV190">
        <f>BT190-BS190</f>
        <v>-0.11230277777777799</v>
      </c>
      <c r="BW190"/>
      <c r="BX190">
        <f>BV190</f>
        <v>-0.11230277777777799</v>
      </c>
      <c r="BY190">
        <f>IFERROR(BX190/BO190,"")</f>
        <v>-1.0485786907355554E-4</v>
      </c>
      <c r="BZ190">
        <v>0</v>
      </c>
      <c r="CA190">
        <v>0</v>
      </c>
      <c r="CB190">
        <v>0</v>
      </c>
      <c r="CC190">
        <v>0</v>
      </c>
      <c r="CD190">
        <v>0</v>
      </c>
      <c r="CE190">
        <v>0</v>
      </c>
      <c r="CF190">
        <v>0</v>
      </c>
      <c r="CG190">
        <v>0</v>
      </c>
      <c r="CH190">
        <v>0</v>
      </c>
      <c r="CI190">
        <v>0</v>
      </c>
      <c r="CJ190">
        <v>0</v>
      </c>
      <c r="CK190">
        <v>0</v>
      </c>
      <c r="CL190">
        <v>0</v>
      </c>
      <c r="CM190">
        <v>0</v>
      </c>
      <c r="CN190" t="str">
        <f>IF($BL190&lt;$BK190,"refNeedCorrection","refOK")</f>
        <v>refOK</v>
      </c>
      <c r="CO190">
        <f>IF($CN190="refOK",$BK190,$BL190)</f>
        <v>944</v>
      </c>
      <c r="CP190">
        <f>IF($CN190="refOK",$BL190,$BK190)</f>
        <v>2015</v>
      </c>
      <c r="CQ190">
        <f>IF($CN190="refOK",$BO190,-$BO190)</f>
        <v>1071</v>
      </c>
      <c r="CR190">
        <f>IF($CN190="refOK",$BS190,$BT190)*IF($BP190="Emissions positive",-1,1)</f>
        <v>-0.107475</v>
      </c>
      <c r="CS190">
        <f>IF($CN190="refOK",$BT190,$BS190)*IF($BP190="Emissions positive",-1,1)</f>
        <v>-0.21977777777777799</v>
      </c>
      <c r="CT190">
        <f>IF($CN190="refNeedCorrection",-BX190,BX190)*IF($BP190="Emissions positive",-1,1)</f>
        <v>-0.11230277777777799</v>
      </c>
      <c r="CU190">
        <f>IFERROR(CT190/CQ190,"")</f>
        <v>-1.0485786907355554E-4</v>
      </c>
      <c r="CV190" s="2">
        <f>IFERROR((CS190-CR190)/ABS(CR190),"")</f>
        <v>-1.044920007236827</v>
      </c>
      <c r="CW190" s="265" t="s">
        <v>1464</v>
      </c>
      <c r="CX190" s="266" t="str">
        <f>IF(OR($CW190="prd",$CW190="std",$CW190="cit"),"loc",IF(OR($CW190="eur",$CW190="reg",$CW190="coy"),"reg",$CW190))</f>
        <v>reg</v>
      </c>
      <c r="CY190" s="272" t="s">
        <v>745</v>
      </c>
      <c r="CZ190"/>
      <c r="DA190" s="143"/>
      <c r="DB190" s="143">
        <v>0</v>
      </c>
      <c r="DC190" t="str">
        <f>IF(DB190=0,"0",IF(AND(DB190&gt;=1,DB190&lt;=30),"1-30",IF(AND(DB190&gt;30,DB190&lt;=70),"31-70",IF(AND(DB190&gt;70,DB190&lt;=100),"71-100",IF(DB190&gt;100,"+100")))))</f>
        <v>0</v>
      </c>
      <c r="DD190">
        <v>0</v>
      </c>
      <c r="DE190">
        <v>1</v>
      </c>
      <c r="DF190">
        <v>0</v>
      </c>
      <c r="DG190">
        <v>0</v>
      </c>
      <c r="DH190">
        <v>0</v>
      </c>
      <c r="DI190">
        <f>SUM(DD190:DH190)</f>
        <v>1</v>
      </c>
      <c r="DJ190" t="str">
        <f>IF(DI190=1,INDEX($DD$7:$DG$7,MATCH(1,$DD190:$DG190,0)),"mixedProduct")</f>
        <v>EnergyInput</v>
      </c>
      <c r="DK190">
        <f>IF(DD190=1,DK$7,0)</f>
        <v>0</v>
      </c>
      <c r="DL190" t="str">
        <f>IF(DE190=1,DL$7,0)</f>
        <v>Energy</v>
      </c>
      <c r="DM190">
        <f>IF(DF190=1,DM$7,0)</f>
        <v>0</v>
      </c>
      <c r="DN190">
        <f>IF(DG190=1,DN$7,0)</f>
        <v>0</v>
      </c>
      <c r="DO190">
        <v>0</v>
      </c>
      <c r="DP190" s="143">
        <v>0</v>
      </c>
      <c r="DQ190" s="143">
        <v>0</v>
      </c>
      <c r="DR190">
        <v>0</v>
      </c>
      <c r="DS190" s="143">
        <v>0</v>
      </c>
      <c r="DT190">
        <f>SUM(DO190:DP190)</f>
        <v>0</v>
      </c>
      <c r="DU190" s="143" t="str">
        <f>IF(DO190=1,"self-calculated DF",IF(DP190=1,"external DF used","explicit C balance"))</f>
        <v>explicit C balance</v>
      </c>
      <c r="DV190" s="143">
        <v>0</v>
      </c>
      <c r="DW190" s="143">
        <v>0</v>
      </c>
      <c r="DX190" s="143">
        <v>0</v>
      </c>
      <c r="DY190" s="143">
        <v>0</v>
      </c>
      <c r="DZ190">
        <v>0</v>
      </c>
      <c r="EA190" s="143">
        <v>0</v>
      </c>
      <c r="EB190" s="143">
        <v>1</v>
      </c>
      <c r="EC190" s="143">
        <v>0</v>
      </c>
      <c r="ED190" s="143">
        <v>0</v>
      </c>
      <c r="EE190">
        <v>0</v>
      </c>
      <c r="EF190">
        <v>0</v>
      </c>
      <c r="EG190" s="143">
        <v>0</v>
      </c>
      <c r="EH190" s="143">
        <v>0</v>
      </c>
      <c r="EI190" s="2">
        <v>0</v>
      </c>
      <c r="EJ190" s="1"/>
      <c r="EK190" t="str">
        <f>IF(AND(AND(AND(OR($DX190=1,$DW190=1),OR($EC190=1,$EA190=1)),SUM($DV190:$DZ190,$EF190)&gt;=4),SUM($EA190:$EE190)&gt;=2),"Whole sector","")</f>
        <v/>
      </c>
      <c r="EL190" t="str">
        <f>IF(AND(AND(OR($DX190=1,$DW190=1),AND($EC190=0,$EA190=0)),SUM($DV190:$DZ190,$EF190)&gt;=4),"Ecosystem approach","")</f>
        <v/>
      </c>
      <c r="EM190" s="2" t="str">
        <f>IF(AND(AND(AND($DX190=0,$DW190=0),OR($EC190=1,$EA190=1)),SUM($EB190:$EE190)&gt;=2),"Technology approach","")</f>
        <v/>
      </c>
      <c r="EN190"/>
      <c r="EO190"/>
      <c r="EP190" t="str">
        <f>IF(ISNUMBER(BU190),IF(ABS(BU190-[1]QC_indicators!$B$2)&gt;3*[1]QC_indicators!$C$2,"C ratio",IF(ISNUMBER(BY190),IF(ABS(BY190-[1]QC_indicators!$B$1)&gt;3*[1]QC_indicators!$C$1,"DF","no"))),IF(ISNUMBER(BY190),IF(ABS(BY190-[1]QC_indicators!$B$1)&gt;3*[1]QC_indicators!$C$1,"DF","no")))</f>
        <v>no</v>
      </c>
      <c r="EQ190"/>
      <c r="ER190" s="149"/>
      <c r="ES190"/>
      <c r="ET190" s="266" t="s">
        <v>3409</v>
      </c>
      <c r="EU190"/>
    </row>
    <row r="191" spans="1:151" s="139" customFormat="1" ht="15" hidden="1" customHeight="1">
      <c r="A191" s="1" t="s">
        <v>588</v>
      </c>
      <c r="B191" t="s">
        <v>1450</v>
      </c>
      <c r="C191" t="s">
        <v>1451</v>
      </c>
      <c r="D191" t="s">
        <v>1452</v>
      </c>
      <c r="E191" t="s">
        <v>1453</v>
      </c>
      <c r="F191" t="s">
        <v>1454</v>
      </c>
      <c r="G191" t="s">
        <v>594</v>
      </c>
      <c r="H191" t="s">
        <v>255</v>
      </c>
      <c r="I191">
        <v>2020</v>
      </c>
      <c r="J191">
        <v>12</v>
      </c>
      <c r="K191" t="s">
        <v>1455</v>
      </c>
      <c r="L191"/>
      <c r="M191" t="str">
        <f>LEFT($D191,FIND(",",$D191)-1)&amp;"_"&amp;I191&amp;L191</f>
        <v>Elisa_2020</v>
      </c>
      <c r="N191" s="266" t="s">
        <v>223</v>
      </c>
      <c r="O191" s="171" t="s">
        <v>275</v>
      </c>
      <c r="P191" t="s">
        <v>224</v>
      </c>
      <c r="Q191" s="266" t="s">
        <v>390</v>
      </c>
      <c r="R191" s="271" t="s">
        <v>1156</v>
      </c>
      <c r="S191" s="154" t="s">
        <v>1456</v>
      </c>
      <c r="T191" s="296" t="s">
        <v>1457</v>
      </c>
      <c r="U191" s="143" t="s">
        <v>1490</v>
      </c>
      <c r="V191">
        <v>0</v>
      </c>
      <c r="W191">
        <v>0</v>
      </c>
      <c r="X191">
        <v>0</v>
      </c>
      <c r="Y191">
        <v>0</v>
      </c>
      <c r="Z191">
        <v>0</v>
      </c>
      <c r="AA191">
        <v>0</v>
      </c>
      <c r="AB191">
        <v>0</v>
      </c>
      <c r="AC191">
        <v>0</v>
      </c>
      <c r="AD191">
        <v>0</v>
      </c>
      <c r="AE191">
        <v>1</v>
      </c>
      <c r="AF191">
        <v>0</v>
      </c>
      <c r="AG191">
        <v>0</v>
      </c>
      <c r="AH191">
        <v>0</v>
      </c>
      <c r="AI191">
        <v>0</v>
      </c>
      <c r="AJ191">
        <v>0</v>
      </c>
      <c r="AK191">
        <v>1</v>
      </c>
      <c r="AL191">
        <v>0</v>
      </c>
      <c r="AM191">
        <v>0</v>
      </c>
      <c r="AN191">
        <v>0</v>
      </c>
      <c r="AO191">
        <v>0</v>
      </c>
      <c r="AP191">
        <v>0</v>
      </c>
      <c r="AQ191">
        <v>0</v>
      </c>
      <c r="AR191">
        <v>0</v>
      </c>
      <c r="AS191">
        <v>0</v>
      </c>
      <c r="AT191">
        <v>0</v>
      </c>
      <c r="AU191">
        <v>0</v>
      </c>
      <c r="AV191">
        <v>0</v>
      </c>
      <c r="AW191">
        <v>0</v>
      </c>
      <c r="AX191" s="141">
        <f>COUNTIF(V191:AW191,"&lt;&gt;0")</f>
        <v>2</v>
      </c>
      <c r="AY191" s="141">
        <f>COUNTIF(V191:AL191,"&lt;&gt;0")</f>
        <v>2</v>
      </c>
      <c r="AZ191">
        <f>COUNTIF(V191:AC191,"&lt;&gt;0")</f>
        <v>0</v>
      </c>
      <c r="BA191">
        <f>COUNTIF(AD191:AI191,"&lt;&gt;0")</f>
        <v>1</v>
      </c>
      <c r="BB191">
        <f>COUNTIF(AJ191:AL191,"&lt;&gt;0")</f>
        <v>1</v>
      </c>
      <c r="BC191">
        <f>COUNTIF(AS191:AW191,"&lt;&gt;0")</f>
        <v>0</v>
      </c>
      <c r="BD191">
        <f>COUNTIF(AM191:AR191,"&lt;&gt;0")</f>
        <v>0</v>
      </c>
      <c r="BE191" t="str" cm="1">
        <f t="array" ref="BE191">IF(AY191=1,INDEX($V$7:$AL$7,MATCH(TRUE,INDEX($V191:$AW191&lt;&gt;0,),0)),IF(AY191=0,INDEX($AM$7:$AW$7,MATCH(1,$AM191:$AW191,0)),IF(BF191="Multiple strategies","mixed drivers",IF(BF191="Supply chain","multiple supply","multiple silviculture"))))</f>
        <v>mixed drivers</v>
      </c>
      <c r="BF191" s="2" t="str" cm="1">
        <f t="array" ref="BF191">IF(COUNTIF(AZ191:BB191,"&lt;&gt;0")=1,INDEX($V$4:$AW$4,MATCH(TRUE,INDEX($V191:$AW191&lt;&gt;0,),0)),IF(COUNTIF(AZ191:BB191,"&lt;&gt;0")=0,INDEX($AM$4:$AW$4,MATCH(1,$AM191:$AW191,0)),"Multiple strategies"))</f>
        <v>Multiple strategies</v>
      </c>
      <c r="BG191" s="142" t="s">
        <v>322</v>
      </c>
      <c r="BH191" s="160" t="s">
        <v>1459</v>
      </c>
      <c r="BI191" s="160" t="s">
        <v>1460</v>
      </c>
      <c r="BJ191" s="143" t="s">
        <v>499</v>
      </c>
      <c r="BK191" s="143">
        <v>944</v>
      </c>
      <c r="BL191" s="143">
        <v>4000</v>
      </c>
      <c r="BM191">
        <f>IFERROR(BL192/BK191,"")</f>
        <v>5.1239406779661021</v>
      </c>
      <c r="BN191">
        <f>BL191-BK191</f>
        <v>3056</v>
      </c>
      <c r="BO191" s="159">
        <f>BN191</f>
        <v>3056</v>
      </c>
      <c r="BP191" s="155" t="s">
        <v>233</v>
      </c>
      <c r="BQ191" s="313" t="s">
        <v>1461</v>
      </c>
      <c r="BR191" s="155" t="s">
        <v>827</v>
      </c>
      <c r="BS191" s="143" t="s">
        <v>1479</v>
      </c>
      <c r="BT191" t="s">
        <v>1523</v>
      </c>
      <c r="BU191" s="144">
        <f>BT191/BS191</f>
        <v>3.9618378951177298</v>
      </c>
      <c r="BV191">
        <f>BT191-BS191</f>
        <v>-0.318323527777778</v>
      </c>
      <c r="BW191"/>
      <c r="BX191">
        <f>BV191</f>
        <v>-0.318323527777778</v>
      </c>
      <c r="BY191">
        <f>IFERROR(BX191/BO191,"")</f>
        <v>-1.0416345804246663E-4</v>
      </c>
      <c r="BZ191">
        <v>0</v>
      </c>
      <c r="CA191">
        <v>0</v>
      </c>
      <c r="CB191">
        <v>0</v>
      </c>
      <c r="CC191">
        <v>0</v>
      </c>
      <c r="CD191">
        <v>0</v>
      </c>
      <c r="CE191">
        <v>0</v>
      </c>
      <c r="CF191">
        <v>0</v>
      </c>
      <c r="CG191">
        <v>0</v>
      </c>
      <c r="CH191">
        <v>0</v>
      </c>
      <c r="CI191">
        <v>0</v>
      </c>
      <c r="CJ191">
        <v>0</v>
      </c>
      <c r="CK191">
        <v>0</v>
      </c>
      <c r="CL191">
        <v>0</v>
      </c>
      <c r="CM191">
        <v>0</v>
      </c>
      <c r="CN191" t="str">
        <f>IF($BL191&lt;$BK191,"refNeedCorrection","refOK")</f>
        <v>refOK</v>
      </c>
      <c r="CO191">
        <f>IF($CN191="refOK",$BK191,$BL191)</f>
        <v>944</v>
      </c>
      <c r="CP191">
        <f>IF($CN191="refOK",$BL191,$BK191)</f>
        <v>4000</v>
      </c>
      <c r="CQ191">
        <f>IF($CN191="refOK",$BO191,-$BO191)</f>
        <v>3056</v>
      </c>
      <c r="CR191">
        <f>IF($CN191="refOK",$BS191,$BT191)*IF($BP191="Emissions positive",-1,1)</f>
        <v>-0.107475</v>
      </c>
      <c r="CS191">
        <f>IF($CN191="refOK",$BT191,$BS191)*IF($BP191="Emissions positive",-1,1)</f>
        <v>-0.42579852777777799</v>
      </c>
      <c r="CT191">
        <f>IF($CN191="refNeedCorrection",-BX191,BX191)*IF($BP191="Emissions positive",-1,1)</f>
        <v>-0.318323527777778</v>
      </c>
      <c r="CU191">
        <f>IFERROR(CT191/CQ191,"")</f>
        <v>-1.0416345804246663E-4</v>
      </c>
      <c r="CV191" s="2">
        <f>IFERROR((CS191-CR191)/ABS(CR191),"")</f>
        <v>-2.9618378951177298</v>
      </c>
      <c r="CW191" s="265" t="s">
        <v>1464</v>
      </c>
      <c r="CX191" s="266" t="str">
        <f>IF(OR($CW191="prd",$CW191="std",$CW191="cit"),"loc",IF(OR($CW191="eur",$CW191="reg",$CW191="coy"),"reg",$CW191))</f>
        <v>reg</v>
      </c>
      <c r="CY191" s="272" t="s">
        <v>745</v>
      </c>
      <c r="CZ191"/>
      <c r="DA191" s="143"/>
      <c r="DB191" s="143">
        <v>0</v>
      </c>
      <c r="DC191" t="str">
        <f>IF(DB191=0,"0",IF(AND(DB191&gt;=1,DB191&lt;=30),"1-30",IF(AND(DB191&gt;30,DB191&lt;=70),"31-70",IF(AND(DB191&gt;70,DB191&lt;=100),"71-100",IF(DB191&gt;100,"+100")))))</f>
        <v>0</v>
      </c>
      <c r="DD191">
        <v>0</v>
      </c>
      <c r="DE191">
        <v>1</v>
      </c>
      <c r="DF191">
        <v>0</v>
      </c>
      <c r="DG191">
        <v>0</v>
      </c>
      <c r="DH191">
        <v>0</v>
      </c>
      <c r="DI191">
        <f>SUM(DD191:DH191)</f>
        <v>1</v>
      </c>
      <c r="DJ191" t="str">
        <f>IF(DI191=1,INDEX($DD$7:$DG$7,MATCH(1,$DD191:$DG191,0)),"mixedProduct")</f>
        <v>EnergyInput</v>
      </c>
      <c r="DK191">
        <f>IF(DD191=1,DK$7,0)</f>
        <v>0</v>
      </c>
      <c r="DL191" t="str">
        <f>IF(DE191=1,DL$7,0)</f>
        <v>Energy</v>
      </c>
      <c r="DM191">
        <f>IF(DF191=1,DM$7,0)</f>
        <v>0</v>
      </c>
      <c r="DN191">
        <f>IF(DG191=1,DN$7,0)</f>
        <v>0</v>
      </c>
      <c r="DO191">
        <v>0</v>
      </c>
      <c r="DP191" s="143">
        <v>0</v>
      </c>
      <c r="DQ191" s="143">
        <v>0</v>
      </c>
      <c r="DR191">
        <v>0</v>
      </c>
      <c r="DS191" s="143">
        <v>0</v>
      </c>
      <c r="DT191">
        <f>SUM(DO191:DP191)</f>
        <v>0</v>
      </c>
      <c r="DU191" s="143" t="str">
        <f>IF(DO191=1,"self-calculated DF",IF(DP191=1,"external DF used","explicit C balance"))</f>
        <v>explicit C balance</v>
      </c>
      <c r="DV191" s="143">
        <v>0</v>
      </c>
      <c r="DW191" s="143">
        <v>0</v>
      </c>
      <c r="DX191" s="143">
        <v>0</v>
      </c>
      <c r="DY191" s="143">
        <v>0</v>
      </c>
      <c r="DZ191">
        <v>0</v>
      </c>
      <c r="EA191" s="143">
        <v>0</v>
      </c>
      <c r="EB191" s="143">
        <v>1</v>
      </c>
      <c r="EC191" s="143">
        <v>0</v>
      </c>
      <c r="ED191" s="143">
        <v>0</v>
      </c>
      <c r="EE191">
        <v>0</v>
      </c>
      <c r="EF191">
        <v>0</v>
      </c>
      <c r="EG191" s="143">
        <v>0</v>
      </c>
      <c r="EH191" s="143">
        <v>0</v>
      </c>
      <c r="EI191" s="2">
        <v>0</v>
      </c>
      <c r="EJ191" s="1"/>
      <c r="EK191" t="str">
        <f>IF(AND(AND(AND(OR($DX191=1,$DW191=1),OR($EC191=1,$EA191=1)),SUM($DV191:$DZ191,$EF191)&gt;=4),SUM($EA191:$EE191)&gt;=2),"Whole sector","")</f>
        <v/>
      </c>
      <c r="EL191" t="str">
        <f>IF(AND(AND(OR($DX191=1,$DW191=1),AND($EC191=0,$EA191=0)),SUM($DV191:$DZ191,$EF191)&gt;=4),"Ecosystem approach","")</f>
        <v/>
      </c>
      <c r="EM191" s="2" t="str">
        <f>IF(AND(AND(AND($DX191=0,$DW191=0),OR($EC191=1,$EA191=1)),SUM($EB191:$EE191)&gt;=2),"Technology approach","")</f>
        <v/>
      </c>
      <c r="EN191"/>
      <c r="EO191"/>
      <c r="EP191" t="str">
        <f>IF(ISNUMBER(BU191),IF(ABS(BU191-[1]QC_indicators!$B$2)&gt;3*[1]QC_indicators!$C$2,"C ratio",IF(ISNUMBER(BY191),IF(ABS(BY191-[1]QC_indicators!$B$1)&gt;3*[1]QC_indicators!$C$1,"DF","no"))),IF(ISNUMBER(BY191),IF(ABS(BY191-[1]QC_indicators!$B$1)&gt;3*[1]QC_indicators!$C$1,"DF","no")))</f>
        <v>no</v>
      </c>
      <c r="EQ191"/>
      <c r="ER191" s="149"/>
      <c r="ES191"/>
      <c r="ET191" s="266" t="s">
        <v>3409</v>
      </c>
      <c r="EU191"/>
    </row>
    <row r="192" spans="1:151" s="139" customFormat="1" ht="15" hidden="1" customHeight="1">
      <c r="A192" s="1" t="s">
        <v>588</v>
      </c>
      <c r="B192" t="s">
        <v>1450</v>
      </c>
      <c r="C192" t="s">
        <v>1451</v>
      </c>
      <c r="D192" t="s">
        <v>1452</v>
      </c>
      <c r="E192" t="s">
        <v>1453</v>
      </c>
      <c r="F192" t="s">
        <v>1454</v>
      </c>
      <c r="G192" t="s">
        <v>594</v>
      </c>
      <c r="H192" t="s">
        <v>255</v>
      </c>
      <c r="I192">
        <v>2020</v>
      </c>
      <c r="J192">
        <v>12</v>
      </c>
      <c r="K192" t="s">
        <v>1455</v>
      </c>
      <c r="L192"/>
      <c r="M192" t="str">
        <f>LEFT($D192,FIND(",",$D192)-1)&amp;"_"&amp;I192&amp;L192</f>
        <v>Elisa_2020</v>
      </c>
      <c r="N192" s="266" t="s">
        <v>223</v>
      </c>
      <c r="O192" s="171" t="s">
        <v>275</v>
      </c>
      <c r="P192" t="s">
        <v>224</v>
      </c>
      <c r="Q192" s="266" t="s">
        <v>390</v>
      </c>
      <c r="R192" s="271" t="s">
        <v>1156</v>
      </c>
      <c r="S192" s="154" t="s">
        <v>1456</v>
      </c>
      <c r="T192" s="296" t="s">
        <v>1457</v>
      </c>
      <c r="U192" s="143" t="s">
        <v>1498</v>
      </c>
      <c r="V192">
        <v>0</v>
      </c>
      <c r="W192">
        <v>0</v>
      </c>
      <c r="X192">
        <v>0</v>
      </c>
      <c r="Y192">
        <v>0</v>
      </c>
      <c r="Z192">
        <v>0</v>
      </c>
      <c r="AA192">
        <v>0</v>
      </c>
      <c r="AB192">
        <v>0</v>
      </c>
      <c r="AC192">
        <v>0</v>
      </c>
      <c r="AD192">
        <v>0</v>
      </c>
      <c r="AE192">
        <v>1</v>
      </c>
      <c r="AF192">
        <v>0</v>
      </c>
      <c r="AG192">
        <v>0</v>
      </c>
      <c r="AH192">
        <v>0</v>
      </c>
      <c r="AI192">
        <v>0</v>
      </c>
      <c r="AJ192">
        <v>0</v>
      </c>
      <c r="AK192">
        <v>1</v>
      </c>
      <c r="AL192">
        <v>0</v>
      </c>
      <c r="AM192">
        <v>0</v>
      </c>
      <c r="AN192">
        <v>0</v>
      </c>
      <c r="AO192">
        <v>0</v>
      </c>
      <c r="AP192">
        <v>0</v>
      </c>
      <c r="AQ192">
        <v>0</v>
      </c>
      <c r="AR192">
        <v>0</v>
      </c>
      <c r="AS192">
        <v>0</v>
      </c>
      <c r="AT192">
        <v>0</v>
      </c>
      <c r="AU192">
        <v>0</v>
      </c>
      <c r="AV192">
        <v>0</v>
      </c>
      <c r="AW192">
        <v>0</v>
      </c>
      <c r="AX192" s="141">
        <f>COUNTIF(V192:AW192,"&lt;&gt;0")</f>
        <v>2</v>
      </c>
      <c r="AY192" s="141">
        <f>COUNTIF(V192:AL192,"&lt;&gt;0")</f>
        <v>2</v>
      </c>
      <c r="AZ192">
        <f>COUNTIF(V192:AC192,"&lt;&gt;0")</f>
        <v>0</v>
      </c>
      <c r="BA192">
        <f>COUNTIF(AD192:AI192,"&lt;&gt;0")</f>
        <v>1</v>
      </c>
      <c r="BB192">
        <f>COUNTIF(AJ192:AL192,"&lt;&gt;0")</f>
        <v>1</v>
      </c>
      <c r="BC192">
        <f>COUNTIF(AS192:AW192,"&lt;&gt;0")</f>
        <v>0</v>
      </c>
      <c r="BD192">
        <f>COUNTIF(AM192:AR192,"&lt;&gt;0")</f>
        <v>0</v>
      </c>
      <c r="BE192" t="str" cm="1">
        <f t="array" ref="BE192">IF(AY192=1,INDEX($V$7:$AL$7,MATCH(TRUE,INDEX($V192:$AW192&lt;&gt;0,),0)),IF(AY192=0,INDEX($AM$7:$AW$7,MATCH(1,$AM192:$AW192,0)),IF(BF192="Multiple strategies","mixed drivers",IF(BF192="Supply chain","multiple supply","multiple silviculture"))))</f>
        <v>mixed drivers</v>
      </c>
      <c r="BF192" s="2" t="str" cm="1">
        <f t="array" ref="BF192">IF(COUNTIF(AZ192:BB192,"&lt;&gt;0")=1,INDEX($V$4:$AW$4,MATCH(TRUE,INDEX($V192:$AW192&lt;&gt;0,),0)),IF(COUNTIF(AZ192:BB192,"&lt;&gt;0")=0,INDEX($AM$4:$AW$4,MATCH(1,$AM192:$AW192,0)),"Multiple strategies"))</f>
        <v>Multiple strategies</v>
      </c>
      <c r="BG192" s="142" t="s">
        <v>322</v>
      </c>
      <c r="BH192" s="160" t="s">
        <v>1459</v>
      </c>
      <c r="BI192" s="160" t="s">
        <v>1460</v>
      </c>
      <c r="BJ192" s="143" t="s">
        <v>499</v>
      </c>
      <c r="BK192" s="143">
        <v>944</v>
      </c>
      <c r="BL192" s="143">
        <v>4837</v>
      </c>
      <c r="BM192">
        <f>IFERROR(BL193/BK192,"")</f>
        <v>180.13135593220338</v>
      </c>
      <c r="BN192">
        <f>BL192-BK192</f>
        <v>3893</v>
      </c>
      <c r="BO192" s="159">
        <f>BN192</f>
        <v>3893</v>
      </c>
      <c r="BP192" s="155" t="s">
        <v>233</v>
      </c>
      <c r="BQ192" s="313" t="s">
        <v>1461</v>
      </c>
      <c r="BR192" s="155" t="s">
        <v>827</v>
      </c>
      <c r="BS192" s="143" t="s">
        <v>1479</v>
      </c>
      <c r="BT192" t="s">
        <v>1524</v>
      </c>
      <c r="BU192" s="144">
        <f>BT192/BS192</f>
        <v>4.4271889586725566</v>
      </c>
      <c r="BV192">
        <f>BT192-BS192</f>
        <v>-0.36833713333333301</v>
      </c>
      <c r="BW192"/>
      <c r="BX192">
        <f>BV192</f>
        <v>-0.36833713333333301</v>
      </c>
      <c r="BY192">
        <f>IFERROR(BX192/BO192,"")</f>
        <v>-9.4615241030910103E-5</v>
      </c>
      <c r="BZ192">
        <v>0</v>
      </c>
      <c r="CA192">
        <v>0</v>
      </c>
      <c r="CB192">
        <v>0</v>
      </c>
      <c r="CC192">
        <v>0</v>
      </c>
      <c r="CD192">
        <v>0</v>
      </c>
      <c r="CE192">
        <v>0</v>
      </c>
      <c r="CF192">
        <v>0</v>
      </c>
      <c r="CG192">
        <v>0</v>
      </c>
      <c r="CH192">
        <v>0</v>
      </c>
      <c r="CI192">
        <v>0</v>
      </c>
      <c r="CJ192">
        <v>0</v>
      </c>
      <c r="CK192">
        <v>0</v>
      </c>
      <c r="CL192">
        <v>0</v>
      </c>
      <c r="CM192">
        <v>0</v>
      </c>
      <c r="CN192" t="str">
        <f>IF($BL192&lt;$BK192,"refNeedCorrection","refOK")</f>
        <v>refOK</v>
      </c>
      <c r="CO192">
        <f>IF($CN192="refOK",$BK192,$BL192)</f>
        <v>944</v>
      </c>
      <c r="CP192">
        <f>IF($CN192="refOK",$BL192,$BK192)</f>
        <v>4837</v>
      </c>
      <c r="CQ192">
        <f>IF($CN192="refOK",$BO192,-$BO192)</f>
        <v>3893</v>
      </c>
      <c r="CR192">
        <f>IF($CN192="refOK",$BS192,$BT192)*IF($BP192="Emissions positive",-1,1)</f>
        <v>-0.107475</v>
      </c>
      <c r="CS192">
        <f>IF($CN192="refOK",$BT192,$BS192)*IF($BP192="Emissions positive",-1,1)</f>
        <v>-0.475812133333333</v>
      </c>
      <c r="CT192">
        <f>IF($CN192="refNeedCorrection",-BX192,BX192)*IF($BP192="Emissions positive",-1,1)</f>
        <v>-0.36833713333333301</v>
      </c>
      <c r="CU192">
        <f>IFERROR(CT192/CQ192,"")</f>
        <v>-9.4615241030910103E-5</v>
      </c>
      <c r="CV192" s="2">
        <f>IFERROR((CS192-CR192)/ABS(CR192),"")</f>
        <v>-3.4271889586725566</v>
      </c>
      <c r="CW192" s="265" t="s">
        <v>1464</v>
      </c>
      <c r="CX192" s="266" t="str">
        <f>IF(OR($CW192="prd",$CW192="std",$CW192="cit"),"loc",IF(OR($CW192="eur",$CW192="reg",$CW192="coy"),"reg",$CW192))</f>
        <v>reg</v>
      </c>
      <c r="CY192" s="272" t="s">
        <v>745</v>
      </c>
      <c r="CZ192"/>
      <c r="DA192" s="143"/>
      <c r="DB192" s="143">
        <v>0</v>
      </c>
      <c r="DC192" t="str">
        <f>IF(DB192=0,"0",IF(AND(DB192&gt;=1,DB192&lt;=30),"1-30",IF(AND(DB192&gt;30,DB192&lt;=70),"31-70",IF(AND(DB192&gt;70,DB192&lt;=100),"71-100",IF(DB192&gt;100,"+100")))))</f>
        <v>0</v>
      </c>
      <c r="DD192">
        <v>0</v>
      </c>
      <c r="DE192">
        <v>1</v>
      </c>
      <c r="DF192">
        <v>0</v>
      </c>
      <c r="DG192">
        <v>0</v>
      </c>
      <c r="DH192">
        <v>0</v>
      </c>
      <c r="DI192">
        <f>SUM(DD192:DH192)</f>
        <v>1</v>
      </c>
      <c r="DJ192" t="str">
        <f>IF(DI192=1,INDEX($DD$7:$DG$7,MATCH(1,$DD192:$DG192,0)),"mixedProduct")</f>
        <v>EnergyInput</v>
      </c>
      <c r="DK192">
        <f>IF(DD192=1,DK$7,0)</f>
        <v>0</v>
      </c>
      <c r="DL192" t="str">
        <f>IF(DE192=1,DL$7,0)</f>
        <v>Energy</v>
      </c>
      <c r="DM192">
        <f>IF(DF192=1,DM$7,0)</f>
        <v>0</v>
      </c>
      <c r="DN192">
        <f>IF(DG192=1,DN$7,0)</f>
        <v>0</v>
      </c>
      <c r="DO192">
        <v>0</v>
      </c>
      <c r="DP192" s="143">
        <v>0</v>
      </c>
      <c r="DQ192" s="143">
        <v>0</v>
      </c>
      <c r="DR192">
        <v>0</v>
      </c>
      <c r="DS192" s="143">
        <v>0</v>
      </c>
      <c r="DT192">
        <f>SUM(DO192:DP192)</f>
        <v>0</v>
      </c>
      <c r="DU192" s="143" t="str">
        <f>IF(DO192=1,"self-calculated DF",IF(DP192=1,"external DF used","explicit C balance"))</f>
        <v>explicit C balance</v>
      </c>
      <c r="DV192" s="143">
        <v>0</v>
      </c>
      <c r="DW192" s="143">
        <v>0</v>
      </c>
      <c r="DX192" s="143">
        <v>0</v>
      </c>
      <c r="DY192" s="143">
        <v>0</v>
      </c>
      <c r="DZ192">
        <v>0</v>
      </c>
      <c r="EA192" s="143">
        <v>0</v>
      </c>
      <c r="EB192" s="143">
        <v>1</v>
      </c>
      <c r="EC192" s="143">
        <v>0</v>
      </c>
      <c r="ED192" s="143">
        <v>0</v>
      </c>
      <c r="EE192">
        <v>0</v>
      </c>
      <c r="EF192">
        <v>0</v>
      </c>
      <c r="EG192" s="143">
        <v>0</v>
      </c>
      <c r="EH192" s="143">
        <v>0</v>
      </c>
      <c r="EI192" s="2">
        <v>0</v>
      </c>
      <c r="EJ192" s="1"/>
      <c r="EK192" t="str">
        <f>IF(AND(AND(AND(OR($DX192=1,$DW192=1),OR($EC192=1,$EA192=1)),SUM($DV192:$DZ192,$EF192)&gt;=4),SUM($EA192:$EE192)&gt;=2),"Whole sector","")</f>
        <v/>
      </c>
      <c r="EL192" t="str">
        <f>IF(AND(AND(OR($DX192=1,$DW192=1),AND($EC192=0,$EA192=0)),SUM($DV192:$DZ192,$EF192)&gt;=4),"Ecosystem approach","")</f>
        <v/>
      </c>
      <c r="EM192" s="2" t="str">
        <f>IF(AND(AND(AND($DX192=0,$DW192=0),OR($EC192=1,$EA192=1)),SUM($EB192:$EE192)&gt;=2),"Technology approach","")</f>
        <v/>
      </c>
      <c r="EN192"/>
      <c r="EO192"/>
      <c r="EP192" t="str">
        <f>IF(ISNUMBER(BU192),IF(ABS(BU192-[1]QC_indicators!$B$2)&gt;3*[1]QC_indicators!$C$2,"C ratio",IF(ISNUMBER(BY192),IF(ABS(BY192-[1]QC_indicators!$B$1)&gt;3*[1]QC_indicators!$C$1,"DF","no"))),IF(ISNUMBER(BY192),IF(ABS(BY192-[1]QC_indicators!$B$1)&gt;3*[1]QC_indicators!$C$1,"DF","no")))</f>
        <v>no</v>
      </c>
      <c r="EQ192"/>
      <c r="ER192" s="149"/>
      <c r="ES192"/>
      <c r="ET192" s="266" t="s">
        <v>3409</v>
      </c>
      <c r="EU192"/>
    </row>
    <row r="193" spans="1:151" s="139" customFormat="1" ht="15" hidden="1" customHeight="1">
      <c r="A193" s="1" t="s">
        <v>588</v>
      </c>
      <c r="B193" t="s">
        <v>1450</v>
      </c>
      <c r="C193" t="s">
        <v>1451</v>
      </c>
      <c r="D193" t="s">
        <v>1452</v>
      </c>
      <c r="E193" t="s">
        <v>1453</v>
      </c>
      <c r="F193" t="s">
        <v>1454</v>
      </c>
      <c r="G193" t="s">
        <v>594</v>
      </c>
      <c r="H193" t="s">
        <v>255</v>
      </c>
      <c r="I193">
        <v>2020</v>
      </c>
      <c r="J193">
        <v>12</v>
      </c>
      <c r="K193" t="s">
        <v>1455</v>
      </c>
      <c r="L193"/>
      <c r="M193" t="str">
        <f>LEFT($D193,FIND(",",$D193)-1)&amp;"_"&amp;I193&amp;L193</f>
        <v>Elisa_2020</v>
      </c>
      <c r="N193" s="266" t="s">
        <v>223</v>
      </c>
      <c r="O193" s="171" t="s">
        <v>275</v>
      </c>
      <c r="P193" t="s">
        <v>224</v>
      </c>
      <c r="Q193" s="266" t="s">
        <v>390</v>
      </c>
      <c r="R193" s="271" t="s">
        <v>1156</v>
      </c>
      <c r="S193" s="154" t="s">
        <v>1456</v>
      </c>
      <c r="T193" s="296" t="s">
        <v>1457</v>
      </c>
      <c r="U193" s="143" t="s">
        <v>1505</v>
      </c>
      <c r="V193">
        <v>0</v>
      </c>
      <c r="W193">
        <v>0</v>
      </c>
      <c r="X193">
        <v>0</v>
      </c>
      <c r="Y193">
        <v>0</v>
      </c>
      <c r="Z193">
        <v>0</v>
      </c>
      <c r="AA193">
        <v>0</v>
      </c>
      <c r="AB193">
        <v>0</v>
      </c>
      <c r="AC193">
        <v>0</v>
      </c>
      <c r="AD193">
        <v>0</v>
      </c>
      <c r="AE193">
        <v>1</v>
      </c>
      <c r="AF193">
        <v>0</v>
      </c>
      <c r="AG193">
        <v>0</v>
      </c>
      <c r="AH193">
        <v>0</v>
      </c>
      <c r="AI193">
        <v>0</v>
      </c>
      <c r="AJ193">
        <v>0</v>
      </c>
      <c r="AK193">
        <v>1</v>
      </c>
      <c r="AL193">
        <v>0</v>
      </c>
      <c r="AM193">
        <v>0</v>
      </c>
      <c r="AN193">
        <v>0</v>
      </c>
      <c r="AO193">
        <v>0</v>
      </c>
      <c r="AP193">
        <v>0</v>
      </c>
      <c r="AQ193">
        <v>0</v>
      </c>
      <c r="AR193">
        <v>0</v>
      </c>
      <c r="AS193">
        <v>0</v>
      </c>
      <c r="AT193">
        <v>0</v>
      </c>
      <c r="AU193">
        <v>0</v>
      </c>
      <c r="AV193">
        <v>0</v>
      </c>
      <c r="AW193">
        <v>0</v>
      </c>
      <c r="AX193" s="141">
        <f>COUNTIF(V193:AW193,"&lt;&gt;0")</f>
        <v>2</v>
      </c>
      <c r="AY193" s="141">
        <f>COUNTIF(V193:AL193,"&lt;&gt;0")</f>
        <v>2</v>
      </c>
      <c r="AZ193">
        <f>COUNTIF(V193:AC193,"&lt;&gt;0")</f>
        <v>0</v>
      </c>
      <c r="BA193">
        <f>COUNTIF(AD193:AI193,"&lt;&gt;0")</f>
        <v>1</v>
      </c>
      <c r="BB193">
        <f>COUNTIF(AJ193:AL193,"&lt;&gt;0")</f>
        <v>1</v>
      </c>
      <c r="BC193">
        <f>COUNTIF(AS193:AW193,"&lt;&gt;0")</f>
        <v>0</v>
      </c>
      <c r="BD193">
        <f>COUNTIF(AM193:AR193,"&lt;&gt;0")</f>
        <v>0</v>
      </c>
      <c r="BE193" t="str" cm="1">
        <f t="array" ref="BE193">IF(AY193=1,INDEX($V$7:$AL$7,MATCH(TRUE,INDEX($V193:$AW193&lt;&gt;0,),0)),IF(AY193=0,INDEX($AM$7:$AW$7,MATCH(1,$AM193:$AW193,0)),IF(BF193="Multiple strategies","mixed drivers",IF(BF193="Supply chain","multiple supply","multiple silviculture"))))</f>
        <v>mixed drivers</v>
      </c>
      <c r="BF193" s="2" t="str" cm="1">
        <f t="array" ref="BF193">IF(COUNTIF(AZ193:BB193,"&lt;&gt;0")=1,INDEX($V$4:$AW$4,MATCH(TRUE,INDEX($V193:$AW193&lt;&gt;0,),0)),IF(COUNTIF(AZ193:BB193,"&lt;&gt;0")=0,INDEX($AM$4:$AW$4,MATCH(1,$AM193:$AW193,0)),"Multiple strategies"))</f>
        <v>Multiple strategies</v>
      </c>
      <c r="BG193" s="142" t="s">
        <v>322</v>
      </c>
      <c r="BH193" s="160" t="s">
        <v>1459</v>
      </c>
      <c r="BI193" s="160" t="s">
        <v>1460</v>
      </c>
      <c r="BJ193" s="143" t="s">
        <v>499</v>
      </c>
      <c r="BK193" s="143">
        <v>944</v>
      </c>
      <c r="BL193" s="143">
        <v>170044</v>
      </c>
      <c r="BM193">
        <f>IFERROR(BL194/BK193,"")</f>
        <v>143.7415254237288</v>
      </c>
      <c r="BN193">
        <f>BL193-BK193</f>
        <v>169100</v>
      </c>
      <c r="BO193" s="159">
        <f>BN193</f>
        <v>169100</v>
      </c>
      <c r="BP193" s="155" t="s">
        <v>233</v>
      </c>
      <c r="BQ193" s="313" t="s">
        <v>1461</v>
      </c>
      <c r="BR193" s="155" t="s">
        <v>827</v>
      </c>
      <c r="BS193" s="143" t="s">
        <v>1479</v>
      </c>
      <c r="BT193" t="s">
        <v>1525</v>
      </c>
      <c r="BU193" s="144">
        <f>BT193/BS193</f>
        <v>102.3482463622033</v>
      </c>
      <c r="BV193">
        <f>BT193-BS193</f>
        <v>-10.892402777777798</v>
      </c>
      <c r="BW193"/>
      <c r="BX193">
        <f>BV193</f>
        <v>-10.892402777777798</v>
      </c>
      <c r="BY193">
        <f>IFERROR(BX193/BO193,"")</f>
        <v>-6.441397266574689E-5</v>
      </c>
      <c r="BZ193">
        <v>0</v>
      </c>
      <c r="CA193">
        <v>0</v>
      </c>
      <c r="CB193">
        <v>0</v>
      </c>
      <c r="CC193">
        <v>0</v>
      </c>
      <c r="CD193">
        <v>0</v>
      </c>
      <c r="CE193">
        <v>0</v>
      </c>
      <c r="CF193">
        <v>0</v>
      </c>
      <c r="CG193">
        <v>0</v>
      </c>
      <c r="CH193">
        <v>0</v>
      </c>
      <c r="CI193">
        <v>0</v>
      </c>
      <c r="CJ193">
        <v>0</v>
      </c>
      <c r="CK193">
        <v>0</v>
      </c>
      <c r="CL193">
        <v>0</v>
      </c>
      <c r="CM193">
        <v>0</v>
      </c>
      <c r="CN193" t="str">
        <f>IF($BL193&lt;$BK193,"refNeedCorrection","refOK")</f>
        <v>refOK</v>
      </c>
      <c r="CO193">
        <f>IF($CN193="refOK",$BK193,$BL193)</f>
        <v>944</v>
      </c>
      <c r="CP193">
        <f>IF($CN193="refOK",$BL193,$BK193)</f>
        <v>170044</v>
      </c>
      <c r="CQ193">
        <f>IF($CN193="refOK",$BO193,-$BO193)</f>
        <v>169100</v>
      </c>
      <c r="CR193">
        <f>IF($CN193="refOK",$BS193,$BT193)*IF($BP193="Emissions positive",-1,1)</f>
        <v>-0.107475</v>
      </c>
      <c r="CS193">
        <f>IF($CN193="refOK",$BT193,$BS193)*IF($BP193="Emissions positive",-1,1)</f>
        <v>-10.999877777777799</v>
      </c>
      <c r="CT193">
        <f>IF($CN193="refNeedCorrection",-BX193,BX193)*IF($BP193="Emissions positive",-1,1)</f>
        <v>-10.892402777777798</v>
      </c>
      <c r="CU193">
        <f>IFERROR(CT193/CQ193,"")</f>
        <v>-6.441397266574689E-5</v>
      </c>
      <c r="CV193" s="2">
        <f>IFERROR((CS193-CR193)/ABS(CR193),"")</f>
        <v>-101.34824636220328</v>
      </c>
      <c r="CW193" s="265" t="s">
        <v>1464</v>
      </c>
      <c r="CX193" s="266" t="str">
        <f>IF(OR($CW193="prd",$CW193="std",$CW193="cit"),"loc",IF(OR($CW193="eur",$CW193="reg",$CW193="coy"),"reg",$CW193))</f>
        <v>reg</v>
      </c>
      <c r="CY193" s="272" t="s">
        <v>745</v>
      </c>
      <c r="CZ193"/>
      <c r="DA193" s="143"/>
      <c r="DB193" s="143">
        <v>0</v>
      </c>
      <c r="DC193" t="str">
        <f>IF(DB193=0,"0",IF(AND(DB193&gt;=1,DB193&lt;=30),"1-30",IF(AND(DB193&gt;30,DB193&lt;=70),"31-70",IF(AND(DB193&gt;70,DB193&lt;=100),"71-100",IF(DB193&gt;100,"+100")))))</f>
        <v>0</v>
      </c>
      <c r="DD193">
        <v>0</v>
      </c>
      <c r="DE193">
        <v>1</v>
      </c>
      <c r="DF193">
        <v>0</v>
      </c>
      <c r="DG193">
        <v>0</v>
      </c>
      <c r="DH193">
        <v>0</v>
      </c>
      <c r="DI193">
        <f>SUM(DD193:DH193)</f>
        <v>1</v>
      </c>
      <c r="DJ193" t="str">
        <f>IF(DI193=1,INDEX($DD$7:$DG$7,MATCH(1,$DD193:$DG193,0)),"mixedProduct")</f>
        <v>EnergyInput</v>
      </c>
      <c r="DK193">
        <f>IF(DD193=1,DK$7,0)</f>
        <v>0</v>
      </c>
      <c r="DL193" t="str">
        <f>IF(DE193=1,DL$7,0)</f>
        <v>Energy</v>
      </c>
      <c r="DM193">
        <f>IF(DF193=1,DM$7,0)</f>
        <v>0</v>
      </c>
      <c r="DN193">
        <f>IF(DG193=1,DN$7,0)</f>
        <v>0</v>
      </c>
      <c r="DO193">
        <v>0</v>
      </c>
      <c r="DP193" s="143">
        <v>0</v>
      </c>
      <c r="DQ193" s="143">
        <v>0</v>
      </c>
      <c r="DR193">
        <v>0</v>
      </c>
      <c r="DS193" s="143">
        <v>0</v>
      </c>
      <c r="DT193">
        <f>SUM(DO193:DP193)</f>
        <v>0</v>
      </c>
      <c r="DU193" s="143" t="str">
        <f>IF(DO193=1,"self-calculated DF",IF(DP193=1,"external DF used","explicit C balance"))</f>
        <v>explicit C balance</v>
      </c>
      <c r="DV193" s="143">
        <v>0</v>
      </c>
      <c r="DW193" s="143">
        <v>0</v>
      </c>
      <c r="DX193" s="143">
        <v>0</v>
      </c>
      <c r="DY193" s="143">
        <v>0</v>
      </c>
      <c r="DZ193">
        <v>0</v>
      </c>
      <c r="EA193" s="143">
        <v>0</v>
      </c>
      <c r="EB193" s="143">
        <v>1</v>
      </c>
      <c r="EC193" s="143">
        <v>0</v>
      </c>
      <c r="ED193" s="143">
        <v>0</v>
      </c>
      <c r="EE193">
        <v>0</v>
      </c>
      <c r="EF193">
        <v>0</v>
      </c>
      <c r="EG193" s="143">
        <v>0</v>
      </c>
      <c r="EH193" s="143">
        <v>0</v>
      </c>
      <c r="EI193" s="2">
        <v>0</v>
      </c>
      <c r="EJ193" s="1"/>
      <c r="EK193" t="str">
        <f>IF(AND(AND(AND(OR($DX193=1,$DW193=1),OR($EC193=1,$EA193=1)),SUM($DV193:$DZ193,$EF193)&gt;=4),SUM($EA193:$EE193)&gt;=2),"Whole sector","")</f>
        <v/>
      </c>
      <c r="EL193" t="str">
        <f>IF(AND(AND(OR($DX193=1,$DW193=1),AND($EC193=0,$EA193=0)),SUM($DV193:$DZ193,$EF193)&gt;=4),"Ecosystem approach","")</f>
        <v/>
      </c>
      <c r="EM193" s="2" t="str">
        <f>IF(AND(AND(AND($DX193=0,$DW193=0),OR($EC193=1,$EA193=1)),SUM($EB193:$EE193)&gt;=2),"Technology approach","")</f>
        <v/>
      </c>
      <c r="EN193"/>
      <c r="EO193"/>
      <c r="EP193" t="str">
        <f>IF(ISNUMBER(BU193),IF(ABS(BU193-[1]QC_indicators!$B$2)&gt;3*[1]QC_indicators!$C$2,"C ratio",IF(ISNUMBER(BY193),IF(ABS(BY193-[1]QC_indicators!$B$1)&gt;3*[1]QC_indicators!$C$1,"DF","no"))),IF(ISNUMBER(BY193),IF(ABS(BY193-[1]QC_indicators!$B$1)&gt;3*[1]QC_indicators!$C$1,"DF","no")))</f>
        <v>C ratio</v>
      </c>
      <c r="EQ193"/>
      <c r="ER193" s="149"/>
      <c r="ES193"/>
      <c r="ET193" s="266" t="s">
        <v>3409</v>
      </c>
      <c r="EU193"/>
    </row>
    <row r="194" spans="1:151" s="139" customFormat="1" ht="15" hidden="1" customHeight="1">
      <c r="A194" s="1" t="s">
        <v>588</v>
      </c>
      <c r="B194" t="s">
        <v>1450</v>
      </c>
      <c r="C194" t="s">
        <v>1451</v>
      </c>
      <c r="D194" t="s">
        <v>1452</v>
      </c>
      <c r="E194" t="s">
        <v>1453</v>
      </c>
      <c r="F194" t="s">
        <v>1454</v>
      </c>
      <c r="G194" t="s">
        <v>594</v>
      </c>
      <c r="H194" t="s">
        <v>255</v>
      </c>
      <c r="I194">
        <v>2020</v>
      </c>
      <c r="J194">
        <v>12</v>
      </c>
      <c r="K194" t="s">
        <v>1455</v>
      </c>
      <c r="L194"/>
      <c r="M194" t="str">
        <f>LEFT($D194,FIND(",",$D194)-1)&amp;"_"&amp;I194&amp;L194</f>
        <v>Elisa_2020</v>
      </c>
      <c r="N194" s="266" t="s">
        <v>223</v>
      </c>
      <c r="O194" s="171" t="s">
        <v>275</v>
      </c>
      <c r="P194" t="s">
        <v>224</v>
      </c>
      <c r="Q194" s="266" t="s">
        <v>390</v>
      </c>
      <c r="R194" s="271" t="s">
        <v>1156</v>
      </c>
      <c r="S194" s="154" t="s">
        <v>1456</v>
      </c>
      <c r="T194" s="296" t="s">
        <v>1457</v>
      </c>
      <c r="U194" s="143" t="s">
        <v>1502</v>
      </c>
      <c r="V194">
        <v>0</v>
      </c>
      <c r="W194">
        <v>0</v>
      </c>
      <c r="X194">
        <v>0</v>
      </c>
      <c r="Y194">
        <v>0</v>
      </c>
      <c r="Z194">
        <v>0</v>
      </c>
      <c r="AA194">
        <v>0</v>
      </c>
      <c r="AB194">
        <v>0</v>
      </c>
      <c r="AC194">
        <v>0</v>
      </c>
      <c r="AD194">
        <v>0</v>
      </c>
      <c r="AE194">
        <v>1</v>
      </c>
      <c r="AF194">
        <v>0</v>
      </c>
      <c r="AG194">
        <v>0</v>
      </c>
      <c r="AH194">
        <v>0</v>
      </c>
      <c r="AI194">
        <v>0</v>
      </c>
      <c r="AJ194">
        <v>0</v>
      </c>
      <c r="AK194">
        <v>1</v>
      </c>
      <c r="AL194">
        <v>0</v>
      </c>
      <c r="AM194">
        <v>0</v>
      </c>
      <c r="AN194">
        <v>0</v>
      </c>
      <c r="AO194">
        <v>0</v>
      </c>
      <c r="AP194">
        <v>0</v>
      </c>
      <c r="AQ194">
        <v>0</v>
      </c>
      <c r="AR194">
        <v>0</v>
      </c>
      <c r="AS194">
        <v>0</v>
      </c>
      <c r="AT194">
        <v>0</v>
      </c>
      <c r="AU194">
        <v>0</v>
      </c>
      <c r="AV194">
        <v>0</v>
      </c>
      <c r="AW194">
        <v>0</v>
      </c>
      <c r="AX194" s="141">
        <f>COUNTIF(V194:AW194,"&lt;&gt;0")</f>
        <v>2</v>
      </c>
      <c r="AY194" s="141">
        <f>COUNTIF(V194:AL194,"&lt;&gt;0")</f>
        <v>2</v>
      </c>
      <c r="AZ194">
        <f>COUNTIF(V194:AC194,"&lt;&gt;0")</f>
        <v>0</v>
      </c>
      <c r="BA194">
        <f>COUNTIF(AD194:AI194,"&lt;&gt;0")</f>
        <v>1</v>
      </c>
      <c r="BB194">
        <f>COUNTIF(AJ194:AL194,"&lt;&gt;0")</f>
        <v>1</v>
      </c>
      <c r="BC194">
        <f>COUNTIF(AS194:AW194,"&lt;&gt;0")</f>
        <v>0</v>
      </c>
      <c r="BD194">
        <f>COUNTIF(AM194:AR194,"&lt;&gt;0")</f>
        <v>0</v>
      </c>
      <c r="BE194" t="str" cm="1">
        <f t="array" ref="BE194">IF(AY194=1,INDEX($V$7:$AL$7,MATCH(TRUE,INDEX($V194:$AW194&lt;&gt;0,),0)),IF(AY194=0,INDEX($AM$7:$AW$7,MATCH(1,$AM194:$AW194,0)),IF(BF194="Multiple strategies","mixed drivers",IF(BF194="Supply chain","multiple supply","multiple silviculture"))))</f>
        <v>mixed drivers</v>
      </c>
      <c r="BF194" s="2" t="str" cm="1">
        <f t="array" ref="BF194">IF(COUNTIF(AZ194:BB194,"&lt;&gt;0")=1,INDEX($V$4:$AW$4,MATCH(TRUE,INDEX($V194:$AW194&lt;&gt;0,),0)),IF(COUNTIF(AZ194:BB194,"&lt;&gt;0")=0,INDEX($AM$4:$AW$4,MATCH(1,$AM194:$AW194,0)),"Multiple strategies"))</f>
        <v>Multiple strategies</v>
      </c>
      <c r="BG194" s="142" t="s">
        <v>322</v>
      </c>
      <c r="BH194" s="160" t="s">
        <v>1459</v>
      </c>
      <c r="BI194" s="160" t="s">
        <v>1460</v>
      </c>
      <c r="BJ194" s="143" t="s">
        <v>499</v>
      </c>
      <c r="BK194" s="143">
        <v>944</v>
      </c>
      <c r="BL194" s="143">
        <v>135692</v>
      </c>
      <c r="BM194">
        <f>IFERROR(BL196/BK194,"")</f>
        <v>2.6483050847457625</v>
      </c>
      <c r="BN194">
        <f>BL194-BK194</f>
        <v>134748</v>
      </c>
      <c r="BO194" s="159">
        <f>BN194</f>
        <v>134748</v>
      </c>
      <c r="BP194" s="155" t="s">
        <v>233</v>
      </c>
      <c r="BQ194" s="313" t="s">
        <v>1461</v>
      </c>
      <c r="BR194" s="155" t="s">
        <v>827</v>
      </c>
      <c r="BS194" s="143" t="s">
        <v>1479</v>
      </c>
      <c r="BT194" t="s">
        <v>1526</v>
      </c>
      <c r="BU194" s="144">
        <f>BT194/BS194</f>
        <v>71.598046057222618</v>
      </c>
      <c r="BV194">
        <f>BT194-BS194</f>
        <v>-7.5875250000000003</v>
      </c>
      <c r="BW194"/>
      <c r="BX194">
        <f>BV194</f>
        <v>-7.5875250000000003</v>
      </c>
      <c r="BY194">
        <f>IFERROR(BX194/BO194,"")</f>
        <v>-5.6308999020393629E-5</v>
      </c>
      <c r="BZ194">
        <v>0</v>
      </c>
      <c r="CA194">
        <v>0</v>
      </c>
      <c r="CB194">
        <v>0</v>
      </c>
      <c r="CC194">
        <v>0</v>
      </c>
      <c r="CD194">
        <v>0</v>
      </c>
      <c r="CE194">
        <v>0</v>
      </c>
      <c r="CF194">
        <v>0</v>
      </c>
      <c r="CG194">
        <v>0</v>
      </c>
      <c r="CH194">
        <v>0</v>
      </c>
      <c r="CI194">
        <v>0</v>
      </c>
      <c r="CJ194">
        <v>0</v>
      </c>
      <c r="CK194">
        <v>0</v>
      </c>
      <c r="CL194">
        <v>0</v>
      </c>
      <c r="CM194">
        <v>0</v>
      </c>
      <c r="CN194" t="str">
        <f>IF($BL194&lt;$BK194,"refNeedCorrection","refOK")</f>
        <v>refOK</v>
      </c>
      <c r="CO194">
        <f>IF($CN194="refOK",$BK194,$BL194)</f>
        <v>944</v>
      </c>
      <c r="CP194">
        <f>IF($CN194="refOK",$BL194,$BK194)</f>
        <v>135692</v>
      </c>
      <c r="CQ194">
        <f>IF($CN194="refOK",$BO194,-$BO194)</f>
        <v>134748</v>
      </c>
      <c r="CR194">
        <f>IF($CN194="refOK",$BS194,$BT194)*IF($BP194="Emissions positive",-1,1)</f>
        <v>-0.107475</v>
      </c>
      <c r="CS194">
        <f>IF($CN194="refOK",$BT194,$BS194)*IF($BP194="Emissions positive",-1,1)</f>
        <v>-7.6950000000000003</v>
      </c>
      <c r="CT194">
        <f>IF($CN194="refNeedCorrection",-BX194,BX194)*IF($BP194="Emissions positive",-1,1)</f>
        <v>-7.5875250000000003</v>
      </c>
      <c r="CU194">
        <f>IFERROR(CT194/CQ194,"")</f>
        <v>-5.6308999020393629E-5</v>
      </c>
      <c r="CV194" s="2">
        <f>IFERROR((CS194-CR194)/ABS(CR194),"")</f>
        <v>-70.598046057222618</v>
      </c>
      <c r="CW194" s="265" t="s">
        <v>1464</v>
      </c>
      <c r="CX194" s="266" t="str">
        <f>IF(OR($CW194="prd",$CW194="std",$CW194="cit"),"loc",IF(OR($CW194="eur",$CW194="reg",$CW194="coy"),"reg",$CW194))</f>
        <v>reg</v>
      </c>
      <c r="CY194" s="272" t="s">
        <v>745</v>
      </c>
      <c r="CZ194"/>
      <c r="DA194" s="143"/>
      <c r="DB194" s="143">
        <v>0</v>
      </c>
      <c r="DC194" t="str">
        <f>IF(DB194=0,"0",IF(AND(DB194&gt;=1,DB194&lt;=30),"1-30",IF(AND(DB194&gt;30,DB194&lt;=70),"31-70",IF(AND(DB194&gt;70,DB194&lt;=100),"71-100",IF(DB194&gt;100,"+100")))))</f>
        <v>0</v>
      </c>
      <c r="DD194">
        <v>0</v>
      </c>
      <c r="DE194">
        <v>1</v>
      </c>
      <c r="DF194">
        <v>0</v>
      </c>
      <c r="DG194">
        <v>0</v>
      </c>
      <c r="DH194">
        <v>0</v>
      </c>
      <c r="DI194">
        <f>SUM(DD194:DH194)</f>
        <v>1</v>
      </c>
      <c r="DJ194" t="str">
        <f>IF(DI194=1,INDEX($DD$7:$DG$7,MATCH(1,$DD194:$DG194,0)),"mixedProduct")</f>
        <v>EnergyInput</v>
      </c>
      <c r="DK194">
        <f>IF(DD194=1,DK$7,0)</f>
        <v>0</v>
      </c>
      <c r="DL194" t="str">
        <f>IF(DE194=1,DL$7,0)</f>
        <v>Energy</v>
      </c>
      <c r="DM194">
        <f>IF(DF194=1,DM$7,0)</f>
        <v>0</v>
      </c>
      <c r="DN194">
        <f>IF(DG194=1,DN$7,0)</f>
        <v>0</v>
      </c>
      <c r="DO194">
        <v>0</v>
      </c>
      <c r="DP194" s="143">
        <v>0</v>
      </c>
      <c r="DQ194" s="143">
        <v>0</v>
      </c>
      <c r="DR194">
        <v>0</v>
      </c>
      <c r="DS194" s="143">
        <v>0</v>
      </c>
      <c r="DT194">
        <f>SUM(DO194:DP194)</f>
        <v>0</v>
      </c>
      <c r="DU194" s="143" t="str">
        <f>IF(DO194=1,"self-calculated DF",IF(DP194=1,"external DF used","explicit C balance"))</f>
        <v>explicit C balance</v>
      </c>
      <c r="DV194" s="143">
        <v>0</v>
      </c>
      <c r="DW194" s="143">
        <v>0</v>
      </c>
      <c r="DX194" s="143">
        <v>0</v>
      </c>
      <c r="DY194" s="143">
        <v>0</v>
      </c>
      <c r="DZ194">
        <v>0</v>
      </c>
      <c r="EA194" s="143">
        <v>0</v>
      </c>
      <c r="EB194" s="143">
        <v>1</v>
      </c>
      <c r="EC194" s="143">
        <v>0</v>
      </c>
      <c r="ED194" s="143">
        <v>0</v>
      </c>
      <c r="EE194">
        <v>0</v>
      </c>
      <c r="EF194">
        <v>0</v>
      </c>
      <c r="EG194" s="143">
        <v>0</v>
      </c>
      <c r="EH194" s="143">
        <v>0</v>
      </c>
      <c r="EI194" s="2">
        <v>0</v>
      </c>
      <c r="EJ194" s="1"/>
      <c r="EK194" t="str">
        <f>IF(AND(AND(AND(OR($DX194=1,$DW194=1),OR($EC194=1,$EA194=1)),SUM($DV194:$DZ194,$EF194)&gt;=4),SUM($EA194:$EE194)&gt;=2),"Whole sector","")</f>
        <v/>
      </c>
      <c r="EL194" t="str">
        <f>IF(AND(AND(OR($DX194=1,$DW194=1),AND($EC194=0,$EA194=0)),SUM($DV194:$DZ194,$EF194)&gt;=4),"Ecosystem approach","")</f>
        <v/>
      </c>
      <c r="EM194" s="2" t="str">
        <f>IF(AND(AND(AND($DX194=0,$DW194=0),OR($EC194=1,$EA194=1)),SUM($EB194:$EE194)&gt;=2),"Technology approach","")</f>
        <v/>
      </c>
      <c r="EN194"/>
      <c r="EO194"/>
      <c r="EP194" t="str">
        <f>IF(ISNUMBER(BU194),IF(ABS(BU194-[1]QC_indicators!$B$2)&gt;3*[1]QC_indicators!$C$2,"C ratio",IF(ISNUMBER(BY194),IF(ABS(BY194-[1]QC_indicators!$B$1)&gt;3*[1]QC_indicators!$C$1,"DF","no"))),IF(ISNUMBER(BY194),IF(ABS(BY194-[1]QC_indicators!$B$1)&gt;3*[1]QC_indicators!$C$1,"DF","no")))</f>
        <v>C ratio</v>
      </c>
      <c r="EQ194"/>
      <c r="ER194" s="149"/>
      <c r="ES194"/>
      <c r="ET194" s="266" t="s">
        <v>3409</v>
      </c>
      <c r="EU194"/>
    </row>
    <row r="195" spans="1:151" s="139" customFormat="1" ht="15" hidden="1" customHeight="1">
      <c r="A195" s="1" t="s">
        <v>588</v>
      </c>
      <c r="B195" t="s">
        <v>1450</v>
      </c>
      <c r="C195" t="s">
        <v>1451</v>
      </c>
      <c r="D195" t="s">
        <v>1452</v>
      </c>
      <c r="E195" t="s">
        <v>1453</v>
      </c>
      <c r="F195" t="s">
        <v>1454</v>
      </c>
      <c r="G195" t="s">
        <v>594</v>
      </c>
      <c r="H195" t="s">
        <v>255</v>
      </c>
      <c r="I195">
        <v>2020</v>
      </c>
      <c r="J195">
        <v>12</v>
      </c>
      <c r="K195" t="s">
        <v>1455</v>
      </c>
      <c r="L195"/>
      <c r="M195" t="str">
        <f>LEFT($D195,FIND(",",$D195)-1)&amp;"_"&amp;I195&amp;L195</f>
        <v>Elisa_2020</v>
      </c>
      <c r="N195" s="266" t="s">
        <v>223</v>
      </c>
      <c r="O195" s="171" t="s">
        <v>275</v>
      </c>
      <c r="P195" t="s">
        <v>224</v>
      </c>
      <c r="Q195" s="266" t="s">
        <v>390</v>
      </c>
      <c r="R195" s="271" t="s">
        <v>1156</v>
      </c>
      <c r="S195" s="154" t="s">
        <v>1456</v>
      </c>
      <c r="T195" s="296" t="s">
        <v>1457</v>
      </c>
      <c r="U195" s="143" t="s">
        <v>1507</v>
      </c>
      <c r="V195">
        <v>0</v>
      </c>
      <c r="W195">
        <v>0</v>
      </c>
      <c r="X195">
        <v>0</v>
      </c>
      <c r="Y195">
        <v>0</v>
      </c>
      <c r="Z195">
        <v>0</v>
      </c>
      <c r="AA195">
        <v>0</v>
      </c>
      <c r="AB195">
        <v>0</v>
      </c>
      <c r="AC195">
        <v>0</v>
      </c>
      <c r="AD195">
        <v>0</v>
      </c>
      <c r="AE195">
        <v>1</v>
      </c>
      <c r="AF195">
        <v>0</v>
      </c>
      <c r="AG195">
        <v>0</v>
      </c>
      <c r="AH195">
        <v>0</v>
      </c>
      <c r="AI195">
        <v>0</v>
      </c>
      <c r="AJ195">
        <v>0</v>
      </c>
      <c r="AK195">
        <v>1</v>
      </c>
      <c r="AL195">
        <v>0</v>
      </c>
      <c r="AM195">
        <v>0</v>
      </c>
      <c r="AN195">
        <v>0</v>
      </c>
      <c r="AO195">
        <v>0</v>
      </c>
      <c r="AP195">
        <v>0</v>
      </c>
      <c r="AQ195">
        <v>0</v>
      </c>
      <c r="AR195">
        <v>0</v>
      </c>
      <c r="AS195">
        <v>0</v>
      </c>
      <c r="AT195">
        <v>0</v>
      </c>
      <c r="AU195">
        <v>0</v>
      </c>
      <c r="AV195">
        <v>0</v>
      </c>
      <c r="AW195">
        <v>0</v>
      </c>
      <c r="AX195" s="141">
        <f>COUNTIF(V195:AW195,"&lt;&gt;0")</f>
        <v>2</v>
      </c>
      <c r="AY195" s="141">
        <f>COUNTIF(V195:AL195,"&lt;&gt;0")</f>
        <v>2</v>
      </c>
      <c r="AZ195">
        <f>COUNTIF(V195:AC195,"&lt;&gt;0")</f>
        <v>0</v>
      </c>
      <c r="BA195">
        <f>COUNTIF(AD195:AI195,"&lt;&gt;0")</f>
        <v>1</v>
      </c>
      <c r="BB195">
        <f>COUNTIF(AJ195:AL195,"&lt;&gt;0")</f>
        <v>1</v>
      </c>
      <c r="BC195">
        <f>COUNTIF(AS195:AW195,"&lt;&gt;0")</f>
        <v>0</v>
      </c>
      <c r="BD195">
        <f>COUNTIF(AM195:AR195,"&lt;&gt;0")</f>
        <v>0</v>
      </c>
      <c r="BE195" t="str" cm="1">
        <f t="array" ref="BE195">IF(AY195=1,INDEX($V$7:$AL$7,MATCH(TRUE,INDEX($V195:$AW195&lt;&gt;0,),0)),IF(AY195=0,INDEX($AM$7:$AW$7,MATCH(1,$AM195:$AW195,0)),IF(BF195="Multiple strategies","mixed drivers",IF(BF195="Supply chain","multiple supply","multiple silviculture"))))</f>
        <v>mixed drivers</v>
      </c>
      <c r="BF195" s="2" t="str" cm="1">
        <f t="array" ref="BF195">IF(COUNTIF(AZ195:BB195,"&lt;&gt;0")=1,INDEX($V$4:$AW$4,MATCH(TRUE,INDEX($V195:$AW195&lt;&gt;0,),0)),IF(COUNTIF(AZ195:BB195,"&lt;&gt;0")=0,INDEX($AM$4:$AW$4,MATCH(1,$AM195:$AW195,0)),"Multiple strategies"))</f>
        <v>Multiple strategies</v>
      </c>
      <c r="BG195" s="142" t="s">
        <v>322</v>
      </c>
      <c r="BH195" s="160" t="s">
        <v>1459</v>
      </c>
      <c r="BI195" s="160" t="s">
        <v>1460</v>
      </c>
      <c r="BJ195" s="143" t="s">
        <v>499</v>
      </c>
      <c r="BK195" s="143">
        <v>944</v>
      </c>
      <c r="BL195" s="143">
        <v>106341</v>
      </c>
      <c r="BM195">
        <f>IFERROR(BL196/BK195,"")</f>
        <v>2.6483050847457625</v>
      </c>
      <c r="BN195">
        <f>BL195-BK195</f>
        <v>105397</v>
      </c>
      <c r="BO195" s="159">
        <f>BN195</f>
        <v>105397</v>
      </c>
      <c r="BP195" s="155" t="s">
        <v>233</v>
      </c>
      <c r="BQ195" s="313" t="s">
        <v>1461</v>
      </c>
      <c r="BR195" s="155" t="s">
        <v>827</v>
      </c>
      <c r="BS195" s="143" t="s">
        <v>1479</v>
      </c>
      <c r="BT195" t="s">
        <v>1527</v>
      </c>
      <c r="BU195" s="144">
        <f>BT195/BS195</f>
        <v>46.240355689953759</v>
      </c>
      <c r="BV195">
        <f>BT195-BS195</f>
        <v>-4.8622072277777804</v>
      </c>
      <c r="BW195"/>
      <c r="BX195">
        <f>BV195</f>
        <v>-4.8622072277777804</v>
      </c>
      <c r="BY195">
        <f>IFERROR(BX195/BO195,"")</f>
        <v>-4.6132311429905788E-5</v>
      </c>
      <c r="BZ195">
        <v>0</v>
      </c>
      <c r="CA195">
        <v>0</v>
      </c>
      <c r="CB195">
        <v>0</v>
      </c>
      <c r="CC195">
        <v>0</v>
      </c>
      <c r="CD195">
        <v>0</v>
      </c>
      <c r="CE195">
        <v>0</v>
      </c>
      <c r="CF195">
        <v>0</v>
      </c>
      <c r="CG195">
        <v>0</v>
      </c>
      <c r="CH195">
        <v>0</v>
      </c>
      <c r="CI195">
        <v>0</v>
      </c>
      <c r="CJ195">
        <v>0</v>
      </c>
      <c r="CK195">
        <v>0</v>
      </c>
      <c r="CL195">
        <v>0</v>
      </c>
      <c r="CM195">
        <v>0</v>
      </c>
      <c r="CN195" t="str">
        <f>IF($BL195&lt;$BK195,"refNeedCorrection","refOK")</f>
        <v>refOK</v>
      </c>
      <c r="CO195">
        <f>IF($CN195="refOK",$BK195,$BL195)</f>
        <v>944</v>
      </c>
      <c r="CP195">
        <f>IF($CN195="refOK",$BL195,$BK195)</f>
        <v>106341</v>
      </c>
      <c r="CQ195">
        <f>IF($CN195="refOK",$BO195,-$BO195)</f>
        <v>105397</v>
      </c>
      <c r="CR195">
        <f>IF($CN195="refOK",$BS195,$BT195)*IF($BP195="Emissions positive",-1,1)</f>
        <v>-0.107475</v>
      </c>
      <c r="CS195">
        <f>IF($CN195="refOK",$BT195,$BS195)*IF($BP195="Emissions positive",-1,1)</f>
        <v>-4.9696822277777803</v>
      </c>
      <c r="CT195">
        <f>IF($CN195="refNeedCorrection",-BX195,BX195)*IF($BP195="Emissions positive",-1,1)</f>
        <v>-4.8622072277777804</v>
      </c>
      <c r="CU195">
        <f>IFERROR(CT195/CQ195,"")</f>
        <v>-4.6132311429905788E-5</v>
      </c>
      <c r="CV195" s="2">
        <f>IFERROR((CS195-CR195)/ABS(CR195),"")</f>
        <v>-45.240355689953759</v>
      </c>
      <c r="CW195" s="265" t="s">
        <v>1464</v>
      </c>
      <c r="CX195" s="266" t="str">
        <f>IF(OR($CW195="prd",$CW195="std",$CW195="cit"),"loc",IF(OR($CW195="eur",$CW195="reg",$CW195="coy"),"reg",$CW195))</f>
        <v>reg</v>
      </c>
      <c r="CY195" s="272" t="s">
        <v>745</v>
      </c>
      <c r="CZ195"/>
      <c r="DA195" s="143"/>
      <c r="DB195" s="143">
        <v>0</v>
      </c>
      <c r="DC195" t="str">
        <f>IF(DB195=0,"0",IF(AND(DB195&gt;=1,DB195&lt;=30),"1-30",IF(AND(DB195&gt;30,DB195&lt;=70),"31-70",IF(AND(DB195&gt;70,DB195&lt;=100),"71-100",IF(DB195&gt;100,"+100")))))</f>
        <v>0</v>
      </c>
      <c r="DD195">
        <v>0</v>
      </c>
      <c r="DE195">
        <v>1</v>
      </c>
      <c r="DF195">
        <v>0</v>
      </c>
      <c r="DG195">
        <v>0</v>
      </c>
      <c r="DH195">
        <v>0</v>
      </c>
      <c r="DI195">
        <f>SUM(DD195:DH195)</f>
        <v>1</v>
      </c>
      <c r="DJ195" t="str">
        <f>IF(DI195=1,INDEX($DD$7:$DG$7,MATCH(1,$DD195:$DG195,0)),"mixedProduct")</f>
        <v>EnergyInput</v>
      </c>
      <c r="DK195">
        <f>IF(DD195=1,DK$7,0)</f>
        <v>0</v>
      </c>
      <c r="DL195" t="str">
        <f>IF(DE195=1,DL$7,0)</f>
        <v>Energy</v>
      </c>
      <c r="DM195">
        <f>IF(DF195=1,DM$7,0)</f>
        <v>0</v>
      </c>
      <c r="DN195">
        <f>IF(DG195=1,DN$7,0)</f>
        <v>0</v>
      </c>
      <c r="DO195">
        <v>0</v>
      </c>
      <c r="DP195" s="143">
        <v>0</v>
      </c>
      <c r="DQ195" s="143">
        <v>0</v>
      </c>
      <c r="DR195">
        <v>0</v>
      </c>
      <c r="DS195" s="143">
        <v>0</v>
      </c>
      <c r="DT195">
        <f>SUM(DO195:DP195)</f>
        <v>0</v>
      </c>
      <c r="DU195" s="143" t="str">
        <f>IF(DO195=1,"self-calculated DF",IF(DP195=1,"external DF used","explicit C balance"))</f>
        <v>explicit C balance</v>
      </c>
      <c r="DV195" s="143">
        <v>0</v>
      </c>
      <c r="DW195" s="143">
        <v>0</v>
      </c>
      <c r="DX195" s="143">
        <v>0</v>
      </c>
      <c r="DY195" s="143">
        <v>0</v>
      </c>
      <c r="DZ195">
        <v>0</v>
      </c>
      <c r="EA195" s="143">
        <v>0</v>
      </c>
      <c r="EB195" s="143">
        <v>1</v>
      </c>
      <c r="EC195" s="143">
        <v>0</v>
      </c>
      <c r="ED195" s="143">
        <v>0</v>
      </c>
      <c r="EE195">
        <v>0</v>
      </c>
      <c r="EF195">
        <v>0</v>
      </c>
      <c r="EG195" s="143">
        <v>0</v>
      </c>
      <c r="EH195" s="143">
        <v>0</v>
      </c>
      <c r="EI195" s="2">
        <v>0</v>
      </c>
      <c r="EJ195" s="1"/>
      <c r="EK195" t="str">
        <f>IF(AND(AND(AND(OR($DX195=1,$DW195=1),OR($EC195=1,$EA195=1)),SUM($DV195:$DZ195,$EF195)&gt;=4),SUM($EA195:$EE195)&gt;=2),"Whole sector","")</f>
        <v/>
      </c>
      <c r="EL195" t="str">
        <f>IF(AND(AND(OR($DX195=1,$DW195=1),AND($EC195=0,$EA195=0)),SUM($DV195:$DZ195,$EF195)&gt;=4),"Ecosystem approach","")</f>
        <v/>
      </c>
      <c r="EM195" s="2" t="str">
        <f>IF(AND(AND(AND($DX195=0,$DW195=0),OR($EC195=1,$EA195=1)),SUM($EB195:$EE195)&gt;=2),"Technology approach","")</f>
        <v/>
      </c>
      <c r="EN195"/>
      <c r="EO195"/>
      <c r="EP195" t="str">
        <f>IF(ISNUMBER(BU195),IF(ABS(BU195-[1]QC_indicators!$B$2)&gt;3*[1]QC_indicators!$C$2,"C ratio",IF(ISNUMBER(BY195),IF(ABS(BY195-[1]QC_indicators!$B$1)&gt;3*[1]QC_indicators!$C$1,"DF","no"))),IF(ISNUMBER(BY195),IF(ABS(BY195-[1]QC_indicators!$B$1)&gt;3*[1]QC_indicators!$C$1,"DF","no")))</f>
        <v>no</v>
      </c>
      <c r="EQ195"/>
      <c r="ER195" s="149"/>
      <c r="ES195"/>
      <c r="ET195" s="266" t="s">
        <v>3409</v>
      </c>
      <c r="EU195"/>
    </row>
    <row r="196" spans="1:151" s="139" customFormat="1" ht="15" hidden="1" customHeight="1">
      <c r="A196" s="1" t="s">
        <v>588</v>
      </c>
      <c r="B196" t="s">
        <v>1450</v>
      </c>
      <c r="C196" t="s">
        <v>1451</v>
      </c>
      <c r="D196" t="s">
        <v>1452</v>
      </c>
      <c r="E196" t="s">
        <v>1453</v>
      </c>
      <c r="F196" t="s">
        <v>1454</v>
      </c>
      <c r="G196" t="s">
        <v>594</v>
      </c>
      <c r="H196" t="s">
        <v>255</v>
      </c>
      <c r="I196">
        <v>2020</v>
      </c>
      <c r="J196">
        <v>12</v>
      </c>
      <c r="K196" t="s">
        <v>1455</v>
      </c>
      <c r="L196"/>
      <c r="M196" t="str">
        <f>LEFT($D196,FIND(",",$D196)-1)&amp;"_"&amp;I196&amp;L196</f>
        <v>Elisa_2020</v>
      </c>
      <c r="N196" s="266" t="s">
        <v>223</v>
      </c>
      <c r="O196" s="171" t="s">
        <v>275</v>
      </c>
      <c r="P196" t="s">
        <v>224</v>
      </c>
      <c r="Q196" s="266" t="s">
        <v>390</v>
      </c>
      <c r="R196" s="271" t="s">
        <v>1156</v>
      </c>
      <c r="S196" s="154" t="s">
        <v>1456</v>
      </c>
      <c r="T196" s="296" t="s">
        <v>1457</v>
      </c>
      <c r="U196" s="143" t="s">
        <v>1515</v>
      </c>
      <c r="V196">
        <v>0</v>
      </c>
      <c r="W196">
        <v>0</v>
      </c>
      <c r="X196">
        <v>0</v>
      </c>
      <c r="Y196">
        <v>0</v>
      </c>
      <c r="Z196">
        <v>0</v>
      </c>
      <c r="AA196">
        <v>0</v>
      </c>
      <c r="AB196">
        <v>0</v>
      </c>
      <c r="AC196">
        <v>0</v>
      </c>
      <c r="AD196">
        <v>0</v>
      </c>
      <c r="AE196">
        <v>1</v>
      </c>
      <c r="AF196">
        <v>0</v>
      </c>
      <c r="AG196">
        <v>0</v>
      </c>
      <c r="AH196">
        <v>0</v>
      </c>
      <c r="AI196">
        <v>0</v>
      </c>
      <c r="AJ196">
        <v>0</v>
      </c>
      <c r="AK196">
        <v>1</v>
      </c>
      <c r="AL196">
        <v>0</v>
      </c>
      <c r="AM196">
        <v>0</v>
      </c>
      <c r="AN196">
        <v>0</v>
      </c>
      <c r="AO196">
        <v>0</v>
      </c>
      <c r="AP196">
        <v>0</v>
      </c>
      <c r="AQ196">
        <v>0</v>
      </c>
      <c r="AR196">
        <v>0</v>
      </c>
      <c r="AS196">
        <v>0</v>
      </c>
      <c r="AT196">
        <v>0</v>
      </c>
      <c r="AU196">
        <v>0</v>
      </c>
      <c r="AV196">
        <v>0</v>
      </c>
      <c r="AW196">
        <v>0</v>
      </c>
      <c r="AX196" s="141">
        <f>COUNTIF(V196:AW196,"&lt;&gt;0")</f>
        <v>2</v>
      </c>
      <c r="AY196" s="141">
        <f>COUNTIF(V196:AL196,"&lt;&gt;0")</f>
        <v>2</v>
      </c>
      <c r="AZ196">
        <f>COUNTIF(V196:AC196,"&lt;&gt;0")</f>
        <v>0</v>
      </c>
      <c r="BA196">
        <f>COUNTIF(AD196:AI196,"&lt;&gt;0")</f>
        <v>1</v>
      </c>
      <c r="BB196">
        <f>COUNTIF(AJ196:AL196,"&lt;&gt;0")</f>
        <v>1</v>
      </c>
      <c r="BC196">
        <f>COUNTIF(AS196:AW196,"&lt;&gt;0")</f>
        <v>0</v>
      </c>
      <c r="BD196">
        <f>COUNTIF(AM196:AR196,"&lt;&gt;0")</f>
        <v>0</v>
      </c>
      <c r="BE196" t="str" cm="1">
        <f t="array" ref="BE196">IF(AY196=1,INDEX($V$7:$AL$7,MATCH(TRUE,INDEX($V196:$AW196&lt;&gt;0,),0)),IF(AY196=0,INDEX($AM$7:$AW$7,MATCH(1,$AM196:$AW196,0)),IF(BF196="Multiple strategies","mixed drivers",IF(BF196="Supply chain","multiple supply","multiple silviculture"))))</f>
        <v>mixed drivers</v>
      </c>
      <c r="BF196" s="2" t="str" cm="1">
        <f t="array" ref="BF196">IF(COUNTIF(AZ196:BB196,"&lt;&gt;0")=1,INDEX($V$4:$AW$4,MATCH(TRUE,INDEX($V196:$AW196&lt;&gt;0,),0)),IF(COUNTIF(AZ196:BB196,"&lt;&gt;0")=0,INDEX($AM$4:$AW$4,MATCH(1,$AM196:$AW196,0)),"Multiple strategies"))</f>
        <v>Multiple strategies</v>
      </c>
      <c r="BG196" s="142" t="s">
        <v>322</v>
      </c>
      <c r="BH196" s="160" t="s">
        <v>1459</v>
      </c>
      <c r="BI196" s="160" t="s">
        <v>1460</v>
      </c>
      <c r="BJ196" s="143" t="s">
        <v>499</v>
      </c>
      <c r="BK196" s="143">
        <v>944</v>
      </c>
      <c r="BL196" s="143">
        <v>2500</v>
      </c>
      <c r="BM196">
        <f>IFERROR(BL196/BK196,"")</f>
        <v>2.6483050847457625</v>
      </c>
      <c r="BN196">
        <f>BL196-BK196</f>
        <v>1556</v>
      </c>
      <c r="BO196" s="159">
        <f>BN196</f>
        <v>1556</v>
      </c>
      <c r="BP196" s="155" t="s">
        <v>233</v>
      </c>
      <c r="BQ196" s="313" t="s">
        <v>1461</v>
      </c>
      <c r="BR196" s="155" t="s">
        <v>827</v>
      </c>
      <c r="BS196" s="143" t="s">
        <v>1462</v>
      </c>
      <c r="BT196" t="s">
        <v>1528</v>
      </c>
      <c r="BU196" s="144">
        <f>BT196/BS196</f>
        <v>0.42034063977982705</v>
      </c>
      <c r="BV196">
        <f>BT196-BS196</f>
        <v>4.0681174999999996</v>
      </c>
      <c r="BW196"/>
      <c r="BX196">
        <f>BV196</f>
        <v>4.0681174999999996</v>
      </c>
      <c r="BY196">
        <f>IFERROR(BX196/BO196,"")</f>
        <v>2.6144714010282776E-3</v>
      </c>
      <c r="BZ196">
        <v>0</v>
      </c>
      <c r="CA196">
        <v>0</v>
      </c>
      <c r="CB196">
        <v>0</v>
      </c>
      <c r="CC196">
        <v>0</v>
      </c>
      <c r="CD196">
        <v>0</v>
      </c>
      <c r="CE196">
        <v>0</v>
      </c>
      <c r="CF196">
        <v>0</v>
      </c>
      <c r="CG196">
        <v>0</v>
      </c>
      <c r="CH196">
        <v>0</v>
      </c>
      <c r="CI196">
        <v>0</v>
      </c>
      <c r="CJ196">
        <v>0</v>
      </c>
      <c r="CK196">
        <v>0</v>
      </c>
      <c r="CL196">
        <v>0</v>
      </c>
      <c r="CM196">
        <v>0</v>
      </c>
      <c r="CN196" t="str">
        <f>IF($BL196&lt;$BK196,"refNeedCorrection","refOK")</f>
        <v>refOK</v>
      </c>
      <c r="CO196">
        <f>IF($CN196="refOK",$BK196,$BL196)</f>
        <v>944</v>
      </c>
      <c r="CP196">
        <f>IF($CN196="refOK",$BL196,$BK196)</f>
        <v>2500</v>
      </c>
      <c r="CQ196">
        <f>IF($CN196="refOK",$BO196,-$BO196)</f>
        <v>1556</v>
      </c>
      <c r="CR196">
        <f>IF($CN196="refOK",$BS196,$BT196)*IF($BP196="Emissions positive",-1,1)</f>
        <v>-7.0181174999999998</v>
      </c>
      <c r="CS196">
        <f>IF($CN196="refOK",$BT196,$BS196)*IF($BP196="Emissions positive",-1,1)</f>
        <v>-2.95</v>
      </c>
      <c r="CT196">
        <f>IF($CN196="refNeedCorrection",-BX196,BX196)*IF($BP196="Emissions positive",-1,1)</f>
        <v>4.0681174999999996</v>
      </c>
      <c r="CU196">
        <f>IFERROR(CT196/CQ196,"")</f>
        <v>2.6144714010282776E-3</v>
      </c>
      <c r="CV196" s="2">
        <f>IFERROR((CS196-CR196)/ABS(CR196),"")</f>
        <v>0.57965936022017295</v>
      </c>
      <c r="CW196" s="265" t="s">
        <v>1464</v>
      </c>
      <c r="CX196" s="266" t="str">
        <f>IF(OR($CW196="prd",$CW196="std",$CW196="cit"),"loc",IF(OR($CW196="eur",$CW196="reg",$CW196="coy"),"reg",$CW196))</f>
        <v>reg</v>
      </c>
      <c r="CY196" s="272" t="s">
        <v>745</v>
      </c>
      <c r="CZ196"/>
      <c r="DA196" s="143"/>
      <c r="DB196" s="143">
        <v>0</v>
      </c>
      <c r="DC196" t="str">
        <f>IF(DB196=0,"0",IF(AND(DB196&gt;=1,DB196&lt;=30),"1-30",IF(AND(DB196&gt;30,DB196&lt;=70),"31-70",IF(AND(DB196&gt;70,DB196&lt;=100),"71-100",IF(DB196&gt;100,"+100")))))</f>
        <v>0</v>
      </c>
      <c r="DD196">
        <v>0</v>
      </c>
      <c r="DE196">
        <v>1</v>
      </c>
      <c r="DF196">
        <v>0</v>
      </c>
      <c r="DG196">
        <v>0</v>
      </c>
      <c r="DH196">
        <v>0</v>
      </c>
      <c r="DI196">
        <f>SUM(DD196:DH196)</f>
        <v>1</v>
      </c>
      <c r="DJ196" t="str">
        <f>IF(DI196=1,INDEX($DD$7:$DG$7,MATCH(1,$DD196:$DG196,0)),"mixedProduct")</f>
        <v>EnergyInput</v>
      </c>
      <c r="DK196">
        <f>IF(DD196=1,DK$7,0)</f>
        <v>0</v>
      </c>
      <c r="DL196" t="str">
        <f>IF(DE196=1,DL$7,0)</f>
        <v>Energy</v>
      </c>
      <c r="DM196">
        <f>IF(DF196=1,DM$7,0)</f>
        <v>0</v>
      </c>
      <c r="DN196">
        <f>IF(DG196=1,DN$7,0)</f>
        <v>0</v>
      </c>
      <c r="DO196">
        <v>0</v>
      </c>
      <c r="DP196" s="143">
        <v>0</v>
      </c>
      <c r="DQ196" s="143">
        <v>0</v>
      </c>
      <c r="DR196">
        <v>0</v>
      </c>
      <c r="DS196" s="143">
        <v>0</v>
      </c>
      <c r="DT196">
        <f>SUM(DO196:DP196)</f>
        <v>0</v>
      </c>
      <c r="DU196" s="143" t="str">
        <f>IF(DO196=1,"self-calculated DF",IF(DP196=1,"external DF used","explicit C balance"))</f>
        <v>explicit C balance</v>
      </c>
      <c r="DV196" s="143">
        <v>0</v>
      </c>
      <c r="DW196" s="143">
        <v>0</v>
      </c>
      <c r="DX196" s="143">
        <v>0</v>
      </c>
      <c r="DY196" s="143">
        <v>0</v>
      </c>
      <c r="DZ196">
        <v>0</v>
      </c>
      <c r="EA196" s="143">
        <v>0</v>
      </c>
      <c r="EB196" s="143">
        <v>1</v>
      </c>
      <c r="EC196" s="143">
        <v>1</v>
      </c>
      <c r="ED196" s="143">
        <v>0</v>
      </c>
      <c r="EE196">
        <v>1</v>
      </c>
      <c r="EF196">
        <v>0</v>
      </c>
      <c r="EG196" s="143">
        <v>0</v>
      </c>
      <c r="EH196" s="143">
        <v>0</v>
      </c>
      <c r="EI196" s="2">
        <v>0</v>
      </c>
      <c r="EJ196" s="1"/>
      <c r="EK196" t="str">
        <f>IF(AND(AND(AND(OR($DX196=1,$DW196=1),OR($EC196=1,$EA196=1)),SUM($DV196:$DZ196,$EF196)&gt;=4),SUM($EA196:$EE196)&gt;=2),"Whole sector","")</f>
        <v/>
      </c>
      <c r="EL196" t="str">
        <f>IF(AND(AND(OR($DX196=1,$DW196=1),AND($EC196=0,$EA196=0)),SUM($DV196:$DZ196,$EF196)&gt;=4),"Ecosystem approach","")</f>
        <v/>
      </c>
      <c r="EM196" s="2" t="str">
        <f>IF(AND(AND(AND($DX196=0,$DW196=0),OR($EC196=1,$EA196=1)),SUM($EB196:$EE196)&gt;=2),"Technology approach","")</f>
        <v>Technology approach</v>
      </c>
      <c r="EN196"/>
      <c r="EO196"/>
      <c r="EP196" t="str">
        <f>IF(ISNUMBER(BU196),IF(ABS(BU196-[1]QC_indicators!$B$2)&gt;3*[1]QC_indicators!$C$2,"C ratio",IF(ISNUMBER(BY196),IF(ABS(BY196-[1]QC_indicators!$B$1)&gt;3*[1]QC_indicators!$C$1,"DF","no"))),IF(ISNUMBER(BY196),IF(ABS(BY196-[1]QC_indicators!$B$1)&gt;3*[1]QC_indicators!$C$1,"DF","no")))</f>
        <v>no</v>
      </c>
      <c r="EQ196"/>
      <c r="ER196" s="149"/>
      <c r="ES196"/>
      <c r="ET196" s="266" t="s">
        <v>3409</v>
      </c>
      <c r="EU196"/>
    </row>
    <row r="197" spans="1:151" s="139" customFormat="1" ht="15" hidden="1" customHeight="1">
      <c r="A197" s="1" t="s">
        <v>588</v>
      </c>
      <c r="B197" t="s">
        <v>1450</v>
      </c>
      <c r="C197" t="s">
        <v>1451</v>
      </c>
      <c r="D197" t="s">
        <v>1452</v>
      </c>
      <c r="E197" t="s">
        <v>1453</v>
      </c>
      <c r="F197" t="s">
        <v>1454</v>
      </c>
      <c r="G197" t="s">
        <v>594</v>
      </c>
      <c r="H197" t="s">
        <v>255</v>
      </c>
      <c r="I197">
        <v>2020</v>
      </c>
      <c r="J197">
        <v>12</v>
      </c>
      <c r="K197" t="s">
        <v>1455</v>
      </c>
      <c r="L197"/>
      <c r="M197" t="str">
        <f>LEFT($D197,FIND(",",$D197)-1)&amp;"_"&amp;I197&amp;L197</f>
        <v>Elisa_2020</v>
      </c>
      <c r="N197" s="266" t="s">
        <v>223</v>
      </c>
      <c r="O197" s="171" t="s">
        <v>275</v>
      </c>
      <c r="P197" t="s">
        <v>224</v>
      </c>
      <c r="Q197" s="266" t="s">
        <v>390</v>
      </c>
      <c r="R197" s="271" t="s">
        <v>1156</v>
      </c>
      <c r="S197" s="154" t="s">
        <v>1456</v>
      </c>
      <c r="T197" s="296" t="s">
        <v>1457</v>
      </c>
      <c r="U197" s="143" t="s">
        <v>1515</v>
      </c>
      <c r="V197">
        <v>0</v>
      </c>
      <c r="W197">
        <v>0</v>
      </c>
      <c r="X197">
        <v>0</v>
      </c>
      <c r="Y197">
        <v>0</v>
      </c>
      <c r="Z197">
        <v>0</v>
      </c>
      <c r="AA197">
        <v>0</v>
      </c>
      <c r="AB197">
        <v>0</v>
      </c>
      <c r="AC197">
        <v>0</v>
      </c>
      <c r="AD197">
        <v>0</v>
      </c>
      <c r="AE197">
        <v>1</v>
      </c>
      <c r="AF197">
        <v>0</v>
      </c>
      <c r="AG197">
        <v>0</v>
      </c>
      <c r="AH197">
        <v>0</v>
      </c>
      <c r="AI197">
        <v>0</v>
      </c>
      <c r="AJ197">
        <v>0</v>
      </c>
      <c r="AK197">
        <v>1</v>
      </c>
      <c r="AL197">
        <v>0</v>
      </c>
      <c r="AM197">
        <v>0</v>
      </c>
      <c r="AN197">
        <v>0</v>
      </c>
      <c r="AO197">
        <v>0</v>
      </c>
      <c r="AP197">
        <v>0</v>
      </c>
      <c r="AQ197">
        <v>0</v>
      </c>
      <c r="AR197">
        <v>0</v>
      </c>
      <c r="AS197">
        <v>0</v>
      </c>
      <c r="AT197">
        <v>0</v>
      </c>
      <c r="AU197">
        <v>0</v>
      </c>
      <c r="AV197">
        <v>0</v>
      </c>
      <c r="AW197">
        <v>0</v>
      </c>
      <c r="AX197" s="141">
        <f>COUNTIF(V197:AW197,"&lt;&gt;0")</f>
        <v>2</v>
      </c>
      <c r="AY197" s="141">
        <f>COUNTIF(V197:AL197,"&lt;&gt;0")</f>
        <v>2</v>
      </c>
      <c r="AZ197">
        <f>COUNTIF(V197:AC197,"&lt;&gt;0")</f>
        <v>0</v>
      </c>
      <c r="BA197">
        <f>COUNTIF(AD197:AI197,"&lt;&gt;0")</f>
        <v>1</v>
      </c>
      <c r="BB197">
        <f>COUNTIF(AJ197:AL197,"&lt;&gt;0")</f>
        <v>1</v>
      </c>
      <c r="BC197">
        <f>COUNTIF(AS197:AW197,"&lt;&gt;0")</f>
        <v>0</v>
      </c>
      <c r="BD197">
        <f>COUNTIF(AM197:AR197,"&lt;&gt;0")</f>
        <v>0</v>
      </c>
      <c r="BE197" t="str" cm="1">
        <f t="array" ref="BE197">IF(AY197=1,INDEX($V$7:$AL$7,MATCH(TRUE,INDEX($V197:$AW197&lt;&gt;0,),0)),IF(AY197=0,INDEX($AM$7:$AW$7,MATCH(1,$AM197:$AW197,0)),IF(BF197="Multiple strategies","mixed drivers",IF(BF197="Supply chain","multiple supply","multiple silviculture"))))</f>
        <v>mixed drivers</v>
      </c>
      <c r="BF197" s="2" t="str" cm="1">
        <f t="array" ref="BF197">IF(COUNTIF(AZ197:BB197,"&lt;&gt;0")=1,INDEX($V$4:$AW$4,MATCH(TRUE,INDEX($V197:$AW197&lt;&gt;0,),0)),IF(COUNTIF(AZ197:BB197,"&lt;&gt;0")=0,INDEX($AM$4:$AW$4,MATCH(1,$AM197:$AW197,0)),"Multiple strategies"))</f>
        <v>Multiple strategies</v>
      </c>
      <c r="BG197" s="142" t="s">
        <v>322</v>
      </c>
      <c r="BH197" s="160" t="s">
        <v>1459</v>
      </c>
      <c r="BI197" s="160" t="s">
        <v>1460</v>
      </c>
      <c r="BJ197" s="143" t="s">
        <v>499</v>
      </c>
      <c r="BK197" s="143">
        <v>944</v>
      </c>
      <c r="BL197" s="143">
        <v>2500</v>
      </c>
      <c r="BM197">
        <f>IFERROR(BL199/BK197,"")</f>
        <v>2.1345338983050848</v>
      </c>
      <c r="BN197">
        <f>BL197-BK197</f>
        <v>1556</v>
      </c>
      <c r="BO197" s="159">
        <f>BN197</f>
        <v>1556</v>
      </c>
      <c r="BP197" s="155" t="s">
        <v>233</v>
      </c>
      <c r="BQ197" s="313" t="s">
        <v>1461</v>
      </c>
      <c r="BR197" s="155" t="s">
        <v>827</v>
      </c>
      <c r="BS197" s="143" t="s">
        <v>1465</v>
      </c>
      <c r="BT197" t="s">
        <v>1529</v>
      </c>
      <c r="BU197" s="144">
        <f>BT197/BS197</f>
        <v>0.37783912438114253</v>
      </c>
      <c r="BV197">
        <f>BT197-BS197</f>
        <v>4.29953138888889</v>
      </c>
      <c r="BW197"/>
      <c r="BX197">
        <f>BV197</f>
        <v>4.29953138888889</v>
      </c>
      <c r="BY197">
        <f>IFERROR(BX197/BO197,"")</f>
        <v>2.7631949800057134E-3</v>
      </c>
      <c r="BZ197">
        <v>0</v>
      </c>
      <c r="CA197">
        <v>0</v>
      </c>
      <c r="CB197">
        <v>0</v>
      </c>
      <c r="CC197">
        <v>0</v>
      </c>
      <c r="CD197">
        <v>0</v>
      </c>
      <c r="CE197">
        <v>0</v>
      </c>
      <c r="CF197">
        <v>0</v>
      </c>
      <c r="CG197">
        <v>0</v>
      </c>
      <c r="CH197">
        <v>0</v>
      </c>
      <c r="CI197">
        <v>0</v>
      </c>
      <c r="CJ197">
        <v>0</v>
      </c>
      <c r="CK197">
        <v>0</v>
      </c>
      <c r="CL197">
        <v>0</v>
      </c>
      <c r="CM197">
        <v>0</v>
      </c>
      <c r="CN197" t="str">
        <f>IF($BL197&lt;$BK197,"refNeedCorrection","refOK")</f>
        <v>refOK</v>
      </c>
      <c r="CO197">
        <f>IF($CN197="refOK",$BK197,$BL197)</f>
        <v>944</v>
      </c>
      <c r="CP197">
        <f>IF($CN197="refOK",$BL197,$BK197)</f>
        <v>2500</v>
      </c>
      <c r="CQ197">
        <f>IF($CN197="refOK",$BO197,-$BO197)</f>
        <v>1556</v>
      </c>
      <c r="CR197">
        <f>IF($CN197="refOK",$BS197,$BT197)*IF($BP197="Emissions positive",-1,1)</f>
        <v>-6.9106424999999998</v>
      </c>
      <c r="CS197">
        <f>IF($CN197="refOK",$BT197,$BS197)*IF($BP197="Emissions positive",-1,1)</f>
        <v>-2.6111111111111098</v>
      </c>
      <c r="CT197">
        <f>IF($CN197="refNeedCorrection",-BX197,BX197)*IF($BP197="Emissions positive",-1,1)</f>
        <v>4.29953138888889</v>
      </c>
      <c r="CU197">
        <f>IFERROR(CT197/CQ197,"")</f>
        <v>2.7631949800057134E-3</v>
      </c>
      <c r="CV197" s="2">
        <f>IFERROR((CS197-CR197)/ABS(CR197),"")</f>
        <v>0.62216087561885747</v>
      </c>
      <c r="CW197" s="265" t="s">
        <v>1464</v>
      </c>
      <c r="CX197" s="266" t="str">
        <f>IF(OR($CW197="prd",$CW197="std",$CW197="cit"),"loc",IF(OR($CW197="eur",$CW197="reg",$CW197="coy"),"reg",$CW197))</f>
        <v>reg</v>
      </c>
      <c r="CY197" s="272" t="s">
        <v>745</v>
      </c>
      <c r="CZ197"/>
      <c r="DA197" s="143"/>
      <c r="DB197" s="143">
        <v>0</v>
      </c>
      <c r="DC197" t="str">
        <f>IF(DB197=0,"0",IF(AND(DB197&gt;=1,DB197&lt;=30),"1-30",IF(AND(DB197&gt;30,DB197&lt;=70),"31-70",IF(AND(DB197&gt;70,DB197&lt;=100),"71-100",IF(DB197&gt;100,"+100")))))</f>
        <v>0</v>
      </c>
      <c r="DD197">
        <v>0</v>
      </c>
      <c r="DE197">
        <v>1</v>
      </c>
      <c r="DF197">
        <v>0</v>
      </c>
      <c r="DG197">
        <v>0</v>
      </c>
      <c r="DH197">
        <v>0</v>
      </c>
      <c r="DI197">
        <f>SUM(DD197:DH197)</f>
        <v>1</v>
      </c>
      <c r="DJ197" t="str">
        <f>IF(DI197=1,INDEX($DD$7:$DG$7,MATCH(1,$DD197:$DG197,0)),"mixedProduct")</f>
        <v>EnergyInput</v>
      </c>
      <c r="DK197">
        <f>IF(DD197=1,DK$7,0)</f>
        <v>0</v>
      </c>
      <c r="DL197" t="str">
        <f>IF(DE197=1,DL$7,0)</f>
        <v>Energy</v>
      </c>
      <c r="DM197">
        <f>IF(DF197=1,DM$7,0)</f>
        <v>0</v>
      </c>
      <c r="DN197">
        <f>IF(DG197=1,DN$7,0)</f>
        <v>0</v>
      </c>
      <c r="DO197">
        <v>0</v>
      </c>
      <c r="DP197" s="143">
        <v>0</v>
      </c>
      <c r="DQ197" s="143">
        <v>0</v>
      </c>
      <c r="DR197">
        <v>0</v>
      </c>
      <c r="DS197" s="143">
        <v>0</v>
      </c>
      <c r="DT197">
        <f>SUM(DO197:DP197)</f>
        <v>0</v>
      </c>
      <c r="DU197" s="143" t="str">
        <f>IF(DO197=1,"self-calculated DF",IF(DP197=1,"external DF used","explicit C balance"))</f>
        <v>explicit C balance</v>
      </c>
      <c r="DV197" s="143">
        <v>0</v>
      </c>
      <c r="DW197" s="143">
        <v>0</v>
      </c>
      <c r="DX197" s="143">
        <v>0</v>
      </c>
      <c r="DY197" s="143">
        <v>0</v>
      </c>
      <c r="DZ197">
        <v>0</v>
      </c>
      <c r="EA197" s="143">
        <v>0</v>
      </c>
      <c r="EB197" s="143">
        <v>0</v>
      </c>
      <c r="EC197" s="143">
        <v>1</v>
      </c>
      <c r="ED197" s="143">
        <v>0</v>
      </c>
      <c r="EE197">
        <v>1</v>
      </c>
      <c r="EF197">
        <v>0</v>
      </c>
      <c r="EG197" s="143">
        <v>0</v>
      </c>
      <c r="EH197" s="143">
        <v>0</v>
      </c>
      <c r="EI197" s="2">
        <v>0</v>
      </c>
      <c r="EJ197" s="1"/>
      <c r="EK197" t="str">
        <f>IF(AND(AND(AND(OR($DX197=1,$DW197=1),OR($EC197=1,$EA197=1)),SUM($DV197:$DZ197,$EF197)&gt;=4),SUM($EA197:$EE197)&gt;=2),"Whole sector","")</f>
        <v/>
      </c>
      <c r="EL197" t="str">
        <f>IF(AND(AND(OR($DX197=1,$DW197=1),AND($EC197=0,$EA197=0)),SUM($DV197:$DZ197,$EF197)&gt;=4),"Ecosystem approach","")</f>
        <v/>
      </c>
      <c r="EM197" s="2" t="str">
        <f>IF(AND(AND(AND($DX197=0,$DW197=0),OR($EC197=1,$EA197=1)),SUM($EB197:$EE197)&gt;=2),"Technology approach","")</f>
        <v>Technology approach</v>
      </c>
      <c r="EN197"/>
      <c r="EO197"/>
      <c r="EP197" t="str">
        <f>IF(ISNUMBER(BU197),IF(ABS(BU197-[1]QC_indicators!$B$2)&gt;3*[1]QC_indicators!$C$2,"C ratio",IF(ISNUMBER(BY197),IF(ABS(BY197-[1]QC_indicators!$B$1)&gt;3*[1]QC_indicators!$C$1,"DF","no"))),IF(ISNUMBER(BY197),IF(ABS(BY197-[1]QC_indicators!$B$1)&gt;3*[1]QC_indicators!$C$1,"DF","no")))</f>
        <v>no</v>
      </c>
      <c r="EQ197"/>
      <c r="ER197" s="149"/>
      <c r="ES197"/>
      <c r="ET197" s="266" t="s">
        <v>3409</v>
      </c>
      <c r="EU197"/>
    </row>
    <row r="198" spans="1:151" s="139" customFormat="1" ht="15" hidden="1" customHeight="1">
      <c r="A198" s="1" t="s">
        <v>588</v>
      </c>
      <c r="B198" t="s">
        <v>1450</v>
      </c>
      <c r="C198" t="s">
        <v>1451</v>
      </c>
      <c r="D198" t="s">
        <v>1452</v>
      </c>
      <c r="E198" t="s">
        <v>1453</v>
      </c>
      <c r="F198" t="s">
        <v>1454</v>
      </c>
      <c r="G198" t="s">
        <v>594</v>
      </c>
      <c r="H198" t="s">
        <v>255</v>
      </c>
      <c r="I198">
        <v>2020</v>
      </c>
      <c r="J198">
        <v>12</v>
      </c>
      <c r="K198" t="s">
        <v>1455</v>
      </c>
      <c r="L198"/>
      <c r="M198" t="str">
        <f>LEFT($D198,FIND(",",$D198)-1)&amp;"_"&amp;I198&amp;L198</f>
        <v>Elisa_2020</v>
      </c>
      <c r="N198" s="266" t="s">
        <v>223</v>
      </c>
      <c r="O198" s="171" t="s">
        <v>275</v>
      </c>
      <c r="P198" t="s">
        <v>224</v>
      </c>
      <c r="Q198" s="266" t="s">
        <v>390</v>
      </c>
      <c r="R198" s="271" t="s">
        <v>1156</v>
      </c>
      <c r="S198" s="154" t="s">
        <v>1456</v>
      </c>
      <c r="T198" s="296" t="s">
        <v>1457</v>
      </c>
      <c r="U198" s="143" t="s">
        <v>1521</v>
      </c>
      <c r="V198">
        <v>0</v>
      </c>
      <c r="W198">
        <v>0</v>
      </c>
      <c r="X198">
        <v>0</v>
      </c>
      <c r="Y198">
        <v>0</v>
      </c>
      <c r="Z198">
        <v>0</v>
      </c>
      <c r="AA198">
        <v>0</v>
      </c>
      <c r="AB198">
        <v>0</v>
      </c>
      <c r="AC198">
        <v>0</v>
      </c>
      <c r="AD198">
        <v>0</v>
      </c>
      <c r="AE198">
        <v>1</v>
      </c>
      <c r="AF198">
        <v>0</v>
      </c>
      <c r="AG198">
        <v>0</v>
      </c>
      <c r="AH198">
        <v>0</v>
      </c>
      <c r="AI198">
        <v>0</v>
      </c>
      <c r="AJ198">
        <v>0</v>
      </c>
      <c r="AK198">
        <v>1</v>
      </c>
      <c r="AL198">
        <v>0</v>
      </c>
      <c r="AM198">
        <v>0</v>
      </c>
      <c r="AN198">
        <v>0</v>
      </c>
      <c r="AO198">
        <v>0</v>
      </c>
      <c r="AP198">
        <v>0</v>
      </c>
      <c r="AQ198">
        <v>0</v>
      </c>
      <c r="AR198">
        <v>0</v>
      </c>
      <c r="AS198">
        <v>0</v>
      </c>
      <c r="AT198">
        <v>0</v>
      </c>
      <c r="AU198">
        <v>0</v>
      </c>
      <c r="AV198">
        <v>0</v>
      </c>
      <c r="AW198">
        <v>0</v>
      </c>
      <c r="AX198" s="141">
        <f>COUNTIF(V198:AW198,"&lt;&gt;0")</f>
        <v>2</v>
      </c>
      <c r="AY198" s="141">
        <f>COUNTIF(V198:AL198,"&lt;&gt;0")</f>
        <v>2</v>
      </c>
      <c r="AZ198">
        <f>COUNTIF(V198:AC198,"&lt;&gt;0")</f>
        <v>0</v>
      </c>
      <c r="BA198">
        <f>COUNTIF(AD198:AI198,"&lt;&gt;0")</f>
        <v>1</v>
      </c>
      <c r="BB198">
        <f>COUNTIF(AJ198:AL198,"&lt;&gt;0")</f>
        <v>1</v>
      </c>
      <c r="BC198">
        <f>COUNTIF(AS198:AW198,"&lt;&gt;0")</f>
        <v>0</v>
      </c>
      <c r="BD198">
        <f>COUNTIF(AM198:AR198,"&lt;&gt;0")</f>
        <v>0</v>
      </c>
      <c r="BE198" t="str" cm="1">
        <f t="array" ref="BE198">IF(AY198=1,INDEX($V$7:$AL$7,MATCH(TRUE,INDEX($V198:$AW198&lt;&gt;0,),0)),IF(AY198=0,INDEX($AM$7:$AW$7,MATCH(1,$AM198:$AW198,0)),IF(BF198="Multiple strategies","mixed drivers",IF(BF198="Supply chain","multiple supply","multiple silviculture"))))</f>
        <v>mixed drivers</v>
      </c>
      <c r="BF198" s="2" t="str" cm="1">
        <f t="array" ref="BF198">IF(COUNTIF(AZ198:BB198,"&lt;&gt;0")=1,INDEX($V$4:$AW$4,MATCH(TRUE,INDEX($V198:$AW198&lt;&gt;0,),0)),IF(COUNTIF(AZ198:BB198,"&lt;&gt;0")=0,INDEX($AM$4:$AW$4,MATCH(1,$AM198:$AW198,0)),"Multiple strategies"))</f>
        <v>Multiple strategies</v>
      </c>
      <c r="BG198" s="142" t="s">
        <v>322</v>
      </c>
      <c r="BH198" s="160" t="s">
        <v>1459</v>
      </c>
      <c r="BI198" s="160" t="s">
        <v>1460</v>
      </c>
      <c r="BJ198" s="143" t="s">
        <v>499</v>
      </c>
      <c r="BK198" s="143">
        <v>944</v>
      </c>
      <c r="BL198" s="143">
        <v>2015</v>
      </c>
      <c r="BM198">
        <f>IFERROR(BL198/BK198,"")</f>
        <v>2.1345338983050848</v>
      </c>
      <c r="BN198">
        <f>BL198-BK198</f>
        <v>1071</v>
      </c>
      <c r="BO198" s="159">
        <f>BN198</f>
        <v>1071</v>
      </c>
      <c r="BP198" s="155" t="s">
        <v>233</v>
      </c>
      <c r="BQ198" s="313" t="s">
        <v>1461</v>
      </c>
      <c r="BR198" s="155" t="s">
        <v>827</v>
      </c>
      <c r="BS198" s="143" t="s">
        <v>1462</v>
      </c>
      <c r="BT198" t="s">
        <v>1530</v>
      </c>
      <c r="BU198" s="144">
        <f>BT198/BS198</f>
        <v>0.36404586652569865</v>
      </c>
      <c r="BV198">
        <f>BT198-BS198</f>
        <v>4.46320083333333</v>
      </c>
      <c r="BW198"/>
      <c r="BX198">
        <f>BV198</f>
        <v>4.46320083333333</v>
      </c>
      <c r="BY198">
        <f>IFERROR(BX198/BO198,"")</f>
        <v>4.1673210395269189E-3</v>
      </c>
      <c r="BZ198">
        <v>0</v>
      </c>
      <c r="CA198">
        <v>0</v>
      </c>
      <c r="CB198">
        <v>0</v>
      </c>
      <c r="CC198">
        <v>0</v>
      </c>
      <c r="CD198">
        <v>0</v>
      </c>
      <c r="CE198">
        <v>0</v>
      </c>
      <c r="CF198">
        <v>0</v>
      </c>
      <c r="CG198">
        <v>0</v>
      </c>
      <c r="CH198">
        <v>0</v>
      </c>
      <c r="CI198">
        <v>0</v>
      </c>
      <c r="CJ198">
        <v>0</v>
      </c>
      <c r="CK198">
        <v>0</v>
      </c>
      <c r="CL198">
        <v>0</v>
      </c>
      <c r="CM198">
        <v>0</v>
      </c>
      <c r="CN198" t="str">
        <f>IF($BL198&lt;$BK198,"refNeedCorrection","refOK")</f>
        <v>refOK</v>
      </c>
      <c r="CO198">
        <f>IF($CN198="refOK",$BK198,$BL198)</f>
        <v>944</v>
      </c>
      <c r="CP198">
        <f>IF($CN198="refOK",$BL198,$BK198)</f>
        <v>2015</v>
      </c>
      <c r="CQ198">
        <f>IF($CN198="refOK",$BO198,-$BO198)</f>
        <v>1071</v>
      </c>
      <c r="CR198">
        <f>IF($CN198="refOK",$BS198,$BT198)*IF($BP198="Emissions positive",-1,1)</f>
        <v>-7.0181174999999998</v>
      </c>
      <c r="CS198">
        <f>IF($CN198="refOK",$BT198,$BS198)*IF($BP198="Emissions positive",-1,1)</f>
        <v>-2.5549166666666698</v>
      </c>
      <c r="CT198">
        <f>IF($CN198="refNeedCorrection",-BX198,BX198)*IF($BP198="Emissions positive",-1,1)</f>
        <v>4.46320083333333</v>
      </c>
      <c r="CU198">
        <f>IFERROR(CT198/CQ198,"")</f>
        <v>4.1673210395269189E-3</v>
      </c>
      <c r="CV198" s="2">
        <f>IFERROR((CS198-CR198)/ABS(CR198),"")</f>
        <v>0.6359541334743013</v>
      </c>
      <c r="CW198" s="265" t="s">
        <v>1464</v>
      </c>
      <c r="CX198" s="266" t="str">
        <f>IF(OR($CW198="prd",$CW198="std",$CW198="cit"),"loc",IF(OR($CW198="eur",$CW198="reg",$CW198="coy"),"reg",$CW198))</f>
        <v>reg</v>
      </c>
      <c r="CY198" s="272" t="s">
        <v>745</v>
      </c>
      <c r="CZ198"/>
      <c r="DA198" s="143"/>
      <c r="DB198" s="143">
        <v>0</v>
      </c>
      <c r="DC198" t="str">
        <f>IF(DB198=0,"0",IF(AND(DB198&gt;=1,DB198&lt;=30),"1-30",IF(AND(DB198&gt;30,DB198&lt;=70),"31-70",IF(AND(DB198&gt;70,DB198&lt;=100),"71-100",IF(DB198&gt;100,"+100")))))</f>
        <v>0</v>
      </c>
      <c r="DD198">
        <v>0</v>
      </c>
      <c r="DE198">
        <v>1</v>
      </c>
      <c r="DF198">
        <v>0</v>
      </c>
      <c r="DG198">
        <v>0</v>
      </c>
      <c r="DH198">
        <v>0</v>
      </c>
      <c r="DI198">
        <f>SUM(DD198:DH198)</f>
        <v>1</v>
      </c>
      <c r="DJ198" t="str">
        <f>IF(DI198=1,INDEX($DD$7:$DG$7,MATCH(1,$DD198:$DG198,0)),"mixedProduct")</f>
        <v>EnergyInput</v>
      </c>
      <c r="DK198">
        <f>IF(DD198=1,DK$7,0)</f>
        <v>0</v>
      </c>
      <c r="DL198" t="str">
        <f>IF(DE198=1,DL$7,0)</f>
        <v>Energy</v>
      </c>
      <c r="DM198">
        <f>IF(DF198=1,DM$7,0)</f>
        <v>0</v>
      </c>
      <c r="DN198">
        <f>IF(DG198=1,DN$7,0)</f>
        <v>0</v>
      </c>
      <c r="DO198">
        <v>0</v>
      </c>
      <c r="DP198" s="143">
        <v>0</v>
      </c>
      <c r="DQ198" s="143">
        <v>0</v>
      </c>
      <c r="DR198">
        <v>0</v>
      </c>
      <c r="DS198" s="143">
        <v>0</v>
      </c>
      <c r="DT198">
        <f>SUM(DO198:DP198)</f>
        <v>0</v>
      </c>
      <c r="DU198" s="143" t="str">
        <f>IF(DO198=1,"self-calculated DF",IF(DP198=1,"external DF used","explicit C balance"))</f>
        <v>explicit C balance</v>
      </c>
      <c r="DV198" s="143">
        <v>0</v>
      </c>
      <c r="DW198" s="143">
        <v>0</v>
      </c>
      <c r="DX198" s="143">
        <v>0</v>
      </c>
      <c r="DY198" s="143">
        <v>0</v>
      </c>
      <c r="DZ198">
        <v>0</v>
      </c>
      <c r="EA198" s="143">
        <v>0</v>
      </c>
      <c r="EB198" s="143">
        <v>1</v>
      </c>
      <c r="EC198" s="143">
        <v>1</v>
      </c>
      <c r="ED198" s="143">
        <v>0</v>
      </c>
      <c r="EE198">
        <v>1</v>
      </c>
      <c r="EF198">
        <v>0</v>
      </c>
      <c r="EG198" s="143">
        <v>0</v>
      </c>
      <c r="EH198" s="143">
        <v>0</v>
      </c>
      <c r="EI198" s="2">
        <v>0</v>
      </c>
      <c r="EJ198" s="1"/>
      <c r="EK198" t="str">
        <f>IF(AND(AND(AND(OR($DX198=1,$DW198=1),OR($EC198=1,$EA198=1)),SUM($DV198:$DZ198,$EF198)&gt;=4),SUM($EA198:$EE198)&gt;=2),"Whole sector","")</f>
        <v/>
      </c>
      <c r="EL198" t="str">
        <f>IF(AND(AND(OR($DX198=1,$DW198=1),AND($EC198=0,$EA198=0)),SUM($DV198:$DZ198,$EF198)&gt;=4),"Ecosystem approach","")</f>
        <v/>
      </c>
      <c r="EM198" s="2" t="str">
        <f>IF(AND(AND(AND($DX198=0,$DW198=0),OR($EC198=1,$EA198=1)),SUM($EB198:$EE198)&gt;=2),"Technology approach","")</f>
        <v>Technology approach</v>
      </c>
      <c r="EN198"/>
      <c r="EO198"/>
      <c r="EP198" t="str">
        <f>IF(ISNUMBER(BU198),IF(ABS(BU198-[1]QC_indicators!$B$2)&gt;3*[1]QC_indicators!$C$2,"C ratio",IF(ISNUMBER(BY198),IF(ABS(BY198-[1]QC_indicators!$B$1)&gt;3*[1]QC_indicators!$C$1,"DF","no"))),IF(ISNUMBER(BY198),IF(ABS(BY198-[1]QC_indicators!$B$1)&gt;3*[1]QC_indicators!$C$1,"DF","no")))</f>
        <v>no</v>
      </c>
      <c r="EQ198"/>
      <c r="ER198" s="149"/>
      <c r="ES198"/>
      <c r="ET198" s="266" t="s">
        <v>3409</v>
      </c>
      <c r="EU198"/>
    </row>
    <row r="199" spans="1:151" s="139" customFormat="1" ht="15" hidden="1" customHeight="1">
      <c r="A199" s="1" t="s">
        <v>588</v>
      </c>
      <c r="B199" t="s">
        <v>1450</v>
      </c>
      <c r="C199" t="s">
        <v>1451</v>
      </c>
      <c r="D199" t="s">
        <v>1452</v>
      </c>
      <c r="E199" t="s">
        <v>1453</v>
      </c>
      <c r="F199" t="s">
        <v>1454</v>
      </c>
      <c r="G199" t="s">
        <v>594</v>
      </c>
      <c r="H199" t="s">
        <v>255</v>
      </c>
      <c r="I199">
        <v>2020</v>
      </c>
      <c r="J199">
        <v>12</v>
      </c>
      <c r="K199" t="s">
        <v>1455</v>
      </c>
      <c r="L199"/>
      <c r="M199" t="str">
        <f>LEFT($D199,FIND(",",$D199)-1)&amp;"_"&amp;I199&amp;L199</f>
        <v>Elisa_2020</v>
      </c>
      <c r="N199" s="266" t="s">
        <v>223</v>
      </c>
      <c r="O199" s="171" t="s">
        <v>275</v>
      </c>
      <c r="P199" t="s">
        <v>224</v>
      </c>
      <c r="Q199" s="266" t="s">
        <v>390</v>
      </c>
      <c r="R199" s="271" t="s">
        <v>1156</v>
      </c>
      <c r="S199" s="154" t="s">
        <v>1456</v>
      </c>
      <c r="T199" s="296" t="s">
        <v>1457</v>
      </c>
      <c r="U199" s="143" t="s">
        <v>1521</v>
      </c>
      <c r="V199">
        <v>0</v>
      </c>
      <c r="W199">
        <v>0</v>
      </c>
      <c r="X199">
        <v>0</v>
      </c>
      <c r="Y199">
        <v>0</v>
      </c>
      <c r="Z199">
        <v>0</v>
      </c>
      <c r="AA199">
        <v>0</v>
      </c>
      <c r="AB199">
        <v>0</v>
      </c>
      <c r="AC199">
        <v>0</v>
      </c>
      <c r="AD199">
        <v>0</v>
      </c>
      <c r="AE199">
        <v>1</v>
      </c>
      <c r="AF199">
        <v>0</v>
      </c>
      <c r="AG199">
        <v>0</v>
      </c>
      <c r="AH199">
        <v>0</v>
      </c>
      <c r="AI199">
        <v>0</v>
      </c>
      <c r="AJ199">
        <v>0</v>
      </c>
      <c r="AK199">
        <v>1</v>
      </c>
      <c r="AL199">
        <v>0</v>
      </c>
      <c r="AM199">
        <v>0</v>
      </c>
      <c r="AN199">
        <v>0</v>
      </c>
      <c r="AO199">
        <v>0</v>
      </c>
      <c r="AP199">
        <v>0</v>
      </c>
      <c r="AQ199">
        <v>0</v>
      </c>
      <c r="AR199">
        <v>0</v>
      </c>
      <c r="AS199">
        <v>0</v>
      </c>
      <c r="AT199">
        <v>0</v>
      </c>
      <c r="AU199">
        <v>0</v>
      </c>
      <c r="AV199">
        <v>0</v>
      </c>
      <c r="AW199">
        <v>0</v>
      </c>
      <c r="AX199" s="141">
        <f>COUNTIF(V199:AW199,"&lt;&gt;0")</f>
        <v>2</v>
      </c>
      <c r="AY199" s="141">
        <f>COUNTIF(V199:AL199,"&lt;&gt;0")</f>
        <v>2</v>
      </c>
      <c r="AZ199">
        <f>COUNTIF(V199:AC199,"&lt;&gt;0")</f>
        <v>0</v>
      </c>
      <c r="BA199">
        <f>COUNTIF(AD199:AI199,"&lt;&gt;0")</f>
        <v>1</v>
      </c>
      <c r="BB199">
        <f>COUNTIF(AJ199:AL199,"&lt;&gt;0")</f>
        <v>1</v>
      </c>
      <c r="BC199">
        <f>COUNTIF(AS199:AW199,"&lt;&gt;0")</f>
        <v>0</v>
      </c>
      <c r="BD199">
        <f>COUNTIF(AM199:AR199,"&lt;&gt;0")</f>
        <v>0</v>
      </c>
      <c r="BE199" t="str" cm="1">
        <f t="array" ref="BE199">IF(AY199=1,INDEX($V$7:$AL$7,MATCH(TRUE,INDEX($V199:$AW199&lt;&gt;0,),0)),IF(AY199=0,INDEX($AM$7:$AW$7,MATCH(1,$AM199:$AW199,0)),IF(BF199="Multiple strategies","mixed drivers",IF(BF199="Supply chain","multiple supply","multiple silviculture"))))</f>
        <v>mixed drivers</v>
      </c>
      <c r="BF199" s="2" t="str" cm="1">
        <f t="array" ref="BF199">IF(COUNTIF(AZ199:BB199,"&lt;&gt;0")=1,INDEX($V$4:$AW$4,MATCH(TRUE,INDEX($V199:$AW199&lt;&gt;0,),0)),IF(COUNTIF(AZ199:BB199,"&lt;&gt;0")=0,INDEX($AM$4:$AW$4,MATCH(1,$AM199:$AW199,0)),"Multiple strategies"))</f>
        <v>Multiple strategies</v>
      </c>
      <c r="BG199" s="142" t="s">
        <v>322</v>
      </c>
      <c r="BH199" s="160" t="s">
        <v>1459</v>
      </c>
      <c r="BI199" s="160" t="s">
        <v>1460</v>
      </c>
      <c r="BJ199" s="143" t="s">
        <v>499</v>
      </c>
      <c r="BK199" s="143">
        <v>944</v>
      </c>
      <c r="BL199" s="143">
        <v>2015</v>
      </c>
      <c r="BM199">
        <f>IFERROR(BL201/BK199,"")</f>
        <v>0.11728110360802861</v>
      </c>
      <c r="BN199">
        <f>BL199-BK199</f>
        <v>1071</v>
      </c>
      <c r="BO199" s="159">
        <f>BN199</f>
        <v>1071</v>
      </c>
      <c r="BP199" s="155" t="s">
        <v>233</v>
      </c>
      <c r="BQ199" s="313" t="s">
        <v>1461</v>
      </c>
      <c r="BR199" s="155" t="s">
        <v>827</v>
      </c>
      <c r="BS199" s="143" t="s">
        <v>1465</v>
      </c>
      <c r="BT199" t="s">
        <v>1531</v>
      </c>
      <c r="BU199" s="144">
        <f>BT199/BS199</f>
        <v>0.33790474458617853</v>
      </c>
      <c r="BV199">
        <f>BT199-BS199</f>
        <v>4.5755036111111096</v>
      </c>
      <c r="BW199"/>
      <c r="BX199">
        <f>BV199</f>
        <v>4.5755036111111096</v>
      </c>
      <c r="BY199">
        <f>IFERROR(BX199/BO199,"")</f>
        <v>4.2721789086004758E-3</v>
      </c>
      <c r="BZ199">
        <v>0</v>
      </c>
      <c r="CA199">
        <v>0</v>
      </c>
      <c r="CB199">
        <v>0</v>
      </c>
      <c r="CC199">
        <v>0</v>
      </c>
      <c r="CD199">
        <v>0</v>
      </c>
      <c r="CE199">
        <v>0</v>
      </c>
      <c r="CF199">
        <v>0</v>
      </c>
      <c r="CG199">
        <v>0</v>
      </c>
      <c r="CH199">
        <v>0</v>
      </c>
      <c r="CI199">
        <v>0</v>
      </c>
      <c r="CJ199">
        <v>0</v>
      </c>
      <c r="CK199">
        <v>0</v>
      </c>
      <c r="CL199">
        <v>0</v>
      </c>
      <c r="CM199">
        <v>0</v>
      </c>
      <c r="CN199" t="str">
        <f>IF($BL199&lt;$BK199,"refNeedCorrection","refOK")</f>
        <v>refOK</v>
      </c>
      <c r="CO199">
        <f>IF($CN199="refOK",$BK199,$BL199)</f>
        <v>944</v>
      </c>
      <c r="CP199">
        <f>IF($CN199="refOK",$BL199,$BK199)</f>
        <v>2015</v>
      </c>
      <c r="CQ199">
        <f>IF($CN199="refOK",$BO199,-$BO199)</f>
        <v>1071</v>
      </c>
      <c r="CR199">
        <f>IF($CN199="refOK",$BS199,$BT199)*IF($BP199="Emissions positive",-1,1)</f>
        <v>-6.9106424999999998</v>
      </c>
      <c r="CS199">
        <f>IF($CN199="refOK",$BT199,$BS199)*IF($BP199="Emissions positive",-1,1)</f>
        <v>-2.3351388888888902</v>
      </c>
      <c r="CT199">
        <f>IF($CN199="refNeedCorrection",-BX199,BX199)*IF($BP199="Emissions positive",-1,1)</f>
        <v>4.5755036111111096</v>
      </c>
      <c r="CU199">
        <f>IFERROR(CT199/CQ199,"")</f>
        <v>4.2721789086004758E-3</v>
      </c>
      <c r="CV199" s="2">
        <f>IFERROR((CS199-CR199)/ABS(CR199),"")</f>
        <v>0.66209525541382142</v>
      </c>
      <c r="CW199" s="265" t="s">
        <v>1464</v>
      </c>
      <c r="CX199" s="266" t="str">
        <f>IF(OR($CW199="prd",$CW199="std",$CW199="cit"),"loc",IF(OR($CW199="eur",$CW199="reg",$CW199="coy"),"reg",$CW199))</f>
        <v>reg</v>
      </c>
      <c r="CY199" s="272" t="s">
        <v>745</v>
      </c>
      <c r="CZ199"/>
      <c r="DA199" s="143"/>
      <c r="DB199" s="143">
        <v>0</v>
      </c>
      <c r="DC199" t="str">
        <f>IF(DB199=0,"0",IF(AND(DB199&gt;=1,DB199&lt;=30),"1-30",IF(AND(DB199&gt;30,DB199&lt;=70),"31-70",IF(AND(DB199&gt;70,DB199&lt;=100),"71-100",IF(DB199&gt;100,"+100")))))</f>
        <v>0</v>
      </c>
      <c r="DD199">
        <v>0</v>
      </c>
      <c r="DE199">
        <v>1</v>
      </c>
      <c r="DF199">
        <v>0</v>
      </c>
      <c r="DG199">
        <v>0</v>
      </c>
      <c r="DH199">
        <v>0</v>
      </c>
      <c r="DI199">
        <f>SUM(DD199:DH199)</f>
        <v>1</v>
      </c>
      <c r="DJ199" t="str">
        <f>IF(DI199=1,INDEX($DD$7:$DG$7,MATCH(1,$DD199:$DG199,0)),"mixedProduct")</f>
        <v>EnergyInput</v>
      </c>
      <c r="DK199">
        <f>IF(DD199=1,DK$7,0)</f>
        <v>0</v>
      </c>
      <c r="DL199" t="str">
        <f>IF(DE199=1,DL$7,0)</f>
        <v>Energy</v>
      </c>
      <c r="DM199">
        <f>IF(DF199=1,DM$7,0)</f>
        <v>0</v>
      </c>
      <c r="DN199">
        <f>IF(DG199=1,DN$7,0)</f>
        <v>0</v>
      </c>
      <c r="DO199">
        <v>0</v>
      </c>
      <c r="DP199" s="143">
        <v>0</v>
      </c>
      <c r="DQ199" s="143">
        <v>0</v>
      </c>
      <c r="DR199">
        <v>0</v>
      </c>
      <c r="DS199" s="143">
        <v>0</v>
      </c>
      <c r="DT199">
        <f>SUM(DO199:DP199)</f>
        <v>0</v>
      </c>
      <c r="DU199" s="143" t="str">
        <f>IF(DO199=1,"self-calculated DF",IF(DP199=1,"external DF used","explicit C balance"))</f>
        <v>explicit C balance</v>
      </c>
      <c r="DV199" s="143">
        <v>0</v>
      </c>
      <c r="DW199" s="143">
        <v>0</v>
      </c>
      <c r="DX199" s="143">
        <v>0</v>
      </c>
      <c r="DY199" s="143">
        <v>0</v>
      </c>
      <c r="DZ199">
        <v>0</v>
      </c>
      <c r="EA199" s="143">
        <v>0</v>
      </c>
      <c r="EB199" s="143">
        <v>0</v>
      </c>
      <c r="EC199" s="143">
        <v>1</v>
      </c>
      <c r="ED199" s="143">
        <v>0</v>
      </c>
      <c r="EE199">
        <v>1</v>
      </c>
      <c r="EF199">
        <v>0</v>
      </c>
      <c r="EG199" s="143">
        <v>0</v>
      </c>
      <c r="EH199" s="143">
        <v>0</v>
      </c>
      <c r="EI199" s="2">
        <v>0</v>
      </c>
      <c r="EJ199" s="1"/>
      <c r="EK199" t="str">
        <f>IF(AND(AND(AND(OR($DX199=1,$DW199=1),OR($EC199=1,$EA199=1)),SUM($DV199:$DZ199,$EF199)&gt;=4),SUM($EA199:$EE199)&gt;=2),"Whole sector","")</f>
        <v/>
      </c>
      <c r="EL199" t="str">
        <f>IF(AND(AND(OR($DX199=1,$DW199=1),AND($EC199=0,$EA199=0)),SUM($DV199:$DZ199,$EF199)&gt;=4),"Ecosystem approach","")</f>
        <v/>
      </c>
      <c r="EM199" s="2" t="str">
        <f>IF(AND(AND(AND($DX199=0,$DW199=0),OR($EC199=1,$EA199=1)),SUM($EB199:$EE199)&gt;=2),"Technology approach","")</f>
        <v>Technology approach</v>
      </c>
      <c r="EN199"/>
      <c r="EO199"/>
      <c r="EP199" t="str">
        <f>IF(ISNUMBER(BU199),IF(ABS(BU199-[1]QC_indicators!$B$2)&gt;3*[1]QC_indicators!$C$2,"C ratio",IF(ISNUMBER(BY199),IF(ABS(BY199-[1]QC_indicators!$B$1)&gt;3*[1]QC_indicators!$C$1,"DF","no"))),IF(ISNUMBER(BY199),IF(ABS(BY199-[1]QC_indicators!$B$1)&gt;3*[1]QC_indicators!$C$1,"DF","no")))</f>
        <v>no</v>
      </c>
      <c r="EQ199"/>
      <c r="ER199" s="149"/>
      <c r="ES199"/>
      <c r="ET199" s="266" t="s">
        <v>3409</v>
      </c>
      <c r="EU199"/>
    </row>
    <row r="200" spans="1:151" s="139" customFormat="1" ht="15" hidden="1" customHeight="1">
      <c r="A200" s="256" t="s">
        <v>215</v>
      </c>
      <c r="B200" s="257" t="s">
        <v>216</v>
      </c>
      <c r="C200" s="257" t="s">
        <v>217</v>
      </c>
      <c r="D200" s="257" t="s">
        <v>218</v>
      </c>
      <c r="E200" s="257" t="s">
        <v>219</v>
      </c>
      <c r="F200" s="257" t="s">
        <v>220</v>
      </c>
      <c r="G200" s="257" t="s">
        <v>221</v>
      </c>
      <c r="H200" s="257"/>
      <c r="I200" s="257">
        <v>2012</v>
      </c>
      <c r="J200" s="257"/>
      <c r="K200" s="257" t="s">
        <v>222</v>
      </c>
      <c r="L200" s="257"/>
      <c r="M200" s="257" t="s">
        <v>3072</v>
      </c>
      <c r="N200" s="257" t="s">
        <v>223</v>
      </c>
      <c r="O200" s="277" t="s">
        <v>224</v>
      </c>
      <c r="P200" s="257"/>
      <c r="Q200" s="257" t="s">
        <v>225</v>
      </c>
      <c r="R200" s="258" t="s">
        <v>226</v>
      </c>
      <c r="S200" s="256" t="s">
        <v>93</v>
      </c>
      <c r="T200" s="257" t="s">
        <v>246</v>
      </c>
      <c r="U200" s="278" t="s">
        <v>247</v>
      </c>
      <c r="V200" s="257">
        <v>0</v>
      </c>
      <c r="W200" s="257">
        <v>0</v>
      </c>
      <c r="X200" s="257">
        <v>0</v>
      </c>
      <c r="Y200" s="257">
        <v>0</v>
      </c>
      <c r="Z200" s="257">
        <v>1</v>
      </c>
      <c r="AA200" s="257">
        <v>0</v>
      </c>
      <c r="AB200" s="257">
        <v>0</v>
      </c>
      <c r="AC200" s="257">
        <v>0</v>
      </c>
      <c r="AD200" s="257">
        <v>0</v>
      </c>
      <c r="AE200" s="257">
        <v>0</v>
      </c>
      <c r="AF200" s="257">
        <v>0</v>
      </c>
      <c r="AG200" s="257">
        <v>0</v>
      </c>
      <c r="AH200" s="257">
        <v>0</v>
      </c>
      <c r="AI200" s="257">
        <v>0</v>
      </c>
      <c r="AJ200" s="257">
        <v>0</v>
      </c>
      <c r="AK200" s="257">
        <v>0</v>
      </c>
      <c r="AL200" s="257">
        <v>0</v>
      </c>
      <c r="AM200" s="257">
        <v>0</v>
      </c>
      <c r="AN200" s="257">
        <v>0</v>
      </c>
      <c r="AO200" s="257">
        <v>0</v>
      </c>
      <c r="AP200" s="257">
        <v>0</v>
      </c>
      <c r="AQ200" s="257">
        <v>0</v>
      </c>
      <c r="AR200" s="257">
        <v>0</v>
      </c>
      <c r="AS200" s="257">
        <v>0</v>
      </c>
      <c r="AT200" s="257">
        <v>0</v>
      </c>
      <c r="AU200" s="257">
        <v>0</v>
      </c>
      <c r="AV200" s="257">
        <v>0</v>
      </c>
      <c r="AW200" s="257">
        <v>0</v>
      </c>
      <c r="AX200" s="279">
        <v>1</v>
      </c>
      <c r="AY200" s="279">
        <v>1</v>
      </c>
      <c r="AZ200" s="257">
        <v>1</v>
      </c>
      <c r="BA200" s="257">
        <v>0</v>
      </c>
      <c r="BB200" s="257">
        <v>0</v>
      </c>
      <c r="BC200" s="257">
        <v>0</v>
      </c>
      <c r="BD200" s="257">
        <v>0</v>
      </c>
      <c r="BE200" s="257" t="s">
        <v>93</v>
      </c>
      <c r="BF200" s="2" t="str" cm="1">
        <f t="array" ref="BF200">IF(COUNTIF(AZ200:BB200,"&lt;&gt;0")=1,INDEX($V$4:$AW$4,MATCH(TRUE,INDEX($V200:$AW200&lt;&gt;0,),0)),IF(COUNTIF(AZ200:BB200,"&lt;&gt;0")=0,INDEX($AM$4:$AW$4,MATCH(1,$AM200:$AW200,0)),"Multiple strategies"))</f>
        <v>SilvicultureProd</v>
      </c>
      <c r="BG200" s="280" t="s">
        <v>230</v>
      </c>
      <c r="BH200" s="257" t="s">
        <v>231</v>
      </c>
      <c r="BI200" s="281" t="s">
        <v>3073</v>
      </c>
      <c r="BJ200" s="278" t="s">
        <v>232</v>
      </c>
      <c r="BK200" s="257">
        <v>68.641374006664904</v>
      </c>
      <c r="BL200" s="257">
        <v>124.699677125181</v>
      </c>
      <c r="BM200" s="278">
        <v>1.8166838722236676</v>
      </c>
      <c r="BN200" s="257">
        <v>56.058303118516093</v>
      </c>
      <c r="BO200" s="278">
        <v>114.40470024186958</v>
      </c>
      <c r="BP200" s="278" t="s">
        <v>233</v>
      </c>
      <c r="BQ200" s="312" t="s">
        <v>3073</v>
      </c>
      <c r="BR200" s="278" t="s">
        <v>234</v>
      </c>
      <c r="BS200" s="257">
        <v>-8.9317269076305195</v>
      </c>
      <c r="BT200" s="257">
        <v>-7.9158553717989797</v>
      </c>
      <c r="BU200" s="259">
        <v>0.88626258434260186</v>
      </c>
      <c r="BV200" s="257">
        <v>1.0158715358315398</v>
      </c>
      <c r="BW200" s="257"/>
      <c r="BX200" s="257">
        <v>1.0158715358315397E-3</v>
      </c>
      <c r="BY200" s="257">
        <v>8.8796311137901422E-6</v>
      </c>
      <c r="BZ200" s="257">
        <v>0</v>
      </c>
      <c r="CA200" s="257">
        <v>0</v>
      </c>
      <c r="CB200" s="257">
        <v>0</v>
      </c>
      <c r="CC200" s="257">
        <v>0</v>
      </c>
      <c r="CD200" s="257">
        <v>0</v>
      </c>
      <c r="CE200" s="257">
        <v>0</v>
      </c>
      <c r="CF200" s="257">
        <v>0</v>
      </c>
      <c r="CG200" s="257">
        <v>0</v>
      </c>
      <c r="CH200" s="257">
        <v>0</v>
      </c>
      <c r="CI200" s="257">
        <v>0</v>
      </c>
      <c r="CJ200" s="257">
        <v>0</v>
      </c>
      <c r="CK200" s="257">
        <v>0</v>
      </c>
      <c r="CL200" s="257">
        <v>0</v>
      </c>
      <c r="CM200" s="257">
        <v>0</v>
      </c>
      <c r="CN200" s="257" t="s">
        <v>3074</v>
      </c>
      <c r="CO200" s="257">
        <v>68.641374006664904</v>
      </c>
      <c r="CP200" s="257">
        <v>124.699677125181</v>
      </c>
      <c r="CQ200" s="257">
        <v>114.40470024186958</v>
      </c>
      <c r="CR200" s="257">
        <v>-8.9317269076305195</v>
      </c>
      <c r="CS200" s="257">
        <v>-7.9158553717989797</v>
      </c>
      <c r="CT200" s="257">
        <v>1.0158715358315397E-3</v>
      </c>
      <c r="CU200" s="257">
        <v>8.8796311137901422E-6</v>
      </c>
      <c r="CV200" s="258">
        <v>0.11373741565739814</v>
      </c>
      <c r="CW200" s="256" t="s">
        <v>235</v>
      </c>
      <c r="CX200" s="257" t="s">
        <v>3075</v>
      </c>
      <c r="CY200" s="257" t="s">
        <v>236</v>
      </c>
      <c r="CZ200" s="257"/>
      <c r="DA200" s="278"/>
      <c r="DB200" s="278">
        <v>80</v>
      </c>
      <c r="DC200" s="257" t="s">
        <v>3076</v>
      </c>
      <c r="DD200" s="257">
        <v>0</v>
      </c>
      <c r="DE200" s="257">
        <v>1</v>
      </c>
      <c r="DF200" s="257">
        <v>0</v>
      </c>
      <c r="DG200" s="257">
        <v>0</v>
      </c>
      <c r="DH200" s="257"/>
      <c r="DI200" s="257">
        <v>1</v>
      </c>
      <c r="DJ200" s="257" t="s">
        <v>174</v>
      </c>
      <c r="DK200" s="257">
        <v>0</v>
      </c>
      <c r="DL200" s="257" t="s">
        <v>181</v>
      </c>
      <c r="DM200" s="257">
        <v>0</v>
      </c>
      <c r="DN200" s="257">
        <v>0</v>
      </c>
      <c r="DO200" s="257">
        <v>0</v>
      </c>
      <c r="DP200" s="278">
        <v>0</v>
      </c>
      <c r="DQ200" s="278">
        <v>0</v>
      </c>
      <c r="DR200" s="278">
        <v>0</v>
      </c>
      <c r="DS200" s="278">
        <v>0</v>
      </c>
      <c r="DT200" s="257">
        <v>0</v>
      </c>
      <c r="DU200" s="278" t="s">
        <v>964</v>
      </c>
      <c r="DV200" s="278">
        <v>1</v>
      </c>
      <c r="DW200" s="278">
        <v>1</v>
      </c>
      <c r="DX200" s="278">
        <v>1</v>
      </c>
      <c r="DY200" s="278">
        <v>0</v>
      </c>
      <c r="DZ200" s="257">
        <v>0</v>
      </c>
      <c r="EA200" s="278">
        <v>0</v>
      </c>
      <c r="EB200" s="278">
        <v>1</v>
      </c>
      <c r="EC200" s="278">
        <v>1</v>
      </c>
      <c r="ED200" s="278">
        <v>0</v>
      </c>
      <c r="EE200" s="278">
        <v>0</v>
      </c>
      <c r="EF200" s="257">
        <v>1</v>
      </c>
      <c r="EG200" s="278">
        <v>0</v>
      </c>
      <c r="EH200" s="257">
        <v>0</v>
      </c>
      <c r="EI200" s="258">
        <v>0</v>
      </c>
      <c r="EJ200" s="256"/>
      <c r="EK200" t="str">
        <f>IF(AND(AND(AND(OR($DX200=1,$DW200=1),OR($EC200=1,$EA200=1)),SUM($DV200:$DZ200,$EF200)&gt;=4),SUM($EA200:$EE200)&gt;=2),"Whole sector","")</f>
        <v>Whole sector</v>
      </c>
      <c r="EL200" t="str">
        <f>IF(AND(AND(OR($DX200=1,$DW200=1),AND($EC200=0,$EA200=0)),SUM($DV200:$DZ200,$EF200)&gt;=4),"Ecosystem approach","")</f>
        <v/>
      </c>
      <c r="EM200" s="258" t="s">
        <v>545</v>
      </c>
      <c r="EN200" s="257" t="s">
        <v>237</v>
      </c>
      <c r="EO200" s="257"/>
      <c r="EP200" t="str">
        <f>IF(ISNUMBER(BU200),IF(ABS(BU200-[3]QC_indicators!$B$2)&gt;3*[3]QC_indicators!$C$2,"C ratio",IF(ISNUMBER(BY200),IF(ABS(BY200-[3]QC_indicators!$B$1)&gt;3*[3]QC_indicators!$C$1,"DF","no"))),IF(ISNUMBER(BY200),IF(ABS(BY200-[3]QC_indicators!$B$1)&gt;3*[3]QC_indicators!$C$1,"DF","no")))</f>
        <v>no</v>
      </c>
      <c r="EQ200"/>
      <c r="ER200"/>
      <c r="ES200"/>
      <c r="ET200"/>
      <c r="EU200"/>
    </row>
    <row r="201" spans="1:151" s="139" customFormat="1" ht="15" hidden="1" customHeight="1">
      <c r="A201" s="256" t="s">
        <v>215</v>
      </c>
      <c r="B201" s="257" t="s">
        <v>216</v>
      </c>
      <c r="C201" s="257" t="s">
        <v>217</v>
      </c>
      <c r="D201" s="257" t="s">
        <v>218</v>
      </c>
      <c r="E201" s="257" t="s">
        <v>219</v>
      </c>
      <c r="F201" s="257" t="s">
        <v>220</v>
      </c>
      <c r="G201" s="257" t="s">
        <v>221</v>
      </c>
      <c r="H201" s="257"/>
      <c r="I201" s="257">
        <v>2012</v>
      </c>
      <c r="J201" s="257"/>
      <c r="K201" s="257" t="s">
        <v>222</v>
      </c>
      <c r="L201" s="257"/>
      <c r="M201" s="257" t="s">
        <v>3072</v>
      </c>
      <c r="N201" s="257" t="s">
        <v>223</v>
      </c>
      <c r="O201" s="277" t="s">
        <v>224</v>
      </c>
      <c r="P201" s="257"/>
      <c r="Q201" s="257" t="s">
        <v>225</v>
      </c>
      <c r="R201" s="258" t="s">
        <v>226</v>
      </c>
      <c r="S201" s="256" t="s">
        <v>93</v>
      </c>
      <c r="T201" s="257" t="s">
        <v>246</v>
      </c>
      <c r="U201" s="278" t="s">
        <v>247</v>
      </c>
      <c r="V201" s="257">
        <v>0</v>
      </c>
      <c r="W201" s="257">
        <v>0</v>
      </c>
      <c r="X201" s="257">
        <v>0</v>
      </c>
      <c r="Y201" s="257">
        <v>0</v>
      </c>
      <c r="Z201" s="257">
        <v>1</v>
      </c>
      <c r="AA201" s="257">
        <v>0</v>
      </c>
      <c r="AB201" s="257">
        <v>0</v>
      </c>
      <c r="AC201" s="257">
        <v>0</v>
      </c>
      <c r="AD201" s="257">
        <v>0</v>
      </c>
      <c r="AE201" s="257">
        <v>0</v>
      </c>
      <c r="AF201" s="257">
        <v>0</v>
      </c>
      <c r="AG201" s="257">
        <v>0</v>
      </c>
      <c r="AH201" s="257">
        <v>0</v>
      </c>
      <c r="AI201" s="257">
        <v>0</v>
      </c>
      <c r="AJ201" s="257">
        <v>0</v>
      </c>
      <c r="AK201" s="257">
        <v>0</v>
      </c>
      <c r="AL201" s="257">
        <v>0</v>
      </c>
      <c r="AM201" s="257">
        <v>0</v>
      </c>
      <c r="AN201" s="257">
        <v>0</v>
      </c>
      <c r="AO201" s="257">
        <v>0</v>
      </c>
      <c r="AP201" s="257">
        <v>0</v>
      </c>
      <c r="AQ201" s="257">
        <v>0</v>
      </c>
      <c r="AR201" s="257">
        <v>0</v>
      </c>
      <c r="AS201" s="257">
        <v>0</v>
      </c>
      <c r="AT201" s="257">
        <v>0</v>
      </c>
      <c r="AU201" s="257">
        <v>0</v>
      </c>
      <c r="AV201" s="257">
        <v>0</v>
      </c>
      <c r="AW201" s="257">
        <v>0</v>
      </c>
      <c r="AX201" s="279">
        <v>1</v>
      </c>
      <c r="AY201" s="279">
        <v>1</v>
      </c>
      <c r="AZ201" s="257">
        <v>1</v>
      </c>
      <c r="BA201" s="257">
        <v>0</v>
      </c>
      <c r="BB201" s="257">
        <v>0</v>
      </c>
      <c r="BC201" s="257">
        <v>0</v>
      </c>
      <c r="BD201" s="257">
        <v>0</v>
      </c>
      <c r="BE201" s="257" t="s">
        <v>93</v>
      </c>
      <c r="BF201" s="2" t="str" cm="1">
        <f t="array" ref="BF201">IF(COUNTIF(AZ201:BB201,"&lt;&gt;0")=1,INDEX($V$4:$AW$4,MATCH(TRUE,INDEX($V201:$AW201&lt;&gt;0,),0)),IF(COUNTIF(AZ201:BB201,"&lt;&gt;0")=0,INDEX($AM$4:$AW$4,MATCH(1,$AM201:$AW201,0)),"Multiple strategies"))</f>
        <v>SilvicultureProd</v>
      </c>
      <c r="BG201" s="280" t="s">
        <v>230</v>
      </c>
      <c r="BH201" s="257" t="s">
        <v>231</v>
      </c>
      <c r="BI201" s="281" t="s">
        <v>3073</v>
      </c>
      <c r="BJ201" s="278" t="s">
        <v>232</v>
      </c>
      <c r="BK201" s="257">
        <v>62.093385434364002</v>
      </c>
      <c r="BL201" s="257">
        <v>110.71336180597901</v>
      </c>
      <c r="BM201" s="278">
        <v>1.783013778867137</v>
      </c>
      <c r="BN201" s="257">
        <v>48.619976371615003</v>
      </c>
      <c r="BO201" s="278">
        <v>99.224441574724494</v>
      </c>
      <c r="BP201" s="278" t="s">
        <v>233</v>
      </c>
      <c r="BQ201" s="312" t="s">
        <v>3073</v>
      </c>
      <c r="BR201" s="278" t="s">
        <v>234</v>
      </c>
      <c r="BS201" s="257">
        <v>-8.77615419238683</v>
      </c>
      <c r="BT201" s="257">
        <v>-7.88817571690055</v>
      </c>
      <c r="BU201" s="259">
        <v>0.89881918024451002</v>
      </c>
      <c r="BV201" s="257">
        <v>0.88797847548628006</v>
      </c>
      <c r="BW201" s="257"/>
      <c r="BX201" s="257">
        <v>8.8797847548628011E-4</v>
      </c>
      <c r="BY201" s="257">
        <v>8.9491909593419723E-6</v>
      </c>
      <c r="BZ201" s="257">
        <v>0</v>
      </c>
      <c r="CA201" s="257">
        <v>0</v>
      </c>
      <c r="CB201" s="257">
        <v>0</v>
      </c>
      <c r="CC201" s="257">
        <v>0</v>
      </c>
      <c r="CD201" s="257">
        <v>0</v>
      </c>
      <c r="CE201" s="257">
        <v>0</v>
      </c>
      <c r="CF201" s="257">
        <v>0</v>
      </c>
      <c r="CG201" s="257">
        <v>0</v>
      </c>
      <c r="CH201" s="257">
        <v>0</v>
      </c>
      <c r="CI201" s="257">
        <v>0</v>
      </c>
      <c r="CJ201" s="257">
        <v>0</v>
      </c>
      <c r="CK201" s="257">
        <v>0</v>
      </c>
      <c r="CL201" s="257">
        <v>0</v>
      </c>
      <c r="CM201" s="257">
        <v>0</v>
      </c>
      <c r="CN201" s="257" t="s">
        <v>3074</v>
      </c>
      <c r="CO201" s="257">
        <v>62.093385434364002</v>
      </c>
      <c r="CP201" s="257">
        <v>110.71336180597901</v>
      </c>
      <c r="CQ201" s="257">
        <v>99.224441574724494</v>
      </c>
      <c r="CR201" s="257">
        <v>-8.77615419238683</v>
      </c>
      <c r="CS201" s="257">
        <v>-7.88817571690055</v>
      </c>
      <c r="CT201" s="257">
        <v>8.8797847548628011E-4</v>
      </c>
      <c r="CU201" s="257">
        <v>8.9491909593419723E-6</v>
      </c>
      <c r="CV201" s="258">
        <v>0.10118081975549004</v>
      </c>
      <c r="CW201" s="256" t="s">
        <v>235</v>
      </c>
      <c r="CX201" s="257" t="s">
        <v>3075</v>
      </c>
      <c r="CY201" s="257" t="s">
        <v>236</v>
      </c>
      <c r="CZ201" s="257"/>
      <c r="DA201" s="278"/>
      <c r="DB201" s="278">
        <v>80</v>
      </c>
      <c r="DC201" s="257" t="s">
        <v>3076</v>
      </c>
      <c r="DD201" s="257">
        <v>0</v>
      </c>
      <c r="DE201" s="257">
        <v>1</v>
      </c>
      <c r="DF201" s="257">
        <v>0</v>
      </c>
      <c r="DG201" s="257">
        <v>0</v>
      </c>
      <c r="DH201" s="257"/>
      <c r="DI201" s="257">
        <v>1</v>
      </c>
      <c r="DJ201" s="257" t="s">
        <v>174</v>
      </c>
      <c r="DK201" s="257">
        <v>0</v>
      </c>
      <c r="DL201" s="257" t="s">
        <v>181</v>
      </c>
      <c r="DM201" s="257">
        <v>0</v>
      </c>
      <c r="DN201" s="257">
        <v>0</v>
      </c>
      <c r="DO201" s="257">
        <v>0</v>
      </c>
      <c r="DP201" s="278">
        <v>0</v>
      </c>
      <c r="DQ201" s="278">
        <v>0</v>
      </c>
      <c r="DR201" s="278">
        <v>0</v>
      </c>
      <c r="DS201" s="278">
        <v>0</v>
      </c>
      <c r="DT201" s="257">
        <v>0</v>
      </c>
      <c r="DU201" s="278" t="s">
        <v>964</v>
      </c>
      <c r="DV201" s="278">
        <v>1</v>
      </c>
      <c r="DW201" s="278">
        <v>1</v>
      </c>
      <c r="DX201" s="278">
        <v>1</v>
      </c>
      <c r="DY201" s="278">
        <v>0</v>
      </c>
      <c r="DZ201" s="257">
        <v>0</v>
      </c>
      <c r="EA201" s="278">
        <v>0</v>
      </c>
      <c r="EB201" s="278">
        <v>1</v>
      </c>
      <c r="EC201" s="278">
        <v>1</v>
      </c>
      <c r="ED201" s="278">
        <v>0</v>
      </c>
      <c r="EE201" s="278">
        <v>0</v>
      </c>
      <c r="EF201" s="257">
        <v>1</v>
      </c>
      <c r="EG201" s="278">
        <v>0</v>
      </c>
      <c r="EH201" s="257">
        <v>0</v>
      </c>
      <c r="EI201" s="258">
        <v>0</v>
      </c>
      <c r="EJ201" s="256"/>
      <c r="EK201" t="str">
        <f>IF(AND(AND(AND(OR($DX201=1,$DW201=1),OR($EC201=1,$EA201=1)),SUM($DV201:$DZ201,$EF201)&gt;=4),SUM($EA201:$EE201)&gt;=2),"Whole sector","")</f>
        <v>Whole sector</v>
      </c>
      <c r="EL201" t="str">
        <f>IF(AND(AND(OR($DX201=1,$DW201=1),AND($EC201=0,$EA201=0)),SUM($DV201:$DZ201,$EF201)&gt;=4),"Ecosystem approach","")</f>
        <v/>
      </c>
      <c r="EM201" s="258" t="s">
        <v>545</v>
      </c>
      <c r="EN201" s="257" t="s">
        <v>237</v>
      </c>
      <c r="EO201" s="257"/>
      <c r="EP201" t="str">
        <f>IF(ISNUMBER(BU201),IF(ABS(BU201-[3]QC_indicators!$B$2)&gt;3*[3]QC_indicators!$C$2,"C ratio",IF(ISNUMBER(BY201),IF(ABS(BY201-[3]QC_indicators!$B$1)&gt;3*[3]QC_indicators!$C$1,"DF","no"))),IF(ISNUMBER(BY201),IF(ABS(BY201-[3]QC_indicators!$B$1)&gt;3*[3]QC_indicators!$C$1,"DF","no")))</f>
        <v>no</v>
      </c>
      <c r="EQ201" s="257"/>
      <c r="ER201" s="257"/>
      <c r="ES201"/>
      <c r="ET201"/>
      <c r="EU201"/>
    </row>
    <row r="202" spans="1:151" s="139" customFormat="1" ht="15" hidden="1" customHeight="1">
      <c r="A202" s="256" t="s">
        <v>215</v>
      </c>
      <c r="B202" s="257" t="s">
        <v>216</v>
      </c>
      <c r="C202" s="257" t="s">
        <v>217</v>
      </c>
      <c r="D202" s="257" t="s">
        <v>218</v>
      </c>
      <c r="E202" s="257" t="s">
        <v>219</v>
      </c>
      <c r="F202" s="257" t="s">
        <v>220</v>
      </c>
      <c r="G202" s="257" t="s">
        <v>221</v>
      </c>
      <c r="H202" s="257"/>
      <c r="I202" s="257">
        <v>2012</v>
      </c>
      <c r="J202" s="257"/>
      <c r="K202" s="257" t="s">
        <v>222</v>
      </c>
      <c r="L202" s="257"/>
      <c r="M202" s="257" t="s">
        <v>3072</v>
      </c>
      <c r="N202" s="257" t="s">
        <v>223</v>
      </c>
      <c r="O202" s="277" t="s">
        <v>224</v>
      </c>
      <c r="P202" s="257"/>
      <c r="Q202" s="257" t="s">
        <v>225</v>
      </c>
      <c r="R202" s="258" t="s">
        <v>226</v>
      </c>
      <c r="S202" s="256" t="s">
        <v>93</v>
      </c>
      <c r="T202" s="257" t="s">
        <v>246</v>
      </c>
      <c r="U202" s="278" t="s">
        <v>247</v>
      </c>
      <c r="V202" s="257">
        <v>0</v>
      </c>
      <c r="W202" s="257">
        <v>0</v>
      </c>
      <c r="X202" s="257">
        <v>0</v>
      </c>
      <c r="Y202" s="257">
        <v>0</v>
      </c>
      <c r="Z202" s="257">
        <v>1</v>
      </c>
      <c r="AA202" s="257">
        <v>0</v>
      </c>
      <c r="AB202" s="257">
        <v>0</v>
      </c>
      <c r="AC202" s="257">
        <v>0</v>
      </c>
      <c r="AD202" s="257">
        <v>0</v>
      </c>
      <c r="AE202" s="257">
        <v>0</v>
      </c>
      <c r="AF202" s="257">
        <v>0</v>
      </c>
      <c r="AG202" s="257">
        <v>0</v>
      </c>
      <c r="AH202" s="257">
        <v>0</v>
      </c>
      <c r="AI202" s="257">
        <v>0</v>
      </c>
      <c r="AJ202" s="257">
        <v>0</v>
      </c>
      <c r="AK202" s="257">
        <v>0</v>
      </c>
      <c r="AL202" s="257">
        <v>0</v>
      </c>
      <c r="AM202" s="257">
        <v>0</v>
      </c>
      <c r="AN202" s="257">
        <v>0</v>
      </c>
      <c r="AO202" s="257">
        <v>0</v>
      </c>
      <c r="AP202" s="257">
        <v>0</v>
      </c>
      <c r="AQ202" s="257">
        <v>0</v>
      </c>
      <c r="AR202" s="257">
        <v>0</v>
      </c>
      <c r="AS202" s="257">
        <v>0</v>
      </c>
      <c r="AT202" s="257">
        <v>0</v>
      </c>
      <c r="AU202" s="257">
        <v>0</v>
      </c>
      <c r="AV202" s="257">
        <v>0</v>
      </c>
      <c r="AW202" s="257">
        <v>0</v>
      </c>
      <c r="AX202" s="279">
        <v>1</v>
      </c>
      <c r="AY202" s="279">
        <v>1</v>
      </c>
      <c r="AZ202" s="257">
        <v>1</v>
      </c>
      <c r="BA202" s="257">
        <v>0</v>
      </c>
      <c r="BB202" s="257">
        <v>0</v>
      </c>
      <c r="BC202" s="257">
        <v>0</v>
      </c>
      <c r="BD202" s="257">
        <v>0</v>
      </c>
      <c r="BE202" s="257" t="s">
        <v>93</v>
      </c>
      <c r="BF202" s="2" t="str" cm="1">
        <f t="array" ref="BF202">IF(COUNTIF(AZ202:BB202,"&lt;&gt;0")=1,INDEX($V$4:$AW$4,MATCH(TRUE,INDEX($V202:$AW202&lt;&gt;0,),0)),IF(COUNTIF(AZ202:BB202,"&lt;&gt;0")=0,INDEX($AM$4:$AW$4,MATCH(1,$AM202:$AW202,0)),"Multiple strategies"))</f>
        <v>SilvicultureProd</v>
      </c>
      <c r="BG202" s="280" t="s">
        <v>230</v>
      </c>
      <c r="BH202" s="257" t="s">
        <v>231</v>
      </c>
      <c r="BI202" s="281" t="s">
        <v>3073</v>
      </c>
      <c r="BJ202" s="278" t="s">
        <v>232</v>
      </c>
      <c r="BK202" s="257">
        <v>66.639750491326893</v>
      </c>
      <c r="BL202" s="257">
        <v>98.063244029280497</v>
      </c>
      <c r="BM202" s="278">
        <v>1.4715427849935203</v>
      </c>
      <c r="BN202" s="257">
        <v>31.423493537953604</v>
      </c>
      <c r="BO202" s="278">
        <v>64.129578648884902</v>
      </c>
      <c r="BP202" s="278" t="s">
        <v>233</v>
      </c>
      <c r="BQ202" s="312" t="s">
        <v>3073</v>
      </c>
      <c r="BR202" s="278" t="s">
        <v>234</v>
      </c>
      <c r="BS202" s="257">
        <v>-9.4136546184738901</v>
      </c>
      <c r="BT202" s="257">
        <v>-8.1244670100805898</v>
      </c>
      <c r="BU202" s="259">
        <v>0.86305131634388565</v>
      </c>
      <c r="BV202" s="257">
        <v>1.2891876083933003</v>
      </c>
      <c r="BW202" s="257"/>
      <c r="BX202" s="257">
        <v>1.2891876083933002E-3</v>
      </c>
      <c r="BY202" s="257">
        <v>2.010285480669873E-5</v>
      </c>
      <c r="BZ202" s="257">
        <v>0</v>
      </c>
      <c r="CA202" s="257">
        <v>0</v>
      </c>
      <c r="CB202" s="257">
        <v>0</v>
      </c>
      <c r="CC202" s="257">
        <v>0</v>
      </c>
      <c r="CD202" s="257">
        <v>0</v>
      </c>
      <c r="CE202" s="257">
        <v>0</v>
      </c>
      <c r="CF202" s="257">
        <v>0</v>
      </c>
      <c r="CG202" s="257">
        <v>0</v>
      </c>
      <c r="CH202" s="257">
        <v>0</v>
      </c>
      <c r="CI202" s="257">
        <v>0</v>
      </c>
      <c r="CJ202" s="257">
        <v>0</v>
      </c>
      <c r="CK202" s="257">
        <v>0</v>
      </c>
      <c r="CL202" s="257">
        <v>0</v>
      </c>
      <c r="CM202" s="257">
        <v>0</v>
      </c>
      <c r="CN202" s="257" t="s">
        <v>3074</v>
      </c>
      <c r="CO202" s="257">
        <v>66.639750491326893</v>
      </c>
      <c r="CP202" s="257">
        <v>98.063244029280497</v>
      </c>
      <c r="CQ202" s="257">
        <v>64.129578648884902</v>
      </c>
      <c r="CR202" s="257">
        <v>-9.4136546184738901</v>
      </c>
      <c r="CS202" s="257">
        <v>-8.1244670100805898</v>
      </c>
      <c r="CT202" s="257">
        <v>1.2891876083933002E-3</v>
      </c>
      <c r="CU202" s="257">
        <v>2.010285480669873E-5</v>
      </c>
      <c r="CV202" s="258">
        <v>0.13694868365611432</v>
      </c>
      <c r="CW202" s="256" t="s">
        <v>235</v>
      </c>
      <c r="CX202" s="257" t="s">
        <v>3075</v>
      </c>
      <c r="CY202" s="257" t="s">
        <v>236</v>
      </c>
      <c r="CZ202" s="257"/>
      <c r="DA202" s="278"/>
      <c r="DB202" s="278">
        <v>80</v>
      </c>
      <c r="DC202" s="257" t="s">
        <v>3076</v>
      </c>
      <c r="DD202" s="257">
        <v>0</v>
      </c>
      <c r="DE202" s="257">
        <v>1</v>
      </c>
      <c r="DF202" s="257">
        <v>0</v>
      </c>
      <c r="DG202" s="257">
        <v>0</v>
      </c>
      <c r="DH202" s="257"/>
      <c r="DI202" s="257">
        <v>1</v>
      </c>
      <c r="DJ202" s="257" t="s">
        <v>174</v>
      </c>
      <c r="DK202" s="257">
        <v>0</v>
      </c>
      <c r="DL202" s="257" t="s">
        <v>181</v>
      </c>
      <c r="DM202" s="257">
        <v>0</v>
      </c>
      <c r="DN202" s="257">
        <v>0</v>
      </c>
      <c r="DO202" s="257">
        <v>0</v>
      </c>
      <c r="DP202" s="278">
        <v>0</v>
      </c>
      <c r="DQ202" s="278">
        <v>0</v>
      </c>
      <c r="DR202" s="278">
        <v>0</v>
      </c>
      <c r="DS202" s="278">
        <v>0</v>
      </c>
      <c r="DT202" s="257">
        <v>0</v>
      </c>
      <c r="DU202" s="278" t="s">
        <v>964</v>
      </c>
      <c r="DV202" s="278">
        <v>1</v>
      </c>
      <c r="DW202" s="278">
        <v>1</v>
      </c>
      <c r="DX202" s="278">
        <v>1</v>
      </c>
      <c r="DY202" s="278">
        <v>0</v>
      </c>
      <c r="DZ202" s="257">
        <v>0</v>
      </c>
      <c r="EA202" s="278">
        <v>0</v>
      </c>
      <c r="EB202" s="278">
        <v>1</v>
      </c>
      <c r="EC202" s="278">
        <v>1</v>
      </c>
      <c r="ED202" s="278">
        <v>0</v>
      </c>
      <c r="EE202" s="278">
        <v>0</v>
      </c>
      <c r="EF202" s="257">
        <v>1</v>
      </c>
      <c r="EG202" s="278">
        <v>0</v>
      </c>
      <c r="EH202" s="257">
        <v>0</v>
      </c>
      <c r="EI202" s="258">
        <v>0</v>
      </c>
      <c r="EJ202" s="256"/>
      <c r="EK202" t="str">
        <f>IF(AND(AND(AND(OR($DX202=1,$DW202=1),OR($EC202=1,$EA202=1)),SUM($DV202:$DZ202,$EF202)&gt;=4),SUM($EA202:$EE202)&gt;=2),"Whole sector","")</f>
        <v>Whole sector</v>
      </c>
      <c r="EL202" t="str">
        <f>IF(AND(AND(OR($DX202=1,$DW202=1),AND($EC202=0,$EA202=0)),SUM($DV202:$DZ202,$EF202)&gt;=4),"Ecosystem approach","")</f>
        <v/>
      </c>
      <c r="EM202" s="258" t="s">
        <v>545</v>
      </c>
      <c r="EN202" s="257" t="s">
        <v>237</v>
      </c>
      <c r="EO202" s="257"/>
      <c r="EP202" t="str">
        <f>IF(ISNUMBER(BU202),IF(ABS(BU202-[3]QC_indicators!$B$2)&gt;3*[3]QC_indicators!$C$2,"C ratio",IF(ISNUMBER(BY202),IF(ABS(BY202-[3]QC_indicators!$B$1)&gt;3*[3]QC_indicators!$C$1,"DF","no"))),IF(ISNUMBER(BY202),IF(ABS(BY202-[3]QC_indicators!$B$1)&gt;3*[3]QC_indicators!$C$1,"DF","no")))</f>
        <v>no</v>
      </c>
      <c r="EQ202" s="257"/>
      <c r="ER202" s="257"/>
      <c r="ES202"/>
      <c r="ET202"/>
      <c r="EU202"/>
    </row>
    <row r="203" spans="1:151" s="139" customFormat="1" ht="15" hidden="1" customHeight="1">
      <c r="A203" s="256" t="s">
        <v>215</v>
      </c>
      <c r="B203" s="257" t="s">
        <v>216</v>
      </c>
      <c r="C203" s="257" t="s">
        <v>217</v>
      </c>
      <c r="D203" s="257" t="s">
        <v>218</v>
      </c>
      <c r="E203" s="257" t="s">
        <v>219</v>
      </c>
      <c r="F203" s="257" t="s">
        <v>220</v>
      </c>
      <c r="G203" s="257" t="s">
        <v>221</v>
      </c>
      <c r="H203" s="257"/>
      <c r="I203" s="257">
        <v>2012</v>
      </c>
      <c r="J203" s="257"/>
      <c r="K203" s="257" t="s">
        <v>222</v>
      </c>
      <c r="L203" s="257"/>
      <c r="M203" s="257" t="s">
        <v>3072</v>
      </c>
      <c r="N203" s="257" t="s">
        <v>223</v>
      </c>
      <c r="O203" s="277" t="s">
        <v>224</v>
      </c>
      <c r="P203" s="257"/>
      <c r="Q203" s="257" t="s">
        <v>225</v>
      </c>
      <c r="R203" s="258" t="s">
        <v>226</v>
      </c>
      <c r="S203" s="256" t="s">
        <v>93</v>
      </c>
      <c r="T203" s="257" t="s">
        <v>246</v>
      </c>
      <c r="U203" s="278" t="s">
        <v>247</v>
      </c>
      <c r="V203" s="257">
        <v>0</v>
      </c>
      <c r="W203" s="257">
        <v>0</v>
      </c>
      <c r="X203" s="257">
        <v>0</v>
      </c>
      <c r="Y203" s="257">
        <v>0</v>
      </c>
      <c r="Z203" s="257">
        <v>1</v>
      </c>
      <c r="AA203" s="257">
        <v>0</v>
      </c>
      <c r="AB203" s="257">
        <v>0</v>
      </c>
      <c r="AC203" s="257">
        <v>0</v>
      </c>
      <c r="AD203" s="257">
        <v>0</v>
      </c>
      <c r="AE203" s="257">
        <v>0</v>
      </c>
      <c r="AF203" s="257">
        <v>0</v>
      </c>
      <c r="AG203" s="257">
        <v>0</v>
      </c>
      <c r="AH203" s="257">
        <v>0</v>
      </c>
      <c r="AI203" s="257">
        <v>0</v>
      </c>
      <c r="AJ203" s="257">
        <v>0</v>
      </c>
      <c r="AK203" s="257">
        <v>0</v>
      </c>
      <c r="AL203" s="257">
        <v>0</v>
      </c>
      <c r="AM203" s="257">
        <v>0</v>
      </c>
      <c r="AN203" s="257">
        <v>0</v>
      </c>
      <c r="AO203" s="257">
        <v>0</v>
      </c>
      <c r="AP203" s="257">
        <v>0</v>
      </c>
      <c r="AQ203" s="257">
        <v>0</v>
      </c>
      <c r="AR203" s="257">
        <v>0</v>
      </c>
      <c r="AS203" s="257">
        <v>0</v>
      </c>
      <c r="AT203" s="257">
        <v>0</v>
      </c>
      <c r="AU203" s="257">
        <v>0</v>
      </c>
      <c r="AV203" s="257">
        <v>0</v>
      </c>
      <c r="AW203" s="257">
        <v>0</v>
      </c>
      <c r="AX203" s="279">
        <v>1</v>
      </c>
      <c r="AY203" s="279">
        <v>1</v>
      </c>
      <c r="AZ203" s="257">
        <v>1</v>
      </c>
      <c r="BA203" s="257">
        <v>0</v>
      </c>
      <c r="BB203" s="257">
        <v>0</v>
      </c>
      <c r="BC203" s="257">
        <v>0</v>
      </c>
      <c r="BD203" s="257">
        <v>0</v>
      </c>
      <c r="BE203" s="257" t="s">
        <v>93</v>
      </c>
      <c r="BF203" s="2" t="str" cm="1">
        <f t="array" ref="BF203">IF(COUNTIF(AZ203:BB203,"&lt;&gt;0")=1,INDEX($V$4:$AW$4,MATCH(TRUE,INDEX($V203:$AW203&lt;&gt;0,),0)),IF(COUNTIF(AZ203:BB203,"&lt;&gt;0")=0,INDEX($AM$4:$AW$4,MATCH(1,$AM203:$AW203,0)),"Multiple strategies"))</f>
        <v>SilvicultureProd</v>
      </c>
      <c r="BG203" s="280" t="s">
        <v>230</v>
      </c>
      <c r="BH203" s="257" t="s">
        <v>231</v>
      </c>
      <c r="BI203" s="281" t="s">
        <v>3073</v>
      </c>
      <c r="BJ203" s="278" t="s">
        <v>232</v>
      </c>
      <c r="BK203" s="257">
        <v>68.821883277791997</v>
      </c>
      <c r="BL203" s="257">
        <v>90.5390284179134</v>
      </c>
      <c r="BM203" s="278">
        <v>1.3155558102422529</v>
      </c>
      <c r="BN203" s="257">
        <v>21.717145140121403</v>
      </c>
      <c r="BO203" s="278">
        <v>44.320704367594701</v>
      </c>
      <c r="BP203" s="278" t="s">
        <v>233</v>
      </c>
      <c r="BQ203" s="312" t="s">
        <v>3073</v>
      </c>
      <c r="BR203" s="278" t="s">
        <v>234</v>
      </c>
      <c r="BS203" s="257">
        <v>-8.9016064257028091</v>
      </c>
      <c r="BT203" s="257">
        <v>-8.2073792916471504</v>
      </c>
      <c r="BU203" s="259">
        <v>0.92201102802623092</v>
      </c>
      <c r="BV203" s="257">
        <v>0.69422713405565872</v>
      </c>
      <c r="BW203" s="257"/>
      <c r="BX203" s="257">
        <v>6.9422713405565867E-4</v>
      </c>
      <c r="BY203" s="257">
        <v>1.5663720691299443E-5</v>
      </c>
      <c r="BZ203" s="257">
        <v>0</v>
      </c>
      <c r="CA203" s="257">
        <v>0</v>
      </c>
      <c r="CB203" s="257">
        <v>0</v>
      </c>
      <c r="CC203" s="257">
        <v>0</v>
      </c>
      <c r="CD203" s="257">
        <v>0</v>
      </c>
      <c r="CE203" s="257">
        <v>0</v>
      </c>
      <c r="CF203" s="257">
        <v>0</v>
      </c>
      <c r="CG203" s="257">
        <v>0</v>
      </c>
      <c r="CH203" s="257">
        <v>0</v>
      </c>
      <c r="CI203" s="257">
        <v>0</v>
      </c>
      <c r="CJ203" s="257">
        <v>0</v>
      </c>
      <c r="CK203" s="257">
        <v>0</v>
      </c>
      <c r="CL203" s="257">
        <v>0</v>
      </c>
      <c r="CM203" s="257">
        <v>0</v>
      </c>
      <c r="CN203" s="257" t="s">
        <v>3074</v>
      </c>
      <c r="CO203" s="257">
        <v>68.821883277791997</v>
      </c>
      <c r="CP203" s="257">
        <v>90.5390284179134</v>
      </c>
      <c r="CQ203" s="257">
        <v>44.320704367594701</v>
      </c>
      <c r="CR203" s="257">
        <v>-8.9016064257028091</v>
      </c>
      <c r="CS203" s="257">
        <v>-8.2073792916471504</v>
      </c>
      <c r="CT203" s="257">
        <v>6.9422713405565867E-4</v>
      </c>
      <c r="CU203" s="257">
        <v>1.5663720691299443E-5</v>
      </c>
      <c r="CV203" s="258">
        <v>7.7988971973769028E-2</v>
      </c>
      <c r="CW203" s="256" t="s">
        <v>235</v>
      </c>
      <c r="CX203" s="257" t="s">
        <v>3075</v>
      </c>
      <c r="CY203" s="257" t="s">
        <v>236</v>
      </c>
      <c r="CZ203" s="257"/>
      <c r="DA203" s="278"/>
      <c r="DB203" s="278">
        <v>80</v>
      </c>
      <c r="DC203" s="257" t="s">
        <v>3076</v>
      </c>
      <c r="DD203" s="257">
        <v>0</v>
      </c>
      <c r="DE203" s="257">
        <v>1</v>
      </c>
      <c r="DF203" s="257">
        <v>0</v>
      </c>
      <c r="DG203" s="257">
        <v>0</v>
      </c>
      <c r="DH203" s="257"/>
      <c r="DI203" s="257">
        <v>1</v>
      </c>
      <c r="DJ203" s="257" t="s">
        <v>174</v>
      </c>
      <c r="DK203" s="257">
        <v>0</v>
      </c>
      <c r="DL203" s="257" t="s">
        <v>181</v>
      </c>
      <c r="DM203" s="257">
        <v>0</v>
      </c>
      <c r="DN203" s="257">
        <v>0</v>
      </c>
      <c r="DO203" s="257">
        <v>0</v>
      </c>
      <c r="DP203" s="278">
        <v>0</v>
      </c>
      <c r="DQ203" s="278">
        <v>0</v>
      </c>
      <c r="DR203" s="278">
        <v>0</v>
      </c>
      <c r="DS203" s="278">
        <v>0</v>
      </c>
      <c r="DT203" s="257">
        <v>0</v>
      </c>
      <c r="DU203" s="278" t="s">
        <v>964</v>
      </c>
      <c r="DV203" s="278">
        <v>1</v>
      </c>
      <c r="DW203" s="278">
        <v>1</v>
      </c>
      <c r="DX203" s="278">
        <v>1</v>
      </c>
      <c r="DY203" s="278">
        <v>0</v>
      </c>
      <c r="DZ203" s="257">
        <v>0</v>
      </c>
      <c r="EA203" s="278">
        <v>0</v>
      </c>
      <c r="EB203" s="278">
        <v>1</v>
      </c>
      <c r="EC203" s="278">
        <v>1</v>
      </c>
      <c r="ED203" s="278">
        <v>0</v>
      </c>
      <c r="EE203" s="278">
        <v>0</v>
      </c>
      <c r="EF203" s="257">
        <v>1</v>
      </c>
      <c r="EG203" s="278">
        <v>0</v>
      </c>
      <c r="EH203" s="257">
        <v>0</v>
      </c>
      <c r="EI203" s="258">
        <v>0</v>
      </c>
      <c r="EJ203" s="256"/>
      <c r="EK203" t="str">
        <f>IF(AND(AND(AND(OR($DX203=1,$DW203=1),OR($EC203=1,$EA203=1)),SUM($DV203:$DZ203,$EF203)&gt;=4),SUM($EA203:$EE203)&gt;=2),"Whole sector","")</f>
        <v>Whole sector</v>
      </c>
      <c r="EL203" t="str">
        <f>IF(AND(AND(OR($DX203=1,$DW203=1),AND($EC203=0,$EA203=0)),SUM($DV203:$DZ203,$EF203)&gt;=4),"Ecosystem approach","")</f>
        <v/>
      </c>
      <c r="EM203" s="258" t="s">
        <v>545</v>
      </c>
      <c r="EN203" s="257" t="s">
        <v>237</v>
      </c>
      <c r="EO203" s="257"/>
      <c r="EP203" t="str">
        <f>IF(ISNUMBER(BU203),IF(ABS(BU203-[3]QC_indicators!$B$2)&gt;3*[3]QC_indicators!$C$2,"C ratio",IF(ISNUMBER(BY203),IF(ABS(BY203-[3]QC_indicators!$B$1)&gt;3*[3]QC_indicators!$C$1,"DF","no"))),IF(ISNUMBER(BY203),IF(ABS(BY203-[3]QC_indicators!$B$1)&gt;3*[3]QC_indicators!$C$1,"DF","no")))</f>
        <v>no</v>
      </c>
      <c r="EQ203" s="257"/>
      <c r="ER203" s="257"/>
      <c r="ES203"/>
      <c r="ET203"/>
      <c r="EU203"/>
    </row>
    <row r="204" spans="1:151" s="139" customFormat="1" ht="15" hidden="1" customHeight="1">
      <c r="A204" s="256" t="s">
        <v>215</v>
      </c>
      <c r="B204" s="257" t="s">
        <v>216</v>
      </c>
      <c r="C204" s="257" t="s">
        <v>217</v>
      </c>
      <c r="D204" s="257" t="s">
        <v>218</v>
      </c>
      <c r="E204" s="257" t="s">
        <v>219</v>
      </c>
      <c r="F204" s="257" t="s">
        <v>220</v>
      </c>
      <c r="G204" s="257" t="s">
        <v>221</v>
      </c>
      <c r="H204" s="257"/>
      <c r="I204" s="257">
        <v>2012</v>
      </c>
      <c r="J204" s="257"/>
      <c r="K204" s="257" t="s">
        <v>222</v>
      </c>
      <c r="L204" s="257"/>
      <c r="M204" s="257" t="s">
        <v>3072</v>
      </c>
      <c r="N204" s="257" t="s">
        <v>223</v>
      </c>
      <c r="O204" s="277" t="s">
        <v>224</v>
      </c>
      <c r="P204" s="257"/>
      <c r="Q204" s="257" t="s">
        <v>225</v>
      </c>
      <c r="R204" s="258" t="s">
        <v>226</v>
      </c>
      <c r="S204" s="256" t="s">
        <v>93</v>
      </c>
      <c r="T204" s="257" t="s">
        <v>246</v>
      </c>
      <c r="U204" s="278" t="s">
        <v>247</v>
      </c>
      <c r="V204" s="257">
        <v>0</v>
      </c>
      <c r="W204" s="257">
        <v>0</v>
      </c>
      <c r="X204" s="257">
        <v>0</v>
      </c>
      <c r="Y204" s="257">
        <v>0</v>
      </c>
      <c r="Z204" s="257">
        <v>1</v>
      </c>
      <c r="AA204" s="257">
        <v>0</v>
      </c>
      <c r="AB204" s="257">
        <v>0</v>
      </c>
      <c r="AC204" s="257">
        <v>0</v>
      </c>
      <c r="AD204" s="257">
        <v>0</v>
      </c>
      <c r="AE204" s="257">
        <v>0</v>
      </c>
      <c r="AF204" s="257">
        <v>0</v>
      </c>
      <c r="AG204" s="257">
        <v>0</v>
      </c>
      <c r="AH204" s="257">
        <v>0</v>
      </c>
      <c r="AI204" s="257">
        <v>0</v>
      </c>
      <c r="AJ204" s="257">
        <v>0</v>
      </c>
      <c r="AK204" s="257">
        <v>0</v>
      </c>
      <c r="AL204" s="257">
        <v>0</v>
      </c>
      <c r="AM204" s="257">
        <v>0</v>
      </c>
      <c r="AN204" s="257">
        <v>0</v>
      </c>
      <c r="AO204" s="257">
        <v>0</v>
      </c>
      <c r="AP204" s="257">
        <v>0</v>
      </c>
      <c r="AQ204" s="257">
        <v>0</v>
      </c>
      <c r="AR204" s="257">
        <v>0</v>
      </c>
      <c r="AS204" s="257">
        <v>0</v>
      </c>
      <c r="AT204" s="257">
        <v>0</v>
      </c>
      <c r="AU204" s="257">
        <v>0</v>
      </c>
      <c r="AV204" s="257">
        <v>0</v>
      </c>
      <c r="AW204" s="257">
        <v>0</v>
      </c>
      <c r="AX204" s="279">
        <v>1</v>
      </c>
      <c r="AY204" s="279">
        <v>1</v>
      </c>
      <c r="AZ204" s="257">
        <v>1</v>
      </c>
      <c r="BA204" s="257">
        <v>0</v>
      </c>
      <c r="BB204" s="257">
        <v>0</v>
      </c>
      <c r="BC204" s="257">
        <v>0</v>
      </c>
      <c r="BD204" s="257">
        <v>0</v>
      </c>
      <c r="BE204" s="257" t="s">
        <v>93</v>
      </c>
      <c r="BF204" s="2" t="str" cm="1">
        <f t="array" ref="BF204">IF(COUNTIF(AZ204:BB204,"&lt;&gt;0")=1,INDEX($V$4:$AW$4,MATCH(TRUE,INDEX($V204:$AW204&lt;&gt;0,),0)),IF(COUNTIF(AZ204:BB204,"&lt;&gt;0")=0,INDEX($AM$4:$AW$4,MATCH(1,$AM204:$AW204,0)),"Multiple strategies"))</f>
        <v>SilvicultureProd</v>
      </c>
      <c r="BG204" s="280" t="s">
        <v>230</v>
      </c>
      <c r="BH204" s="257" t="s">
        <v>231</v>
      </c>
      <c r="BI204" s="281" t="s">
        <v>3073</v>
      </c>
      <c r="BJ204" s="278" t="s">
        <v>232</v>
      </c>
      <c r="BK204" s="257">
        <v>58.199966021066899</v>
      </c>
      <c r="BL204" s="257">
        <v>89.047467968273295</v>
      </c>
      <c r="BM204" s="278">
        <v>1.530026116098425</v>
      </c>
      <c r="BN204" s="257">
        <v>30.847501947206396</v>
      </c>
      <c r="BO204" s="278">
        <v>62.954085606543664</v>
      </c>
      <c r="BP204" s="278" t="s">
        <v>233</v>
      </c>
      <c r="BQ204" s="312" t="s">
        <v>3073</v>
      </c>
      <c r="BR204" s="278" t="s">
        <v>234</v>
      </c>
      <c r="BS204" s="257">
        <v>-9.1378440072016396</v>
      </c>
      <c r="BT204" s="257">
        <v>-8.1050396583282396</v>
      </c>
      <c r="BU204" s="259">
        <v>0.88697505143889133</v>
      </c>
      <c r="BV204" s="257">
        <v>1.0328043488734</v>
      </c>
      <c r="BW204" s="257"/>
      <c r="BX204" s="257">
        <v>1.0328043488734E-3</v>
      </c>
      <c r="BY204" s="257">
        <v>1.6405676278555095E-5</v>
      </c>
      <c r="BZ204" s="257">
        <v>0</v>
      </c>
      <c r="CA204" s="257">
        <v>0</v>
      </c>
      <c r="CB204" s="257">
        <v>0</v>
      </c>
      <c r="CC204" s="257">
        <v>0</v>
      </c>
      <c r="CD204" s="257">
        <v>0</v>
      </c>
      <c r="CE204" s="257">
        <v>0</v>
      </c>
      <c r="CF204" s="257">
        <v>0</v>
      </c>
      <c r="CG204" s="257">
        <v>0</v>
      </c>
      <c r="CH204" s="257">
        <v>0</v>
      </c>
      <c r="CI204" s="257">
        <v>0</v>
      </c>
      <c r="CJ204" s="257">
        <v>0</v>
      </c>
      <c r="CK204" s="257">
        <v>0</v>
      </c>
      <c r="CL204" s="257">
        <v>0</v>
      </c>
      <c r="CM204" s="257">
        <v>0</v>
      </c>
      <c r="CN204" s="257" t="s">
        <v>3074</v>
      </c>
      <c r="CO204" s="257">
        <v>58.199966021066899</v>
      </c>
      <c r="CP204" s="257">
        <v>89.047467968273295</v>
      </c>
      <c r="CQ204" s="257">
        <v>62.954085606543664</v>
      </c>
      <c r="CR204" s="257">
        <v>-9.1378440072016396</v>
      </c>
      <c r="CS204" s="257">
        <v>-8.1050396583282396</v>
      </c>
      <c r="CT204" s="257">
        <v>1.0328043488734E-3</v>
      </c>
      <c r="CU204" s="257">
        <v>1.6405676278555095E-5</v>
      </c>
      <c r="CV204" s="258">
        <v>0.11302494856110862</v>
      </c>
      <c r="CW204" s="256" t="s">
        <v>235</v>
      </c>
      <c r="CX204" s="257" t="s">
        <v>3075</v>
      </c>
      <c r="CY204" s="257" t="s">
        <v>236</v>
      </c>
      <c r="CZ204" s="257"/>
      <c r="DA204" s="278"/>
      <c r="DB204" s="278">
        <v>80</v>
      </c>
      <c r="DC204" s="257" t="s">
        <v>3076</v>
      </c>
      <c r="DD204" s="257">
        <v>0</v>
      </c>
      <c r="DE204" s="257">
        <v>1</v>
      </c>
      <c r="DF204" s="257">
        <v>0</v>
      </c>
      <c r="DG204" s="257">
        <v>0</v>
      </c>
      <c r="DH204" s="257"/>
      <c r="DI204" s="257">
        <v>1</v>
      </c>
      <c r="DJ204" s="257" t="s">
        <v>174</v>
      </c>
      <c r="DK204" s="257">
        <v>0</v>
      </c>
      <c r="DL204" s="257" t="s">
        <v>181</v>
      </c>
      <c r="DM204" s="257">
        <v>0</v>
      </c>
      <c r="DN204" s="257">
        <v>0</v>
      </c>
      <c r="DO204" s="257">
        <v>0</v>
      </c>
      <c r="DP204" s="278">
        <v>0</v>
      </c>
      <c r="DQ204" s="278">
        <v>0</v>
      </c>
      <c r="DR204" s="278">
        <v>0</v>
      </c>
      <c r="DS204" s="278">
        <v>0</v>
      </c>
      <c r="DT204" s="257">
        <v>0</v>
      </c>
      <c r="DU204" s="278" t="s">
        <v>964</v>
      </c>
      <c r="DV204" s="278">
        <v>1</v>
      </c>
      <c r="DW204" s="278">
        <v>1</v>
      </c>
      <c r="DX204" s="278">
        <v>1</v>
      </c>
      <c r="DY204" s="278">
        <v>0</v>
      </c>
      <c r="DZ204" s="257">
        <v>0</v>
      </c>
      <c r="EA204" s="278">
        <v>0</v>
      </c>
      <c r="EB204" s="278">
        <v>1</v>
      </c>
      <c r="EC204" s="278">
        <v>1</v>
      </c>
      <c r="ED204" s="278">
        <v>0</v>
      </c>
      <c r="EE204" s="278">
        <v>0</v>
      </c>
      <c r="EF204" s="257">
        <v>1</v>
      </c>
      <c r="EG204" s="278">
        <v>0</v>
      </c>
      <c r="EH204" s="257">
        <v>0</v>
      </c>
      <c r="EI204" s="258">
        <v>0</v>
      </c>
      <c r="EJ204" s="256"/>
      <c r="EK204" t="str">
        <f>IF(AND(AND(AND(OR($DX204=1,$DW204=1),OR($EC204=1,$EA204=1)),SUM($DV204:$DZ204,$EF204)&gt;=4),SUM($EA204:$EE204)&gt;=2),"Whole sector","")</f>
        <v>Whole sector</v>
      </c>
      <c r="EL204" t="str">
        <f>IF(AND(AND(OR($DX204=1,$DW204=1),AND($EC204=0,$EA204=0)),SUM($DV204:$DZ204,$EF204)&gt;=4),"Ecosystem approach","")</f>
        <v/>
      </c>
      <c r="EM204" s="258" t="s">
        <v>545</v>
      </c>
      <c r="EN204" s="257" t="s">
        <v>237</v>
      </c>
      <c r="EO204" s="257"/>
      <c r="EP204" t="str">
        <f>IF(ISNUMBER(BU204),IF(ABS(BU204-[3]QC_indicators!$B$2)&gt;3*[3]QC_indicators!$C$2,"C ratio",IF(ISNUMBER(BY204),IF(ABS(BY204-[3]QC_indicators!$B$1)&gt;3*[3]QC_indicators!$C$1,"DF","no"))),IF(ISNUMBER(BY204),IF(ABS(BY204-[3]QC_indicators!$B$1)&gt;3*[3]QC_indicators!$C$1,"DF","no")))</f>
        <v>no</v>
      </c>
      <c r="EQ204" s="257"/>
      <c r="ER204" s="257"/>
      <c r="ES204"/>
      <c r="ET204"/>
      <c r="EU204"/>
    </row>
    <row r="205" spans="1:151" s="139" customFormat="1" ht="15" hidden="1" customHeight="1">
      <c r="A205" s="256" t="s">
        <v>215</v>
      </c>
      <c r="B205" s="257" t="s">
        <v>216</v>
      </c>
      <c r="C205" s="257" t="s">
        <v>217</v>
      </c>
      <c r="D205" s="257" t="s">
        <v>218</v>
      </c>
      <c r="E205" s="257" t="s">
        <v>219</v>
      </c>
      <c r="F205" s="257" t="s">
        <v>220</v>
      </c>
      <c r="G205" s="257" t="s">
        <v>221</v>
      </c>
      <c r="H205" s="257"/>
      <c r="I205" s="257">
        <v>2012</v>
      </c>
      <c r="J205" s="257"/>
      <c r="K205" s="257" t="s">
        <v>222</v>
      </c>
      <c r="L205" s="257"/>
      <c r="M205" s="257" t="s">
        <v>3072</v>
      </c>
      <c r="N205" s="257" t="s">
        <v>223</v>
      </c>
      <c r="O205" s="277" t="s">
        <v>224</v>
      </c>
      <c r="P205" s="257"/>
      <c r="Q205" s="257" t="s">
        <v>225</v>
      </c>
      <c r="R205" s="258" t="s">
        <v>226</v>
      </c>
      <c r="S205" s="256" t="s">
        <v>93</v>
      </c>
      <c r="T205" s="257" t="s">
        <v>246</v>
      </c>
      <c r="U205" s="278" t="s">
        <v>247</v>
      </c>
      <c r="V205" s="257">
        <v>0</v>
      </c>
      <c r="W205" s="257">
        <v>0</v>
      </c>
      <c r="X205" s="257">
        <v>0</v>
      </c>
      <c r="Y205" s="257">
        <v>0</v>
      </c>
      <c r="Z205" s="257">
        <v>1</v>
      </c>
      <c r="AA205" s="257">
        <v>0</v>
      </c>
      <c r="AB205" s="257">
        <v>0</v>
      </c>
      <c r="AC205" s="257">
        <v>0</v>
      </c>
      <c r="AD205" s="257">
        <v>0</v>
      </c>
      <c r="AE205" s="257">
        <v>0</v>
      </c>
      <c r="AF205" s="257">
        <v>0</v>
      </c>
      <c r="AG205" s="257">
        <v>0</v>
      </c>
      <c r="AH205" s="257">
        <v>0</v>
      </c>
      <c r="AI205" s="257">
        <v>0</v>
      </c>
      <c r="AJ205" s="257">
        <v>0</v>
      </c>
      <c r="AK205" s="257">
        <v>0</v>
      </c>
      <c r="AL205" s="257">
        <v>0</v>
      </c>
      <c r="AM205" s="257">
        <v>0</v>
      </c>
      <c r="AN205" s="257">
        <v>0</v>
      </c>
      <c r="AO205" s="257">
        <v>0</v>
      </c>
      <c r="AP205" s="257">
        <v>0</v>
      </c>
      <c r="AQ205" s="257">
        <v>0</v>
      </c>
      <c r="AR205" s="257">
        <v>0</v>
      </c>
      <c r="AS205" s="257">
        <v>0</v>
      </c>
      <c r="AT205" s="257">
        <v>0</v>
      </c>
      <c r="AU205" s="257">
        <v>0</v>
      </c>
      <c r="AV205" s="257">
        <v>0</v>
      </c>
      <c r="AW205" s="257">
        <v>0</v>
      </c>
      <c r="AX205" s="279">
        <v>1</v>
      </c>
      <c r="AY205" s="279">
        <v>1</v>
      </c>
      <c r="AZ205" s="257">
        <v>1</v>
      </c>
      <c r="BA205" s="257">
        <v>0</v>
      </c>
      <c r="BB205" s="257">
        <v>0</v>
      </c>
      <c r="BC205" s="257">
        <v>0</v>
      </c>
      <c r="BD205" s="257">
        <v>0</v>
      </c>
      <c r="BE205" s="257" t="s">
        <v>93</v>
      </c>
      <c r="BF205" s="2" t="str" cm="1">
        <f t="array" ref="BF205">IF(COUNTIF(AZ205:BB205,"&lt;&gt;0")=1,INDEX($V$4:$AW$4,MATCH(TRUE,INDEX($V205:$AW205&lt;&gt;0,),0)),IF(COUNTIF(AZ205:BB205,"&lt;&gt;0")=0,INDEX($AM$4:$AW$4,MATCH(1,$AM205:$AW205,0)),"Multiple strategies"))</f>
        <v>SilvicultureProd</v>
      </c>
      <c r="BG205" s="280" t="s">
        <v>230</v>
      </c>
      <c r="BH205" s="257" t="s">
        <v>231</v>
      </c>
      <c r="BI205" s="281" t="s">
        <v>3073</v>
      </c>
      <c r="BJ205" s="278" t="s">
        <v>232</v>
      </c>
      <c r="BK205" s="257">
        <v>63.5091743119266</v>
      </c>
      <c r="BL205" s="257">
        <v>85.005979255643595</v>
      </c>
      <c r="BM205" s="278">
        <v>1.3384834581242546</v>
      </c>
      <c r="BN205" s="257">
        <v>21.496804943716995</v>
      </c>
      <c r="BO205" s="278">
        <v>43.871030497381625</v>
      </c>
      <c r="BP205" s="278" t="s">
        <v>233</v>
      </c>
      <c r="BQ205" s="312" t="s">
        <v>3073</v>
      </c>
      <c r="BR205" s="278" t="s">
        <v>234</v>
      </c>
      <c r="BS205" s="257">
        <v>-8.71587255658436</v>
      </c>
      <c r="BT205" s="257">
        <v>-8.1260280658938306</v>
      </c>
      <c r="BU205" s="259">
        <v>0.93232525064344429</v>
      </c>
      <c r="BV205" s="257">
        <v>0.58984449069052935</v>
      </c>
      <c r="BW205" s="257"/>
      <c r="BX205" s="257">
        <v>5.898444906905294E-4</v>
      </c>
      <c r="BY205" s="257">
        <v>1.3444965481851021E-5</v>
      </c>
      <c r="BZ205" s="257">
        <v>0</v>
      </c>
      <c r="CA205" s="257">
        <v>0</v>
      </c>
      <c r="CB205" s="257">
        <v>0</v>
      </c>
      <c r="CC205" s="257">
        <v>0</v>
      </c>
      <c r="CD205" s="257">
        <v>0</v>
      </c>
      <c r="CE205" s="257">
        <v>0</v>
      </c>
      <c r="CF205" s="257">
        <v>0</v>
      </c>
      <c r="CG205" s="257">
        <v>0</v>
      </c>
      <c r="CH205" s="257">
        <v>0</v>
      </c>
      <c r="CI205" s="257">
        <v>0</v>
      </c>
      <c r="CJ205" s="257">
        <v>0</v>
      </c>
      <c r="CK205" s="257">
        <v>0</v>
      </c>
      <c r="CL205" s="257">
        <v>0</v>
      </c>
      <c r="CM205" s="257">
        <v>0</v>
      </c>
      <c r="CN205" s="257" t="s">
        <v>3074</v>
      </c>
      <c r="CO205" s="257">
        <v>63.5091743119266</v>
      </c>
      <c r="CP205" s="257">
        <v>85.005979255643595</v>
      </c>
      <c r="CQ205" s="257">
        <v>43.871030497381625</v>
      </c>
      <c r="CR205" s="257">
        <v>-8.71587255658436</v>
      </c>
      <c r="CS205" s="257">
        <v>-8.1260280658938306</v>
      </c>
      <c r="CT205" s="257">
        <v>5.898444906905294E-4</v>
      </c>
      <c r="CU205" s="257">
        <v>1.3444965481851021E-5</v>
      </c>
      <c r="CV205" s="258">
        <v>6.767474935655575E-2</v>
      </c>
      <c r="CW205" s="256" t="s">
        <v>235</v>
      </c>
      <c r="CX205" s="257" t="s">
        <v>3075</v>
      </c>
      <c r="CY205" s="257" t="s">
        <v>236</v>
      </c>
      <c r="CZ205" s="257"/>
      <c r="DA205" s="278"/>
      <c r="DB205" s="278">
        <v>80</v>
      </c>
      <c r="DC205" s="257" t="s">
        <v>3076</v>
      </c>
      <c r="DD205" s="257">
        <v>0</v>
      </c>
      <c r="DE205" s="257">
        <v>1</v>
      </c>
      <c r="DF205" s="257">
        <v>0</v>
      </c>
      <c r="DG205" s="257">
        <v>0</v>
      </c>
      <c r="DH205" s="257"/>
      <c r="DI205" s="257">
        <v>1</v>
      </c>
      <c r="DJ205" s="257" t="s">
        <v>174</v>
      </c>
      <c r="DK205" s="257">
        <v>0</v>
      </c>
      <c r="DL205" s="257" t="s">
        <v>181</v>
      </c>
      <c r="DM205" s="257">
        <v>0</v>
      </c>
      <c r="DN205" s="257">
        <v>0</v>
      </c>
      <c r="DO205" s="257">
        <v>0</v>
      </c>
      <c r="DP205" s="278">
        <v>0</v>
      </c>
      <c r="DQ205" s="278">
        <v>0</v>
      </c>
      <c r="DR205" s="278">
        <v>0</v>
      </c>
      <c r="DS205" s="278">
        <v>0</v>
      </c>
      <c r="DT205" s="257">
        <v>0</v>
      </c>
      <c r="DU205" s="278" t="s">
        <v>964</v>
      </c>
      <c r="DV205" s="278">
        <v>1</v>
      </c>
      <c r="DW205" s="278">
        <v>1</v>
      </c>
      <c r="DX205" s="278">
        <v>1</v>
      </c>
      <c r="DY205" s="278">
        <v>0</v>
      </c>
      <c r="DZ205" s="257">
        <v>0</v>
      </c>
      <c r="EA205" s="278">
        <v>0</v>
      </c>
      <c r="EB205" s="278">
        <v>1</v>
      </c>
      <c r="EC205" s="278">
        <v>1</v>
      </c>
      <c r="ED205" s="278">
        <v>0</v>
      </c>
      <c r="EE205" s="278">
        <v>0</v>
      </c>
      <c r="EF205" s="257">
        <v>1</v>
      </c>
      <c r="EG205" s="278">
        <v>0</v>
      </c>
      <c r="EH205" s="257">
        <v>0</v>
      </c>
      <c r="EI205" s="258">
        <v>0</v>
      </c>
      <c r="EJ205" s="256"/>
      <c r="EK205" t="str">
        <f>IF(AND(AND(AND(OR($DX205=1,$DW205=1),OR($EC205=1,$EA205=1)),SUM($DV205:$DZ205,$EF205)&gt;=4),SUM($EA205:$EE205)&gt;=2),"Whole sector","")</f>
        <v>Whole sector</v>
      </c>
      <c r="EL205" t="str">
        <f>IF(AND(AND(OR($DX205=1,$DW205=1),AND($EC205=0,$EA205=0)),SUM($DV205:$DZ205,$EF205)&gt;=4),"Ecosystem approach","")</f>
        <v/>
      </c>
      <c r="EM205" s="258" t="s">
        <v>545</v>
      </c>
      <c r="EN205" s="257" t="s">
        <v>237</v>
      </c>
      <c r="EO205" s="257"/>
      <c r="EP205" t="str">
        <f>IF(ISNUMBER(BU205),IF(ABS(BU205-[3]QC_indicators!$B$2)&gt;3*[3]QC_indicators!$C$2,"C ratio",IF(ISNUMBER(BY205),IF(ABS(BY205-[3]QC_indicators!$B$1)&gt;3*[3]QC_indicators!$C$1,"DF","no"))),IF(ISNUMBER(BY205),IF(ABS(BY205-[3]QC_indicators!$B$1)&gt;3*[3]QC_indicators!$C$1,"DF","no")))</f>
        <v>no</v>
      </c>
      <c r="EQ205" s="257"/>
      <c r="ER205" s="257"/>
      <c r="ES205"/>
      <c r="ET205"/>
      <c r="EU205"/>
    </row>
    <row r="206" spans="1:151" s="139" customFormat="1" ht="15" hidden="1" customHeight="1">
      <c r="A206" s="256" t="s">
        <v>215</v>
      </c>
      <c r="B206" s="257" t="s">
        <v>216</v>
      </c>
      <c r="C206" s="257" t="s">
        <v>217</v>
      </c>
      <c r="D206" s="257" t="s">
        <v>218</v>
      </c>
      <c r="E206" s="257" t="s">
        <v>219</v>
      </c>
      <c r="F206" s="257" t="s">
        <v>220</v>
      </c>
      <c r="G206" s="257" t="s">
        <v>221</v>
      </c>
      <c r="H206" s="257"/>
      <c r="I206" s="257">
        <v>2012</v>
      </c>
      <c r="J206" s="257"/>
      <c r="K206" s="257" t="s">
        <v>222</v>
      </c>
      <c r="L206" s="257"/>
      <c r="M206" s="257" t="s">
        <v>3072</v>
      </c>
      <c r="N206" s="257" t="s">
        <v>223</v>
      </c>
      <c r="O206" s="277" t="s">
        <v>224</v>
      </c>
      <c r="P206" s="257"/>
      <c r="Q206" s="257" t="s">
        <v>225</v>
      </c>
      <c r="R206" s="258" t="s">
        <v>226</v>
      </c>
      <c r="S206" s="256" t="s">
        <v>93</v>
      </c>
      <c r="T206" s="257" t="s">
        <v>246</v>
      </c>
      <c r="U206" s="278" t="s">
        <v>247</v>
      </c>
      <c r="V206" s="257">
        <v>0</v>
      </c>
      <c r="W206" s="257">
        <v>0</v>
      </c>
      <c r="X206" s="257">
        <v>0</v>
      </c>
      <c r="Y206" s="257">
        <v>0</v>
      </c>
      <c r="Z206" s="257">
        <v>1</v>
      </c>
      <c r="AA206" s="257">
        <v>0</v>
      </c>
      <c r="AB206" s="257">
        <v>0</v>
      </c>
      <c r="AC206" s="257">
        <v>0</v>
      </c>
      <c r="AD206" s="257">
        <v>0</v>
      </c>
      <c r="AE206" s="257">
        <v>0</v>
      </c>
      <c r="AF206" s="257">
        <v>0</v>
      </c>
      <c r="AG206" s="257">
        <v>0</v>
      </c>
      <c r="AH206" s="257">
        <v>0</v>
      </c>
      <c r="AI206" s="257">
        <v>0</v>
      </c>
      <c r="AJ206" s="257">
        <v>0</v>
      </c>
      <c r="AK206" s="257">
        <v>0</v>
      </c>
      <c r="AL206" s="257">
        <v>0</v>
      </c>
      <c r="AM206" s="257">
        <v>0</v>
      </c>
      <c r="AN206" s="257">
        <v>0</v>
      </c>
      <c r="AO206" s="257">
        <v>0</v>
      </c>
      <c r="AP206" s="257">
        <v>0</v>
      </c>
      <c r="AQ206" s="257">
        <v>0</v>
      </c>
      <c r="AR206" s="257">
        <v>0</v>
      </c>
      <c r="AS206" s="257">
        <v>0</v>
      </c>
      <c r="AT206" s="257">
        <v>0</v>
      </c>
      <c r="AU206" s="257">
        <v>0</v>
      </c>
      <c r="AV206" s="257">
        <v>0</v>
      </c>
      <c r="AW206" s="257">
        <v>0</v>
      </c>
      <c r="AX206" s="279">
        <v>1</v>
      </c>
      <c r="AY206" s="279">
        <v>1</v>
      </c>
      <c r="AZ206" s="257">
        <v>1</v>
      </c>
      <c r="BA206" s="257">
        <v>0</v>
      </c>
      <c r="BB206" s="257">
        <v>0</v>
      </c>
      <c r="BC206" s="257">
        <v>0</v>
      </c>
      <c r="BD206" s="257">
        <v>0</v>
      </c>
      <c r="BE206" s="257" t="s">
        <v>93</v>
      </c>
      <c r="BF206" s="2" t="str" cm="1">
        <f t="array" ref="BF206">IF(COUNTIF(AZ206:BB206,"&lt;&gt;0")=1,INDEX($V$4:$AW$4,MATCH(TRUE,INDEX($V206:$AW206&lt;&gt;0,),0)),IF(COUNTIF(AZ206:BB206,"&lt;&gt;0")=0,INDEX($AM$4:$AW$4,MATCH(1,$AM206:$AW206,0)),"Multiple strategies"))</f>
        <v>SilvicultureProd</v>
      </c>
      <c r="BG206" s="280" t="s">
        <v>230</v>
      </c>
      <c r="BH206" s="257" t="s">
        <v>231</v>
      </c>
      <c r="BI206" s="281" t="s">
        <v>3073</v>
      </c>
      <c r="BJ206" s="278" t="s">
        <v>232</v>
      </c>
      <c r="BK206" s="257">
        <v>53.696488079979403</v>
      </c>
      <c r="BL206" s="257">
        <v>75.212579794444494</v>
      </c>
      <c r="BM206" s="278">
        <v>1.4006983041873704</v>
      </c>
      <c r="BN206" s="257">
        <v>21.516091714465091</v>
      </c>
      <c r="BO206" s="278">
        <v>43.910391254010392</v>
      </c>
      <c r="BP206" s="278" t="s">
        <v>233</v>
      </c>
      <c r="BQ206" s="312" t="s">
        <v>3073</v>
      </c>
      <c r="BR206" s="278" t="s">
        <v>234</v>
      </c>
      <c r="BS206" s="257">
        <v>-9.4136546184738901</v>
      </c>
      <c r="BT206" s="257">
        <v>-8.4548837897123708</v>
      </c>
      <c r="BU206" s="259">
        <v>0.89815105104026516</v>
      </c>
      <c r="BV206" s="257">
        <v>0.95877082876151931</v>
      </c>
      <c r="BW206" s="257"/>
      <c r="BX206" s="257">
        <v>9.5877082876151933E-4</v>
      </c>
      <c r="BY206" s="257">
        <v>2.1834713865683297E-5</v>
      </c>
      <c r="BZ206" s="257">
        <v>0</v>
      </c>
      <c r="CA206" s="257">
        <v>0</v>
      </c>
      <c r="CB206" s="257">
        <v>0</v>
      </c>
      <c r="CC206" s="257">
        <v>0</v>
      </c>
      <c r="CD206" s="257">
        <v>0</v>
      </c>
      <c r="CE206" s="257">
        <v>0</v>
      </c>
      <c r="CF206" s="257">
        <v>0</v>
      </c>
      <c r="CG206" s="257">
        <v>0</v>
      </c>
      <c r="CH206" s="257">
        <v>0</v>
      </c>
      <c r="CI206" s="257">
        <v>0</v>
      </c>
      <c r="CJ206" s="257">
        <v>0</v>
      </c>
      <c r="CK206" s="257">
        <v>0</v>
      </c>
      <c r="CL206" s="257">
        <v>0</v>
      </c>
      <c r="CM206" s="257">
        <v>0</v>
      </c>
      <c r="CN206" s="257" t="s">
        <v>3074</v>
      </c>
      <c r="CO206" s="257">
        <v>53.696488079979403</v>
      </c>
      <c r="CP206" s="257">
        <v>75.212579794444494</v>
      </c>
      <c r="CQ206" s="257">
        <v>43.910391254010392</v>
      </c>
      <c r="CR206" s="257">
        <v>-9.4136546184738901</v>
      </c>
      <c r="CS206" s="257">
        <v>-8.4548837897123708</v>
      </c>
      <c r="CT206" s="257">
        <v>9.5877082876151933E-4</v>
      </c>
      <c r="CU206" s="257">
        <v>2.1834713865683297E-5</v>
      </c>
      <c r="CV206" s="258">
        <v>0.10184894895973483</v>
      </c>
      <c r="CW206" s="256" t="s">
        <v>235</v>
      </c>
      <c r="CX206" s="257" t="s">
        <v>3075</v>
      </c>
      <c r="CY206" s="257" t="s">
        <v>236</v>
      </c>
      <c r="CZ206" s="257"/>
      <c r="DA206" s="278"/>
      <c r="DB206" s="278">
        <v>80</v>
      </c>
      <c r="DC206" s="257" t="s">
        <v>3076</v>
      </c>
      <c r="DD206" s="257">
        <v>0</v>
      </c>
      <c r="DE206" s="257">
        <v>1</v>
      </c>
      <c r="DF206" s="257">
        <v>0</v>
      </c>
      <c r="DG206" s="257">
        <v>0</v>
      </c>
      <c r="DH206" s="257"/>
      <c r="DI206" s="257">
        <v>1</v>
      </c>
      <c r="DJ206" s="257" t="s">
        <v>174</v>
      </c>
      <c r="DK206" s="257">
        <v>0</v>
      </c>
      <c r="DL206" s="257" t="s">
        <v>181</v>
      </c>
      <c r="DM206" s="257">
        <v>0</v>
      </c>
      <c r="DN206" s="257">
        <v>0</v>
      </c>
      <c r="DO206" s="257">
        <v>0</v>
      </c>
      <c r="DP206" s="278">
        <v>0</v>
      </c>
      <c r="DQ206" s="278">
        <v>0</v>
      </c>
      <c r="DR206" s="278">
        <v>0</v>
      </c>
      <c r="DS206" s="278">
        <v>0</v>
      </c>
      <c r="DT206" s="257">
        <v>0</v>
      </c>
      <c r="DU206" s="278" t="s">
        <v>964</v>
      </c>
      <c r="DV206" s="278">
        <v>1</v>
      </c>
      <c r="DW206" s="278">
        <v>1</v>
      </c>
      <c r="DX206" s="278">
        <v>1</v>
      </c>
      <c r="DY206" s="278">
        <v>0</v>
      </c>
      <c r="DZ206" s="257">
        <v>0</v>
      </c>
      <c r="EA206" s="278">
        <v>0</v>
      </c>
      <c r="EB206" s="278">
        <v>1</v>
      </c>
      <c r="EC206" s="278">
        <v>1</v>
      </c>
      <c r="ED206" s="278">
        <v>0</v>
      </c>
      <c r="EE206" s="278">
        <v>0</v>
      </c>
      <c r="EF206" s="257">
        <v>1</v>
      </c>
      <c r="EG206" s="278">
        <v>0</v>
      </c>
      <c r="EH206" s="257">
        <v>0</v>
      </c>
      <c r="EI206" s="258">
        <v>0</v>
      </c>
      <c r="EJ206" s="256"/>
      <c r="EK206" t="str">
        <f>IF(AND(AND(AND(OR($DX206=1,$DW206=1),OR($EC206=1,$EA206=1)),SUM($DV206:$DZ206,$EF206)&gt;=4),SUM($EA206:$EE206)&gt;=2),"Whole sector","")</f>
        <v>Whole sector</v>
      </c>
      <c r="EL206" t="str">
        <f>IF(AND(AND(OR($DX206=1,$DW206=1),AND($EC206=0,$EA206=0)),SUM($DV206:$DZ206,$EF206)&gt;=4),"Ecosystem approach","")</f>
        <v/>
      </c>
      <c r="EM206" s="258" t="s">
        <v>545</v>
      </c>
      <c r="EN206" s="257" t="s">
        <v>237</v>
      </c>
      <c r="EO206" s="257"/>
      <c r="EP206" t="str">
        <f>IF(ISNUMBER(BU206),IF(ABS(BU206-[3]QC_indicators!$B$2)&gt;3*[3]QC_indicators!$C$2,"C ratio",IF(ISNUMBER(BY206),IF(ABS(BY206-[3]QC_indicators!$B$1)&gt;3*[3]QC_indicators!$C$1,"DF","no"))),IF(ISNUMBER(BY206),IF(ABS(BY206-[3]QC_indicators!$B$1)&gt;3*[3]QC_indicators!$C$1,"DF","no")))</f>
        <v>no</v>
      </c>
      <c r="EQ206" s="257"/>
      <c r="ER206" s="257"/>
      <c r="ES206"/>
      <c r="ET206"/>
      <c r="EU206"/>
    </row>
    <row r="207" spans="1:151" s="139" customFormat="1" ht="15" hidden="1" customHeight="1">
      <c r="A207" s="256" t="s">
        <v>215</v>
      </c>
      <c r="B207" s="257" t="s">
        <v>216</v>
      </c>
      <c r="C207" s="257" t="s">
        <v>217</v>
      </c>
      <c r="D207" s="257" t="s">
        <v>218</v>
      </c>
      <c r="E207" s="257" t="s">
        <v>219</v>
      </c>
      <c r="F207" s="257" t="s">
        <v>220</v>
      </c>
      <c r="G207" s="257" t="s">
        <v>221</v>
      </c>
      <c r="H207" s="257"/>
      <c r="I207" s="257">
        <v>2012</v>
      </c>
      <c r="J207" s="257"/>
      <c r="K207" s="257" t="s">
        <v>222</v>
      </c>
      <c r="L207" s="257"/>
      <c r="M207" s="257" t="s">
        <v>3072</v>
      </c>
      <c r="N207" s="257" t="s">
        <v>223</v>
      </c>
      <c r="O207" s="277" t="s">
        <v>224</v>
      </c>
      <c r="P207" s="257"/>
      <c r="Q207" s="257" t="s">
        <v>225</v>
      </c>
      <c r="R207" s="258" t="s">
        <v>226</v>
      </c>
      <c r="S207" s="256" t="s">
        <v>93</v>
      </c>
      <c r="T207" s="257" t="s">
        <v>246</v>
      </c>
      <c r="U207" s="278" t="s">
        <v>247</v>
      </c>
      <c r="V207" s="257">
        <v>0</v>
      </c>
      <c r="W207" s="257">
        <v>0</v>
      </c>
      <c r="X207" s="257">
        <v>0</v>
      </c>
      <c r="Y207" s="257">
        <v>0</v>
      </c>
      <c r="Z207" s="257">
        <v>1</v>
      </c>
      <c r="AA207" s="257">
        <v>0</v>
      </c>
      <c r="AB207" s="257">
        <v>0</v>
      </c>
      <c r="AC207" s="257">
        <v>0</v>
      </c>
      <c r="AD207" s="257">
        <v>0</v>
      </c>
      <c r="AE207" s="257">
        <v>0</v>
      </c>
      <c r="AF207" s="257">
        <v>0</v>
      </c>
      <c r="AG207" s="257">
        <v>0</v>
      </c>
      <c r="AH207" s="257">
        <v>0</v>
      </c>
      <c r="AI207" s="257">
        <v>0</v>
      </c>
      <c r="AJ207" s="257">
        <v>0</v>
      </c>
      <c r="AK207" s="257">
        <v>0</v>
      </c>
      <c r="AL207" s="257">
        <v>0</v>
      </c>
      <c r="AM207" s="257">
        <v>0</v>
      </c>
      <c r="AN207" s="257">
        <v>0</v>
      </c>
      <c r="AO207" s="257">
        <v>0</v>
      </c>
      <c r="AP207" s="257">
        <v>0</v>
      </c>
      <c r="AQ207" s="257">
        <v>0</v>
      </c>
      <c r="AR207" s="257">
        <v>0</v>
      </c>
      <c r="AS207" s="257">
        <v>0</v>
      </c>
      <c r="AT207" s="257">
        <v>0</v>
      </c>
      <c r="AU207" s="257">
        <v>0</v>
      </c>
      <c r="AV207" s="257">
        <v>0</v>
      </c>
      <c r="AW207" s="257">
        <v>0</v>
      </c>
      <c r="AX207" s="279">
        <v>1</v>
      </c>
      <c r="AY207" s="279">
        <v>1</v>
      </c>
      <c r="AZ207" s="257">
        <v>1</v>
      </c>
      <c r="BA207" s="257">
        <v>0</v>
      </c>
      <c r="BB207" s="257">
        <v>0</v>
      </c>
      <c r="BC207" s="257">
        <v>0</v>
      </c>
      <c r="BD207" s="257">
        <v>0</v>
      </c>
      <c r="BE207" s="257" t="s">
        <v>93</v>
      </c>
      <c r="BF207" s="2" t="str" cm="1">
        <f t="array" ref="BF207">IF(COUNTIF(AZ207:BB207,"&lt;&gt;0")=1,INDEX($V$4:$AW$4,MATCH(TRUE,INDEX($V207:$AW207&lt;&gt;0,),0)),IF(COUNTIF(AZ207:BB207,"&lt;&gt;0")=0,INDEX($AM$4:$AW$4,MATCH(1,$AM207:$AW207,0)),"Multiple strategies"))</f>
        <v>SilvicultureProd</v>
      </c>
      <c r="BG207" s="280" t="s">
        <v>230</v>
      </c>
      <c r="BH207" s="257" t="s">
        <v>231</v>
      </c>
      <c r="BI207" s="281" t="s">
        <v>3073</v>
      </c>
      <c r="BJ207" s="278" t="s">
        <v>232</v>
      </c>
      <c r="BK207" s="257">
        <v>49.052379731692703</v>
      </c>
      <c r="BL207" s="257">
        <v>74.931604761787398</v>
      </c>
      <c r="BM207" s="278">
        <v>1.5275834765132537</v>
      </c>
      <c r="BN207" s="257">
        <v>25.879225030094695</v>
      </c>
      <c r="BO207" s="278">
        <v>52.814744959376931</v>
      </c>
      <c r="BP207" s="278" t="s">
        <v>233</v>
      </c>
      <c r="BQ207" s="312" t="s">
        <v>3073</v>
      </c>
      <c r="BR207" s="278" t="s">
        <v>234</v>
      </c>
      <c r="BS207" s="257">
        <v>-9.7349397590361395</v>
      </c>
      <c r="BT207" s="257">
        <v>-8.5161560643777907</v>
      </c>
      <c r="BU207" s="259">
        <v>0.87480316007841208</v>
      </c>
      <c r="BV207" s="257">
        <v>1.2187836946583488</v>
      </c>
      <c r="BW207" s="257"/>
      <c r="BX207" s="257">
        <v>1.2187836946583488E-3</v>
      </c>
      <c r="BY207" s="257">
        <v>2.3076580140560944E-5</v>
      </c>
      <c r="BZ207" s="257">
        <v>0</v>
      </c>
      <c r="CA207" s="257">
        <v>0</v>
      </c>
      <c r="CB207" s="257">
        <v>0</v>
      </c>
      <c r="CC207" s="257">
        <v>0</v>
      </c>
      <c r="CD207" s="257">
        <v>0</v>
      </c>
      <c r="CE207" s="257">
        <v>0</v>
      </c>
      <c r="CF207" s="257">
        <v>0</v>
      </c>
      <c r="CG207" s="257">
        <v>0</v>
      </c>
      <c r="CH207" s="257">
        <v>0</v>
      </c>
      <c r="CI207" s="257">
        <v>0</v>
      </c>
      <c r="CJ207" s="257">
        <v>0</v>
      </c>
      <c r="CK207" s="257">
        <v>0</v>
      </c>
      <c r="CL207" s="257">
        <v>0</v>
      </c>
      <c r="CM207" s="257">
        <v>0</v>
      </c>
      <c r="CN207" s="257" t="s">
        <v>3074</v>
      </c>
      <c r="CO207" s="257">
        <v>49.052379731692703</v>
      </c>
      <c r="CP207" s="257">
        <v>74.931604761787398</v>
      </c>
      <c r="CQ207" s="257">
        <v>52.814744959376931</v>
      </c>
      <c r="CR207" s="257">
        <v>-9.7349397590361395</v>
      </c>
      <c r="CS207" s="257">
        <v>-8.5161560643777907</v>
      </c>
      <c r="CT207" s="257">
        <v>1.2187836946583488E-3</v>
      </c>
      <c r="CU207" s="257">
        <v>2.3076580140560944E-5</v>
      </c>
      <c r="CV207" s="258">
        <v>0.12519683992158787</v>
      </c>
      <c r="CW207" s="256" t="s">
        <v>235</v>
      </c>
      <c r="CX207" s="257" t="s">
        <v>3075</v>
      </c>
      <c r="CY207" s="257" t="s">
        <v>236</v>
      </c>
      <c r="CZ207" s="257"/>
      <c r="DA207" s="278"/>
      <c r="DB207" s="278">
        <v>80</v>
      </c>
      <c r="DC207" s="257" t="s">
        <v>3076</v>
      </c>
      <c r="DD207" s="257">
        <v>0</v>
      </c>
      <c r="DE207" s="257">
        <v>1</v>
      </c>
      <c r="DF207" s="257">
        <v>0</v>
      </c>
      <c r="DG207" s="257">
        <v>0</v>
      </c>
      <c r="DH207" s="257"/>
      <c r="DI207" s="257">
        <v>1</v>
      </c>
      <c r="DJ207" s="257" t="s">
        <v>174</v>
      </c>
      <c r="DK207" s="257">
        <v>0</v>
      </c>
      <c r="DL207" s="257" t="s">
        <v>181</v>
      </c>
      <c r="DM207" s="257">
        <v>0</v>
      </c>
      <c r="DN207" s="257">
        <v>0</v>
      </c>
      <c r="DO207" s="257">
        <v>0</v>
      </c>
      <c r="DP207" s="278">
        <v>0</v>
      </c>
      <c r="DQ207" s="278">
        <v>0</v>
      </c>
      <c r="DR207" s="278">
        <v>0</v>
      </c>
      <c r="DS207" s="278">
        <v>0</v>
      </c>
      <c r="DT207" s="257">
        <v>0</v>
      </c>
      <c r="DU207" s="278" t="s">
        <v>964</v>
      </c>
      <c r="DV207" s="278">
        <v>1</v>
      </c>
      <c r="DW207" s="278">
        <v>1</v>
      </c>
      <c r="DX207" s="278">
        <v>1</v>
      </c>
      <c r="DY207" s="278">
        <v>0</v>
      </c>
      <c r="DZ207" s="257">
        <v>0</v>
      </c>
      <c r="EA207" s="278">
        <v>0</v>
      </c>
      <c r="EB207" s="278">
        <v>1</v>
      </c>
      <c r="EC207" s="278">
        <v>1</v>
      </c>
      <c r="ED207" s="278">
        <v>0</v>
      </c>
      <c r="EE207" s="278">
        <v>0</v>
      </c>
      <c r="EF207" s="257">
        <v>1</v>
      </c>
      <c r="EG207" s="278">
        <v>0</v>
      </c>
      <c r="EH207" s="257">
        <v>0</v>
      </c>
      <c r="EI207" s="258">
        <v>0</v>
      </c>
      <c r="EJ207" s="256"/>
      <c r="EK207" t="str">
        <f>IF(AND(AND(AND(OR($DX207=1,$DW207=1),OR($EC207=1,$EA207=1)),SUM($DV207:$DZ207,$EF207)&gt;=4),SUM($EA207:$EE207)&gt;=2),"Whole sector","")</f>
        <v>Whole sector</v>
      </c>
      <c r="EL207" t="str">
        <f>IF(AND(AND(OR($DX207=1,$DW207=1),AND($EC207=0,$EA207=0)),SUM($DV207:$DZ207,$EF207)&gt;=4),"Ecosystem approach","")</f>
        <v/>
      </c>
      <c r="EM207" s="258" t="s">
        <v>545</v>
      </c>
      <c r="EN207" s="257" t="s">
        <v>237</v>
      </c>
      <c r="EO207" s="257"/>
      <c r="EP207" t="str">
        <f>IF(ISNUMBER(BU207),IF(ABS(BU207-[3]QC_indicators!$B$2)&gt;3*[3]QC_indicators!$C$2,"C ratio",IF(ISNUMBER(BY207),IF(ABS(BY207-[3]QC_indicators!$B$1)&gt;3*[3]QC_indicators!$C$1,"DF","no"))),IF(ISNUMBER(BY207),IF(ABS(BY207-[3]QC_indicators!$B$1)&gt;3*[3]QC_indicators!$C$1,"DF","no")))</f>
        <v>no</v>
      </c>
      <c r="EQ207" s="257"/>
      <c r="ER207" s="257"/>
      <c r="ES207"/>
      <c r="ET207"/>
      <c r="EU207"/>
    </row>
    <row r="208" spans="1:151" s="139" customFormat="1" ht="15" hidden="1" customHeight="1">
      <c r="A208" s="256" t="s">
        <v>215</v>
      </c>
      <c r="B208" s="257" t="s">
        <v>216</v>
      </c>
      <c r="C208" s="257" t="s">
        <v>217</v>
      </c>
      <c r="D208" s="257" t="s">
        <v>218</v>
      </c>
      <c r="E208" s="257" t="s">
        <v>219</v>
      </c>
      <c r="F208" s="257" t="s">
        <v>220</v>
      </c>
      <c r="G208" s="257" t="s">
        <v>221</v>
      </c>
      <c r="H208" s="257"/>
      <c r="I208" s="257">
        <v>2012</v>
      </c>
      <c r="J208" s="257"/>
      <c r="K208" s="257" t="s">
        <v>222</v>
      </c>
      <c r="L208" s="257"/>
      <c r="M208" s="257" t="s">
        <v>3072</v>
      </c>
      <c r="N208" s="257" t="s">
        <v>223</v>
      </c>
      <c r="O208" s="277" t="s">
        <v>224</v>
      </c>
      <c r="P208" s="257"/>
      <c r="Q208" s="257" t="s">
        <v>225</v>
      </c>
      <c r="R208" s="258" t="s">
        <v>226</v>
      </c>
      <c r="S208" s="256" t="s">
        <v>93</v>
      </c>
      <c r="T208" s="257" t="s">
        <v>246</v>
      </c>
      <c r="U208" s="278" t="s">
        <v>247</v>
      </c>
      <c r="V208" s="257">
        <v>0</v>
      </c>
      <c r="W208" s="257">
        <v>0</v>
      </c>
      <c r="X208" s="257">
        <v>0</v>
      </c>
      <c r="Y208" s="257">
        <v>0</v>
      </c>
      <c r="Z208" s="257">
        <v>1</v>
      </c>
      <c r="AA208" s="257">
        <v>0</v>
      </c>
      <c r="AB208" s="257">
        <v>0</v>
      </c>
      <c r="AC208" s="257">
        <v>0</v>
      </c>
      <c r="AD208" s="257">
        <v>0</v>
      </c>
      <c r="AE208" s="257">
        <v>0</v>
      </c>
      <c r="AF208" s="257">
        <v>0</v>
      </c>
      <c r="AG208" s="257">
        <v>0</v>
      </c>
      <c r="AH208" s="257">
        <v>0</v>
      </c>
      <c r="AI208" s="257">
        <v>0</v>
      </c>
      <c r="AJ208" s="257">
        <v>0</v>
      </c>
      <c r="AK208" s="257">
        <v>0</v>
      </c>
      <c r="AL208" s="257">
        <v>0</v>
      </c>
      <c r="AM208" s="257">
        <v>0</v>
      </c>
      <c r="AN208" s="257">
        <v>0</v>
      </c>
      <c r="AO208" s="257">
        <v>0</v>
      </c>
      <c r="AP208" s="257">
        <v>0</v>
      </c>
      <c r="AQ208" s="257">
        <v>0</v>
      </c>
      <c r="AR208" s="257">
        <v>0</v>
      </c>
      <c r="AS208" s="257">
        <v>0</v>
      </c>
      <c r="AT208" s="257">
        <v>0</v>
      </c>
      <c r="AU208" s="257">
        <v>0</v>
      </c>
      <c r="AV208" s="257">
        <v>0</v>
      </c>
      <c r="AW208" s="257">
        <v>0</v>
      </c>
      <c r="AX208" s="279">
        <v>1</v>
      </c>
      <c r="AY208" s="279">
        <v>1</v>
      </c>
      <c r="AZ208" s="257">
        <v>1</v>
      </c>
      <c r="BA208" s="257">
        <v>0</v>
      </c>
      <c r="BB208" s="257">
        <v>0</v>
      </c>
      <c r="BC208" s="257">
        <v>0</v>
      </c>
      <c r="BD208" s="257">
        <v>0</v>
      </c>
      <c r="BE208" s="257" t="s">
        <v>93</v>
      </c>
      <c r="BF208" s="2" t="str" cm="1">
        <f t="array" ref="BF208">IF(COUNTIF(AZ208:BB208,"&lt;&gt;0")=1,INDEX($V$4:$AW$4,MATCH(TRUE,INDEX($V208:$AW208&lt;&gt;0,),0)),IF(COUNTIF(AZ208:BB208,"&lt;&gt;0")=0,INDEX($AM$4:$AW$4,MATCH(1,$AM208:$AW208,0)),"Multiple strategies"))</f>
        <v>SilvicultureProd</v>
      </c>
      <c r="BG208" s="280" t="s">
        <v>230</v>
      </c>
      <c r="BH208" s="257" t="s">
        <v>231</v>
      </c>
      <c r="BI208" s="281" t="s">
        <v>3073</v>
      </c>
      <c r="BJ208" s="278" t="s">
        <v>232</v>
      </c>
      <c r="BK208" s="257">
        <v>48.643391097519498</v>
      </c>
      <c r="BL208" s="257">
        <v>64.183526540573496</v>
      </c>
      <c r="BM208" s="278">
        <v>1.3194706432349541</v>
      </c>
      <c r="BN208" s="257">
        <v>15.540135443053998</v>
      </c>
      <c r="BO208" s="278">
        <v>31.714562128681628</v>
      </c>
      <c r="BP208" s="278" t="s">
        <v>233</v>
      </c>
      <c r="BQ208" s="312" t="s">
        <v>3073</v>
      </c>
      <c r="BR208" s="278" t="s">
        <v>234</v>
      </c>
      <c r="BS208" s="257">
        <v>-9.3488297325102803</v>
      </c>
      <c r="BT208" s="257">
        <v>-8.4950335570469804</v>
      </c>
      <c r="BU208" s="259">
        <v>0.90867347038161916</v>
      </c>
      <c r="BV208" s="257">
        <v>0.85379617546329989</v>
      </c>
      <c r="BW208" s="257"/>
      <c r="BX208" s="257">
        <v>8.537961754632999E-4</v>
      </c>
      <c r="BY208" s="257">
        <v>2.6921266388576564E-5</v>
      </c>
      <c r="BZ208" s="257">
        <v>0</v>
      </c>
      <c r="CA208" s="257">
        <v>0</v>
      </c>
      <c r="CB208" s="257">
        <v>0</v>
      </c>
      <c r="CC208" s="257">
        <v>0</v>
      </c>
      <c r="CD208" s="257">
        <v>0</v>
      </c>
      <c r="CE208" s="257">
        <v>0</v>
      </c>
      <c r="CF208" s="257">
        <v>0</v>
      </c>
      <c r="CG208" s="257">
        <v>0</v>
      </c>
      <c r="CH208" s="257">
        <v>0</v>
      </c>
      <c r="CI208" s="257">
        <v>0</v>
      </c>
      <c r="CJ208" s="257">
        <v>0</v>
      </c>
      <c r="CK208" s="257">
        <v>0</v>
      </c>
      <c r="CL208" s="257">
        <v>0</v>
      </c>
      <c r="CM208" s="257">
        <v>0</v>
      </c>
      <c r="CN208" s="257" t="s">
        <v>3074</v>
      </c>
      <c r="CO208" s="257">
        <v>48.643391097519498</v>
      </c>
      <c r="CP208" s="257">
        <v>64.183526540573496</v>
      </c>
      <c r="CQ208" s="257">
        <v>31.714562128681628</v>
      </c>
      <c r="CR208" s="257">
        <v>-9.3488297325102803</v>
      </c>
      <c r="CS208" s="257">
        <v>-8.4950335570469804</v>
      </c>
      <c r="CT208" s="257">
        <v>8.537961754632999E-4</v>
      </c>
      <c r="CU208" s="257">
        <v>2.6921266388576564E-5</v>
      </c>
      <c r="CV208" s="258">
        <v>9.1326529618380878E-2</v>
      </c>
      <c r="CW208" s="256" t="s">
        <v>235</v>
      </c>
      <c r="CX208" s="257" t="s">
        <v>3075</v>
      </c>
      <c r="CY208" s="257" t="s">
        <v>236</v>
      </c>
      <c r="CZ208" s="257"/>
      <c r="DA208" s="278"/>
      <c r="DB208" s="278">
        <v>80</v>
      </c>
      <c r="DC208" s="257" t="s">
        <v>3076</v>
      </c>
      <c r="DD208" s="257">
        <v>0</v>
      </c>
      <c r="DE208" s="257">
        <v>1</v>
      </c>
      <c r="DF208" s="257">
        <v>0</v>
      </c>
      <c r="DG208" s="257">
        <v>0</v>
      </c>
      <c r="DH208" s="257"/>
      <c r="DI208" s="257">
        <v>1</v>
      </c>
      <c r="DJ208" s="257" t="s">
        <v>174</v>
      </c>
      <c r="DK208" s="257">
        <v>0</v>
      </c>
      <c r="DL208" s="257" t="s">
        <v>181</v>
      </c>
      <c r="DM208" s="257">
        <v>0</v>
      </c>
      <c r="DN208" s="257">
        <v>0</v>
      </c>
      <c r="DO208" s="257">
        <v>0</v>
      </c>
      <c r="DP208" s="278">
        <v>0</v>
      </c>
      <c r="DQ208" s="278">
        <v>0</v>
      </c>
      <c r="DR208" s="278">
        <v>0</v>
      </c>
      <c r="DS208" s="278">
        <v>0</v>
      </c>
      <c r="DT208" s="257">
        <v>0</v>
      </c>
      <c r="DU208" s="278" t="s">
        <v>964</v>
      </c>
      <c r="DV208" s="278">
        <v>1</v>
      </c>
      <c r="DW208" s="278">
        <v>1</v>
      </c>
      <c r="DX208" s="278">
        <v>1</v>
      </c>
      <c r="DY208" s="278">
        <v>0</v>
      </c>
      <c r="DZ208" s="257">
        <v>0</v>
      </c>
      <c r="EA208" s="278">
        <v>0</v>
      </c>
      <c r="EB208" s="278">
        <v>1</v>
      </c>
      <c r="EC208" s="278">
        <v>1</v>
      </c>
      <c r="ED208" s="278">
        <v>0</v>
      </c>
      <c r="EE208" s="278">
        <v>0</v>
      </c>
      <c r="EF208" s="257">
        <v>1</v>
      </c>
      <c r="EG208" s="278">
        <v>0</v>
      </c>
      <c r="EH208" s="257">
        <v>0</v>
      </c>
      <c r="EI208" s="258">
        <v>0</v>
      </c>
      <c r="EJ208" s="256"/>
      <c r="EK208" t="str">
        <f>IF(AND(AND(AND(OR($DX208=1,$DW208=1),OR($EC208=1,$EA208=1)),SUM($DV208:$DZ208,$EF208)&gt;=4),SUM($EA208:$EE208)&gt;=2),"Whole sector","")</f>
        <v>Whole sector</v>
      </c>
      <c r="EL208" t="str">
        <f>IF(AND(AND(OR($DX208=1,$DW208=1),AND($EC208=0,$EA208=0)),SUM($DV208:$DZ208,$EF208)&gt;=4),"Ecosystem approach","")</f>
        <v/>
      </c>
      <c r="EM208" s="258" t="s">
        <v>545</v>
      </c>
      <c r="EN208" s="257" t="s">
        <v>237</v>
      </c>
      <c r="EO208" s="257"/>
      <c r="EP208" t="str">
        <f>IF(ISNUMBER(BU208),IF(ABS(BU208-[3]QC_indicators!$B$2)&gt;3*[3]QC_indicators!$C$2,"C ratio",IF(ISNUMBER(BY208),IF(ABS(BY208-[3]QC_indicators!$B$1)&gt;3*[3]QC_indicators!$C$1,"DF","no"))),IF(ISNUMBER(BY208),IF(ABS(BY208-[3]QC_indicators!$B$1)&gt;3*[3]QC_indicators!$C$1,"DF","no")))</f>
        <v>no</v>
      </c>
      <c r="EQ208" s="257"/>
      <c r="ER208" s="257"/>
      <c r="ES208"/>
      <c r="ET208"/>
      <c r="EU208"/>
    </row>
    <row r="209" spans="1:151" s="139" customFormat="1" ht="15" hidden="1" customHeight="1">
      <c r="A209" s="256" t="s">
        <v>215</v>
      </c>
      <c r="B209" s="257" t="s">
        <v>216</v>
      </c>
      <c r="C209" s="257" t="s">
        <v>217</v>
      </c>
      <c r="D209" s="257" t="s">
        <v>218</v>
      </c>
      <c r="E209" s="257" t="s">
        <v>219</v>
      </c>
      <c r="F209" s="257" t="s">
        <v>220</v>
      </c>
      <c r="G209" s="257" t="s">
        <v>221</v>
      </c>
      <c r="H209" s="257"/>
      <c r="I209" s="257">
        <v>2012</v>
      </c>
      <c r="J209" s="257"/>
      <c r="K209" s="257" t="s">
        <v>222</v>
      </c>
      <c r="L209" s="257"/>
      <c r="M209" s="257" t="s">
        <v>3072</v>
      </c>
      <c r="N209" s="257" t="s">
        <v>223</v>
      </c>
      <c r="O209" s="277" t="s">
        <v>224</v>
      </c>
      <c r="P209" s="257"/>
      <c r="Q209" s="257" t="s">
        <v>225</v>
      </c>
      <c r="R209" s="258" t="s">
        <v>226</v>
      </c>
      <c r="S209" s="256" t="s">
        <v>93</v>
      </c>
      <c r="T209" s="257" t="s">
        <v>246</v>
      </c>
      <c r="U209" s="278" t="s">
        <v>247</v>
      </c>
      <c r="V209" s="257">
        <v>0</v>
      </c>
      <c r="W209" s="257">
        <v>0</v>
      </c>
      <c r="X209" s="257">
        <v>0</v>
      </c>
      <c r="Y209" s="257">
        <v>0</v>
      </c>
      <c r="Z209" s="257">
        <v>1</v>
      </c>
      <c r="AA209" s="257">
        <v>0</v>
      </c>
      <c r="AB209" s="257">
        <v>0</v>
      </c>
      <c r="AC209" s="257">
        <v>0</v>
      </c>
      <c r="AD209" s="257">
        <v>0</v>
      </c>
      <c r="AE209" s="257">
        <v>0</v>
      </c>
      <c r="AF209" s="257">
        <v>0</v>
      </c>
      <c r="AG209" s="257">
        <v>0</v>
      </c>
      <c r="AH209" s="257">
        <v>0</v>
      </c>
      <c r="AI209" s="257">
        <v>0</v>
      </c>
      <c r="AJ209" s="257">
        <v>0</v>
      </c>
      <c r="AK209" s="257">
        <v>0</v>
      </c>
      <c r="AL209" s="257">
        <v>0</v>
      </c>
      <c r="AM209" s="257">
        <v>0</v>
      </c>
      <c r="AN209" s="257">
        <v>0</v>
      </c>
      <c r="AO209" s="257">
        <v>0</v>
      </c>
      <c r="AP209" s="257">
        <v>0</v>
      </c>
      <c r="AQ209" s="257">
        <v>0</v>
      </c>
      <c r="AR209" s="257">
        <v>0</v>
      </c>
      <c r="AS209" s="257">
        <v>0</v>
      </c>
      <c r="AT209" s="257">
        <v>0</v>
      </c>
      <c r="AU209" s="257">
        <v>0</v>
      </c>
      <c r="AV209" s="257">
        <v>0</v>
      </c>
      <c r="AW209" s="257">
        <v>0</v>
      </c>
      <c r="AX209" s="279">
        <v>1</v>
      </c>
      <c r="AY209" s="279">
        <v>1</v>
      </c>
      <c r="AZ209" s="257">
        <v>1</v>
      </c>
      <c r="BA209" s="257">
        <v>0</v>
      </c>
      <c r="BB209" s="257">
        <v>0</v>
      </c>
      <c r="BC209" s="257">
        <v>0</v>
      </c>
      <c r="BD209" s="257">
        <v>0</v>
      </c>
      <c r="BE209" s="257" t="s">
        <v>93</v>
      </c>
      <c r="BF209" s="2" t="str" cm="1">
        <f t="array" ref="BF209">IF(COUNTIF(AZ209:BB209,"&lt;&gt;0")=1,INDEX($V$4:$AW$4,MATCH(TRUE,INDEX($V209:$AW209&lt;&gt;0,),0)),IF(COUNTIF(AZ209:BB209,"&lt;&gt;0")=0,INDEX($AM$4:$AW$4,MATCH(1,$AM209:$AW209,0)),"Multiple strategies"))</f>
        <v>SilvicultureProd</v>
      </c>
      <c r="BG209" s="280" t="s">
        <v>230</v>
      </c>
      <c r="BH209" s="257" t="s">
        <v>231</v>
      </c>
      <c r="BI209" s="281" t="s">
        <v>3073</v>
      </c>
      <c r="BJ209" s="278" t="s">
        <v>232</v>
      </c>
      <c r="BK209" s="257">
        <v>41.741420319401897</v>
      </c>
      <c r="BL209" s="257">
        <v>55.163392312385596</v>
      </c>
      <c r="BM209" s="278">
        <v>1.321550438156629</v>
      </c>
      <c r="BN209" s="257">
        <v>13.4219719929837</v>
      </c>
      <c r="BO209" s="278">
        <v>27.391779577517756</v>
      </c>
      <c r="BP209" s="278" t="s">
        <v>233</v>
      </c>
      <c r="BQ209" s="312" t="s">
        <v>3073</v>
      </c>
      <c r="BR209" s="278" t="s">
        <v>234</v>
      </c>
      <c r="BS209" s="257">
        <v>-10.1626318158436</v>
      </c>
      <c r="BT209" s="257">
        <v>-9.0346308724832198</v>
      </c>
      <c r="BU209" s="259">
        <v>0.88900503690374566</v>
      </c>
      <c r="BV209" s="257">
        <v>1.1280009433603801</v>
      </c>
      <c r="BW209" s="257"/>
      <c r="BX209" s="257">
        <v>1.1280009433603801E-3</v>
      </c>
      <c r="BY209" s="257">
        <v>4.1180272357558146E-5</v>
      </c>
      <c r="BZ209" s="257">
        <v>0</v>
      </c>
      <c r="CA209" s="257">
        <v>0</v>
      </c>
      <c r="CB209" s="257">
        <v>0</v>
      </c>
      <c r="CC209" s="257">
        <v>0</v>
      </c>
      <c r="CD209" s="257">
        <v>0</v>
      </c>
      <c r="CE209" s="257">
        <v>0</v>
      </c>
      <c r="CF209" s="257">
        <v>0</v>
      </c>
      <c r="CG209" s="257">
        <v>0</v>
      </c>
      <c r="CH209" s="257">
        <v>0</v>
      </c>
      <c r="CI209" s="257">
        <v>0</v>
      </c>
      <c r="CJ209" s="257">
        <v>0</v>
      </c>
      <c r="CK209" s="257">
        <v>0</v>
      </c>
      <c r="CL209" s="257">
        <v>0</v>
      </c>
      <c r="CM209" s="257">
        <v>0</v>
      </c>
      <c r="CN209" s="257" t="s">
        <v>3074</v>
      </c>
      <c r="CO209" s="257">
        <v>41.741420319401897</v>
      </c>
      <c r="CP209" s="257">
        <v>55.163392312385596</v>
      </c>
      <c r="CQ209" s="257">
        <v>27.391779577517756</v>
      </c>
      <c r="CR209" s="257">
        <v>-10.1626318158436</v>
      </c>
      <c r="CS209" s="257">
        <v>-9.0346308724832198</v>
      </c>
      <c r="CT209" s="257">
        <v>1.1280009433603801E-3</v>
      </c>
      <c r="CU209" s="257">
        <v>4.1180272357558146E-5</v>
      </c>
      <c r="CV209" s="258">
        <v>0.1109949630962543</v>
      </c>
      <c r="CW209" s="256" t="s">
        <v>235</v>
      </c>
      <c r="CX209" s="257" t="s">
        <v>3075</v>
      </c>
      <c r="CY209" s="257" t="s">
        <v>236</v>
      </c>
      <c r="CZ209" s="257"/>
      <c r="DA209" s="278"/>
      <c r="DB209" s="278">
        <v>80</v>
      </c>
      <c r="DC209" s="257" t="s">
        <v>3076</v>
      </c>
      <c r="DD209" s="257">
        <v>0</v>
      </c>
      <c r="DE209" s="257">
        <v>1</v>
      </c>
      <c r="DF209" s="257">
        <v>0</v>
      </c>
      <c r="DG209" s="257">
        <v>0</v>
      </c>
      <c r="DH209" s="257"/>
      <c r="DI209" s="257">
        <v>1</v>
      </c>
      <c r="DJ209" s="257" t="s">
        <v>174</v>
      </c>
      <c r="DK209" s="257">
        <v>0</v>
      </c>
      <c r="DL209" s="257" t="s">
        <v>181</v>
      </c>
      <c r="DM209" s="257">
        <v>0</v>
      </c>
      <c r="DN209" s="257">
        <v>0</v>
      </c>
      <c r="DO209" s="257">
        <v>0</v>
      </c>
      <c r="DP209" s="278">
        <v>0</v>
      </c>
      <c r="DQ209" s="278">
        <v>0</v>
      </c>
      <c r="DR209" s="278">
        <v>0</v>
      </c>
      <c r="DS209" s="278">
        <v>0</v>
      </c>
      <c r="DT209" s="257">
        <v>0</v>
      </c>
      <c r="DU209" s="278" t="s">
        <v>964</v>
      </c>
      <c r="DV209" s="278">
        <v>1</v>
      </c>
      <c r="DW209" s="278">
        <v>1</v>
      </c>
      <c r="DX209" s="278">
        <v>1</v>
      </c>
      <c r="DY209" s="278">
        <v>0</v>
      </c>
      <c r="DZ209" s="257">
        <v>0</v>
      </c>
      <c r="EA209" s="278">
        <v>0</v>
      </c>
      <c r="EB209" s="278">
        <v>1</v>
      </c>
      <c r="EC209" s="278">
        <v>1</v>
      </c>
      <c r="ED209" s="278">
        <v>0</v>
      </c>
      <c r="EE209" s="278">
        <v>0</v>
      </c>
      <c r="EF209" s="257">
        <v>1</v>
      </c>
      <c r="EG209" s="278">
        <v>0</v>
      </c>
      <c r="EH209" s="257">
        <v>0</v>
      </c>
      <c r="EI209" s="258">
        <v>0</v>
      </c>
      <c r="EJ209" s="256"/>
      <c r="EK209" t="str">
        <f>IF(AND(AND(AND(OR($DX209=1,$DW209=1),OR($EC209=1,$EA209=1)),SUM($DV209:$DZ209,$EF209)&gt;=4),SUM($EA209:$EE209)&gt;=2),"Whole sector","")</f>
        <v>Whole sector</v>
      </c>
      <c r="EL209" t="str">
        <f>IF(AND(AND(OR($DX209=1,$DW209=1),AND($EC209=0,$EA209=0)),SUM($DV209:$DZ209,$EF209)&gt;=4),"Ecosystem approach","")</f>
        <v/>
      </c>
      <c r="EM209" s="258" t="s">
        <v>545</v>
      </c>
      <c r="EN209" s="257" t="s">
        <v>237</v>
      </c>
      <c r="EO209" s="257"/>
      <c r="EP209" t="str">
        <f>IF(ISNUMBER(BU209),IF(ABS(BU209-[3]QC_indicators!$B$2)&gt;3*[3]QC_indicators!$C$2,"C ratio",IF(ISNUMBER(BY209),IF(ABS(BY209-[3]QC_indicators!$B$1)&gt;3*[3]QC_indicators!$C$1,"DF","no"))),IF(ISNUMBER(BY209),IF(ABS(BY209-[3]QC_indicators!$B$1)&gt;3*[3]QC_indicators!$C$1,"DF","no")))</f>
        <v>no</v>
      </c>
      <c r="EQ209" s="257"/>
      <c r="ER209" s="257"/>
      <c r="ES209"/>
      <c r="ET209"/>
      <c r="EU209"/>
    </row>
    <row r="210" spans="1:151" s="139" customFormat="1" ht="15" hidden="1" customHeight="1">
      <c r="A210" s="256" t="s">
        <v>215</v>
      </c>
      <c r="B210" s="257" t="s">
        <v>216</v>
      </c>
      <c r="C210" s="257" t="s">
        <v>217</v>
      </c>
      <c r="D210" s="257" t="s">
        <v>218</v>
      </c>
      <c r="E210" s="257" t="s">
        <v>219</v>
      </c>
      <c r="F210" s="257" t="s">
        <v>220</v>
      </c>
      <c r="G210" s="257" t="s">
        <v>221</v>
      </c>
      <c r="H210" s="257"/>
      <c r="I210" s="257">
        <v>2012</v>
      </c>
      <c r="J210" s="257"/>
      <c r="K210" s="257" t="s">
        <v>222</v>
      </c>
      <c r="L210" s="257"/>
      <c r="M210" s="257" t="s">
        <v>3072</v>
      </c>
      <c r="N210" s="257" t="s">
        <v>223</v>
      </c>
      <c r="O210" s="277" t="s">
        <v>224</v>
      </c>
      <c r="P210" s="257"/>
      <c r="Q210" s="257" t="s">
        <v>225</v>
      </c>
      <c r="R210" s="258" t="s">
        <v>226</v>
      </c>
      <c r="S210" s="256" t="s">
        <v>227</v>
      </c>
      <c r="T210" s="257" t="s">
        <v>229</v>
      </c>
      <c r="U210" s="257" t="s">
        <v>238</v>
      </c>
      <c r="V210" s="257">
        <v>0</v>
      </c>
      <c r="W210" s="257">
        <v>0</v>
      </c>
      <c r="X210" s="257">
        <v>0</v>
      </c>
      <c r="Y210" s="257">
        <v>1</v>
      </c>
      <c r="Z210" s="257">
        <v>0</v>
      </c>
      <c r="AA210" s="257">
        <v>0</v>
      </c>
      <c r="AB210" s="257">
        <v>0</v>
      </c>
      <c r="AC210" s="257">
        <v>0</v>
      </c>
      <c r="AD210" s="257">
        <v>0</v>
      </c>
      <c r="AE210" s="257">
        <v>0</v>
      </c>
      <c r="AF210" s="257">
        <v>0</v>
      </c>
      <c r="AG210" s="257">
        <v>0</v>
      </c>
      <c r="AH210" s="257">
        <v>0</v>
      </c>
      <c r="AI210" s="257">
        <v>0</v>
      </c>
      <c r="AJ210" s="257">
        <v>0</v>
      </c>
      <c r="AK210" s="257">
        <v>0</v>
      </c>
      <c r="AL210" s="257">
        <v>0</v>
      </c>
      <c r="AM210" s="257">
        <v>0</v>
      </c>
      <c r="AN210" s="257">
        <v>0</v>
      </c>
      <c r="AO210" s="257">
        <v>0</v>
      </c>
      <c r="AP210" s="257">
        <v>0</v>
      </c>
      <c r="AQ210" s="257">
        <v>0</v>
      </c>
      <c r="AR210" s="257">
        <v>0</v>
      </c>
      <c r="AS210" s="257">
        <v>0</v>
      </c>
      <c r="AT210" s="257">
        <v>0</v>
      </c>
      <c r="AU210" s="257">
        <v>0</v>
      </c>
      <c r="AV210" s="257">
        <v>0</v>
      </c>
      <c r="AW210" s="257">
        <v>0</v>
      </c>
      <c r="AX210" s="279">
        <v>1</v>
      </c>
      <c r="AY210" s="279">
        <v>1</v>
      </c>
      <c r="AZ210" s="257">
        <v>1</v>
      </c>
      <c r="BA210" s="257">
        <v>0</v>
      </c>
      <c r="BB210" s="257">
        <v>0</v>
      </c>
      <c r="BC210" s="257">
        <v>0</v>
      </c>
      <c r="BD210" s="257">
        <v>0</v>
      </c>
      <c r="BE210" s="257" t="s">
        <v>92</v>
      </c>
      <c r="BF210" s="2" t="str" cm="1">
        <f t="array" ref="BF210">IF(COUNTIF(AZ210:BB210,"&lt;&gt;0")=1,INDEX($V$4:$AW$4,MATCH(TRUE,INDEX($V210:$AW210&lt;&gt;0,),0)),IF(COUNTIF(AZ210:BB210,"&lt;&gt;0")=0,INDEX($AM$4:$AW$4,MATCH(1,$AM210:$AW210,0)),"Multiple strategies"))</f>
        <v>SilvicultureRemov</v>
      </c>
      <c r="BG210" s="280" t="s">
        <v>230</v>
      </c>
      <c r="BH210" s="257" t="s">
        <v>231</v>
      </c>
      <c r="BI210" s="281" t="s">
        <v>3073</v>
      </c>
      <c r="BJ210" s="278" t="s">
        <v>232</v>
      </c>
      <c r="BK210" s="257">
        <v>98.063244030000007</v>
      </c>
      <c r="BL210" s="257">
        <v>124.6996771</v>
      </c>
      <c r="BM210" s="278">
        <v>1.2716250449745599</v>
      </c>
      <c r="BN210" s="257">
        <v>26.636433069999995</v>
      </c>
      <c r="BO210" s="278">
        <v>54.36006748979591</v>
      </c>
      <c r="BP210" s="278" t="s">
        <v>233</v>
      </c>
      <c r="BQ210" s="281" t="s">
        <v>3073</v>
      </c>
      <c r="BR210" s="278" t="s">
        <v>234</v>
      </c>
      <c r="BS210" s="257">
        <v>-8.12446701</v>
      </c>
      <c r="BT210" s="257">
        <v>-7.9158553720000002</v>
      </c>
      <c r="BU210" s="259">
        <v>0.9743230370997592</v>
      </c>
      <c r="BV210" s="257">
        <v>0.20861163799999982</v>
      </c>
      <c r="BW210" s="257"/>
      <c r="BX210" s="257">
        <v>2.0861163799999982E-4</v>
      </c>
      <c r="BY210" s="257">
        <v>3.83758975352926E-6</v>
      </c>
      <c r="BZ210" s="257">
        <v>0</v>
      </c>
      <c r="CA210" s="257">
        <v>0</v>
      </c>
      <c r="CB210" s="257">
        <v>0</v>
      </c>
      <c r="CC210" s="257">
        <v>0</v>
      </c>
      <c r="CD210" s="257">
        <v>0</v>
      </c>
      <c r="CE210" s="257">
        <v>0</v>
      </c>
      <c r="CF210" s="257">
        <v>0</v>
      </c>
      <c r="CG210" s="257">
        <v>0</v>
      </c>
      <c r="CH210" s="257">
        <v>0</v>
      </c>
      <c r="CI210" s="257">
        <v>0</v>
      </c>
      <c r="CJ210" s="257">
        <v>0</v>
      </c>
      <c r="CK210" s="257">
        <v>0</v>
      </c>
      <c r="CL210" s="257">
        <v>0</v>
      </c>
      <c r="CM210" s="257">
        <v>0</v>
      </c>
      <c r="CN210" s="257" t="s">
        <v>3074</v>
      </c>
      <c r="CO210" s="257">
        <v>98.063244030000007</v>
      </c>
      <c r="CP210" s="257">
        <v>124.6996771</v>
      </c>
      <c r="CQ210" s="257">
        <v>54.36006748979591</v>
      </c>
      <c r="CR210" s="257">
        <v>-8.12446701</v>
      </c>
      <c r="CS210" s="257">
        <v>-7.9158553720000002</v>
      </c>
      <c r="CT210" s="257">
        <v>2.0861163799999982E-4</v>
      </c>
      <c r="CU210" s="257">
        <v>3.83758975352926E-6</v>
      </c>
      <c r="CV210" s="258">
        <v>2.5676962900240741E-2</v>
      </c>
      <c r="CW210" s="256" t="s">
        <v>235</v>
      </c>
      <c r="CX210" s="257" t="s">
        <v>3075</v>
      </c>
      <c r="CY210" s="257" t="s">
        <v>236</v>
      </c>
      <c r="CZ210" s="257"/>
      <c r="DA210" s="278"/>
      <c r="DB210" s="278">
        <v>80</v>
      </c>
      <c r="DC210" s="257" t="s">
        <v>3076</v>
      </c>
      <c r="DD210" s="257">
        <v>0</v>
      </c>
      <c r="DE210" s="257">
        <v>1</v>
      </c>
      <c r="DF210" s="257">
        <v>0</v>
      </c>
      <c r="DG210" s="257">
        <v>0</v>
      </c>
      <c r="DH210" s="257"/>
      <c r="DI210" s="257">
        <v>1</v>
      </c>
      <c r="DJ210" s="257" t="s">
        <v>174</v>
      </c>
      <c r="DK210" s="257">
        <v>0</v>
      </c>
      <c r="DL210" s="257" t="s">
        <v>181</v>
      </c>
      <c r="DM210" s="257">
        <v>0</v>
      </c>
      <c r="DN210" s="257">
        <v>0</v>
      </c>
      <c r="DO210" s="257">
        <v>0</v>
      </c>
      <c r="DP210" s="278">
        <v>0</v>
      </c>
      <c r="DQ210" s="278">
        <v>0</v>
      </c>
      <c r="DR210" s="278">
        <v>0</v>
      </c>
      <c r="DS210" s="278">
        <v>0</v>
      </c>
      <c r="DT210" s="257">
        <v>0</v>
      </c>
      <c r="DU210" s="278" t="s">
        <v>964</v>
      </c>
      <c r="DV210" s="278">
        <v>1</v>
      </c>
      <c r="DW210" s="278">
        <v>1</v>
      </c>
      <c r="DX210" s="278">
        <v>1</v>
      </c>
      <c r="DY210" s="278">
        <v>0</v>
      </c>
      <c r="DZ210" s="257">
        <v>0</v>
      </c>
      <c r="EA210" s="278">
        <v>0</v>
      </c>
      <c r="EB210" s="278">
        <v>1</v>
      </c>
      <c r="EC210" s="278">
        <v>1</v>
      </c>
      <c r="ED210" s="278">
        <v>0</v>
      </c>
      <c r="EE210" s="278">
        <v>0</v>
      </c>
      <c r="EF210" s="257">
        <v>1</v>
      </c>
      <c r="EG210" s="278">
        <v>0</v>
      </c>
      <c r="EH210" s="257">
        <v>0</v>
      </c>
      <c r="EI210" s="258">
        <v>0</v>
      </c>
      <c r="EJ210" s="256"/>
      <c r="EK210" t="str">
        <f>IF(AND(AND(AND(OR($DX210=1,$DW210=1),OR($EC210=1,$EA210=1)),SUM($DV210:$DZ210,$EF210)&gt;=4),SUM($EA210:$EE210)&gt;=2),"Whole sector","")</f>
        <v>Whole sector</v>
      </c>
      <c r="EL210" t="str">
        <f>IF(AND(AND(OR($DX210=1,$DW210=1),AND($EC210=0,$EA210=0)),SUM($DV210:$DZ210,$EF210)&gt;=4),"Ecosystem approach","")</f>
        <v/>
      </c>
      <c r="EM210" s="258" t="s">
        <v>545</v>
      </c>
      <c r="EN210" s="257" t="s">
        <v>237</v>
      </c>
      <c r="EO210" s="257"/>
      <c r="EP210" t="str">
        <f>IF(ISNUMBER(BU210),IF(ABS(BU210-[3]QC_indicators!$B$2)&gt;3*[3]QC_indicators!$C$2,"C ratio",IF(ISNUMBER(BY210),IF(ABS(BY210-[3]QC_indicators!$B$1)&gt;3*[3]QC_indicators!$C$1,"DF","no"))),IF(ISNUMBER(BY210),IF(ABS(BY210-[3]QC_indicators!$B$1)&gt;3*[3]QC_indicators!$C$1,"DF","no")))</f>
        <v>no</v>
      </c>
      <c r="EQ210" s="257"/>
      <c r="ER210" s="257"/>
      <c r="ES210" s="257"/>
      <c r="ET210" s="257"/>
      <c r="EU210"/>
    </row>
    <row r="211" spans="1:151" s="139" customFormat="1" ht="15" hidden="1" customHeight="1">
      <c r="A211" s="256" t="s">
        <v>215</v>
      </c>
      <c r="B211" s="257" t="s">
        <v>216</v>
      </c>
      <c r="C211" s="257" t="s">
        <v>217</v>
      </c>
      <c r="D211" s="257" t="s">
        <v>218</v>
      </c>
      <c r="E211" s="257" t="s">
        <v>219</v>
      </c>
      <c r="F211" s="257" t="s">
        <v>220</v>
      </c>
      <c r="G211" s="257" t="s">
        <v>221</v>
      </c>
      <c r="H211" s="257"/>
      <c r="I211" s="257">
        <v>2012</v>
      </c>
      <c r="J211" s="257"/>
      <c r="K211" s="257" t="s">
        <v>222</v>
      </c>
      <c r="L211" s="257"/>
      <c r="M211" s="257" t="s">
        <v>3072</v>
      </c>
      <c r="N211" s="257" t="s">
        <v>223</v>
      </c>
      <c r="O211" s="277" t="s">
        <v>224</v>
      </c>
      <c r="P211" s="257"/>
      <c r="Q211" s="257" t="s">
        <v>225</v>
      </c>
      <c r="R211" s="258" t="s">
        <v>226</v>
      </c>
      <c r="S211" s="256" t="s">
        <v>241</v>
      </c>
      <c r="T211" s="257">
        <v>2000</v>
      </c>
      <c r="U211" s="257">
        <v>4000</v>
      </c>
      <c r="V211" s="257">
        <v>0</v>
      </c>
      <c r="W211" s="257">
        <v>0</v>
      </c>
      <c r="X211" s="257">
        <v>0</v>
      </c>
      <c r="Y211" s="257">
        <v>0</v>
      </c>
      <c r="Z211" s="257">
        <v>0</v>
      </c>
      <c r="AA211" s="257">
        <v>1</v>
      </c>
      <c r="AB211" s="257">
        <v>0</v>
      </c>
      <c r="AC211" s="257">
        <v>0</v>
      </c>
      <c r="AD211" s="257">
        <v>0</v>
      </c>
      <c r="AE211" s="257">
        <v>0</v>
      </c>
      <c r="AF211" s="257">
        <v>0</v>
      </c>
      <c r="AG211" s="257">
        <v>0</v>
      </c>
      <c r="AH211" s="257">
        <v>0</v>
      </c>
      <c r="AI211" s="257">
        <v>0</v>
      </c>
      <c r="AJ211" s="257">
        <v>0</v>
      </c>
      <c r="AK211" s="257">
        <v>0</v>
      </c>
      <c r="AL211" s="257">
        <v>0</v>
      </c>
      <c r="AM211" s="257">
        <v>0</v>
      </c>
      <c r="AN211" s="257">
        <v>0</v>
      </c>
      <c r="AO211" s="257">
        <v>0</v>
      </c>
      <c r="AP211" s="257">
        <v>0</v>
      </c>
      <c r="AQ211" s="257">
        <v>0</v>
      </c>
      <c r="AR211" s="257">
        <v>0</v>
      </c>
      <c r="AS211" s="257">
        <v>0</v>
      </c>
      <c r="AT211" s="257">
        <v>0</v>
      </c>
      <c r="AU211" s="257">
        <v>0</v>
      </c>
      <c r="AV211" s="257">
        <v>0</v>
      </c>
      <c r="AW211" s="257">
        <v>0</v>
      </c>
      <c r="AX211" s="279">
        <v>1</v>
      </c>
      <c r="AY211" s="279">
        <v>1</v>
      </c>
      <c r="AZ211" s="257">
        <v>1</v>
      </c>
      <c r="BA211" s="257">
        <v>0</v>
      </c>
      <c r="BB211" s="257">
        <v>0</v>
      </c>
      <c r="BC211" s="257">
        <v>0</v>
      </c>
      <c r="BD211" s="257">
        <v>0</v>
      </c>
      <c r="BE211" s="257" t="s">
        <v>94</v>
      </c>
      <c r="BF211" s="2" t="str" cm="1">
        <f t="array" ref="BF211">IF(COUNTIF(AZ211:BB211,"&lt;&gt;0")=1,INDEX($V$4:$AW$4,MATCH(TRUE,INDEX($V211:$AW211&lt;&gt;0,),0)),IF(COUNTIF(AZ211:BB211,"&lt;&gt;0")=0,INDEX($AM$4:$AW$4,MATCH(1,$AM211:$AW211,0)),"Multiple strategies"))</f>
        <v>SilvicultureProd</v>
      </c>
      <c r="BG211" s="280" t="s">
        <v>230</v>
      </c>
      <c r="BH211" s="257" t="s">
        <v>231</v>
      </c>
      <c r="BI211" s="281" t="s">
        <v>3073</v>
      </c>
      <c r="BJ211" s="278" t="s">
        <v>232</v>
      </c>
      <c r="BK211" s="257">
        <v>110.7133618</v>
      </c>
      <c r="BL211" s="257">
        <v>124.6996771</v>
      </c>
      <c r="BM211" s="278">
        <v>1.1263290633813994</v>
      </c>
      <c r="BN211" s="257">
        <v>13.986315300000001</v>
      </c>
      <c r="BO211" s="278">
        <v>28.543500612244902</v>
      </c>
      <c r="BP211" s="278" t="s">
        <v>233</v>
      </c>
      <c r="BQ211" s="281" t="s">
        <v>3073</v>
      </c>
      <c r="BR211" s="278" t="s">
        <v>234</v>
      </c>
      <c r="BS211" s="257">
        <v>-7.8881757170000002</v>
      </c>
      <c r="BT211" s="257">
        <v>-7.9158553720000002</v>
      </c>
      <c r="BU211" s="259">
        <v>1.0035090058833689</v>
      </c>
      <c r="BV211" s="257">
        <v>-2.7679655000000025E-2</v>
      </c>
      <c r="BW211" s="257"/>
      <c r="BX211" s="257">
        <v>-2.7679655000000026E-5</v>
      </c>
      <c r="BY211" s="257">
        <v>-9.6973582098496033E-7</v>
      </c>
      <c r="BZ211" s="257">
        <v>0</v>
      </c>
      <c r="CA211" s="257">
        <v>0</v>
      </c>
      <c r="CB211" s="257">
        <v>0</v>
      </c>
      <c r="CC211" s="257">
        <v>0</v>
      </c>
      <c r="CD211" s="257">
        <v>0</v>
      </c>
      <c r="CE211" s="257">
        <v>0</v>
      </c>
      <c r="CF211" s="257">
        <v>0</v>
      </c>
      <c r="CG211" s="257">
        <v>0</v>
      </c>
      <c r="CH211" s="257">
        <v>0</v>
      </c>
      <c r="CI211" s="257">
        <v>0</v>
      </c>
      <c r="CJ211" s="257">
        <v>0</v>
      </c>
      <c r="CK211" s="257">
        <v>0</v>
      </c>
      <c r="CL211" s="257">
        <v>0</v>
      </c>
      <c r="CM211" s="257">
        <v>0</v>
      </c>
      <c r="CN211" s="257" t="s">
        <v>3074</v>
      </c>
      <c r="CO211" s="257">
        <v>110.7133618</v>
      </c>
      <c r="CP211" s="257">
        <v>124.6996771</v>
      </c>
      <c r="CQ211" s="257">
        <v>28.543500612244902</v>
      </c>
      <c r="CR211" s="257">
        <v>-7.8881757170000002</v>
      </c>
      <c r="CS211" s="257">
        <v>-7.9158553720000002</v>
      </c>
      <c r="CT211" s="257">
        <v>-2.7679655000000026E-5</v>
      </c>
      <c r="CU211" s="257">
        <v>-9.6973582098496033E-7</v>
      </c>
      <c r="CV211" s="258">
        <v>-3.5090058833688155E-3</v>
      </c>
      <c r="CW211" s="256" t="s">
        <v>235</v>
      </c>
      <c r="CX211" s="257" t="s">
        <v>3075</v>
      </c>
      <c r="CY211" s="257" t="s">
        <v>236</v>
      </c>
      <c r="CZ211" s="257"/>
      <c r="DA211" s="278"/>
      <c r="DB211" s="278">
        <v>80</v>
      </c>
      <c r="DC211" s="257" t="s">
        <v>3076</v>
      </c>
      <c r="DD211" s="257">
        <v>0</v>
      </c>
      <c r="DE211" s="257">
        <v>1</v>
      </c>
      <c r="DF211" s="257">
        <v>0</v>
      </c>
      <c r="DG211" s="257">
        <v>0</v>
      </c>
      <c r="DH211" s="257"/>
      <c r="DI211" s="257">
        <v>1</v>
      </c>
      <c r="DJ211" s="257" t="s">
        <v>174</v>
      </c>
      <c r="DK211" s="257">
        <v>0</v>
      </c>
      <c r="DL211" s="257" t="s">
        <v>181</v>
      </c>
      <c r="DM211" s="257">
        <v>0</v>
      </c>
      <c r="DN211" s="257">
        <v>0</v>
      </c>
      <c r="DO211" s="257">
        <v>0</v>
      </c>
      <c r="DP211" s="278">
        <v>0</v>
      </c>
      <c r="DQ211" s="278">
        <v>0</v>
      </c>
      <c r="DR211" s="278">
        <v>0</v>
      </c>
      <c r="DS211" s="278">
        <v>0</v>
      </c>
      <c r="DT211" s="257">
        <v>0</v>
      </c>
      <c r="DU211" s="278" t="s">
        <v>964</v>
      </c>
      <c r="DV211" s="278">
        <v>1</v>
      </c>
      <c r="DW211" s="278">
        <v>1</v>
      </c>
      <c r="DX211" s="278">
        <v>1</v>
      </c>
      <c r="DY211" s="278">
        <v>0</v>
      </c>
      <c r="DZ211" s="257">
        <v>0</v>
      </c>
      <c r="EA211" s="278">
        <v>0</v>
      </c>
      <c r="EB211" s="278">
        <v>1</v>
      </c>
      <c r="EC211" s="278">
        <v>1</v>
      </c>
      <c r="ED211" s="278">
        <v>0</v>
      </c>
      <c r="EE211" s="278">
        <v>0</v>
      </c>
      <c r="EF211" s="257">
        <v>1</v>
      </c>
      <c r="EG211" s="278">
        <v>0</v>
      </c>
      <c r="EH211" s="257">
        <v>0</v>
      </c>
      <c r="EI211" s="258">
        <v>0</v>
      </c>
      <c r="EJ211" s="256"/>
      <c r="EK211" t="str">
        <f>IF(AND(AND(AND(OR($DX211=1,$DW211=1),OR($EC211=1,$EA211=1)),SUM($DV211:$DZ211,$EF211)&gt;=4),SUM($EA211:$EE211)&gt;=2),"Whole sector","")</f>
        <v>Whole sector</v>
      </c>
      <c r="EL211" t="str">
        <f>IF(AND(AND(OR($DX211=1,$DW211=1),AND($EC211=0,$EA211=0)),SUM($DV211:$DZ211,$EF211)&gt;=4),"Ecosystem approach","")</f>
        <v/>
      </c>
      <c r="EM211" s="258" t="s">
        <v>545</v>
      </c>
      <c r="EN211" s="257" t="s">
        <v>237</v>
      </c>
      <c r="EO211" s="257"/>
      <c r="EP211" t="str">
        <f>IF(ISNUMBER(BU211),IF(ABS(BU211-[3]QC_indicators!$B$2)&gt;3*[3]QC_indicators!$C$2,"C ratio",IF(ISNUMBER(BY211),IF(ABS(BY211-[3]QC_indicators!$B$1)&gt;3*[3]QC_indicators!$C$1,"DF","no"))),IF(ISNUMBER(BY211),IF(ABS(BY211-[3]QC_indicators!$B$1)&gt;3*[3]QC_indicators!$C$1,"DF","no")))</f>
        <v>no</v>
      </c>
      <c r="EQ211" s="282"/>
      <c r="ER211" s="282"/>
      <c r="ES211" s="282"/>
      <c r="ET211"/>
      <c r="EU211"/>
    </row>
    <row r="212" spans="1:151" s="139" customFormat="1" ht="15" hidden="1" customHeight="1">
      <c r="A212" s="256" t="s">
        <v>215</v>
      </c>
      <c r="B212" s="257" t="s">
        <v>216</v>
      </c>
      <c r="C212" s="257" t="s">
        <v>217</v>
      </c>
      <c r="D212" s="257" t="s">
        <v>218</v>
      </c>
      <c r="E212" s="257" t="s">
        <v>219</v>
      </c>
      <c r="F212" s="257" t="s">
        <v>220</v>
      </c>
      <c r="G212" s="257" t="s">
        <v>221</v>
      </c>
      <c r="H212" s="257"/>
      <c r="I212" s="257">
        <v>2012</v>
      </c>
      <c r="J212" s="257"/>
      <c r="K212" s="257" t="s">
        <v>222</v>
      </c>
      <c r="L212" s="257"/>
      <c r="M212" s="257" t="s">
        <v>3072</v>
      </c>
      <c r="N212" s="257" t="s">
        <v>223</v>
      </c>
      <c r="O212" s="277" t="s">
        <v>224</v>
      </c>
      <c r="P212" s="257"/>
      <c r="Q212" s="257" t="s">
        <v>225</v>
      </c>
      <c r="R212" s="258" t="s">
        <v>226</v>
      </c>
      <c r="S212" s="256" t="s">
        <v>227</v>
      </c>
      <c r="T212" s="257" t="s">
        <v>229</v>
      </c>
      <c r="U212" s="257" t="s">
        <v>238</v>
      </c>
      <c r="V212" s="257">
        <v>0</v>
      </c>
      <c r="W212" s="257">
        <v>0</v>
      </c>
      <c r="X212" s="257">
        <v>0</v>
      </c>
      <c r="Y212" s="257">
        <v>1</v>
      </c>
      <c r="Z212" s="257">
        <v>0</v>
      </c>
      <c r="AA212" s="257">
        <v>0</v>
      </c>
      <c r="AB212" s="257">
        <v>0</v>
      </c>
      <c r="AC212" s="257">
        <v>0</v>
      </c>
      <c r="AD212" s="257">
        <v>0</v>
      </c>
      <c r="AE212" s="257">
        <v>0</v>
      </c>
      <c r="AF212" s="257">
        <v>0</v>
      </c>
      <c r="AG212" s="257">
        <v>0</v>
      </c>
      <c r="AH212" s="257">
        <v>0</v>
      </c>
      <c r="AI212" s="257">
        <v>0</v>
      </c>
      <c r="AJ212" s="257">
        <v>0</v>
      </c>
      <c r="AK212" s="257">
        <v>0</v>
      </c>
      <c r="AL212" s="257">
        <v>0</v>
      </c>
      <c r="AM212" s="257">
        <v>0</v>
      </c>
      <c r="AN212" s="257">
        <v>0</v>
      </c>
      <c r="AO212" s="257">
        <v>0</v>
      </c>
      <c r="AP212" s="257">
        <v>0</v>
      </c>
      <c r="AQ212" s="257">
        <v>0</v>
      </c>
      <c r="AR212" s="257">
        <v>0</v>
      </c>
      <c r="AS212" s="257">
        <v>0</v>
      </c>
      <c r="AT212" s="257">
        <v>0</v>
      </c>
      <c r="AU212" s="257">
        <v>0</v>
      </c>
      <c r="AV212" s="257">
        <v>0</v>
      </c>
      <c r="AW212" s="257">
        <v>0</v>
      </c>
      <c r="AX212" s="279">
        <v>1</v>
      </c>
      <c r="AY212" s="279">
        <v>1</v>
      </c>
      <c r="AZ212" s="257">
        <v>1</v>
      </c>
      <c r="BA212" s="257">
        <v>0</v>
      </c>
      <c r="BB212" s="257">
        <v>0</v>
      </c>
      <c r="BC212" s="257">
        <v>0</v>
      </c>
      <c r="BD212" s="257">
        <v>0</v>
      </c>
      <c r="BE212" s="257" t="s">
        <v>92</v>
      </c>
      <c r="BF212" s="2" t="str" cm="1">
        <f t="array" ref="BF212">IF(COUNTIF(AZ212:BB212,"&lt;&gt;0")=1,INDEX($V$4:$AW$4,MATCH(TRUE,INDEX($V212:$AW212&lt;&gt;0,),0)),IF(COUNTIF(AZ212:BB212,"&lt;&gt;0")=0,INDEX($AM$4:$AW$4,MATCH(1,$AM212:$AW212,0)),"Multiple strategies"))</f>
        <v>SilvicultureRemov</v>
      </c>
      <c r="BG212" s="280" t="s">
        <v>230</v>
      </c>
      <c r="BH212" s="257" t="s">
        <v>231</v>
      </c>
      <c r="BI212" s="281" t="s">
        <v>3073</v>
      </c>
      <c r="BJ212" s="278" t="s">
        <v>232</v>
      </c>
      <c r="BK212" s="257">
        <v>95.977011489999995</v>
      </c>
      <c r="BL212" s="257">
        <v>114.0804598</v>
      </c>
      <c r="BM212" s="278">
        <v>1.1886227548550647</v>
      </c>
      <c r="BN212" s="257">
        <v>18.103448310000005</v>
      </c>
      <c r="BO212" s="278">
        <v>36.945812877551027</v>
      </c>
      <c r="BP212" s="278" t="s">
        <v>233</v>
      </c>
      <c r="BQ212" s="312" t="s">
        <v>3073</v>
      </c>
      <c r="BR212" s="278" t="s">
        <v>234</v>
      </c>
      <c r="BS212" s="257">
        <v>-8.1428571430000005</v>
      </c>
      <c r="BT212" s="257">
        <v>-7.6632653060000004</v>
      </c>
      <c r="BU212" s="259">
        <v>0.94110275686068245</v>
      </c>
      <c r="BV212" s="257">
        <v>0.47959183700000008</v>
      </c>
      <c r="BW212" s="257"/>
      <c r="BX212" s="257">
        <v>4.7959183700000009E-4</v>
      </c>
      <c r="BY212" s="257">
        <v>1.2980952363654967E-5</v>
      </c>
      <c r="BZ212" s="257">
        <v>0</v>
      </c>
      <c r="CA212" s="257">
        <v>0</v>
      </c>
      <c r="CB212" s="257">
        <v>0</v>
      </c>
      <c r="CC212" s="257">
        <v>0</v>
      </c>
      <c r="CD212" s="257">
        <v>0</v>
      </c>
      <c r="CE212" s="257">
        <v>0</v>
      </c>
      <c r="CF212" s="257">
        <v>0</v>
      </c>
      <c r="CG212" s="257">
        <v>0</v>
      </c>
      <c r="CH212" s="257">
        <v>0</v>
      </c>
      <c r="CI212" s="257">
        <v>0</v>
      </c>
      <c r="CJ212" s="257">
        <v>0</v>
      </c>
      <c r="CK212" s="257">
        <v>0</v>
      </c>
      <c r="CL212" s="257">
        <v>0</v>
      </c>
      <c r="CM212" s="257">
        <v>0</v>
      </c>
      <c r="CN212" s="257" t="s">
        <v>3074</v>
      </c>
      <c r="CO212" s="257">
        <v>95.977011489999995</v>
      </c>
      <c r="CP212" s="257">
        <v>114.0804598</v>
      </c>
      <c r="CQ212" s="257">
        <v>36.945812877551027</v>
      </c>
      <c r="CR212" s="257">
        <v>-8.1428571430000005</v>
      </c>
      <c r="CS212" s="257">
        <v>-7.6632653060000004</v>
      </c>
      <c r="CT212" s="257">
        <v>4.7959183700000009E-4</v>
      </c>
      <c r="CU212" s="257">
        <v>1.2980952363654967E-5</v>
      </c>
      <c r="CV212" s="258">
        <v>5.8897243139317601E-2</v>
      </c>
      <c r="CW212" s="256" t="s">
        <v>235</v>
      </c>
      <c r="CX212" s="257" t="s">
        <v>3075</v>
      </c>
      <c r="CY212" s="257" t="s">
        <v>236</v>
      </c>
      <c r="CZ212" s="257"/>
      <c r="DA212" s="278"/>
      <c r="DB212" s="278">
        <v>80</v>
      </c>
      <c r="DC212" s="257" t="s">
        <v>3076</v>
      </c>
      <c r="DD212" s="257">
        <v>0</v>
      </c>
      <c r="DE212" s="257">
        <v>1</v>
      </c>
      <c r="DF212" s="257">
        <v>0</v>
      </c>
      <c r="DG212" s="257">
        <v>0</v>
      </c>
      <c r="DH212" s="257"/>
      <c r="DI212" s="257">
        <v>1</v>
      </c>
      <c r="DJ212" s="257" t="s">
        <v>174</v>
      </c>
      <c r="DK212" s="257">
        <v>0</v>
      </c>
      <c r="DL212" s="257" t="s">
        <v>181</v>
      </c>
      <c r="DM212" s="257">
        <v>0</v>
      </c>
      <c r="DN212" s="257">
        <v>0</v>
      </c>
      <c r="DO212" s="257">
        <v>0</v>
      </c>
      <c r="DP212" s="278">
        <v>0</v>
      </c>
      <c r="DQ212" s="278">
        <v>0</v>
      </c>
      <c r="DR212" s="278">
        <v>0</v>
      </c>
      <c r="DS212" s="278">
        <v>0</v>
      </c>
      <c r="DT212" s="257">
        <v>0</v>
      </c>
      <c r="DU212" s="278" t="s">
        <v>964</v>
      </c>
      <c r="DV212" s="278">
        <v>1</v>
      </c>
      <c r="DW212" s="278">
        <v>1</v>
      </c>
      <c r="DX212" s="278">
        <v>1</v>
      </c>
      <c r="DY212" s="278">
        <v>0</v>
      </c>
      <c r="DZ212" s="257">
        <v>0</v>
      </c>
      <c r="EA212" s="278">
        <v>0</v>
      </c>
      <c r="EB212" s="278">
        <v>1</v>
      </c>
      <c r="EC212" s="278">
        <v>1</v>
      </c>
      <c r="ED212" s="278">
        <v>0</v>
      </c>
      <c r="EE212" s="278">
        <v>0</v>
      </c>
      <c r="EF212" s="257">
        <v>1</v>
      </c>
      <c r="EG212" s="278">
        <v>0</v>
      </c>
      <c r="EH212" s="257">
        <v>0</v>
      </c>
      <c r="EI212" s="258">
        <v>0</v>
      </c>
      <c r="EJ212" s="256"/>
      <c r="EK212" t="str">
        <f>IF(AND(AND(AND(OR($DX212=1,$DW212=1),OR($EC212=1,$EA212=1)),SUM($DV212:$DZ212,$EF212)&gt;=4),SUM($EA212:$EE212)&gt;=2),"Whole sector","")</f>
        <v>Whole sector</v>
      </c>
      <c r="EL212" t="str">
        <f>IF(AND(AND(OR($DX212=1,$DW212=1),AND($EC212=0,$EA212=0)),SUM($DV212:$DZ212,$EF212)&gt;=4),"Ecosystem approach","")</f>
        <v/>
      </c>
      <c r="EM212" s="258" t="s">
        <v>545</v>
      </c>
      <c r="EN212" s="257" t="s">
        <v>237</v>
      </c>
      <c r="EO212" s="257"/>
      <c r="EP212" t="str">
        <f>IF(ISNUMBER(BU212),IF(ABS(BU212-[3]QC_indicators!$B$2)&gt;3*[3]QC_indicators!$C$2,"C ratio",IF(ISNUMBER(BY212),IF(ABS(BY212-[3]QC_indicators!$B$1)&gt;3*[3]QC_indicators!$C$1,"DF","no"))),IF(ISNUMBER(BY212),IF(ABS(BY212-[3]QC_indicators!$B$1)&gt;3*[3]QC_indicators!$C$1,"DF","no")))</f>
        <v>no</v>
      </c>
      <c r="EQ212" s="282"/>
      <c r="ER212" s="282"/>
      <c r="ES212" s="282"/>
      <c r="ET212"/>
      <c r="EU212"/>
    </row>
    <row r="213" spans="1:151" s="139" customFormat="1" ht="15" hidden="1" customHeight="1">
      <c r="A213" s="256" t="s">
        <v>215</v>
      </c>
      <c r="B213" s="257" t="s">
        <v>216</v>
      </c>
      <c r="C213" s="257" t="s">
        <v>217</v>
      </c>
      <c r="D213" s="257" t="s">
        <v>218</v>
      </c>
      <c r="E213" s="257" t="s">
        <v>219</v>
      </c>
      <c r="F213" s="257" t="s">
        <v>220</v>
      </c>
      <c r="G213" s="257" t="s">
        <v>221</v>
      </c>
      <c r="H213" s="257"/>
      <c r="I213" s="257">
        <v>2012</v>
      </c>
      <c r="J213" s="257"/>
      <c r="K213" s="257" t="s">
        <v>222</v>
      </c>
      <c r="L213" s="257"/>
      <c r="M213" s="257" t="s">
        <v>3072</v>
      </c>
      <c r="N213" s="257" t="s">
        <v>223</v>
      </c>
      <c r="O213" s="277" t="s">
        <v>224</v>
      </c>
      <c r="P213" s="257"/>
      <c r="Q213" s="257" t="s">
        <v>225</v>
      </c>
      <c r="R213" s="258" t="s">
        <v>226</v>
      </c>
      <c r="S213" s="256" t="s">
        <v>242</v>
      </c>
      <c r="T213" s="257" t="s">
        <v>243</v>
      </c>
      <c r="U213" s="278" t="s">
        <v>244</v>
      </c>
      <c r="V213" s="257">
        <v>0</v>
      </c>
      <c r="W213" s="257">
        <v>0</v>
      </c>
      <c r="X213" s="257">
        <v>0</v>
      </c>
      <c r="Y213" s="257">
        <v>0</v>
      </c>
      <c r="Z213" s="257">
        <v>0</v>
      </c>
      <c r="AA213" s="257">
        <v>0</v>
      </c>
      <c r="AB213" s="257">
        <v>0</v>
      </c>
      <c r="AC213" s="257">
        <v>1</v>
      </c>
      <c r="AD213" s="257">
        <v>0</v>
      </c>
      <c r="AE213" s="257">
        <v>0</v>
      </c>
      <c r="AF213" s="257">
        <v>0</v>
      </c>
      <c r="AG213" s="257">
        <v>0</v>
      </c>
      <c r="AH213" s="257">
        <v>0</v>
      </c>
      <c r="AI213" s="257">
        <v>0</v>
      </c>
      <c r="AJ213" s="257">
        <v>0</v>
      </c>
      <c r="AK213" s="257">
        <v>0</v>
      </c>
      <c r="AL213" s="257">
        <v>0</v>
      </c>
      <c r="AM213" s="257">
        <v>0</v>
      </c>
      <c r="AN213" s="257">
        <v>0</v>
      </c>
      <c r="AO213" s="257">
        <v>0</v>
      </c>
      <c r="AP213" s="257">
        <v>0</v>
      </c>
      <c r="AQ213" s="257">
        <v>0</v>
      </c>
      <c r="AR213" s="257">
        <v>0</v>
      </c>
      <c r="AS213" s="257">
        <v>0</v>
      </c>
      <c r="AT213" s="257">
        <v>0</v>
      </c>
      <c r="AU213" s="257">
        <v>0</v>
      </c>
      <c r="AV213" s="257">
        <v>0</v>
      </c>
      <c r="AW213" s="257">
        <v>0</v>
      </c>
      <c r="AX213" s="279">
        <v>1</v>
      </c>
      <c r="AY213" s="279">
        <v>1</v>
      </c>
      <c r="AZ213" s="257">
        <v>1</v>
      </c>
      <c r="BA213" s="257">
        <v>0</v>
      </c>
      <c r="BB213" s="257">
        <v>0</v>
      </c>
      <c r="BC213" s="257">
        <v>0</v>
      </c>
      <c r="BD213" s="257">
        <v>0</v>
      </c>
      <c r="BE213" s="257" t="s">
        <v>96</v>
      </c>
      <c r="BF213" s="2" t="str" cm="1">
        <f t="array" ref="BF213">IF(COUNTIF(AZ213:BB213,"&lt;&gt;0")=1,INDEX($V$4:$AW$4,MATCH(TRUE,INDEX($V213:$AW213&lt;&gt;0,),0)),IF(COUNTIF(AZ213:BB213,"&lt;&gt;0")=0,INDEX($AM$4:$AW$4,MATCH(1,$AM213:$AW213,0)),"Multiple strategies"))</f>
        <v>SilvicultureProd</v>
      </c>
      <c r="BG213" s="280" t="s">
        <v>230</v>
      </c>
      <c r="BH213" s="257" t="s">
        <v>231</v>
      </c>
      <c r="BI213" s="281" t="s">
        <v>3073</v>
      </c>
      <c r="BJ213" s="278" t="s">
        <v>232</v>
      </c>
      <c r="BK213" s="257">
        <v>110.71336180597901</v>
      </c>
      <c r="BL213" s="257">
        <v>114.080459770114</v>
      </c>
      <c r="BM213" s="278">
        <v>1.0304127515343244</v>
      </c>
      <c r="BN213" s="257">
        <v>3.3670979641349987</v>
      </c>
      <c r="BO213" s="278">
        <v>6.8716284982346911</v>
      </c>
      <c r="BP213" s="278" t="s">
        <v>233</v>
      </c>
      <c r="BQ213" s="312" t="s">
        <v>3073</v>
      </c>
      <c r="BR213" s="278" t="s">
        <v>234</v>
      </c>
      <c r="BS213" s="257">
        <v>-7.88817571690055</v>
      </c>
      <c r="BT213" s="257">
        <v>-7.6632653061224403</v>
      </c>
      <c r="BU213" s="259">
        <v>0.97148765204402898</v>
      </c>
      <c r="BV213" s="257">
        <v>0.22491041077810969</v>
      </c>
      <c r="BW213" s="257"/>
      <c r="BX213" s="257">
        <v>2.249104107781097E-4</v>
      </c>
      <c r="BY213" s="257">
        <v>3.2730292511576952E-5</v>
      </c>
      <c r="BZ213" s="257">
        <v>0</v>
      </c>
      <c r="CA213" s="257">
        <v>0</v>
      </c>
      <c r="CB213" s="257">
        <v>0</v>
      </c>
      <c r="CC213" s="257">
        <v>0</v>
      </c>
      <c r="CD213" s="257">
        <v>0</v>
      </c>
      <c r="CE213" s="257">
        <v>0</v>
      </c>
      <c r="CF213" s="257">
        <v>0</v>
      </c>
      <c r="CG213" s="257">
        <v>0</v>
      </c>
      <c r="CH213" s="257">
        <v>0</v>
      </c>
      <c r="CI213" s="257">
        <v>0</v>
      </c>
      <c r="CJ213" s="257">
        <v>0</v>
      </c>
      <c r="CK213" s="257">
        <v>0</v>
      </c>
      <c r="CL213" s="257">
        <v>0</v>
      </c>
      <c r="CM213" s="257">
        <v>0</v>
      </c>
      <c r="CN213" s="257" t="s">
        <v>3074</v>
      </c>
      <c r="CO213" s="257">
        <v>110.71336180597901</v>
      </c>
      <c r="CP213" s="257">
        <v>114.080459770114</v>
      </c>
      <c r="CQ213" s="257">
        <v>6.8716284982346911</v>
      </c>
      <c r="CR213" s="257">
        <v>-7.88817571690055</v>
      </c>
      <c r="CS213" s="257">
        <v>-7.6632653061224403</v>
      </c>
      <c r="CT213" s="257">
        <v>2.249104107781097E-4</v>
      </c>
      <c r="CU213" s="257">
        <v>3.2730292511576952E-5</v>
      </c>
      <c r="CV213" s="258">
        <v>2.8512347955971028E-2</v>
      </c>
      <c r="CW213" s="256" t="s">
        <v>235</v>
      </c>
      <c r="CX213" s="257" t="s">
        <v>3075</v>
      </c>
      <c r="CY213" s="257" t="s">
        <v>236</v>
      </c>
      <c r="CZ213" s="257"/>
      <c r="DA213" s="278"/>
      <c r="DB213" s="278">
        <v>80</v>
      </c>
      <c r="DC213" s="257" t="s">
        <v>3076</v>
      </c>
      <c r="DD213" s="257">
        <v>0</v>
      </c>
      <c r="DE213" s="257">
        <v>1</v>
      </c>
      <c r="DF213" s="257">
        <v>0</v>
      </c>
      <c r="DG213" s="257">
        <v>0</v>
      </c>
      <c r="DH213" s="257"/>
      <c r="DI213" s="257">
        <v>1</v>
      </c>
      <c r="DJ213" s="257" t="s">
        <v>174</v>
      </c>
      <c r="DK213" s="257">
        <v>0</v>
      </c>
      <c r="DL213" s="257" t="s">
        <v>181</v>
      </c>
      <c r="DM213" s="257">
        <v>0</v>
      </c>
      <c r="DN213" s="257">
        <v>0</v>
      </c>
      <c r="DO213" s="257">
        <v>0</v>
      </c>
      <c r="DP213" s="278">
        <v>0</v>
      </c>
      <c r="DQ213" s="278">
        <v>0</v>
      </c>
      <c r="DR213" s="278">
        <v>0</v>
      </c>
      <c r="DS213" s="278">
        <v>0</v>
      </c>
      <c r="DT213" s="257">
        <v>0</v>
      </c>
      <c r="DU213" s="278" t="s">
        <v>964</v>
      </c>
      <c r="DV213" s="278">
        <v>1</v>
      </c>
      <c r="DW213" s="278">
        <v>1</v>
      </c>
      <c r="DX213" s="278">
        <v>1</v>
      </c>
      <c r="DY213" s="278">
        <v>0</v>
      </c>
      <c r="DZ213" s="257">
        <v>0</v>
      </c>
      <c r="EA213" s="278">
        <v>0</v>
      </c>
      <c r="EB213" s="278">
        <v>1</v>
      </c>
      <c r="EC213" s="278">
        <v>1</v>
      </c>
      <c r="ED213" s="278">
        <v>0</v>
      </c>
      <c r="EE213" s="278">
        <v>0</v>
      </c>
      <c r="EF213" s="257">
        <v>1</v>
      </c>
      <c r="EG213" s="278">
        <v>0</v>
      </c>
      <c r="EH213" s="257">
        <v>0</v>
      </c>
      <c r="EI213" s="258">
        <v>0</v>
      </c>
      <c r="EJ213" s="256"/>
      <c r="EK213" t="str">
        <f>IF(AND(AND(AND(OR($DX213=1,$DW213=1),OR($EC213=1,$EA213=1)),SUM($DV213:$DZ213,$EF213)&gt;=4),SUM($EA213:$EE213)&gt;=2),"Whole sector","")</f>
        <v>Whole sector</v>
      </c>
      <c r="EL213" t="str">
        <f>IF(AND(AND(OR($DX213=1,$DW213=1),AND($EC213=0,$EA213=0)),SUM($DV213:$DZ213,$EF213)&gt;=4),"Ecosystem approach","")</f>
        <v/>
      </c>
      <c r="EM213" s="258" t="s">
        <v>545</v>
      </c>
      <c r="EN213" s="257" t="s">
        <v>237</v>
      </c>
      <c r="EO213" s="257"/>
      <c r="EP213" t="str">
        <f>IF(ISNUMBER(BU213),IF(ABS(BU213-[3]QC_indicators!$B$2)&gt;3*[3]QC_indicators!$C$2,"C ratio",IF(ISNUMBER(BY213),IF(ABS(BY213-[3]QC_indicators!$B$1)&gt;3*[3]QC_indicators!$C$1,"DF","no"))),IF(ISNUMBER(BY213),IF(ABS(BY213-[3]QC_indicators!$B$1)&gt;3*[3]QC_indicators!$C$1,"DF","no")))</f>
        <v>no</v>
      </c>
      <c r="EQ213"/>
      <c r="ER213"/>
      <c r="ES213"/>
      <c r="ET213"/>
      <c r="EU213"/>
    </row>
    <row r="214" spans="1:151" s="139" customFormat="1" ht="15" hidden="1" customHeight="1">
      <c r="A214" s="256" t="s">
        <v>215</v>
      </c>
      <c r="B214" s="257" t="s">
        <v>216</v>
      </c>
      <c r="C214" s="257" t="s">
        <v>217</v>
      </c>
      <c r="D214" s="257" t="s">
        <v>218</v>
      </c>
      <c r="E214" s="257" t="s">
        <v>219</v>
      </c>
      <c r="F214" s="257" t="s">
        <v>220</v>
      </c>
      <c r="G214" s="257" t="s">
        <v>221</v>
      </c>
      <c r="H214" s="257"/>
      <c r="I214" s="257">
        <v>2012</v>
      </c>
      <c r="J214" s="257"/>
      <c r="K214" s="257" t="s">
        <v>222</v>
      </c>
      <c r="L214" s="257"/>
      <c r="M214" s="257" t="s">
        <v>3072</v>
      </c>
      <c r="N214" s="257" t="s">
        <v>223</v>
      </c>
      <c r="O214" s="277" t="s">
        <v>224</v>
      </c>
      <c r="P214" s="257"/>
      <c r="Q214" s="257" t="s">
        <v>225</v>
      </c>
      <c r="R214" s="258" t="s">
        <v>226</v>
      </c>
      <c r="S214" s="256" t="s">
        <v>227</v>
      </c>
      <c r="T214" s="257" t="s">
        <v>229</v>
      </c>
      <c r="U214" s="257" t="s">
        <v>238</v>
      </c>
      <c r="V214" s="257">
        <v>0</v>
      </c>
      <c r="W214" s="257">
        <v>0</v>
      </c>
      <c r="X214" s="257">
        <v>0</v>
      </c>
      <c r="Y214" s="257">
        <v>1</v>
      </c>
      <c r="Z214" s="257">
        <v>0</v>
      </c>
      <c r="AA214" s="257">
        <v>0</v>
      </c>
      <c r="AB214" s="257">
        <v>0</v>
      </c>
      <c r="AC214" s="257">
        <v>0</v>
      </c>
      <c r="AD214" s="257">
        <v>0</v>
      </c>
      <c r="AE214" s="257">
        <v>0</v>
      </c>
      <c r="AF214" s="257">
        <v>0</v>
      </c>
      <c r="AG214" s="257">
        <v>0</v>
      </c>
      <c r="AH214" s="257">
        <v>0</v>
      </c>
      <c r="AI214" s="257">
        <v>0</v>
      </c>
      <c r="AJ214" s="257">
        <v>0</v>
      </c>
      <c r="AK214" s="257">
        <v>0</v>
      </c>
      <c r="AL214" s="257">
        <v>0</v>
      </c>
      <c r="AM214" s="257">
        <v>0</v>
      </c>
      <c r="AN214" s="257">
        <v>0</v>
      </c>
      <c r="AO214" s="257">
        <v>0</v>
      </c>
      <c r="AP214" s="257">
        <v>0</v>
      </c>
      <c r="AQ214" s="257">
        <v>0</v>
      </c>
      <c r="AR214" s="257">
        <v>0</v>
      </c>
      <c r="AS214" s="257">
        <v>0</v>
      </c>
      <c r="AT214" s="257">
        <v>0</v>
      </c>
      <c r="AU214" s="257">
        <v>0</v>
      </c>
      <c r="AV214" s="257">
        <v>0</v>
      </c>
      <c r="AW214" s="257">
        <v>0</v>
      </c>
      <c r="AX214" s="279">
        <v>1</v>
      </c>
      <c r="AY214" s="279">
        <v>1</v>
      </c>
      <c r="AZ214" s="257">
        <v>1</v>
      </c>
      <c r="BA214" s="257">
        <v>0</v>
      </c>
      <c r="BB214" s="257">
        <v>0</v>
      </c>
      <c r="BC214" s="257">
        <v>0</v>
      </c>
      <c r="BD214" s="257">
        <v>0</v>
      </c>
      <c r="BE214" s="257" t="s">
        <v>92</v>
      </c>
      <c r="BF214" s="2" t="str" cm="1">
        <f t="array" ref="BF214">IF(COUNTIF(AZ214:BB214,"&lt;&gt;0")=1,INDEX($V$4:$AW$4,MATCH(TRUE,INDEX($V214:$AW214&lt;&gt;0,),0)),IF(COUNTIF(AZ214:BB214,"&lt;&gt;0")=0,INDEX($AM$4:$AW$4,MATCH(1,$AM214:$AW214,0)),"Multiple strategies"))</f>
        <v>SilvicultureRemov</v>
      </c>
      <c r="BG214" s="280" t="s">
        <v>230</v>
      </c>
      <c r="BH214" s="257" t="s">
        <v>231</v>
      </c>
      <c r="BI214" s="281" t="s">
        <v>3073</v>
      </c>
      <c r="BJ214" s="278" t="s">
        <v>232</v>
      </c>
      <c r="BK214" s="257">
        <v>89.04746797</v>
      </c>
      <c r="BL214" s="257">
        <v>110.7133618</v>
      </c>
      <c r="BM214" s="278">
        <v>1.2433072419004572</v>
      </c>
      <c r="BN214" s="257">
        <v>21.665893830000002</v>
      </c>
      <c r="BO214" s="278">
        <v>44.216109857142861</v>
      </c>
      <c r="BP214" s="278" t="s">
        <v>233</v>
      </c>
      <c r="BQ214" s="312" t="s">
        <v>3073</v>
      </c>
      <c r="BR214" s="278" t="s">
        <v>234</v>
      </c>
      <c r="BS214" s="257">
        <v>-8.1050396580000008</v>
      </c>
      <c r="BT214" s="257">
        <v>-7.8881757170000002</v>
      </c>
      <c r="BU214" s="259">
        <v>0.97324332142089554</v>
      </c>
      <c r="BV214" s="257">
        <v>0.21686394100000062</v>
      </c>
      <c r="BW214" s="257"/>
      <c r="BX214" s="257">
        <v>2.168639410000006E-4</v>
      </c>
      <c r="BY214" s="257">
        <v>4.9046363802845369E-6</v>
      </c>
      <c r="BZ214" s="257">
        <v>0</v>
      </c>
      <c r="CA214" s="257">
        <v>0</v>
      </c>
      <c r="CB214" s="257">
        <v>0</v>
      </c>
      <c r="CC214" s="257">
        <v>0</v>
      </c>
      <c r="CD214" s="257">
        <v>0</v>
      </c>
      <c r="CE214" s="257">
        <v>0</v>
      </c>
      <c r="CF214" s="257">
        <v>0</v>
      </c>
      <c r="CG214" s="257">
        <v>0</v>
      </c>
      <c r="CH214" s="257">
        <v>0</v>
      </c>
      <c r="CI214" s="257">
        <v>0</v>
      </c>
      <c r="CJ214" s="257">
        <v>0</v>
      </c>
      <c r="CK214" s="257">
        <v>0</v>
      </c>
      <c r="CL214" s="257">
        <v>0</v>
      </c>
      <c r="CM214" s="257">
        <v>0</v>
      </c>
      <c r="CN214" s="257" t="s">
        <v>3074</v>
      </c>
      <c r="CO214" s="257">
        <v>89.04746797</v>
      </c>
      <c r="CP214" s="257">
        <v>110.7133618</v>
      </c>
      <c r="CQ214" s="257">
        <v>44.216109857142861</v>
      </c>
      <c r="CR214" s="257">
        <v>-8.1050396580000008</v>
      </c>
      <c r="CS214" s="257">
        <v>-7.8881757170000002</v>
      </c>
      <c r="CT214" s="257">
        <v>2.168639410000006E-4</v>
      </c>
      <c r="CU214" s="257">
        <v>4.9046363802845369E-6</v>
      </c>
      <c r="CV214" s="258">
        <v>2.6756678579104441E-2</v>
      </c>
      <c r="CW214" s="256" t="s">
        <v>235</v>
      </c>
      <c r="CX214" s="257" t="s">
        <v>3075</v>
      </c>
      <c r="CY214" s="257" t="s">
        <v>236</v>
      </c>
      <c r="CZ214" s="257"/>
      <c r="DA214" s="278"/>
      <c r="DB214" s="278">
        <v>80</v>
      </c>
      <c r="DC214" s="257" t="s">
        <v>3076</v>
      </c>
      <c r="DD214" s="257">
        <v>0</v>
      </c>
      <c r="DE214" s="257">
        <v>1</v>
      </c>
      <c r="DF214" s="257">
        <v>0</v>
      </c>
      <c r="DG214" s="257">
        <v>0</v>
      </c>
      <c r="DH214" s="257"/>
      <c r="DI214" s="257">
        <v>1</v>
      </c>
      <c r="DJ214" s="257" t="s">
        <v>174</v>
      </c>
      <c r="DK214" s="257">
        <v>0</v>
      </c>
      <c r="DL214" s="257" t="s">
        <v>181</v>
      </c>
      <c r="DM214" s="257">
        <v>0</v>
      </c>
      <c r="DN214" s="257">
        <v>0</v>
      </c>
      <c r="DO214" s="257">
        <v>0</v>
      </c>
      <c r="DP214" s="278">
        <v>0</v>
      </c>
      <c r="DQ214" s="278">
        <v>0</v>
      </c>
      <c r="DR214" s="278">
        <v>0</v>
      </c>
      <c r="DS214" s="278">
        <v>0</v>
      </c>
      <c r="DT214" s="257">
        <v>0</v>
      </c>
      <c r="DU214" s="278" t="s">
        <v>964</v>
      </c>
      <c r="DV214" s="278">
        <v>1</v>
      </c>
      <c r="DW214" s="278">
        <v>1</v>
      </c>
      <c r="DX214" s="278">
        <v>1</v>
      </c>
      <c r="DY214" s="278">
        <v>0</v>
      </c>
      <c r="DZ214" s="257">
        <v>0</v>
      </c>
      <c r="EA214" s="278">
        <v>0</v>
      </c>
      <c r="EB214" s="278">
        <v>1</v>
      </c>
      <c r="EC214" s="278">
        <v>1</v>
      </c>
      <c r="ED214" s="278">
        <v>0</v>
      </c>
      <c r="EE214" s="278">
        <v>0</v>
      </c>
      <c r="EF214" s="257">
        <v>1</v>
      </c>
      <c r="EG214" s="278">
        <v>0</v>
      </c>
      <c r="EH214" s="257">
        <v>0</v>
      </c>
      <c r="EI214" s="258">
        <v>0</v>
      </c>
      <c r="EJ214" s="256"/>
      <c r="EK214" t="str">
        <f>IF(AND(AND(AND(OR($DX214=1,$DW214=1),OR($EC214=1,$EA214=1)),SUM($DV214:$DZ214,$EF214)&gt;=4),SUM($EA214:$EE214)&gt;=2),"Whole sector","")</f>
        <v>Whole sector</v>
      </c>
      <c r="EL214" t="str">
        <f>IF(AND(AND(OR($DX214=1,$DW214=1),AND($EC214=0,$EA214=0)),SUM($DV214:$DZ214,$EF214)&gt;=4),"Ecosystem approach","")</f>
        <v/>
      </c>
      <c r="EM214" s="258" t="s">
        <v>545</v>
      </c>
      <c r="EN214" s="257" t="s">
        <v>237</v>
      </c>
      <c r="EO214" s="257"/>
      <c r="EP214" t="str">
        <f>IF(ISNUMBER(BU214),IF(ABS(BU214-[3]QC_indicators!$B$2)&gt;3*[3]QC_indicators!$C$2,"C ratio",IF(ISNUMBER(BY214),IF(ABS(BY214-[3]QC_indicators!$B$1)&gt;3*[3]QC_indicators!$C$1,"DF","no"))),IF(ISNUMBER(BY214),IF(ABS(BY214-[3]QC_indicators!$B$1)&gt;3*[3]QC_indicators!$C$1,"DF","no")))</f>
        <v>no</v>
      </c>
      <c r="EQ214" s="282"/>
      <c r="ER214" s="282"/>
      <c r="ES214" s="282"/>
      <c r="ET214"/>
      <c r="EU214"/>
    </row>
    <row r="215" spans="1:151" s="139" customFormat="1" ht="15" hidden="1" customHeight="1">
      <c r="A215" s="256" t="s">
        <v>215</v>
      </c>
      <c r="B215" s="257" t="s">
        <v>216</v>
      </c>
      <c r="C215" s="257" t="s">
        <v>217</v>
      </c>
      <c r="D215" s="257" t="s">
        <v>218</v>
      </c>
      <c r="E215" s="257" t="s">
        <v>219</v>
      </c>
      <c r="F215" s="257" t="s">
        <v>220</v>
      </c>
      <c r="G215" s="257" t="s">
        <v>221</v>
      </c>
      <c r="H215" s="257"/>
      <c r="I215" s="257">
        <v>2012</v>
      </c>
      <c r="J215" s="257"/>
      <c r="K215" s="257" t="s">
        <v>222</v>
      </c>
      <c r="L215" s="257"/>
      <c r="M215" s="257" t="s">
        <v>3072</v>
      </c>
      <c r="N215" s="257" t="s">
        <v>223</v>
      </c>
      <c r="O215" s="277" t="s">
        <v>224</v>
      </c>
      <c r="P215" s="257"/>
      <c r="Q215" s="257" t="s">
        <v>225</v>
      </c>
      <c r="R215" s="258" t="s">
        <v>226</v>
      </c>
      <c r="S215" s="256" t="s">
        <v>227</v>
      </c>
      <c r="T215" s="257" t="s">
        <v>229</v>
      </c>
      <c r="U215" s="257" t="s">
        <v>240</v>
      </c>
      <c r="V215" s="257">
        <v>0</v>
      </c>
      <c r="W215" s="257">
        <v>0</v>
      </c>
      <c r="X215" s="257">
        <v>0</v>
      </c>
      <c r="Y215" s="257">
        <v>1</v>
      </c>
      <c r="Z215" s="257">
        <v>0</v>
      </c>
      <c r="AA215" s="257">
        <v>0</v>
      </c>
      <c r="AB215" s="257">
        <v>0</v>
      </c>
      <c r="AC215" s="257">
        <v>0</v>
      </c>
      <c r="AD215" s="257">
        <v>0</v>
      </c>
      <c r="AE215" s="257">
        <v>0</v>
      </c>
      <c r="AF215" s="257">
        <v>0</v>
      </c>
      <c r="AG215" s="257">
        <v>0</v>
      </c>
      <c r="AH215" s="257">
        <v>0</v>
      </c>
      <c r="AI215" s="257">
        <v>0</v>
      </c>
      <c r="AJ215" s="257">
        <v>0</v>
      </c>
      <c r="AK215" s="257">
        <v>0</v>
      </c>
      <c r="AL215" s="257">
        <v>0</v>
      </c>
      <c r="AM215" s="257">
        <v>0</v>
      </c>
      <c r="AN215" s="257">
        <v>0</v>
      </c>
      <c r="AO215" s="257">
        <v>0</v>
      </c>
      <c r="AP215" s="257">
        <v>0</v>
      </c>
      <c r="AQ215" s="257">
        <v>0</v>
      </c>
      <c r="AR215" s="257">
        <v>0</v>
      </c>
      <c r="AS215" s="257">
        <v>0</v>
      </c>
      <c r="AT215" s="257">
        <v>0</v>
      </c>
      <c r="AU215" s="257">
        <v>0</v>
      </c>
      <c r="AV215" s="257">
        <v>0</v>
      </c>
      <c r="AW215" s="257">
        <v>0</v>
      </c>
      <c r="AX215" s="279">
        <v>1</v>
      </c>
      <c r="AY215" s="279">
        <v>1</v>
      </c>
      <c r="AZ215" s="257">
        <v>1</v>
      </c>
      <c r="BA215" s="257">
        <v>0</v>
      </c>
      <c r="BB215" s="257">
        <v>0</v>
      </c>
      <c r="BC215" s="257">
        <v>0</v>
      </c>
      <c r="BD215" s="257">
        <v>0</v>
      </c>
      <c r="BE215" s="257" t="s">
        <v>92</v>
      </c>
      <c r="BF215" s="2" t="str" cm="1">
        <f t="array" ref="BF215">IF(COUNTIF(AZ215:BB215,"&lt;&gt;0")=1,INDEX($V$4:$AW$4,MATCH(TRUE,INDEX($V215:$AW215&lt;&gt;0,),0)),IF(COUNTIF(AZ215:BB215,"&lt;&gt;0")=0,INDEX($AM$4:$AW$4,MATCH(1,$AM215:$AW215,0)),"Multiple strategies"))</f>
        <v>SilvicultureRemov</v>
      </c>
      <c r="BG215" s="280" t="s">
        <v>230</v>
      </c>
      <c r="BH215" s="257" t="s">
        <v>231</v>
      </c>
      <c r="BI215" s="281" t="s">
        <v>3073</v>
      </c>
      <c r="BJ215" s="278" t="s">
        <v>232</v>
      </c>
      <c r="BK215" s="257">
        <v>74.931604759999999</v>
      </c>
      <c r="BL215" s="257">
        <v>98.063244030000007</v>
      </c>
      <c r="BM215" s="278">
        <v>0.76411509226715502</v>
      </c>
      <c r="BN215" s="257">
        <v>23.131639270000008</v>
      </c>
      <c r="BO215" s="278">
        <v>47.207427081632673</v>
      </c>
      <c r="BP215" s="278" t="s">
        <v>233</v>
      </c>
      <c r="BQ215" s="312" t="s">
        <v>3073</v>
      </c>
      <c r="BR215" s="278" t="s">
        <v>234</v>
      </c>
      <c r="BS215" s="257">
        <v>-8.5161560640000005</v>
      </c>
      <c r="BT215" s="257">
        <v>-8.12446701</v>
      </c>
      <c r="BU215" s="259">
        <v>0.95400635556037172</v>
      </c>
      <c r="BV215" s="257">
        <v>0.39168905400000043</v>
      </c>
      <c r="BW215" s="257"/>
      <c r="BX215" s="257">
        <v>3.916890540000004E-4</v>
      </c>
      <c r="BY215" s="257">
        <v>8.2971913153131285E-6</v>
      </c>
      <c r="BZ215" s="257">
        <v>0</v>
      </c>
      <c r="CA215" s="257">
        <v>0</v>
      </c>
      <c r="CB215" s="257">
        <v>0</v>
      </c>
      <c r="CC215" s="257">
        <v>0</v>
      </c>
      <c r="CD215" s="257">
        <v>0</v>
      </c>
      <c r="CE215" s="257">
        <v>0</v>
      </c>
      <c r="CF215" s="257">
        <v>0</v>
      </c>
      <c r="CG215" s="257">
        <v>0</v>
      </c>
      <c r="CH215" s="257">
        <v>0</v>
      </c>
      <c r="CI215" s="257">
        <v>0</v>
      </c>
      <c r="CJ215" s="257">
        <v>0</v>
      </c>
      <c r="CK215" s="257">
        <v>0</v>
      </c>
      <c r="CL215" s="257">
        <v>0</v>
      </c>
      <c r="CM215" s="257">
        <v>0</v>
      </c>
      <c r="CN215" s="257" t="s">
        <v>3074</v>
      </c>
      <c r="CO215" s="257">
        <v>74.931604759999999</v>
      </c>
      <c r="CP215" s="257">
        <v>98.063244030000007</v>
      </c>
      <c r="CQ215" s="257">
        <v>47.207427081632673</v>
      </c>
      <c r="CR215" s="257">
        <v>-8.5161560640000005</v>
      </c>
      <c r="CS215" s="257">
        <v>-8.12446701</v>
      </c>
      <c r="CT215" s="257">
        <v>3.916890540000004E-4</v>
      </c>
      <c r="CU215" s="257">
        <v>8.2971913153131285E-6</v>
      </c>
      <c r="CV215" s="258">
        <v>4.5993644439628299E-2</v>
      </c>
      <c r="CW215" s="256" t="s">
        <v>235</v>
      </c>
      <c r="CX215" s="257" t="s">
        <v>3075</v>
      </c>
      <c r="CY215" s="257" t="s">
        <v>236</v>
      </c>
      <c r="CZ215" s="257"/>
      <c r="DA215" s="278"/>
      <c r="DB215" s="278">
        <v>80</v>
      </c>
      <c r="DC215" s="257" t="s">
        <v>3076</v>
      </c>
      <c r="DD215" s="257">
        <v>0</v>
      </c>
      <c r="DE215" s="257">
        <v>1</v>
      </c>
      <c r="DF215" s="257">
        <v>0</v>
      </c>
      <c r="DG215" s="257">
        <v>0</v>
      </c>
      <c r="DH215" s="257"/>
      <c r="DI215" s="257">
        <v>1</v>
      </c>
      <c r="DJ215" s="257" t="s">
        <v>174</v>
      </c>
      <c r="DK215" s="257">
        <v>0</v>
      </c>
      <c r="DL215" s="257" t="s">
        <v>181</v>
      </c>
      <c r="DM215" s="257">
        <v>0</v>
      </c>
      <c r="DN215" s="257">
        <v>0</v>
      </c>
      <c r="DO215" s="257">
        <v>0</v>
      </c>
      <c r="DP215" s="278">
        <v>0</v>
      </c>
      <c r="DQ215" s="278">
        <v>0</v>
      </c>
      <c r="DR215" s="278">
        <v>0</v>
      </c>
      <c r="DS215" s="278">
        <v>0</v>
      </c>
      <c r="DT215" s="257">
        <v>0</v>
      </c>
      <c r="DU215" s="278" t="s">
        <v>964</v>
      </c>
      <c r="DV215" s="278">
        <v>1</v>
      </c>
      <c r="DW215" s="278">
        <v>1</v>
      </c>
      <c r="DX215" s="278">
        <v>1</v>
      </c>
      <c r="DY215" s="278">
        <v>0</v>
      </c>
      <c r="DZ215" s="257">
        <v>0</v>
      </c>
      <c r="EA215" s="278">
        <v>0</v>
      </c>
      <c r="EB215" s="278">
        <v>1</v>
      </c>
      <c r="EC215" s="278">
        <v>1</v>
      </c>
      <c r="ED215" s="278">
        <v>0</v>
      </c>
      <c r="EE215" s="278">
        <v>0</v>
      </c>
      <c r="EF215" s="257">
        <v>1</v>
      </c>
      <c r="EG215" s="278">
        <v>0</v>
      </c>
      <c r="EH215" s="257">
        <v>0</v>
      </c>
      <c r="EI215" s="258">
        <v>0</v>
      </c>
      <c r="EJ215" s="256"/>
      <c r="EK215" t="str">
        <f>IF(AND(AND(AND(OR($DX215=1,$DW215=1),OR($EC215=1,$EA215=1)),SUM($DV215:$DZ215,$EF215)&gt;=4),SUM($EA215:$EE215)&gt;=2),"Whole sector","")</f>
        <v>Whole sector</v>
      </c>
      <c r="EL215" t="str">
        <f>IF(AND(AND(OR($DX215=1,$DW215=1),AND($EC215=0,$EA215=0)),SUM($DV215:$DZ215,$EF215)&gt;=4),"Ecosystem approach","")</f>
        <v/>
      </c>
      <c r="EM215" s="258" t="s">
        <v>545</v>
      </c>
      <c r="EN215" s="257" t="s">
        <v>237</v>
      </c>
      <c r="EO215" s="257"/>
      <c r="EP215" t="str">
        <f>IF(ISNUMBER(BU215),IF(ABS(BU215-[3]QC_indicators!$B$2)&gt;3*[3]QC_indicators!$C$2,"C ratio",IF(ISNUMBER(BY215),IF(ABS(BY215-[3]QC_indicators!$B$1)&gt;3*[3]QC_indicators!$C$1,"DF","no"))),IF(ISNUMBER(BY215),IF(ABS(BY215-[3]QC_indicators!$B$1)&gt;3*[3]QC_indicators!$C$1,"DF","no")))</f>
        <v>no</v>
      </c>
      <c r="EQ215" s="282"/>
      <c r="ER215" s="282"/>
      <c r="ES215" s="282"/>
      <c r="ET215"/>
      <c r="EU215"/>
    </row>
    <row r="216" spans="1:151" s="139" customFormat="1" ht="15" hidden="1" customHeight="1">
      <c r="A216" s="256" t="s">
        <v>215</v>
      </c>
      <c r="B216" s="257" t="s">
        <v>216</v>
      </c>
      <c r="C216" s="257" t="s">
        <v>217</v>
      </c>
      <c r="D216" s="257" t="s">
        <v>218</v>
      </c>
      <c r="E216" s="257" t="s">
        <v>219</v>
      </c>
      <c r="F216" s="257" t="s">
        <v>220</v>
      </c>
      <c r="G216" s="257" t="s">
        <v>221</v>
      </c>
      <c r="H216" s="257"/>
      <c r="I216" s="257">
        <v>2012</v>
      </c>
      <c r="J216" s="257"/>
      <c r="K216" s="257" t="s">
        <v>222</v>
      </c>
      <c r="L216" s="257"/>
      <c r="M216" s="257" t="s">
        <v>3072</v>
      </c>
      <c r="N216" s="257" t="s">
        <v>223</v>
      </c>
      <c r="O216" s="277" t="s">
        <v>224</v>
      </c>
      <c r="P216" s="257"/>
      <c r="Q216" s="257" t="s">
        <v>225</v>
      </c>
      <c r="R216" s="258" t="s">
        <v>226</v>
      </c>
      <c r="S216" s="256" t="s">
        <v>227</v>
      </c>
      <c r="T216" s="257" t="s">
        <v>229</v>
      </c>
      <c r="U216" s="257" t="s">
        <v>239</v>
      </c>
      <c r="V216" s="257">
        <v>0</v>
      </c>
      <c r="W216" s="257">
        <v>0</v>
      </c>
      <c r="X216" s="257">
        <v>0</v>
      </c>
      <c r="Y216" s="257">
        <v>1</v>
      </c>
      <c r="Z216" s="257">
        <v>0</v>
      </c>
      <c r="AA216" s="257">
        <v>0</v>
      </c>
      <c r="AB216" s="257">
        <v>0</v>
      </c>
      <c r="AC216" s="257">
        <v>0</v>
      </c>
      <c r="AD216" s="257">
        <v>0</v>
      </c>
      <c r="AE216" s="257">
        <v>0</v>
      </c>
      <c r="AF216" s="257">
        <v>0</v>
      </c>
      <c r="AG216" s="257">
        <v>0</v>
      </c>
      <c r="AH216" s="257">
        <v>0</v>
      </c>
      <c r="AI216" s="257">
        <v>0</v>
      </c>
      <c r="AJ216" s="257">
        <v>0</v>
      </c>
      <c r="AK216" s="257">
        <v>0</v>
      </c>
      <c r="AL216" s="257">
        <v>0</v>
      </c>
      <c r="AM216" s="257">
        <v>0</v>
      </c>
      <c r="AN216" s="257">
        <v>0</v>
      </c>
      <c r="AO216" s="257">
        <v>0</v>
      </c>
      <c r="AP216" s="257">
        <v>0</v>
      </c>
      <c r="AQ216" s="257">
        <v>0</v>
      </c>
      <c r="AR216" s="257">
        <v>0</v>
      </c>
      <c r="AS216" s="257">
        <v>0</v>
      </c>
      <c r="AT216" s="257">
        <v>0</v>
      </c>
      <c r="AU216" s="257">
        <v>0</v>
      </c>
      <c r="AV216" s="257">
        <v>0</v>
      </c>
      <c r="AW216" s="257">
        <v>0</v>
      </c>
      <c r="AX216" s="279">
        <v>1</v>
      </c>
      <c r="AY216" s="279">
        <v>1</v>
      </c>
      <c r="AZ216" s="257">
        <v>1</v>
      </c>
      <c r="BA216" s="257">
        <v>0</v>
      </c>
      <c r="BB216" s="257">
        <v>0</v>
      </c>
      <c r="BC216" s="257">
        <v>0</v>
      </c>
      <c r="BD216" s="257">
        <v>0</v>
      </c>
      <c r="BE216" s="257" t="s">
        <v>92</v>
      </c>
      <c r="BF216" s="2" t="str" cm="1">
        <f t="array" ref="BF216">IF(COUNTIF(AZ216:BB216,"&lt;&gt;0")=1,INDEX($V$4:$AW$4,MATCH(TRUE,INDEX($V216:$AW216&lt;&gt;0,),0)),IF(COUNTIF(AZ216:BB216,"&lt;&gt;0")=0,INDEX($AM$4:$AW$4,MATCH(1,$AM216:$AW216,0)),"Multiple strategies"))</f>
        <v>SilvicultureRemov</v>
      </c>
      <c r="BG216" s="280" t="s">
        <v>230</v>
      </c>
      <c r="BH216" s="257" t="s">
        <v>231</v>
      </c>
      <c r="BI216" s="281" t="s">
        <v>3073</v>
      </c>
      <c r="BJ216" s="278" t="s">
        <v>232</v>
      </c>
      <c r="BK216" s="257">
        <v>75.212579790000007</v>
      </c>
      <c r="BL216" s="257">
        <v>98.063244030000007</v>
      </c>
      <c r="BM216" s="278">
        <v>0.76698033533329357</v>
      </c>
      <c r="BN216" s="257">
        <v>22.85066424</v>
      </c>
      <c r="BO216" s="278">
        <v>46.63400865306123</v>
      </c>
      <c r="BP216" s="278" t="s">
        <v>233</v>
      </c>
      <c r="BQ216" s="312" t="s">
        <v>3073</v>
      </c>
      <c r="BR216" s="278" t="s">
        <v>234</v>
      </c>
      <c r="BS216" s="257">
        <v>-8.4548837900000002</v>
      </c>
      <c r="BT216" s="257">
        <v>-8.12446701</v>
      </c>
      <c r="BU216" s="259">
        <v>0.96092000928613586</v>
      </c>
      <c r="BV216" s="257">
        <v>0.33041678000000019</v>
      </c>
      <c r="BW216" s="257"/>
      <c r="BX216" s="257">
        <v>3.3041678000000018E-4</v>
      </c>
      <c r="BY216" s="257">
        <v>7.0853179802356617E-6</v>
      </c>
      <c r="BZ216" s="257">
        <v>0</v>
      </c>
      <c r="CA216" s="257">
        <v>0</v>
      </c>
      <c r="CB216" s="257">
        <v>0</v>
      </c>
      <c r="CC216" s="257">
        <v>0</v>
      </c>
      <c r="CD216" s="257">
        <v>0</v>
      </c>
      <c r="CE216" s="257">
        <v>0</v>
      </c>
      <c r="CF216" s="257">
        <v>0</v>
      </c>
      <c r="CG216" s="257">
        <v>0</v>
      </c>
      <c r="CH216" s="257">
        <v>0</v>
      </c>
      <c r="CI216" s="257">
        <v>0</v>
      </c>
      <c r="CJ216" s="257">
        <v>0</v>
      </c>
      <c r="CK216" s="257">
        <v>0</v>
      </c>
      <c r="CL216" s="257">
        <v>0</v>
      </c>
      <c r="CM216" s="257">
        <v>0</v>
      </c>
      <c r="CN216" s="257" t="s">
        <v>3074</v>
      </c>
      <c r="CO216" s="257">
        <v>75.212579790000007</v>
      </c>
      <c r="CP216" s="257">
        <v>98.063244030000007</v>
      </c>
      <c r="CQ216" s="257">
        <v>46.63400865306123</v>
      </c>
      <c r="CR216" s="257">
        <v>-8.4548837900000002</v>
      </c>
      <c r="CS216" s="257">
        <v>-8.12446701</v>
      </c>
      <c r="CT216" s="257">
        <v>3.3041678000000018E-4</v>
      </c>
      <c r="CU216" s="257">
        <v>7.0853179802356617E-6</v>
      </c>
      <c r="CV216" s="258">
        <v>3.9079990713864109E-2</v>
      </c>
      <c r="CW216" s="256" t="s">
        <v>235</v>
      </c>
      <c r="CX216" s="257" t="s">
        <v>3075</v>
      </c>
      <c r="CY216" s="257" t="s">
        <v>236</v>
      </c>
      <c r="CZ216" s="257"/>
      <c r="DA216" s="278"/>
      <c r="DB216" s="278">
        <v>80</v>
      </c>
      <c r="DC216" s="257" t="s">
        <v>3076</v>
      </c>
      <c r="DD216" s="257">
        <v>0</v>
      </c>
      <c r="DE216" s="257">
        <v>1</v>
      </c>
      <c r="DF216" s="257">
        <v>0</v>
      </c>
      <c r="DG216" s="257">
        <v>0</v>
      </c>
      <c r="DH216" s="257"/>
      <c r="DI216" s="257">
        <v>1</v>
      </c>
      <c r="DJ216" s="257" t="s">
        <v>174</v>
      </c>
      <c r="DK216" s="257">
        <v>0</v>
      </c>
      <c r="DL216" s="257" t="s">
        <v>181</v>
      </c>
      <c r="DM216" s="257">
        <v>0</v>
      </c>
      <c r="DN216" s="257">
        <v>0</v>
      </c>
      <c r="DO216" s="257">
        <v>0</v>
      </c>
      <c r="DP216" s="278">
        <v>0</v>
      </c>
      <c r="DQ216" s="278">
        <v>0</v>
      </c>
      <c r="DR216" s="278">
        <v>0</v>
      </c>
      <c r="DS216" s="278">
        <v>0</v>
      </c>
      <c r="DT216" s="257">
        <v>0</v>
      </c>
      <c r="DU216" s="278" t="s">
        <v>964</v>
      </c>
      <c r="DV216" s="278">
        <v>1</v>
      </c>
      <c r="DW216" s="278">
        <v>1</v>
      </c>
      <c r="DX216" s="278">
        <v>1</v>
      </c>
      <c r="DY216" s="278">
        <v>0</v>
      </c>
      <c r="DZ216" s="257">
        <v>0</v>
      </c>
      <c r="EA216" s="278">
        <v>0</v>
      </c>
      <c r="EB216" s="278">
        <v>1</v>
      </c>
      <c r="EC216" s="278">
        <v>1</v>
      </c>
      <c r="ED216" s="278">
        <v>0</v>
      </c>
      <c r="EE216" s="278">
        <v>0</v>
      </c>
      <c r="EF216" s="257">
        <v>1</v>
      </c>
      <c r="EG216" s="278">
        <v>0</v>
      </c>
      <c r="EH216" s="257">
        <v>0</v>
      </c>
      <c r="EI216" s="258">
        <v>0</v>
      </c>
      <c r="EJ216" s="256"/>
      <c r="EK216" t="str">
        <f>IF(AND(AND(AND(OR($DX216=1,$DW216=1),OR($EC216=1,$EA216=1)),SUM($DV216:$DZ216,$EF216)&gt;=4),SUM($EA216:$EE216)&gt;=2),"Whole sector","")</f>
        <v>Whole sector</v>
      </c>
      <c r="EL216" t="str">
        <f>IF(AND(AND(OR($DX216=1,$DW216=1),AND($EC216=0,$EA216=0)),SUM($DV216:$DZ216,$EF216)&gt;=4),"Ecosystem approach","")</f>
        <v/>
      </c>
      <c r="EM216" s="258" t="s">
        <v>545</v>
      </c>
      <c r="EN216" s="257" t="s">
        <v>237</v>
      </c>
      <c r="EO216" s="257"/>
      <c r="EP216" t="str">
        <f>IF(ISNUMBER(BU216),IF(ABS(BU216-[3]QC_indicators!$B$2)&gt;3*[3]QC_indicators!$C$2,"C ratio",IF(ISNUMBER(BY216),IF(ABS(BY216-[3]QC_indicators!$B$1)&gt;3*[3]QC_indicators!$C$1,"DF","no"))),IF(ISNUMBER(BY216),IF(ABS(BY216-[3]QC_indicators!$B$1)&gt;3*[3]QC_indicators!$C$1,"DF","no")))</f>
        <v>no</v>
      </c>
      <c r="EQ216" s="282"/>
      <c r="ER216" s="282"/>
      <c r="ES216" s="282"/>
      <c r="ET216"/>
      <c r="EU216"/>
    </row>
    <row r="217" spans="1:151" s="139" customFormat="1" ht="15" hidden="1" customHeight="1">
      <c r="A217" s="256" t="s">
        <v>215</v>
      </c>
      <c r="B217" s="257" t="s">
        <v>216</v>
      </c>
      <c r="C217" s="257" t="s">
        <v>217</v>
      </c>
      <c r="D217" s="257" t="s">
        <v>218</v>
      </c>
      <c r="E217" s="257" t="s">
        <v>219</v>
      </c>
      <c r="F217" s="257" t="s">
        <v>220</v>
      </c>
      <c r="G217" s="257" t="s">
        <v>221</v>
      </c>
      <c r="H217" s="257"/>
      <c r="I217" s="257">
        <v>2012</v>
      </c>
      <c r="J217" s="257"/>
      <c r="K217" s="257" t="s">
        <v>222</v>
      </c>
      <c r="L217" s="257"/>
      <c r="M217" s="257" t="s">
        <v>3072</v>
      </c>
      <c r="N217" s="257" t="s">
        <v>223</v>
      </c>
      <c r="O217" s="277" t="s">
        <v>224</v>
      </c>
      <c r="P217" s="257"/>
      <c r="Q217" s="257" t="s">
        <v>225</v>
      </c>
      <c r="R217" s="258" t="s">
        <v>226</v>
      </c>
      <c r="S217" s="256" t="s">
        <v>241</v>
      </c>
      <c r="T217" s="257">
        <v>2000</v>
      </c>
      <c r="U217" s="257">
        <v>4000</v>
      </c>
      <c r="V217" s="257">
        <v>0</v>
      </c>
      <c r="W217" s="257">
        <v>0</v>
      </c>
      <c r="X217" s="257">
        <v>0</v>
      </c>
      <c r="Y217" s="257">
        <v>0</v>
      </c>
      <c r="Z217" s="257">
        <v>0</v>
      </c>
      <c r="AA217" s="257">
        <v>1</v>
      </c>
      <c r="AB217" s="257">
        <v>0</v>
      </c>
      <c r="AC217" s="257">
        <v>0</v>
      </c>
      <c r="AD217" s="257">
        <v>0</v>
      </c>
      <c r="AE217" s="257">
        <v>0</v>
      </c>
      <c r="AF217" s="257">
        <v>0</v>
      </c>
      <c r="AG217" s="257">
        <v>0</v>
      </c>
      <c r="AH217" s="257">
        <v>0</v>
      </c>
      <c r="AI217" s="257">
        <v>0</v>
      </c>
      <c r="AJ217" s="257">
        <v>0</v>
      </c>
      <c r="AK217" s="257">
        <v>0</v>
      </c>
      <c r="AL217" s="257">
        <v>0</v>
      </c>
      <c r="AM217" s="257">
        <v>0</v>
      </c>
      <c r="AN217" s="257">
        <v>0</v>
      </c>
      <c r="AO217" s="257">
        <v>0</v>
      </c>
      <c r="AP217" s="257">
        <v>0</v>
      </c>
      <c r="AQ217" s="257">
        <v>0</v>
      </c>
      <c r="AR217" s="257">
        <v>0</v>
      </c>
      <c r="AS217" s="257">
        <v>0</v>
      </c>
      <c r="AT217" s="257">
        <v>0</v>
      </c>
      <c r="AU217" s="257">
        <v>0</v>
      </c>
      <c r="AV217" s="257">
        <v>0</v>
      </c>
      <c r="AW217" s="257">
        <v>0</v>
      </c>
      <c r="AX217" s="279">
        <v>1</v>
      </c>
      <c r="AY217" s="279">
        <v>1</v>
      </c>
      <c r="AZ217" s="257">
        <v>1</v>
      </c>
      <c r="BA217" s="257">
        <v>0</v>
      </c>
      <c r="BB217" s="257">
        <v>0</v>
      </c>
      <c r="BC217" s="257">
        <v>0</v>
      </c>
      <c r="BD217" s="257">
        <v>0</v>
      </c>
      <c r="BE217" s="257" t="s">
        <v>94</v>
      </c>
      <c r="BF217" s="2" t="str" cm="1">
        <f t="array" ref="BF217">IF(COUNTIF(AZ217:BB217,"&lt;&gt;0")=1,INDEX($V$4:$AW$4,MATCH(TRUE,INDEX($V217:$AW217&lt;&gt;0,),0)),IF(COUNTIF(AZ217:BB217,"&lt;&gt;0")=0,INDEX($AM$4:$AW$4,MATCH(1,$AM217:$AW217,0)),"Multiple strategies"))</f>
        <v>SilvicultureProd</v>
      </c>
      <c r="BG217" s="280" t="s">
        <v>230</v>
      </c>
      <c r="BH217" s="257" t="s">
        <v>231</v>
      </c>
      <c r="BI217" s="281" t="s">
        <v>3073</v>
      </c>
      <c r="BJ217" s="278" t="s">
        <v>232</v>
      </c>
      <c r="BK217" s="257">
        <v>89.04746797</v>
      </c>
      <c r="BL217" s="257">
        <v>98.063244030000007</v>
      </c>
      <c r="BM217" s="278">
        <v>1.1012468548015022</v>
      </c>
      <c r="BN217" s="257">
        <v>9.0157760600000074</v>
      </c>
      <c r="BO217" s="278">
        <v>18.399542979591853</v>
      </c>
      <c r="BP217" s="278" t="s">
        <v>233</v>
      </c>
      <c r="BQ217" s="312" t="s">
        <v>3073</v>
      </c>
      <c r="BR217" s="278" t="s">
        <v>234</v>
      </c>
      <c r="BS217" s="257">
        <v>-8.1050396580000008</v>
      </c>
      <c r="BT217" s="257">
        <v>-8.12446701</v>
      </c>
      <c r="BU217" s="259">
        <v>1.0023969471859182</v>
      </c>
      <c r="BV217" s="257">
        <v>-1.9427351999999232E-2</v>
      </c>
      <c r="BW217" s="257"/>
      <c r="BX217" s="257">
        <v>-1.9427351999999233E-5</v>
      </c>
      <c r="BY217" s="257">
        <v>-1.0558605733602943E-6</v>
      </c>
      <c r="BZ217" s="257">
        <v>0</v>
      </c>
      <c r="CA217" s="257">
        <v>0</v>
      </c>
      <c r="CB217" s="257">
        <v>0</v>
      </c>
      <c r="CC217" s="257">
        <v>0</v>
      </c>
      <c r="CD217" s="257">
        <v>0</v>
      </c>
      <c r="CE217" s="257">
        <v>0</v>
      </c>
      <c r="CF217" s="257">
        <v>0</v>
      </c>
      <c r="CG217" s="257">
        <v>0</v>
      </c>
      <c r="CH217" s="257">
        <v>0</v>
      </c>
      <c r="CI217" s="257">
        <v>0</v>
      </c>
      <c r="CJ217" s="257">
        <v>0</v>
      </c>
      <c r="CK217" s="257">
        <v>0</v>
      </c>
      <c r="CL217" s="257">
        <v>0</v>
      </c>
      <c r="CM217" s="257">
        <v>0</v>
      </c>
      <c r="CN217" s="257" t="s">
        <v>3074</v>
      </c>
      <c r="CO217" s="257">
        <v>89.04746797</v>
      </c>
      <c r="CP217" s="257">
        <v>98.063244030000007</v>
      </c>
      <c r="CQ217" s="257">
        <v>18.399542979591853</v>
      </c>
      <c r="CR217" s="257">
        <v>-8.1050396580000008</v>
      </c>
      <c r="CS217" s="257">
        <v>-8.12446701</v>
      </c>
      <c r="CT217" s="257">
        <v>-1.9427351999999233E-5</v>
      </c>
      <c r="CU217" s="257">
        <v>-1.0558605733602943E-6</v>
      </c>
      <c r="CV217" s="258">
        <v>-2.396947185918289E-3</v>
      </c>
      <c r="CW217" s="256" t="s">
        <v>235</v>
      </c>
      <c r="CX217" s="257" t="s">
        <v>3075</v>
      </c>
      <c r="CY217" s="257" t="s">
        <v>236</v>
      </c>
      <c r="CZ217" s="257"/>
      <c r="DA217" s="278"/>
      <c r="DB217" s="278">
        <v>80</v>
      </c>
      <c r="DC217" s="257" t="s">
        <v>3076</v>
      </c>
      <c r="DD217" s="257">
        <v>0</v>
      </c>
      <c r="DE217" s="257">
        <v>1</v>
      </c>
      <c r="DF217" s="257">
        <v>0</v>
      </c>
      <c r="DG217" s="257">
        <v>0</v>
      </c>
      <c r="DH217" s="257"/>
      <c r="DI217" s="257">
        <v>1</v>
      </c>
      <c r="DJ217" s="257" t="s">
        <v>174</v>
      </c>
      <c r="DK217" s="257">
        <v>0</v>
      </c>
      <c r="DL217" s="257" t="s">
        <v>181</v>
      </c>
      <c r="DM217" s="257">
        <v>0</v>
      </c>
      <c r="DN217" s="257">
        <v>0</v>
      </c>
      <c r="DO217" s="257">
        <v>0</v>
      </c>
      <c r="DP217" s="278">
        <v>0</v>
      </c>
      <c r="DQ217" s="278">
        <v>0</v>
      </c>
      <c r="DR217" s="278">
        <v>0</v>
      </c>
      <c r="DS217" s="278">
        <v>0</v>
      </c>
      <c r="DT217" s="257">
        <v>0</v>
      </c>
      <c r="DU217" s="278" t="s">
        <v>964</v>
      </c>
      <c r="DV217" s="278">
        <v>1</v>
      </c>
      <c r="DW217" s="278">
        <v>1</v>
      </c>
      <c r="DX217" s="278">
        <v>1</v>
      </c>
      <c r="DY217" s="278">
        <v>0</v>
      </c>
      <c r="DZ217" s="257">
        <v>0</v>
      </c>
      <c r="EA217" s="278">
        <v>0</v>
      </c>
      <c r="EB217" s="278">
        <v>1</v>
      </c>
      <c r="EC217" s="278">
        <v>1</v>
      </c>
      <c r="ED217" s="278">
        <v>0</v>
      </c>
      <c r="EE217" s="278">
        <v>0</v>
      </c>
      <c r="EF217" s="257">
        <v>1</v>
      </c>
      <c r="EG217" s="278">
        <v>0</v>
      </c>
      <c r="EH217" s="257">
        <v>0</v>
      </c>
      <c r="EI217" s="258">
        <v>0</v>
      </c>
      <c r="EJ217" s="256"/>
      <c r="EK217" t="str">
        <f>IF(AND(AND(AND(OR($DX217=1,$DW217=1),OR($EC217=1,$EA217=1)),SUM($DV217:$DZ217,$EF217)&gt;=4),SUM($EA217:$EE217)&gt;=2),"Whole sector","")</f>
        <v>Whole sector</v>
      </c>
      <c r="EL217" t="str">
        <f>IF(AND(AND(OR($DX217=1,$DW217=1),AND($EC217=0,$EA217=0)),SUM($DV217:$DZ217,$EF217)&gt;=4),"Ecosystem approach","")</f>
        <v/>
      </c>
      <c r="EM217" s="258" t="s">
        <v>545</v>
      </c>
      <c r="EN217" s="257" t="s">
        <v>237</v>
      </c>
      <c r="EO217" s="257"/>
      <c r="EP217" t="str">
        <f>IF(ISNUMBER(BU217),IF(ABS(BU217-[3]QC_indicators!$B$2)&gt;3*[3]QC_indicators!$C$2,"C ratio",IF(ISNUMBER(BY217),IF(ABS(BY217-[3]QC_indicators!$B$1)&gt;3*[3]QC_indicators!$C$1,"DF","no"))),IF(ISNUMBER(BY217),IF(ABS(BY217-[3]QC_indicators!$B$1)&gt;3*[3]QC_indicators!$C$1,"DF","no")))</f>
        <v>no</v>
      </c>
      <c r="EQ217" s="282"/>
      <c r="ER217" s="282"/>
      <c r="ES217" s="282"/>
      <c r="ET217"/>
      <c r="EU217"/>
    </row>
    <row r="218" spans="1:151" s="139" customFormat="1" ht="15" hidden="1" customHeight="1">
      <c r="A218" s="256" t="s">
        <v>215</v>
      </c>
      <c r="B218" s="257" t="s">
        <v>216</v>
      </c>
      <c r="C218" s="257" t="s">
        <v>217</v>
      </c>
      <c r="D218" s="257" t="s">
        <v>218</v>
      </c>
      <c r="E218" s="257" t="s">
        <v>219</v>
      </c>
      <c r="F218" s="257" t="s">
        <v>220</v>
      </c>
      <c r="G218" s="257" t="s">
        <v>221</v>
      </c>
      <c r="H218" s="257"/>
      <c r="I218" s="257">
        <v>2012</v>
      </c>
      <c r="J218" s="257"/>
      <c r="K218" s="257" t="s">
        <v>222</v>
      </c>
      <c r="L218" s="257"/>
      <c r="M218" s="257" t="s">
        <v>3072</v>
      </c>
      <c r="N218" s="257" t="s">
        <v>223</v>
      </c>
      <c r="O218" s="277" t="s">
        <v>224</v>
      </c>
      <c r="P218" s="257"/>
      <c r="Q218" s="257" t="s">
        <v>225</v>
      </c>
      <c r="R218" s="258" t="s">
        <v>226</v>
      </c>
      <c r="S218" s="256" t="s">
        <v>227</v>
      </c>
      <c r="T218" s="257" t="s">
        <v>229</v>
      </c>
      <c r="U218" s="257" t="s">
        <v>228</v>
      </c>
      <c r="V218" s="257">
        <v>0</v>
      </c>
      <c r="W218" s="257">
        <v>0</v>
      </c>
      <c r="X218" s="257">
        <v>0</v>
      </c>
      <c r="Y218" s="257">
        <v>1</v>
      </c>
      <c r="Z218" s="257">
        <v>0</v>
      </c>
      <c r="AA218" s="257">
        <v>0</v>
      </c>
      <c r="AB218" s="257">
        <v>0</v>
      </c>
      <c r="AC218" s="257">
        <v>0</v>
      </c>
      <c r="AD218" s="257">
        <v>0</v>
      </c>
      <c r="AE218" s="257">
        <v>0</v>
      </c>
      <c r="AF218" s="257">
        <v>0</v>
      </c>
      <c r="AG218" s="257">
        <v>0</v>
      </c>
      <c r="AH218" s="257">
        <v>0</v>
      </c>
      <c r="AI218" s="257">
        <v>0</v>
      </c>
      <c r="AJ218" s="257">
        <v>0</v>
      </c>
      <c r="AK218" s="257">
        <v>0</v>
      </c>
      <c r="AL218" s="257">
        <v>0</v>
      </c>
      <c r="AM218" s="257">
        <v>0</v>
      </c>
      <c r="AN218" s="257">
        <v>0</v>
      </c>
      <c r="AO218" s="257">
        <v>0</v>
      </c>
      <c r="AP218" s="257">
        <v>0</v>
      </c>
      <c r="AQ218" s="257">
        <v>0</v>
      </c>
      <c r="AR218" s="257">
        <v>0</v>
      </c>
      <c r="AS218" s="257">
        <v>0</v>
      </c>
      <c r="AT218" s="257">
        <v>0</v>
      </c>
      <c r="AU218" s="257">
        <v>0</v>
      </c>
      <c r="AV218" s="257">
        <v>0</v>
      </c>
      <c r="AW218" s="257">
        <v>0</v>
      </c>
      <c r="AX218" s="279">
        <v>1</v>
      </c>
      <c r="AY218" s="279">
        <v>1</v>
      </c>
      <c r="AZ218" s="257">
        <v>1</v>
      </c>
      <c r="BA218" s="257">
        <v>0</v>
      </c>
      <c r="BB218" s="257">
        <v>0</v>
      </c>
      <c r="BC218" s="257">
        <v>0</v>
      </c>
      <c r="BD218" s="257">
        <v>0</v>
      </c>
      <c r="BE218" s="257" t="s">
        <v>92</v>
      </c>
      <c r="BF218" s="2" t="str" cm="1">
        <f t="array" ref="BF218">IF(COUNTIF(AZ218:BB218,"&lt;&gt;0")=1,INDEX($V$4:$AW$4,MATCH(TRUE,INDEX($V218:$AW218&lt;&gt;0,),0)),IF(COUNTIF(AZ218:BB218,"&lt;&gt;0")=0,INDEX($AM$4:$AW$4,MATCH(1,$AM218:$AW218,0)),"Multiple strategies"))</f>
        <v>SilvicultureRemov</v>
      </c>
      <c r="BG218" s="280" t="s">
        <v>230</v>
      </c>
      <c r="BH218" s="257" t="s">
        <v>231</v>
      </c>
      <c r="BI218" s="281" t="s">
        <v>3073</v>
      </c>
      <c r="BJ218" s="278" t="s">
        <v>232</v>
      </c>
      <c r="BK218" s="257">
        <v>90.539028419999994</v>
      </c>
      <c r="BL218" s="257">
        <v>98.063244030000007</v>
      </c>
      <c r="BM218" s="278">
        <v>0.92327180602246683</v>
      </c>
      <c r="BN218" s="257">
        <v>7.524215610000013</v>
      </c>
      <c r="BO218" s="278">
        <v>15.355542061224517</v>
      </c>
      <c r="BP218" s="278" t="s">
        <v>233</v>
      </c>
      <c r="BQ218" s="312" t="s">
        <v>3073</v>
      </c>
      <c r="BR218" s="278" t="s">
        <v>234</v>
      </c>
      <c r="BS218" s="257">
        <v>-8.2073792920000006</v>
      </c>
      <c r="BT218" s="257">
        <v>-8.12446701</v>
      </c>
      <c r="BU218" s="259">
        <v>0.98989783717187074</v>
      </c>
      <c r="BV218" s="257">
        <v>8.2912282000000559E-2</v>
      </c>
      <c r="BW218" s="257"/>
      <c r="BX218" s="257">
        <v>8.2912282000000562E-5</v>
      </c>
      <c r="BY218" s="257">
        <v>5.3995021256441911E-6</v>
      </c>
      <c r="BZ218" s="257">
        <v>0</v>
      </c>
      <c r="CA218" s="257">
        <v>0</v>
      </c>
      <c r="CB218" s="257">
        <v>0</v>
      </c>
      <c r="CC218" s="257">
        <v>0</v>
      </c>
      <c r="CD218" s="257">
        <v>0</v>
      </c>
      <c r="CE218" s="257">
        <v>0</v>
      </c>
      <c r="CF218" s="257">
        <v>0</v>
      </c>
      <c r="CG218" s="257">
        <v>0</v>
      </c>
      <c r="CH218" s="257">
        <v>0</v>
      </c>
      <c r="CI218" s="257">
        <v>0</v>
      </c>
      <c r="CJ218" s="257">
        <v>0</v>
      </c>
      <c r="CK218" s="257">
        <v>0</v>
      </c>
      <c r="CL218" s="257">
        <v>0</v>
      </c>
      <c r="CM218" s="257">
        <v>0</v>
      </c>
      <c r="CN218" s="257" t="s">
        <v>3074</v>
      </c>
      <c r="CO218" s="257">
        <v>90.539028419999994</v>
      </c>
      <c r="CP218" s="257">
        <v>98.063244030000007</v>
      </c>
      <c r="CQ218" s="257">
        <v>15.355542061224517</v>
      </c>
      <c r="CR218" s="257">
        <v>-8.2073792920000006</v>
      </c>
      <c r="CS218" s="257">
        <v>-8.12446701</v>
      </c>
      <c r="CT218" s="257">
        <v>8.2912282000000562E-5</v>
      </c>
      <c r="CU218" s="257">
        <v>5.3995021256441911E-6</v>
      </c>
      <c r="CV218" s="258">
        <v>1.0102162828129297E-2</v>
      </c>
      <c r="CW218" s="256" t="s">
        <v>235</v>
      </c>
      <c r="CX218" s="257" t="s">
        <v>3075</v>
      </c>
      <c r="CY218" s="257" t="s">
        <v>236</v>
      </c>
      <c r="CZ218" s="257"/>
      <c r="DA218" s="278"/>
      <c r="DB218" s="278">
        <v>80</v>
      </c>
      <c r="DC218" s="257" t="s">
        <v>3076</v>
      </c>
      <c r="DD218" s="257">
        <v>0</v>
      </c>
      <c r="DE218" s="257">
        <v>1</v>
      </c>
      <c r="DF218" s="257">
        <v>0</v>
      </c>
      <c r="DG218" s="257">
        <v>0</v>
      </c>
      <c r="DH218" s="257"/>
      <c r="DI218" s="257">
        <v>1</v>
      </c>
      <c r="DJ218" s="257" t="s">
        <v>174</v>
      </c>
      <c r="DK218" s="257">
        <v>0</v>
      </c>
      <c r="DL218" s="257" t="s">
        <v>181</v>
      </c>
      <c r="DM218" s="257">
        <v>0</v>
      </c>
      <c r="DN218" s="257">
        <v>0</v>
      </c>
      <c r="DO218" s="257">
        <v>0</v>
      </c>
      <c r="DP218" s="278">
        <v>0</v>
      </c>
      <c r="DQ218" s="278">
        <v>0</v>
      </c>
      <c r="DR218" s="278">
        <v>0</v>
      </c>
      <c r="DS218" s="278">
        <v>0</v>
      </c>
      <c r="DT218" s="257">
        <v>0</v>
      </c>
      <c r="DU218" s="278" t="s">
        <v>964</v>
      </c>
      <c r="DV218" s="278">
        <v>1</v>
      </c>
      <c r="DW218" s="278">
        <v>1</v>
      </c>
      <c r="DX218" s="278">
        <v>1</v>
      </c>
      <c r="DY218" s="278">
        <v>0</v>
      </c>
      <c r="DZ218" s="257">
        <v>0</v>
      </c>
      <c r="EA218" s="278">
        <v>0</v>
      </c>
      <c r="EB218" s="278">
        <v>1</v>
      </c>
      <c r="EC218" s="278">
        <v>1</v>
      </c>
      <c r="ED218" s="278">
        <v>0</v>
      </c>
      <c r="EE218" s="278">
        <v>0</v>
      </c>
      <c r="EF218" s="257">
        <v>1</v>
      </c>
      <c r="EG218" s="278">
        <v>0</v>
      </c>
      <c r="EH218" s="257">
        <v>0</v>
      </c>
      <c r="EI218" s="258">
        <v>0</v>
      </c>
      <c r="EJ218" s="256"/>
      <c r="EK218" t="str">
        <f>IF(AND(AND(AND(OR($DX218=1,$DW218=1),OR($EC218=1,$EA218=1)),SUM($DV218:$DZ218,$EF218)&gt;=4),SUM($EA218:$EE218)&gt;=2),"Whole sector","")</f>
        <v>Whole sector</v>
      </c>
      <c r="EL218" t="str">
        <f>IF(AND(AND(OR($DX218=1,$DW218=1),AND($EC218=0,$EA218=0)),SUM($DV218:$DZ218,$EF218)&gt;=4),"Ecosystem approach","")</f>
        <v/>
      </c>
      <c r="EM218" s="258" t="s">
        <v>545</v>
      </c>
      <c r="EN218" s="257" t="s">
        <v>237</v>
      </c>
      <c r="EO218" s="257"/>
      <c r="EP218" t="str">
        <f>IF(ISNUMBER(BU218),IF(ABS(BU218-[3]QC_indicators!$B$2)&gt;3*[3]QC_indicators!$C$2,"C ratio",IF(ISNUMBER(BY218),IF(ABS(BY218-[3]QC_indicators!$B$1)&gt;3*[3]QC_indicators!$C$1,"DF","no"))),IF(ISNUMBER(BY218),IF(ABS(BY218-[3]QC_indicators!$B$1)&gt;3*[3]QC_indicators!$C$1,"DF","no")))</f>
        <v>no</v>
      </c>
      <c r="EQ218" s="282"/>
      <c r="ER218" s="282"/>
      <c r="ES218" s="282"/>
      <c r="ET218"/>
      <c r="EU218"/>
    </row>
    <row r="219" spans="1:151" s="139" customFormat="1" ht="15" hidden="1" customHeight="1">
      <c r="A219" s="256" t="s">
        <v>215</v>
      </c>
      <c r="B219" s="257" t="s">
        <v>216</v>
      </c>
      <c r="C219" s="257" t="s">
        <v>217</v>
      </c>
      <c r="D219" s="257" t="s">
        <v>218</v>
      </c>
      <c r="E219" s="257" t="s">
        <v>219</v>
      </c>
      <c r="F219" s="257" t="s">
        <v>220</v>
      </c>
      <c r="G219" s="257" t="s">
        <v>221</v>
      </c>
      <c r="H219" s="257"/>
      <c r="I219" s="257">
        <v>2012</v>
      </c>
      <c r="J219" s="257"/>
      <c r="K219" s="257" t="s">
        <v>222</v>
      </c>
      <c r="L219" s="257"/>
      <c r="M219" s="257" t="s">
        <v>3072</v>
      </c>
      <c r="N219" s="257" t="s">
        <v>223</v>
      </c>
      <c r="O219" s="277" t="s">
        <v>224</v>
      </c>
      <c r="P219" s="257"/>
      <c r="Q219" s="257" t="s">
        <v>225</v>
      </c>
      <c r="R219" s="258" t="s">
        <v>226</v>
      </c>
      <c r="S219" s="256" t="s">
        <v>242</v>
      </c>
      <c r="T219" s="257" t="s">
        <v>243</v>
      </c>
      <c r="U219" s="278" t="s">
        <v>244</v>
      </c>
      <c r="V219" s="257">
        <v>0</v>
      </c>
      <c r="W219" s="257">
        <v>0</v>
      </c>
      <c r="X219" s="257">
        <v>0</v>
      </c>
      <c r="Y219" s="257">
        <v>0</v>
      </c>
      <c r="Z219" s="257">
        <v>0</v>
      </c>
      <c r="AA219" s="257">
        <v>0</v>
      </c>
      <c r="AB219" s="257">
        <v>0</v>
      </c>
      <c r="AC219" s="257">
        <v>1</v>
      </c>
      <c r="AD219" s="257">
        <v>0</v>
      </c>
      <c r="AE219" s="257">
        <v>0</v>
      </c>
      <c r="AF219" s="257">
        <v>0</v>
      </c>
      <c r="AG219" s="257">
        <v>0</v>
      </c>
      <c r="AH219" s="257">
        <v>0</v>
      </c>
      <c r="AI219" s="257">
        <v>0</v>
      </c>
      <c r="AJ219" s="257">
        <v>0</v>
      </c>
      <c r="AK219" s="257">
        <v>0</v>
      </c>
      <c r="AL219" s="257">
        <v>0</v>
      </c>
      <c r="AM219" s="257">
        <v>0</v>
      </c>
      <c r="AN219" s="257">
        <v>0</v>
      </c>
      <c r="AO219" s="257">
        <v>0</v>
      </c>
      <c r="AP219" s="257">
        <v>0</v>
      </c>
      <c r="AQ219" s="257">
        <v>0</v>
      </c>
      <c r="AR219" s="257">
        <v>0</v>
      </c>
      <c r="AS219" s="257">
        <v>0</v>
      </c>
      <c r="AT219" s="257">
        <v>0</v>
      </c>
      <c r="AU219" s="257">
        <v>0</v>
      </c>
      <c r="AV219" s="257">
        <v>0</v>
      </c>
      <c r="AW219" s="257">
        <v>0</v>
      </c>
      <c r="AX219" s="279">
        <v>1</v>
      </c>
      <c r="AY219" s="279">
        <v>1</v>
      </c>
      <c r="AZ219" s="257">
        <v>1</v>
      </c>
      <c r="BA219" s="257">
        <v>0</v>
      </c>
      <c r="BB219" s="257">
        <v>0</v>
      </c>
      <c r="BC219" s="257">
        <v>0</v>
      </c>
      <c r="BD219" s="257">
        <v>0</v>
      </c>
      <c r="BE219" s="257" t="s">
        <v>96</v>
      </c>
      <c r="BF219" s="2" t="str" cm="1">
        <f t="array" ref="BF219">IF(COUNTIF(AZ219:BB219,"&lt;&gt;0")=1,INDEX($V$4:$AW$4,MATCH(TRUE,INDEX($V219:$AW219&lt;&gt;0,),0)),IF(COUNTIF(AZ219:BB219,"&lt;&gt;0")=0,INDEX($AM$4:$AW$4,MATCH(1,$AM219:$AW219,0)),"Multiple strategies"))</f>
        <v>SilvicultureProd</v>
      </c>
      <c r="BG219" s="280" t="s">
        <v>230</v>
      </c>
      <c r="BH219" s="257" t="s">
        <v>231</v>
      </c>
      <c r="BI219" s="281" t="s">
        <v>3073</v>
      </c>
      <c r="BJ219" s="278" t="s">
        <v>232</v>
      </c>
      <c r="BK219" s="257">
        <v>89.047467968273295</v>
      </c>
      <c r="BL219" s="257">
        <v>95.977011494252807</v>
      </c>
      <c r="BM219" s="278">
        <v>1.0778185352608616</v>
      </c>
      <c r="BN219" s="257">
        <v>6.9295435259795113</v>
      </c>
      <c r="BO219" s="278">
        <v>14.141925563223493</v>
      </c>
      <c r="BP219" s="278" t="s">
        <v>233</v>
      </c>
      <c r="BQ219" s="312" t="s">
        <v>3073</v>
      </c>
      <c r="BR219" s="278" t="s">
        <v>234</v>
      </c>
      <c r="BS219" s="257">
        <v>-8.1050396583282396</v>
      </c>
      <c r="BT219" s="257">
        <v>-8.1428571428571406</v>
      </c>
      <c r="BU219" s="259">
        <v>1.0046659222068139</v>
      </c>
      <c r="BV219" s="257">
        <v>-3.7817484528900991E-2</v>
      </c>
      <c r="BW219" s="257"/>
      <c r="BX219" s="257">
        <v>-3.781748452890099E-5</v>
      </c>
      <c r="BY219" s="257">
        <v>-2.6741396961702658E-6</v>
      </c>
      <c r="BZ219" s="257">
        <v>0</v>
      </c>
      <c r="CA219" s="257">
        <v>0</v>
      </c>
      <c r="CB219" s="257">
        <v>0</v>
      </c>
      <c r="CC219" s="257">
        <v>0</v>
      </c>
      <c r="CD219" s="257">
        <v>0</v>
      </c>
      <c r="CE219" s="257">
        <v>0</v>
      </c>
      <c r="CF219" s="257">
        <v>0</v>
      </c>
      <c r="CG219" s="257">
        <v>0</v>
      </c>
      <c r="CH219" s="257">
        <v>0</v>
      </c>
      <c r="CI219" s="257">
        <v>0</v>
      </c>
      <c r="CJ219" s="257">
        <v>0</v>
      </c>
      <c r="CK219" s="257">
        <v>0</v>
      </c>
      <c r="CL219" s="257">
        <v>0</v>
      </c>
      <c r="CM219" s="257">
        <v>0</v>
      </c>
      <c r="CN219" s="257" t="s">
        <v>3074</v>
      </c>
      <c r="CO219" s="257">
        <v>89.047467968273295</v>
      </c>
      <c r="CP219" s="257">
        <v>95.977011494252807</v>
      </c>
      <c r="CQ219" s="257">
        <v>14.141925563223493</v>
      </c>
      <c r="CR219" s="257">
        <v>-8.1050396583282396</v>
      </c>
      <c r="CS219" s="257">
        <v>-8.1428571428571406</v>
      </c>
      <c r="CT219" s="257">
        <v>-3.781748452890099E-5</v>
      </c>
      <c r="CU219" s="257">
        <v>-2.6741396961702658E-6</v>
      </c>
      <c r="CV219" s="258">
        <v>-4.6659222068138892E-3</v>
      </c>
      <c r="CW219" s="256" t="s">
        <v>235</v>
      </c>
      <c r="CX219" s="257" t="s">
        <v>3075</v>
      </c>
      <c r="CY219" s="257" t="s">
        <v>236</v>
      </c>
      <c r="CZ219" s="257"/>
      <c r="DA219" s="278"/>
      <c r="DB219" s="278">
        <v>80</v>
      </c>
      <c r="DC219" s="257" t="s">
        <v>3076</v>
      </c>
      <c r="DD219" s="257">
        <v>0</v>
      </c>
      <c r="DE219" s="257">
        <v>1</v>
      </c>
      <c r="DF219" s="257">
        <v>0</v>
      </c>
      <c r="DG219" s="257">
        <v>0</v>
      </c>
      <c r="DH219" s="257"/>
      <c r="DI219" s="257">
        <v>1</v>
      </c>
      <c r="DJ219" s="257" t="s">
        <v>174</v>
      </c>
      <c r="DK219" s="257">
        <v>0</v>
      </c>
      <c r="DL219" s="257" t="s">
        <v>181</v>
      </c>
      <c r="DM219" s="257">
        <v>0</v>
      </c>
      <c r="DN219" s="257">
        <v>0</v>
      </c>
      <c r="DO219" s="257">
        <v>0</v>
      </c>
      <c r="DP219" s="278">
        <v>0</v>
      </c>
      <c r="DQ219" s="278">
        <v>0</v>
      </c>
      <c r="DR219" s="278">
        <v>0</v>
      </c>
      <c r="DS219" s="278">
        <v>0</v>
      </c>
      <c r="DT219" s="257">
        <v>0</v>
      </c>
      <c r="DU219" s="278" t="s">
        <v>964</v>
      </c>
      <c r="DV219" s="278">
        <v>1</v>
      </c>
      <c r="DW219" s="278">
        <v>1</v>
      </c>
      <c r="DX219" s="278">
        <v>1</v>
      </c>
      <c r="DY219" s="278">
        <v>0</v>
      </c>
      <c r="DZ219" s="257">
        <v>0</v>
      </c>
      <c r="EA219" s="278">
        <v>0</v>
      </c>
      <c r="EB219" s="278">
        <v>1</v>
      </c>
      <c r="EC219" s="278">
        <v>1</v>
      </c>
      <c r="ED219" s="278">
        <v>0</v>
      </c>
      <c r="EE219" s="278">
        <v>0</v>
      </c>
      <c r="EF219" s="257">
        <v>1</v>
      </c>
      <c r="EG219" s="278">
        <v>0</v>
      </c>
      <c r="EH219" s="257">
        <v>0</v>
      </c>
      <c r="EI219" s="258">
        <v>0</v>
      </c>
      <c r="EJ219" s="256"/>
      <c r="EK219" t="str">
        <f>IF(AND(AND(AND(OR($DX219=1,$DW219=1),OR($EC219=1,$EA219=1)),SUM($DV219:$DZ219,$EF219)&gt;=4),SUM($EA219:$EE219)&gt;=2),"Whole sector","")</f>
        <v>Whole sector</v>
      </c>
      <c r="EL219" t="str">
        <f>IF(AND(AND(OR($DX219=1,$DW219=1),AND($EC219=0,$EA219=0)),SUM($DV219:$DZ219,$EF219)&gt;=4),"Ecosystem approach","")</f>
        <v/>
      </c>
      <c r="EM219" s="258" t="s">
        <v>545</v>
      </c>
      <c r="EN219" s="257" t="s">
        <v>237</v>
      </c>
      <c r="EO219" s="257"/>
      <c r="EP219" t="str">
        <f>IF(ISNUMBER(BU219),IF(ABS(BU219-[3]QC_indicators!$B$2)&gt;3*[3]QC_indicators!$C$2,"C ratio",IF(ISNUMBER(BY219),IF(ABS(BY219-[3]QC_indicators!$B$1)&gt;3*[3]QC_indicators!$C$1,"DF","no"))),IF(ISNUMBER(BY219),IF(ABS(BY219-[3]QC_indicators!$B$1)&gt;3*[3]QC_indicators!$C$1,"DF","no")))</f>
        <v>no</v>
      </c>
      <c r="EQ219"/>
      <c r="ER219"/>
      <c r="ES219"/>
      <c r="ET219"/>
      <c r="EU219"/>
    </row>
    <row r="220" spans="1:151" s="139" customFormat="1" ht="15" hidden="1" customHeight="1">
      <c r="A220" s="256" t="s">
        <v>215</v>
      </c>
      <c r="B220" s="257" t="s">
        <v>216</v>
      </c>
      <c r="C220" s="257" t="s">
        <v>217</v>
      </c>
      <c r="D220" s="257" t="s">
        <v>218</v>
      </c>
      <c r="E220" s="257" t="s">
        <v>219</v>
      </c>
      <c r="F220" s="257" t="s">
        <v>220</v>
      </c>
      <c r="G220" s="257" t="s">
        <v>221</v>
      </c>
      <c r="H220" s="257"/>
      <c r="I220" s="257">
        <v>2012</v>
      </c>
      <c r="J220" s="257"/>
      <c r="K220" s="257" t="s">
        <v>222</v>
      </c>
      <c r="L220" s="257"/>
      <c r="M220" s="257" t="s">
        <v>3072</v>
      </c>
      <c r="N220" s="257" t="s">
        <v>223</v>
      </c>
      <c r="O220" s="277" t="s">
        <v>224</v>
      </c>
      <c r="P220" s="257"/>
      <c r="Q220" s="257" t="s">
        <v>225</v>
      </c>
      <c r="R220" s="258" t="s">
        <v>226</v>
      </c>
      <c r="S220" s="256" t="s">
        <v>227</v>
      </c>
      <c r="T220" s="257" t="s">
        <v>229</v>
      </c>
      <c r="U220" s="257" t="s">
        <v>240</v>
      </c>
      <c r="V220" s="257">
        <v>0</v>
      </c>
      <c r="W220" s="257">
        <v>0</v>
      </c>
      <c r="X220" s="257">
        <v>0</v>
      </c>
      <c r="Y220" s="257">
        <v>1</v>
      </c>
      <c r="Z220" s="257">
        <v>0</v>
      </c>
      <c r="AA220" s="257">
        <v>0</v>
      </c>
      <c r="AB220" s="257">
        <v>0</v>
      </c>
      <c r="AC220" s="257">
        <v>0</v>
      </c>
      <c r="AD220" s="257">
        <v>0</v>
      </c>
      <c r="AE220" s="257">
        <v>0</v>
      </c>
      <c r="AF220" s="257">
        <v>0</v>
      </c>
      <c r="AG220" s="257">
        <v>0</v>
      </c>
      <c r="AH220" s="257">
        <v>0</v>
      </c>
      <c r="AI220" s="257">
        <v>0</v>
      </c>
      <c r="AJ220" s="257">
        <v>0</v>
      </c>
      <c r="AK220" s="257">
        <v>0</v>
      </c>
      <c r="AL220" s="257">
        <v>0</v>
      </c>
      <c r="AM220" s="257">
        <v>0</v>
      </c>
      <c r="AN220" s="257">
        <v>0</v>
      </c>
      <c r="AO220" s="257">
        <v>0</v>
      </c>
      <c r="AP220" s="257">
        <v>0</v>
      </c>
      <c r="AQ220" s="257">
        <v>0</v>
      </c>
      <c r="AR220" s="257">
        <v>0</v>
      </c>
      <c r="AS220" s="257">
        <v>0</v>
      </c>
      <c r="AT220" s="257">
        <v>0</v>
      </c>
      <c r="AU220" s="257">
        <v>0</v>
      </c>
      <c r="AV220" s="257">
        <v>0</v>
      </c>
      <c r="AW220" s="257">
        <v>0</v>
      </c>
      <c r="AX220" s="279">
        <v>1</v>
      </c>
      <c r="AY220" s="279">
        <v>1</v>
      </c>
      <c r="AZ220" s="257">
        <v>1</v>
      </c>
      <c r="BA220" s="257">
        <v>0</v>
      </c>
      <c r="BB220" s="257">
        <v>0</v>
      </c>
      <c r="BC220" s="257">
        <v>0</v>
      </c>
      <c r="BD220" s="257">
        <v>0</v>
      </c>
      <c r="BE220" s="257" t="s">
        <v>92</v>
      </c>
      <c r="BF220" s="2" t="str" cm="1">
        <f t="array" ref="BF220">IF(COUNTIF(AZ220:BB220,"&lt;&gt;0")=1,INDEX($V$4:$AW$4,MATCH(TRUE,INDEX($V220:$AW220&lt;&gt;0,),0)),IF(COUNTIF(AZ220:BB220,"&lt;&gt;0")=0,INDEX($AM$4:$AW$4,MATCH(1,$AM220:$AW220,0)),"Multiple strategies"))</f>
        <v>SilvicultureRemov</v>
      </c>
      <c r="BG220" s="280" t="s">
        <v>230</v>
      </c>
      <c r="BH220" s="257" t="s">
        <v>231</v>
      </c>
      <c r="BI220" s="281" t="s">
        <v>3073</v>
      </c>
      <c r="BJ220" s="278" t="s">
        <v>232</v>
      </c>
      <c r="BK220" s="257">
        <v>69.827586210000007</v>
      </c>
      <c r="BL220" s="257">
        <v>95.977011489999995</v>
      </c>
      <c r="BM220" s="278">
        <v>0.72754491024421464</v>
      </c>
      <c r="BN220" s="257">
        <v>26.149425279999988</v>
      </c>
      <c r="BO220" s="278">
        <v>53.366174040816304</v>
      </c>
      <c r="BP220" s="278" t="s">
        <v>233</v>
      </c>
      <c r="BQ220" s="312" t="s">
        <v>3073</v>
      </c>
      <c r="BR220" s="278" t="s">
        <v>234</v>
      </c>
      <c r="BS220" s="257">
        <v>-8.4285714289999998</v>
      </c>
      <c r="BT220" s="257">
        <v>-8.1428571430000005</v>
      </c>
      <c r="BU220" s="259">
        <v>0.96610169488307962</v>
      </c>
      <c r="BV220" s="257">
        <v>0.28571428599999926</v>
      </c>
      <c r="BW220" s="257"/>
      <c r="BX220" s="257">
        <v>2.8571428599999925E-4</v>
      </c>
      <c r="BY220" s="257">
        <v>5.3538461607061248E-6</v>
      </c>
      <c r="BZ220" s="257">
        <v>0</v>
      </c>
      <c r="CA220" s="257">
        <v>0</v>
      </c>
      <c r="CB220" s="257">
        <v>0</v>
      </c>
      <c r="CC220" s="257">
        <v>0</v>
      </c>
      <c r="CD220" s="257">
        <v>0</v>
      </c>
      <c r="CE220" s="257">
        <v>0</v>
      </c>
      <c r="CF220" s="257">
        <v>0</v>
      </c>
      <c r="CG220" s="257">
        <v>0</v>
      </c>
      <c r="CH220" s="257">
        <v>0</v>
      </c>
      <c r="CI220" s="257">
        <v>0</v>
      </c>
      <c r="CJ220" s="257">
        <v>0</v>
      </c>
      <c r="CK220" s="257">
        <v>0</v>
      </c>
      <c r="CL220" s="257">
        <v>0</v>
      </c>
      <c r="CM220" s="257">
        <v>0</v>
      </c>
      <c r="CN220" s="257" t="s">
        <v>3074</v>
      </c>
      <c r="CO220" s="257">
        <v>69.827586210000007</v>
      </c>
      <c r="CP220" s="257">
        <v>95.977011489999995</v>
      </c>
      <c r="CQ220" s="257">
        <v>53.366174040816304</v>
      </c>
      <c r="CR220" s="257">
        <v>-8.4285714289999998</v>
      </c>
      <c r="CS220" s="257">
        <v>-8.1428571430000005</v>
      </c>
      <c r="CT220" s="257">
        <v>2.8571428599999925E-4</v>
      </c>
      <c r="CU220" s="257">
        <v>5.3538461607061248E-6</v>
      </c>
      <c r="CV220" s="258">
        <v>3.3898305116920338E-2</v>
      </c>
      <c r="CW220" s="256" t="s">
        <v>235</v>
      </c>
      <c r="CX220" s="257" t="s">
        <v>3075</v>
      </c>
      <c r="CY220" s="257" t="s">
        <v>236</v>
      </c>
      <c r="CZ220" s="257"/>
      <c r="DA220" s="278"/>
      <c r="DB220" s="278">
        <v>80</v>
      </c>
      <c r="DC220" s="257" t="s">
        <v>3076</v>
      </c>
      <c r="DD220" s="257">
        <v>0</v>
      </c>
      <c r="DE220" s="257">
        <v>1</v>
      </c>
      <c r="DF220" s="257">
        <v>0</v>
      </c>
      <c r="DG220" s="257">
        <v>0</v>
      </c>
      <c r="DH220" s="257"/>
      <c r="DI220" s="257">
        <v>1</v>
      </c>
      <c r="DJ220" s="257" t="s">
        <v>174</v>
      </c>
      <c r="DK220" s="257">
        <v>0</v>
      </c>
      <c r="DL220" s="257" t="s">
        <v>181</v>
      </c>
      <c r="DM220" s="257">
        <v>0</v>
      </c>
      <c r="DN220" s="257">
        <v>0</v>
      </c>
      <c r="DO220" s="257">
        <v>0</v>
      </c>
      <c r="DP220" s="278">
        <v>0</v>
      </c>
      <c r="DQ220" s="278">
        <v>0</v>
      </c>
      <c r="DR220" s="278">
        <v>0</v>
      </c>
      <c r="DS220" s="278">
        <v>0</v>
      </c>
      <c r="DT220" s="257">
        <v>0</v>
      </c>
      <c r="DU220" s="278" t="s">
        <v>964</v>
      </c>
      <c r="DV220" s="278">
        <v>1</v>
      </c>
      <c r="DW220" s="278">
        <v>1</v>
      </c>
      <c r="DX220" s="278">
        <v>1</v>
      </c>
      <c r="DY220" s="278">
        <v>0</v>
      </c>
      <c r="DZ220" s="257">
        <v>0</v>
      </c>
      <c r="EA220" s="278">
        <v>0</v>
      </c>
      <c r="EB220" s="278">
        <v>1</v>
      </c>
      <c r="EC220" s="278">
        <v>1</v>
      </c>
      <c r="ED220" s="278">
        <v>0</v>
      </c>
      <c r="EE220" s="278">
        <v>0</v>
      </c>
      <c r="EF220" s="257">
        <v>1</v>
      </c>
      <c r="EG220" s="278">
        <v>0</v>
      </c>
      <c r="EH220" s="257">
        <v>0</v>
      </c>
      <c r="EI220" s="258">
        <v>0</v>
      </c>
      <c r="EJ220" s="256"/>
      <c r="EK220" t="str">
        <f>IF(AND(AND(AND(OR($DX220=1,$DW220=1),OR($EC220=1,$EA220=1)),SUM($DV220:$DZ220,$EF220)&gt;=4),SUM($EA220:$EE220)&gt;=2),"Whole sector","")</f>
        <v>Whole sector</v>
      </c>
      <c r="EL220" t="str">
        <f>IF(AND(AND(OR($DX220=1,$DW220=1),AND($EC220=0,$EA220=0)),SUM($DV220:$DZ220,$EF220)&gt;=4),"Ecosystem approach","")</f>
        <v/>
      </c>
      <c r="EM220" s="258" t="s">
        <v>545</v>
      </c>
      <c r="EN220" s="257" t="s">
        <v>237</v>
      </c>
      <c r="EO220" s="257"/>
      <c r="EP220" t="str">
        <f>IF(ISNUMBER(BU220),IF(ABS(BU220-[3]QC_indicators!$B$2)&gt;3*[3]QC_indicators!$C$2,"C ratio",IF(ISNUMBER(BY220),IF(ABS(BY220-[3]QC_indicators!$B$1)&gt;3*[3]QC_indicators!$C$1,"DF","no"))),IF(ISNUMBER(BY220),IF(ABS(BY220-[3]QC_indicators!$B$1)&gt;3*[3]QC_indicators!$C$1,"DF","no")))</f>
        <v>no</v>
      </c>
      <c r="EQ220" s="282"/>
      <c r="ER220" s="282"/>
      <c r="ES220" s="282"/>
      <c r="ET220"/>
      <c r="EU220"/>
    </row>
    <row r="221" spans="1:151" s="139" customFormat="1" ht="15" hidden="1" customHeight="1">
      <c r="A221" s="256" t="s">
        <v>215</v>
      </c>
      <c r="B221" s="257" t="s">
        <v>216</v>
      </c>
      <c r="C221" s="257" t="s">
        <v>217</v>
      </c>
      <c r="D221" s="257" t="s">
        <v>218</v>
      </c>
      <c r="E221" s="257" t="s">
        <v>219</v>
      </c>
      <c r="F221" s="257" t="s">
        <v>220</v>
      </c>
      <c r="G221" s="257" t="s">
        <v>221</v>
      </c>
      <c r="H221" s="257"/>
      <c r="I221" s="257">
        <v>2012</v>
      </c>
      <c r="J221" s="257"/>
      <c r="K221" s="257" t="s">
        <v>222</v>
      </c>
      <c r="L221" s="257"/>
      <c r="M221" s="257" t="s">
        <v>3072</v>
      </c>
      <c r="N221" s="257" t="s">
        <v>223</v>
      </c>
      <c r="O221" s="277" t="s">
        <v>224</v>
      </c>
      <c r="P221" s="257"/>
      <c r="Q221" s="257" t="s">
        <v>225</v>
      </c>
      <c r="R221" s="258" t="s">
        <v>226</v>
      </c>
      <c r="S221" s="256" t="s">
        <v>227</v>
      </c>
      <c r="T221" s="257" t="s">
        <v>239</v>
      </c>
      <c r="U221" s="257" t="s">
        <v>229</v>
      </c>
      <c r="V221" s="257">
        <v>0</v>
      </c>
      <c r="W221" s="257">
        <v>0</v>
      </c>
      <c r="X221" s="257">
        <v>0</v>
      </c>
      <c r="Y221" s="257">
        <v>1</v>
      </c>
      <c r="Z221" s="257">
        <v>0</v>
      </c>
      <c r="AA221" s="257">
        <v>0</v>
      </c>
      <c r="AB221" s="257">
        <v>0</v>
      </c>
      <c r="AC221" s="257">
        <v>0</v>
      </c>
      <c r="AD221" s="257">
        <v>0</v>
      </c>
      <c r="AE221" s="257">
        <v>0</v>
      </c>
      <c r="AF221" s="257">
        <v>0</v>
      </c>
      <c r="AG221" s="257">
        <v>0</v>
      </c>
      <c r="AH221" s="257">
        <v>0</v>
      </c>
      <c r="AI221" s="257">
        <v>0</v>
      </c>
      <c r="AJ221" s="257">
        <v>0</v>
      </c>
      <c r="AK221" s="257">
        <v>0</v>
      </c>
      <c r="AL221" s="257">
        <v>0</v>
      </c>
      <c r="AM221" s="257">
        <v>0</v>
      </c>
      <c r="AN221" s="257">
        <v>0</v>
      </c>
      <c r="AO221" s="257">
        <v>0</v>
      </c>
      <c r="AP221" s="257">
        <v>0</v>
      </c>
      <c r="AQ221" s="257">
        <v>0</v>
      </c>
      <c r="AR221" s="257">
        <v>0</v>
      </c>
      <c r="AS221" s="257">
        <v>0</v>
      </c>
      <c r="AT221" s="257">
        <v>0</v>
      </c>
      <c r="AU221" s="257">
        <v>0</v>
      </c>
      <c r="AV221" s="257">
        <v>0</v>
      </c>
      <c r="AW221" s="257">
        <v>0</v>
      </c>
      <c r="AX221" s="279">
        <v>1</v>
      </c>
      <c r="AY221" s="279">
        <v>1</v>
      </c>
      <c r="AZ221" s="257">
        <v>1</v>
      </c>
      <c r="BA221" s="257">
        <v>0</v>
      </c>
      <c r="BB221" s="257">
        <v>0</v>
      </c>
      <c r="BC221" s="257">
        <v>0</v>
      </c>
      <c r="BD221" s="257">
        <v>0</v>
      </c>
      <c r="BE221" s="257" t="s">
        <v>92</v>
      </c>
      <c r="BF221" s="2" t="str" cm="1">
        <f t="array" ref="BF221">IF(COUNTIF(AZ221:BB221,"&lt;&gt;0")=1,INDEX($V$4:$AW$4,MATCH(TRUE,INDEX($V221:$AW221&lt;&gt;0,),0)),IF(COUNTIF(AZ221:BB221,"&lt;&gt;0")=0,INDEX($AM$4:$AW$4,MATCH(1,$AM221:$AW221,0)),"Multiple strategies"))</f>
        <v>SilvicultureRemov</v>
      </c>
      <c r="BG221" s="280" t="s">
        <v>230</v>
      </c>
      <c r="BH221" s="257" t="s">
        <v>231</v>
      </c>
      <c r="BI221" s="281" t="s">
        <v>3073</v>
      </c>
      <c r="BJ221" s="278" t="s">
        <v>232</v>
      </c>
      <c r="BK221" s="257">
        <v>77.011494249999998</v>
      </c>
      <c r="BL221" s="257">
        <v>95.977011489999995</v>
      </c>
      <c r="BM221" s="257">
        <v>1.2462686567076966</v>
      </c>
      <c r="BN221" s="257">
        <v>18.965517239999997</v>
      </c>
      <c r="BO221" s="278">
        <v>38.705137224489789</v>
      </c>
      <c r="BP221" s="278" t="s">
        <v>233</v>
      </c>
      <c r="BQ221" s="312" t="s">
        <v>3073</v>
      </c>
      <c r="BR221" s="278" t="s">
        <v>234</v>
      </c>
      <c r="BS221" s="257">
        <v>-8</v>
      </c>
      <c r="BT221" s="257">
        <v>-8.1428571430000005</v>
      </c>
      <c r="BU221" s="259">
        <v>1.0178571428750001</v>
      </c>
      <c r="BV221" s="257">
        <v>-0.14285714300000052</v>
      </c>
      <c r="BW221" s="257"/>
      <c r="BX221" s="257">
        <v>-1.4285714300000052E-4</v>
      </c>
      <c r="BY221" s="257">
        <v>-3.6909090948684437E-6</v>
      </c>
      <c r="BZ221" s="257">
        <v>0</v>
      </c>
      <c r="CA221" s="257">
        <v>0</v>
      </c>
      <c r="CB221" s="257">
        <v>0</v>
      </c>
      <c r="CC221" s="257">
        <v>0</v>
      </c>
      <c r="CD221" s="257">
        <v>0</v>
      </c>
      <c r="CE221" s="257">
        <v>0</v>
      </c>
      <c r="CF221" s="257">
        <v>0</v>
      </c>
      <c r="CG221" s="257">
        <v>0</v>
      </c>
      <c r="CH221" s="257">
        <v>0</v>
      </c>
      <c r="CI221" s="257">
        <v>0</v>
      </c>
      <c r="CJ221" s="257">
        <v>0</v>
      </c>
      <c r="CK221" s="257">
        <v>0</v>
      </c>
      <c r="CL221" s="257">
        <v>0</v>
      </c>
      <c r="CM221" s="257">
        <v>0</v>
      </c>
      <c r="CN221" s="257" t="s">
        <v>3074</v>
      </c>
      <c r="CO221" s="257">
        <v>77.011494249999998</v>
      </c>
      <c r="CP221" s="257">
        <v>95.977011489999995</v>
      </c>
      <c r="CQ221" s="257">
        <v>38.705137224489789</v>
      </c>
      <c r="CR221" s="257">
        <v>-8</v>
      </c>
      <c r="CS221" s="257">
        <v>-8.1428571430000005</v>
      </c>
      <c r="CT221" s="257">
        <v>-1.4285714300000052E-4</v>
      </c>
      <c r="CU221" s="257">
        <v>-3.6909090948684437E-6</v>
      </c>
      <c r="CV221" s="258">
        <v>-1.7857142875000065E-2</v>
      </c>
      <c r="CW221" s="256" t="s">
        <v>235</v>
      </c>
      <c r="CX221" s="257" t="s">
        <v>3075</v>
      </c>
      <c r="CY221" s="257" t="s">
        <v>236</v>
      </c>
      <c r="CZ221" s="257"/>
      <c r="DA221" s="278"/>
      <c r="DB221" s="278">
        <v>80</v>
      </c>
      <c r="DC221" s="257" t="s">
        <v>3076</v>
      </c>
      <c r="DD221" s="257">
        <v>0</v>
      </c>
      <c r="DE221" s="257">
        <v>1</v>
      </c>
      <c r="DF221" s="257">
        <v>0</v>
      </c>
      <c r="DG221" s="257">
        <v>0</v>
      </c>
      <c r="DH221" s="257"/>
      <c r="DI221" s="257">
        <v>1</v>
      </c>
      <c r="DJ221" s="257" t="s">
        <v>174</v>
      </c>
      <c r="DK221" s="257">
        <v>0</v>
      </c>
      <c r="DL221" s="257" t="s">
        <v>181</v>
      </c>
      <c r="DM221" s="257">
        <v>0</v>
      </c>
      <c r="DN221" s="257">
        <v>0</v>
      </c>
      <c r="DO221" s="257">
        <v>0</v>
      </c>
      <c r="DP221" s="278">
        <v>0</v>
      </c>
      <c r="DQ221" s="278">
        <v>0</v>
      </c>
      <c r="DR221" s="278">
        <v>0</v>
      </c>
      <c r="DS221" s="278">
        <v>0</v>
      </c>
      <c r="DT221" s="257">
        <v>0</v>
      </c>
      <c r="DU221" s="278" t="s">
        <v>964</v>
      </c>
      <c r="DV221" s="278">
        <v>1</v>
      </c>
      <c r="DW221" s="278">
        <v>1</v>
      </c>
      <c r="DX221" s="278">
        <v>1</v>
      </c>
      <c r="DY221" s="278">
        <v>0</v>
      </c>
      <c r="DZ221" s="257">
        <v>0</v>
      </c>
      <c r="EA221" s="278">
        <v>0</v>
      </c>
      <c r="EB221" s="278">
        <v>1</v>
      </c>
      <c r="EC221" s="278">
        <v>1</v>
      </c>
      <c r="ED221" s="278">
        <v>0</v>
      </c>
      <c r="EE221" s="278">
        <v>0</v>
      </c>
      <c r="EF221" s="257">
        <v>1</v>
      </c>
      <c r="EG221" s="278">
        <v>0</v>
      </c>
      <c r="EH221" s="257">
        <v>0</v>
      </c>
      <c r="EI221" s="258">
        <v>0</v>
      </c>
      <c r="EJ221" s="256"/>
      <c r="EK221" t="str">
        <f>IF(AND(AND(AND(OR($DX221=1,$DW221=1),OR($EC221=1,$EA221=1)),SUM($DV221:$DZ221,$EF221)&gt;=4),SUM($EA221:$EE221)&gt;=2),"Whole sector","")</f>
        <v>Whole sector</v>
      </c>
      <c r="EL221" t="str">
        <f>IF(AND(AND(OR($DX221=1,$DW221=1),AND($EC221=0,$EA221=0)),SUM($DV221:$DZ221,$EF221)&gt;=4),"Ecosystem approach","")</f>
        <v/>
      </c>
      <c r="EM221" s="258" t="s">
        <v>545</v>
      </c>
      <c r="EN221" s="257" t="s">
        <v>237</v>
      </c>
      <c r="EO221" s="257"/>
      <c r="EP221" t="str">
        <f>IF(ISNUMBER(BU221),IF(ABS(BU221-[3]QC_indicators!$B$2)&gt;3*[3]QC_indicators!$C$2,"C ratio",IF(ISNUMBER(BY221),IF(ABS(BY221-[3]QC_indicators!$B$1)&gt;3*[3]QC_indicators!$C$1,"DF","no"))),IF(ISNUMBER(BY221),IF(ABS(BY221-[3]QC_indicators!$B$1)&gt;3*[3]QC_indicators!$C$1,"DF","no")))</f>
        <v>no</v>
      </c>
      <c r="EQ221" s="257"/>
      <c r="ER221" s="257"/>
      <c r="ES221" s="257"/>
      <c r="ET221" s="257"/>
      <c r="EU221"/>
    </row>
    <row r="222" spans="1:151" s="139" customFormat="1" ht="15" hidden="1" customHeight="1">
      <c r="A222" s="256" t="s">
        <v>215</v>
      </c>
      <c r="B222" s="257" t="s">
        <v>216</v>
      </c>
      <c r="C222" s="257" t="s">
        <v>217</v>
      </c>
      <c r="D222" s="257" t="s">
        <v>218</v>
      </c>
      <c r="E222" s="257" t="s">
        <v>219</v>
      </c>
      <c r="F222" s="257" t="s">
        <v>220</v>
      </c>
      <c r="G222" s="257" t="s">
        <v>221</v>
      </c>
      <c r="H222" s="257"/>
      <c r="I222" s="257">
        <v>2012</v>
      </c>
      <c r="J222" s="257"/>
      <c r="K222" s="257" t="s">
        <v>222</v>
      </c>
      <c r="L222" s="257"/>
      <c r="M222" s="257" t="s">
        <v>3072</v>
      </c>
      <c r="N222" s="257" t="s">
        <v>223</v>
      </c>
      <c r="O222" s="277" t="s">
        <v>224</v>
      </c>
      <c r="P222" s="257"/>
      <c r="Q222" s="257" t="s">
        <v>225</v>
      </c>
      <c r="R222" s="258" t="s">
        <v>226</v>
      </c>
      <c r="S222" s="256" t="s">
        <v>227</v>
      </c>
      <c r="T222" s="257" t="s">
        <v>228</v>
      </c>
      <c r="U222" s="257" t="s">
        <v>229</v>
      </c>
      <c r="V222" s="257">
        <v>0</v>
      </c>
      <c r="W222" s="257">
        <v>0</v>
      </c>
      <c r="X222" s="257">
        <v>0</v>
      </c>
      <c r="Y222" s="257">
        <v>1</v>
      </c>
      <c r="Z222" s="257">
        <v>0</v>
      </c>
      <c r="AA222" s="257">
        <v>0</v>
      </c>
      <c r="AB222" s="257">
        <v>0</v>
      </c>
      <c r="AC222" s="257">
        <v>0</v>
      </c>
      <c r="AD222" s="257">
        <v>0</v>
      </c>
      <c r="AE222" s="257">
        <v>0</v>
      </c>
      <c r="AF222" s="257">
        <v>0</v>
      </c>
      <c r="AG222" s="257">
        <v>0</v>
      </c>
      <c r="AH222" s="257">
        <v>0</v>
      </c>
      <c r="AI222" s="257">
        <v>0</v>
      </c>
      <c r="AJ222" s="257">
        <v>0</v>
      </c>
      <c r="AK222" s="257">
        <v>0</v>
      </c>
      <c r="AL222" s="257">
        <v>0</v>
      </c>
      <c r="AM222" s="257">
        <v>0</v>
      </c>
      <c r="AN222" s="257">
        <v>0</v>
      </c>
      <c r="AO222" s="257">
        <v>0</v>
      </c>
      <c r="AP222" s="257">
        <v>0</v>
      </c>
      <c r="AQ222" s="257">
        <v>0</v>
      </c>
      <c r="AR222" s="257">
        <v>0</v>
      </c>
      <c r="AS222" s="257">
        <v>0</v>
      </c>
      <c r="AT222" s="257">
        <v>0</v>
      </c>
      <c r="AU222" s="257">
        <v>0</v>
      </c>
      <c r="AV222" s="257">
        <v>0</v>
      </c>
      <c r="AW222" s="257">
        <v>0</v>
      </c>
      <c r="AX222" s="279">
        <v>1</v>
      </c>
      <c r="AY222" s="279">
        <v>1</v>
      </c>
      <c r="AZ222" s="257">
        <v>1</v>
      </c>
      <c r="BA222" s="257">
        <v>0</v>
      </c>
      <c r="BB222" s="257">
        <v>0</v>
      </c>
      <c r="BC222" s="257">
        <v>0</v>
      </c>
      <c r="BD222" s="257">
        <v>0</v>
      </c>
      <c r="BE222" s="257" t="s">
        <v>92</v>
      </c>
      <c r="BF222" s="2" t="str" cm="1">
        <f t="array" ref="BF222">IF(COUNTIF(AZ222:BB222,"&lt;&gt;0")=1,INDEX($V$4:$AW$4,MATCH(TRUE,INDEX($V222:$AW222&lt;&gt;0,),0)),IF(COUNTIF(AZ222:BB222,"&lt;&gt;0")=0,INDEX($AM$4:$AW$4,MATCH(1,$AM222:$AW222,0)),"Multiple strategies"))</f>
        <v>SilvicultureRemov</v>
      </c>
      <c r="BG222" s="280" t="s">
        <v>230</v>
      </c>
      <c r="BH222" s="257" t="s">
        <v>231</v>
      </c>
      <c r="BI222" s="281" t="s">
        <v>3073</v>
      </c>
      <c r="BJ222" s="278" t="s">
        <v>232</v>
      </c>
      <c r="BK222" s="257">
        <v>95.114942529999993</v>
      </c>
      <c r="BL222" s="257">
        <v>95.977011489999995</v>
      </c>
      <c r="BM222" s="257">
        <v>1.0090634440506348</v>
      </c>
      <c r="BN222" s="257">
        <v>0.86206896000000199</v>
      </c>
      <c r="BO222" s="278">
        <v>1.7593244081632695</v>
      </c>
      <c r="BP222" s="278" t="s">
        <v>233</v>
      </c>
      <c r="BQ222" s="312" t="s">
        <v>3073</v>
      </c>
      <c r="BR222" s="278" t="s">
        <v>234</v>
      </c>
      <c r="BS222" s="257">
        <v>-7.8979591840000003</v>
      </c>
      <c r="BT222" s="257">
        <v>-8.1428571430000005</v>
      </c>
      <c r="BU222" s="259">
        <v>1.0310077519134466</v>
      </c>
      <c r="BV222" s="257">
        <v>-0.24489795900000022</v>
      </c>
      <c r="BW222" s="257"/>
      <c r="BX222" s="257">
        <v>-2.4489795900000023E-4</v>
      </c>
      <c r="BY222" s="257">
        <v>-1.3920000078647979E-4</v>
      </c>
      <c r="BZ222" s="257">
        <v>0</v>
      </c>
      <c r="CA222" s="257">
        <v>0</v>
      </c>
      <c r="CB222" s="257">
        <v>0</v>
      </c>
      <c r="CC222" s="257">
        <v>0</v>
      </c>
      <c r="CD222" s="257">
        <v>0</v>
      </c>
      <c r="CE222" s="257">
        <v>0</v>
      </c>
      <c r="CF222" s="257">
        <v>0</v>
      </c>
      <c r="CG222" s="257">
        <v>0</v>
      </c>
      <c r="CH222" s="257">
        <v>0</v>
      </c>
      <c r="CI222" s="257">
        <v>0</v>
      </c>
      <c r="CJ222" s="257">
        <v>0</v>
      </c>
      <c r="CK222" s="257">
        <v>0</v>
      </c>
      <c r="CL222" s="257">
        <v>0</v>
      </c>
      <c r="CM222" s="257">
        <v>0</v>
      </c>
      <c r="CN222" s="257" t="s">
        <v>3074</v>
      </c>
      <c r="CO222" s="257">
        <v>95.114942529999993</v>
      </c>
      <c r="CP222" s="257">
        <v>95.977011489999995</v>
      </c>
      <c r="CQ222" s="257">
        <v>1.7593244081632695</v>
      </c>
      <c r="CR222" s="257">
        <v>-7.8979591840000003</v>
      </c>
      <c r="CS222" s="257">
        <v>-8.1428571430000005</v>
      </c>
      <c r="CT222" s="257">
        <v>-2.4489795900000023E-4</v>
      </c>
      <c r="CU222" s="257">
        <v>-1.3920000078647979E-4</v>
      </c>
      <c r="CV222" s="258">
        <v>-3.1007751913446735E-2</v>
      </c>
      <c r="CW222" s="256" t="s">
        <v>235</v>
      </c>
      <c r="CX222" s="257" t="s">
        <v>3075</v>
      </c>
      <c r="CY222" s="257" t="s">
        <v>236</v>
      </c>
      <c r="CZ222" s="257"/>
      <c r="DA222" s="278"/>
      <c r="DB222" s="278">
        <v>80</v>
      </c>
      <c r="DC222" s="257" t="s">
        <v>3076</v>
      </c>
      <c r="DD222" s="257">
        <v>0</v>
      </c>
      <c r="DE222" s="257">
        <v>1</v>
      </c>
      <c r="DF222" s="257">
        <v>0</v>
      </c>
      <c r="DG222" s="257">
        <v>0</v>
      </c>
      <c r="DH222" s="257"/>
      <c r="DI222" s="257">
        <v>1</v>
      </c>
      <c r="DJ222" s="257" t="s">
        <v>174</v>
      </c>
      <c r="DK222" s="257">
        <v>0</v>
      </c>
      <c r="DL222" s="257" t="s">
        <v>181</v>
      </c>
      <c r="DM222" s="257">
        <v>0</v>
      </c>
      <c r="DN222" s="257">
        <v>0</v>
      </c>
      <c r="DO222" s="257">
        <v>0</v>
      </c>
      <c r="DP222" s="278">
        <v>0</v>
      </c>
      <c r="DQ222" s="278">
        <v>0</v>
      </c>
      <c r="DR222" s="278">
        <v>0</v>
      </c>
      <c r="DS222" s="278">
        <v>0</v>
      </c>
      <c r="DT222" s="257">
        <v>0</v>
      </c>
      <c r="DU222" s="278" t="s">
        <v>964</v>
      </c>
      <c r="DV222" s="278">
        <v>1</v>
      </c>
      <c r="DW222" s="278">
        <v>1</v>
      </c>
      <c r="DX222" s="278">
        <v>1</v>
      </c>
      <c r="DY222" s="278">
        <v>0</v>
      </c>
      <c r="DZ222" s="257">
        <v>0</v>
      </c>
      <c r="EA222" s="278">
        <v>0</v>
      </c>
      <c r="EB222" s="278">
        <v>1</v>
      </c>
      <c r="EC222" s="278">
        <v>1</v>
      </c>
      <c r="ED222" s="278">
        <v>0</v>
      </c>
      <c r="EE222" s="278">
        <v>0</v>
      </c>
      <c r="EF222" s="257">
        <v>1</v>
      </c>
      <c r="EG222" s="278">
        <v>0</v>
      </c>
      <c r="EH222" s="257">
        <v>0</v>
      </c>
      <c r="EI222" s="258">
        <v>0</v>
      </c>
      <c r="EJ222" s="256"/>
      <c r="EK222" t="str">
        <f>IF(AND(AND(AND(OR($DX222=1,$DW222=1),OR($EC222=1,$EA222=1)),SUM($DV222:$DZ222,$EF222)&gt;=4),SUM($EA222:$EE222)&gt;=2),"Whole sector","")</f>
        <v>Whole sector</v>
      </c>
      <c r="EL222" t="str">
        <f>IF(AND(AND(OR($DX222=1,$DW222=1),AND($EC222=0,$EA222=0)),SUM($DV222:$DZ222,$EF222)&gt;=4),"Ecosystem approach","")</f>
        <v/>
      </c>
      <c r="EM222" s="258" t="s">
        <v>545</v>
      </c>
      <c r="EN222" s="257" t="s">
        <v>237</v>
      </c>
      <c r="EO222" s="257"/>
      <c r="EP222" t="str">
        <f>IF(ISNUMBER(BU222),IF(ABS(BU222-[3]QC_indicators!$B$2)&gt;3*[3]QC_indicators!$C$2,"C ratio",IF(ISNUMBER(BY222),IF(ABS(BY222-[3]QC_indicators!$B$1)&gt;3*[3]QC_indicators!$C$1,"DF","no"))),IF(ISNUMBER(BY222),IF(ABS(BY222-[3]QC_indicators!$B$1)&gt;3*[3]QC_indicators!$C$1,"DF","no")))</f>
        <v>no</v>
      </c>
      <c r="EQ222" s="257"/>
      <c r="ER222" s="257"/>
      <c r="ES222" s="257"/>
      <c r="ET222" s="283"/>
      <c r="EU222"/>
    </row>
    <row r="223" spans="1:151" s="139" customFormat="1" ht="15" hidden="1" customHeight="1">
      <c r="A223" s="256" t="s">
        <v>215</v>
      </c>
      <c r="B223" s="257" t="s">
        <v>216</v>
      </c>
      <c r="C223" s="257" t="s">
        <v>217</v>
      </c>
      <c r="D223" s="257" t="s">
        <v>218</v>
      </c>
      <c r="E223" s="257" t="s">
        <v>219</v>
      </c>
      <c r="F223" s="257" t="s">
        <v>220</v>
      </c>
      <c r="G223" s="257" t="s">
        <v>221</v>
      </c>
      <c r="H223" s="257"/>
      <c r="I223" s="257">
        <v>2012</v>
      </c>
      <c r="J223" s="257"/>
      <c r="K223" s="257" t="s">
        <v>222</v>
      </c>
      <c r="L223" s="257"/>
      <c r="M223" s="257" t="s">
        <v>3072</v>
      </c>
      <c r="N223" s="257" t="s">
        <v>223</v>
      </c>
      <c r="O223" s="277" t="s">
        <v>224</v>
      </c>
      <c r="P223" s="257"/>
      <c r="Q223" s="257" t="s">
        <v>225</v>
      </c>
      <c r="R223" s="258" t="s">
        <v>226</v>
      </c>
      <c r="S223" s="256" t="s">
        <v>242</v>
      </c>
      <c r="T223" s="257" t="s">
        <v>243</v>
      </c>
      <c r="U223" s="278" t="s">
        <v>244</v>
      </c>
      <c r="V223" s="257">
        <v>0</v>
      </c>
      <c r="W223" s="257">
        <v>0</v>
      </c>
      <c r="X223" s="257">
        <v>0</v>
      </c>
      <c r="Y223" s="257">
        <v>0</v>
      </c>
      <c r="Z223" s="257">
        <v>0</v>
      </c>
      <c r="AA223" s="257">
        <v>0</v>
      </c>
      <c r="AB223" s="257">
        <v>0</v>
      </c>
      <c r="AC223" s="257">
        <v>1</v>
      </c>
      <c r="AD223" s="257">
        <v>0</v>
      </c>
      <c r="AE223" s="257">
        <v>0</v>
      </c>
      <c r="AF223" s="257">
        <v>0</v>
      </c>
      <c r="AG223" s="257">
        <v>0</v>
      </c>
      <c r="AH223" s="257">
        <v>0</v>
      </c>
      <c r="AI223" s="257">
        <v>0</v>
      </c>
      <c r="AJ223" s="257">
        <v>0</v>
      </c>
      <c r="AK223" s="257">
        <v>0</v>
      </c>
      <c r="AL223" s="257">
        <v>0</v>
      </c>
      <c r="AM223" s="257">
        <v>0</v>
      </c>
      <c r="AN223" s="257">
        <v>0</v>
      </c>
      <c r="AO223" s="257">
        <v>0</v>
      </c>
      <c r="AP223" s="257">
        <v>0</v>
      </c>
      <c r="AQ223" s="257">
        <v>0</v>
      </c>
      <c r="AR223" s="257">
        <v>0</v>
      </c>
      <c r="AS223" s="257">
        <v>0</v>
      </c>
      <c r="AT223" s="257">
        <v>0</v>
      </c>
      <c r="AU223" s="257">
        <v>0</v>
      </c>
      <c r="AV223" s="257">
        <v>0</v>
      </c>
      <c r="AW223" s="257">
        <v>0</v>
      </c>
      <c r="AX223" s="279">
        <v>1</v>
      </c>
      <c r="AY223" s="279">
        <v>1</v>
      </c>
      <c r="AZ223" s="257">
        <v>1</v>
      </c>
      <c r="BA223" s="257">
        <v>0</v>
      </c>
      <c r="BB223" s="257">
        <v>0</v>
      </c>
      <c r="BC223" s="257">
        <v>0</v>
      </c>
      <c r="BD223" s="257">
        <v>0</v>
      </c>
      <c r="BE223" s="257" t="s">
        <v>96</v>
      </c>
      <c r="BF223" s="2" t="str" cm="1">
        <f t="array" ref="BF223">IF(COUNTIF(AZ223:BB223,"&lt;&gt;0")=1,INDEX($V$4:$AW$4,MATCH(TRUE,INDEX($V223:$AW223&lt;&gt;0,),0)),IF(COUNTIF(AZ223:BB223,"&lt;&gt;0")=0,INDEX($AM$4:$AW$4,MATCH(1,$AM223:$AW223,0)),"Multiple strategies"))</f>
        <v>SilvicultureProd</v>
      </c>
      <c r="BG223" s="280" t="s">
        <v>230</v>
      </c>
      <c r="BH223" s="257" t="s">
        <v>231</v>
      </c>
      <c r="BI223" s="281" t="s">
        <v>3073</v>
      </c>
      <c r="BJ223" s="278" t="s">
        <v>232</v>
      </c>
      <c r="BK223" s="257">
        <v>85.005979255643595</v>
      </c>
      <c r="BL223" s="257">
        <v>95.114942528735597</v>
      </c>
      <c r="BM223" s="278">
        <v>1.1189206143098558</v>
      </c>
      <c r="BN223" s="257">
        <v>10.108963273092002</v>
      </c>
      <c r="BO223" s="278">
        <v>20.630537292024492</v>
      </c>
      <c r="BP223" s="278" t="s">
        <v>233</v>
      </c>
      <c r="BQ223" s="312" t="s">
        <v>3073</v>
      </c>
      <c r="BR223" s="278" t="s">
        <v>234</v>
      </c>
      <c r="BS223" s="257">
        <v>-8.1260280658938306</v>
      </c>
      <c r="BT223" s="257">
        <v>-7.8979591836734597</v>
      </c>
      <c r="BU223" s="259">
        <v>0.9719335350098518</v>
      </c>
      <c r="BV223" s="257">
        <v>0.22806888222037092</v>
      </c>
      <c r="BW223" s="257"/>
      <c r="BX223" s="257">
        <v>2.2806888222037092E-4</v>
      </c>
      <c r="BY223" s="257">
        <v>1.1054917232259361E-5</v>
      </c>
      <c r="BZ223" s="257">
        <v>0</v>
      </c>
      <c r="CA223" s="257">
        <v>0</v>
      </c>
      <c r="CB223" s="257">
        <v>0</v>
      </c>
      <c r="CC223" s="257">
        <v>0</v>
      </c>
      <c r="CD223" s="257">
        <v>0</v>
      </c>
      <c r="CE223" s="257">
        <v>0</v>
      </c>
      <c r="CF223" s="257">
        <v>0</v>
      </c>
      <c r="CG223" s="257">
        <v>0</v>
      </c>
      <c r="CH223" s="257">
        <v>0</v>
      </c>
      <c r="CI223" s="257">
        <v>0</v>
      </c>
      <c r="CJ223" s="257">
        <v>0</v>
      </c>
      <c r="CK223" s="257">
        <v>0</v>
      </c>
      <c r="CL223" s="257">
        <v>0</v>
      </c>
      <c r="CM223" s="257">
        <v>0</v>
      </c>
      <c r="CN223" s="257" t="s">
        <v>3074</v>
      </c>
      <c r="CO223" s="257">
        <v>85.005979255643595</v>
      </c>
      <c r="CP223" s="257">
        <v>95.114942528735597</v>
      </c>
      <c r="CQ223" s="257">
        <v>20.630537292024492</v>
      </c>
      <c r="CR223" s="257">
        <v>-8.1260280658938306</v>
      </c>
      <c r="CS223" s="257">
        <v>-7.8979591836734597</v>
      </c>
      <c r="CT223" s="257">
        <v>2.2806888222037092E-4</v>
      </c>
      <c r="CU223" s="257">
        <v>1.1054917232259361E-5</v>
      </c>
      <c r="CV223" s="258">
        <v>2.8066464990148202E-2</v>
      </c>
      <c r="CW223" s="256" t="s">
        <v>235</v>
      </c>
      <c r="CX223" s="257" t="s">
        <v>3075</v>
      </c>
      <c r="CY223" s="257" t="s">
        <v>236</v>
      </c>
      <c r="CZ223" s="257"/>
      <c r="DA223" s="278"/>
      <c r="DB223" s="278">
        <v>80</v>
      </c>
      <c r="DC223" s="257" t="s">
        <v>3076</v>
      </c>
      <c r="DD223" s="257">
        <v>0</v>
      </c>
      <c r="DE223" s="257">
        <v>1</v>
      </c>
      <c r="DF223" s="257">
        <v>0</v>
      </c>
      <c r="DG223" s="257">
        <v>0</v>
      </c>
      <c r="DH223" s="257"/>
      <c r="DI223" s="257">
        <v>1</v>
      </c>
      <c r="DJ223" s="257" t="s">
        <v>174</v>
      </c>
      <c r="DK223" s="257">
        <v>0</v>
      </c>
      <c r="DL223" s="257" t="s">
        <v>181</v>
      </c>
      <c r="DM223" s="257">
        <v>0</v>
      </c>
      <c r="DN223" s="257">
        <v>0</v>
      </c>
      <c r="DO223" s="257">
        <v>0</v>
      </c>
      <c r="DP223" s="278">
        <v>0</v>
      </c>
      <c r="DQ223" s="278">
        <v>0</v>
      </c>
      <c r="DR223" s="278">
        <v>0</v>
      </c>
      <c r="DS223" s="278">
        <v>0</v>
      </c>
      <c r="DT223" s="257">
        <v>0</v>
      </c>
      <c r="DU223" s="278" t="s">
        <v>964</v>
      </c>
      <c r="DV223" s="278">
        <v>1</v>
      </c>
      <c r="DW223" s="278">
        <v>1</v>
      </c>
      <c r="DX223" s="278">
        <v>1</v>
      </c>
      <c r="DY223" s="278">
        <v>0</v>
      </c>
      <c r="DZ223" s="257">
        <v>0</v>
      </c>
      <c r="EA223" s="278">
        <v>0</v>
      </c>
      <c r="EB223" s="278">
        <v>1</v>
      </c>
      <c r="EC223" s="278">
        <v>1</v>
      </c>
      <c r="ED223" s="278">
        <v>0</v>
      </c>
      <c r="EE223" s="278">
        <v>0</v>
      </c>
      <c r="EF223" s="257">
        <v>1</v>
      </c>
      <c r="EG223" s="278">
        <v>0</v>
      </c>
      <c r="EH223" s="257">
        <v>0</v>
      </c>
      <c r="EI223" s="258">
        <v>0</v>
      </c>
      <c r="EJ223" s="256"/>
      <c r="EK223" t="str">
        <f>IF(AND(AND(AND(OR($DX223=1,$DW223=1),OR($EC223=1,$EA223=1)),SUM($DV223:$DZ223,$EF223)&gt;=4),SUM($EA223:$EE223)&gt;=2),"Whole sector","")</f>
        <v>Whole sector</v>
      </c>
      <c r="EL223" t="str">
        <f>IF(AND(AND(OR($DX223=1,$DW223=1),AND($EC223=0,$EA223=0)),SUM($DV223:$DZ223,$EF223)&gt;=4),"Ecosystem approach","")</f>
        <v/>
      </c>
      <c r="EM223" s="258" t="s">
        <v>545</v>
      </c>
      <c r="EN223" s="257" t="s">
        <v>237</v>
      </c>
      <c r="EO223" s="257"/>
      <c r="EP223" t="str">
        <f>IF(ISNUMBER(BU223),IF(ABS(BU223-[3]QC_indicators!$B$2)&gt;3*[3]QC_indicators!$C$2,"C ratio",IF(ISNUMBER(BY223),IF(ABS(BY223-[3]QC_indicators!$B$1)&gt;3*[3]QC_indicators!$C$1,"DF","no"))),IF(ISNUMBER(BY223),IF(ABS(BY223-[3]QC_indicators!$B$1)&gt;3*[3]QC_indicators!$C$1,"DF","no")))</f>
        <v>no</v>
      </c>
      <c r="EQ223"/>
      <c r="ER223"/>
      <c r="ES223"/>
      <c r="ET223"/>
      <c r="EU223"/>
    </row>
    <row r="224" spans="1:151" s="139" customFormat="1" ht="15" hidden="1" customHeight="1">
      <c r="A224" s="256" t="s">
        <v>215</v>
      </c>
      <c r="B224" s="257" t="s">
        <v>216</v>
      </c>
      <c r="C224" s="257" t="s">
        <v>217</v>
      </c>
      <c r="D224" s="257" t="s">
        <v>218</v>
      </c>
      <c r="E224" s="257" t="s">
        <v>219</v>
      </c>
      <c r="F224" s="257" t="s">
        <v>220</v>
      </c>
      <c r="G224" s="257" t="s">
        <v>221</v>
      </c>
      <c r="H224" s="257"/>
      <c r="I224" s="257">
        <v>2012</v>
      </c>
      <c r="J224" s="257"/>
      <c r="K224" s="257" t="s">
        <v>222</v>
      </c>
      <c r="L224" s="257"/>
      <c r="M224" s="257" t="s">
        <v>3072</v>
      </c>
      <c r="N224" s="257" t="s">
        <v>223</v>
      </c>
      <c r="O224" s="277" t="s">
        <v>224</v>
      </c>
      <c r="P224" s="257"/>
      <c r="Q224" s="257" t="s">
        <v>225</v>
      </c>
      <c r="R224" s="258" t="s">
        <v>226</v>
      </c>
      <c r="S224" s="256" t="s">
        <v>241</v>
      </c>
      <c r="T224" s="257">
        <v>2000</v>
      </c>
      <c r="U224" s="257">
        <v>4000</v>
      </c>
      <c r="V224" s="257">
        <v>0</v>
      </c>
      <c r="W224" s="257">
        <v>0</v>
      </c>
      <c r="X224" s="257">
        <v>0</v>
      </c>
      <c r="Y224" s="257">
        <v>0</v>
      </c>
      <c r="Z224" s="257">
        <v>0</v>
      </c>
      <c r="AA224" s="257">
        <v>1</v>
      </c>
      <c r="AB224" s="257">
        <v>0</v>
      </c>
      <c r="AC224" s="257">
        <v>0</v>
      </c>
      <c r="AD224" s="257">
        <v>0</v>
      </c>
      <c r="AE224" s="257">
        <v>0</v>
      </c>
      <c r="AF224" s="257">
        <v>0</v>
      </c>
      <c r="AG224" s="257">
        <v>0</v>
      </c>
      <c r="AH224" s="257">
        <v>0</v>
      </c>
      <c r="AI224" s="257">
        <v>0</v>
      </c>
      <c r="AJ224" s="257">
        <v>0</v>
      </c>
      <c r="AK224" s="257">
        <v>0</v>
      </c>
      <c r="AL224" s="257">
        <v>0</v>
      </c>
      <c r="AM224" s="257">
        <v>0</v>
      </c>
      <c r="AN224" s="257">
        <v>0</v>
      </c>
      <c r="AO224" s="257">
        <v>0</v>
      </c>
      <c r="AP224" s="257">
        <v>0</v>
      </c>
      <c r="AQ224" s="257">
        <v>0</v>
      </c>
      <c r="AR224" s="257">
        <v>0</v>
      </c>
      <c r="AS224" s="257">
        <v>0</v>
      </c>
      <c r="AT224" s="257">
        <v>0</v>
      </c>
      <c r="AU224" s="257">
        <v>0</v>
      </c>
      <c r="AV224" s="257">
        <v>0</v>
      </c>
      <c r="AW224" s="257">
        <v>0</v>
      </c>
      <c r="AX224" s="279">
        <v>1</v>
      </c>
      <c r="AY224" s="279">
        <v>1</v>
      </c>
      <c r="AZ224" s="257">
        <v>1</v>
      </c>
      <c r="BA224" s="257">
        <v>0</v>
      </c>
      <c r="BB224" s="257">
        <v>0</v>
      </c>
      <c r="BC224" s="257">
        <v>0</v>
      </c>
      <c r="BD224" s="257">
        <v>0</v>
      </c>
      <c r="BE224" s="257" t="s">
        <v>94</v>
      </c>
      <c r="BF224" s="2" t="str" cm="1">
        <f t="array" ref="BF224">IF(COUNTIF(AZ224:BB224,"&lt;&gt;0")=1,INDEX($V$4:$AW$4,MATCH(TRUE,INDEX($V224:$AW224&lt;&gt;0,),0)),IF(COUNTIF(AZ224:BB224,"&lt;&gt;0")=0,INDEX($AM$4:$AW$4,MATCH(1,$AM224:$AW224,0)),"Multiple strategies"))</f>
        <v>SilvicultureProd</v>
      </c>
      <c r="BG224" s="280" t="s">
        <v>230</v>
      </c>
      <c r="BH224" s="257" t="s">
        <v>231</v>
      </c>
      <c r="BI224" s="281" t="s">
        <v>3073</v>
      </c>
      <c r="BJ224" s="278" t="s">
        <v>232</v>
      </c>
      <c r="BK224" s="257">
        <v>85.005979260000004</v>
      </c>
      <c r="BL224" s="257">
        <v>90.539028419999994</v>
      </c>
      <c r="BM224" s="278">
        <v>1.0650901172854743</v>
      </c>
      <c r="BN224" s="257">
        <v>5.5330491599999903</v>
      </c>
      <c r="BO224" s="278">
        <v>11.29193706122447</v>
      </c>
      <c r="BP224" s="278" t="s">
        <v>233</v>
      </c>
      <c r="BQ224" s="312" t="s">
        <v>3073</v>
      </c>
      <c r="BR224" s="278" t="s">
        <v>234</v>
      </c>
      <c r="BS224" s="257">
        <v>-8.1260280659999999</v>
      </c>
      <c r="BT224" s="257">
        <v>-8.2073792920000006</v>
      </c>
      <c r="BU224" s="259">
        <v>1.0100111918564965</v>
      </c>
      <c r="BV224" s="257">
        <v>-8.1351226000000665E-2</v>
      </c>
      <c r="BW224" s="257"/>
      <c r="BX224" s="257">
        <v>-8.135122600000067E-5</v>
      </c>
      <c r="BY224" s="257">
        <v>-7.2043641014749993E-6</v>
      </c>
      <c r="BZ224" s="257">
        <v>0</v>
      </c>
      <c r="CA224" s="257">
        <v>0</v>
      </c>
      <c r="CB224" s="257">
        <v>0</v>
      </c>
      <c r="CC224" s="257">
        <v>0</v>
      </c>
      <c r="CD224" s="257">
        <v>0</v>
      </c>
      <c r="CE224" s="257">
        <v>0</v>
      </c>
      <c r="CF224" s="257">
        <v>0</v>
      </c>
      <c r="CG224" s="257">
        <v>0</v>
      </c>
      <c r="CH224" s="257">
        <v>0</v>
      </c>
      <c r="CI224" s="257">
        <v>0</v>
      </c>
      <c r="CJ224" s="257">
        <v>0</v>
      </c>
      <c r="CK224" s="257">
        <v>0</v>
      </c>
      <c r="CL224" s="257">
        <v>0</v>
      </c>
      <c r="CM224" s="257">
        <v>0</v>
      </c>
      <c r="CN224" s="257" t="s">
        <v>3074</v>
      </c>
      <c r="CO224" s="257">
        <v>85.005979260000004</v>
      </c>
      <c r="CP224" s="257">
        <v>90.539028419999994</v>
      </c>
      <c r="CQ224" s="257">
        <v>11.29193706122447</v>
      </c>
      <c r="CR224" s="257">
        <v>-8.1260280659999999</v>
      </c>
      <c r="CS224" s="257">
        <v>-8.2073792920000006</v>
      </c>
      <c r="CT224" s="257">
        <v>-8.135122600000067E-5</v>
      </c>
      <c r="CU224" s="257">
        <v>-7.2043641014749993E-6</v>
      </c>
      <c r="CV224" s="258">
        <v>-1.0011191856496434E-2</v>
      </c>
      <c r="CW224" s="256" t="s">
        <v>235</v>
      </c>
      <c r="CX224" s="257" t="s">
        <v>3075</v>
      </c>
      <c r="CY224" s="257" t="s">
        <v>236</v>
      </c>
      <c r="CZ224" s="257"/>
      <c r="DA224" s="278"/>
      <c r="DB224" s="278">
        <v>80</v>
      </c>
      <c r="DC224" s="257" t="s">
        <v>3076</v>
      </c>
      <c r="DD224" s="257">
        <v>0</v>
      </c>
      <c r="DE224" s="257">
        <v>1</v>
      </c>
      <c r="DF224" s="257">
        <v>0</v>
      </c>
      <c r="DG224" s="257">
        <v>0</v>
      </c>
      <c r="DH224" s="257"/>
      <c r="DI224" s="257">
        <v>1</v>
      </c>
      <c r="DJ224" s="257" t="s">
        <v>174</v>
      </c>
      <c r="DK224" s="257">
        <v>0</v>
      </c>
      <c r="DL224" s="257" t="s">
        <v>181</v>
      </c>
      <c r="DM224" s="257">
        <v>0</v>
      </c>
      <c r="DN224" s="257">
        <v>0</v>
      </c>
      <c r="DO224" s="257">
        <v>0</v>
      </c>
      <c r="DP224" s="278">
        <v>0</v>
      </c>
      <c r="DQ224" s="278">
        <v>0</v>
      </c>
      <c r="DR224" s="278">
        <v>0</v>
      </c>
      <c r="DS224" s="278">
        <v>0</v>
      </c>
      <c r="DT224" s="257">
        <v>0</v>
      </c>
      <c r="DU224" s="278" t="s">
        <v>964</v>
      </c>
      <c r="DV224" s="278">
        <v>1</v>
      </c>
      <c r="DW224" s="278">
        <v>1</v>
      </c>
      <c r="DX224" s="278">
        <v>1</v>
      </c>
      <c r="DY224" s="278">
        <v>0</v>
      </c>
      <c r="DZ224" s="257">
        <v>0</v>
      </c>
      <c r="EA224" s="278">
        <v>0</v>
      </c>
      <c r="EB224" s="278">
        <v>1</v>
      </c>
      <c r="EC224" s="278">
        <v>1</v>
      </c>
      <c r="ED224" s="278">
        <v>0</v>
      </c>
      <c r="EE224" s="278">
        <v>0</v>
      </c>
      <c r="EF224" s="257">
        <v>1</v>
      </c>
      <c r="EG224" s="278">
        <v>0</v>
      </c>
      <c r="EH224" s="257">
        <v>0</v>
      </c>
      <c r="EI224" s="258">
        <v>0</v>
      </c>
      <c r="EJ224" s="256"/>
      <c r="EK224" t="str">
        <f>IF(AND(AND(AND(OR($DX224=1,$DW224=1),OR($EC224=1,$EA224=1)),SUM($DV224:$DZ224,$EF224)&gt;=4),SUM($EA224:$EE224)&gt;=2),"Whole sector","")</f>
        <v>Whole sector</v>
      </c>
      <c r="EL224" t="str">
        <f>IF(AND(AND(OR($DX224=1,$DW224=1),AND($EC224=0,$EA224=0)),SUM($DV224:$DZ224,$EF224)&gt;=4),"Ecosystem approach","")</f>
        <v/>
      </c>
      <c r="EM224" s="258" t="s">
        <v>545</v>
      </c>
      <c r="EN224" s="257" t="s">
        <v>237</v>
      </c>
      <c r="EO224" s="257"/>
      <c r="EP224" t="str">
        <f>IF(ISNUMBER(BU224),IF(ABS(BU224-[3]QC_indicators!$B$2)&gt;3*[3]QC_indicators!$C$2,"C ratio",IF(ISNUMBER(BY224),IF(ABS(BY224-[3]QC_indicators!$B$1)&gt;3*[3]QC_indicators!$C$1,"DF","no"))),IF(ISNUMBER(BY224),IF(ABS(BY224-[3]QC_indicators!$B$1)&gt;3*[3]QC_indicators!$C$1,"DF","no")))</f>
        <v>no</v>
      </c>
      <c r="EQ224" s="282"/>
      <c r="ER224" s="282"/>
      <c r="ES224" s="282"/>
      <c r="ET224"/>
      <c r="EU224"/>
    </row>
    <row r="225" spans="1:151" s="139" customFormat="1" ht="15" hidden="1" customHeight="1">
      <c r="A225" s="256" t="s">
        <v>215</v>
      </c>
      <c r="B225" s="257" t="s">
        <v>216</v>
      </c>
      <c r="C225" s="257" t="s">
        <v>217</v>
      </c>
      <c r="D225" s="257" t="s">
        <v>218</v>
      </c>
      <c r="E225" s="257" t="s">
        <v>219</v>
      </c>
      <c r="F225" s="257" t="s">
        <v>220</v>
      </c>
      <c r="G225" s="257" t="s">
        <v>221</v>
      </c>
      <c r="H225" s="257"/>
      <c r="I225" s="257">
        <v>2012</v>
      </c>
      <c r="J225" s="257"/>
      <c r="K225" s="257" t="s">
        <v>222</v>
      </c>
      <c r="L225" s="257"/>
      <c r="M225" s="257" t="s">
        <v>3072</v>
      </c>
      <c r="N225" s="257" t="s">
        <v>223</v>
      </c>
      <c r="O225" s="277" t="s">
        <v>224</v>
      </c>
      <c r="P225" s="257"/>
      <c r="Q225" s="257" t="s">
        <v>225</v>
      </c>
      <c r="R225" s="258" t="s">
        <v>226</v>
      </c>
      <c r="S225" s="256" t="s">
        <v>227</v>
      </c>
      <c r="T225" s="257" t="s">
        <v>229</v>
      </c>
      <c r="U225" s="257" t="s">
        <v>240</v>
      </c>
      <c r="V225" s="257">
        <v>0</v>
      </c>
      <c r="W225" s="257">
        <v>0</v>
      </c>
      <c r="X225" s="257">
        <v>0</v>
      </c>
      <c r="Y225" s="257">
        <v>1</v>
      </c>
      <c r="Z225" s="257">
        <v>0</v>
      </c>
      <c r="AA225" s="257">
        <v>0</v>
      </c>
      <c r="AB225" s="257">
        <v>0</v>
      </c>
      <c r="AC225" s="257">
        <v>0</v>
      </c>
      <c r="AD225" s="257">
        <v>0</v>
      </c>
      <c r="AE225" s="257">
        <v>0</v>
      </c>
      <c r="AF225" s="257">
        <v>0</v>
      </c>
      <c r="AG225" s="257">
        <v>0</v>
      </c>
      <c r="AH225" s="257">
        <v>0</v>
      </c>
      <c r="AI225" s="257">
        <v>0</v>
      </c>
      <c r="AJ225" s="257">
        <v>0</v>
      </c>
      <c r="AK225" s="257">
        <v>0</v>
      </c>
      <c r="AL225" s="257">
        <v>0</v>
      </c>
      <c r="AM225" s="257">
        <v>0</v>
      </c>
      <c r="AN225" s="257">
        <v>0</v>
      </c>
      <c r="AO225" s="257">
        <v>0</v>
      </c>
      <c r="AP225" s="257">
        <v>0</v>
      </c>
      <c r="AQ225" s="257">
        <v>0</v>
      </c>
      <c r="AR225" s="257">
        <v>0</v>
      </c>
      <c r="AS225" s="257">
        <v>0</v>
      </c>
      <c r="AT225" s="257">
        <v>0</v>
      </c>
      <c r="AU225" s="257">
        <v>0</v>
      </c>
      <c r="AV225" s="257">
        <v>0</v>
      </c>
      <c r="AW225" s="257">
        <v>0</v>
      </c>
      <c r="AX225" s="279">
        <v>1</v>
      </c>
      <c r="AY225" s="279">
        <v>1</v>
      </c>
      <c r="AZ225" s="257">
        <v>1</v>
      </c>
      <c r="BA225" s="257">
        <v>0</v>
      </c>
      <c r="BB225" s="257">
        <v>0</v>
      </c>
      <c r="BC225" s="257">
        <v>0</v>
      </c>
      <c r="BD225" s="257">
        <v>0</v>
      </c>
      <c r="BE225" s="257" t="s">
        <v>92</v>
      </c>
      <c r="BF225" s="2" t="str" cm="1">
        <f t="array" ref="BF225">IF(COUNTIF(AZ225:BB225,"&lt;&gt;0")=1,INDEX($V$4:$AW$4,MATCH(TRUE,INDEX($V225:$AW225&lt;&gt;0,),0)),IF(COUNTIF(AZ225:BB225,"&lt;&gt;0")=0,INDEX($AM$4:$AW$4,MATCH(1,$AM225:$AW225,0)),"Multiple strategies"))</f>
        <v>SilvicultureRemov</v>
      </c>
      <c r="BG225" s="280" t="s">
        <v>230</v>
      </c>
      <c r="BH225" s="257" t="s">
        <v>231</v>
      </c>
      <c r="BI225" s="281" t="s">
        <v>3073</v>
      </c>
      <c r="BJ225" s="278" t="s">
        <v>232</v>
      </c>
      <c r="BK225" s="257">
        <v>55.163392309999999</v>
      </c>
      <c r="BL225" s="257">
        <v>89.04746797</v>
      </c>
      <c r="BM225" s="278">
        <v>0.61948299673814966</v>
      </c>
      <c r="BN225" s="257">
        <v>33.884075660000001</v>
      </c>
      <c r="BO225" s="278">
        <v>69.151174816326531</v>
      </c>
      <c r="BP225" s="278" t="s">
        <v>233</v>
      </c>
      <c r="BQ225" s="312" t="s">
        <v>3073</v>
      </c>
      <c r="BR225" s="278" t="s">
        <v>234</v>
      </c>
      <c r="BS225" s="257">
        <v>-9.0346308719999993</v>
      </c>
      <c r="BT225" s="257">
        <v>-8.1050396580000008</v>
      </c>
      <c r="BU225" s="259">
        <v>0.89710800284259817</v>
      </c>
      <c r="BV225" s="257">
        <v>0.92959121399999844</v>
      </c>
      <c r="BW225" s="257"/>
      <c r="BX225" s="257">
        <v>9.295912139999984E-4</v>
      </c>
      <c r="BY225" s="257">
        <v>1.3442883891258529E-5</v>
      </c>
      <c r="BZ225" s="257">
        <v>0</v>
      </c>
      <c r="CA225" s="257">
        <v>0</v>
      </c>
      <c r="CB225" s="257">
        <v>0</v>
      </c>
      <c r="CC225" s="257">
        <v>0</v>
      </c>
      <c r="CD225" s="257">
        <v>0</v>
      </c>
      <c r="CE225" s="257">
        <v>0</v>
      </c>
      <c r="CF225" s="257">
        <v>0</v>
      </c>
      <c r="CG225" s="257">
        <v>0</v>
      </c>
      <c r="CH225" s="257">
        <v>0</v>
      </c>
      <c r="CI225" s="257">
        <v>0</v>
      </c>
      <c r="CJ225" s="257">
        <v>0</v>
      </c>
      <c r="CK225" s="257">
        <v>0</v>
      </c>
      <c r="CL225" s="257">
        <v>0</v>
      </c>
      <c r="CM225" s="257">
        <v>0</v>
      </c>
      <c r="CN225" s="257" t="s">
        <v>3074</v>
      </c>
      <c r="CO225" s="257">
        <v>55.163392309999999</v>
      </c>
      <c r="CP225" s="257">
        <v>89.04746797</v>
      </c>
      <c r="CQ225" s="257">
        <v>69.151174816326531</v>
      </c>
      <c r="CR225" s="257">
        <v>-9.0346308719999993</v>
      </c>
      <c r="CS225" s="257">
        <v>-8.1050396580000008</v>
      </c>
      <c r="CT225" s="257">
        <v>9.295912139999984E-4</v>
      </c>
      <c r="CU225" s="257">
        <v>1.3442883891258529E-5</v>
      </c>
      <c r="CV225" s="258">
        <v>0.1028919971574018</v>
      </c>
      <c r="CW225" s="256" t="s">
        <v>235</v>
      </c>
      <c r="CX225" s="257" t="s">
        <v>3075</v>
      </c>
      <c r="CY225" s="257" t="s">
        <v>236</v>
      </c>
      <c r="CZ225" s="257"/>
      <c r="DA225" s="278"/>
      <c r="DB225" s="278">
        <v>80</v>
      </c>
      <c r="DC225" s="257" t="s">
        <v>3076</v>
      </c>
      <c r="DD225" s="257">
        <v>0</v>
      </c>
      <c r="DE225" s="257">
        <v>1</v>
      </c>
      <c r="DF225" s="257">
        <v>0</v>
      </c>
      <c r="DG225" s="257">
        <v>0</v>
      </c>
      <c r="DH225" s="257"/>
      <c r="DI225" s="257">
        <v>1</v>
      </c>
      <c r="DJ225" s="257" t="s">
        <v>174</v>
      </c>
      <c r="DK225" s="257">
        <v>0</v>
      </c>
      <c r="DL225" s="257" t="s">
        <v>181</v>
      </c>
      <c r="DM225" s="257">
        <v>0</v>
      </c>
      <c r="DN225" s="257">
        <v>0</v>
      </c>
      <c r="DO225" s="257">
        <v>0</v>
      </c>
      <c r="DP225" s="278">
        <v>0</v>
      </c>
      <c r="DQ225" s="278">
        <v>0</v>
      </c>
      <c r="DR225" s="278">
        <v>0</v>
      </c>
      <c r="DS225" s="278">
        <v>0</v>
      </c>
      <c r="DT225" s="257">
        <v>0</v>
      </c>
      <c r="DU225" s="278" t="s">
        <v>964</v>
      </c>
      <c r="DV225" s="278">
        <v>1</v>
      </c>
      <c r="DW225" s="278">
        <v>1</v>
      </c>
      <c r="DX225" s="278">
        <v>1</v>
      </c>
      <c r="DY225" s="278">
        <v>0</v>
      </c>
      <c r="DZ225" s="257">
        <v>0</v>
      </c>
      <c r="EA225" s="278">
        <v>0</v>
      </c>
      <c r="EB225" s="278">
        <v>1</v>
      </c>
      <c r="EC225" s="278">
        <v>1</v>
      </c>
      <c r="ED225" s="278">
        <v>0</v>
      </c>
      <c r="EE225" s="278">
        <v>0</v>
      </c>
      <c r="EF225" s="257">
        <v>1</v>
      </c>
      <c r="EG225" s="278">
        <v>0</v>
      </c>
      <c r="EH225" s="257">
        <v>0</v>
      </c>
      <c r="EI225" s="258">
        <v>0</v>
      </c>
      <c r="EJ225" s="256"/>
      <c r="EK225" t="str">
        <f>IF(AND(AND(AND(OR($DX225=1,$DW225=1),OR($EC225=1,$EA225=1)),SUM($DV225:$DZ225,$EF225)&gt;=4),SUM($EA225:$EE225)&gt;=2),"Whole sector","")</f>
        <v>Whole sector</v>
      </c>
      <c r="EL225" t="str">
        <f>IF(AND(AND(OR($DX225=1,$DW225=1),AND($EC225=0,$EA225=0)),SUM($DV225:$DZ225,$EF225)&gt;=4),"Ecosystem approach","")</f>
        <v/>
      </c>
      <c r="EM225" s="258" t="s">
        <v>545</v>
      </c>
      <c r="EN225" s="257" t="s">
        <v>237</v>
      </c>
      <c r="EO225" s="257"/>
      <c r="EP225" t="str">
        <f>IF(ISNUMBER(BU225),IF(ABS(BU225-[3]QC_indicators!$B$2)&gt;3*[3]QC_indicators!$C$2,"C ratio",IF(ISNUMBER(BY225),IF(ABS(BY225-[3]QC_indicators!$B$1)&gt;3*[3]QC_indicators!$C$1,"DF","no"))),IF(ISNUMBER(BY225),IF(ABS(BY225-[3]QC_indicators!$B$1)&gt;3*[3]QC_indicators!$C$1,"DF","no")))</f>
        <v>no</v>
      </c>
      <c r="EQ225" s="282"/>
      <c r="ER225" s="282"/>
      <c r="ES225" s="282"/>
      <c r="ET225"/>
      <c r="EU225"/>
    </row>
    <row r="226" spans="1:151" s="139" customFormat="1" ht="15" hidden="1" customHeight="1">
      <c r="A226" s="256" t="s">
        <v>215</v>
      </c>
      <c r="B226" s="257" t="s">
        <v>216</v>
      </c>
      <c r="C226" s="257" t="s">
        <v>217</v>
      </c>
      <c r="D226" s="257" t="s">
        <v>218</v>
      </c>
      <c r="E226" s="257" t="s">
        <v>219</v>
      </c>
      <c r="F226" s="257" t="s">
        <v>220</v>
      </c>
      <c r="G226" s="257" t="s">
        <v>221</v>
      </c>
      <c r="H226" s="257"/>
      <c r="I226" s="257">
        <v>2012</v>
      </c>
      <c r="J226" s="257"/>
      <c r="K226" s="257" t="s">
        <v>222</v>
      </c>
      <c r="L226" s="257"/>
      <c r="M226" s="257" t="s">
        <v>3072</v>
      </c>
      <c r="N226" s="257" t="s">
        <v>223</v>
      </c>
      <c r="O226" s="277" t="s">
        <v>224</v>
      </c>
      <c r="P226" s="257"/>
      <c r="Q226" s="257" t="s">
        <v>225</v>
      </c>
      <c r="R226" s="258" t="s">
        <v>226</v>
      </c>
      <c r="S226" s="256" t="s">
        <v>227</v>
      </c>
      <c r="T226" s="257" t="s">
        <v>229</v>
      </c>
      <c r="U226" s="257" t="s">
        <v>239</v>
      </c>
      <c r="V226" s="257">
        <v>0</v>
      </c>
      <c r="W226" s="257">
        <v>0</v>
      </c>
      <c r="X226" s="257">
        <v>0</v>
      </c>
      <c r="Y226" s="257">
        <v>1</v>
      </c>
      <c r="Z226" s="257">
        <v>0</v>
      </c>
      <c r="AA226" s="257">
        <v>0</v>
      </c>
      <c r="AB226" s="257">
        <v>0</v>
      </c>
      <c r="AC226" s="257">
        <v>0</v>
      </c>
      <c r="AD226" s="257">
        <v>0</v>
      </c>
      <c r="AE226" s="257">
        <v>0</v>
      </c>
      <c r="AF226" s="257">
        <v>0</v>
      </c>
      <c r="AG226" s="257">
        <v>0</v>
      </c>
      <c r="AH226" s="257">
        <v>0</v>
      </c>
      <c r="AI226" s="257">
        <v>0</v>
      </c>
      <c r="AJ226" s="257">
        <v>0</v>
      </c>
      <c r="AK226" s="257">
        <v>0</v>
      </c>
      <c r="AL226" s="257">
        <v>0</v>
      </c>
      <c r="AM226" s="257">
        <v>0</v>
      </c>
      <c r="AN226" s="257">
        <v>0</v>
      </c>
      <c r="AO226" s="257">
        <v>0</v>
      </c>
      <c r="AP226" s="257">
        <v>0</v>
      </c>
      <c r="AQ226" s="257">
        <v>0</v>
      </c>
      <c r="AR226" s="257">
        <v>0</v>
      </c>
      <c r="AS226" s="257">
        <v>0</v>
      </c>
      <c r="AT226" s="257">
        <v>0</v>
      </c>
      <c r="AU226" s="257">
        <v>0</v>
      </c>
      <c r="AV226" s="257">
        <v>0</v>
      </c>
      <c r="AW226" s="257">
        <v>0</v>
      </c>
      <c r="AX226" s="279">
        <v>1</v>
      </c>
      <c r="AY226" s="279">
        <v>1</v>
      </c>
      <c r="AZ226" s="257">
        <v>1</v>
      </c>
      <c r="BA226" s="257">
        <v>0</v>
      </c>
      <c r="BB226" s="257">
        <v>0</v>
      </c>
      <c r="BC226" s="257">
        <v>0</v>
      </c>
      <c r="BD226" s="257">
        <v>0</v>
      </c>
      <c r="BE226" s="257" t="s">
        <v>92</v>
      </c>
      <c r="BF226" s="2" t="str" cm="1">
        <f t="array" ref="BF226">IF(COUNTIF(AZ226:BB226,"&lt;&gt;0")=1,INDEX($V$4:$AW$4,MATCH(TRUE,INDEX($V226:$AW226&lt;&gt;0,),0)),IF(COUNTIF(AZ226:BB226,"&lt;&gt;0")=0,INDEX($AM$4:$AW$4,MATCH(1,$AM226:$AW226,0)),"Multiple strategies"))</f>
        <v>SilvicultureRemov</v>
      </c>
      <c r="BG226" s="280" t="s">
        <v>230</v>
      </c>
      <c r="BH226" s="257" t="s">
        <v>231</v>
      </c>
      <c r="BI226" s="281" t="s">
        <v>3073</v>
      </c>
      <c r="BJ226" s="278" t="s">
        <v>232</v>
      </c>
      <c r="BK226" s="257">
        <v>64.183526540000003</v>
      </c>
      <c r="BL226" s="257">
        <v>89.04746797</v>
      </c>
      <c r="BM226" s="278">
        <v>0.72077879363872943</v>
      </c>
      <c r="BN226" s="257">
        <v>24.863941429999997</v>
      </c>
      <c r="BO226" s="278">
        <v>50.742737612244895</v>
      </c>
      <c r="BP226" s="278" t="s">
        <v>233</v>
      </c>
      <c r="BQ226" s="312" t="s">
        <v>3073</v>
      </c>
      <c r="BR226" s="278" t="s">
        <v>234</v>
      </c>
      <c r="BS226" s="257">
        <v>-8.4950335569999993</v>
      </c>
      <c r="BT226" s="257">
        <v>-8.1050396580000008</v>
      </c>
      <c r="BU226" s="259">
        <v>0.95409154108889427</v>
      </c>
      <c r="BV226" s="257">
        <v>0.38999389899999848</v>
      </c>
      <c r="BW226" s="257"/>
      <c r="BX226" s="257">
        <v>3.8999389899999846E-4</v>
      </c>
      <c r="BY226" s="257">
        <v>7.6857086817067545E-6</v>
      </c>
      <c r="BZ226" s="257">
        <v>0</v>
      </c>
      <c r="CA226" s="257">
        <v>0</v>
      </c>
      <c r="CB226" s="257">
        <v>0</v>
      </c>
      <c r="CC226" s="257">
        <v>0</v>
      </c>
      <c r="CD226" s="257">
        <v>0</v>
      </c>
      <c r="CE226" s="257">
        <v>0</v>
      </c>
      <c r="CF226" s="257">
        <v>0</v>
      </c>
      <c r="CG226" s="257">
        <v>0</v>
      </c>
      <c r="CH226" s="257">
        <v>0</v>
      </c>
      <c r="CI226" s="257">
        <v>0</v>
      </c>
      <c r="CJ226" s="257">
        <v>0</v>
      </c>
      <c r="CK226" s="257">
        <v>0</v>
      </c>
      <c r="CL226" s="257">
        <v>0</v>
      </c>
      <c r="CM226" s="257">
        <v>0</v>
      </c>
      <c r="CN226" s="257" t="s">
        <v>3074</v>
      </c>
      <c r="CO226" s="257">
        <v>64.183526540000003</v>
      </c>
      <c r="CP226" s="257">
        <v>89.04746797</v>
      </c>
      <c r="CQ226" s="257">
        <v>50.742737612244895</v>
      </c>
      <c r="CR226" s="257">
        <v>-8.4950335569999993</v>
      </c>
      <c r="CS226" s="257">
        <v>-8.1050396580000008</v>
      </c>
      <c r="CT226" s="257">
        <v>3.8999389899999846E-4</v>
      </c>
      <c r="CU226" s="257">
        <v>7.6857086817067545E-6</v>
      </c>
      <c r="CV226" s="258">
        <v>4.590845891110569E-2</v>
      </c>
      <c r="CW226" s="256" t="s">
        <v>235</v>
      </c>
      <c r="CX226" s="257" t="s">
        <v>3075</v>
      </c>
      <c r="CY226" s="257" t="s">
        <v>236</v>
      </c>
      <c r="CZ226" s="257"/>
      <c r="DA226" s="278"/>
      <c r="DB226" s="278">
        <v>80</v>
      </c>
      <c r="DC226" s="257" t="s">
        <v>3076</v>
      </c>
      <c r="DD226" s="257">
        <v>0</v>
      </c>
      <c r="DE226" s="257">
        <v>1</v>
      </c>
      <c r="DF226" s="257">
        <v>0</v>
      </c>
      <c r="DG226" s="257">
        <v>0</v>
      </c>
      <c r="DH226" s="257"/>
      <c r="DI226" s="257">
        <v>1</v>
      </c>
      <c r="DJ226" s="257" t="s">
        <v>174</v>
      </c>
      <c r="DK226" s="257">
        <v>0</v>
      </c>
      <c r="DL226" s="257" t="s">
        <v>181</v>
      </c>
      <c r="DM226" s="257">
        <v>0</v>
      </c>
      <c r="DN226" s="257">
        <v>0</v>
      </c>
      <c r="DO226" s="257">
        <v>0</v>
      </c>
      <c r="DP226" s="278">
        <v>0</v>
      </c>
      <c r="DQ226" s="278">
        <v>0</v>
      </c>
      <c r="DR226" s="278">
        <v>0</v>
      </c>
      <c r="DS226" s="278">
        <v>0</v>
      </c>
      <c r="DT226" s="257">
        <v>0</v>
      </c>
      <c r="DU226" s="278" t="s">
        <v>964</v>
      </c>
      <c r="DV226" s="278">
        <v>1</v>
      </c>
      <c r="DW226" s="278">
        <v>1</v>
      </c>
      <c r="DX226" s="278">
        <v>1</v>
      </c>
      <c r="DY226" s="278">
        <v>0</v>
      </c>
      <c r="DZ226" s="257">
        <v>0</v>
      </c>
      <c r="EA226" s="278">
        <v>0</v>
      </c>
      <c r="EB226" s="278">
        <v>1</v>
      </c>
      <c r="EC226" s="278">
        <v>1</v>
      </c>
      <c r="ED226" s="278">
        <v>0</v>
      </c>
      <c r="EE226" s="278">
        <v>0</v>
      </c>
      <c r="EF226" s="257">
        <v>1</v>
      </c>
      <c r="EG226" s="278">
        <v>0</v>
      </c>
      <c r="EH226" s="257">
        <v>0</v>
      </c>
      <c r="EI226" s="258">
        <v>0</v>
      </c>
      <c r="EJ226" s="256"/>
      <c r="EK226" t="str">
        <f>IF(AND(AND(AND(OR($DX226=1,$DW226=1),OR($EC226=1,$EA226=1)),SUM($DV226:$DZ226,$EF226)&gt;=4),SUM($EA226:$EE226)&gt;=2),"Whole sector","")</f>
        <v>Whole sector</v>
      </c>
      <c r="EL226" t="str">
        <f>IF(AND(AND(OR($DX226=1,$DW226=1),AND($EC226=0,$EA226=0)),SUM($DV226:$DZ226,$EF226)&gt;=4),"Ecosystem approach","")</f>
        <v/>
      </c>
      <c r="EM226" s="258" t="s">
        <v>545</v>
      </c>
      <c r="EN226" s="257" t="s">
        <v>237</v>
      </c>
      <c r="EO226" s="257"/>
      <c r="EP226" t="str">
        <f>IF(ISNUMBER(BU226),IF(ABS(BU226-[3]QC_indicators!$B$2)&gt;3*[3]QC_indicators!$C$2,"C ratio",IF(ISNUMBER(BY226),IF(ABS(BY226-[3]QC_indicators!$B$1)&gt;3*[3]QC_indicators!$C$1,"DF","no"))),IF(ISNUMBER(BY226),IF(ABS(BY226-[3]QC_indicators!$B$1)&gt;3*[3]QC_indicators!$C$1,"DF","no")))</f>
        <v>no</v>
      </c>
      <c r="EQ226" s="282"/>
      <c r="ER226" s="282"/>
      <c r="ES226" s="282"/>
      <c r="ET226"/>
      <c r="EU226"/>
    </row>
    <row r="227" spans="1:151" s="139" customFormat="1" ht="15" hidden="1" customHeight="1">
      <c r="A227" s="256" t="s">
        <v>215</v>
      </c>
      <c r="B227" s="257" t="s">
        <v>216</v>
      </c>
      <c r="C227" s="257" t="s">
        <v>217</v>
      </c>
      <c r="D227" s="257" t="s">
        <v>218</v>
      </c>
      <c r="E227" s="257" t="s">
        <v>219</v>
      </c>
      <c r="F227" s="257" t="s">
        <v>220</v>
      </c>
      <c r="G227" s="257" t="s">
        <v>221</v>
      </c>
      <c r="H227" s="257"/>
      <c r="I227" s="257">
        <v>2012</v>
      </c>
      <c r="J227" s="257"/>
      <c r="K227" s="257" t="s">
        <v>222</v>
      </c>
      <c r="L227" s="257"/>
      <c r="M227" s="257" t="s">
        <v>3072</v>
      </c>
      <c r="N227" s="257" t="s">
        <v>223</v>
      </c>
      <c r="O227" s="277" t="s">
        <v>224</v>
      </c>
      <c r="P227" s="257"/>
      <c r="Q227" s="257" t="s">
        <v>225</v>
      </c>
      <c r="R227" s="258" t="s">
        <v>226</v>
      </c>
      <c r="S227" s="256" t="s">
        <v>227</v>
      </c>
      <c r="T227" s="257" t="s">
        <v>229</v>
      </c>
      <c r="U227" s="257" t="s">
        <v>228</v>
      </c>
      <c r="V227" s="257">
        <v>0</v>
      </c>
      <c r="W227" s="257">
        <v>0</v>
      </c>
      <c r="X227" s="257">
        <v>0</v>
      </c>
      <c r="Y227" s="257">
        <v>1</v>
      </c>
      <c r="Z227" s="257">
        <v>0</v>
      </c>
      <c r="AA227" s="257">
        <v>0</v>
      </c>
      <c r="AB227" s="257">
        <v>0</v>
      </c>
      <c r="AC227" s="257">
        <v>0</v>
      </c>
      <c r="AD227" s="257">
        <v>0</v>
      </c>
      <c r="AE227" s="257">
        <v>0</v>
      </c>
      <c r="AF227" s="257">
        <v>0</v>
      </c>
      <c r="AG227" s="257">
        <v>0</v>
      </c>
      <c r="AH227" s="257">
        <v>0</v>
      </c>
      <c r="AI227" s="257">
        <v>0</v>
      </c>
      <c r="AJ227" s="257">
        <v>0</v>
      </c>
      <c r="AK227" s="257">
        <v>0</v>
      </c>
      <c r="AL227" s="257">
        <v>0</v>
      </c>
      <c r="AM227" s="257">
        <v>0</v>
      </c>
      <c r="AN227" s="257">
        <v>0</v>
      </c>
      <c r="AO227" s="257">
        <v>0</v>
      </c>
      <c r="AP227" s="257">
        <v>0</v>
      </c>
      <c r="AQ227" s="257">
        <v>0</v>
      </c>
      <c r="AR227" s="257">
        <v>0</v>
      </c>
      <c r="AS227" s="257">
        <v>0</v>
      </c>
      <c r="AT227" s="257">
        <v>0</v>
      </c>
      <c r="AU227" s="257">
        <v>0</v>
      </c>
      <c r="AV227" s="257">
        <v>0</v>
      </c>
      <c r="AW227" s="257">
        <v>0</v>
      </c>
      <c r="AX227" s="279">
        <v>1</v>
      </c>
      <c r="AY227" s="279">
        <v>1</v>
      </c>
      <c r="AZ227" s="257">
        <v>1</v>
      </c>
      <c r="BA227" s="257">
        <v>0</v>
      </c>
      <c r="BB227" s="257">
        <v>0</v>
      </c>
      <c r="BC227" s="257">
        <v>0</v>
      </c>
      <c r="BD227" s="257">
        <v>0</v>
      </c>
      <c r="BE227" s="257" t="s">
        <v>92</v>
      </c>
      <c r="BF227" s="2" t="str" cm="1">
        <f t="array" ref="BF227">IF(COUNTIF(AZ227:BB227,"&lt;&gt;0")=1,INDEX($V$4:$AW$4,MATCH(TRUE,INDEX($V227:$AW227&lt;&gt;0,),0)),IF(COUNTIF(AZ227:BB227,"&lt;&gt;0")=0,INDEX($AM$4:$AW$4,MATCH(1,$AM227:$AW227,0)),"Multiple strategies"))</f>
        <v>SilvicultureRemov</v>
      </c>
      <c r="BG227" s="280" t="s">
        <v>230</v>
      </c>
      <c r="BH227" s="257" t="s">
        <v>231</v>
      </c>
      <c r="BI227" s="281" t="s">
        <v>3073</v>
      </c>
      <c r="BJ227" s="278" t="s">
        <v>232</v>
      </c>
      <c r="BK227" s="257">
        <v>85.005979260000004</v>
      </c>
      <c r="BL227" s="257">
        <v>89.04746797</v>
      </c>
      <c r="BM227" s="278">
        <v>0.9546142209078694</v>
      </c>
      <c r="BN227" s="257">
        <v>4.0414887099999959</v>
      </c>
      <c r="BO227" s="278">
        <v>8.2479361428571352</v>
      </c>
      <c r="BP227" s="278" t="s">
        <v>233</v>
      </c>
      <c r="BQ227" s="312" t="s">
        <v>3073</v>
      </c>
      <c r="BR227" s="278" t="s">
        <v>234</v>
      </c>
      <c r="BS227" s="257">
        <v>-8.1260280659999999</v>
      </c>
      <c r="BT227" s="257">
        <v>-8.1050396580000008</v>
      </c>
      <c r="BU227" s="259">
        <v>0.99741713813568811</v>
      </c>
      <c r="BV227" s="257">
        <v>2.0988407999999126E-2</v>
      </c>
      <c r="BW227" s="257"/>
      <c r="BX227" s="257">
        <v>2.0988407999999125E-5</v>
      </c>
      <c r="BY227" s="257">
        <v>2.5446860446628788E-6</v>
      </c>
      <c r="BZ227" s="257">
        <v>0</v>
      </c>
      <c r="CA227" s="257">
        <v>0</v>
      </c>
      <c r="CB227" s="257">
        <v>0</v>
      </c>
      <c r="CC227" s="257">
        <v>0</v>
      </c>
      <c r="CD227" s="257">
        <v>0</v>
      </c>
      <c r="CE227" s="257">
        <v>0</v>
      </c>
      <c r="CF227" s="257">
        <v>0</v>
      </c>
      <c r="CG227" s="257">
        <v>0</v>
      </c>
      <c r="CH227" s="257">
        <v>0</v>
      </c>
      <c r="CI227" s="257">
        <v>0</v>
      </c>
      <c r="CJ227" s="257">
        <v>0</v>
      </c>
      <c r="CK227" s="257">
        <v>0</v>
      </c>
      <c r="CL227" s="257">
        <v>0</v>
      </c>
      <c r="CM227" s="257">
        <v>0</v>
      </c>
      <c r="CN227" s="257" t="s">
        <v>3074</v>
      </c>
      <c r="CO227" s="257">
        <v>85.005979260000004</v>
      </c>
      <c r="CP227" s="257">
        <v>89.04746797</v>
      </c>
      <c r="CQ227" s="257">
        <v>8.2479361428571352</v>
      </c>
      <c r="CR227" s="257">
        <v>-8.1260280659999999</v>
      </c>
      <c r="CS227" s="257">
        <v>-8.1050396580000008</v>
      </c>
      <c r="CT227" s="257">
        <v>2.0988407999999125E-5</v>
      </c>
      <c r="CU227" s="257">
        <v>2.5446860446628788E-6</v>
      </c>
      <c r="CV227" s="258">
        <v>2.5828618643118435E-3</v>
      </c>
      <c r="CW227" s="256" t="s">
        <v>235</v>
      </c>
      <c r="CX227" s="257" t="s">
        <v>3075</v>
      </c>
      <c r="CY227" s="257" t="s">
        <v>236</v>
      </c>
      <c r="CZ227" s="257"/>
      <c r="DA227" s="278"/>
      <c r="DB227" s="278">
        <v>80</v>
      </c>
      <c r="DC227" s="257" t="s">
        <v>3076</v>
      </c>
      <c r="DD227" s="257">
        <v>0</v>
      </c>
      <c r="DE227" s="257">
        <v>1</v>
      </c>
      <c r="DF227" s="257">
        <v>0</v>
      </c>
      <c r="DG227" s="257">
        <v>0</v>
      </c>
      <c r="DH227" s="257"/>
      <c r="DI227" s="257">
        <v>1</v>
      </c>
      <c r="DJ227" s="257" t="s">
        <v>174</v>
      </c>
      <c r="DK227" s="257">
        <v>0</v>
      </c>
      <c r="DL227" s="257" t="s">
        <v>181</v>
      </c>
      <c r="DM227" s="257">
        <v>0</v>
      </c>
      <c r="DN227" s="257">
        <v>0</v>
      </c>
      <c r="DO227" s="257">
        <v>0</v>
      </c>
      <c r="DP227" s="278">
        <v>0</v>
      </c>
      <c r="DQ227" s="278">
        <v>0</v>
      </c>
      <c r="DR227" s="278">
        <v>0</v>
      </c>
      <c r="DS227" s="278">
        <v>0</v>
      </c>
      <c r="DT227" s="257">
        <v>0</v>
      </c>
      <c r="DU227" s="278" t="s">
        <v>964</v>
      </c>
      <c r="DV227" s="278">
        <v>1</v>
      </c>
      <c r="DW227" s="278">
        <v>1</v>
      </c>
      <c r="DX227" s="278">
        <v>1</v>
      </c>
      <c r="DY227" s="278">
        <v>0</v>
      </c>
      <c r="DZ227" s="257">
        <v>0</v>
      </c>
      <c r="EA227" s="278">
        <v>0</v>
      </c>
      <c r="EB227" s="278">
        <v>1</v>
      </c>
      <c r="EC227" s="278">
        <v>1</v>
      </c>
      <c r="ED227" s="278">
        <v>0</v>
      </c>
      <c r="EE227" s="278">
        <v>0</v>
      </c>
      <c r="EF227" s="257">
        <v>1</v>
      </c>
      <c r="EG227" s="278">
        <v>0</v>
      </c>
      <c r="EH227" s="257">
        <v>0</v>
      </c>
      <c r="EI227" s="258">
        <v>0</v>
      </c>
      <c r="EJ227" s="256"/>
      <c r="EK227" t="str">
        <f>IF(AND(AND(AND(OR($DX227=1,$DW227=1),OR($EC227=1,$EA227=1)),SUM($DV227:$DZ227,$EF227)&gt;=4),SUM($EA227:$EE227)&gt;=2),"Whole sector","")</f>
        <v>Whole sector</v>
      </c>
      <c r="EL227" t="str">
        <f>IF(AND(AND(OR($DX227=1,$DW227=1),AND($EC227=0,$EA227=0)),SUM($DV227:$DZ227,$EF227)&gt;=4),"Ecosystem approach","")</f>
        <v/>
      </c>
      <c r="EM227" s="258" t="s">
        <v>545</v>
      </c>
      <c r="EN227" s="257" t="s">
        <v>237</v>
      </c>
      <c r="EO227" s="257"/>
      <c r="EP227" t="str">
        <f>IF(ISNUMBER(BU227),IF(ABS(BU227-[3]QC_indicators!$B$2)&gt;3*[3]QC_indicators!$C$2,"C ratio",IF(ISNUMBER(BY227),IF(ABS(BY227-[3]QC_indicators!$B$1)&gt;3*[3]QC_indicators!$C$1,"DF","no"))),IF(ISNUMBER(BY227),IF(ABS(BY227-[3]QC_indicators!$B$1)&gt;3*[3]QC_indicators!$C$1,"DF","no")))</f>
        <v>no</v>
      </c>
      <c r="EQ227" s="257"/>
      <c r="ER227" s="257"/>
      <c r="ES227" s="257"/>
      <c r="ET227" s="257"/>
      <c r="EU227"/>
    </row>
    <row r="228" spans="1:151" s="139" customFormat="1" ht="15" hidden="1" customHeight="1">
      <c r="A228" s="256" t="s">
        <v>215</v>
      </c>
      <c r="B228" s="257" t="s">
        <v>216</v>
      </c>
      <c r="C228" s="257" t="s">
        <v>217</v>
      </c>
      <c r="D228" s="257" t="s">
        <v>218</v>
      </c>
      <c r="E228" s="257" t="s">
        <v>219</v>
      </c>
      <c r="F228" s="257" t="s">
        <v>220</v>
      </c>
      <c r="G228" s="257" t="s">
        <v>221</v>
      </c>
      <c r="H228" s="257"/>
      <c r="I228" s="257">
        <v>2012</v>
      </c>
      <c r="J228" s="257"/>
      <c r="K228" s="257" t="s">
        <v>222</v>
      </c>
      <c r="L228" s="257"/>
      <c r="M228" s="257" t="s">
        <v>3072</v>
      </c>
      <c r="N228" s="257" t="s">
        <v>223</v>
      </c>
      <c r="O228" s="277" t="s">
        <v>224</v>
      </c>
      <c r="P228" s="257"/>
      <c r="Q228" s="257" t="s">
        <v>225</v>
      </c>
      <c r="R228" s="258" t="s">
        <v>226</v>
      </c>
      <c r="S228" s="256" t="s">
        <v>242</v>
      </c>
      <c r="T228" s="257" t="s">
        <v>243</v>
      </c>
      <c r="U228" s="278" t="s">
        <v>244</v>
      </c>
      <c r="V228" s="257">
        <v>0</v>
      </c>
      <c r="W228" s="257">
        <v>0</v>
      </c>
      <c r="X228" s="257">
        <v>0</v>
      </c>
      <c r="Y228" s="257">
        <v>0</v>
      </c>
      <c r="Z228" s="257">
        <v>0</v>
      </c>
      <c r="AA228" s="257">
        <v>0</v>
      </c>
      <c r="AB228" s="257">
        <v>0</v>
      </c>
      <c r="AC228" s="257">
        <v>1</v>
      </c>
      <c r="AD228" s="257">
        <v>0</v>
      </c>
      <c r="AE228" s="257">
        <v>0</v>
      </c>
      <c r="AF228" s="257">
        <v>0</v>
      </c>
      <c r="AG228" s="257">
        <v>0</v>
      </c>
      <c r="AH228" s="257">
        <v>0</v>
      </c>
      <c r="AI228" s="257">
        <v>0</v>
      </c>
      <c r="AJ228" s="257">
        <v>0</v>
      </c>
      <c r="AK228" s="257">
        <v>0</v>
      </c>
      <c r="AL228" s="257">
        <v>0</v>
      </c>
      <c r="AM228" s="257">
        <v>0</v>
      </c>
      <c r="AN228" s="257">
        <v>0</v>
      </c>
      <c r="AO228" s="257">
        <v>0</v>
      </c>
      <c r="AP228" s="257">
        <v>0</v>
      </c>
      <c r="AQ228" s="257">
        <v>0</v>
      </c>
      <c r="AR228" s="257">
        <v>0</v>
      </c>
      <c r="AS228" s="257">
        <v>0</v>
      </c>
      <c r="AT228" s="257">
        <v>0</v>
      </c>
      <c r="AU228" s="257">
        <v>0</v>
      </c>
      <c r="AV228" s="257">
        <v>0</v>
      </c>
      <c r="AW228" s="257">
        <v>0</v>
      </c>
      <c r="AX228" s="279">
        <v>1</v>
      </c>
      <c r="AY228" s="279">
        <v>1</v>
      </c>
      <c r="AZ228" s="257">
        <v>1</v>
      </c>
      <c r="BA228" s="257">
        <v>0</v>
      </c>
      <c r="BB228" s="257">
        <v>0</v>
      </c>
      <c r="BC228" s="257">
        <v>0</v>
      </c>
      <c r="BD228" s="257">
        <v>0</v>
      </c>
      <c r="BE228" s="257" t="s">
        <v>96</v>
      </c>
      <c r="BF228" s="2" t="str" cm="1">
        <f t="array" ref="BF228">IF(COUNTIF(AZ228:BB228,"&lt;&gt;0")=1,INDEX($V$4:$AW$4,MATCH(TRUE,INDEX($V228:$AW228&lt;&gt;0,),0)),IF(COUNTIF(AZ228:BB228,"&lt;&gt;0")=0,INDEX($AM$4:$AW$4,MATCH(1,$AM228:$AW228,0)),"Multiple strategies"))</f>
        <v>SilvicultureProd</v>
      </c>
      <c r="BG228" s="280" t="s">
        <v>230</v>
      </c>
      <c r="BH228" s="257" t="s">
        <v>231</v>
      </c>
      <c r="BI228" s="281" t="s">
        <v>3073</v>
      </c>
      <c r="BJ228" s="278" t="s">
        <v>232</v>
      </c>
      <c r="BK228" s="257">
        <v>64.183526540573496</v>
      </c>
      <c r="BL228" s="257">
        <v>77.011494252873504</v>
      </c>
      <c r="BM228" s="278">
        <v>1.1998638654451439</v>
      </c>
      <c r="BN228" s="257">
        <v>12.827967712300008</v>
      </c>
      <c r="BO228" s="278">
        <v>26.179525943469404</v>
      </c>
      <c r="BP228" s="278" t="s">
        <v>233</v>
      </c>
      <c r="BQ228" s="312" t="s">
        <v>3073</v>
      </c>
      <c r="BR228" s="278" t="s">
        <v>234</v>
      </c>
      <c r="BS228" s="257">
        <v>-8.4950335570469804</v>
      </c>
      <c r="BT228" s="257">
        <v>-8</v>
      </c>
      <c r="BU228" s="259">
        <v>0.94172670964479832</v>
      </c>
      <c r="BV228" s="257">
        <v>0.49503355704698038</v>
      </c>
      <c r="BW228" s="257"/>
      <c r="BX228" s="257">
        <v>4.9503355704698035E-4</v>
      </c>
      <c r="BY228" s="257">
        <v>1.8909187206671654E-5</v>
      </c>
      <c r="BZ228" s="257">
        <v>0</v>
      </c>
      <c r="CA228" s="257">
        <v>0</v>
      </c>
      <c r="CB228" s="257">
        <v>0</v>
      </c>
      <c r="CC228" s="257">
        <v>0</v>
      </c>
      <c r="CD228" s="257">
        <v>0</v>
      </c>
      <c r="CE228" s="257">
        <v>0</v>
      </c>
      <c r="CF228" s="257">
        <v>0</v>
      </c>
      <c r="CG228" s="257">
        <v>0</v>
      </c>
      <c r="CH228" s="257">
        <v>0</v>
      </c>
      <c r="CI228" s="257">
        <v>0</v>
      </c>
      <c r="CJ228" s="257">
        <v>0</v>
      </c>
      <c r="CK228" s="257">
        <v>0</v>
      </c>
      <c r="CL228" s="257">
        <v>0</v>
      </c>
      <c r="CM228" s="257">
        <v>0</v>
      </c>
      <c r="CN228" s="257" t="s">
        <v>3074</v>
      </c>
      <c r="CO228" s="257">
        <v>64.183526540573496</v>
      </c>
      <c r="CP228" s="257">
        <v>77.011494252873504</v>
      </c>
      <c r="CQ228" s="257">
        <v>26.179525943469404</v>
      </c>
      <c r="CR228" s="257">
        <v>-8.4950335570469804</v>
      </c>
      <c r="CS228" s="257">
        <v>-8</v>
      </c>
      <c r="CT228" s="257">
        <v>4.9503355704698035E-4</v>
      </c>
      <c r="CU228" s="257">
        <v>1.8909187206671654E-5</v>
      </c>
      <c r="CV228" s="258">
        <v>5.8273290355201672E-2</v>
      </c>
      <c r="CW228" s="256" t="s">
        <v>235</v>
      </c>
      <c r="CX228" s="257" t="s">
        <v>3075</v>
      </c>
      <c r="CY228" s="257" t="s">
        <v>236</v>
      </c>
      <c r="CZ228" s="257"/>
      <c r="DA228" s="278"/>
      <c r="DB228" s="278">
        <v>80</v>
      </c>
      <c r="DC228" s="257" t="s">
        <v>3076</v>
      </c>
      <c r="DD228" s="257">
        <v>0</v>
      </c>
      <c r="DE228" s="257">
        <v>1</v>
      </c>
      <c r="DF228" s="257">
        <v>0</v>
      </c>
      <c r="DG228" s="257">
        <v>0</v>
      </c>
      <c r="DH228" s="257"/>
      <c r="DI228" s="257">
        <v>1</v>
      </c>
      <c r="DJ228" s="257" t="s">
        <v>174</v>
      </c>
      <c r="DK228" s="257">
        <v>0</v>
      </c>
      <c r="DL228" s="257" t="s">
        <v>181</v>
      </c>
      <c r="DM228" s="257">
        <v>0</v>
      </c>
      <c r="DN228" s="257">
        <v>0</v>
      </c>
      <c r="DO228" s="257">
        <v>0</v>
      </c>
      <c r="DP228" s="278">
        <v>0</v>
      </c>
      <c r="DQ228" s="278">
        <v>0</v>
      </c>
      <c r="DR228" s="278">
        <v>0</v>
      </c>
      <c r="DS228" s="278">
        <v>0</v>
      </c>
      <c r="DT228" s="257">
        <v>0</v>
      </c>
      <c r="DU228" s="278" t="s">
        <v>964</v>
      </c>
      <c r="DV228" s="278">
        <v>1</v>
      </c>
      <c r="DW228" s="278">
        <v>1</v>
      </c>
      <c r="DX228" s="278">
        <v>1</v>
      </c>
      <c r="DY228" s="278">
        <v>0</v>
      </c>
      <c r="DZ228" s="257">
        <v>0</v>
      </c>
      <c r="EA228" s="278">
        <v>0</v>
      </c>
      <c r="EB228" s="278">
        <v>1</v>
      </c>
      <c r="EC228" s="278">
        <v>1</v>
      </c>
      <c r="ED228" s="278">
        <v>0</v>
      </c>
      <c r="EE228" s="278">
        <v>0</v>
      </c>
      <c r="EF228" s="257">
        <v>1</v>
      </c>
      <c r="EG228" s="278">
        <v>0</v>
      </c>
      <c r="EH228" s="257">
        <v>0</v>
      </c>
      <c r="EI228" s="258">
        <v>0</v>
      </c>
      <c r="EJ228" s="256"/>
      <c r="EK228" t="str">
        <f>IF(AND(AND(AND(OR($DX228=1,$DW228=1),OR($EC228=1,$EA228=1)),SUM($DV228:$DZ228,$EF228)&gt;=4),SUM($EA228:$EE228)&gt;=2),"Whole sector","")</f>
        <v>Whole sector</v>
      </c>
      <c r="EL228" t="str">
        <f>IF(AND(AND(OR($DX228=1,$DW228=1),AND($EC228=0,$EA228=0)),SUM($DV228:$DZ228,$EF228)&gt;=4),"Ecosystem approach","")</f>
        <v/>
      </c>
      <c r="EM228" s="258" t="s">
        <v>545</v>
      </c>
      <c r="EN228" s="257" t="s">
        <v>237</v>
      </c>
      <c r="EO228" s="257"/>
      <c r="EP228" t="str">
        <f>IF(ISNUMBER(BU228),IF(ABS(BU228-[3]QC_indicators!$B$2)&gt;3*[3]QC_indicators!$C$2,"C ratio",IF(ISNUMBER(BY228),IF(ABS(BY228-[3]QC_indicators!$B$1)&gt;3*[3]QC_indicators!$C$1,"DF","no"))),IF(ISNUMBER(BY228),IF(ABS(BY228-[3]QC_indicators!$B$1)&gt;3*[3]QC_indicators!$C$1,"DF","no")))</f>
        <v>no</v>
      </c>
      <c r="EQ228"/>
      <c r="ER228"/>
      <c r="ES228"/>
      <c r="ET228"/>
      <c r="EU228"/>
    </row>
    <row r="229" spans="1:151" s="139" customFormat="1" ht="15" hidden="1" customHeight="1">
      <c r="A229" s="256" t="s">
        <v>215</v>
      </c>
      <c r="B229" s="257" t="s">
        <v>216</v>
      </c>
      <c r="C229" s="257" t="s">
        <v>217</v>
      </c>
      <c r="D229" s="257" t="s">
        <v>218</v>
      </c>
      <c r="E229" s="257" t="s">
        <v>219</v>
      </c>
      <c r="F229" s="257" t="s">
        <v>220</v>
      </c>
      <c r="G229" s="257" t="s">
        <v>221</v>
      </c>
      <c r="H229" s="257"/>
      <c r="I229" s="257">
        <v>2012</v>
      </c>
      <c r="J229" s="257"/>
      <c r="K229" s="257" t="s">
        <v>222</v>
      </c>
      <c r="L229" s="257"/>
      <c r="M229" s="257" t="s">
        <v>3072</v>
      </c>
      <c r="N229" s="257" t="s">
        <v>223</v>
      </c>
      <c r="O229" s="277" t="s">
        <v>224</v>
      </c>
      <c r="P229" s="257"/>
      <c r="Q229" s="257" t="s">
        <v>225</v>
      </c>
      <c r="R229" s="258" t="s">
        <v>226</v>
      </c>
      <c r="S229" s="256" t="s">
        <v>241</v>
      </c>
      <c r="T229" s="257">
        <v>2000</v>
      </c>
      <c r="U229" s="257">
        <v>4000</v>
      </c>
      <c r="V229" s="257">
        <v>0</v>
      </c>
      <c r="W229" s="257">
        <v>0</v>
      </c>
      <c r="X229" s="257">
        <v>0</v>
      </c>
      <c r="Y229" s="257">
        <v>0</v>
      </c>
      <c r="Z229" s="257">
        <v>0</v>
      </c>
      <c r="AA229" s="257">
        <v>1</v>
      </c>
      <c r="AB229" s="257">
        <v>0</v>
      </c>
      <c r="AC229" s="257">
        <v>0</v>
      </c>
      <c r="AD229" s="257">
        <v>0</v>
      </c>
      <c r="AE229" s="257">
        <v>0</v>
      </c>
      <c r="AF229" s="257">
        <v>0</v>
      </c>
      <c r="AG229" s="257">
        <v>0</v>
      </c>
      <c r="AH229" s="257">
        <v>0</v>
      </c>
      <c r="AI229" s="257">
        <v>0</v>
      </c>
      <c r="AJ229" s="257">
        <v>0</v>
      </c>
      <c r="AK229" s="257">
        <v>0</v>
      </c>
      <c r="AL229" s="257">
        <v>0</v>
      </c>
      <c r="AM229" s="257">
        <v>0</v>
      </c>
      <c r="AN229" s="257">
        <v>0</v>
      </c>
      <c r="AO229" s="257">
        <v>0</v>
      </c>
      <c r="AP229" s="257">
        <v>0</v>
      </c>
      <c r="AQ229" s="257">
        <v>0</v>
      </c>
      <c r="AR229" s="257">
        <v>0</v>
      </c>
      <c r="AS229" s="257">
        <v>0</v>
      </c>
      <c r="AT229" s="257">
        <v>0</v>
      </c>
      <c r="AU229" s="257">
        <v>0</v>
      </c>
      <c r="AV229" s="257">
        <v>0</v>
      </c>
      <c r="AW229" s="257">
        <v>0</v>
      </c>
      <c r="AX229" s="279">
        <v>1</v>
      </c>
      <c r="AY229" s="279">
        <v>1</v>
      </c>
      <c r="AZ229" s="257">
        <v>1</v>
      </c>
      <c r="BA229" s="257">
        <v>0</v>
      </c>
      <c r="BB229" s="257">
        <v>0</v>
      </c>
      <c r="BC229" s="257">
        <v>0</v>
      </c>
      <c r="BD229" s="257">
        <v>0</v>
      </c>
      <c r="BE229" s="257" t="s">
        <v>94</v>
      </c>
      <c r="BF229" s="2" t="str" cm="1">
        <f t="array" ref="BF229">IF(COUNTIF(AZ229:BB229,"&lt;&gt;0")=1,INDEX($V$4:$AW$4,MATCH(TRUE,INDEX($V229:$AW229&lt;&gt;0,),0)),IF(COUNTIF(AZ229:BB229,"&lt;&gt;0")=0,INDEX($AM$4:$AW$4,MATCH(1,$AM229:$AW229,0)),"Multiple strategies"))</f>
        <v>SilvicultureProd</v>
      </c>
      <c r="BG229" s="280" t="s">
        <v>230</v>
      </c>
      <c r="BH229" s="257" t="s">
        <v>231</v>
      </c>
      <c r="BI229" s="281" t="s">
        <v>3073</v>
      </c>
      <c r="BJ229" s="278" t="s">
        <v>232</v>
      </c>
      <c r="BK229" s="257">
        <v>64.183526540000003</v>
      </c>
      <c r="BL229" s="257">
        <v>75.212579790000007</v>
      </c>
      <c r="BM229" s="278">
        <v>1.1718361991706168</v>
      </c>
      <c r="BN229" s="257">
        <v>11.029053250000004</v>
      </c>
      <c r="BO229" s="278">
        <v>22.508271938775518</v>
      </c>
      <c r="BP229" s="278" t="s">
        <v>233</v>
      </c>
      <c r="BQ229" s="312" t="s">
        <v>3073</v>
      </c>
      <c r="BR229" s="278" t="s">
        <v>234</v>
      </c>
      <c r="BS229" s="257">
        <v>-8.4950335569999993</v>
      </c>
      <c r="BT229" s="257">
        <v>-8.4548837900000002</v>
      </c>
      <c r="BU229" s="259">
        <v>0.99527373650373452</v>
      </c>
      <c r="BV229" s="257">
        <v>4.0149766999999059E-2</v>
      </c>
      <c r="BW229" s="257"/>
      <c r="BX229" s="257">
        <v>4.0149766999999061E-5</v>
      </c>
      <c r="BY229" s="257">
        <v>1.783778297561446E-6</v>
      </c>
      <c r="BZ229" s="257">
        <v>0</v>
      </c>
      <c r="CA229" s="257">
        <v>0</v>
      </c>
      <c r="CB229" s="257">
        <v>0</v>
      </c>
      <c r="CC229" s="257">
        <v>0</v>
      </c>
      <c r="CD229" s="257">
        <v>0</v>
      </c>
      <c r="CE229" s="257">
        <v>0</v>
      </c>
      <c r="CF229" s="257">
        <v>0</v>
      </c>
      <c r="CG229" s="257">
        <v>0</v>
      </c>
      <c r="CH229" s="257">
        <v>0</v>
      </c>
      <c r="CI229" s="257">
        <v>0</v>
      </c>
      <c r="CJ229" s="257">
        <v>0</v>
      </c>
      <c r="CK229" s="257">
        <v>0</v>
      </c>
      <c r="CL229" s="257">
        <v>0</v>
      </c>
      <c r="CM229" s="257">
        <v>0</v>
      </c>
      <c r="CN229" s="257" t="s">
        <v>3074</v>
      </c>
      <c r="CO229" s="257">
        <v>64.183526540000003</v>
      </c>
      <c r="CP229" s="257">
        <v>75.212579790000007</v>
      </c>
      <c r="CQ229" s="257">
        <v>22.508271938775518</v>
      </c>
      <c r="CR229" s="257">
        <v>-8.4950335569999993</v>
      </c>
      <c r="CS229" s="257">
        <v>-8.4548837900000002</v>
      </c>
      <c r="CT229" s="257">
        <v>4.0149766999999061E-5</v>
      </c>
      <c r="CU229" s="257">
        <v>1.783778297561446E-6</v>
      </c>
      <c r="CV229" s="258">
        <v>4.7262634962654407E-3</v>
      </c>
      <c r="CW229" s="256" t="s">
        <v>235</v>
      </c>
      <c r="CX229" s="257" t="s">
        <v>3075</v>
      </c>
      <c r="CY229" s="257" t="s">
        <v>236</v>
      </c>
      <c r="CZ229" s="257"/>
      <c r="DA229" s="278"/>
      <c r="DB229" s="278">
        <v>80</v>
      </c>
      <c r="DC229" s="257" t="s">
        <v>3076</v>
      </c>
      <c r="DD229" s="257">
        <v>0</v>
      </c>
      <c r="DE229" s="257">
        <v>1</v>
      </c>
      <c r="DF229" s="257">
        <v>0</v>
      </c>
      <c r="DG229" s="257">
        <v>0</v>
      </c>
      <c r="DH229" s="257"/>
      <c r="DI229" s="257">
        <v>1</v>
      </c>
      <c r="DJ229" s="257" t="s">
        <v>174</v>
      </c>
      <c r="DK229" s="257">
        <v>0</v>
      </c>
      <c r="DL229" s="257" t="s">
        <v>181</v>
      </c>
      <c r="DM229" s="257">
        <v>0</v>
      </c>
      <c r="DN229" s="257">
        <v>0</v>
      </c>
      <c r="DO229" s="257">
        <v>0</v>
      </c>
      <c r="DP229" s="278">
        <v>0</v>
      </c>
      <c r="DQ229" s="278">
        <v>0</v>
      </c>
      <c r="DR229" s="278">
        <v>0</v>
      </c>
      <c r="DS229" s="278">
        <v>0</v>
      </c>
      <c r="DT229" s="257">
        <v>0</v>
      </c>
      <c r="DU229" s="278" t="s">
        <v>964</v>
      </c>
      <c r="DV229" s="278">
        <v>1</v>
      </c>
      <c r="DW229" s="278">
        <v>1</v>
      </c>
      <c r="DX229" s="278">
        <v>1</v>
      </c>
      <c r="DY229" s="278">
        <v>0</v>
      </c>
      <c r="DZ229" s="257">
        <v>0</v>
      </c>
      <c r="EA229" s="278">
        <v>0</v>
      </c>
      <c r="EB229" s="278">
        <v>1</v>
      </c>
      <c r="EC229" s="278">
        <v>1</v>
      </c>
      <c r="ED229" s="278">
        <v>0</v>
      </c>
      <c r="EE229" s="278">
        <v>0</v>
      </c>
      <c r="EF229" s="257">
        <v>1</v>
      </c>
      <c r="EG229" s="278">
        <v>0</v>
      </c>
      <c r="EH229" s="257">
        <v>0</v>
      </c>
      <c r="EI229" s="258">
        <v>0</v>
      </c>
      <c r="EJ229" s="256"/>
      <c r="EK229" t="str">
        <f>IF(AND(AND(AND(OR($DX229=1,$DW229=1),OR($EC229=1,$EA229=1)),SUM($DV229:$DZ229,$EF229)&gt;=4),SUM($EA229:$EE229)&gt;=2),"Whole sector","")</f>
        <v>Whole sector</v>
      </c>
      <c r="EL229" t="str">
        <f>IF(AND(AND(OR($DX229=1,$DW229=1),AND($EC229=0,$EA229=0)),SUM($DV229:$DZ229,$EF229)&gt;=4),"Ecosystem approach","")</f>
        <v/>
      </c>
      <c r="EM229" s="258" t="s">
        <v>545</v>
      </c>
      <c r="EN229" s="257" t="s">
        <v>237</v>
      </c>
      <c r="EO229" s="257"/>
      <c r="EP229" t="str">
        <f>IF(ISNUMBER(BU229),IF(ABS(BU229-[3]QC_indicators!$B$2)&gt;3*[3]QC_indicators!$C$2,"C ratio",IF(ISNUMBER(BY229),IF(ABS(BY229-[3]QC_indicators!$B$1)&gt;3*[3]QC_indicators!$C$1,"DF","no"))),IF(ISNUMBER(BY229),IF(ABS(BY229-[3]QC_indicators!$B$1)&gt;3*[3]QC_indicators!$C$1,"DF","no")))</f>
        <v>no</v>
      </c>
      <c r="EQ229" s="282"/>
      <c r="ER229" s="282"/>
      <c r="ES229" s="282"/>
      <c r="ET229"/>
      <c r="EU229"/>
    </row>
    <row r="230" spans="1:151" s="139" customFormat="1" ht="15" hidden="1" customHeight="1">
      <c r="A230" s="256" t="s">
        <v>215</v>
      </c>
      <c r="B230" s="257" t="s">
        <v>216</v>
      </c>
      <c r="C230" s="257" t="s">
        <v>217</v>
      </c>
      <c r="D230" s="257" t="s">
        <v>218</v>
      </c>
      <c r="E230" s="257" t="s">
        <v>219</v>
      </c>
      <c r="F230" s="257" t="s">
        <v>220</v>
      </c>
      <c r="G230" s="257" t="s">
        <v>221</v>
      </c>
      <c r="H230" s="257"/>
      <c r="I230" s="257">
        <v>2012</v>
      </c>
      <c r="J230" s="257"/>
      <c r="K230" s="257" t="s">
        <v>222</v>
      </c>
      <c r="L230" s="257"/>
      <c r="M230" s="257" t="s">
        <v>3072</v>
      </c>
      <c r="N230" s="257" t="s">
        <v>223</v>
      </c>
      <c r="O230" s="277" t="s">
        <v>224</v>
      </c>
      <c r="P230" s="257"/>
      <c r="Q230" s="257" t="s">
        <v>225</v>
      </c>
      <c r="R230" s="258" t="s">
        <v>226</v>
      </c>
      <c r="S230" s="256" t="s">
        <v>241</v>
      </c>
      <c r="T230" s="257">
        <v>2000</v>
      </c>
      <c r="U230" s="257">
        <v>4000</v>
      </c>
      <c r="V230" s="257">
        <v>0</v>
      </c>
      <c r="W230" s="257">
        <v>0</v>
      </c>
      <c r="X230" s="257">
        <v>0</v>
      </c>
      <c r="Y230" s="257">
        <v>0</v>
      </c>
      <c r="Z230" s="257">
        <v>0</v>
      </c>
      <c r="AA230" s="257">
        <v>1</v>
      </c>
      <c r="AB230" s="257">
        <v>0</v>
      </c>
      <c r="AC230" s="257">
        <v>0</v>
      </c>
      <c r="AD230" s="257">
        <v>0</v>
      </c>
      <c r="AE230" s="257">
        <v>0</v>
      </c>
      <c r="AF230" s="257">
        <v>0</v>
      </c>
      <c r="AG230" s="257">
        <v>0</v>
      </c>
      <c r="AH230" s="257">
        <v>0</v>
      </c>
      <c r="AI230" s="257">
        <v>0</v>
      </c>
      <c r="AJ230" s="257">
        <v>0</v>
      </c>
      <c r="AK230" s="257">
        <v>0</v>
      </c>
      <c r="AL230" s="257">
        <v>0</v>
      </c>
      <c r="AM230" s="257">
        <v>0</v>
      </c>
      <c r="AN230" s="257">
        <v>0</v>
      </c>
      <c r="AO230" s="257">
        <v>0</v>
      </c>
      <c r="AP230" s="257">
        <v>0</v>
      </c>
      <c r="AQ230" s="257">
        <v>0</v>
      </c>
      <c r="AR230" s="257">
        <v>0</v>
      </c>
      <c r="AS230" s="257">
        <v>0</v>
      </c>
      <c r="AT230" s="257">
        <v>0</v>
      </c>
      <c r="AU230" s="257">
        <v>0</v>
      </c>
      <c r="AV230" s="257">
        <v>0</v>
      </c>
      <c r="AW230" s="257">
        <v>0</v>
      </c>
      <c r="AX230" s="279">
        <v>1</v>
      </c>
      <c r="AY230" s="279">
        <v>1</v>
      </c>
      <c r="AZ230" s="257">
        <v>1</v>
      </c>
      <c r="BA230" s="257">
        <v>0</v>
      </c>
      <c r="BB230" s="257">
        <v>0</v>
      </c>
      <c r="BC230" s="257">
        <v>0</v>
      </c>
      <c r="BD230" s="257">
        <v>0</v>
      </c>
      <c r="BE230" s="257" t="s">
        <v>94</v>
      </c>
      <c r="BF230" s="2" t="str" cm="1">
        <f t="array" ref="BF230">IF(COUNTIF(AZ230:BB230,"&lt;&gt;0")=1,INDEX($V$4:$AW$4,MATCH(TRUE,INDEX($V230:$AW230&lt;&gt;0,),0)),IF(COUNTIF(AZ230:BB230,"&lt;&gt;0")=0,INDEX($AM$4:$AW$4,MATCH(1,$AM230:$AW230,0)),"Multiple strategies"))</f>
        <v>SilvicultureProd</v>
      </c>
      <c r="BG230" s="280" t="s">
        <v>230</v>
      </c>
      <c r="BH230" s="257" t="s">
        <v>231</v>
      </c>
      <c r="BI230" s="281" t="s">
        <v>3073</v>
      </c>
      <c r="BJ230" s="278" t="s">
        <v>232</v>
      </c>
      <c r="BK230" s="257">
        <v>55.163392309999999</v>
      </c>
      <c r="BL230" s="257">
        <v>74.931604759999999</v>
      </c>
      <c r="BM230" s="278">
        <v>1.3583574472525037</v>
      </c>
      <c r="BN230" s="257">
        <v>19.76821245</v>
      </c>
      <c r="BO230" s="278">
        <v>40.343290714285715</v>
      </c>
      <c r="BP230" s="278" t="s">
        <v>233</v>
      </c>
      <c r="BQ230" s="312" t="s">
        <v>3073</v>
      </c>
      <c r="BR230" s="278" t="s">
        <v>234</v>
      </c>
      <c r="BS230" s="257">
        <v>-9.0346308719999993</v>
      </c>
      <c r="BT230" s="257">
        <v>-8.5161560640000005</v>
      </c>
      <c r="BU230" s="259">
        <v>0.94261250787712325</v>
      </c>
      <c r="BV230" s="257">
        <v>0.51847480799999879</v>
      </c>
      <c r="BW230" s="257"/>
      <c r="BX230" s="257">
        <v>5.1847480799999883E-4</v>
      </c>
      <c r="BY230" s="257">
        <v>1.2851574544869859E-5</v>
      </c>
      <c r="BZ230" s="257">
        <v>0</v>
      </c>
      <c r="CA230" s="257">
        <v>0</v>
      </c>
      <c r="CB230" s="257">
        <v>0</v>
      </c>
      <c r="CC230" s="257">
        <v>0</v>
      </c>
      <c r="CD230" s="257">
        <v>0</v>
      </c>
      <c r="CE230" s="257">
        <v>0</v>
      </c>
      <c r="CF230" s="257">
        <v>0</v>
      </c>
      <c r="CG230" s="257">
        <v>0</v>
      </c>
      <c r="CH230" s="257">
        <v>0</v>
      </c>
      <c r="CI230" s="257">
        <v>0</v>
      </c>
      <c r="CJ230" s="257">
        <v>0</v>
      </c>
      <c r="CK230" s="257">
        <v>0</v>
      </c>
      <c r="CL230" s="257">
        <v>0</v>
      </c>
      <c r="CM230" s="257">
        <v>0</v>
      </c>
      <c r="CN230" s="257" t="s">
        <v>3074</v>
      </c>
      <c r="CO230" s="257">
        <v>55.163392309999999</v>
      </c>
      <c r="CP230" s="257">
        <v>74.931604759999999</v>
      </c>
      <c r="CQ230" s="257">
        <v>40.343290714285715</v>
      </c>
      <c r="CR230" s="257">
        <v>-9.0346308719999993</v>
      </c>
      <c r="CS230" s="257">
        <v>-8.5161560640000005</v>
      </c>
      <c r="CT230" s="257">
        <v>5.1847480799999883E-4</v>
      </c>
      <c r="CU230" s="257">
        <v>1.2851574544869859E-5</v>
      </c>
      <c r="CV230" s="258">
        <v>5.7387492122876721E-2</v>
      </c>
      <c r="CW230" s="256" t="s">
        <v>235</v>
      </c>
      <c r="CX230" s="257" t="s">
        <v>3075</v>
      </c>
      <c r="CY230" s="257" t="s">
        <v>236</v>
      </c>
      <c r="CZ230" s="257"/>
      <c r="DA230" s="278"/>
      <c r="DB230" s="278">
        <v>80</v>
      </c>
      <c r="DC230" s="257" t="s">
        <v>3076</v>
      </c>
      <c r="DD230" s="257">
        <v>0</v>
      </c>
      <c r="DE230" s="257">
        <v>1</v>
      </c>
      <c r="DF230" s="257">
        <v>0</v>
      </c>
      <c r="DG230" s="257">
        <v>0</v>
      </c>
      <c r="DH230" s="257"/>
      <c r="DI230" s="257">
        <v>1</v>
      </c>
      <c r="DJ230" s="257" t="s">
        <v>174</v>
      </c>
      <c r="DK230" s="257">
        <v>0</v>
      </c>
      <c r="DL230" s="257" t="s">
        <v>181</v>
      </c>
      <c r="DM230" s="257">
        <v>0</v>
      </c>
      <c r="DN230" s="257">
        <v>0</v>
      </c>
      <c r="DO230" s="257">
        <v>0</v>
      </c>
      <c r="DP230" s="278">
        <v>0</v>
      </c>
      <c r="DQ230" s="278">
        <v>0</v>
      </c>
      <c r="DR230" s="278">
        <v>0</v>
      </c>
      <c r="DS230" s="278">
        <v>0</v>
      </c>
      <c r="DT230" s="257">
        <v>0</v>
      </c>
      <c r="DU230" s="278" t="s">
        <v>964</v>
      </c>
      <c r="DV230" s="278">
        <v>1</v>
      </c>
      <c r="DW230" s="278">
        <v>1</v>
      </c>
      <c r="DX230" s="278">
        <v>1</v>
      </c>
      <c r="DY230" s="278">
        <v>0</v>
      </c>
      <c r="DZ230" s="257">
        <v>0</v>
      </c>
      <c r="EA230" s="278">
        <v>0</v>
      </c>
      <c r="EB230" s="278">
        <v>1</v>
      </c>
      <c r="EC230" s="278">
        <v>1</v>
      </c>
      <c r="ED230" s="278">
        <v>0</v>
      </c>
      <c r="EE230" s="278">
        <v>0</v>
      </c>
      <c r="EF230" s="257">
        <v>1</v>
      </c>
      <c r="EG230" s="278">
        <v>0</v>
      </c>
      <c r="EH230" s="257">
        <v>0</v>
      </c>
      <c r="EI230" s="258">
        <v>0</v>
      </c>
      <c r="EJ230" s="256"/>
      <c r="EK230" t="str">
        <f>IF(AND(AND(AND(OR($DX230=1,$DW230=1),OR($EC230=1,$EA230=1)),SUM($DV230:$DZ230,$EF230)&gt;=4),SUM($EA230:$EE230)&gt;=2),"Whole sector","")</f>
        <v>Whole sector</v>
      </c>
      <c r="EL230" t="str">
        <f>IF(AND(AND(OR($DX230=1,$DW230=1),AND($EC230=0,$EA230=0)),SUM($DV230:$DZ230,$EF230)&gt;=4),"Ecosystem approach","")</f>
        <v/>
      </c>
      <c r="EM230" s="258" t="s">
        <v>545</v>
      </c>
      <c r="EN230" s="257" t="s">
        <v>237</v>
      </c>
      <c r="EO230" s="257"/>
      <c r="EP230" t="str">
        <f>IF(ISNUMBER(BU230),IF(ABS(BU230-[3]QC_indicators!$B$2)&gt;3*[3]QC_indicators!$C$2,"C ratio",IF(ISNUMBER(BY230),IF(ABS(BY230-[3]QC_indicators!$B$1)&gt;3*[3]QC_indicators!$C$1,"DF","no"))),IF(ISNUMBER(BY230),IF(ABS(BY230-[3]QC_indicators!$B$1)&gt;3*[3]QC_indicators!$C$1,"DF","no")))</f>
        <v>no</v>
      </c>
      <c r="EQ230" s="282"/>
      <c r="ER230" s="282"/>
      <c r="ES230" s="282"/>
      <c r="ET230"/>
      <c r="EU230"/>
    </row>
    <row r="231" spans="1:151" s="139" customFormat="1" ht="15" hidden="1" customHeight="1">
      <c r="A231" s="256" t="s">
        <v>215</v>
      </c>
      <c r="B231" s="257" t="s">
        <v>216</v>
      </c>
      <c r="C231" s="257" t="s">
        <v>217</v>
      </c>
      <c r="D231" s="257" t="s">
        <v>218</v>
      </c>
      <c r="E231" s="257" t="s">
        <v>219</v>
      </c>
      <c r="F231" s="257" t="s">
        <v>220</v>
      </c>
      <c r="G231" s="257" t="s">
        <v>221</v>
      </c>
      <c r="H231" s="257"/>
      <c r="I231" s="257">
        <v>2012</v>
      </c>
      <c r="J231" s="257"/>
      <c r="K231" s="257" t="s">
        <v>222</v>
      </c>
      <c r="L231" s="257"/>
      <c r="M231" s="257" t="s">
        <v>3072</v>
      </c>
      <c r="N231" s="257" t="s">
        <v>223</v>
      </c>
      <c r="O231" s="277" t="s">
        <v>224</v>
      </c>
      <c r="P231" s="257"/>
      <c r="Q231" s="257" t="s">
        <v>225</v>
      </c>
      <c r="R231" s="258" t="s">
        <v>226</v>
      </c>
      <c r="S231" s="256" t="s">
        <v>242</v>
      </c>
      <c r="T231" s="257" t="s">
        <v>243</v>
      </c>
      <c r="U231" s="278" t="s">
        <v>244</v>
      </c>
      <c r="V231" s="257">
        <v>0</v>
      </c>
      <c r="W231" s="257">
        <v>0</v>
      </c>
      <c r="X231" s="257">
        <v>0</v>
      </c>
      <c r="Y231" s="257">
        <v>0</v>
      </c>
      <c r="Z231" s="257">
        <v>0</v>
      </c>
      <c r="AA231" s="257">
        <v>0</v>
      </c>
      <c r="AB231" s="257">
        <v>0</v>
      </c>
      <c r="AC231" s="257">
        <v>1</v>
      </c>
      <c r="AD231" s="257">
        <v>0</v>
      </c>
      <c r="AE231" s="257">
        <v>0</v>
      </c>
      <c r="AF231" s="257">
        <v>0</v>
      </c>
      <c r="AG231" s="257">
        <v>0</v>
      </c>
      <c r="AH231" s="257">
        <v>0</v>
      </c>
      <c r="AI231" s="257">
        <v>0</v>
      </c>
      <c r="AJ231" s="257">
        <v>0</v>
      </c>
      <c r="AK231" s="257">
        <v>0</v>
      </c>
      <c r="AL231" s="257">
        <v>0</v>
      </c>
      <c r="AM231" s="257">
        <v>0</v>
      </c>
      <c r="AN231" s="257">
        <v>0</v>
      </c>
      <c r="AO231" s="257">
        <v>0</v>
      </c>
      <c r="AP231" s="257">
        <v>0</v>
      </c>
      <c r="AQ231" s="257">
        <v>0</v>
      </c>
      <c r="AR231" s="257">
        <v>0</v>
      </c>
      <c r="AS231" s="257">
        <v>0</v>
      </c>
      <c r="AT231" s="257">
        <v>0</v>
      </c>
      <c r="AU231" s="257">
        <v>0</v>
      </c>
      <c r="AV231" s="257">
        <v>0</v>
      </c>
      <c r="AW231" s="257">
        <v>0</v>
      </c>
      <c r="AX231" s="279">
        <v>1</v>
      </c>
      <c r="AY231" s="279">
        <v>1</v>
      </c>
      <c r="AZ231" s="257">
        <v>1</v>
      </c>
      <c r="BA231" s="257">
        <v>0</v>
      </c>
      <c r="BB231" s="257">
        <v>0</v>
      </c>
      <c r="BC231" s="257">
        <v>0</v>
      </c>
      <c r="BD231" s="257">
        <v>0</v>
      </c>
      <c r="BE231" s="257" t="s">
        <v>96</v>
      </c>
      <c r="BF231" s="2" t="str" cm="1">
        <f t="array" ref="BF231">IF(COUNTIF(AZ231:BB231,"&lt;&gt;0")=1,INDEX($V$4:$AW$4,MATCH(TRUE,INDEX($V231:$AW231&lt;&gt;0,),0)),IF(COUNTIF(AZ231:BB231,"&lt;&gt;0")=0,INDEX($AM$4:$AW$4,MATCH(1,$AM231:$AW231,0)),"Multiple strategies"))</f>
        <v>SilvicultureProd</v>
      </c>
      <c r="BG231" s="280" t="s">
        <v>230</v>
      </c>
      <c r="BH231" s="257" t="s">
        <v>231</v>
      </c>
      <c r="BI231" s="281" t="s">
        <v>3073</v>
      </c>
      <c r="BJ231" s="278" t="s">
        <v>232</v>
      </c>
      <c r="BK231" s="257">
        <v>55.163392312385596</v>
      </c>
      <c r="BL231" s="257">
        <v>69.827586206896498</v>
      </c>
      <c r="BM231" s="278">
        <v>1.2658319816785164</v>
      </c>
      <c r="BN231" s="257">
        <v>14.664193894510902</v>
      </c>
      <c r="BO231" s="278">
        <v>29.926926315328373</v>
      </c>
      <c r="BP231" s="278" t="s">
        <v>233</v>
      </c>
      <c r="BQ231" s="312" t="s">
        <v>3073</v>
      </c>
      <c r="BR231" s="278" t="s">
        <v>234</v>
      </c>
      <c r="BS231" s="257">
        <v>-9.0346308724832198</v>
      </c>
      <c r="BT231" s="257">
        <v>-8.4285714285714199</v>
      </c>
      <c r="BU231" s="259">
        <v>0.9329181842107489</v>
      </c>
      <c r="BV231" s="257">
        <v>0.60605944391179989</v>
      </c>
      <c r="BW231" s="257"/>
      <c r="BX231" s="257">
        <v>6.0605944391179984E-4</v>
      </c>
      <c r="BY231" s="257">
        <v>2.0251309390279089E-5</v>
      </c>
      <c r="BZ231" s="257">
        <v>0</v>
      </c>
      <c r="CA231" s="257">
        <v>0</v>
      </c>
      <c r="CB231" s="257">
        <v>0</v>
      </c>
      <c r="CC231" s="257">
        <v>0</v>
      </c>
      <c r="CD231" s="257">
        <v>0</v>
      </c>
      <c r="CE231" s="257">
        <v>0</v>
      </c>
      <c r="CF231" s="257">
        <v>0</v>
      </c>
      <c r="CG231" s="257">
        <v>0</v>
      </c>
      <c r="CH231" s="257">
        <v>0</v>
      </c>
      <c r="CI231" s="257">
        <v>0</v>
      </c>
      <c r="CJ231" s="257">
        <v>0</v>
      </c>
      <c r="CK231" s="257">
        <v>0</v>
      </c>
      <c r="CL231" s="257">
        <v>0</v>
      </c>
      <c r="CM231" s="257">
        <v>0</v>
      </c>
      <c r="CN231" s="257" t="s">
        <v>3074</v>
      </c>
      <c r="CO231" s="257">
        <v>55.163392312385596</v>
      </c>
      <c r="CP231" s="257">
        <v>69.827586206896498</v>
      </c>
      <c r="CQ231" s="257">
        <v>29.926926315328373</v>
      </c>
      <c r="CR231" s="257">
        <v>-9.0346308724832198</v>
      </c>
      <c r="CS231" s="257">
        <v>-8.4285714285714199</v>
      </c>
      <c r="CT231" s="257">
        <v>6.0605944391179984E-4</v>
      </c>
      <c r="CU231" s="257">
        <v>2.0251309390279089E-5</v>
      </c>
      <c r="CV231" s="258">
        <v>6.7081815789251056E-2</v>
      </c>
      <c r="CW231" s="256" t="s">
        <v>235</v>
      </c>
      <c r="CX231" s="257" t="s">
        <v>3075</v>
      </c>
      <c r="CY231" s="257" t="s">
        <v>236</v>
      </c>
      <c r="CZ231" s="257"/>
      <c r="DA231" s="278"/>
      <c r="DB231" s="278">
        <v>80</v>
      </c>
      <c r="DC231" s="257" t="s">
        <v>3076</v>
      </c>
      <c r="DD231" s="257">
        <v>0</v>
      </c>
      <c r="DE231" s="257">
        <v>1</v>
      </c>
      <c r="DF231" s="257">
        <v>0</v>
      </c>
      <c r="DG231" s="257">
        <v>0</v>
      </c>
      <c r="DH231" s="257"/>
      <c r="DI231" s="257">
        <v>1</v>
      </c>
      <c r="DJ231" s="257" t="s">
        <v>174</v>
      </c>
      <c r="DK231" s="257">
        <v>0</v>
      </c>
      <c r="DL231" s="257" t="s">
        <v>181</v>
      </c>
      <c r="DM231" s="257">
        <v>0</v>
      </c>
      <c r="DN231" s="257">
        <v>0</v>
      </c>
      <c r="DO231" s="257">
        <v>0</v>
      </c>
      <c r="DP231" s="278">
        <v>0</v>
      </c>
      <c r="DQ231" s="278">
        <v>0</v>
      </c>
      <c r="DR231" s="278">
        <v>0</v>
      </c>
      <c r="DS231" s="278">
        <v>0</v>
      </c>
      <c r="DT231" s="257">
        <v>0</v>
      </c>
      <c r="DU231" s="278" t="s">
        <v>964</v>
      </c>
      <c r="DV231" s="278">
        <v>1</v>
      </c>
      <c r="DW231" s="278">
        <v>1</v>
      </c>
      <c r="DX231" s="278">
        <v>1</v>
      </c>
      <c r="DY231" s="278">
        <v>0</v>
      </c>
      <c r="DZ231" s="257">
        <v>0</v>
      </c>
      <c r="EA231" s="278">
        <v>0</v>
      </c>
      <c r="EB231" s="278">
        <v>1</v>
      </c>
      <c r="EC231" s="278">
        <v>1</v>
      </c>
      <c r="ED231" s="278">
        <v>0</v>
      </c>
      <c r="EE231" s="278">
        <v>0</v>
      </c>
      <c r="EF231" s="257">
        <v>1</v>
      </c>
      <c r="EG231" s="278">
        <v>0</v>
      </c>
      <c r="EH231" s="257">
        <v>0</v>
      </c>
      <c r="EI231" s="258">
        <v>0</v>
      </c>
      <c r="EJ231" s="256"/>
      <c r="EK231" t="str">
        <f>IF(AND(AND(AND(OR($DX231=1,$DW231=1),OR($EC231=1,$EA231=1)),SUM($DV231:$DZ231,$EF231)&gt;=4),SUM($EA231:$EE231)&gt;=2),"Whole sector","")</f>
        <v>Whole sector</v>
      </c>
      <c r="EL231" t="str">
        <f>IF(AND(AND(OR($DX231=1,$DW231=1),AND($EC231=0,$EA231=0)),SUM($DV231:$DZ231,$EF231)&gt;=4),"Ecosystem approach","")</f>
        <v/>
      </c>
      <c r="EM231" s="258" t="s">
        <v>545</v>
      </c>
      <c r="EN231" s="257" t="s">
        <v>237</v>
      </c>
      <c r="EO231" s="257"/>
      <c r="EP231" t="str">
        <f>IF(ISNUMBER(BU231),IF(ABS(BU231-[3]QC_indicators!$B$2)&gt;3*[3]QC_indicators!$C$2,"C ratio",IF(ISNUMBER(BY231),IF(ABS(BY231-[3]QC_indicators!$B$1)&gt;3*[3]QC_indicators!$C$1,"DF","no"))),IF(ISNUMBER(BY231),IF(ABS(BY231-[3]QC_indicators!$B$1)&gt;3*[3]QC_indicators!$C$1,"DF","no")))</f>
        <v>no</v>
      </c>
      <c r="EQ231"/>
      <c r="ER231"/>
      <c r="ES231"/>
      <c r="ET231"/>
      <c r="EU231"/>
    </row>
    <row r="232" spans="1:151" s="139" customFormat="1" ht="15" hidden="1" customHeight="1">
      <c r="A232" s="256" t="s">
        <v>215</v>
      </c>
      <c r="B232" s="257" t="s">
        <v>216</v>
      </c>
      <c r="C232" s="257" t="s">
        <v>217</v>
      </c>
      <c r="D232" s="257" t="s">
        <v>218</v>
      </c>
      <c r="E232" s="257" t="s">
        <v>219</v>
      </c>
      <c r="F232" s="257" t="s">
        <v>220</v>
      </c>
      <c r="G232" s="257" t="s">
        <v>221</v>
      </c>
      <c r="H232" s="257"/>
      <c r="I232" s="257">
        <v>2012</v>
      </c>
      <c r="J232" s="257"/>
      <c r="K232" s="257" t="s">
        <v>222</v>
      </c>
      <c r="L232" s="257"/>
      <c r="M232" s="257" t="s">
        <v>3072</v>
      </c>
      <c r="N232" s="257" t="s">
        <v>223</v>
      </c>
      <c r="O232" s="277" t="s">
        <v>224</v>
      </c>
      <c r="P232" s="257"/>
      <c r="Q232" s="257" t="s">
        <v>225</v>
      </c>
      <c r="R232" s="258" t="s">
        <v>226</v>
      </c>
      <c r="S232" s="256" t="s">
        <v>241</v>
      </c>
      <c r="T232" s="257">
        <v>2000</v>
      </c>
      <c r="U232" s="257">
        <v>4000</v>
      </c>
      <c r="V232" s="257">
        <v>0</v>
      </c>
      <c r="W232" s="257">
        <v>0</v>
      </c>
      <c r="X232" s="257">
        <v>0</v>
      </c>
      <c r="Y232" s="257">
        <v>0</v>
      </c>
      <c r="Z232" s="257">
        <v>0</v>
      </c>
      <c r="AA232" s="257">
        <v>1</v>
      </c>
      <c r="AB232" s="257">
        <v>0</v>
      </c>
      <c r="AC232" s="257">
        <v>0</v>
      </c>
      <c r="AD232" s="257">
        <v>0</v>
      </c>
      <c r="AE232" s="257">
        <v>0</v>
      </c>
      <c r="AF232" s="257">
        <v>0</v>
      </c>
      <c r="AG232" s="257">
        <v>0</v>
      </c>
      <c r="AH232" s="257">
        <v>0</v>
      </c>
      <c r="AI232" s="257">
        <v>0</v>
      </c>
      <c r="AJ232" s="257">
        <v>0</v>
      </c>
      <c r="AK232" s="257">
        <v>0</v>
      </c>
      <c r="AL232" s="257">
        <v>0</v>
      </c>
      <c r="AM232" s="257">
        <v>0</v>
      </c>
      <c r="AN232" s="257">
        <v>0</v>
      </c>
      <c r="AO232" s="257">
        <v>0</v>
      </c>
      <c r="AP232" s="257">
        <v>0</v>
      </c>
      <c r="AQ232" s="257">
        <v>0</v>
      </c>
      <c r="AR232" s="257">
        <v>0</v>
      </c>
      <c r="AS232" s="257">
        <v>0</v>
      </c>
      <c r="AT232" s="257">
        <v>0</v>
      </c>
      <c r="AU232" s="257">
        <v>0</v>
      </c>
      <c r="AV232" s="257">
        <v>0</v>
      </c>
      <c r="AW232" s="257">
        <v>0</v>
      </c>
      <c r="AX232" s="279">
        <v>1</v>
      </c>
      <c r="AY232" s="279">
        <v>1</v>
      </c>
      <c r="AZ232" s="257">
        <v>1</v>
      </c>
      <c r="BA232" s="257">
        <v>0</v>
      </c>
      <c r="BB232" s="257">
        <v>0</v>
      </c>
      <c r="BC232" s="257">
        <v>0</v>
      </c>
      <c r="BD232" s="257">
        <v>0</v>
      </c>
      <c r="BE232" s="257" t="s">
        <v>94</v>
      </c>
      <c r="BF232" s="2" t="str" cm="1">
        <f t="array" ref="BF232">IF(COUNTIF(AZ232:BB232,"&lt;&gt;0")=1,INDEX($V$4:$AW$4,MATCH(TRUE,INDEX($V232:$AW232&lt;&gt;0,),0)),IF(COUNTIF(AZ232:BB232,"&lt;&gt;0")=0,INDEX($AM$4:$AW$4,MATCH(1,$AM232:$AW232,0)),"Multiple strategies"))</f>
        <v>SilvicultureProd</v>
      </c>
      <c r="BG232" s="280" t="s">
        <v>230</v>
      </c>
      <c r="BH232" s="257" t="s">
        <v>231</v>
      </c>
      <c r="BI232" s="281" t="s">
        <v>3073</v>
      </c>
      <c r="BJ232" s="278" t="s">
        <v>232</v>
      </c>
      <c r="BK232" s="257">
        <v>63.509174309999999</v>
      </c>
      <c r="BL232" s="257">
        <v>68.821883279999994</v>
      </c>
      <c r="BM232" s="278">
        <v>1.0836526222820608</v>
      </c>
      <c r="BN232" s="257">
        <v>5.3127089699999956</v>
      </c>
      <c r="BO232" s="278">
        <v>10.842263204081624</v>
      </c>
      <c r="BP232" s="278" t="s">
        <v>233</v>
      </c>
      <c r="BQ232" s="312" t="s">
        <v>3073</v>
      </c>
      <c r="BR232" s="278" t="s">
        <v>234</v>
      </c>
      <c r="BS232" s="257">
        <v>-8.7158725570000009</v>
      </c>
      <c r="BT232" s="257">
        <v>-8.9016064260000007</v>
      </c>
      <c r="BU232" s="259">
        <v>1.0213098422200806</v>
      </c>
      <c r="BV232" s="257">
        <v>-0.18573386899999988</v>
      </c>
      <c r="BW232" s="257"/>
      <c r="BX232" s="257">
        <v>-1.8573386899999988E-4</v>
      </c>
      <c r="BY232" s="257">
        <v>-1.7130544195798478E-5</v>
      </c>
      <c r="BZ232" s="257">
        <v>0</v>
      </c>
      <c r="CA232" s="257">
        <v>0</v>
      </c>
      <c r="CB232" s="257">
        <v>0</v>
      </c>
      <c r="CC232" s="257">
        <v>0</v>
      </c>
      <c r="CD232" s="257">
        <v>0</v>
      </c>
      <c r="CE232" s="257">
        <v>0</v>
      </c>
      <c r="CF232" s="257">
        <v>0</v>
      </c>
      <c r="CG232" s="257">
        <v>0</v>
      </c>
      <c r="CH232" s="257">
        <v>0</v>
      </c>
      <c r="CI232" s="257">
        <v>0</v>
      </c>
      <c r="CJ232" s="257">
        <v>0</v>
      </c>
      <c r="CK232" s="257">
        <v>0</v>
      </c>
      <c r="CL232" s="257">
        <v>0</v>
      </c>
      <c r="CM232" s="257">
        <v>0</v>
      </c>
      <c r="CN232" s="257" t="s">
        <v>3074</v>
      </c>
      <c r="CO232" s="257">
        <v>63.509174309999999</v>
      </c>
      <c r="CP232" s="257">
        <v>68.821883279999994</v>
      </c>
      <c r="CQ232" s="257">
        <v>10.842263204081624</v>
      </c>
      <c r="CR232" s="257">
        <v>-8.7158725570000009</v>
      </c>
      <c r="CS232" s="257">
        <v>-8.9016064260000007</v>
      </c>
      <c r="CT232" s="257">
        <v>-1.8573386899999988E-4</v>
      </c>
      <c r="CU232" s="257">
        <v>-1.7130544195798478E-5</v>
      </c>
      <c r="CV232" s="258">
        <v>-2.1309842220080533E-2</v>
      </c>
      <c r="CW232" s="256" t="s">
        <v>235</v>
      </c>
      <c r="CX232" s="257" t="s">
        <v>3075</v>
      </c>
      <c r="CY232" s="257" t="s">
        <v>236</v>
      </c>
      <c r="CZ232" s="257"/>
      <c r="DA232" s="278"/>
      <c r="DB232" s="278">
        <v>80</v>
      </c>
      <c r="DC232" s="257" t="s">
        <v>3076</v>
      </c>
      <c r="DD232" s="257">
        <v>0</v>
      </c>
      <c r="DE232" s="257">
        <v>1</v>
      </c>
      <c r="DF232" s="257">
        <v>0</v>
      </c>
      <c r="DG232" s="257">
        <v>0</v>
      </c>
      <c r="DH232" s="257"/>
      <c r="DI232" s="257">
        <v>1</v>
      </c>
      <c r="DJ232" s="257" t="s">
        <v>174</v>
      </c>
      <c r="DK232" s="257">
        <v>0</v>
      </c>
      <c r="DL232" s="257" t="s">
        <v>181</v>
      </c>
      <c r="DM232" s="257">
        <v>0</v>
      </c>
      <c r="DN232" s="257">
        <v>0</v>
      </c>
      <c r="DO232" s="257">
        <v>0</v>
      </c>
      <c r="DP232" s="278">
        <v>0</v>
      </c>
      <c r="DQ232" s="278">
        <v>0</v>
      </c>
      <c r="DR232" s="278">
        <v>0</v>
      </c>
      <c r="DS232" s="278">
        <v>0</v>
      </c>
      <c r="DT232" s="257">
        <v>0</v>
      </c>
      <c r="DU232" s="278" t="s">
        <v>964</v>
      </c>
      <c r="DV232" s="278">
        <v>1</v>
      </c>
      <c r="DW232" s="278">
        <v>1</v>
      </c>
      <c r="DX232" s="278">
        <v>1</v>
      </c>
      <c r="DY232" s="278">
        <v>0</v>
      </c>
      <c r="DZ232" s="257">
        <v>0</v>
      </c>
      <c r="EA232" s="278">
        <v>0</v>
      </c>
      <c r="EB232" s="278">
        <v>1</v>
      </c>
      <c r="EC232" s="278">
        <v>1</v>
      </c>
      <c r="ED232" s="278">
        <v>0</v>
      </c>
      <c r="EE232" s="278">
        <v>0</v>
      </c>
      <c r="EF232" s="257">
        <v>1</v>
      </c>
      <c r="EG232" s="278">
        <v>0</v>
      </c>
      <c r="EH232" s="257">
        <v>0</v>
      </c>
      <c r="EI232" s="258">
        <v>0</v>
      </c>
      <c r="EJ232" s="256"/>
      <c r="EK232" t="str">
        <f>IF(AND(AND(AND(OR($DX232=1,$DW232=1),OR($EC232=1,$EA232=1)),SUM($DV232:$DZ232,$EF232)&gt;=4),SUM($EA232:$EE232)&gt;=2),"Whole sector","")</f>
        <v>Whole sector</v>
      </c>
      <c r="EL232" t="str">
        <f>IF(AND(AND(OR($DX232=1,$DW232=1),AND($EC232=0,$EA232=0)),SUM($DV232:$DZ232,$EF232)&gt;=4),"Ecosystem approach","")</f>
        <v/>
      </c>
      <c r="EM232" s="258" t="s">
        <v>545</v>
      </c>
      <c r="EN232" s="257" t="s">
        <v>237</v>
      </c>
      <c r="EO232" s="257"/>
      <c r="EP232" t="str">
        <f>IF(ISNUMBER(BU232),IF(ABS(BU232-[3]QC_indicators!$B$2)&gt;3*[3]QC_indicators!$C$2,"C ratio",IF(ISNUMBER(BY232),IF(ABS(BY232-[3]QC_indicators!$B$1)&gt;3*[3]QC_indicators!$C$1,"DF","no"))),IF(ISNUMBER(BY232),IF(ABS(BY232-[3]QC_indicators!$B$1)&gt;3*[3]QC_indicators!$C$1,"DF","no")))</f>
        <v>no</v>
      </c>
      <c r="EQ232" s="282"/>
      <c r="ER232" s="282"/>
      <c r="ES232" s="282"/>
      <c r="ET232"/>
      <c r="EU232"/>
    </row>
    <row r="233" spans="1:151" s="139" customFormat="1" ht="15" hidden="1" customHeight="1">
      <c r="A233" s="256" t="s">
        <v>215</v>
      </c>
      <c r="B233" s="257" t="s">
        <v>216</v>
      </c>
      <c r="C233" s="257" t="s">
        <v>217</v>
      </c>
      <c r="D233" s="257" t="s">
        <v>218</v>
      </c>
      <c r="E233" s="257" t="s">
        <v>219</v>
      </c>
      <c r="F233" s="257" t="s">
        <v>220</v>
      </c>
      <c r="G233" s="257" t="s">
        <v>221</v>
      </c>
      <c r="H233" s="257"/>
      <c r="I233" s="257">
        <v>2012</v>
      </c>
      <c r="J233" s="257"/>
      <c r="K233" s="257" t="s">
        <v>222</v>
      </c>
      <c r="L233" s="257"/>
      <c r="M233" s="257" t="s">
        <v>3072</v>
      </c>
      <c r="N233" s="257" t="s">
        <v>223</v>
      </c>
      <c r="O233" s="277" t="s">
        <v>224</v>
      </c>
      <c r="P233" s="257"/>
      <c r="Q233" s="257" t="s">
        <v>225</v>
      </c>
      <c r="R233" s="258" t="s">
        <v>226</v>
      </c>
      <c r="S233" s="256" t="s">
        <v>227</v>
      </c>
      <c r="T233" s="257" t="s">
        <v>229</v>
      </c>
      <c r="U233" s="257" t="s">
        <v>228</v>
      </c>
      <c r="V233" s="257">
        <v>0</v>
      </c>
      <c r="W233" s="257">
        <v>0</v>
      </c>
      <c r="X233" s="257">
        <v>0</v>
      </c>
      <c r="Y233" s="257">
        <v>1</v>
      </c>
      <c r="Z233" s="257">
        <v>0</v>
      </c>
      <c r="AA233" s="257">
        <v>0</v>
      </c>
      <c r="AB233" s="257">
        <v>0</v>
      </c>
      <c r="AC233" s="257">
        <v>0</v>
      </c>
      <c r="AD233" s="257">
        <v>0</v>
      </c>
      <c r="AE233" s="257">
        <v>0</v>
      </c>
      <c r="AF233" s="257">
        <v>0</v>
      </c>
      <c r="AG233" s="257">
        <v>0</v>
      </c>
      <c r="AH233" s="257">
        <v>0</v>
      </c>
      <c r="AI233" s="257">
        <v>0</v>
      </c>
      <c r="AJ233" s="257">
        <v>0</v>
      </c>
      <c r="AK233" s="257">
        <v>0</v>
      </c>
      <c r="AL233" s="257">
        <v>0</v>
      </c>
      <c r="AM233" s="257">
        <v>0</v>
      </c>
      <c r="AN233" s="257">
        <v>0</v>
      </c>
      <c r="AO233" s="257">
        <v>0</v>
      </c>
      <c r="AP233" s="257">
        <v>0</v>
      </c>
      <c r="AQ233" s="257">
        <v>0</v>
      </c>
      <c r="AR233" s="257">
        <v>0</v>
      </c>
      <c r="AS233" s="257">
        <v>0</v>
      </c>
      <c r="AT233" s="257">
        <v>0</v>
      </c>
      <c r="AU233" s="257">
        <v>0</v>
      </c>
      <c r="AV233" s="257">
        <v>0</v>
      </c>
      <c r="AW233" s="257">
        <v>0</v>
      </c>
      <c r="AX233" s="279">
        <v>1</v>
      </c>
      <c r="AY233" s="279">
        <v>1</v>
      </c>
      <c r="AZ233" s="257">
        <v>1</v>
      </c>
      <c r="BA233" s="257">
        <v>0</v>
      </c>
      <c r="BB233" s="257">
        <v>0</v>
      </c>
      <c r="BC233" s="257">
        <v>0</v>
      </c>
      <c r="BD233" s="257">
        <v>0</v>
      </c>
      <c r="BE233" s="257" t="s">
        <v>92</v>
      </c>
      <c r="BF233" s="2" t="str" cm="1">
        <f t="array" ref="BF233">IF(COUNTIF(AZ233:BB233,"&lt;&gt;0")=1,INDEX($V$4:$AW$4,MATCH(TRUE,INDEX($V233:$AW233&lt;&gt;0,),0)),IF(COUNTIF(AZ233:BB233,"&lt;&gt;0")=0,INDEX($AM$4:$AW$4,MATCH(1,$AM233:$AW233,0)),"Multiple strategies"))</f>
        <v>SilvicultureRemov</v>
      </c>
      <c r="BG233" s="280" t="s">
        <v>230</v>
      </c>
      <c r="BH233" s="257" t="s">
        <v>231</v>
      </c>
      <c r="BI233" s="281" t="s">
        <v>3073</v>
      </c>
      <c r="BJ233" s="278" t="s">
        <v>232</v>
      </c>
      <c r="BK233" s="257">
        <v>66.639750489999997</v>
      </c>
      <c r="BL233" s="257">
        <v>68.821883279999994</v>
      </c>
      <c r="BM233" s="278">
        <v>1.032745212488865</v>
      </c>
      <c r="BN233" s="257">
        <v>2.1821327899999972</v>
      </c>
      <c r="BO233" s="278">
        <v>4.4533322244897899</v>
      </c>
      <c r="BP233" s="278" t="s">
        <v>233</v>
      </c>
      <c r="BQ233" s="312" t="s">
        <v>3073</v>
      </c>
      <c r="BR233" s="278" t="s">
        <v>234</v>
      </c>
      <c r="BS233" s="257">
        <v>-9.4136546180000007</v>
      </c>
      <c r="BT233" s="257">
        <v>-8.9016064260000007</v>
      </c>
      <c r="BU233" s="259">
        <v>0.94560580212695455</v>
      </c>
      <c r="BV233" s="257">
        <v>0.51204819199999996</v>
      </c>
      <c r="BW233" s="257"/>
      <c r="BX233" s="257">
        <v>5.1204819199999997E-4</v>
      </c>
      <c r="BY233" s="257">
        <v>1.1498091006643107E-4</v>
      </c>
      <c r="BZ233" s="257">
        <v>0</v>
      </c>
      <c r="CA233" s="257">
        <v>0</v>
      </c>
      <c r="CB233" s="257">
        <v>0</v>
      </c>
      <c r="CC233" s="257">
        <v>0</v>
      </c>
      <c r="CD233" s="257">
        <v>0</v>
      </c>
      <c r="CE233" s="257">
        <v>0</v>
      </c>
      <c r="CF233" s="257">
        <v>0</v>
      </c>
      <c r="CG233" s="257">
        <v>0</v>
      </c>
      <c r="CH233" s="257">
        <v>0</v>
      </c>
      <c r="CI233" s="257">
        <v>0</v>
      </c>
      <c r="CJ233" s="257">
        <v>0</v>
      </c>
      <c r="CK233" s="257">
        <v>0</v>
      </c>
      <c r="CL233" s="257">
        <v>0</v>
      </c>
      <c r="CM233" s="257">
        <v>0</v>
      </c>
      <c r="CN233" s="257" t="s">
        <v>3074</v>
      </c>
      <c r="CO233" s="257">
        <v>66.639750489999997</v>
      </c>
      <c r="CP233" s="257">
        <v>68.821883279999994</v>
      </c>
      <c r="CQ233" s="257">
        <v>4.4533322244897899</v>
      </c>
      <c r="CR233" s="257">
        <v>-9.4136546180000007</v>
      </c>
      <c r="CS233" s="257">
        <v>-8.9016064260000007</v>
      </c>
      <c r="CT233" s="257">
        <v>5.1204819199999997E-4</v>
      </c>
      <c r="CU233" s="257">
        <v>1.1498091006643107E-4</v>
      </c>
      <c r="CV233" s="258">
        <v>5.4394197873045433E-2</v>
      </c>
      <c r="CW233" s="256" t="s">
        <v>235</v>
      </c>
      <c r="CX233" s="257" t="s">
        <v>3075</v>
      </c>
      <c r="CY233" s="257" t="s">
        <v>236</v>
      </c>
      <c r="CZ233" s="257"/>
      <c r="DA233" s="278"/>
      <c r="DB233" s="278">
        <v>80</v>
      </c>
      <c r="DC233" s="257" t="s">
        <v>3076</v>
      </c>
      <c r="DD233" s="257">
        <v>0</v>
      </c>
      <c r="DE233" s="257">
        <v>1</v>
      </c>
      <c r="DF233" s="257">
        <v>0</v>
      </c>
      <c r="DG233" s="257">
        <v>0</v>
      </c>
      <c r="DH233" s="257"/>
      <c r="DI233" s="257">
        <v>1</v>
      </c>
      <c r="DJ233" s="257" t="s">
        <v>174</v>
      </c>
      <c r="DK233" s="257">
        <v>0</v>
      </c>
      <c r="DL233" s="257" t="s">
        <v>181</v>
      </c>
      <c r="DM233" s="257">
        <v>0</v>
      </c>
      <c r="DN233" s="257">
        <v>0</v>
      </c>
      <c r="DO233" s="257">
        <v>0</v>
      </c>
      <c r="DP233" s="278">
        <v>0</v>
      </c>
      <c r="DQ233" s="278">
        <v>0</v>
      </c>
      <c r="DR233" s="278">
        <v>0</v>
      </c>
      <c r="DS233" s="278">
        <v>0</v>
      </c>
      <c r="DT233" s="257">
        <v>0</v>
      </c>
      <c r="DU233" s="278" t="s">
        <v>964</v>
      </c>
      <c r="DV233" s="278">
        <v>1</v>
      </c>
      <c r="DW233" s="278">
        <v>1</v>
      </c>
      <c r="DX233" s="278">
        <v>1</v>
      </c>
      <c r="DY233" s="278">
        <v>0</v>
      </c>
      <c r="DZ233" s="257">
        <v>0</v>
      </c>
      <c r="EA233" s="278">
        <v>0</v>
      </c>
      <c r="EB233" s="278">
        <v>1</v>
      </c>
      <c r="EC233" s="278">
        <v>1</v>
      </c>
      <c r="ED233" s="278">
        <v>0</v>
      </c>
      <c r="EE233" s="278">
        <v>0</v>
      </c>
      <c r="EF233" s="257">
        <v>1</v>
      </c>
      <c r="EG233" s="278">
        <v>0</v>
      </c>
      <c r="EH233" s="257">
        <v>0</v>
      </c>
      <c r="EI233" s="258">
        <v>0</v>
      </c>
      <c r="EJ233" s="256"/>
      <c r="EK233" t="str">
        <f>IF(AND(AND(AND(OR($DX233=1,$DW233=1),OR($EC233=1,$EA233=1)),SUM($DV233:$DZ233,$EF233)&gt;=4),SUM($EA233:$EE233)&gt;=2),"Whole sector","")</f>
        <v>Whole sector</v>
      </c>
      <c r="EL233" t="str">
        <f>IF(AND(AND(OR($DX233=1,$DW233=1),AND($EC233=0,$EA233=0)),SUM($DV233:$DZ233,$EF233)&gt;=4),"Ecosystem approach","")</f>
        <v/>
      </c>
      <c r="EM233" s="258" t="s">
        <v>545</v>
      </c>
      <c r="EN233" s="257" t="s">
        <v>237</v>
      </c>
      <c r="EO233" s="257"/>
      <c r="EP233" t="str">
        <f>IF(ISNUMBER(BU233),IF(ABS(BU233-[3]QC_indicators!$B$2)&gt;3*[3]QC_indicators!$C$2,"C ratio",IF(ISNUMBER(BY233),IF(ABS(BY233-[3]QC_indicators!$B$1)&gt;3*[3]QC_indicators!$C$1,"DF","no"))),IF(ISNUMBER(BY233),IF(ABS(BY233-[3]QC_indicators!$B$1)&gt;3*[3]QC_indicators!$C$1,"DF","no")))</f>
        <v>no</v>
      </c>
      <c r="EQ233" s="282"/>
      <c r="ER233" s="282"/>
      <c r="ES233" s="282"/>
      <c r="ET233"/>
      <c r="EU233"/>
    </row>
    <row r="234" spans="1:151" s="139" customFormat="1" ht="15" hidden="1" customHeight="1">
      <c r="A234" s="256" t="s">
        <v>215</v>
      </c>
      <c r="B234" s="257" t="s">
        <v>216</v>
      </c>
      <c r="C234" s="257" t="s">
        <v>217</v>
      </c>
      <c r="D234" s="257" t="s">
        <v>218</v>
      </c>
      <c r="E234" s="257" t="s">
        <v>219</v>
      </c>
      <c r="F234" s="257" t="s">
        <v>220</v>
      </c>
      <c r="G234" s="257" t="s">
        <v>221</v>
      </c>
      <c r="H234" s="257"/>
      <c r="I234" s="257">
        <v>2012</v>
      </c>
      <c r="J234" s="257"/>
      <c r="K234" s="257" t="s">
        <v>222</v>
      </c>
      <c r="L234" s="257"/>
      <c r="M234" s="257" t="s">
        <v>3072</v>
      </c>
      <c r="N234" s="257" t="s">
        <v>223</v>
      </c>
      <c r="O234" s="277" t="s">
        <v>224</v>
      </c>
      <c r="P234" s="257"/>
      <c r="Q234" s="257" t="s">
        <v>225</v>
      </c>
      <c r="R234" s="258" t="s">
        <v>226</v>
      </c>
      <c r="S234" s="256" t="s">
        <v>242</v>
      </c>
      <c r="T234" s="257" t="s">
        <v>245</v>
      </c>
      <c r="U234" s="278" t="s">
        <v>243</v>
      </c>
      <c r="V234" s="257">
        <v>0</v>
      </c>
      <c r="W234" s="257">
        <v>0</v>
      </c>
      <c r="X234" s="257">
        <v>0</v>
      </c>
      <c r="Y234" s="257">
        <v>0</v>
      </c>
      <c r="Z234" s="257">
        <v>0</v>
      </c>
      <c r="AA234" s="257">
        <v>0</v>
      </c>
      <c r="AB234" s="257">
        <v>0</v>
      </c>
      <c r="AC234" s="257">
        <v>1</v>
      </c>
      <c r="AD234" s="257">
        <v>0</v>
      </c>
      <c r="AE234" s="257">
        <v>0</v>
      </c>
      <c r="AF234" s="257">
        <v>0</v>
      </c>
      <c r="AG234" s="257">
        <v>0</v>
      </c>
      <c r="AH234" s="257">
        <v>0</v>
      </c>
      <c r="AI234" s="257">
        <v>0</v>
      </c>
      <c r="AJ234" s="257">
        <v>0</v>
      </c>
      <c r="AK234" s="257">
        <v>0</v>
      </c>
      <c r="AL234" s="257">
        <v>0</v>
      </c>
      <c r="AM234" s="257">
        <v>0</v>
      </c>
      <c r="AN234" s="257">
        <v>0</v>
      </c>
      <c r="AO234" s="257">
        <v>0</v>
      </c>
      <c r="AP234" s="257">
        <v>0</v>
      </c>
      <c r="AQ234" s="257">
        <v>0</v>
      </c>
      <c r="AR234" s="257">
        <v>0</v>
      </c>
      <c r="AS234" s="257">
        <v>0</v>
      </c>
      <c r="AT234" s="257">
        <v>0</v>
      </c>
      <c r="AU234" s="257">
        <v>0</v>
      </c>
      <c r="AV234" s="257">
        <v>0</v>
      </c>
      <c r="AW234" s="257">
        <v>0</v>
      </c>
      <c r="AX234" s="279">
        <v>1</v>
      </c>
      <c r="AY234" s="279">
        <v>1</v>
      </c>
      <c r="AZ234" s="257">
        <v>1</v>
      </c>
      <c r="BA234" s="257">
        <v>0</v>
      </c>
      <c r="BB234" s="257">
        <v>0</v>
      </c>
      <c r="BC234" s="257">
        <v>0</v>
      </c>
      <c r="BD234" s="257">
        <v>0</v>
      </c>
      <c r="BE234" s="257" t="s">
        <v>96</v>
      </c>
      <c r="BF234" s="2" t="str" cm="1">
        <f t="array" ref="BF234">IF(COUNTIF(AZ234:BB234,"&lt;&gt;0")=1,INDEX($V$4:$AW$4,MATCH(TRUE,INDEX($V234:$AW234&lt;&gt;0,),0)),IF(COUNTIF(AZ234:BB234,"&lt;&gt;0")=0,INDEX($AM$4:$AW$4,MATCH(1,$AM234:$AW234,0)),"Multiple strategies"))</f>
        <v>SilvicultureProd</v>
      </c>
      <c r="BG234" s="280" t="s">
        <v>230</v>
      </c>
      <c r="BH234" s="257" t="s">
        <v>231</v>
      </c>
      <c r="BI234" s="281" t="s">
        <v>3073</v>
      </c>
      <c r="BJ234" s="278" t="s">
        <v>232</v>
      </c>
      <c r="BK234" s="257">
        <v>60.054679619897001</v>
      </c>
      <c r="BL234" s="257">
        <v>68.821883277791997</v>
      </c>
      <c r="BM234" s="278">
        <v>1.1459870190530546</v>
      </c>
      <c r="BN234" s="257">
        <v>8.7672036578949957</v>
      </c>
      <c r="BO234" s="278">
        <v>17.892252363051011</v>
      </c>
      <c r="BP234" s="278" t="s">
        <v>233</v>
      </c>
      <c r="BQ234" s="312" t="s">
        <v>3073</v>
      </c>
      <c r="BR234" s="278" t="s">
        <v>234</v>
      </c>
      <c r="BS234" s="257">
        <v>-9.0244200244200208</v>
      </c>
      <c r="BT234" s="257">
        <v>-8.9016064257028091</v>
      </c>
      <c r="BU234" s="259">
        <v>0.98639097045739466</v>
      </c>
      <c r="BV234" s="257">
        <v>0.12281359871721165</v>
      </c>
      <c r="BW234" s="257"/>
      <c r="BX234" s="257">
        <v>1.2281359871721165E-4</v>
      </c>
      <c r="BY234" s="257">
        <v>6.8640658663429066E-6</v>
      </c>
      <c r="BZ234" s="257">
        <v>0</v>
      </c>
      <c r="CA234" s="257">
        <v>0</v>
      </c>
      <c r="CB234" s="257">
        <v>0</v>
      </c>
      <c r="CC234" s="257">
        <v>0</v>
      </c>
      <c r="CD234" s="257">
        <v>0</v>
      </c>
      <c r="CE234" s="257">
        <v>0</v>
      </c>
      <c r="CF234" s="257">
        <v>0</v>
      </c>
      <c r="CG234" s="257">
        <v>0</v>
      </c>
      <c r="CH234" s="257">
        <v>0</v>
      </c>
      <c r="CI234" s="257">
        <v>0</v>
      </c>
      <c r="CJ234" s="257">
        <v>0</v>
      </c>
      <c r="CK234" s="257">
        <v>0</v>
      </c>
      <c r="CL234" s="257">
        <v>0</v>
      </c>
      <c r="CM234" s="257">
        <v>0</v>
      </c>
      <c r="CN234" s="257" t="s">
        <v>3074</v>
      </c>
      <c r="CO234" s="257">
        <v>60.054679619897001</v>
      </c>
      <c r="CP234" s="257">
        <v>68.821883277791997</v>
      </c>
      <c r="CQ234" s="257">
        <v>17.892252363051011</v>
      </c>
      <c r="CR234" s="257">
        <v>-9.0244200244200208</v>
      </c>
      <c r="CS234" s="257">
        <v>-8.9016064257028091</v>
      </c>
      <c r="CT234" s="257">
        <v>1.2281359871721165E-4</v>
      </c>
      <c r="CU234" s="257">
        <v>6.8640658663429066E-6</v>
      </c>
      <c r="CV234" s="258">
        <v>1.3609029542605382E-2</v>
      </c>
      <c r="CW234" s="256" t="s">
        <v>235</v>
      </c>
      <c r="CX234" s="257" t="s">
        <v>3075</v>
      </c>
      <c r="CY234" s="257" t="s">
        <v>236</v>
      </c>
      <c r="CZ234" s="257"/>
      <c r="DA234" s="278"/>
      <c r="DB234" s="278">
        <v>80</v>
      </c>
      <c r="DC234" s="257" t="s">
        <v>3076</v>
      </c>
      <c r="DD234" s="257">
        <v>0</v>
      </c>
      <c r="DE234" s="257">
        <v>1</v>
      </c>
      <c r="DF234" s="257">
        <v>0</v>
      </c>
      <c r="DG234" s="257">
        <v>0</v>
      </c>
      <c r="DH234" s="257"/>
      <c r="DI234" s="257">
        <v>1</v>
      </c>
      <c r="DJ234" s="257" t="s">
        <v>174</v>
      </c>
      <c r="DK234" s="257">
        <v>0</v>
      </c>
      <c r="DL234" s="257" t="s">
        <v>181</v>
      </c>
      <c r="DM234" s="257">
        <v>0</v>
      </c>
      <c r="DN234" s="257">
        <v>0</v>
      </c>
      <c r="DO234" s="257">
        <v>0</v>
      </c>
      <c r="DP234" s="278">
        <v>0</v>
      </c>
      <c r="DQ234" s="278">
        <v>0</v>
      </c>
      <c r="DR234" s="278">
        <v>0</v>
      </c>
      <c r="DS234" s="278">
        <v>0</v>
      </c>
      <c r="DT234" s="257">
        <v>0</v>
      </c>
      <c r="DU234" s="278" t="s">
        <v>964</v>
      </c>
      <c r="DV234" s="278">
        <v>1</v>
      </c>
      <c r="DW234" s="278">
        <v>1</v>
      </c>
      <c r="DX234" s="278">
        <v>1</v>
      </c>
      <c r="DY234" s="278">
        <v>0</v>
      </c>
      <c r="DZ234" s="257">
        <v>0</v>
      </c>
      <c r="EA234" s="278">
        <v>0</v>
      </c>
      <c r="EB234" s="278">
        <v>1</v>
      </c>
      <c r="EC234" s="278">
        <v>1</v>
      </c>
      <c r="ED234" s="278">
        <v>0</v>
      </c>
      <c r="EE234" s="278">
        <v>0</v>
      </c>
      <c r="EF234" s="257">
        <v>1</v>
      </c>
      <c r="EG234" s="278">
        <v>0</v>
      </c>
      <c r="EH234" s="257">
        <v>0</v>
      </c>
      <c r="EI234" s="258">
        <v>0</v>
      </c>
      <c r="EJ234" s="256"/>
      <c r="EK234" t="str">
        <f>IF(AND(AND(AND(OR($DX234=1,$DW234=1),OR($EC234=1,$EA234=1)),SUM($DV234:$DZ234,$EF234)&gt;=4),SUM($EA234:$EE234)&gt;=2),"Whole sector","")</f>
        <v>Whole sector</v>
      </c>
      <c r="EL234" t="str">
        <f>IF(AND(AND(OR($DX234=1,$DW234=1),AND($EC234=0,$EA234=0)),SUM($DV234:$DZ234,$EF234)&gt;=4),"Ecosystem approach","")</f>
        <v/>
      </c>
      <c r="EM234" s="258" t="s">
        <v>545</v>
      </c>
      <c r="EN234" s="257" t="s">
        <v>237</v>
      </c>
      <c r="EO234" s="257"/>
      <c r="EP234" t="str">
        <f>IF(ISNUMBER(BU234),IF(ABS(BU234-[3]QC_indicators!$B$2)&gt;3*[3]QC_indicators!$C$2,"C ratio",IF(ISNUMBER(BY234),IF(ABS(BY234-[3]QC_indicators!$B$1)&gt;3*[3]QC_indicators!$C$1,"DF","no"))),IF(ISNUMBER(BY234),IF(ABS(BY234-[3]QC_indicators!$B$1)&gt;3*[3]QC_indicators!$C$1,"DF","no")))</f>
        <v>no</v>
      </c>
      <c r="EQ234"/>
      <c r="ER234"/>
      <c r="ES234"/>
      <c r="ET234"/>
      <c r="EU234"/>
    </row>
    <row r="235" spans="1:151" s="139" customFormat="1" ht="15" hidden="1" customHeight="1">
      <c r="A235" s="256" t="s">
        <v>215</v>
      </c>
      <c r="B235" s="257" t="s">
        <v>216</v>
      </c>
      <c r="C235" s="257" t="s">
        <v>217</v>
      </c>
      <c r="D235" s="257" t="s">
        <v>218</v>
      </c>
      <c r="E235" s="257" t="s">
        <v>219</v>
      </c>
      <c r="F235" s="257" t="s">
        <v>220</v>
      </c>
      <c r="G235" s="257" t="s">
        <v>221</v>
      </c>
      <c r="H235" s="257"/>
      <c r="I235" s="257">
        <v>2012</v>
      </c>
      <c r="J235" s="257"/>
      <c r="K235" s="257" t="s">
        <v>222</v>
      </c>
      <c r="L235" s="257"/>
      <c r="M235" s="257" t="s">
        <v>3072</v>
      </c>
      <c r="N235" s="257" t="s">
        <v>223</v>
      </c>
      <c r="O235" s="277" t="s">
        <v>224</v>
      </c>
      <c r="P235" s="257"/>
      <c r="Q235" s="257" t="s">
        <v>225</v>
      </c>
      <c r="R235" s="258" t="s">
        <v>226</v>
      </c>
      <c r="S235" s="256" t="s">
        <v>241</v>
      </c>
      <c r="T235" s="257">
        <v>2000</v>
      </c>
      <c r="U235" s="257">
        <v>4000</v>
      </c>
      <c r="V235" s="257">
        <v>0</v>
      </c>
      <c r="W235" s="257">
        <v>0</v>
      </c>
      <c r="X235" s="257">
        <v>0</v>
      </c>
      <c r="Y235" s="257">
        <v>0</v>
      </c>
      <c r="Z235" s="257">
        <v>0</v>
      </c>
      <c r="AA235" s="257">
        <v>1</v>
      </c>
      <c r="AB235" s="257">
        <v>0</v>
      </c>
      <c r="AC235" s="257">
        <v>0</v>
      </c>
      <c r="AD235" s="257">
        <v>0</v>
      </c>
      <c r="AE235" s="257">
        <v>0</v>
      </c>
      <c r="AF235" s="257">
        <v>0</v>
      </c>
      <c r="AG235" s="257">
        <v>0</v>
      </c>
      <c r="AH235" s="257">
        <v>0</v>
      </c>
      <c r="AI235" s="257">
        <v>0</v>
      </c>
      <c r="AJ235" s="257">
        <v>0</v>
      </c>
      <c r="AK235" s="257">
        <v>0</v>
      </c>
      <c r="AL235" s="257">
        <v>0</v>
      </c>
      <c r="AM235" s="257">
        <v>0</v>
      </c>
      <c r="AN235" s="257">
        <v>0</v>
      </c>
      <c r="AO235" s="257">
        <v>0</v>
      </c>
      <c r="AP235" s="257">
        <v>0</v>
      </c>
      <c r="AQ235" s="257">
        <v>0</v>
      </c>
      <c r="AR235" s="257">
        <v>0</v>
      </c>
      <c r="AS235" s="257">
        <v>0</v>
      </c>
      <c r="AT235" s="257">
        <v>0</v>
      </c>
      <c r="AU235" s="257">
        <v>0</v>
      </c>
      <c r="AV235" s="257">
        <v>0</v>
      </c>
      <c r="AW235" s="257">
        <v>0</v>
      </c>
      <c r="AX235" s="279">
        <v>1</v>
      </c>
      <c r="AY235" s="279">
        <v>1</v>
      </c>
      <c r="AZ235" s="257">
        <v>1</v>
      </c>
      <c r="BA235" s="257">
        <v>0</v>
      </c>
      <c r="BB235" s="257">
        <v>0</v>
      </c>
      <c r="BC235" s="257">
        <v>0</v>
      </c>
      <c r="BD235" s="257">
        <v>0</v>
      </c>
      <c r="BE235" s="257" t="s">
        <v>94</v>
      </c>
      <c r="BF235" s="2" t="str" cm="1">
        <f t="array" ref="BF235">IF(COUNTIF(AZ235:BB235,"&lt;&gt;0")=1,INDEX($V$4:$AW$4,MATCH(TRUE,INDEX($V235:$AW235&lt;&gt;0,),0)),IF(COUNTIF(AZ235:BB235,"&lt;&gt;0")=0,INDEX($AM$4:$AW$4,MATCH(1,$AM235:$AW235,0)),"Multiple strategies"))</f>
        <v>SilvicultureProd</v>
      </c>
      <c r="BG235" s="280" t="s">
        <v>230</v>
      </c>
      <c r="BH235" s="257" t="s">
        <v>231</v>
      </c>
      <c r="BI235" s="281" t="s">
        <v>3073</v>
      </c>
      <c r="BJ235" s="278" t="s">
        <v>232</v>
      </c>
      <c r="BK235" s="257">
        <v>62.093385429999998</v>
      </c>
      <c r="BL235" s="257">
        <v>68.641374010000007</v>
      </c>
      <c r="BM235" s="278">
        <v>1.1054538826423272</v>
      </c>
      <c r="BN235" s="257">
        <v>6.5479885800000091</v>
      </c>
      <c r="BO235" s="278">
        <v>13.363242000000019</v>
      </c>
      <c r="BP235" s="278" t="s">
        <v>233</v>
      </c>
      <c r="BQ235" s="312" t="s">
        <v>3073</v>
      </c>
      <c r="BR235" s="278" t="s">
        <v>234</v>
      </c>
      <c r="BS235" s="257">
        <v>-8.7761541919999999</v>
      </c>
      <c r="BT235" s="257">
        <v>-8.9317269079999999</v>
      </c>
      <c r="BU235" s="259">
        <v>1.0177267528118197</v>
      </c>
      <c r="BV235" s="257">
        <v>-0.155572716</v>
      </c>
      <c r="BW235" s="257"/>
      <c r="BX235" s="257">
        <v>-1.5557271599999999E-4</v>
      </c>
      <c r="BY235" s="257">
        <v>-1.1641839308155893E-5</v>
      </c>
      <c r="BZ235" s="257">
        <v>0</v>
      </c>
      <c r="CA235" s="257">
        <v>0</v>
      </c>
      <c r="CB235" s="257">
        <v>0</v>
      </c>
      <c r="CC235" s="257">
        <v>0</v>
      </c>
      <c r="CD235" s="257">
        <v>0</v>
      </c>
      <c r="CE235" s="257">
        <v>0</v>
      </c>
      <c r="CF235" s="257">
        <v>0</v>
      </c>
      <c r="CG235" s="257">
        <v>0</v>
      </c>
      <c r="CH235" s="257">
        <v>0</v>
      </c>
      <c r="CI235" s="257">
        <v>0</v>
      </c>
      <c r="CJ235" s="257">
        <v>0</v>
      </c>
      <c r="CK235" s="257">
        <v>0</v>
      </c>
      <c r="CL235" s="257">
        <v>0</v>
      </c>
      <c r="CM235" s="257">
        <v>0</v>
      </c>
      <c r="CN235" s="257" t="s">
        <v>3074</v>
      </c>
      <c r="CO235" s="257">
        <v>62.093385429999998</v>
      </c>
      <c r="CP235" s="257">
        <v>68.641374010000007</v>
      </c>
      <c r="CQ235" s="257">
        <v>13.363242000000019</v>
      </c>
      <c r="CR235" s="257">
        <v>-8.7761541919999999</v>
      </c>
      <c r="CS235" s="257">
        <v>-8.9317269079999999</v>
      </c>
      <c r="CT235" s="257">
        <v>-1.5557271599999999E-4</v>
      </c>
      <c r="CU235" s="257">
        <v>-1.1641839308155893E-5</v>
      </c>
      <c r="CV235" s="258">
        <v>-1.7726752811819787E-2</v>
      </c>
      <c r="CW235" s="256" t="s">
        <v>235</v>
      </c>
      <c r="CX235" s="257" t="s">
        <v>3075</v>
      </c>
      <c r="CY235" s="257" t="s">
        <v>236</v>
      </c>
      <c r="CZ235" s="257"/>
      <c r="DA235" s="278"/>
      <c r="DB235" s="278">
        <v>80</v>
      </c>
      <c r="DC235" s="257" t="s">
        <v>3076</v>
      </c>
      <c r="DD235" s="257">
        <v>0</v>
      </c>
      <c r="DE235" s="257">
        <v>1</v>
      </c>
      <c r="DF235" s="257">
        <v>0</v>
      </c>
      <c r="DG235" s="257">
        <v>0</v>
      </c>
      <c r="DH235" s="257"/>
      <c r="DI235" s="257">
        <v>1</v>
      </c>
      <c r="DJ235" s="257" t="s">
        <v>174</v>
      </c>
      <c r="DK235" s="257">
        <v>0</v>
      </c>
      <c r="DL235" s="257" t="s">
        <v>181</v>
      </c>
      <c r="DM235" s="257">
        <v>0</v>
      </c>
      <c r="DN235" s="257">
        <v>0</v>
      </c>
      <c r="DO235" s="257">
        <v>0</v>
      </c>
      <c r="DP235" s="278">
        <v>0</v>
      </c>
      <c r="DQ235" s="278">
        <v>0</v>
      </c>
      <c r="DR235" s="278">
        <v>0</v>
      </c>
      <c r="DS235" s="278">
        <v>0</v>
      </c>
      <c r="DT235" s="257">
        <v>0</v>
      </c>
      <c r="DU235" s="278" t="s">
        <v>964</v>
      </c>
      <c r="DV235" s="278">
        <v>1</v>
      </c>
      <c r="DW235" s="278">
        <v>1</v>
      </c>
      <c r="DX235" s="278">
        <v>1</v>
      </c>
      <c r="DY235" s="278">
        <v>0</v>
      </c>
      <c r="DZ235" s="257">
        <v>0</v>
      </c>
      <c r="EA235" s="278">
        <v>0</v>
      </c>
      <c r="EB235" s="278">
        <v>1</v>
      </c>
      <c r="EC235" s="278">
        <v>1</v>
      </c>
      <c r="ED235" s="278">
        <v>0</v>
      </c>
      <c r="EE235" s="278">
        <v>0</v>
      </c>
      <c r="EF235" s="257">
        <v>1</v>
      </c>
      <c r="EG235" s="278">
        <v>0</v>
      </c>
      <c r="EH235" s="257">
        <v>0</v>
      </c>
      <c r="EI235" s="258">
        <v>0</v>
      </c>
      <c r="EJ235" s="256"/>
      <c r="EK235" t="str">
        <f>IF(AND(AND(AND(OR($DX235=1,$DW235=1),OR($EC235=1,$EA235=1)),SUM($DV235:$DZ235,$EF235)&gt;=4),SUM($EA235:$EE235)&gt;=2),"Whole sector","")</f>
        <v>Whole sector</v>
      </c>
      <c r="EL235" t="str">
        <f>IF(AND(AND(OR($DX235=1,$DW235=1),AND($EC235=0,$EA235=0)),SUM($DV235:$DZ235,$EF235)&gt;=4),"Ecosystem approach","")</f>
        <v/>
      </c>
      <c r="EM235" s="258" t="s">
        <v>545</v>
      </c>
      <c r="EN235" s="257" t="s">
        <v>237</v>
      </c>
      <c r="EO235" s="257"/>
      <c r="EP235" t="str">
        <f>IF(ISNUMBER(BU235),IF(ABS(BU235-[3]QC_indicators!$B$2)&gt;3*[3]QC_indicators!$C$2,"C ratio",IF(ISNUMBER(BY235),IF(ABS(BY235-[3]QC_indicators!$B$1)&gt;3*[3]QC_indicators!$C$1,"DF","no"))),IF(ISNUMBER(BY235),IF(ABS(BY235-[3]QC_indicators!$B$1)&gt;3*[3]QC_indicators!$C$1,"DF","no")))</f>
        <v>no</v>
      </c>
      <c r="EQ235" s="282"/>
      <c r="ER235" s="282"/>
      <c r="ES235" s="282"/>
      <c r="ET235"/>
      <c r="EU235"/>
    </row>
    <row r="236" spans="1:151" s="139" customFormat="1" ht="15" hidden="1" customHeight="1">
      <c r="A236" s="256" t="s">
        <v>215</v>
      </c>
      <c r="B236" s="257" t="s">
        <v>216</v>
      </c>
      <c r="C236" s="257" t="s">
        <v>217</v>
      </c>
      <c r="D236" s="257" t="s">
        <v>218</v>
      </c>
      <c r="E236" s="257" t="s">
        <v>219</v>
      </c>
      <c r="F236" s="257" t="s">
        <v>220</v>
      </c>
      <c r="G236" s="257" t="s">
        <v>221</v>
      </c>
      <c r="H236" s="257"/>
      <c r="I236" s="257">
        <v>2012</v>
      </c>
      <c r="J236" s="257"/>
      <c r="K236" s="257" t="s">
        <v>222</v>
      </c>
      <c r="L236" s="257"/>
      <c r="M236" s="257" t="s">
        <v>3072</v>
      </c>
      <c r="N236" s="257" t="s">
        <v>223</v>
      </c>
      <c r="O236" s="277" t="s">
        <v>224</v>
      </c>
      <c r="P236" s="257"/>
      <c r="Q236" s="257" t="s">
        <v>225</v>
      </c>
      <c r="R236" s="258" t="s">
        <v>226</v>
      </c>
      <c r="S236" s="256" t="s">
        <v>227</v>
      </c>
      <c r="T236" s="257" t="s">
        <v>229</v>
      </c>
      <c r="U236" s="257" t="s">
        <v>238</v>
      </c>
      <c r="V236" s="257">
        <v>0</v>
      </c>
      <c r="W236" s="257">
        <v>0</v>
      </c>
      <c r="X236" s="257">
        <v>0</v>
      </c>
      <c r="Y236" s="257">
        <v>1</v>
      </c>
      <c r="Z236" s="257">
        <v>0</v>
      </c>
      <c r="AA236" s="257">
        <v>0</v>
      </c>
      <c r="AB236" s="257">
        <v>0</v>
      </c>
      <c r="AC236" s="257">
        <v>0</v>
      </c>
      <c r="AD236" s="257">
        <v>0</v>
      </c>
      <c r="AE236" s="257">
        <v>0</v>
      </c>
      <c r="AF236" s="257">
        <v>0</v>
      </c>
      <c r="AG236" s="257">
        <v>0</v>
      </c>
      <c r="AH236" s="257">
        <v>0</v>
      </c>
      <c r="AI236" s="257">
        <v>0</v>
      </c>
      <c r="AJ236" s="257">
        <v>0</v>
      </c>
      <c r="AK236" s="257">
        <v>0</v>
      </c>
      <c r="AL236" s="257">
        <v>0</v>
      </c>
      <c r="AM236" s="257">
        <v>0</v>
      </c>
      <c r="AN236" s="257">
        <v>0</v>
      </c>
      <c r="AO236" s="257">
        <v>0</v>
      </c>
      <c r="AP236" s="257">
        <v>0</v>
      </c>
      <c r="AQ236" s="257">
        <v>0</v>
      </c>
      <c r="AR236" s="257">
        <v>0</v>
      </c>
      <c r="AS236" s="257">
        <v>0</v>
      </c>
      <c r="AT236" s="257">
        <v>0</v>
      </c>
      <c r="AU236" s="257">
        <v>0</v>
      </c>
      <c r="AV236" s="257">
        <v>0</v>
      </c>
      <c r="AW236" s="257">
        <v>0</v>
      </c>
      <c r="AX236" s="279">
        <v>1</v>
      </c>
      <c r="AY236" s="279">
        <v>1</v>
      </c>
      <c r="AZ236" s="257">
        <v>1</v>
      </c>
      <c r="BA236" s="257">
        <v>0</v>
      </c>
      <c r="BB236" s="257">
        <v>0</v>
      </c>
      <c r="BC236" s="257">
        <v>0</v>
      </c>
      <c r="BD236" s="257">
        <v>0</v>
      </c>
      <c r="BE236" s="257" t="s">
        <v>92</v>
      </c>
      <c r="BF236" s="2" t="str" cm="1">
        <f t="array" ref="BF236">IF(COUNTIF(AZ236:BB236,"&lt;&gt;0")=1,INDEX($V$4:$AW$4,MATCH(TRUE,INDEX($V236:$AW236&lt;&gt;0,),0)),IF(COUNTIF(AZ236:BB236,"&lt;&gt;0")=0,INDEX($AM$4:$AW$4,MATCH(1,$AM236:$AW236,0)),"Multiple strategies"))</f>
        <v>SilvicultureRemov</v>
      </c>
      <c r="BG236" s="280" t="s">
        <v>230</v>
      </c>
      <c r="BH236" s="257" t="s">
        <v>231</v>
      </c>
      <c r="BI236" s="281" t="s">
        <v>3073</v>
      </c>
      <c r="BJ236" s="278" t="s">
        <v>232</v>
      </c>
      <c r="BK236" s="257">
        <v>66.639750489999997</v>
      </c>
      <c r="BL236" s="257">
        <v>68.641374010000007</v>
      </c>
      <c r="BM236" s="278">
        <v>1.0300364798079544</v>
      </c>
      <c r="BN236" s="257">
        <v>2.0016235200000096</v>
      </c>
      <c r="BO236" s="278">
        <v>4.0849459591836936</v>
      </c>
      <c r="BP236" s="278" t="s">
        <v>233</v>
      </c>
      <c r="BQ236" s="312" t="s">
        <v>3073</v>
      </c>
      <c r="BR236" s="278" t="s">
        <v>234</v>
      </c>
      <c r="BS236" s="257">
        <v>-9.4136546180000007</v>
      </c>
      <c r="BT236" s="257">
        <v>-8.9317269079999999</v>
      </c>
      <c r="BU236" s="259">
        <v>0.94880546083786643</v>
      </c>
      <c r="BV236" s="257">
        <v>0.48192771000000079</v>
      </c>
      <c r="BW236" s="257"/>
      <c r="BX236" s="257">
        <v>4.8192771000000079E-4</v>
      </c>
      <c r="BY236" s="257">
        <v>1.1797652032985664E-4</v>
      </c>
      <c r="BZ236" s="257">
        <v>0</v>
      </c>
      <c r="CA236" s="257">
        <v>0</v>
      </c>
      <c r="CB236" s="257">
        <v>0</v>
      </c>
      <c r="CC236" s="257">
        <v>0</v>
      </c>
      <c r="CD236" s="257">
        <v>0</v>
      </c>
      <c r="CE236" s="257">
        <v>0</v>
      </c>
      <c r="CF236" s="257">
        <v>0</v>
      </c>
      <c r="CG236" s="257">
        <v>0</v>
      </c>
      <c r="CH236" s="257">
        <v>0</v>
      </c>
      <c r="CI236" s="257">
        <v>0</v>
      </c>
      <c r="CJ236" s="257">
        <v>0</v>
      </c>
      <c r="CK236" s="257">
        <v>0</v>
      </c>
      <c r="CL236" s="257">
        <v>0</v>
      </c>
      <c r="CM236" s="257">
        <v>0</v>
      </c>
      <c r="CN236" s="257" t="s">
        <v>3074</v>
      </c>
      <c r="CO236" s="257">
        <v>66.639750489999997</v>
      </c>
      <c r="CP236" s="257">
        <v>68.641374010000007</v>
      </c>
      <c r="CQ236" s="257">
        <v>4.0849459591836936</v>
      </c>
      <c r="CR236" s="257">
        <v>-9.4136546180000007</v>
      </c>
      <c r="CS236" s="257">
        <v>-8.9317269079999999</v>
      </c>
      <c r="CT236" s="257">
        <v>4.8192771000000079E-4</v>
      </c>
      <c r="CU236" s="257">
        <v>1.1797652032985664E-4</v>
      </c>
      <c r="CV236" s="258">
        <v>5.1194539162133595E-2</v>
      </c>
      <c r="CW236" s="256" t="s">
        <v>235</v>
      </c>
      <c r="CX236" s="257" t="s">
        <v>3075</v>
      </c>
      <c r="CY236" s="257" t="s">
        <v>236</v>
      </c>
      <c r="CZ236" s="257"/>
      <c r="DA236" s="278"/>
      <c r="DB236" s="278">
        <v>80</v>
      </c>
      <c r="DC236" s="257" t="s">
        <v>3076</v>
      </c>
      <c r="DD236" s="257">
        <v>0</v>
      </c>
      <c r="DE236" s="257">
        <v>1</v>
      </c>
      <c r="DF236" s="257">
        <v>0</v>
      </c>
      <c r="DG236" s="257">
        <v>0</v>
      </c>
      <c r="DH236" s="257"/>
      <c r="DI236" s="257">
        <v>1</v>
      </c>
      <c r="DJ236" s="257" t="s">
        <v>174</v>
      </c>
      <c r="DK236" s="257">
        <v>0</v>
      </c>
      <c r="DL236" s="257" t="s">
        <v>181</v>
      </c>
      <c r="DM236" s="257">
        <v>0</v>
      </c>
      <c r="DN236" s="257">
        <v>0</v>
      </c>
      <c r="DO236" s="257">
        <v>0</v>
      </c>
      <c r="DP236" s="278">
        <v>0</v>
      </c>
      <c r="DQ236" s="278">
        <v>0</v>
      </c>
      <c r="DR236" s="278">
        <v>0</v>
      </c>
      <c r="DS236" s="278">
        <v>0</v>
      </c>
      <c r="DT236" s="257">
        <v>0</v>
      </c>
      <c r="DU236" s="278" t="s">
        <v>964</v>
      </c>
      <c r="DV236" s="278">
        <v>1</v>
      </c>
      <c r="DW236" s="278">
        <v>1</v>
      </c>
      <c r="DX236" s="278">
        <v>1</v>
      </c>
      <c r="DY236" s="278">
        <v>0</v>
      </c>
      <c r="DZ236" s="257">
        <v>0</v>
      </c>
      <c r="EA236" s="278">
        <v>0</v>
      </c>
      <c r="EB236" s="278">
        <v>1</v>
      </c>
      <c r="EC236" s="278">
        <v>1</v>
      </c>
      <c r="ED236" s="278">
        <v>0</v>
      </c>
      <c r="EE236" s="278">
        <v>0</v>
      </c>
      <c r="EF236" s="257">
        <v>1</v>
      </c>
      <c r="EG236" s="278">
        <v>0</v>
      </c>
      <c r="EH236" s="257">
        <v>0</v>
      </c>
      <c r="EI236" s="258">
        <v>0</v>
      </c>
      <c r="EJ236" s="256"/>
      <c r="EK236" t="str">
        <f>IF(AND(AND(AND(OR($DX236=1,$DW236=1),OR($EC236=1,$EA236=1)),SUM($DV236:$DZ236,$EF236)&gt;=4),SUM($EA236:$EE236)&gt;=2),"Whole sector","")</f>
        <v>Whole sector</v>
      </c>
      <c r="EL236" t="str">
        <f>IF(AND(AND(OR($DX236=1,$DW236=1),AND($EC236=0,$EA236=0)),SUM($DV236:$DZ236,$EF236)&gt;=4),"Ecosystem approach","")</f>
        <v/>
      </c>
      <c r="EM236" s="258" t="s">
        <v>545</v>
      </c>
      <c r="EN236" s="257" t="s">
        <v>237</v>
      </c>
      <c r="EO236" s="257"/>
      <c r="EP236" t="str">
        <f>IF(ISNUMBER(BU236),IF(ABS(BU236-[3]QC_indicators!$B$2)&gt;3*[3]QC_indicators!$C$2,"C ratio",IF(ISNUMBER(BY236),IF(ABS(BY236-[3]QC_indicators!$B$1)&gt;3*[3]QC_indicators!$C$1,"DF","no"))),IF(ISNUMBER(BY236),IF(ABS(BY236-[3]QC_indicators!$B$1)&gt;3*[3]QC_indicators!$C$1,"DF","no")))</f>
        <v>no</v>
      </c>
      <c r="EQ236" s="282"/>
      <c r="ER236" s="282"/>
      <c r="ES236" s="282"/>
      <c r="ET236"/>
      <c r="EU236"/>
    </row>
    <row r="237" spans="1:151" s="139" customFormat="1" ht="15" hidden="1" customHeight="1">
      <c r="A237" s="256" t="s">
        <v>215</v>
      </c>
      <c r="B237" s="257" t="s">
        <v>216</v>
      </c>
      <c r="C237" s="257" t="s">
        <v>217</v>
      </c>
      <c r="D237" s="257" t="s">
        <v>218</v>
      </c>
      <c r="E237" s="257" t="s">
        <v>219</v>
      </c>
      <c r="F237" s="257" t="s">
        <v>220</v>
      </c>
      <c r="G237" s="257" t="s">
        <v>221</v>
      </c>
      <c r="H237" s="257"/>
      <c r="I237" s="257">
        <v>2012</v>
      </c>
      <c r="J237" s="257"/>
      <c r="K237" s="257" t="s">
        <v>222</v>
      </c>
      <c r="L237" s="257"/>
      <c r="M237" s="257" t="s">
        <v>3072</v>
      </c>
      <c r="N237" s="257" t="s">
        <v>223</v>
      </c>
      <c r="O237" s="277" t="s">
        <v>224</v>
      </c>
      <c r="P237" s="257"/>
      <c r="Q237" s="257" t="s">
        <v>225</v>
      </c>
      <c r="R237" s="258" t="s">
        <v>226</v>
      </c>
      <c r="S237" s="256" t="s">
        <v>242</v>
      </c>
      <c r="T237" s="257" t="s">
        <v>245</v>
      </c>
      <c r="U237" s="278" t="s">
        <v>243</v>
      </c>
      <c r="V237" s="257">
        <v>0</v>
      </c>
      <c r="W237" s="257">
        <v>0</v>
      </c>
      <c r="X237" s="257">
        <v>0</v>
      </c>
      <c r="Y237" s="257">
        <v>0</v>
      </c>
      <c r="Z237" s="257">
        <v>0</v>
      </c>
      <c r="AA237" s="257">
        <v>0</v>
      </c>
      <c r="AB237" s="257">
        <v>0</v>
      </c>
      <c r="AC237" s="257">
        <v>1</v>
      </c>
      <c r="AD237" s="257">
        <v>0</v>
      </c>
      <c r="AE237" s="257">
        <v>0</v>
      </c>
      <c r="AF237" s="257">
        <v>0</v>
      </c>
      <c r="AG237" s="257">
        <v>0</v>
      </c>
      <c r="AH237" s="257">
        <v>0</v>
      </c>
      <c r="AI237" s="257">
        <v>0</v>
      </c>
      <c r="AJ237" s="257">
        <v>0</v>
      </c>
      <c r="AK237" s="257">
        <v>0</v>
      </c>
      <c r="AL237" s="257">
        <v>0</v>
      </c>
      <c r="AM237" s="257">
        <v>0</v>
      </c>
      <c r="AN237" s="257">
        <v>0</v>
      </c>
      <c r="AO237" s="257">
        <v>0</v>
      </c>
      <c r="AP237" s="257">
        <v>0</v>
      </c>
      <c r="AQ237" s="257">
        <v>0</v>
      </c>
      <c r="AR237" s="257">
        <v>0</v>
      </c>
      <c r="AS237" s="257">
        <v>0</v>
      </c>
      <c r="AT237" s="257">
        <v>0</v>
      </c>
      <c r="AU237" s="257">
        <v>0</v>
      </c>
      <c r="AV237" s="257">
        <v>0</v>
      </c>
      <c r="AW237" s="257">
        <v>0</v>
      </c>
      <c r="AX237" s="279">
        <v>1</v>
      </c>
      <c r="AY237" s="279">
        <v>1</v>
      </c>
      <c r="AZ237" s="257">
        <v>1</v>
      </c>
      <c r="BA237" s="257">
        <v>0</v>
      </c>
      <c r="BB237" s="257">
        <v>0</v>
      </c>
      <c r="BC237" s="257">
        <v>0</v>
      </c>
      <c r="BD237" s="257">
        <v>0</v>
      </c>
      <c r="BE237" s="257" t="s">
        <v>96</v>
      </c>
      <c r="BF237" s="2" t="str" cm="1">
        <f t="array" ref="BF237">IF(COUNTIF(AZ237:BB237,"&lt;&gt;0")=1,INDEX($V$4:$AW$4,MATCH(TRUE,INDEX($V237:$AW237&lt;&gt;0,),0)),IF(COUNTIF(AZ237:BB237,"&lt;&gt;0")=0,INDEX($AM$4:$AW$4,MATCH(1,$AM237:$AW237,0)),"Multiple strategies"))</f>
        <v>SilvicultureProd</v>
      </c>
      <c r="BG237" s="280" t="s">
        <v>230</v>
      </c>
      <c r="BH237" s="257" t="s">
        <v>231</v>
      </c>
      <c r="BI237" s="281" t="s">
        <v>3073</v>
      </c>
      <c r="BJ237" s="278" t="s">
        <v>232</v>
      </c>
      <c r="BK237" s="257">
        <v>54.398789616180899</v>
      </c>
      <c r="BL237" s="257">
        <v>68.641374006664904</v>
      </c>
      <c r="BM237" s="278">
        <v>1.2618180384338469</v>
      </c>
      <c r="BN237" s="257">
        <v>14.242584390484005</v>
      </c>
      <c r="BO237" s="278">
        <v>29.066498756089807</v>
      </c>
      <c r="BP237" s="278" t="s">
        <v>233</v>
      </c>
      <c r="BQ237" s="312" t="s">
        <v>3073</v>
      </c>
      <c r="BR237" s="278" t="s">
        <v>234</v>
      </c>
      <c r="BS237" s="257">
        <v>-9.1923873228220998</v>
      </c>
      <c r="BT237" s="257">
        <v>-8.9317269076305195</v>
      </c>
      <c r="BU237" s="259">
        <v>0.97164388248258049</v>
      </c>
      <c r="BV237" s="257">
        <v>0.26066041519158034</v>
      </c>
      <c r="BW237" s="257"/>
      <c r="BX237" s="257">
        <v>2.6066041519158035E-4</v>
      </c>
      <c r="BY237" s="257">
        <v>8.9677266387981676E-6</v>
      </c>
      <c r="BZ237" s="257">
        <v>0</v>
      </c>
      <c r="CA237" s="257">
        <v>0</v>
      </c>
      <c r="CB237" s="257">
        <v>0</v>
      </c>
      <c r="CC237" s="257">
        <v>0</v>
      </c>
      <c r="CD237" s="257">
        <v>0</v>
      </c>
      <c r="CE237" s="257">
        <v>0</v>
      </c>
      <c r="CF237" s="257">
        <v>0</v>
      </c>
      <c r="CG237" s="257">
        <v>0</v>
      </c>
      <c r="CH237" s="257">
        <v>0</v>
      </c>
      <c r="CI237" s="257">
        <v>0</v>
      </c>
      <c r="CJ237" s="257">
        <v>0</v>
      </c>
      <c r="CK237" s="257">
        <v>0</v>
      </c>
      <c r="CL237" s="257">
        <v>0</v>
      </c>
      <c r="CM237" s="257">
        <v>0</v>
      </c>
      <c r="CN237" s="257" t="s">
        <v>3074</v>
      </c>
      <c r="CO237" s="257">
        <v>54.398789616180899</v>
      </c>
      <c r="CP237" s="257">
        <v>68.641374006664904</v>
      </c>
      <c r="CQ237" s="257">
        <v>29.066498756089807</v>
      </c>
      <c r="CR237" s="257">
        <v>-9.1923873228220998</v>
      </c>
      <c r="CS237" s="257">
        <v>-8.9317269076305195</v>
      </c>
      <c r="CT237" s="257">
        <v>2.6066041519158035E-4</v>
      </c>
      <c r="CU237" s="257">
        <v>8.9677266387981676E-6</v>
      </c>
      <c r="CV237" s="258">
        <v>2.8356117517419462E-2</v>
      </c>
      <c r="CW237" s="256" t="s">
        <v>235</v>
      </c>
      <c r="CX237" s="257" t="s">
        <v>3075</v>
      </c>
      <c r="CY237" s="257" t="s">
        <v>236</v>
      </c>
      <c r="CZ237" s="257"/>
      <c r="DA237" s="278"/>
      <c r="DB237" s="278">
        <v>80</v>
      </c>
      <c r="DC237" s="257" t="s">
        <v>3076</v>
      </c>
      <c r="DD237" s="257">
        <v>0</v>
      </c>
      <c r="DE237" s="257">
        <v>1</v>
      </c>
      <c r="DF237" s="257">
        <v>0</v>
      </c>
      <c r="DG237" s="257">
        <v>0</v>
      </c>
      <c r="DH237" s="257"/>
      <c r="DI237" s="257">
        <v>1</v>
      </c>
      <c r="DJ237" s="257" t="s">
        <v>174</v>
      </c>
      <c r="DK237" s="257">
        <v>0</v>
      </c>
      <c r="DL237" s="257" t="s">
        <v>181</v>
      </c>
      <c r="DM237" s="257">
        <v>0</v>
      </c>
      <c r="DN237" s="257">
        <v>0</v>
      </c>
      <c r="DO237" s="257">
        <v>0</v>
      </c>
      <c r="DP237" s="278">
        <v>0</v>
      </c>
      <c r="DQ237" s="278">
        <v>0</v>
      </c>
      <c r="DR237" s="278">
        <v>0</v>
      </c>
      <c r="DS237" s="278">
        <v>0</v>
      </c>
      <c r="DT237" s="257">
        <v>0</v>
      </c>
      <c r="DU237" s="278" t="s">
        <v>964</v>
      </c>
      <c r="DV237" s="278">
        <v>1</v>
      </c>
      <c r="DW237" s="278">
        <v>1</v>
      </c>
      <c r="DX237" s="278">
        <v>1</v>
      </c>
      <c r="DY237" s="278">
        <v>0</v>
      </c>
      <c r="DZ237" s="257">
        <v>0</v>
      </c>
      <c r="EA237" s="278">
        <v>0</v>
      </c>
      <c r="EB237" s="278">
        <v>1</v>
      </c>
      <c r="EC237" s="278">
        <v>1</v>
      </c>
      <c r="ED237" s="278">
        <v>0</v>
      </c>
      <c r="EE237" s="278">
        <v>0</v>
      </c>
      <c r="EF237" s="257">
        <v>1</v>
      </c>
      <c r="EG237" s="278">
        <v>0</v>
      </c>
      <c r="EH237" s="257">
        <v>0</v>
      </c>
      <c r="EI237" s="258">
        <v>0</v>
      </c>
      <c r="EJ237" s="256"/>
      <c r="EK237" t="str">
        <f>IF(AND(AND(AND(OR($DX237=1,$DW237=1),OR($EC237=1,$EA237=1)),SUM($DV237:$DZ237,$EF237)&gt;=4),SUM($EA237:$EE237)&gt;=2),"Whole sector","")</f>
        <v>Whole sector</v>
      </c>
      <c r="EL237" t="str">
        <f>IF(AND(AND(OR($DX237=1,$DW237=1),AND($EC237=0,$EA237=0)),SUM($DV237:$DZ237,$EF237)&gt;=4),"Ecosystem approach","")</f>
        <v/>
      </c>
      <c r="EM237" s="258" t="s">
        <v>545</v>
      </c>
      <c r="EN237" s="257" t="s">
        <v>237</v>
      </c>
      <c r="EO237" s="257"/>
      <c r="EP237" t="str">
        <f>IF(ISNUMBER(BU237),IF(ABS(BU237-[3]QC_indicators!$B$2)&gt;3*[3]QC_indicators!$C$2,"C ratio",IF(ISNUMBER(BY237),IF(ABS(BY237-[3]QC_indicators!$B$1)&gt;3*[3]QC_indicators!$C$1,"DF","no"))),IF(ISNUMBER(BY237),IF(ABS(BY237-[3]QC_indicators!$B$1)&gt;3*[3]QC_indicators!$C$1,"DF","no")))</f>
        <v>no</v>
      </c>
      <c r="EQ237"/>
      <c r="ER237"/>
      <c r="ES237"/>
      <c r="ET237"/>
      <c r="EU237"/>
    </row>
    <row r="238" spans="1:151" s="139" customFormat="1" ht="15" hidden="1" customHeight="1">
      <c r="A238" s="256" t="s">
        <v>215</v>
      </c>
      <c r="B238" s="257" t="s">
        <v>216</v>
      </c>
      <c r="C238" s="257" t="s">
        <v>217</v>
      </c>
      <c r="D238" s="257" t="s">
        <v>218</v>
      </c>
      <c r="E238" s="257" t="s">
        <v>219</v>
      </c>
      <c r="F238" s="257" t="s">
        <v>220</v>
      </c>
      <c r="G238" s="257" t="s">
        <v>221</v>
      </c>
      <c r="H238" s="257"/>
      <c r="I238" s="257">
        <v>2012</v>
      </c>
      <c r="J238" s="257"/>
      <c r="K238" s="257" t="s">
        <v>222</v>
      </c>
      <c r="L238" s="257"/>
      <c r="M238" s="257" t="s">
        <v>3072</v>
      </c>
      <c r="N238" s="257" t="s">
        <v>223</v>
      </c>
      <c r="O238" s="277" t="s">
        <v>224</v>
      </c>
      <c r="P238" s="257"/>
      <c r="Q238" s="257" t="s">
        <v>225</v>
      </c>
      <c r="R238" s="258" t="s">
        <v>226</v>
      </c>
      <c r="S238" s="256" t="s">
        <v>242</v>
      </c>
      <c r="T238" s="257" t="s">
        <v>245</v>
      </c>
      <c r="U238" s="278" t="s">
        <v>243</v>
      </c>
      <c r="V238" s="257">
        <v>0</v>
      </c>
      <c r="W238" s="257">
        <v>0</v>
      </c>
      <c r="X238" s="257">
        <v>0</v>
      </c>
      <c r="Y238" s="257">
        <v>0</v>
      </c>
      <c r="Z238" s="257">
        <v>0</v>
      </c>
      <c r="AA238" s="257">
        <v>0</v>
      </c>
      <c r="AB238" s="257">
        <v>0</v>
      </c>
      <c r="AC238" s="257">
        <v>1</v>
      </c>
      <c r="AD238" s="257">
        <v>0</v>
      </c>
      <c r="AE238" s="257">
        <v>0</v>
      </c>
      <c r="AF238" s="257">
        <v>0</v>
      </c>
      <c r="AG238" s="257">
        <v>0</v>
      </c>
      <c r="AH238" s="257">
        <v>0</v>
      </c>
      <c r="AI238" s="257">
        <v>0</v>
      </c>
      <c r="AJ238" s="257">
        <v>0</v>
      </c>
      <c r="AK238" s="257">
        <v>0</v>
      </c>
      <c r="AL238" s="257">
        <v>0</v>
      </c>
      <c r="AM238" s="257">
        <v>0</v>
      </c>
      <c r="AN238" s="257">
        <v>0</v>
      </c>
      <c r="AO238" s="257">
        <v>0</v>
      </c>
      <c r="AP238" s="257">
        <v>0</v>
      </c>
      <c r="AQ238" s="257">
        <v>0</v>
      </c>
      <c r="AR238" s="257">
        <v>0</v>
      </c>
      <c r="AS238" s="257">
        <v>0</v>
      </c>
      <c r="AT238" s="257">
        <v>0</v>
      </c>
      <c r="AU238" s="257">
        <v>0</v>
      </c>
      <c r="AV238" s="257">
        <v>0</v>
      </c>
      <c r="AW238" s="257">
        <v>0</v>
      </c>
      <c r="AX238" s="279">
        <v>1</v>
      </c>
      <c r="AY238" s="279">
        <v>1</v>
      </c>
      <c r="AZ238" s="257">
        <v>1</v>
      </c>
      <c r="BA238" s="257">
        <v>0</v>
      </c>
      <c r="BB238" s="257">
        <v>0</v>
      </c>
      <c r="BC238" s="257">
        <v>0</v>
      </c>
      <c r="BD238" s="257">
        <v>0</v>
      </c>
      <c r="BE238" s="257" t="s">
        <v>96</v>
      </c>
      <c r="BF238" s="2" t="str" cm="1">
        <f t="array" ref="BF238">IF(COUNTIF(AZ238:BB238,"&lt;&gt;0")=1,INDEX($V$4:$AW$4,MATCH(TRUE,INDEX($V238:$AW238&lt;&gt;0,),0)),IF(COUNTIF(AZ238:BB238,"&lt;&gt;0")=0,INDEX($AM$4:$AW$4,MATCH(1,$AM238:$AW238,0)),"Multiple strategies"))</f>
        <v>SilvicultureProd</v>
      </c>
      <c r="BG238" s="280" t="s">
        <v>230</v>
      </c>
      <c r="BH238" s="257" t="s">
        <v>231</v>
      </c>
      <c r="BI238" s="281" t="s">
        <v>3073</v>
      </c>
      <c r="BJ238" s="278" t="s">
        <v>232</v>
      </c>
      <c r="BK238" s="257">
        <v>56.739926739926702</v>
      </c>
      <c r="BL238" s="257">
        <v>66.639750491326893</v>
      </c>
      <c r="BM238" s="278">
        <v>1.1744772036237736</v>
      </c>
      <c r="BN238" s="257">
        <v>9.8998237514001914</v>
      </c>
      <c r="BO238" s="278">
        <v>20.203721941633045</v>
      </c>
      <c r="BP238" s="278" t="s">
        <v>233</v>
      </c>
      <c r="BQ238" s="312" t="s">
        <v>3073</v>
      </c>
      <c r="BR238" s="278" t="s">
        <v>234</v>
      </c>
      <c r="BS238" s="257">
        <v>-9.5324096193661401</v>
      </c>
      <c r="BT238" s="257">
        <v>-9.4136546184738901</v>
      </c>
      <c r="BU238" s="259">
        <v>0.98754197462822135</v>
      </c>
      <c r="BV238" s="257">
        <v>0.11875500089225</v>
      </c>
      <c r="BW238" s="257"/>
      <c r="BX238" s="257">
        <v>1.1875500089224999E-4</v>
      </c>
      <c r="BY238" s="257">
        <v>5.8778774146329967E-6</v>
      </c>
      <c r="BZ238" s="257">
        <v>0</v>
      </c>
      <c r="CA238" s="257">
        <v>0</v>
      </c>
      <c r="CB238" s="257">
        <v>0</v>
      </c>
      <c r="CC238" s="257">
        <v>0</v>
      </c>
      <c r="CD238" s="257">
        <v>0</v>
      </c>
      <c r="CE238" s="257">
        <v>0</v>
      </c>
      <c r="CF238" s="257">
        <v>0</v>
      </c>
      <c r="CG238" s="257">
        <v>0</v>
      </c>
      <c r="CH238" s="257">
        <v>0</v>
      </c>
      <c r="CI238" s="257">
        <v>0</v>
      </c>
      <c r="CJ238" s="257">
        <v>0</v>
      </c>
      <c r="CK238" s="257">
        <v>0</v>
      </c>
      <c r="CL238" s="257">
        <v>0</v>
      </c>
      <c r="CM238" s="257">
        <v>0</v>
      </c>
      <c r="CN238" s="257" t="s">
        <v>3074</v>
      </c>
      <c r="CO238" s="257">
        <v>56.739926739926702</v>
      </c>
      <c r="CP238" s="257">
        <v>66.639750491326893</v>
      </c>
      <c r="CQ238" s="257">
        <v>20.203721941633045</v>
      </c>
      <c r="CR238" s="257">
        <v>-9.5324096193661401</v>
      </c>
      <c r="CS238" s="257">
        <v>-9.4136546184738901</v>
      </c>
      <c r="CT238" s="257">
        <v>1.1875500089224999E-4</v>
      </c>
      <c r="CU238" s="257">
        <v>5.8778774146329967E-6</v>
      </c>
      <c r="CV238" s="258">
        <v>1.2458025371778625E-2</v>
      </c>
      <c r="CW238" s="256" t="s">
        <v>235</v>
      </c>
      <c r="CX238" s="257" t="s">
        <v>3075</v>
      </c>
      <c r="CY238" s="257" t="s">
        <v>236</v>
      </c>
      <c r="CZ238" s="257"/>
      <c r="DA238" s="278"/>
      <c r="DB238" s="278">
        <v>80</v>
      </c>
      <c r="DC238" s="257" t="s">
        <v>3076</v>
      </c>
      <c r="DD238" s="257">
        <v>0</v>
      </c>
      <c r="DE238" s="257">
        <v>1</v>
      </c>
      <c r="DF238" s="257">
        <v>0</v>
      </c>
      <c r="DG238" s="257">
        <v>0</v>
      </c>
      <c r="DH238" s="257"/>
      <c r="DI238" s="257">
        <v>1</v>
      </c>
      <c r="DJ238" s="257" t="s">
        <v>174</v>
      </c>
      <c r="DK238" s="257">
        <v>0</v>
      </c>
      <c r="DL238" s="257" t="s">
        <v>181</v>
      </c>
      <c r="DM238" s="257">
        <v>0</v>
      </c>
      <c r="DN238" s="257">
        <v>0</v>
      </c>
      <c r="DO238" s="257">
        <v>0</v>
      </c>
      <c r="DP238" s="278">
        <v>0</v>
      </c>
      <c r="DQ238" s="278">
        <v>0</v>
      </c>
      <c r="DR238" s="278">
        <v>0</v>
      </c>
      <c r="DS238" s="278">
        <v>0</v>
      </c>
      <c r="DT238" s="257">
        <v>0</v>
      </c>
      <c r="DU238" s="278" t="s">
        <v>964</v>
      </c>
      <c r="DV238" s="278">
        <v>1</v>
      </c>
      <c r="DW238" s="278">
        <v>1</v>
      </c>
      <c r="DX238" s="278">
        <v>1</v>
      </c>
      <c r="DY238" s="278">
        <v>0</v>
      </c>
      <c r="DZ238" s="257">
        <v>0</v>
      </c>
      <c r="EA238" s="278">
        <v>0</v>
      </c>
      <c r="EB238" s="278">
        <v>1</v>
      </c>
      <c r="EC238" s="278">
        <v>1</v>
      </c>
      <c r="ED238" s="278">
        <v>0</v>
      </c>
      <c r="EE238" s="278">
        <v>0</v>
      </c>
      <c r="EF238" s="257">
        <v>1</v>
      </c>
      <c r="EG238" s="278">
        <v>0</v>
      </c>
      <c r="EH238" s="257">
        <v>0</v>
      </c>
      <c r="EI238" s="258">
        <v>0</v>
      </c>
      <c r="EJ238" s="256"/>
      <c r="EK238" t="str">
        <f>IF(AND(AND(AND(OR($DX238=1,$DW238=1),OR($EC238=1,$EA238=1)),SUM($DV238:$DZ238,$EF238)&gt;=4),SUM($EA238:$EE238)&gt;=2),"Whole sector","")</f>
        <v>Whole sector</v>
      </c>
      <c r="EL238" t="str">
        <f>IF(AND(AND(OR($DX238=1,$DW238=1),AND($EC238=0,$EA238=0)),SUM($DV238:$DZ238,$EF238)&gt;=4),"Ecosystem approach","")</f>
        <v/>
      </c>
      <c r="EM238" s="258" t="s">
        <v>545</v>
      </c>
      <c r="EN238" s="257" t="s">
        <v>237</v>
      </c>
      <c r="EO238" s="257"/>
      <c r="EP238" t="str">
        <f>IF(ISNUMBER(BU238),IF(ABS(BU238-[3]QC_indicators!$B$2)&gt;3*[3]QC_indicators!$C$2,"C ratio",IF(ISNUMBER(BY238),IF(ABS(BY238-[3]QC_indicators!$B$1)&gt;3*[3]QC_indicators!$C$1,"DF","no"))),IF(ISNUMBER(BY238),IF(ABS(BY238-[3]QC_indicators!$B$1)&gt;3*[3]QC_indicators!$C$1,"DF","no")))</f>
        <v>no</v>
      </c>
      <c r="EQ238"/>
      <c r="ER238"/>
      <c r="ES238"/>
      <c r="ET238"/>
      <c r="EU238"/>
    </row>
    <row r="239" spans="1:151" s="139" customFormat="1" ht="15" hidden="1" customHeight="1">
      <c r="A239" s="256" t="s">
        <v>215</v>
      </c>
      <c r="B239" s="257" t="s">
        <v>216</v>
      </c>
      <c r="C239" s="257" t="s">
        <v>217</v>
      </c>
      <c r="D239" s="257" t="s">
        <v>218</v>
      </c>
      <c r="E239" s="257" t="s">
        <v>219</v>
      </c>
      <c r="F239" s="257" t="s">
        <v>220</v>
      </c>
      <c r="G239" s="257" t="s">
        <v>221</v>
      </c>
      <c r="H239" s="257"/>
      <c r="I239" s="257">
        <v>2012</v>
      </c>
      <c r="J239" s="257"/>
      <c r="K239" s="257" t="s">
        <v>222</v>
      </c>
      <c r="L239" s="257"/>
      <c r="M239" s="257" t="s">
        <v>3072</v>
      </c>
      <c r="N239" s="257" t="s">
        <v>223</v>
      </c>
      <c r="O239" s="277" t="s">
        <v>224</v>
      </c>
      <c r="P239" s="257"/>
      <c r="Q239" s="257" t="s">
        <v>225</v>
      </c>
      <c r="R239" s="258" t="s">
        <v>226</v>
      </c>
      <c r="S239" s="256" t="s">
        <v>227</v>
      </c>
      <c r="T239" s="257" t="s">
        <v>229</v>
      </c>
      <c r="U239" s="257" t="s">
        <v>240</v>
      </c>
      <c r="V239" s="257">
        <v>0</v>
      </c>
      <c r="W239" s="257">
        <v>0</v>
      </c>
      <c r="X239" s="257">
        <v>0</v>
      </c>
      <c r="Y239" s="257">
        <v>1</v>
      </c>
      <c r="Z239" s="257">
        <v>0</v>
      </c>
      <c r="AA239" s="257">
        <v>0</v>
      </c>
      <c r="AB239" s="257">
        <v>0</v>
      </c>
      <c r="AC239" s="257">
        <v>0</v>
      </c>
      <c r="AD239" s="257">
        <v>0</v>
      </c>
      <c r="AE239" s="257">
        <v>0</v>
      </c>
      <c r="AF239" s="257">
        <v>0</v>
      </c>
      <c r="AG239" s="257">
        <v>0</v>
      </c>
      <c r="AH239" s="257">
        <v>0</v>
      </c>
      <c r="AI239" s="257">
        <v>0</v>
      </c>
      <c r="AJ239" s="257">
        <v>0</v>
      </c>
      <c r="AK239" s="257">
        <v>0</v>
      </c>
      <c r="AL239" s="257">
        <v>0</v>
      </c>
      <c r="AM239" s="257">
        <v>0</v>
      </c>
      <c r="AN239" s="257">
        <v>0</v>
      </c>
      <c r="AO239" s="257">
        <v>0</v>
      </c>
      <c r="AP239" s="257">
        <v>0</v>
      </c>
      <c r="AQ239" s="257">
        <v>0</v>
      </c>
      <c r="AR239" s="257">
        <v>0</v>
      </c>
      <c r="AS239" s="257">
        <v>0</v>
      </c>
      <c r="AT239" s="257">
        <v>0</v>
      </c>
      <c r="AU239" s="257">
        <v>0</v>
      </c>
      <c r="AV239" s="257">
        <v>0</v>
      </c>
      <c r="AW239" s="257">
        <v>0</v>
      </c>
      <c r="AX239" s="279">
        <v>1</v>
      </c>
      <c r="AY239" s="279">
        <v>1</v>
      </c>
      <c r="AZ239" s="257">
        <v>1</v>
      </c>
      <c r="BA239" s="257">
        <v>0</v>
      </c>
      <c r="BB239" s="257">
        <v>0</v>
      </c>
      <c r="BC239" s="257">
        <v>0</v>
      </c>
      <c r="BD239" s="257">
        <v>0</v>
      </c>
      <c r="BE239" s="257" t="s">
        <v>92</v>
      </c>
      <c r="BF239" s="2" t="str" cm="1">
        <f t="array" ref="BF239">IF(COUNTIF(AZ239:BB239,"&lt;&gt;0")=1,INDEX($V$4:$AW$4,MATCH(TRUE,INDEX($V239:$AW239&lt;&gt;0,),0)),IF(COUNTIF(AZ239:BB239,"&lt;&gt;0")=0,INDEX($AM$4:$AW$4,MATCH(1,$AM239:$AW239,0)),"Multiple strategies"))</f>
        <v>SilvicultureRemov</v>
      </c>
      <c r="BG239" s="280" t="s">
        <v>230</v>
      </c>
      <c r="BH239" s="257" t="s">
        <v>231</v>
      </c>
      <c r="BI239" s="281" t="s">
        <v>3073</v>
      </c>
      <c r="BJ239" s="278" t="s">
        <v>232</v>
      </c>
      <c r="BK239" s="257">
        <v>49.052379729999998</v>
      </c>
      <c r="BL239" s="257">
        <v>66.639750489999997</v>
      </c>
      <c r="BM239" s="278">
        <v>0.73608288400420752</v>
      </c>
      <c r="BN239" s="257">
        <v>17.587370759999999</v>
      </c>
      <c r="BO239" s="278">
        <v>35.892593387755099</v>
      </c>
      <c r="BP239" s="278" t="s">
        <v>233</v>
      </c>
      <c r="BQ239" s="312" t="s">
        <v>3073</v>
      </c>
      <c r="BR239" s="278" t="s">
        <v>234</v>
      </c>
      <c r="BS239" s="257">
        <v>-9.7349397589999995</v>
      </c>
      <c r="BT239" s="257">
        <v>-9.4136546180000007</v>
      </c>
      <c r="BU239" s="259">
        <v>0.96699669962487755</v>
      </c>
      <c r="BV239" s="257">
        <v>0.32128514099999883</v>
      </c>
      <c r="BW239" s="257"/>
      <c r="BX239" s="257">
        <v>3.2128514099999882E-4</v>
      </c>
      <c r="BY239" s="257">
        <v>8.9512935866486184E-6</v>
      </c>
      <c r="BZ239" s="257">
        <v>0</v>
      </c>
      <c r="CA239" s="257">
        <v>0</v>
      </c>
      <c r="CB239" s="257">
        <v>0</v>
      </c>
      <c r="CC239" s="257">
        <v>0</v>
      </c>
      <c r="CD239" s="257">
        <v>0</v>
      </c>
      <c r="CE239" s="257">
        <v>0</v>
      </c>
      <c r="CF239" s="257">
        <v>0</v>
      </c>
      <c r="CG239" s="257">
        <v>0</v>
      </c>
      <c r="CH239" s="257">
        <v>0</v>
      </c>
      <c r="CI239" s="257">
        <v>0</v>
      </c>
      <c r="CJ239" s="257">
        <v>0</v>
      </c>
      <c r="CK239" s="257">
        <v>0</v>
      </c>
      <c r="CL239" s="257">
        <v>0</v>
      </c>
      <c r="CM239" s="257">
        <v>0</v>
      </c>
      <c r="CN239" s="257" t="s">
        <v>3074</v>
      </c>
      <c r="CO239" s="257">
        <v>49.052379729999998</v>
      </c>
      <c r="CP239" s="257">
        <v>66.639750489999997</v>
      </c>
      <c r="CQ239" s="257">
        <v>35.892593387755099</v>
      </c>
      <c r="CR239" s="257">
        <v>-9.7349397589999995</v>
      </c>
      <c r="CS239" s="257">
        <v>-9.4136546180000007</v>
      </c>
      <c r="CT239" s="257">
        <v>3.2128514099999882E-4</v>
      </c>
      <c r="CU239" s="257">
        <v>8.9512935866486184E-6</v>
      </c>
      <c r="CV239" s="258">
        <v>3.3003300375122419E-2</v>
      </c>
      <c r="CW239" s="256" t="s">
        <v>235</v>
      </c>
      <c r="CX239" s="257" t="s">
        <v>3075</v>
      </c>
      <c r="CY239" s="257" t="s">
        <v>236</v>
      </c>
      <c r="CZ239" s="257"/>
      <c r="DA239" s="278"/>
      <c r="DB239" s="278">
        <v>80</v>
      </c>
      <c r="DC239" s="257" t="s">
        <v>3076</v>
      </c>
      <c r="DD239" s="257">
        <v>0</v>
      </c>
      <c r="DE239" s="257">
        <v>1</v>
      </c>
      <c r="DF239" s="257">
        <v>0</v>
      </c>
      <c r="DG239" s="257">
        <v>0</v>
      </c>
      <c r="DH239" s="257"/>
      <c r="DI239" s="257">
        <v>1</v>
      </c>
      <c r="DJ239" s="257" t="s">
        <v>174</v>
      </c>
      <c r="DK239" s="257">
        <v>0</v>
      </c>
      <c r="DL239" s="257" t="s">
        <v>181</v>
      </c>
      <c r="DM239" s="257">
        <v>0</v>
      </c>
      <c r="DN239" s="257">
        <v>0</v>
      </c>
      <c r="DO239" s="257">
        <v>0</v>
      </c>
      <c r="DP239" s="278">
        <v>0</v>
      </c>
      <c r="DQ239" s="278">
        <v>0</v>
      </c>
      <c r="DR239" s="278">
        <v>0</v>
      </c>
      <c r="DS239" s="278">
        <v>0</v>
      </c>
      <c r="DT239" s="257">
        <v>0</v>
      </c>
      <c r="DU239" s="278" t="s">
        <v>964</v>
      </c>
      <c r="DV239" s="278">
        <v>1</v>
      </c>
      <c r="DW239" s="278">
        <v>1</v>
      </c>
      <c r="DX239" s="278">
        <v>1</v>
      </c>
      <c r="DY239" s="278">
        <v>0</v>
      </c>
      <c r="DZ239" s="257">
        <v>0</v>
      </c>
      <c r="EA239" s="278">
        <v>0</v>
      </c>
      <c r="EB239" s="278">
        <v>1</v>
      </c>
      <c r="EC239" s="278">
        <v>1</v>
      </c>
      <c r="ED239" s="278">
        <v>0</v>
      </c>
      <c r="EE239" s="278">
        <v>0</v>
      </c>
      <c r="EF239" s="257">
        <v>1</v>
      </c>
      <c r="EG239" s="278">
        <v>0</v>
      </c>
      <c r="EH239" s="257">
        <v>0</v>
      </c>
      <c r="EI239" s="258">
        <v>0</v>
      </c>
      <c r="EJ239" s="256"/>
      <c r="EK239" t="str">
        <f>IF(AND(AND(AND(OR($DX239=1,$DW239=1),OR($EC239=1,$EA239=1)),SUM($DV239:$DZ239,$EF239)&gt;=4),SUM($EA239:$EE239)&gt;=2),"Whole sector","")</f>
        <v>Whole sector</v>
      </c>
      <c r="EL239" t="str">
        <f>IF(AND(AND(OR($DX239=1,$DW239=1),AND($EC239=0,$EA239=0)),SUM($DV239:$DZ239,$EF239)&gt;=4),"Ecosystem approach","")</f>
        <v/>
      </c>
      <c r="EM239" s="258" t="s">
        <v>545</v>
      </c>
      <c r="EN239" s="257" t="s">
        <v>237</v>
      </c>
      <c r="EO239" s="257"/>
      <c r="EP239" t="str">
        <f>IF(ISNUMBER(BU239),IF(ABS(BU239-[3]QC_indicators!$B$2)&gt;3*[3]QC_indicators!$C$2,"C ratio",IF(ISNUMBER(BY239),IF(ABS(BY239-[3]QC_indicators!$B$1)&gt;3*[3]QC_indicators!$C$1,"DF","no"))),IF(ISNUMBER(BY239),IF(ABS(BY239-[3]QC_indicators!$B$1)&gt;3*[3]QC_indicators!$C$1,"DF","no")))</f>
        <v>no</v>
      </c>
      <c r="EQ239" s="282"/>
      <c r="ER239" s="282"/>
      <c r="ES239" s="282"/>
      <c r="ET239"/>
      <c r="EU239"/>
    </row>
    <row r="240" spans="1:151" s="139" customFormat="1" ht="15" hidden="1" customHeight="1">
      <c r="A240" s="256" t="s">
        <v>215</v>
      </c>
      <c r="B240" s="257" t="s">
        <v>216</v>
      </c>
      <c r="C240" s="257" t="s">
        <v>217</v>
      </c>
      <c r="D240" s="257" t="s">
        <v>218</v>
      </c>
      <c r="E240" s="257" t="s">
        <v>219</v>
      </c>
      <c r="F240" s="257" t="s">
        <v>220</v>
      </c>
      <c r="G240" s="257" t="s">
        <v>221</v>
      </c>
      <c r="H240" s="257"/>
      <c r="I240" s="257">
        <v>2012</v>
      </c>
      <c r="J240" s="257"/>
      <c r="K240" s="257" t="s">
        <v>222</v>
      </c>
      <c r="L240" s="257"/>
      <c r="M240" s="257" t="s">
        <v>3072</v>
      </c>
      <c r="N240" s="257" t="s">
        <v>223</v>
      </c>
      <c r="O240" s="277" t="s">
        <v>224</v>
      </c>
      <c r="P240" s="257"/>
      <c r="Q240" s="257" t="s">
        <v>225</v>
      </c>
      <c r="R240" s="258" t="s">
        <v>226</v>
      </c>
      <c r="S240" s="256" t="s">
        <v>227</v>
      </c>
      <c r="T240" s="257" t="s">
        <v>229</v>
      </c>
      <c r="U240" s="257" t="s">
        <v>239</v>
      </c>
      <c r="V240" s="257">
        <v>0</v>
      </c>
      <c r="W240" s="257">
        <v>0</v>
      </c>
      <c r="X240" s="257">
        <v>0</v>
      </c>
      <c r="Y240" s="257">
        <v>1</v>
      </c>
      <c r="Z240" s="257">
        <v>0</v>
      </c>
      <c r="AA240" s="257">
        <v>0</v>
      </c>
      <c r="AB240" s="257">
        <v>0</v>
      </c>
      <c r="AC240" s="257">
        <v>0</v>
      </c>
      <c r="AD240" s="257">
        <v>0</v>
      </c>
      <c r="AE240" s="257">
        <v>0</v>
      </c>
      <c r="AF240" s="257">
        <v>0</v>
      </c>
      <c r="AG240" s="257">
        <v>0</v>
      </c>
      <c r="AH240" s="257">
        <v>0</v>
      </c>
      <c r="AI240" s="257">
        <v>0</v>
      </c>
      <c r="AJ240" s="257">
        <v>0</v>
      </c>
      <c r="AK240" s="257">
        <v>0</v>
      </c>
      <c r="AL240" s="257">
        <v>0</v>
      </c>
      <c r="AM240" s="257">
        <v>0</v>
      </c>
      <c r="AN240" s="257">
        <v>0</v>
      </c>
      <c r="AO240" s="257">
        <v>0</v>
      </c>
      <c r="AP240" s="257">
        <v>0</v>
      </c>
      <c r="AQ240" s="257">
        <v>0</v>
      </c>
      <c r="AR240" s="257">
        <v>0</v>
      </c>
      <c r="AS240" s="257">
        <v>0</v>
      </c>
      <c r="AT240" s="257">
        <v>0</v>
      </c>
      <c r="AU240" s="257">
        <v>0</v>
      </c>
      <c r="AV240" s="257">
        <v>0</v>
      </c>
      <c r="AW240" s="257">
        <v>0</v>
      </c>
      <c r="AX240" s="279">
        <v>1</v>
      </c>
      <c r="AY240" s="279">
        <v>1</v>
      </c>
      <c r="AZ240" s="257">
        <v>1</v>
      </c>
      <c r="BA240" s="257">
        <v>0</v>
      </c>
      <c r="BB240" s="257">
        <v>0</v>
      </c>
      <c r="BC240" s="257">
        <v>0</v>
      </c>
      <c r="BD240" s="257">
        <v>0</v>
      </c>
      <c r="BE240" s="257" t="s">
        <v>92</v>
      </c>
      <c r="BF240" s="2" t="str" cm="1">
        <f t="array" ref="BF240">IF(COUNTIF(AZ240:BB240,"&lt;&gt;0")=1,INDEX($V$4:$AW$4,MATCH(TRUE,INDEX($V240:$AW240&lt;&gt;0,),0)),IF(COUNTIF(AZ240:BB240,"&lt;&gt;0")=0,INDEX($AM$4:$AW$4,MATCH(1,$AM240:$AW240,0)),"Multiple strategies"))</f>
        <v>SilvicultureRemov</v>
      </c>
      <c r="BG240" s="280" t="s">
        <v>230</v>
      </c>
      <c r="BH240" s="257" t="s">
        <v>231</v>
      </c>
      <c r="BI240" s="281" t="s">
        <v>3073</v>
      </c>
      <c r="BJ240" s="278" t="s">
        <v>232</v>
      </c>
      <c r="BK240" s="257">
        <v>53.696488080000002</v>
      </c>
      <c r="BL240" s="257">
        <v>66.639750489999997</v>
      </c>
      <c r="BM240" s="278">
        <v>0.80577264598338694</v>
      </c>
      <c r="BN240" s="257">
        <v>12.943262409999996</v>
      </c>
      <c r="BO240" s="278">
        <v>26.414821244897951</v>
      </c>
      <c r="BP240" s="278" t="s">
        <v>233</v>
      </c>
      <c r="BQ240" s="312" t="s">
        <v>3073</v>
      </c>
      <c r="BR240" s="278" t="s">
        <v>234</v>
      </c>
      <c r="BS240" s="257">
        <v>-9.4136546180000007</v>
      </c>
      <c r="BT240" s="257">
        <v>-9.4136546180000007</v>
      </c>
      <c r="BU240" s="259">
        <v>1</v>
      </c>
      <c r="BV240" s="257">
        <v>0</v>
      </c>
      <c r="BW240" s="257"/>
      <c r="BX240" s="257">
        <v>0</v>
      </c>
      <c r="BY240" s="257">
        <v>0</v>
      </c>
      <c r="BZ240" s="257">
        <v>0</v>
      </c>
      <c r="CA240" s="257">
        <v>0</v>
      </c>
      <c r="CB240" s="257">
        <v>0</v>
      </c>
      <c r="CC240" s="257">
        <v>0</v>
      </c>
      <c r="CD240" s="257">
        <v>0</v>
      </c>
      <c r="CE240" s="257">
        <v>0</v>
      </c>
      <c r="CF240" s="257">
        <v>0</v>
      </c>
      <c r="CG240" s="257">
        <v>0</v>
      </c>
      <c r="CH240" s="257">
        <v>0</v>
      </c>
      <c r="CI240" s="257">
        <v>0</v>
      </c>
      <c r="CJ240" s="257">
        <v>0</v>
      </c>
      <c r="CK240" s="257">
        <v>0</v>
      </c>
      <c r="CL240" s="257">
        <v>0</v>
      </c>
      <c r="CM240" s="257">
        <v>0</v>
      </c>
      <c r="CN240" s="257" t="s">
        <v>3074</v>
      </c>
      <c r="CO240" s="257">
        <v>53.696488080000002</v>
      </c>
      <c r="CP240" s="257">
        <v>66.639750489999997</v>
      </c>
      <c r="CQ240" s="257">
        <v>26.414821244897951</v>
      </c>
      <c r="CR240" s="257">
        <v>-9.4136546180000007</v>
      </c>
      <c r="CS240" s="257">
        <v>-9.4136546180000007</v>
      </c>
      <c r="CT240" s="257">
        <v>0</v>
      </c>
      <c r="CU240" s="257">
        <v>0</v>
      </c>
      <c r="CV240" s="258">
        <v>0</v>
      </c>
      <c r="CW240" s="256" t="s">
        <v>235</v>
      </c>
      <c r="CX240" s="257" t="s">
        <v>3075</v>
      </c>
      <c r="CY240" s="257" t="s">
        <v>236</v>
      </c>
      <c r="CZ240" s="257"/>
      <c r="DA240" s="278"/>
      <c r="DB240" s="278">
        <v>80</v>
      </c>
      <c r="DC240" s="257" t="s">
        <v>3076</v>
      </c>
      <c r="DD240" s="257">
        <v>0</v>
      </c>
      <c r="DE240" s="257">
        <v>1</v>
      </c>
      <c r="DF240" s="257">
        <v>0</v>
      </c>
      <c r="DG240" s="257">
        <v>0</v>
      </c>
      <c r="DH240" s="257"/>
      <c r="DI240" s="257">
        <v>1</v>
      </c>
      <c r="DJ240" s="257" t="s">
        <v>174</v>
      </c>
      <c r="DK240" s="257">
        <v>0</v>
      </c>
      <c r="DL240" s="257" t="s">
        <v>181</v>
      </c>
      <c r="DM240" s="257">
        <v>0</v>
      </c>
      <c r="DN240" s="257">
        <v>0</v>
      </c>
      <c r="DO240" s="257">
        <v>0</v>
      </c>
      <c r="DP240" s="278">
        <v>0</v>
      </c>
      <c r="DQ240" s="278">
        <v>0</v>
      </c>
      <c r="DR240" s="278">
        <v>0</v>
      </c>
      <c r="DS240" s="278">
        <v>0</v>
      </c>
      <c r="DT240" s="257">
        <v>0</v>
      </c>
      <c r="DU240" s="278" t="s">
        <v>964</v>
      </c>
      <c r="DV240" s="278">
        <v>1</v>
      </c>
      <c r="DW240" s="278">
        <v>1</v>
      </c>
      <c r="DX240" s="278">
        <v>1</v>
      </c>
      <c r="DY240" s="278">
        <v>0</v>
      </c>
      <c r="DZ240" s="257">
        <v>0</v>
      </c>
      <c r="EA240" s="278">
        <v>0</v>
      </c>
      <c r="EB240" s="278">
        <v>1</v>
      </c>
      <c r="EC240" s="278">
        <v>1</v>
      </c>
      <c r="ED240" s="278">
        <v>0</v>
      </c>
      <c r="EE240" s="278">
        <v>0</v>
      </c>
      <c r="EF240" s="257">
        <v>1</v>
      </c>
      <c r="EG240" s="278">
        <v>0</v>
      </c>
      <c r="EH240" s="257">
        <v>0</v>
      </c>
      <c r="EI240" s="258">
        <v>0</v>
      </c>
      <c r="EJ240" s="256"/>
      <c r="EK240" t="str">
        <f>IF(AND(AND(AND(OR($DX240=1,$DW240=1),OR($EC240=1,$EA240=1)),SUM($DV240:$DZ240,$EF240)&gt;=4),SUM($EA240:$EE240)&gt;=2),"Whole sector","")</f>
        <v>Whole sector</v>
      </c>
      <c r="EL240" t="str">
        <f>IF(AND(AND(OR($DX240=1,$DW240=1),AND($EC240=0,$EA240=0)),SUM($DV240:$DZ240,$EF240)&gt;=4),"Ecosystem approach","")</f>
        <v/>
      </c>
      <c r="EM240" s="258" t="s">
        <v>545</v>
      </c>
      <c r="EN240" s="257" t="s">
        <v>237</v>
      </c>
      <c r="EO240" s="257"/>
      <c r="EP240" t="str">
        <f>IF(ISNUMBER(BU240),IF(ABS(BU240-[3]QC_indicators!$B$2)&gt;3*[3]QC_indicators!$C$2,"C ratio",IF(ISNUMBER(BY240),IF(ABS(BY240-[3]QC_indicators!$B$1)&gt;3*[3]QC_indicators!$C$1,"DF","no"))),IF(ISNUMBER(BY240),IF(ABS(BY240-[3]QC_indicators!$B$1)&gt;3*[3]QC_indicators!$C$1,"DF","no")))</f>
        <v>no</v>
      </c>
      <c r="EQ240" s="257"/>
      <c r="ER240" s="257"/>
      <c r="ES240" s="257"/>
      <c r="ET240" s="257"/>
      <c r="EU240"/>
    </row>
    <row r="241" spans="1:151" s="139" customFormat="1" ht="15" hidden="1" customHeight="1">
      <c r="A241" s="256" t="s">
        <v>215</v>
      </c>
      <c r="B241" s="257" t="s">
        <v>216</v>
      </c>
      <c r="C241" s="257" t="s">
        <v>217</v>
      </c>
      <c r="D241" s="257" t="s">
        <v>218</v>
      </c>
      <c r="E241" s="257" t="s">
        <v>219</v>
      </c>
      <c r="F241" s="257" t="s">
        <v>220</v>
      </c>
      <c r="G241" s="257" t="s">
        <v>221</v>
      </c>
      <c r="H241" s="257"/>
      <c r="I241" s="257">
        <v>2012</v>
      </c>
      <c r="J241" s="257"/>
      <c r="K241" s="257" t="s">
        <v>222</v>
      </c>
      <c r="L241" s="257"/>
      <c r="M241" s="257" t="s">
        <v>3072</v>
      </c>
      <c r="N241" s="257" t="s">
        <v>223</v>
      </c>
      <c r="O241" s="277" t="s">
        <v>224</v>
      </c>
      <c r="P241" s="257"/>
      <c r="Q241" s="257" t="s">
        <v>225</v>
      </c>
      <c r="R241" s="258" t="s">
        <v>226</v>
      </c>
      <c r="S241" s="256" t="s">
        <v>241</v>
      </c>
      <c r="T241" s="257">
        <v>2000</v>
      </c>
      <c r="U241" s="257">
        <v>4000</v>
      </c>
      <c r="V241" s="257">
        <v>0</v>
      </c>
      <c r="W241" s="257">
        <v>0</v>
      </c>
      <c r="X241" s="257">
        <v>0</v>
      </c>
      <c r="Y241" s="257">
        <v>0</v>
      </c>
      <c r="Z241" s="257">
        <v>0</v>
      </c>
      <c r="AA241" s="257">
        <v>1</v>
      </c>
      <c r="AB241" s="257">
        <v>0</v>
      </c>
      <c r="AC241" s="257">
        <v>0</v>
      </c>
      <c r="AD241" s="257">
        <v>0</v>
      </c>
      <c r="AE241" s="257">
        <v>0</v>
      </c>
      <c r="AF241" s="257">
        <v>0</v>
      </c>
      <c r="AG241" s="257">
        <v>0</v>
      </c>
      <c r="AH241" s="257">
        <v>0</v>
      </c>
      <c r="AI241" s="257">
        <v>0</v>
      </c>
      <c r="AJ241" s="257">
        <v>0</v>
      </c>
      <c r="AK241" s="257">
        <v>0</v>
      </c>
      <c r="AL241" s="257">
        <v>0</v>
      </c>
      <c r="AM241" s="257">
        <v>0</v>
      </c>
      <c r="AN241" s="257">
        <v>0</v>
      </c>
      <c r="AO241" s="257">
        <v>0</v>
      </c>
      <c r="AP241" s="257">
        <v>0</v>
      </c>
      <c r="AQ241" s="257">
        <v>0</v>
      </c>
      <c r="AR241" s="257">
        <v>0</v>
      </c>
      <c r="AS241" s="257">
        <v>0</v>
      </c>
      <c r="AT241" s="257">
        <v>0</v>
      </c>
      <c r="AU241" s="257">
        <v>0</v>
      </c>
      <c r="AV241" s="257">
        <v>0</v>
      </c>
      <c r="AW241" s="257">
        <v>0</v>
      </c>
      <c r="AX241" s="279">
        <v>1</v>
      </c>
      <c r="AY241" s="279">
        <v>1</v>
      </c>
      <c r="AZ241" s="257">
        <v>1</v>
      </c>
      <c r="BA241" s="257">
        <v>0</v>
      </c>
      <c r="BB241" s="257">
        <v>0</v>
      </c>
      <c r="BC241" s="257">
        <v>0</v>
      </c>
      <c r="BD241" s="257">
        <v>0</v>
      </c>
      <c r="BE241" s="257" t="s">
        <v>94</v>
      </c>
      <c r="BF241" s="2" t="str" cm="1">
        <f t="array" ref="BF241">IF(COUNTIF(AZ241:BB241,"&lt;&gt;0")=1,INDEX($V$4:$AW$4,MATCH(TRUE,INDEX($V241:$AW241&lt;&gt;0,),0)),IF(COUNTIF(AZ241:BB241,"&lt;&gt;0")=0,INDEX($AM$4:$AW$4,MATCH(1,$AM241:$AW241,0)),"Multiple strategies"))</f>
        <v>SilvicultureProd</v>
      </c>
      <c r="BG241" s="280" t="s">
        <v>230</v>
      </c>
      <c r="BH241" s="257" t="s">
        <v>231</v>
      </c>
      <c r="BI241" s="281" t="s">
        <v>3073</v>
      </c>
      <c r="BJ241" s="278" t="s">
        <v>232</v>
      </c>
      <c r="BK241" s="257">
        <v>58.199966019999998</v>
      </c>
      <c r="BL241" s="257">
        <v>66.639750489999997</v>
      </c>
      <c r="BM241" s="278">
        <v>1.145013563531974</v>
      </c>
      <c r="BN241" s="257">
        <v>8.4397844699999993</v>
      </c>
      <c r="BO241" s="278">
        <v>17.224049938775508</v>
      </c>
      <c r="BP241" s="278" t="s">
        <v>233</v>
      </c>
      <c r="BQ241" s="312" t="s">
        <v>3073</v>
      </c>
      <c r="BR241" s="278" t="s">
        <v>234</v>
      </c>
      <c r="BS241" s="257">
        <v>-9.137844007</v>
      </c>
      <c r="BT241" s="257">
        <v>-9.4136546180000007</v>
      </c>
      <c r="BU241" s="259">
        <v>1.0301833354551377</v>
      </c>
      <c r="BV241" s="257">
        <v>-0.2758106110000007</v>
      </c>
      <c r="BW241" s="257"/>
      <c r="BX241" s="257">
        <v>-2.7581061100000068E-4</v>
      </c>
      <c r="BY241" s="257">
        <v>-1.6013110271997307E-5</v>
      </c>
      <c r="BZ241" s="257">
        <v>0</v>
      </c>
      <c r="CA241" s="257">
        <v>0</v>
      </c>
      <c r="CB241" s="257">
        <v>0</v>
      </c>
      <c r="CC241" s="257">
        <v>0</v>
      </c>
      <c r="CD241" s="257">
        <v>0</v>
      </c>
      <c r="CE241" s="257">
        <v>0</v>
      </c>
      <c r="CF241" s="257">
        <v>0</v>
      </c>
      <c r="CG241" s="257">
        <v>0</v>
      </c>
      <c r="CH241" s="257">
        <v>0</v>
      </c>
      <c r="CI241" s="257">
        <v>0</v>
      </c>
      <c r="CJ241" s="257">
        <v>0</v>
      </c>
      <c r="CK241" s="257">
        <v>0</v>
      </c>
      <c r="CL241" s="257">
        <v>0</v>
      </c>
      <c r="CM241" s="257">
        <v>0</v>
      </c>
      <c r="CN241" s="257" t="s">
        <v>3074</v>
      </c>
      <c r="CO241" s="257">
        <v>58.199966019999998</v>
      </c>
      <c r="CP241" s="257">
        <v>66.639750489999997</v>
      </c>
      <c r="CQ241" s="257">
        <v>17.224049938775508</v>
      </c>
      <c r="CR241" s="257">
        <v>-9.137844007</v>
      </c>
      <c r="CS241" s="257">
        <v>-9.4136546180000007</v>
      </c>
      <c r="CT241" s="257">
        <v>-2.7581061100000068E-4</v>
      </c>
      <c r="CU241" s="257">
        <v>-1.6013110271997307E-5</v>
      </c>
      <c r="CV241" s="258">
        <v>-3.0183335455137707E-2</v>
      </c>
      <c r="CW241" s="256" t="s">
        <v>235</v>
      </c>
      <c r="CX241" s="257" t="s">
        <v>3075</v>
      </c>
      <c r="CY241" s="257" t="s">
        <v>236</v>
      </c>
      <c r="CZ241" s="257"/>
      <c r="DA241" s="278"/>
      <c r="DB241" s="278">
        <v>80</v>
      </c>
      <c r="DC241" s="257" t="s">
        <v>3076</v>
      </c>
      <c r="DD241" s="257">
        <v>0</v>
      </c>
      <c r="DE241" s="257">
        <v>1</v>
      </c>
      <c r="DF241" s="257">
        <v>0</v>
      </c>
      <c r="DG241" s="257">
        <v>0</v>
      </c>
      <c r="DH241" s="257"/>
      <c r="DI241" s="257">
        <v>1</v>
      </c>
      <c r="DJ241" s="257" t="s">
        <v>174</v>
      </c>
      <c r="DK241" s="257">
        <v>0</v>
      </c>
      <c r="DL241" s="257" t="s">
        <v>181</v>
      </c>
      <c r="DM241" s="257">
        <v>0</v>
      </c>
      <c r="DN241" s="257">
        <v>0</v>
      </c>
      <c r="DO241" s="257">
        <v>0</v>
      </c>
      <c r="DP241" s="278">
        <v>0</v>
      </c>
      <c r="DQ241" s="278">
        <v>0</v>
      </c>
      <c r="DR241" s="278">
        <v>0</v>
      </c>
      <c r="DS241" s="278">
        <v>0</v>
      </c>
      <c r="DT241" s="257">
        <v>0</v>
      </c>
      <c r="DU241" s="278" t="s">
        <v>964</v>
      </c>
      <c r="DV241" s="278">
        <v>1</v>
      </c>
      <c r="DW241" s="278">
        <v>1</v>
      </c>
      <c r="DX241" s="278">
        <v>1</v>
      </c>
      <c r="DY241" s="278">
        <v>0</v>
      </c>
      <c r="DZ241" s="257">
        <v>0</v>
      </c>
      <c r="EA241" s="278">
        <v>0</v>
      </c>
      <c r="EB241" s="278">
        <v>1</v>
      </c>
      <c r="EC241" s="278">
        <v>1</v>
      </c>
      <c r="ED241" s="278">
        <v>0</v>
      </c>
      <c r="EE241" s="278">
        <v>0</v>
      </c>
      <c r="EF241" s="257">
        <v>1</v>
      </c>
      <c r="EG241" s="278">
        <v>0</v>
      </c>
      <c r="EH241" s="257">
        <v>0</v>
      </c>
      <c r="EI241" s="258">
        <v>0</v>
      </c>
      <c r="EJ241" s="256"/>
      <c r="EK241" t="str">
        <f>IF(AND(AND(AND(OR($DX241=1,$DW241=1),OR($EC241=1,$EA241=1)),SUM($DV241:$DZ241,$EF241)&gt;=4),SUM($EA241:$EE241)&gt;=2),"Whole sector","")</f>
        <v>Whole sector</v>
      </c>
      <c r="EL241" t="str">
        <f>IF(AND(AND(OR($DX241=1,$DW241=1),AND($EC241=0,$EA241=0)),SUM($DV241:$DZ241,$EF241)&gt;=4),"Ecosystem approach","")</f>
        <v/>
      </c>
      <c r="EM241" s="258" t="s">
        <v>545</v>
      </c>
      <c r="EN241" s="257" t="s">
        <v>237</v>
      </c>
      <c r="EO241" s="257"/>
      <c r="EP241" t="str">
        <f>IF(ISNUMBER(BU241),IF(ABS(BU241-[3]QC_indicators!$B$2)&gt;3*[3]QC_indicators!$C$2,"C ratio",IF(ISNUMBER(BY241),IF(ABS(BY241-[3]QC_indicators!$B$1)&gt;3*[3]QC_indicators!$C$1,"DF","no"))),IF(ISNUMBER(BY241),IF(ABS(BY241-[3]QC_indicators!$B$1)&gt;3*[3]QC_indicators!$C$1,"DF","no")))</f>
        <v>no</v>
      </c>
      <c r="EQ241" s="282"/>
      <c r="ER241" s="282"/>
      <c r="ES241" s="282"/>
      <c r="ET241"/>
      <c r="EU241"/>
    </row>
    <row r="242" spans="1:151" s="139" customFormat="1" ht="15" hidden="1" customHeight="1">
      <c r="A242" s="256" t="s">
        <v>215</v>
      </c>
      <c r="B242" s="257" t="s">
        <v>216</v>
      </c>
      <c r="C242" s="257" t="s">
        <v>217</v>
      </c>
      <c r="D242" s="257" t="s">
        <v>218</v>
      </c>
      <c r="E242" s="257" t="s">
        <v>219</v>
      </c>
      <c r="F242" s="257" t="s">
        <v>220</v>
      </c>
      <c r="G242" s="257" t="s">
        <v>221</v>
      </c>
      <c r="H242" s="257"/>
      <c r="I242" s="257">
        <v>2012</v>
      </c>
      <c r="J242" s="257"/>
      <c r="K242" s="257" t="s">
        <v>222</v>
      </c>
      <c r="L242" s="257"/>
      <c r="M242" s="257" t="s">
        <v>3072</v>
      </c>
      <c r="N242" s="257" t="s">
        <v>223</v>
      </c>
      <c r="O242" s="277" t="s">
        <v>224</v>
      </c>
      <c r="P242" s="257"/>
      <c r="Q242" s="257" t="s">
        <v>225</v>
      </c>
      <c r="R242" s="258" t="s">
        <v>226</v>
      </c>
      <c r="S242" s="256" t="s">
        <v>242</v>
      </c>
      <c r="T242" s="257" t="s">
        <v>245</v>
      </c>
      <c r="U242" s="278" t="s">
        <v>243</v>
      </c>
      <c r="V242" s="257">
        <v>0</v>
      </c>
      <c r="W242" s="257">
        <v>0</v>
      </c>
      <c r="X242" s="257">
        <v>0</v>
      </c>
      <c r="Y242" s="257">
        <v>0</v>
      </c>
      <c r="Z242" s="257">
        <v>0</v>
      </c>
      <c r="AA242" s="257">
        <v>0</v>
      </c>
      <c r="AB242" s="257">
        <v>0</v>
      </c>
      <c r="AC242" s="257">
        <v>1</v>
      </c>
      <c r="AD242" s="257">
        <v>0</v>
      </c>
      <c r="AE242" s="257">
        <v>0</v>
      </c>
      <c r="AF242" s="257">
        <v>0</v>
      </c>
      <c r="AG242" s="257">
        <v>0</v>
      </c>
      <c r="AH242" s="257">
        <v>0</v>
      </c>
      <c r="AI242" s="257">
        <v>0</v>
      </c>
      <c r="AJ242" s="257">
        <v>0</v>
      </c>
      <c r="AK242" s="257">
        <v>0</v>
      </c>
      <c r="AL242" s="257">
        <v>0</v>
      </c>
      <c r="AM242" s="257">
        <v>0</v>
      </c>
      <c r="AN242" s="257">
        <v>0</v>
      </c>
      <c r="AO242" s="257">
        <v>0</v>
      </c>
      <c r="AP242" s="257">
        <v>0</v>
      </c>
      <c r="AQ242" s="257">
        <v>0</v>
      </c>
      <c r="AR242" s="257">
        <v>0</v>
      </c>
      <c r="AS242" s="257">
        <v>0</v>
      </c>
      <c r="AT242" s="257">
        <v>0</v>
      </c>
      <c r="AU242" s="257">
        <v>0</v>
      </c>
      <c r="AV242" s="257">
        <v>0</v>
      </c>
      <c r="AW242" s="257">
        <v>0</v>
      </c>
      <c r="AX242" s="279">
        <v>1</v>
      </c>
      <c r="AY242" s="279">
        <v>1</v>
      </c>
      <c r="AZ242" s="257">
        <v>1</v>
      </c>
      <c r="BA242" s="257">
        <v>0</v>
      </c>
      <c r="BB242" s="257">
        <v>0</v>
      </c>
      <c r="BC242" s="257">
        <v>0</v>
      </c>
      <c r="BD242" s="257">
        <v>0</v>
      </c>
      <c r="BE242" s="257" t="s">
        <v>96</v>
      </c>
      <c r="BF242" s="2" t="str" cm="1">
        <f t="array" ref="BF242">IF(COUNTIF(AZ242:BB242,"&lt;&gt;0")=1,INDEX($V$4:$AW$4,MATCH(TRUE,INDEX($V242:$AW242&lt;&gt;0,),0)),IF(COUNTIF(AZ242:BB242,"&lt;&gt;0")=0,INDEX($AM$4:$AW$4,MATCH(1,$AM242:$AW242,0)),"Multiple strategies"))</f>
        <v>SilvicultureProd</v>
      </c>
      <c r="BG242" s="280" t="s">
        <v>230</v>
      </c>
      <c r="BH242" s="257" t="s">
        <v>231</v>
      </c>
      <c r="BI242" s="281" t="s">
        <v>3073</v>
      </c>
      <c r="BJ242" s="278" t="s">
        <v>232</v>
      </c>
      <c r="BK242" s="257">
        <v>53.012261813210301</v>
      </c>
      <c r="BL242" s="257">
        <v>63.5091743119266</v>
      </c>
      <c r="BM242" s="278">
        <v>1.1980091424075126</v>
      </c>
      <c r="BN242" s="257">
        <v>10.496912498716299</v>
      </c>
      <c r="BO242" s="278">
        <v>21.422270405543468</v>
      </c>
      <c r="BP242" s="278" t="s">
        <v>233</v>
      </c>
      <c r="BQ242" s="312" t="s">
        <v>3073</v>
      </c>
      <c r="BR242" s="278" t="s">
        <v>234</v>
      </c>
      <c r="BS242" s="257">
        <v>-8.8453815261044095</v>
      </c>
      <c r="BT242" s="257">
        <v>-8.71587255658436</v>
      </c>
      <c r="BU242" s="259">
        <v>0.98535857733916354</v>
      </c>
      <c r="BV242" s="257">
        <v>0.12950896952004953</v>
      </c>
      <c r="BW242" s="257"/>
      <c r="BX242" s="257">
        <v>1.2950896952004952E-4</v>
      </c>
      <c r="BY242" s="257">
        <v>6.0455295852551797E-6</v>
      </c>
      <c r="BZ242" s="257">
        <v>0</v>
      </c>
      <c r="CA242" s="257">
        <v>0</v>
      </c>
      <c r="CB242" s="257">
        <v>0</v>
      </c>
      <c r="CC242" s="257">
        <v>0</v>
      </c>
      <c r="CD242" s="257">
        <v>0</v>
      </c>
      <c r="CE242" s="257">
        <v>0</v>
      </c>
      <c r="CF242" s="257">
        <v>0</v>
      </c>
      <c r="CG242" s="257">
        <v>0</v>
      </c>
      <c r="CH242" s="257">
        <v>0</v>
      </c>
      <c r="CI242" s="257">
        <v>0</v>
      </c>
      <c r="CJ242" s="257">
        <v>0</v>
      </c>
      <c r="CK242" s="257">
        <v>0</v>
      </c>
      <c r="CL242" s="257">
        <v>0</v>
      </c>
      <c r="CM242" s="257">
        <v>0</v>
      </c>
      <c r="CN242" s="257" t="s">
        <v>3074</v>
      </c>
      <c r="CO242" s="257">
        <v>53.012261813210301</v>
      </c>
      <c r="CP242" s="257">
        <v>63.5091743119266</v>
      </c>
      <c r="CQ242" s="257">
        <v>21.422270405543468</v>
      </c>
      <c r="CR242" s="257">
        <v>-8.8453815261044095</v>
      </c>
      <c r="CS242" s="257">
        <v>-8.71587255658436</v>
      </c>
      <c r="CT242" s="257">
        <v>1.2950896952004952E-4</v>
      </c>
      <c r="CU242" s="257">
        <v>6.0455295852551797E-6</v>
      </c>
      <c r="CV242" s="258">
        <v>1.4641422660836487E-2</v>
      </c>
      <c r="CW242" s="256" t="s">
        <v>235</v>
      </c>
      <c r="CX242" s="257" t="s">
        <v>3075</v>
      </c>
      <c r="CY242" s="257" t="s">
        <v>236</v>
      </c>
      <c r="CZ242" s="257"/>
      <c r="DA242" s="278"/>
      <c r="DB242" s="278">
        <v>80</v>
      </c>
      <c r="DC242" s="257" t="s">
        <v>3076</v>
      </c>
      <c r="DD242" s="257">
        <v>0</v>
      </c>
      <c r="DE242" s="257">
        <v>1</v>
      </c>
      <c r="DF242" s="257">
        <v>0</v>
      </c>
      <c r="DG242" s="257">
        <v>0</v>
      </c>
      <c r="DH242" s="257"/>
      <c r="DI242" s="257">
        <v>1</v>
      </c>
      <c r="DJ242" s="257" t="s">
        <v>174</v>
      </c>
      <c r="DK242" s="257">
        <v>0</v>
      </c>
      <c r="DL242" s="257" t="s">
        <v>181</v>
      </c>
      <c r="DM242" s="257">
        <v>0</v>
      </c>
      <c r="DN242" s="257">
        <v>0</v>
      </c>
      <c r="DO242" s="257">
        <v>0</v>
      </c>
      <c r="DP242" s="278">
        <v>0</v>
      </c>
      <c r="DQ242" s="278">
        <v>0</v>
      </c>
      <c r="DR242" s="278">
        <v>0</v>
      </c>
      <c r="DS242" s="278">
        <v>0</v>
      </c>
      <c r="DT242" s="257">
        <v>0</v>
      </c>
      <c r="DU242" s="278" t="s">
        <v>964</v>
      </c>
      <c r="DV242" s="278">
        <v>1</v>
      </c>
      <c r="DW242" s="278">
        <v>1</v>
      </c>
      <c r="DX242" s="278">
        <v>1</v>
      </c>
      <c r="DY242" s="278">
        <v>0</v>
      </c>
      <c r="DZ242" s="257">
        <v>0</v>
      </c>
      <c r="EA242" s="278">
        <v>0</v>
      </c>
      <c r="EB242" s="278">
        <v>1</v>
      </c>
      <c r="EC242" s="278">
        <v>1</v>
      </c>
      <c r="ED242" s="278">
        <v>0</v>
      </c>
      <c r="EE242" s="278">
        <v>0</v>
      </c>
      <c r="EF242" s="257">
        <v>1</v>
      </c>
      <c r="EG242" s="278">
        <v>0</v>
      </c>
      <c r="EH242" s="257">
        <v>0</v>
      </c>
      <c r="EI242" s="258">
        <v>0</v>
      </c>
      <c r="EJ242" s="256"/>
      <c r="EK242" t="str">
        <f>IF(AND(AND(AND(OR($DX242=1,$DW242=1),OR($EC242=1,$EA242=1)),SUM($DV242:$DZ242,$EF242)&gt;=4),SUM($EA242:$EE242)&gt;=2),"Whole sector","")</f>
        <v>Whole sector</v>
      </c>
      <c r="EL242" t="str">
        <f>IF(AND(AND(OR($DX242=1,$DW242=1),AND($EC242=0,$EA242=0)),SUM($DV242:$DZ242,$EF242)&gt;=4),"Ecosystem approach","")</f>
        <v/>
      </c>
      <c r="EM242" s="258" t="s">
        <v>545</v>
      </c>
      <c r="EN242" s="257" t="s">
        <v>237</v>
      </c>
      <c r="EO242" s="257"/>
      <c r="EP242" t="str">
        <f>IF(ISNUMBER(BU242),IF(ABS(BU242-[3]QC_indicators!$B$2)&gt;3*[3]QC_indicators!$C$2,"C ratio",IF(ISNUMBER(BY242),IF(ABS(BY242-[3]QC_indicators!$B$1)&gt;3*[3]QC_indicators!$C$1,"DF","no"))),IF(ISNUMBER(BY242),IF(ABS(BY242-[3]QC_indicators!$B$1)&gt;3*[3]QC_indicators!$C$1,"DF","no")))</f>
        <v>no</v>
      </c>
      <c r="EQ242"/>
      <c r="ER242"/>
      <c r="ES242"/>
      <c r="ET242"/>
      <c r="EU242"/>
    </row>
    <row r="243" spans="1:151" s="139" customFormat="1" ht="15" hidden="1" customHeight="1">
      <c r="A243" s="256" t="s">
        <v>215</v>
      </c>
      <c r="B243" s="257" t="s">
        <v>216</v>
      </c>
      <c r="C243" s="257" t="s">
        <v>217</v>
      </c>
      <c r="D243" s="257" t="s">
        <v>218</v>
      </c>
      <c r="E243" s="257" t="s">
        <v>219</v>
      </c>
      <c r="F243" s="257" t="s">
        <v>220</v>
      </c>
      <c r="G243" s="257" t="s">
        <v>221</v>
      </c>
      <c r="H243" s="257"/>
      <c r="I243" s="257">
        <v>2012</v>
      </c>
      <c r="J243" s="257"/>
      <c r="K243" s="257" t="s">
        <v>222</v>
      </c>
      <c r="L243" s="257"/>
      <c r="M243" s="257" t="s">
        <v>3072</v>
      </c>
      <c r="N243" s="257" t="s">
        <v>223</v>
      </c>
      <c r="O243" s="277" t="s">
        <v>224</v>
      </c>
      <c r="P243" s="257"/>
      <c r="Q243" s="257" t="s">
        <v>225</v>
      </c>
      <c r="R243" s="258" t="s">
        <v>226</v>
      </c>
      <c r="S243" s="256" t="s">
        <v>227</v>
      </c>
      <c r="T243" s="257" t="s">
        <v>229</v>
      </c>
      <c r="U243" s="257" t="s">
        <v>228</v>
      </c>
      <c r="V243" s="257">
        <v>0</v>
      </c>
      <c r="W243" s="257">
        <v>0</v>
      </c>
      <c r="X243" s="257">
        <v>0</v>
      </c>
      <c r="Y243" s="257">
        <v>1</v>
      </c>
      <c r="Z243" s="257">
        <v>0</v>
      </c>
      <c r="AA243" s="257">
        <v>0</v>
      </c>
      <c r="AB243" s="257">
        <v>0</v>
      </c>
      <c r="AC243" s="257">
        <v>0</v>
      </c>
      <c r="AD243" s="257">
        <v>0</v>
      </c>
      <c r="AE243" s="257">
        <v>0</v>
      </c>
      <c r="AF243" s="257">
        <v>0</v>
      </c>
      <c r="AG243" s="257">
        <v>0</v>
      </c>
      <c r="AH243" s="257">
        <v>0</v>
      </c>
      <c r="AI243" s="257">
        <v>0</v>
      </c>
      <c r="AJ243" s="257">
        <v>0</v>
      </c>
      <c r="AK243" s="257">
        <v>0</v>
      </c>
      <c r="AL243" s="257">
        <v>0</v>
      </c>
      <c r="AM243" s="257">
        <v>0</v>
      </c>
      <c r="AN243" s="257">
        <v>0</v>
      </c>
      <c r="AO243" s="257">
        <v>0</v>
      </c>
      <c r="AP243" s="257">
        <v>0</v>
      </c>
      <c r="AQ243" s="257">
        <v>0</v>
      </c>
      <c r="AR243" s="257">
        <v>0</v>
      </c>
      <c r="AS243" s="257">
        <v>0</v>
      </c>
      <c r="AT243" s="257">
        <v>0</v>
      </c>
      <c r="AU243" s="257">
        <v>0</v>
      </c>
      <c r="AV243" s="257">
        <v>0</v>
      </c>
      <c r="AW243" s="257">
        <v>0</v>
      </c>
      <c r="AX243" s="279">
        <v>1</v>
      </c>
      <c r="AY243" s="279">
        <v>1</v>
      </c>
      <c r="AZ243" s="257">
        <v>1</v>
      </c>
      <c r="BA243" s="257">
        <v>0</v>
      </c>
      <c r="BB243" s="257">
        <v>0</v>
      </c>
      <c r="BC243" s="257">
        <v>0</v>
      </c>
      <c r="BD243" s="257">
        <v>0</v>
      </c>
      <c r="BE243" s="257" t="s">
        <v>92</v>
      </c>
      <c r="BF243" s="2" t="str" cm="1">
        <f t="array" ref="BF243">IF(COUNTIF(AZ243:BB243,"&lt;&gt;0")=1,INDEX($V$4:$AW$4,MATCH(TRUE,INDEX($V243:$AW243&lt;&gt;0,),0)),IF(COUNTIF(AZ243:BB243,"&lt;&gt;0")=0,INDEX($AM$4:$AW$4,MATCH(1,$AM243:$AW243,0)),"Multiple strategies"))</f>
        <v>SilvicultureRemov</v>
      </c>
      <c r="BG243" s="280" t="s">
        <v>230</v>
      </c>
      <c r="BH243" s="257" t="s">
        <v>231</v>
      </c>
      <c r="BI243" s="281" t="s">
        <v>3073</v>
      </c>
      <c r="BJ243" s="278" t="s">
        <v>232</v>
      </c>
      <c r="BK243" s="257">
        <v>58.199966019999998</v>
      </c>
      <c r="BL243" s="257">
        <v>63.509174309999999</v>
      </c>
      <c r="BM243" s="278">
        <v>1.0912235633982248</v>
      </c>
      <c r="BN243" s="257">
        <v>5.3092082900000008</v>
      </c>
      <c r="BO243" s="278">
        <v>10.835118959183676</v>
      </c>
      <c r="BP243" s="278" t="s">
        <v>233</v>
      </c>
      <c r="BQ243" s="312" t="s">
        <v>3073</v>
      </c>
      <c r="BR243" s="278" t="s">
        <v>234</v>
      </c>
      <c r="BS243" s="257">
        <v>-9.137844007</v>
      </c>
      <c r="BT243" s="257">
        <v>-8.7158725570000009</v>
      </c>
      <c r="BU243" s="259">
        <v>0.95382155247159506</v>
      </c>
      <c r="BV243" s="257">
        <v>0.42197144999999914</v>
      </c>
      <c r="BW243" s="257"/>
      <c r="BX243" s="257">
        <v>4.2197144999999911E-4</v>
      </c>
      <c r="BY243" s="257">
        <v>3.8944791616001847E-5</v>
      </c>
      <c r="BZ243" s="257">
        <v>0</v>
      </c>
      <c r="CA243" s="257">
        <v>0</v>
      </c>
      <c r="CB243" s="257">
        <v>0</v>
      </c>
      <c r="CC243" s="257">
        <v>0</v>
      </c>
      <c r="CD243" s="257">
        <v>0</v>
      </c>
      <c r="CE243" s="257">
        <v>0</v>
      </c>
      <c r="CF243" s="257">
        <v>0</v>
      </c>
      <c r="CG243" s="257">
        <v>0</v>
      </c>
      <c r="CH243" s="257">
        <v>0</v>
      </c>
      <c r="CI243" s="257">
        <v>0</v>
      </c>
      <c r="CJ243" s="257">
        <v>0</v>
      </c>
      <c r="CK243" s="257">
        <v>0</v>
      </c>
      <c r="CL243" s="257">
        <v>0</v>
      </c>
      <c r="CM243" s="257">
        <v>0</v>
      </c>
      <c r="CN243" s="257" t="s">
        <v>3074</v>
      </c>
      <c r="CO243" s="257">
        <v>58.199966019999998</v>
      </c>
      <c r="CP243" s="257">
        <v>63.509174309999999</v>
      </c>
      <c r="CQ243" s="257">
        <v>10.835118959183676</v>
      </c>
      <c r="CR243" s="257">
        <v>-9.137844007</v>
      </c>
      <c r="CS243" s="257">
        <v>-8.7158725570000009</v>
      </c>
      <c r="CT243" s="257">
        <v>4.2197144999999911E-4</v>
      </c>
      <c r="CU243" s="257">
        <v>3.8944791616001847E-5</v>
      </c>
      <c r="CV243" s="258">
        <v>4.6178447528404949E-2</v>
      </c>
      <c r="CW243" s="256" t="s">
        <v>235</v>
      </c>
      <c r="CX243" s="257" t="s">
        <v>3075</v>
      </c>
      <c r="CY243" s="257" t="s">
        <v>236</v>
      </c>
      <c r="CZ243" s="257"/>
      <c r="DA243" s="278"/>
      <c r="DB243" s="278">
        <v>80</v>
      </c>
      <c r="DC243" s="257" t="s">
        <v>3076</v>
      </c>
      <c r="DD243" s="257">
        <v>0</v>
      </c>
      <c r="DE243" s="257">
        <v>1</v>
      </c>
      <c r="DF243" s="257">
        <v>0</v>
      </c>
      <c r="DG243" s="257">
        <v>0</v>
      </c>
      <c r="DH243" s="257"/>
      <c r="DI243" s="257">
        <v>1</v>
      </c>
      <c r="DJ243" s="257" t="s">
        <v>174</v>
      </c>
      <c r="DK243" s="257">
        <v>0</v>
      </c>
      <c r="DL243" s="257" t="s">
        <v>181</v>
      </c>
      <c r="DM243" s="257">
        <v>0</v>
      </c>
      <c r="DN243" s="257">
        <v>0</v>
      </c>
      <c r="DO243" s="257">
        <v>0</v>
      </c>
      <c r="DP243" s="278">
        <v>0</v>
      </c>
      <c r="DQ243" s="278">
        <v>0</v>
      </c>
      <c r="DR243" s="278">
        <v>0</v>
      </c>
      <c r="DS243" s="278">
        <v>0</v>
      </c>
      <c r="DT243" s="257">
        <v>0</v>
      </c>
      <c r="DU243" s="278" t="s">
        <v>964</v>
      </c>
      <c r="DV243" s="278">
        <v>1</v>
      </c>
      <c r="DW243" s="278">
        <v>1</v>
      </c>
      <c r="DX243" s="278">
        <v>1</v>
      </c>
      <c r="DY243" s="278">
        <v>0</v>
      </c>
      <c r="DZ243" s="257">
        <v>0</v>
      </c>
      <c r="EA243" s="278">
        <v>0</v>
      </c>
      <c r="EB243" s="278">
        <v>1</v>
      </c>
      <c r="EC243" s="278">
        <v>1</v>
      </c>
      <c r="ED243" s="278">
        <v>0</v>
      </c>
      <c r="EE243" s="278">
        <v>0</v>
      </c>
      <c r="EF243" s="257">
        <v>1</v>
      </c>
      <c r="EG243" s="278">
        <v>0</v>
      </c>
      <c r="EH243" s="257">
        <v>0</v>
      </c>
      <c r="EI243" s="258">
        <v>0</v>
      </c>
      <c r="EJ243" s="256"/>
      <c r="EK243" t="str">
        <f>IF(AND(AND(AND(OR($DX243=1,$DW243=1),OR($EC243=1,$EA243=1)),SUM($DV243:$DZ243,$EF243)&gt;=4),SUM($EA243:$EE243)&gt;=2),"Whole sector","")</f>
        <v>Whole sector</v>
      </c>
      <c r="EL243" t="str">
        <f>IF(AND(AND(OR($DX243=1,$DW243=1),AND($EC243=0,$EA243=0)),SUM($DV243:$DZ243,$EF243)&gt;=4),"Ecosystem approach","")</f>
        <v/>
      </c>
      <c r="EM243" s="258" t="s">
        <v>545</v>
      </c>
      <c r="EN243" s="257" t="s">
        <v>237</v>
      </c>
      <c r="EO243" s="257"/>
      <c r="EP243" t="str">
        <f>IF(ISNUMBER(BU243),IF(ABS(BU243-[3]QC_indicators!$B$2)&gt;3*[3]QC_indicators!$C$2,"C ratio",IF(ISNUMBER(BY243),IF(ABS(BY243-[3]QC_indicators!$B$1)&gt;3*[3]QC_indicators!$C$1,"DF","no"))),IF(ISNUMBER(BY243),IF(ABS(BY243-[3]QC_indicators!$B$1)&gt;3*[3]QC_indicators!$C$1,"DF","no")))</f>
        <v>no</v>
      </c>
      <c r="EQ243" s="282"/>
      <c r="ER243" s="282"/>
      <c r="ES243" s="282"/>
      <c r="ET243"/>
      <c r="EU243"/>
    </row>
    <row r="244" spans="1:151" s="139" customFormat="1" ht="15" hidden="1" customHeight="1">
      <c r="A244" s="256" t="s">
        <v>215</v>
      </c>
      <c r="B244" s="257" t="s">
        <v>216</v>
      </c>
      <c r="C244" s="257" t="s">
        <v>217</v>
      </c>
      <c r="D244" s="257" t="s">
        <v>218</v>
      </c>
      <c r="E244" s="257" t="s">
        <v>219</v>
      </c>
      <c r="F244" s="257" t="s">
        <v>220</v>
      </c>
      <c r="G244" s="257" t="s">
        <v>221</v>
      </c>
      <c r="H244" s="257"/>
      <c r="I244" s="257">
        <v>2012</v>
      </c>
      <c r="J244" s="257"/>
      <c r="K244" s="257" t="s">
        <v>222</v>
      </c>
      <c r="L244" s="257"/>
      <c r="M244" s="257" t="s">
        <v>3072</v>
      </c>
      <c r="N244" s="257" t="s">
        <v>223</v>
      </c>
      <c r="O244" s="277" t="s">
        <v>224</v>
      </c>
      <c r="P244" s="257"/>
      <c r="Q244" s="257" t="s">
        <v>225</v>
      </c>
      <c r="R244" s="258" t="s">
        <v>226</v>
      </c>
      <c r="S244" s="256" t="s">
        <v>242</v>
      </c>
      <c r="T244" s="257" t="s">
        <v>245</v>
      </c>
      <c r="U244" s="278" t="s">
        <v>243</v>
      </c>
      <c r="V244" s="257">
        <v>0</v>
      </c>
      <c r="W244" s="257">
        <v>0</v>
      </c>
      <c r="X244" s="257">
        <v>0</v>
      </c>
      <c r="Y244" s="257">
        <v>0</v>
      </c>
      <c r="Z244" s="257">
        <v>0</v>
      </c>
      <c r="AA244" s="257">
        <v>0</v>
      </c>
      <c r="AB244" s="257">
        <v>0</v>
      </c>
      <c r="AC244" s="257">
        <v>1</v>
      </c>
      <c r="AD244" s="257">
        <v>0</v>
      </c>
      <c r="AE244" s="257">
        <v>0</v>
      </c>
      <c r="AF244" s="257">
        <v>0</v>
      </c>
      <c r="AG244" s="257">
        <v>0</v>
      </c>
      <c r="AH244" s="257">
        <v>0</v>
      </c>
      <c r="AI244" s="257">
        <v>0</v>
      </c>
      <c r="AJ244" s="257">
        <v>0</v>
      </c>
      <c r="AK244" s="257">
        <v>0</v>
      </c>
      <c r="AL244" s="257">
        <v>0</v>
      </c>
      <c r="AM244" s="257">
        <v>0</v>
      </c>
      <c r="AN244" s="257">
        <v>0</v>
      </c>
      <c r="AO244" s="257">
        <v>0</v>
      </c>
      <c r="AP244" s="257">
        <v>0</v>
      </c>
      <c r="AQ244" s="257">
        <v>0</v>
      </c>
      <c r="AR244" s="257">
        <v>0</v>
      </c>
      <c r="AS244" s="257">
        <v>0</v>
      </c>
      <c r="AT244" s="257">
        <v>0</v>
      </c>
      <c r="AU244" s="257">
        <v>0</v>
      </c>
      <c r="AV244" s="257">
        <v>0</v>
      </c>
      <c r="AW244" s="257">
        <v>0</v>
      </c>
      <c r="AX244" s="279">
        <v>1</v>
      </c>
      <c r="AY244" s="279">
        <v>1</v>
      </c>
      <c r="AZ244" s="257">
        <v>1</v>
      </c>
      <c r="BA244" s="257">
        <v>0</v>
      </c>
      <c r="BB244" s="257">
        <v>0</v>
      </c>
      <c r="BC244" s="257">
        <v>0</v>
      </c>
      <c r="BD244" s="257">
        <v>0</v>
      </c>
      <c r="BE244" s="257" t="s">
        <v>96</v>
      </c>
      <c r="BF244" s="2" t="str" cm="1">
        <f t="array" ref="BF244">IF(COUNTIF(AZ244:BB244,"&lt;&gt;0")=1,INDEX($V$4:$AW$4,MATCH(TRUE,INDEX($V244:$AW244&lt;&gt;0,),0)),IF(COUNTIF(AZ244:BB244,"&lt;&gt;0")=0,INDEX($AM$4:$AW$4,MATCH(1,$AM244:$AW244,0)),"Multiple strategies"))</f>
        <v>SilvicultureProd</v>
      </c>
      <c r="BG244" s="280" t="s">
        <v>230</v>
      </c>
      <c r="BH244" s="257" t="s">
        <v>231</v>
      </c>
      <c r="BI244" s="281" t="s">
        <v>3073</v>
      </c>
      <c r="BJ244" s="278" t="s">
        <v>232</v>
      </c>
      <c r="BK244" s="257">
        <v>47.845851491070597</v>
      </c>
      <c r="BL244" s="257">
        <v>62.093385434364002</v>
      </c>
      <c r="BM244" s="278">
        <v>1.2977799223816175</v>
      </c>
      <c r="BN244" s="257">
        <v>14.247533943293405</v>
      </c>
      <c r="BO244" s="278">
        <v>29.076599884272255</v>
      </c>
      <c r="BP244" s="278" t="s">
        <v>233</v>
      </c>
      <c r="BQ244" s="312" t="s">
        <v>3073</v>
      </c>
      <c r="BR244" s="278" t="s">
        <v>234</v>
      </c>
      <c r="BS244" s="257">
        <v>-9.0763052208835298</v>
      </c>
      <c r="BT244" s="257">
        <v>-8.77615419238683</v>
      </c>
      <c r="BU244" s="259">
        <v>0.96693026278952288</v>
      </c>
      <c r="BV244" s="257">
        <v>0.30015102849669972</v>
      </c>
      <c r="BW244" s="257"/>
      <c r="BX244" s="257">
        <v>3.001510284966997E-4</v>
      </c>
      <c r="BY244" s="257">
        <v>1.0322769157718938E-5</v>
      </c>
      <c r="BZ244" s="257">
        <v>0</v>
      </c>
      <c r="CA244" s="257">
        <v>0</v>
      </c>
      <c r="CB244" s="257">
        <v>0</v>
      </c>
      <c r="CC244" s="257">
        <v>0</v>
      </c>
      <c r="CD244" s="257">
        <v>0</v>
      </c>
      <c r="CE244" s="257">
        <v>0</v>
      </c>
      <c r="CF244" s="257">
        <v>0</v>
      </c>
      <c r="CG244" s="257">
        <v>0</v>
      </c>
      <c r="CH244" s="257">
        <v>0</v>
      </c>
      <c r="CI244" s="257">
        <v>0</v>
      </c>
      <c r="CJ244" s="257">
        <v>0</v>
      </c>
      <c r="CK244" s="257">
        <v>0</v>
      </c>
      <c r="CL244" s="257">
        <v>0</v>
      </c>
      <c r="CM244" s="257">
        <v>0</v>
      </c>
      <c r="CN244" s="257" t="s">
        <v>3074</v>
      </c>
      <c r="CO244" s="257">
        <v>47.845851491070597</v>
      </c>
      <c r="CP244" s="257">
        <v>62.093385434364002</v>
      </c>
      <c r="CQ244" s="257">
        <v>29.076599884272255</v>
      </c>
      <c r="CR244" s="257">
        <v>-9.0763052208835298</v>
      </c>
      <c r="CS244" s="257">
        <v>-8.77615419238683</v>
      </c>
      <c r="CT244" s="257">
        <v>3.001510284966997E-4</v>
      </c>
      <c r="CU244" s="257">
        <v>1.0322769157718938E-5</v>
      </c>
      <c r="CV244" s="258">
        <v>3.306973721047711E-2</v>
      </c>
      <c r="CW244" s="256" t="s">
        <v>235</v>
      </c>
      <c r="CX244" s="257" t="s">
        <v>3075</v>
      </c>
      <c r="CY244" s="257" t="s">
        <v>236</v>
      </c>
      <c r="CZ244" s="257"/>
      <c r="DA244" s="278"/>
      <c r="DB244" s="278">
        <v>80</v>
      </c>
      <c r="DC244" s="257" t="s">
        <v>3076</v>
      </c>
      <c r="DD244" s="257">
        <v>0</v>
      </c>
      <c r="DE244" s="257">
        <v>1</v>
      </c>
      <c r="DF244" s="257">
        <v>0</v>
      </c>
      <c r="DG244" s="257">
        <v>0</v>
      </c>
      <c r="DH244" s="257"/>
      <c r="DI244" s="257">
        <v>1</v>
      </c>
      <c r="DJ244" s="257" t="s">
        <v>174</v>
      </c>
      <c r="DK244" s="257">
        <v>0</v>
      </c>
      <c r="DL244" s="257" t="s">
        <v>181</v>
      </c>
      <c r="DM244" s="257">
        <v>0</v>
      </c>
      <c r="DN244" s="257">
        <v>0</v>
      </c>
      <c r="DO244" s="257">
        <v>0</v>
      </c>
      <c r="DP244" s="278">
        <v>0</v>
      </c>
      <c r="DQ244" s="278">
        <v>0</v>
      </c>
      <c r="DR244" s="278">
        <v>0</v>
      </c>
      <c r="DS244" s="278">
        <v>0</v>
      </c>
      <c r="DT244" s="257">
        <v>0</v>
      </c>
      <c r="DU244" s="278" t="s">
        <v>964</v>
      </c>
      <c r="DV244" s="278">
        <v>1</v>
      </c>
      <c r="DW244" s="278">
        <v>1</v>
      </c>
      <c r="DX244" s="278">
        <v>1</v>
      </c>
      <c r="DY244" s="278">
        <v>0</v>
      </c>
      <c r="DZ244" s="257">
        <v>0</v>
      </c>
      <c r="EA244" s="278">
        <v>0</v>
      </c>
      <c r="EB244" s="278">
        <v>1</v>
      </c>
      <c r="EC244" s="278">
        <v>1</v>
      </c>
      <c r="ED244" s="278">
        <v>0</v>
      </c>
      <c r="EE244" s="278">
        <v>0</v>
      </c>
      <c r="EF244" s="257">
        <v>1</v>
      </c>
      <c r="EG244" s="278">
        <v>0</v>
      </c>
      <c r="EH244" s="257">
        <v>0</v>
      </c>
      <c r="EI244" s="258">
        <v>0</v>
      </c>
      <c r="EJ244" s="256"/>
      <c r="EK244" t="str">
        <f>IF(AND(AND(AND(OR($DX244=1,$DW244=1),OR($EC244=1,$EA244=1)),SUM($DV244:$DZ244,$EF244)&gt;=4),SUM($EA244:$EE244)&gt;=2),"Whole sector","")</f>
        <v>Whole sector</v>
      </c>
      <c r="EL244" t="str">
        <f>IF(AND(AND(OR($DX244=1,$DW244=1),AND($EC244=0,$EA244=0)),SUM($DV244:$DZ244,$EF244)&gt;=4),"Ecosystem approach","")</f>
        <v/>
      </c>
      <c r="EM244" s="258" t="s">
        <v>545</v>
      </c>
      <c r="EN244" s="257" t="s">
        <v>237</v>
      </c>
      <c r="EO244" s="257"/>
      <c r="EP244" t="str">
        <f>IF(ISNUMBER(BU244),IF(ABS(BU244-[3]QC_indicators!$B$2)&gt;3*[3]QC_indicators!$C$2,"C ratio",IF(ISNUMBER(BY244),IF(ABS(BY244-[3]QC_indicators!$B$1)&gt;3*[3]QC_indicators!$C$1,"DF","no"))),IF(ISNUMBER(BY244),IF(ABS(BY244-[3]QC_indicators!$B$1)&gt;3*[3]QC_indicators!$C$1,"DF","no")))</f>
        <v>no</v>
      </c>
      <c r="EQ244"/>
      <c r="ER244"/>
      <c r="ES244"/>
      <c r="ET244"/>
      <c r="EU244"/>
    </row>
    <row r="245" spans="1:151" s="139" customFormat="1" ht="15" hidden="1" customHeight="1">
      <c r="A245" s="256" t="s">
        <v>215</v>
      </c>
      <c r="B245" s="257" t="s">
        <v>216</v>
      </c>
      <c r="C245" s="257" t="s">
        <v>217</v>
      </c>
      <c r="D245" s="257" t="s">
        <v>218</v>
      </c>
      <c r="E245" s="257" t="s">
        <v>219</v>
      </c>
      <c r="F245" s="257" t="s">
        <v>220</v>
      </c>
      <c r="G245" s="257" t="s">
        <v>221</v>
      </c>
      <c r="H245" s="257"/>
      <c r="I245" s="257">
        <v>2012</v>
      </c>
      <c r="J245" s="257"/>
      <c r="K245" s="257" t="s">
        <v>222</v>
      </c>
      <c r="L245" s="257"/>
      <c r="M245" s="257" t="s">
        <v>3072</v>
      </c>
      <c r="N245" s="257" t="s">
        <v>223</v>
      </c>
      <c r="O245" s="277" t="s">
        <v>224</v>
      </c>
      <c r="P245" s="257"/>
      <c r="Q245" s="257" t="s">
        <v>225</v>
      </c>
      <c r="R245" s="258" t="s">
        <v>226</v>
      </c>
      <c r="S245" s="256" t="s">
        <v>227</v>
      </c>
      <c r="T245" s="257" t="s">
        <v>229</v>
      </c>
      <c r="U245" s="257" t="s">
        <v>238</v>
      </c>
      <c r="V245" s="257">
        <v>0</v>
      </c>
      <c r="W245" s="257">
        <v>0</v>
      </c>
      <c r="X245" s="257">
        <v>0</v>
      </c>
      <c r="Y245" s="257">
        <v>1</v>
      </c>
      <c r="Z245" s="257">
        <v>0</v>
      </c>
      <c r="AA245" s="257">
        <v>0</v>
      </c>
      <c r="AB245" s="257">
        <v>0</v>
      </c>
      <c r="AC245" s="257">
        <v>0</v>
      </c>
      <c r="AD245" s="257">
        <v>0</v>
      </c>
      <c r="AE245" s="257">
        <v>0</v>
      </c>
      <c r="AF245" s="257">
        <v>0</v>
      </c>
      <c r="AG245" s="257">
        <v>0</v>
      </c>
      <c r="AH245" s="257">
        <v>0</v>
      </c>
      <c r="AI245" s="257">
        <v>0</v>
      </c>
      <c r="AJ245" s="257">
        <v>0</v>
      </c>
      <c r="AK245" s="257">
        <v>0</v>
      </c>
      <c r="AL245" s="257">
        <v>0</v>
      </c>
      <c r="AM245" s="257">
        <v>0</v>
      </c>
      <c r="AN245" s="257">
        <v>0</v>
      </c>
      <c r="AO245" s="257">
        <v>0</v>
      </c>
      <c r="AP245" s="257">
        <v>0</v>
      </c>
      <c r="AQ245" s="257">
        <v>0</v>
      </c>
      <c r="AR245" s="257">
        <v>0</v>
      </c>
      <c r="AS245" s="257">
        <v>0</v>
      </c>
      <c r="AT245" s="257">
        <v>0</v>
      </c>
      <c r="AU245" s="257">
        <v>0</v>
      </c>
      <c r="AV245" s="257">
        <v>0</v>
      </c>
      <c r="AW245" s="257">
        <v>0</v>
      </c>
      <c r="AX245" s="279">
        <v>1</v>
      </c>
      <c r="AY245" s="279">
        <v>1</v>
      </c>
      <c r="AZ245" s="257">
        <v>1</v>
      </c>
      <c r="BA245" s="257">
        <v>0</v>
      </c>
      <c r="BB245" s="257">
        <v>0</v>
      </c>
      <c r="BC245" s="257">
        <v>0</v>
      </c>
      <c r="BD245" s="257">
        <v>0</v>
      </c>
      <c r="BE245" s="257" t="s">
        <v>92</v>
      </c>
      <c r="BF245" s="2" t="str" cm="1">
        <f t="array" ref="BF245">IF(COUNTIF(AZ245:BB245,"&lt;&gt;0")=1,INDEX($V$4:$AW$4,MATCH(TRUE,INDEX($V245:$AW245&lt;&gt;0,),0)),IF(COUNTIF(AZ245:BB245,"&lt;&gt;0")=0,INDEX($AM$4:$AW$4,MATCH(1,$AM245:$AW245,0)),"Multiple strategies"))</f>
        <v>SilvicultureRemov</v>
      </c>
      <c r="BG245" s="280" t="s">
        <v>230</v>
      </c>
      <c r="BH245" s="257" t="s">
        <v>231</v>
      </c>
      <c r="BI245" s="281" t="s">
        <v>3073</v>
      </c>
      <c r="BJ245" s="278" t="s">
        <v>232</v>
      </c>
      <c r="BK245" s="257">
        <v>58.199966019999998</v>
      </c>
      <c r="BL245" s="257">
        <v>62.093385429999998</v>
      </c>
      <c r="BM245" s="278">
        <v>1.0668972797795457</v>
      </c>
      <c r="BN245" s="257">
        <v>3.8934194099999999</v>
      </c>
      <c r="BO245" s="278">
        <v>7.9457538979591833</v>
      </c>
      <c r="BP245" s="278" t="s">
        <v>233</v>
      </c>
      <c r="BQ245" s="312" t="s">
        <v>3073</v>
      </c>
      <c r="BR245" s="278" t="s">
        <v>234</v>
      </c>
      <c r="BS245" s="257">
        <v>-9.137844007</v>
      </c>
      <c r="BT245" s="257">
        <v>-8.7761541919999999</v>
      </c>
      <c r="BU245" s="259">
        <v>0.96041847346891351</v>
      </c>
      <c r="BV245" s="257">
        <v>0.36168981500000008</v>
      </c>
      <c r="BW245" s="257"/>
      <c r="BX245" s="257">
        <v>3.616898150000001E-4</v>
      </c>
      <c r="BY245" s="257">
        <v>4.5519886425490453E-5</v>
      </c>
      <c r="BZ245" s="257">
        <v>0</v>
      </c>
      <c r="CA245" s="257">
        <v>0</v>
      </c>
      <c r="CB245" s="257">
        <v>0</v>
      </c>
      <c r="CC245" s="257">
        <v>0</v>
      </c>
      <c r="CD245" s="257">
        <v>0</v>
      </c>
      <c r="CE245" s="257">
        <v>0</v>
      </c>
      <c r="CF245" s="257">
        <v>0</v>
      </c>
      <c r="CG245" s="257">
        <v>0</v>
      </c>
      <c r="CH245" s="257">
        <v>0</v>
      </c>
      <c r="CI245" s="257">
        <v>0</v>
      </c>
      <c r="CJ245" s="257">
        <v>0</v>
      </c>
      <c r="CK245" s="257">
        <v>0</v>
      </c>
      <c r="CL245" s="257">
        <v>0</v>
      </c>
      <c r="CM245" s="257">
        <v>0</v>
      </c>
      <c r="CN245" s="257" t="s">
        <v>3074</v>
      </c>
      <c r="CO245" s="257">
        <v>58.199966019999998</v>
      </c>
      <c r="CP245" s="257">
        <v>62.093385429999998</v>
      </c>
      <c r="CQ245" s="257">
        <v>7.9457538979591833</v>
      </c>
      <c r="CR245" s="257">
        <v>-9.137844007</v>
      </c>
      <c r="CS245" s="257">
        <v>-8.7761541919999999</v>
      </c>
      <c r="CT245" s="257">
        <v>3.616898150000001E-4</v>
      </c>
      <c r="CU245" s="257">
        <v>4.5519886425490453E-5</v>
      </c>
      <c r="CV245" s="258">
        <v>3.9581526531086479E-2</v>
      </c>
      <c r="CW245" s="256" t="s">
        <v>235</v>
      </c>
      <c r="CX245" s="257" t="s">
        <v>3075</v>
      </c>
      <c r="CY245" s="257" t="s">
        <v>236</v>
      </c>
      <c r="CZ245" s="257"/>
      <c r="DA245" s="278"/>
      <c r="DB245" s="278">
        <v>80</v>
      </c>
      <c r="DC245" s="257" t="s">
        <v>3076</v>
      </c>
      <c r="DD245" s="257">
        <v>0</v>
      </c>
      <c r="DE245" s="257">
        <v>1</v>
      </c>
      <c r="DF245" s="257">
        <v>0</v>
      </c>
      <c r="DG245" s="257">
        <v>0</v>
      </c>
      <c r="DH245" s="257"/>
      <c r="DI245" s="257">
        <v>1</v>
      </c>
      <c r="DJ245" s="257" t="s">
        <v>174</v>
      </c>
      <c r="DK245" s="257">
        <v>0</v>
      </c>
      <c r="DL245" s="257" t="s">
        <v>181</v>
      </c>
      <c r="DM245" s="257">
        <v>0</v>
      </c>
      <c r="DN245" s="257">
        <v>0</v>
      </c>
      <c r="DO245" s="257">
        <v>0</v>
      </c>
      <c r="DP245" s="278">
        <v>0</v>
      </c>
      <c r="DQ245" s="278">
        <v>0</v>
      </c>
      <c r="DR245" s="278">
        <v>0</v>
      </c>
      <c r="DS245" s="278">
        <v>0</v>
      </c>
      <c r="DT245" s="257">
        <v>0</v>
      </c>
      <c r="DU245" s="278" t="s">
        <v>964</v>
      </c>
      <c r="DV245" s="278">
        <v>1</v>
      </c>
      <c r="DW245" s="278">
        <v>1</v>
      </c>
      <c r="DX245" s="278">
        <v>1</v>
      </c>
      <c r="DY245" s="278">
        <v>0</v>
      </c>
      <c r="DZ245" s="257">
        <v>0</v>
      </c>
      <c r="EA245" s="278">
        <v>0</v>
      </c>
      <c r="EB245" s="278">
        <v>1</v>
      </c>
      <c r="EC245" s="278">
        <v>1</v>
      </c>
      <c r="ED245" s="278">
        <v>0</v>
      </c>
      <c r="EE245" s="278">
        <v>0</v>
      </c>
      <c r="EF245" s="257">
        <v>1</v>
      </c>
      <c r="EG245" s="278">
        <v>0</v>
      </c>
      <c r="EH245" s="257">
        <v>0</v>
      </c>
      <c r="EI245" s="258">
        <v>0</v>
      </c>
      <c r="EJ245" s="256"/>
      <c r="EK245" t="str">
        <f>IF(AND(AND(AND(OR($DX245=1,$DW245=1),OR($EC245=1,$EA245=1)),SUM($DV245:$DZ245,$EF245)&gt;=4),SUM($EA245:$EE245)&gt;=2),"Whole sector","")</f>
        <v>Whole sector</v>
      </c>
      <c r="EL245" t="str">
        <f>IF(AND(AND(OR($DX245=1,$DW245=1),AND($EC245=0,$EA245=0)),SUM($DV245:$DZ245,$EF245)&gt;=4),"Ecosystem approach","")</f>
        <v/>
      </c>
      <c r="EM245" s="258" t="s">
        <v>545</v>
      </c>
      <c r="EN245" s="257" t="s">
        <v>237</v>
      </c>
      <c r="EO245" s="257"/>
      <c r="EP245" t="str">
        <f>IF(ISNUMBER(BU245),IF(ABS(BU245-[3]QC_indicators!$B$2)&gt;3*[3]QC_indicators!$C$2,"C ratio",IF(ISNUMBER(BY245),IF(ABS(BY245-[3]QC_indicators!$B$1)&gt;3*[3]QC_indicators!$C$1,"DF","no"))),IF(ISNUMBER(BY245),IF(ABS(BY245-[3]QC_indicators!$B$1)&gt;3*[3]QC_indicators!$C$1,"DF","no")))</f>
        <v>no</v>
      </c>
      <c r="EQ245" s="282"/>
      <c r="ER245" s="282"/>
      <c r="ES245" s="282"/>
      <c r="ET245"/>
      <c r="EU245"/>
    </row>
    <row r="246" spans="1:151" s="139" customFormat="1" ht="15" hidden="1" customHeight="1">
      <c r="A246" s="256" t="s">
        <v>215</v>
      </c>
      <c r="B246" s="257" t="s">
        <v>216</v>
      </c>
      <c r="C246" s="257" t="s">
        <v>217</v>
      </c>
      <c r="D246" s="257" t="s">
        <v>218</v>
      </c>
      <c r="E246" s="257" t="s">
        <v>219</v>
      </c>
      <c r="F246" s="257" t="s">
        <v>220</v>
      </c>
      <c r="G246" s="257" t="s">
        <v>221</v>
      </c>
      <c r="H246" s="257"/>
      <c r="I246" s="257">
        <v>2012</v>
      </c>
      <c r="J246" s="257"/>
      <c r="K246" s="257" t="s">
        <v>222</v>
      </c>
      <c r="L246" s="257"/>
      <c r="M246" s="257" t="s">
        <v>3072</v>
      </c>
      <c r="N246" s="257" t="s">
        <v>223</v>
      </c>
      <c r="O246" s="277" t="s">
        <v>224</v>
      </c>
      <c r="P246" s="257"/>
      <c r="Q246" s="257" t="s">
        <v>225</v>
      </c>
      <c r="R246" s="258" t="s">
        <v>226</v>
      </c>
      <c r="S246" s="256" t="s">
        <v>241</v>
      </c>
      <c r="T246" s="257">
        <v>2000</v>
      </c>
      <c r="U246" s="257">
        <v>4000</v>
      </c>
      <c r="V246" s="257">
        <v>0</v>
      </c>
      <c r="W246" s="257">
        <v>0</v>
      </c>
      <c r="X246" s="257">
        <v>0</v>
      </c>
      <c r="Y246" s="257">
        <v>0</v>
      </c>
      <c r="Z246" s="257">
        <v>0</v>
      </c>
      <c r="AA246" s="257">
        <v>1</v>
      </c>
      <c r="AB246" s="257">
        <v>0</v>
      </c>
      <c r="AC246" s="257">
        <v>0</v>
      </c>
      <c r="AD246" s="257">
        <v>0</v>
      </c>
      <c r="AE246" s="257">
        <v>0</v>
      </c>
      <c r="AF246" s="257">
        <v>0</v>
      </c>
      <c r="AG246" s="257">
        <v>0</v>
      </c>
      <c r="AH246" s="257">
        <v>0</v>
      </c>
      <c r="AI246" s="257">
        <v>0</v>
      </c>
      <c r="AJ246" s="257">
        <v>0</v>
      </c>
      <c r="AK246" s="257">
        <v>0</v>
      </c>
      <c r="AL246" s="257">
        <v>0</v>
      </c>
      <c r="AM246" s="257">
        <v>0</v>
      </c>
      <c r="AN246" s="257">
        <v>0</v>
      </c>
      <c r="AO246" s="257">
        <v>0</v>
      </c>
      <c r="AP246" s="257">
        <v>0</v>
      </c>
      <c r="AQ246" s="257">
        <v>0</v>
      </c>
      <c r="AR246" s="257">
        <v>0</v>
      </c>
      <c r="AS246" s="257">
        <v>0</v>
      </c>
      <c r="AT246" s="257">
        <v>0</v>
      </c>
      <c r="AU246" s="257">
        <v>0</v>
      </c>
      <c r="AV246" s="257">
        <v>0</v>
      </c>
      <c r="AW246" s="257">
        <v>0</v>
      </c>
      <c r="AX246" s="279">
        <v>1</v>
      </c>
      <c r="AY246" s="279">
        <v>1</v>
      </c>
      <c r="AZ246" s="257">
        <v>1</v>
      </c>
      <c r="BA246" s="257">
        <v>0</v>
      </c>
      <c r="BB246" s="257">
        <v>0</v>
      </c>
      <c r="BC246" s="257">
        <v>0</v>
      </c>
      <c r="BD246" s="257">
        <v>0</v>
      </c>
      <c r="BE246" s="257" t="s">
        <v>94</v>
      </c>
      <c r="BF246" s="2" t="str" cm="1">
        <f t="array" ref="BF246">IF(COUNTIF(AZ246:BB246,"&lt;&gt;0")=1,INDEX($V$4:$AW$4,MATCH(TRUE,INDEX($V246:$AW246&lt;&gt;0,),0)),IF(COUNTIF(AZ246:BB246,"&lt;&gt;0")=0,INDEX($AM$4:$AW$4,MATCH(1,$AM246:$AW246,0)),"Multiple strategies"))</f>
        <v>SilvicultureProd</v>
      </c>
      <c r="BG246" s="280" t="s">
        <v>230</v>
      </c>
      <c r="BH246" s="257" t="s">
        <v>231</v>
      </c>
      <c r="BI246" s="281" t="s">
        <v>3073</v>
      </c>
      <c r="BJ246" s="278" t="s">
        <v>232</v>
      </c>
      <c r="BK246" s="257">
        <v>53.012261809999998</v>
      </c>
      <c r="BL246" s="257">
        <v>60.054679620000002</v>
      </c>
      <c r="BM246" s="278">
        <v>1.1328450733764306</v>
      </c>
      <c r="BN246" s="257">
        <v>7.0424178100000034</v>
      </c>
      <c r="BO246" s="278">
        <v>14.372281244897966</v>
      </c>
      <c r="BP246" s="278" t="s">
        <v>233</v>
      </c>
      <c r="BQ246" s="312" t="s">
        <v>3073</v>
      </c>
      <c r="BR246" s="278" t="s">
        <v>234</v>
      </c>
      <c r="BS246" s="257">
        <v>-8.8453815260000006</v>
      </c>
      <c r="BT246" s="257">
        <v>-9.0244200239999994</v>
      </c>
      <c r="BU246" s="259">
        <v>1.0202409017037575</v>
      </c>
      <c r="BV246" s="257">
        <v>-0.17903849799999882</v>
      </c>
      <c r="BW246" s="257"/>
      <c r="BX246" s="257">
        <v>-1.7903849799999881E-4</v>
      </c>
      <c r="BY246" s="257">
        <v>-1.2457208076383553E-5</v>
      </c>
      <c r="BZ246" s="257">
        <v>0</v>
      </c>
      <c r="CA246" s="257">
        <v>0</v>
      </c>
      <c r="CB246" s="257">
        <v>0</v>
      </c>
      <c r="CC246" s="257">
        <v>0</v>
      </c>
      <c r="CD246" s="257">
        <v>0</v>
      </c>
      <c r="CE246" s="257">
        <v>0</v>
      </c>
      <c r="CF246" s="257">
        <v>0</v>
      </c>
      <c r="CG246" s="257">
        <v>0</v>
      </c>
      <c r="CH246" s="257">
        <v>0</v>
      </c>
      <c r="CI246" s="257">
        <v>0</v>
      </c>
      <c r="CJ246" s="257">
        <v>0</v>
      </c>
      <c r="CK246" s="257">
        <v>0</v>
      </c>
      <c r="CL246" s="257">
        <v>0</v>
      </c>
      <c r="CM246" s="257">
        <v>0</v>
      </c>
      <c r="CN246" s="257" t="s">
        <v>3074</v>
      </c>
      <c r="CO246" s="257">
        <v>53.012261809999998</v>
      </c>
      <c r="CP246" s="257">
        <v>60.054679620000002</v>
      </c>
      <c r="CQ246" s="257">
        <v>14.372281244897966</v>
      </c>
      <c r="CR246" s="257">
        <v>-8.8453815260000006</v>
      </c>
      <c r="CS246" s="257">
        <v>-9.0244200239999994</v>
      </c>
      <c r="CT246" s="257">
        <v>-1.7903849799999881E-4</v>
      </c>
      <c r="CU246" s="257">
        <v>-1.2457208076383553E-5</v>
      </c>
      <c r="CV246" s="258">
        <v>-2.0240901703757534E-2</v>
      </c>
      <c r="CW246" s="256" t="s">
        <v>235</v>
      </c>
      <c r="CX246" s="257" t="s">
        <v>3075</v>
      </c>
      <c r="CY246" s="257" t="s">
        <v>236</v>
      </c>
      <c r="CZ246" s="257"/>
      <c r="DA246" s="278"/>
      <c r="DB246" s="278">
        <v>80</v>
      </c>
      <c r="DC246" s="257" t="s">
        <v>3076</v>
      </c>
      <c r="DD246" s="257">
        <v>0</v>
      </c>
      <c r="DE246" s="257">
        <v>1</v>
      </c>
      <c r="DF246" s="257">
        <v>0</v>
      </c>
      <c r="DG246" s="257">
        <v>0</v>
      </c>
      <c r="DH246" s="257"/>
      <c r="DI246" s="257">
        <v>1</v>
      </c>
      <c r="DJ246" s="257" t="s">
        <v>174</v>
      </c>
      <c r="DK246" s="257">
        <v>0</v>
      </c>
      <c r="DL246" s="257" t="s">
        <v>181</v>
      </c>
      <c r="DM246" s="257">
        <v>0</v>
      </c>
      <c r="DN246" s="257">
        <v>0</v>
      </c>
      <c r="DO246" s="257">
        <v>0</v>
      </c>
      <c r="DP246" s="278">
        <v>0</v>
      </c>
      <c r="DQ246" s="278">
        <v>0</v>
      </c>
      <c r="DR246" s="278">
        <v>0</v>
      </c>
      <c r="DS246" s="278">
        <v>0</v>
      </c>
      <c r="DT246" s="257">
        <v>0</v>
      </c>
      <c r="DU246" s="278" t="s">
        <v>964</v>
      </c>
      <c r="DV246" s="278">
        <v>1</v>
      </c>
      <c r="DW246" s="278">
        <v>1</v>
      </c>
      <c r="DX246" s="278">
        <v>1</v>
      </c>
      <c r="DY246" s="278">
        <v>0</v>
      </c>
      <c r="DZ246" s="257">
        <v>0</v>
      </c>
      <c r="EA246" s="278">
        <v>0</v>
      </c>
      <c r="EB246" s="278">
        <v>1</v>
      </c>
      <c r="EC246" s="278">
        <v>1</v>
      </c>
      <c r="ED246" s="278">
        <v>0</v>
      </c>
      <c r="EE246" s="278">
        <v>0</v>
      </c>
      <c r="EF246" s="257">
        <v>1</v>
      </c>
      <c r="EG246" s="278">
        <v>0</v>
      </c>
      <c r="EH246" s="257">
        <v>0</v>
      </c>
      <c r="EI246" s="258">
        <v>0</v>
      </c>
      <c r="EJ246" s="256"/>
      <c r="EK246" t="str">
        <f>IF(AND(AND(AND(OR($DX246=1,$DW246=1),OR($EC246=1,$EA246=1)),SUM($DV246:$DZ246,$EF246)&gt;=4),SUM($EA246:$EE246)&gt;=2),"Whole sector","")</f>
        <v>Whole sector</v>
      </c>
      <c r="EL246" t="str">
        <f>IF(AND(AND(OR($DX246=1,$DW246=1),AND($EC246=0,$EA246=0)),SUM($DV246:$DZ246,$EF246)&gt;=4),"Ecosystem approach","")</f>
        <v/>
      </c>
      <c r="EM246" s="258" t="s">
        <v>545</v>
      </c>
      <c r="EN246" s="257" t="s">
        <v>237</v>
      </c>
      <c r="EO246" s="257"/>
      <c r="EP246" t="str">
        <f>IF(ISNUMBER(BU246),IF(ABS(BU246-[3]QC_indicators!$B$2)&gt;3*[3]QC_indicators!$C$2,"C ratio",IF(ISNUMBER(BY246),IF(ABS(BY246-[3]QC_indicators!$B$1)&gt;3*[3]QC_indicators!$C$1,"DF","no"))),IF(ISNUMBER(BY246),IF(ABS(BY246-[3]QC_indicators!$B$1)&gt;3*[3]QC_indicators!$C$1,"DF","no")))</f>
        <v>no</v>
      </c>
      <c r="EQ246" s="282"/>
      <c r="ER246" s="282"/>
      <c r="ES246" s="282"/>
      <c r="ET246"/>
      <c r="EU246"/>
    </row>
    <row r="247" spans="1:151" s="139" customFormat="1" ht="15" hidden="1" customHeight="1">
      <c r="A247" s="256" t="s">
        <v>215</v>
      </c>
      <c r="B247" s="257" t="s">
        <v>216</v>
      </c>
      <c r="C247" s="257" t="s">
        <v>217</v>
      </c>
      <c r="D247" s="257" t="s">
        <v>218</v>
      </c>
      <c r="E247" s="257" t="s">
        <v>219</v>
      </c>
      <c r="F247" s="257" t="s">
        <v>220</v>
      </c>
      <c r="G247" s="257" t="s">
        <v>221</v>
      </c>
      <c r="H247" s="257"/>
      <c r="I247" s="257">
        <v>2012</v>
      </c>
      <c r="J247" s="257"/>
      <c r="K247" s="257" t="s">
        <v>222</v>
      </c>
      <c r="L247" s="257"/>
      <c r="M247" s="257" t="s">
        <v>3072</v>
      </c>
      <c r="N247" s="257" t="s">
        <v>223</v>
      </c>
      <c r="O247" s="277" t="s">
        <v>224</v>
      </c>
      <c r="P247" s="257"/>
      <c r="Q247" s="257" t="s">
        <v>225</v>
      </c>
      <c r="R247" s="258" t="s">
        <v>226</v>
      </c>
      <c r="S247" s="256" t="s">
        <v>227</v>
      </c>
      <c r="T247" s="257" t="s">
        <v>229</v>
      </c>
      <c r="U247" s="257" t="s">
        <v>228</v>
      </c>
      <c r="V247" s="257">
        <v>0</v>
      </c>
      <c r="W247" s="257">
        <v>0</v>
      </c>
      <c r="X247" s="257">
        <v>0</v>
      </c>
      <c r="Y247" s="257">
        <v>1</v>
      </c>
      <c r="Z247" s="257">
        <v>0</v>
      </c>
      <c r="AA247" s="257">
        <v>0</v>
      </c>
      <c r="AB247" s="257">
        <v>0</v>
      </c>
      <c r="AC247" s="257">
        <v>0</v>
      </c>
      <c r="AD247" s="257">
        <v>0</v>
      </c>
      <c r="AE247" s="257">
        <v>0</v>
      </c>
      <c r="AF247" s="257">
        <v>0</v>
      </c>
      <c r="AG247" s="257">
        <v>0</v>
      </c>
      <c r="AH247" s="257">
        <v>0</v>
      </c>
      <c r="AI247" s="257">
        <v>0</v>
      </c>
      <c r="AJ247" s="257">
        <v>0</v>
      </c>
      <c r="AK247" s="257">
        <v>0</v>
      </c>
      <c r="AL247" s="257">
        <v>0</v>
      </c>
      <c r="AM247" s="257">
        <v>0</v>
      </c>
      <c r="AN247" s="257">
        <v>0</v>
      </c>
      <c r="AO247" s="257">
        <v>0</v>
      </c>
      <c r="AP247" s="257">
        <v>0</v>
      </c>
      <c r="AQ247" s="257">
        <v>0</v>
      </c>
      <c r="AR247" s="257">
        <v>0</v>
      </c>
      <c r="AS247" s="257">
        <v>0</v>
      </c>
      <c r="AT247" s="257">
        <v>0</v>
      </c>
      <c r="AU247" s="257">
        <v>0</v>
      </c>
      <c r="AV247" s="257">
        <v>0</v>
      </c>
      <c r="AW247" s="257">
        <v>0</v>
      </c>
      <c r="AX247" s="279">
        <v>1</v>
      </c>
      <c r="AY247" s="279">
        <v>1</v>
      </c>
      <c r="AZ247" s="257">
        <v>1</v>
      </c>
      <c r="BA247" s="257">
        <v>0</v>
      </c>
      <c r="BB247" s="257">
        <v>0</v>
      </c>
      <c r="BC247" s="257">
        <v>0</v>
      </c>
      <c r="BD247" s="257">
        <v>0</v>
      </c>
      <c r="BE247" s="257" t="s">
        <v>92</v>
      </c>
      <c r="BF247" s="2" t="str" cm="1">
        <f t="array" ref="BF247">IF(COUNTIF(AZ247:BB247,"&lt;&gt;0")=1,INDEX($V$4:$AW$4,MATCH(TRUE,INDEX($V247:$AW247&lt;&gt;0,),0)),IF(COUNTIF(AZ247:BB247,"&lt;&gt;0")=0,INDEX($AM$4:$AW$4,MATCH(1,$AM247:$AW247,0)),"Multiple strategies"))</f>
        <v>SilvicultureRemov</v>
      </c>
      <c r="BG247" s="280" t="s">
        <v>230</v>
      </c>
      <c r="BH247" s="257" t="s">
        <v>231</v>
      </c>
      <c r="BI247" s="281" t="s">
        <v>3073</v>
      </c>
      <c r="BJ247" s="278" t="s">
        <v>232</v>
      </c>
      <c r="BK247" s="257">
        <v>56.739926740000001</v>
      </c>
      <c r="BL247" s="257">
        <v>60.054679620000002</v>
      </c>
      <c r="BM247" s="278">
        <v>1.0584201120877232</v>
      </c>
      <c r="BN247" s="257">
        <v>3.3147528800000003</v>
      </c>
      <c r="BO247" s="278">
        <v>6.7648017959183679</v>
      </c>
      <c r="BP247" s="278" t="s">
        <v>233</v>
      </c>
      <c r="BQ247" s="312" t="s">
        <v>3073</v>
      </c>
      <c r="BR247" s="278" t="s">
        <v>234</v>
      </c>
      <c r="BS247" s="257">
        <v>-9.5324096189999992</v>
      </c>
      <c r="BT247" s="257">
        <v>-9.0244200239999994</v>
      </c>
      <c r="BU247" s="259">
        <v>0.94670921463682434</v>
      </c>
      <c r="BV247" s="257">
        <v>0.50798959499999974</v>
      </c>
      <c r="BW247" s="257"/>
      <c r="BX247" s="257">
        <v>5.0798959499999971E-4</v>
      </c>
      <c r="BY247" s="257">
        <v>7.5093049334645982E-5</v>
      </c>
      <c r="BZ247" s="257">
        <v>0</v>
      </c>
      <c r="CA247" s="257">
        <v>0</v>
      </c>
      <c r="CB247" s="257">
        <v>0</v>
      </c>
      <c r="CC247" s="257">
        <v>0</v>
      </c>
      <c r="CD247" s="257">
        <v>0</v>
      </c>
      <c r="CE247" s="257">
        <v>0</v>
      </c>
      <c r="CF247" s="257">
        <v>0</v>
      </c>
      <c r="CG247" s="257">
        <v>0</v>
      </c>
      <c r="CH247" s="257">
        <v>0</v>
      </c>
      <c r="CI247" s="257">
        <v>0</v>
      </c>
      <c r="CJ247" s="257">
        <v>0</v>
      </c>
      <c r="CK247" s="257">
        <v>0</v>
      </c>
      <c r="CL247" s="257">
        <v>0</v>
      </c>
      <c r="CM247" s="257">
        <v>0</v>
      </c>
      <c r="CN247" s="257" t="s">
        <v>3074</v>
      </c>
      <c r="CO247" s="257">
        <v>56.739926740000001</v>
      </c>
      <c r="CP247" s="257">
        <v>60.054679620000002</v>
      </c>
      <c r="CQ247" s="257">
        <v>6.7648017959183679</v>
      </c>
      <c r="CR247" s="257">
        <v>-9.5324096189999992</v>
      </c>
      <c r="CS247" s="257">
        <v>-9.0244200239999994</v>
      </c>
      <c r="CT247" s="257">
        <v>5.0798959499999971E-4</v>
      </c>
      <c r="CU247" s="257">
        <v>7.5093049334645982E-5</v>
      </c>
      <c r="CV247" s="258">
        <v>5.3290785363175629E-2</v>
      </c>
      <c r="CW247" s="256" t="s">
        <v>235</v>
      </c>
      <c r="CX247" s="257" t="s">
        <v>3075</v>
      </c>
      <c r="CY247" s="257" t="s">
        <v>236</v>
      </c>
      <c r="CZ247" s="257"/>
      <c r="DA247" s="278"/>
      <c r="DB247" s="278">
        <v>80</v>
      </c>
      <c r="DC247" s="257" t="s">
        <v>3076</v>
      </c>
      <c r="DD247" s="257">
        <v>0</v>
      </c>
      <c r="DE247" s="257">
        <v>1</v>
      </c>
      <c r="DF247" s="257">
        <v>0</v>
      </c>
      <c r="DG247" s="257">
        <v>0</v>
      </c>
      <c r="DH247" s="257"/>
      <c r="DI247" s="257">
        <v>1</v>
      </c>
      <c r="DJ247" s="257" t="s">
        <v>174</v>
      </c>
      <c r="DK247" s="257">
        <v>0</v>
      </c>
      <c r="DL247" s="257" t="s">
        <v>181</v>
      </c>
      <c r="DM247" s="257">
        <v>0</v>
      </c>
      <c r="DN247" s="257">
        <v>0</v>
      </c>
      <c r="DO247" s="257">
        <v>0</v>
      </c>
      <c r="DP247" s="278">
        <v>0</v>
      </c>
      <c r="DQ247" s="278">
        <v>0</v>
      </c>
      <c r="DR247" s="278">
        <v>0</v>
      </c>
      <c r="DS247" s="278">
        <v>0</v>
      </c>
      <c r="DT247" s="257">
        <v>0</v>
      </c>
      <c r="DU247" s="278" t="s">
        <v>964</v>
      </c>
      <c r="DV247" s="278">
        <v>1</v>
      </c>
      <c r="DW247" s="278">
        <v>1</v>
      </c>
      <c r="DX247" s="278">
        <v>1</v>
      </c>
      <c r="DY247" s="278">
        <v>0</v>
      </c>
      <c r="DZ247" s="257">
        <v>0</v>
      </c>
      <c r="EA247" s="278">
        <v>0</v>
      </c>
      <c r="EB247" s="278">
        <v>1</v>
      </c>
      <c r="EC247" s="278">
        <v>1</v>
      </c>
      <c r="ED247" s="278">
        <v>0</v>
      </c>
      <c r="EE247" s="278">
        <v>0</v>
      </c>
      <c r="EF247" s="257">
        <v>1</v>
      </c>
      <c r="EG247" s="278">
        <v>0</v>
      </c>
      <c r="EH247" s="257">
        <v>0</v>
      </c>
      <c r="EI247" s="258">
        <v>0</v>
      </c>
      <c r="EJ247" s="256"/>
      <c r="EK247" t="str">
        <f>IF(AND(AND(AND(OR($DX247=1,$DW247=1),OR($EC247=1,$EA247=1)),SUM($DV247:$DZ247,$EF247)&gt;=4),SUM($EA247:$EE247)&gt;=2),"Whole sector","")</f>
        <v>Whole sector</v>
      </c>
      <c r="EL247" t="str">
        <f>IF(AND(AND(OR($DX247=1,$DW247=1),AND($EC247=0,$EA247=0)),SUM($DV247:$DZ247,$EF247)&gt;=4),"Ecosystem approach","")</f>
        <v/>
      </c>
      <c r="EM247" s="258" t="s">
        <v>545</v>
      </c>
      <c r="EN247" s="257" t="s">
        <v>237</v>
      </c>
      <c r="EO247" s="257"/>
      <c r="EP247" t="str">
        <f>IF(ISNUMBER(BU247),IF(ABS(BU247-[3]QC_indicators!$B$2)&gt;3*[3]QC_indicators!$C$2,"C ratio",IF(ISNUMBER(BY247),IF(ABS(BY247-[3]QC_indicators!$B$1)&gt;3*[3]QC_indicators!$C$1,"DF","no"))),IF(ISNUMBER(BY247),IF(ABS(BY247-[3]QC_indicators!$B$1)&gt;3*[3]QC_indicators!$C$1,"DF","no")))</f>
        <v>no</v>
      </c>
      <c r="EQ247" s="282"/>
      <c r="ER247" s="282"/>
      <c r="ES247" s="282"/>
      <c r="ET247"/>
      <c r="EU247"/>
    </row>
    <row r="248" spans="1:151" s="139" customFormat="1" ht="15" hidden="1" customHeight="1">
      <c r="A248" s="256" t="s">
        <v>215</v>
      </c>
      <c r="B248" s="257" t="s">
        <v>216</v>
      </c>
      <c r="C248" s="257" t="s">
        <v>217</v>
      </c>
      <c r="D248" s="257" t="s">
        <v>218</v>
      </c>
      <c r="E248" s="257" t="s">
        <v>219</v>
      </c>
      <c r="F248" s="257" t="s">
        <v>220</v>
      </c>
      <c r="G248" s="257" t="s">
        <v>221</v>
      </c>
      <c r="H248" s="257"/>
      <c r="I248" s="257">
        <v>2012</v>
      </c>
      <c r="J248" s="257"/>
      <c r="K248" s="257" t="s">
        <v>222</v>
      </c>
      <c r="L248" s="257"/>
      <c r="M248" s="257" t="s">
        <v>3072</v>
      </c>
      <c r="N248" s="257" t="s">
        <v>223</v>
      </c>
      <c r="O248" s="277" t="s">
        <v>224</v>
      </c>
      <c r="P248" s="257"/>
      <c r="Q248" s="257" t="s">
        <v>225</v>
      </c>
      <c r="R248" s="258" t="s">
        <v>226</v>
      </c>
      <c r="S248" s="256" t="s">
        <v>242</v>
      </c>
      <c r="T248" s="257" t="s">
        <v>245</v>
      </c>
      <c r="U248" s="278" t="s">
        <v>243</v>
      </c>
      <c r="V248" s="257">
        <v>0</v>
      </c>
      <c r="W248" s="257">
        <v>0</v>
      </c>
      <c r="X248" s="257">
        <v>0</v>
      </c>
      <c r="Y248" s="257">
        <v>0</v>
      </c>
      <c r="Z248" s="257">
        <v>0</v>
      </c>
      <c r="AA248" s="257">
        <v>0</v>
      </c>
      <c r="AB248" s="257">
        <v>0</v>
      </c>
      <c r="AC248" s="257">
        <v>1</v>
      </c>
      <c r="AD248" s="257">
        <v>0</v>
      </c>
      <c r="AE248" s="257">
        <v>0</v>
      </c>
      <c r="AF248" s="257">
        <v>0</v>
      </c>
      <c r="AG248" s="257">
        <v>0</v>
      </c>
      <c r="AH248" s="257">
        <v>0</v>
      </c>
      <c r="AI248" s="257">
        <v>0</v>
      </c>
      <c r="AJ248" s="257">
        <v>0</v>
      </c>
      <c r="AK248" s="257">
        <v>0</v>
      </c>
      <c r="AL248" s="257">
        <v>0</v>
      </c>
      <c r="AM248" s="257">
        <v>0</v>
      </c>
      <c r="AN248" s="257">
        <v>0</v>
      </c>
      <c r="AO248" s="257">
        <v>0</v>
      </c>
      <c r="AP248" s="257">
        <v>0</v>
      </c>
      <c r="AQ248" s="257">
        <v>0</v>
      </c>
      <c r="AR248" s="257">
        <v>0</v>
      </c>
      <c r="AS248" s="257">
        <v>0</v>
      </c>
      <c r="AT248" s="257">
        <v>0</v>
      </c>
      <c r="AU248" s="257">
        <v>0</v>
      </c>
      <c r="AV248" s="257">
        <v>0</v>
      </c>
      <c r="AW248" s="257">
        <v>0</v>
      </c>
      <c r="AX248" s="279">
        <v>1</v>
      </c>
      <c r="AY248" s="279">
        <v>1</v>
      </c>
      <c r="AZ248" s="257">
        <v>1</v>
      </c>
      <c r="BA248" s="257">
        <v>0</v>
      </c>
      <c r="BB248" s="257">
        <v>0</v>
      </c>
      <c r="BC248" s="257">
        <v>0</v>
      </c>
      <c r="BD248" s="257">
        <v>0</v>
      </c>
      <c r="BE248" s="257" t="s">
        <v>96</v>
      </c>
      <c r="BF248" s="2" t="str" cm="1">
        <f t="array" ref="BF248">IF(COUNTIF(AZ248:BB248,"&lt;&gt;0")=1,INDEX($V$4:$AW$4,MATCH(TRUE,INDEX($V248:$AW248&lt;&gt;0,),0)),IF(COUNTIF(AZ248:BB248,"&lt;&gt;0")=0,INDEX($AM$4:$AW$4,MATCH(1,$AM248:$AW248,0)),"Multiple strategies"))</f>
        <v>SilvicultureProd</v>
      </c>
      <c r="BG248" s="280" t="s">
        <v>230</v>
      </c>
      <c r="BH248" s="257" t="s">
        <v>231</v>
      </c>
      <c r="BI248" s="281" t="s">
        <v>3073</v>
      </c>
      <c r="BJ248" s="278" t="s">
        <v>232</v>
      </c>
      <c r="BK248" s="257">
        <v>54.766085619072001</v>
      </c>
      <c r="BL248" s="257">
        <v>58.199966021066899</v>
      </c>
      <c r="BM248" s="278">
        <v>1.0627008551584169</v>
      </c>
      <c r="BN248" s="257">
        <v>3.4338804019948981</v>
      </c>
      <c r="BO248" s="278">
        <v>7.0079191877446902</v>
      </c>
      <c r="BP248" s="278" t="s">
        <v>233</v>
      </c>
      <c r="BQ248" s="312" t="s">
        <v>3073</v>
      </c>
      <c r="BR248" s="278" t="s">
        <v>234</v>
      </c>
      <c r="BS248" s="257">
        <v>-9.0261044176706804</v>
      </c>
      <c r="BT248" s="257">
        <v>-9.1378440072016396</v>
      </c>
      <c r="BU248" s="259">
        <v>1.0123796030225622</v>
      </c>
      <c r="BV248" s="257">
        <v>-0.11173958953095919</v>
      </c>
      <c r="BW248" s="257"/>
      <c r="BX248" s="257">
        <v>-1.1173958953095919E-4</v>
      </c>
      <c r="BY248" s="257">
        <v>-1.5944759997570629E-5</v>
      </c>
      <c r="BZ248" s="257">
        <v>0</v>
      </c>
      <c r="CA248" s="257">
        <v>0</v>
      </c>
      <c r="CB248" s="257">
        <v>0</v>
      </c>
      <c r="CC248" s="257">
        <v>0</v>
      </c>
      <c r="CD248" s="257">
        <v>0</v>
      </c>
      <c r="CE248" s="257">
        <v>0</v>
      </c>
      <c r="CF248" s="257">
        <v>0</v>
      </c>
      <c r="CG248" s="257">
        <v>0</v>
      </c>
      <c r="CH248" s="257">
        <v>0</v>
      </c>
      <c r="CI248" s="257">
        <v>0</v>
      </c>
      <c r="CJ248" s="257">
        <v>0</v>
      </c>
      <c r="CK248" s="257">
        <v>0</v>
      </c>
      <c r="CL248" s="257">
        <v>0</v>
      </c>
      <c r="CM248" s="257">
        <v>0</v>
      </c>
      <c r="CN248" s="257" t="s">
        <v>3074</v>
      </c>
      <c r="CO248" s="257">
        <v>54.766085619072001</v>
      </c>
      <c r="CP248" s="257">
        <v>58.199966021066899</v>
      </c>
      <c r="CQ248" s="257">
        <v>7.0079191877446902</v>
      </c>
      <c r="CR248" s="257">
        <v>-9.0261044176706804</v>
      </c>
      <c r="CS248" s="257">
        <v>-9.1378440072016396</v>
      </c>
      <c r="CT248" s="257">
        <v>-1.1173958953095919E-4</v>
      </c>
      <c r="CU248" s="257">
        <v>-1.5944759997570629E-5</v>
      </c>
      <c r="CV248" s="258">
        <v>-1.2379603022562335E-2</v>
      </c>
      <c r="CW248" s="256" t="s">
        <v>235</v>
      </c>
      <c r="CX248" s="257" t="s">
        <v>3075</v>
      </c>
      <c r="CY248" s="257" t="s">
        <v>236</v>
      </c>
      <c r="CZ248" s="257"/>
      <c r="DA248" s="278"/>
      <c r="DB248" s="278">
        <v>80</v>
      </c>
      <c r="DC248" s="257" t="s">
        <v>3076</v>
      </c>
      <c r="DD248" s="257">
        <v>0</v>
      </c>
      <c r="DE248" s="257">
        <v>1</v>
      </c>
      <c r="DF248" s="257">
        <v>0</v>
      </c>
      <c r="DG248" s="257">
        <v>0</v>
      </c>
      <c r="DH248" s="257"/>
      <c r="DI248" s="257">
        <v>1</v>
      </c>
      <c r="DJ248" s="257" t="s">
        <v>174</v>
      </c>
      <c r="DK248" s="257">
        <v>0</v>
      </c>
      <c r="DL248" s="257" t="s">
        <v>181</v>
      </c>
      <c r="DM248" s="257">
        <v>0</v>
      </c>
      <c r="DN248" s="257">
        <v>0</v>
      </c>
      <c r="DO248" s="257">
        <v>0</v>
      </c>
      <c r="DP248" s="278">
        <v>0</v>
      </c>
      <c r="DQ248" s="278">
        <v>0</v>
      </c>
      <c r="DR248" s="278">
        <v>0</v>
      </c>
      <c r="DS248" s="278">
        <v>0</v>
      </c>
      <c r="DT248" s="257">
        <v>0</v>
      </c>
      <c r="DU248" s="278" t="s">
        <v>964</v>
      </c>
      <c r="DV248" s="278">
        <v>1</v>
      </c>
      <c r="DW248" s="278">
        <v>1</v>
      </c>
      <c r="DX248" s="278">
        <v>1</v>
      </c>
      <c r="DY248" s="278">
        <v>0</v>
      </c>
      <c r="DZ248" s="257">
        <v>0</v>
      </c>
      <c r="EA248" s="278">
        <v>0</v>
      </c>
      <c r="EB248" s="278">
        <v>1</v>
      </c>
      <c r="EC248" s="278">
        <v>1</v>
      </c>
      <c r="ED248" s="278">
        <v>0</v>
      </c>
      <c r="EE248" s="278">
        <v>0</v>
      </c>
      <c r="EF248" s="257">
        <v>1</v>
      </c>
      <c r="EG248" s="278">
        <v>0</v>
      </c>
      <c r="EH248" s="257">
        <v>0</v>
      </c>
      <c r="EI248" s="258">
        <v>0</v>
      </c>
      <c r="EJ248" s="256"/>
      <c r="EK248" t="str">
        <f>IF(AND(AND(AND(OR($DX248=1,$DW248=1),OR($EC248=1,$EA248=1)),SUM($DV248:$DZ248,$EF248)&gt;=4),SUM($EA248:$EE248)&gt;=2),"Whole sector","")</f>
        <v>Whole sector</v>
      </c>
      <c r="EL248" t="str">
        <f>IF(AND(AND(OR($DX248=1,$DW248=1),AND($EC248=0,$EA248=0)),SUM($DV248:$DZ248,$EF248)&gt;=4),"Ecosystem approach","")</f>
        <v/>
      </c>
      <c r="EM248" s="258" t="s">
        <v>545</v>
      </c>
      <c r="EN248" s="257" t="s">
        <v>237</v>
      </c>
      <c r="EO248" s="257"/>
      <c r="EP248" t="str">
        <f>IF(ISNUMBER(BU248),IF(ABS(BU248-[3]QC_indicators!$B$2)&gt;3*[3]QC_indicators!$C$2,"C ratio",IF(ISNUMBER(BY248),IF(ABS(BY248-[3]QC_indicators!$B$1)&gt;3*[3]QC_indicators!$C$1,"DF","no"))),IF(ISNUMBER(BY248),IF(ABS(BY248-[3]QC_indicators!$B$1)&gt;3*[3]QC_indicators!$C$1,"DF","no")))</f>
        <v>no</v>
      </c>
      <c r="EQ248"/>
      <c r="ER248"/>
      <c r="ES248"/>
      <c r="ET248"/>
      <c r="EU248"/>
    </row>
    <row r="249" spans="1:151" s="139" customFormat="1" ht="15" hidden="1" customHeight="1">
      <c r="A249" s="256" t="s">
        <v>215</v>
      </c>
      <c r="B249" s="257" t="s">
        <v>216</v>
      </c>
      <c r="C249" s="257" t="s">
        <v>217</v>
      </c>
      <c r="D249" s="257" t="s">
        <v>218</v>
      </c>
      <c r="E249" s="257" t="s">
        <v>219</v>
      </c>
      <c r="F249" s="257" t="s">
        <v>220</v>
      </c>
      <c r="G249" s="257" t="s">
        <v>221</v>
      </c>
      <c r="H249" s="257"/>
      <c r="I249" s="257">
        <v>2012</v>
      </c>
      <c r="J249" s="257"/>
      <c r="K249" s="257" t="s">
        <v>222</v>
      </c>
      <c r="L249" s="257"/>
      <c r="M249" s="257" t="s">
        <v>3072</v>
      </c>
      <c r="N249" s="257" t="s">
        <v>223</v>
      </c>
      <c r="O249" s="277" t="s">
        <v>224</v>
      </c>
      <c r="P249" s="257"/>
      <c r="Q249" s="257" t="s">
        <v>225</v>
      </c>
      <c r="R249" s="258" t="s">
        <v>226</v>
      </c>
      <c r="S249" s="256" t="s">
        <v>227</v>
      </c>
      <c r="T249" s="257" t="s">
        <v>229</v>
      </c>
      <c r="U249" s="257" t="s">
        <v>240</v>
      </c>
      <c r="V249" s="257">
        <v>0</v>
      </c>
      <c r="W249" s="257">
        <v>0</v>
      </c>
      <c r="X249" s="257">
        <v>0</v>
      </c>
      <c r="Y249" s="257">
        <v>1</v>
      </c>
      <c r="Z249" s="257">
        <v>0</v>
      </c>
      <c r="AA249" s="257">
        <v>0</v>
      </c>
      <c r="AB249" s="257">
        <v>0</v>
      </c>
      <c r="AC249" s="257">
        <v>0</v>
      </c>
      <c r="AD249" s="257">
        <v>0</v>
      </c>
      <c r="AE249" s="257">
        <v>0</v>
      </c>
      <c r="AF249" s="257">
        <v>0</v>
      </c>
      <c r="AG249" s="257">
        <v>0</v>
      </c>
      <c r="AH249" s="257">
        <v>0</v>
      </c>
      <c r="AI249" s="257">
        <v>0</v>
      </c>
      <c r="AJ249" s="257">
        <v>0</v>
      </c>
      <c r="AK249" s="257">
        <v>0</v>
      </c>
      <c r="AL249" s="257">
        <v>0</v>
      </c>
      <c r="AM249" s="257">
        <v>0</v>
      </c>
      <c r="AN249" s="257">
        <v>0</v>
      </c>
      <c r="AO249" s="257">
        <v>0</v>
      </c>
      <c r="AP249" s="257">
        <v>0</v>
      </c>
      <c r="AQ249" s="257">
        <v>0</v>
      </c>
      <c r="AR249" s="257">
        <v>0</v>
      </c>
      <c r="AS249" s="257">
        <v>0</v>
      </c>
      <c r="AT249" s="257">
        <v>0</v>
      </c>
      <c r="AU249" s="257">
        <v>0</v>
      </c>
      <c r="AV249" s="257">
        <v>0</v>
      </c>
      <c r="AW249" s="257">
        <v>0</v>
      </c>
      <c r="AX249" s="279">
        <v>1</v>
      </c>
      <c r="AY249" s="279">
        <v>1</v>
      </c>
      <c r="AZ249" s="257">
        <v>1</v>
      </c>
      <c r="BA249" s="257">
        <v>0</v>
      </c>
      <c r="BB249" s="257">
        <v>0</v>
      </c>
      <c r="BC249" s="257">
        <v>0</v>
      </c>
      <c r="BD249" s="257">
        <v>0</v>
      </c>
      <c r="BE249" s="257" t="s">
        <v>92</v>
      </c>
      <c r="BF249" s="2" t="str" cm="1">
        <f t="array" ref="BF249">IF(COUNTIF(AZ249:BB249,"&lt;&gt;0")=1,INDEX($V$4:$AW$4,MATCH(TRUE,INDEX($V249:$AW249&lt;&gt;0,),0)),IF(COUNTIF(AZ249:BB249,"&lt;&gt;0")=0,INDEX($AM$4:$AW$4,MATCH(1,$AM249:$AW249,0)),"Multiple strategies"))</f>
        <v>SilvicultureRemov</v>
      </c>
      <c r="BG249" s="280" t="s">
        <v>230</v>
      </c>
      <c r="BH249" s="257" t="s">
        <v>231</v>
      </c>
      <c r="BI249" s="281" t="s">
        <v>3073</v>
      </c>
      <c r="BJ249" s="278" t="s">
        <v>232</v>
      </c>
      <c r="BK249" s="257">
        <v>41.741420320000003</v>
      </c>
      <c r="BL249" s="257">
        <v>58.199966019999998</v>
      </c>
      <c r="BM249" s="278">
        <v>0.71720695344832097</v>
      </c>
      <c r="BN249" s="257">
        <v>16.458545699999995</v>
      </c>
      <c r="BO249" s="278">
        <v>33.588868775510193</v>
      </c>
      <c r="BP249" s="278" t="s">
        <v>233</v>
      </c>
      <c r="BQ249" s="312" t="s">
        <v>3073</v>
      </c>
      <c r="BR249" s="278" t="s">
        <v>234</v>
      </c>
      <c r="BS249" s="257">
        <v>-10.16263182</v>
      </c>
      <c r="BT249" s="257">
        <v>-9.137844007</v>
      </c>
      <c r="BU249" s="259">
        <v>0.89916117880181168</v>
      </c>
      <c r="BV249" s="257">
        <v>1.0247878129999997</v>
      </c>
      <c r="BW249" s="257"/>
      <c r="BX249" s="257">
        <v>1.0247878129999997E-3</v>
      </c>
      <c r="BY249" s="257">
        <v>3.0509744756488419E-5</v>
      </c>
      <c r="BZ249" s="257">
        <v>0</v>
      </c>
      <c r="CA249" s="257">
        <v>0</v>
      </c>
      <c r="CB249" s="257">
        <v>0</v>
      </c>
      <c r="CC249" s="257">
        <v>0</v>
      </c>
      <c r="CD249" s="257">
        <v>0</v>
      </c>
      <c r="CE249" s="257">
        <v>0</v>
      </c>
      <c r="CF249" s="257">
        <v>0</v>
      </c>
      <c r="CG249" s="257">
        <v>0</v>
      </c>
      <c r="CH249" s="257">
        <v>0</v>
      </c>
      <c r="CI249" s="257">
        <v>0</v>
      </c>
      <c r="CJ249" s="257">
        <v>0</v>
      </c>
      <c r="CK249" s="257">
        <v>0</v>
      </c>
      <c r="CL249" s="257">
        <v>0</v>
      </c>
      <c r="CM249" s="257">
        <v>0</v>
      </c>
      <c r="CN249" s="257" t="s">
        <v>3074</v>
      </c>
      <c r="CO249" s="257">
        <v>41.741420320000003</v>
      </c>
      <c r="CP249" s="257">
        <v>58.199966019999998</v>
      </c>
      <c r="CQ249" s="257">
        <v>33.588868775510193</v>
      </c>
      <c r="CR249" s="257">
        <v>-10.16263182</v>
      </c>
      <c r="CS249" s="257">
        <v>-9.137844007</v>
      </c>
      <c r="CT249" s="257">
        <v>1.0247878129999997E-3</v>
      </c>
      <c r="CU249" s="257">
        <v>3.0509744756488419E-5</v>
      </c>
      <c r="CV249" s="258">
        <v>0.10083882119818838</v>
      </c>
      <c r="CW249" s="256" t="s">
        <v>235</v>
      </c>
      <c r="CX249" s="257" t="s">
        <v>3075</v>
      </c>
      <c r="CY249" s="257" t="s">
        <v>236</v>
      </c>
      <c r="CZ249" s="257"/>
      <c r="DA249" s="278"/>
      <c r="DB249" s="278">
        <v>80</v>
      </c>
      <c r="DC249" s="257" t="s">
        <v>3076</v>
      </c>
      <c r="DD249" s="257">
        <v>0</v>
      </c>
      <c r="DE249" s="257">
        <v>1</v>
      </c>
      <c r="DF249" s="257">
        <v>0</v>
      </c>
      <c r="DG249" s="257">
        <v>0</v>
      </c>
      <c r="DH249" s="257"/>
      <c r="DI249" s="257">
        <v>1</v>
      </c>
      <c r="DJ249" s="257" t="s">
        <v>174</v>
      </c>
      <c r="DK249" s="257">
        <v>0</v>
      </c>
      <c r="DL249" s="257" t="s">
        <v>181</v>
      </c>
      <c r="DM249" s="257">
        <v>0</v>
      </c>
      <c r="DN249" s="257">
        <v>0</v>
      </c>
      <c r="DO249" s="257">
        <v>0</v>
      </c>
      <c r="DP249" s="278">
        <v>0</v>
      </c>
      <c r="DQ249" s="278">
        <v>0</v>
      </c>
      <c r="DR249" s="278">
        <v>0</v>
      </c>
      <c r="DS249" s="278">
        <v>0</v>
      </c>
      <c r="DT249" s="257">
        <v>0</v>
      </c>
      <c r="DU249" s="278" t="s">
        <v>964</v>
      </c>
      <c r="DV249" s="278">
        <v>1</v>
      </c>
      <c r="DW249" s="278">
        <v>1</v>
      </c>
      <c r="DX249" s="278">
        <v>1</v>
      </c>
      <c r="DY249" s="278">
        <v>0</v>
      </c>
      <c r="DZ249" s="257">
        <v>0</v>
      </c>
      <c r="EA249" s="278">
        <v>0</v>
      </c>
      <c r="EB249" s="278">
        <v>1</v>
      </c>
      <c r="EC249" s="278">
        <v>1</v>
      </c>
      <c r="ED249" s="278">
        <v>0</v>
      </c>
      <c r="EE249" s="278">
        <v>0</v>
      </c>
      <c r="EF249" s="257">
        <v>1</v>
      </c>
      <c r="EG249" s="278">
        <v>0</v>
      </c>
      <c r="EH249" s="257">
        <v>0</v>
      </c>
      <c r="EI249" s="258">
        <v>0</v>
      </c>
      <c r="EJ249" s="256"/>
      <c r="EK249" t="str">
        <f>IF(AND(AND(AND(OR($DX249=1,$DW249=1),OR($EC249=1,$EA249=1)),SUM($DV249:$DZ249,$EF249)&gt;=4),SUM($EA249:$EE249)&gt;=2),"Whole sector","")</f>
        <v>Whole sector</v>
      </c>
      <c r="EL249" t="str">
        <f>IF(AND(AND(OR($DX249=1,$DW249=1),AND($EC249=0,$EA249=0)),SUM($DV249:$DZ249,$EF249)&gt;=4),"Ecosystem approach","")</f>
        <v/>
      </c>
      <c r="EM249" s="258" t="s">
        <v>545</v>
      </c>
      <c r="EN249" s="257" t="s">
        <v>237</v>
      </c>
      <c r="EO249" s="257"/>
      <c r="EP249" t="str">
        <f>IF(ISNUMBER(BU249),IF(ABS(BU249-[3]QC_indicators!$B$2)&gt;3*[3]QC_indicators!$C$2,"C ratio",IF(ISNUMBER(BY249),IF(ABS(BY249-[3]QC_indicators!$B$1)&gt;3*[3]QC_indicators!$C$1,"DF","no"))),IF(ISNUMBER(BY249),IF(ABS(BY249-[3]QC_indicators!$B$1)&gt;3*[3]QC_indicators!$C$1,"DF","no")))</f>
        <v>no</v>
      </c>
      <c r="EQ249" s="282"/>
      <c r="ER249" s="282"/>
      <c r="ES249" s="282"/>
      <c r="ET249"/>
      <c r="EU249"/>
    </row>
    <row r="250" spans="1:151" s="139" customFormat="1" ht="15" hidden="1" customHeight="1">
      <c r="A250" s="256" t="s">
        <v>215</v>
      </c>
      <c r="B250" s="257" t="s">
        <v>216</v>
      </c>
      <c r="C250" s="257" t="s">
        <v>217</v>
      </c>
      <c r="D250" s="257" t="s">
        <v>218</v>
      </c>
      <c r="E250" s="257" t="s">
        <v>219</v>
      </c>
      <c r="F250" s="257" t="s">
        <v>220</v>
      </c>
      <c r="G250" s="257" t="s">
        <v>221</v>
      </c>
      <c r="H250" s="257"/>
      <c r="I250" s="257">
        <v>2012</v>
      </c>
      <c r="J250" s="257"/>
      <c r="K250" s="257" t="s">
        <v>222</v>
      </c>
      <c r="L250" s="257"/>
      <c r="M250" s="257" t="s">
        <v>3072</v>
      </c>
      <c r="N250" s="257" t="s">
        <v>223</v>
      </c>
      <c r="O250" s="277" t="s">
        <v>224</v>
      </c>
      <c r="P250" s="257"/>
      <c r="Q250" s="257" t="s">
        <v>225</v>
      </c>
      <c r="R250" s="258" t="s">
        <v>226</v>
      </c>
      <c r="S250" s="256" t="s">
        <v>227</v>
      </c>
      <c r="T250" s="257" t="s">
        <v>229</v>
      </c>
      <c r="U250" s="257" t="s">
        <v>239</v>
      </c>
      <c r="V250" s="257">
        <v>0</v>
      </c>
      <c r="W250" s="257">
        <v>0</v>
      </c>
      <c r="X250" s="257">
        <v>0</v>
      </c>
      <c r="Y250" s="257">
        <v>1</v>
      </c>
      <c r="Z250" s="257">
        <v>0</v>
      </c>
      <c r="AA250" s="257">
        <v>0</v>
      </c>
      <c r="AB250" s="257">
        <v>0</v>
      </c>
      <c r="AC250" s="257">
        <v>0</v>
      </c>
      <c r="AD250" s="257">
        <v>0</v>
      </c>
      <c r="AE250" s="257">
        <v>0</v>
      </c>
      <c r="AF250" s="257">
        <v>0</v>
      </c>
      <c r="AG250" s="257">
        <v>0</v>
      </c>
      <c r="AH250" s="257">
        <v>0</v>
      </c>
      <c r="AI250" s="257">
        <v>0</v>
      </c>
      <c r="AJ250" s="257">
        <v>0</v>
      </c>
      <c r="AK250" s="257">
        <v>0</v>
      </c>
      <c r="AL250" s="257">
        <v>0</v>
      </c>
      <c r="AM250" s="257">
        <v>0</v>
      </c>
      <c r="AN250" s="257">
        <v>0</v>
      </c>
      <c r="AO250" s="257">
        <v>0</v>
      </c>
      <c r="AP250" s="257">
        <v>0</v>
      </c>
      <c r="AQ250" s="257">
        <v>0</v>
      </c>
      <c r="AR250" s="257">
        <v>0</v>
      </c>
      <c r="AS250" s="257">
        <v>0</v>
      </c>
      <c r="AT250" s="257">
        <v>0</v>
      </c>
      <c r="AU250" s="257">
        <v>0</v>
      </c>
      <c r="AV250" s="257">
        <v>0</v>
      </c>
      <c r="AW250" s="257">
        <v>0</v>
      </c>
      <c r="AX250" s="279">
        <v>1</v>
      </c>
      <c r="AY250" s="279">
        <v>1</v>
      </c>
      <c r="AZ250" s="257">
        <v>1</v>
      </c>
      <c r="BA250" s="257">
        <v>0</v>
      </c>
      <c r="BB250" s="257">
        <v>0</v>
      </c>
      <c r="BC250" s="257">
        <v>0</v>
      </c>
      <c r="BD250" s="257">
        <v>0</v>
      </c>
      <c r="BE250" s="257" t="s">
        <v>92</v>
      </c>
      <c r="BF250" s="2" t="str" cm="1">
        <f t="array" ref="BF250">IF(COUNTIF(AZ250:BB250,"&lt;&gt;0")=1,INDEX($V$4:$AW$4,MATCH(TRUE,INDEX($V250:$AW250&lt;&gt;0,),0)),IF(COUNTIF(AZ250:BB250,"&lt;&gt;0")=0,INDEX($AM$4:$AW$4,MATCH(1,$AM250:$AW250,0)),"Multiple strategies"))</f>
        <v>SilvicultureRemov</v>
      </c>
      <c r="BG250" s="280" t="s">
        <v>230</v>
      </c>
      <c r="BH250" s="257" t="s">
        <v>231</v>
      </c>
      <c r="BI250" s="281" t="s">
        <v>3073</v>
      </c>
      <c r="BJ250" s="278" t="s">
        <v>232</v>
      </c>
      <c r="BK250" s="257">
        <v>48.643391100000002</v>
      </c>
      <c r="BL250" s="257">
        <v>58.199966019999998</v>
      </c>
      <c r="BM250" s="278">
        <v>0.8357975859175597</v>
      </c>
      <c r="BN250" s="257">
        <v>9.5565749199999956</v>
      </c>
      <c r="BO250" s="278">
        <v>19.50321412244897</v>
      </c>
      <c r="BP250" s="278" t="s">
        <v>233</v>
      </c>
      <c r="BQ250" s="312" t="s">
        <v>3073</v>
      </c>
      <c r="BR250" s="278" t="s">
        <v>234</v>
      </c>
      <c r="BS250" s="257">
        <v>-9.3488297330000005</v>
      </c>
      <c r="BT250" s="257">
        <v>-9.137844007</v>
      </c>
      <c r="BU250" s="259">
        <v>0.97743185703176816</v>
      </c>
      <c r="BV250" s="257">
        <v>0.21098572600000054</v>
      </c>
      <c r="BW250" s="257"/>
      <c r="BX250" s="257">
        <v>2.1098572600000053E-4</v>
      </c>
      <c r="BY250" s="257">
        <v>1.0817997724649274E-5</v>
      </c>
      <c r="BZ250" s="257">
        <v>0</v>
      </c>
      <c r="CA250" s="257">
        <v>0</v>
      </c>
      <c r="CB250" s="257">
        <v>0</v>
      </c>
      <c r="CC250" s="257">
        <v>0</v>
      </c>
      <c r="CD250" s="257">
        <v>0</v>
      </c>
      <c r="CE250" s="257">
        <v>0</v>
      </c>
      <c r="CF250" s="257">
        <v>0</v>
      </c>
      <c r="CG250" s="257">
        <v>0</v>
      </c>
      <c r="CH250" s="257">
        <v>0</v>
      </c>
      <c r="CI250" s="257">
        <v>0</v>
      </c>
      <c r="CJ250" s="257">
        <v>0</v>
      </c>
      <c r="CK250" s="257">
        <v>0</v>
      </c>
      <c r="CL250" s="257">
        <v>0</v>
      </c>
      <c r="CM250" s="257">
        <v>0</v>
      </c>
      <c r="CN250" s="257" t="s">
        <v>3074</v>
      </c>
      <c r="CO250" s="257">
        <v>48.643391100000002</v>
      </c>
      <c r="CP250" s="257">
        <v>58.199966019999998</v>
      </c>
      <c r="CQ250" s="257">
        <v>19.50321412244897</v>
      </c>
      <c r="CR250" s="257">
        <v>-9.3488297330000005</v>
      </c>
      <c r="CS250" s="257">
        <v>-9.137844007</v>
      </c>
      <c r="CT250" s="257">
        <v>2.1098572600000053E-4</v>
      </c>
      <c r="CU250" s="257">
        <v>1.0817997724649274E-5</v>
      </c>
      <c r="CV250" s="258">
        <v>2.256814296823182E-2</v>
      </c>
      <c r="CW250" s="256" t="s">
        <v>235</v>
      </c>
      <c r="CX250" s="257" t="s">
        <v>3075</v>
      </c>
      <c r="CY250" s="257" t="s">
        <v>236</v>
      </c>
      <c r="CZ250" s="257"/>
      <c r="DA250" s="278"/>
      <c r="DB250" s="278">
        <v>80</v>
      </c>
      <c r="DC250" s="257" t="s">
        <v>3076</v>
      </c>
      <c r="DD250" s="257">
        <v>0</v>
      </c>
      <c r="DE250" s="257">
        <v>1</v>
      </c>
      <c r="DF250" s="257">
        <v>0</v>
      </c>
      <c r="DG250" s="257">
        <v>0</v>
      </c>
      <c r="DH250" s="257"/>
      <c r="DI250" s="257">
        <v>1</v>
      </c>
      <c r="DJ250" s="257" t="s">
        <v>174</v>
      </c>
      <c r="DK250" s="257">
        <v>0</v>
      </c>
      <c r="DL250" s="257" t="s">
        <v>181</v>
      </c>
      <c r="DM250" s="257">
        <v>0</v>
      </c>
      <c r="DN250" s="257">
        <v>0</v>
      </c>
      <c r="DO250" s="257">
        <v>0</v>
      </c>
      <c r="DP250" s="278">
        <v>0</v>
      </c>
      <c r="DQ250" s="278">
        <v>0</v>
      </c>
      <c r="DR250" s="278">
        <v>0</v>
      </c>
      <c r="DS250" s="278">
        <v>0</v>
      </c>
      <c r="DT250" s="257">
        <v>0</v>
      </c>
      <c r="DU250" s="278" t="s">
        <v>964</v>
      </c>
      <c r="DV250" s="278">
        <v>1</v>
      </c>
      <c r="DW250" s="278">
        <v>1</v>
      </c>
      <c r="DX250" s="278">
        <v>1</v>
      </c>
      <c r="DY250" s="278">
        <v>0</v>
      </c>
      <c r="DZ250" s="257">
        <v>0</v>
      </c>
      <c r="EA250" s="278">
        <v>0</v>
      </c>
      <c r="EB250" s="278">
        <v>1</v>
      </c>
      <c r="EC250" s="278">
        <v>1</v>
      </c>
      <c r="ED250" s="278">
        <v>0</v>
      </c>
      <c r="EE250" s="278">
        <v>0</v>
      </c>
      <c r="EF250" s="257">
        <v>1</v>
      </c>
      <c r="EG250" s="278">
        <v>0</v>
      </c>
      <c r="EH250" s="257">
        <v>0</v>
      </c>
      <c r="EI250" s="258">
        <v>0</v>
      </c>
      <c r="EJ250" s="256"/>
      <c r="EK250" t="str">
        <f>IF(AND(AND(AND(OR($DX250=1,$DW250=1),OR($EC250=1,$EA250=1)),SUM($DV250:$DZ250,$EF250)&gt;=4),SUM($EA250:$EE250)&gt;=2),"Whole sector","")</f>
        <v>Whole sector</v>
      </c>
      <c r="EL250" t="str">
        <f>IF(AND(AND(OR($DX250=1,$DW250=1),AND($EC250=0,$EA250=0)),SUM($DV250:$DZ250,$EF250)&gt;=4),"Ecosystem approach","")</f>
        <v/>
      </c>
      <c r="EM250" s="258" t="s">
        <v>545</v>
      </c>
      <c r="EN250" s="257" t="s">
        <v>237</v>
      </c>
      <c r="EO250" s="257"/>
      <c r="EP250" t="str">
        <f>IF(ISNUMBER(BU250),IF(ABS(BU250-[3]QC_indicators!$B$2)&gt;3*[3]QC_indicators!$C$2,"C ratio",IF(ISNUMBER(BY250),IF(ABS(BY250-[3]QC_indicators!$B$1)&gt;3*[3]QC_indicators!$C$1,"DF","no"))),IF(ISNUMBER(BY250),IF(ABS(BY250-[3]QC_indicators!$B$1)&gt;3*[3]QC_indicators!$C$1,"DF","no")))</f>
        <v>no</v>
      </c>
      <c r="EQ250" s="282"/>
      <c r="ER250" s="282"/>
      <c r="ES250" s="282"/>
      <c r="ET250"/>
      <c r="EU250"/>
    </row>
    <row r="251" spans="1:151" s="139" customFormat="1" ht="15" hidden="1" customHeight="1">
      <c r="A251" s="256" t="s">
        <v>215</v>
      </c>
      <c r="B251" s="257" t="s">
        <v>216</v>
      </c>
      <c r="C251" s="257" t="s">
        <v>217</v>
      </c>
      <c r="D251" s="257" t="s">
        <v>218</v>
      </c>
      <c r="E251" s="257" t="s">
        <v>219</v>
      </c>
      <c r="F251" s="257" t="s">
        <v>220</v>
      </c>
      <c r="G251" s="257" t="s">
        <v>221</v>
      </c>
      <c r="H251" s="257"/>
      <c r="I251" s="257">
        <v>2012</v>
      </c>
      <c r="J251" s="257"/>
      <c r="K251" s="257" t="s">
        <v>222</v>
      </c>
      <c r="L251" s="257"/>
      <c r="M251" s="257" t="s">
        <v>3072</v>
      </c>
      <c r="N251" s="257" t="s">
        <v>223</v>
      </c>
      <c r="O251" s="277" t="s">
        <v>224</v>
      </c>
      <c r="P251" s="257"/>
      <c r="Q251" s="257" t="s">
        <v>225</v>
      </c>
      <c r="R251" s="258" t="s">
        <v>226</v>
      </c>
      <c r="S251" s="256" t="s">
        <v>227</v>
      </c>
      <c r="T251" s="257" t="s">
        <v>229</v>
      </c>
      <c r="U251" s="257" t="s">
        <v>240</v>
      </c>
      <c r="V251" s="257">
        <v>0</v>
      </c>
      <c r="W251" s="257">
        <v>0</v>
      </c>
      <c r="X251" s="257">
        <v>0</v>
      </c>
      <c r="Y251" s="257">
        <v>1</v>
      </c>
      <c r="Z251" s="257">
        <v>0</v>
      </c>
      <c r="AA251" s="257">
        <v>0</v>
      </c>
      <c r="AB251" s="257">
        <v>0</v>
      </c>
      <c r="AC251" s="257">
        <v>0</v>
      </c>
      <c r="AD251" s="257">
        <v>0</v>
      </c>
      <c r="AE251" s="257">
        <v>0</v>
      </c>
      <c r="AF251" s="257">
        <v>0</v>
      </c>
      <c r="AG251" s="257">
        <v>0</v>
      </c>
      <c r="AH251" s="257">
        <v>0</v>
      </c>
      <c r="AI251" s="257">
        <v>0</v>
      </c>
      <c r="AJ251" s="257">
        <v>0</v>
      </c>
      <c r="AK251" s="257">
        <v>0</v>
      </c>
      <c r="AL251" s="257">
        <v>0</v>
      </c>
      <c r="AM251" s="257">
        <v>0</v>
      </c>
      <c r="AN251" s="257">
        <v>0</v>
      </c>
      <c r="AO251" s="257">
        <v>0</v>
      </c>
      <c r="AP251" s="257">
        <v>0</v>
      </c>
      <c r="AQ251" s="257">
        <v>0</v>
      </c>
      <c r="AR251" s="257">
        <v>0</v>
      </c>
      <c r="AS251" s="257">
        <v>0</v>
      </c>
      <c r="AT251" s="257">
        <v>0</v>
      </c>
      <c r="AU251" s="257">
        <v>0</v>
      </c>
      <c r="AV251" s="257">
        <v>0</v>
      </c>
      <c r="AW251" s="257">
        <v>0</v>
      </c>
      <c r="AX251" s="279">
        <v>1</v>
      </c>
      <c r="AY251" s="279">
        <v>1</v>
      </c>
      <c r="AZ251" s="257">
        <v>1</v>
      </c>
      <c r="BA251" s="257">
        <v>0</v>
      </c>
      <c r="BB251" s="257">
        <v>0</v>
      </c>
      <c r="BC251" s="257">
        <v>0</v>
      </c>
      <c r="BD251" s="257">
        <v>0</v>
      </c>
      <c r="BE251" s="257" t="s">
        <v>92</v>
      </c>
      <c r="BF251" s="2" t="str" cm="1">
        <f t="array" ref="BF251">IF(COUNTIF(AZ251:BB251,"&lt;&gt;0")=1,INDEX($V$4:$AW$4,MATCH(TRUE,INDEX($V251:$AW251&lt;&gt;0,),0)),IF(COUNTIF(AZ251:BB251,"&lt;&gt;0")=0,INDEX($AM$4:$AW$4,MATCH(1,$AM251:$AW251,0)),"Multiple strategies"))</f>
        <v>SilvicultureRemov</v>
      </c>
      <c r="BG251" s="280" t="s">
        <v>230</v>
      </c>
      <c r="BH251" s="257" t="s">
        <v>231</v>
      </c>
      <c r="BI251" s="281" t="s">
        <v>3073</v>
      </c>
      <c r="BJ251" s="278" t="s">
        <v>232</v>
      </c>
      <c r="BK251" s="257">
        <v>43.296172429999999</v>
      </c>
      <c r="BL251" s="257">
        <v>56.739926740000001</v>
      </c>
      <c r="BM251" s="278">
        <v>0.76306359414943437</v>
      </c>
      <c r="BN251" s="257">
        <v>13.443754310000003</v>
      </c>
      <c r="BO251" s="278">
        <v>27.436233285714291</v>
      </c>
      <c r="BP251" s="278" t="s">
        <v>233</v>
      </c>
      <c r="BQ251" s="312" t="s">
        <v>3073</v>
      </c>
      <c r="BR251" s="278" t="s">
        <v>234</v>
      </c>
      <c r="BS251" s="257">
        <v>-9.8277857409999996</v>
      </c>
      <c r="BT251" s="257">
        <v>-9.5324096189999992</v>
      </c>
      <c r="BU251" s="259">
        <v>0.9699447943021654</v>
      </c>
      <c r="BV251" s="257">
        <v>0.29537612200000041</v>
      </c>
      <c r="BW251" s="257"/>
      <c r="BX251" s="257">
        <v>2.9537612200000041E-4</v>
      </c>
      <c r="BY251" s="257">
        <v>1.0765913779928351E-5</v>
      </c>
      <c r="BZ251" s="257">
        <v>0</v>
      </c>
      <c r="CA251" s="257">
        <v>0</v>
      </c>
      <c r="CB251" s="257">
        <v>0</v>
      </c>
      <c r="CC251" s="257">
        <v>0</v>
      </c>
      <c r="CD251" s="257">
        <v>0</v>
      </c>
      <c r="CE251" s="257">
        <v>0</v>
      </c>
      <c r="CF251" s="257">
        <v>0</v>
      </c>
      <c r="CG251" s="257">
        <v>0</v>
      </c>
      <c r="CH251" s="257">
        <v>0</v>
      </c>
      <c r="CI251" s="257">
        <v>0</v>
      </c>
      <c r="CJ251" s="257">
        <v>0</v>
      </c>
      <c r="CK251" s="257">
        <v>0</v>
      </c>
      <c r="CL251" s="257">
        <v>0</v>
      </c>
      <c r="CM251" s="257">
        <v>0</v>
      </c>
      <c r="CN251" s="257" t="s">
        <v>3074</v>
      </c>
      <c r="CO251" s="257">
        <v>43.296172429999999</v>
      </c>
      <c r="CP251" s="257">
        <v>56.739926740000001</v>
      </c>
      <c r="CQ251" s="257">
        <v>27.436233285714291</v>
      </c>
      <c r="CR251" s="257">
        <v>-9.8277857409999996</v>
      </c>
      <c r="CS251" s="257">
        <v>-9.5324096189999992</v>
      </c>
      <c r="CT251" s="257">
        <v>2.9537612200000041E-4</v>
      </c>
      <c r="CU251" s="257">
        <v>1.0765913779928351E-5</v>
      </c>
      <c r="CV251" s="258">
        <v>3.0055205697834559E-2</v>
      </c>
      <c r="CW251" s="256" t="s">
        <v>235</v>
      </c>
      <c r="CX251" s="257" t="s">
        <v>3075</v>
      </c>
      <c r="CY251" s="257" t="s">
        <v>236</v>
      </c>
      <c r="CZ251" s="257"/>
      <c r="DA251" s="278"/>
      <c r="DB251" s="278">
        <v>80</v>
      </c>
      <c r="DC251" s="257" t="s">
        <v>3076</v>
      </c>
      <c r="DD251" s="257">
        <v>0</v>
      </c>
      <c r="DE251" s="257">
        <v>1</v>
      </c>
      <c r="DF251" s="257">
        <v>0</v>
      </c>
      <c r="DG251" s="257">
        <v>0</v>
      </c>
      <c r="DH251" s="257"/>
      <c r="DI251" s="257">
        <v>1</v>
      </c>
      <c r="DJ251" s="257" t="s">
        <v>174</v>
      </c>
      <c r="DK251" s="257">
        <v>0</v>
      </c>
      <c r="DL251" s="257" t="s">
        <v>181</v>
      </c>
      <c r="DM251" s="257">
        <v>0</v>
      </c>
      <c r="DN251" s="257">
        <v>0</v>
      </c>
      <c r="DO251" s="257">
        <v>0</v>
      </c>
      <c r="DP251" s="278">
        <v>0</v>
      </c>
      <c r="DQ251" s="278">
        <v>0</v>
      </c>
      <c r="DR251" s="278">
        <v>0</v>
      </c>
      <c r="DS251" s="278">
        <v>0</v>
      </c>
      <c r="DT251" s="257">
        <v>0</v>
      </c>
      <c r="DU251" s="278" t="s">
        <v>964</v>
      </c>
      <c r="DV251" s="278">
        <v>1</v>
      </c>
      <c r="DW251" s="278">
        <v>1</v>
      </c>
      <c r="DX251" s="278">
        <v>1</v>
      </c>
      <c r="DY251" s="278">
        <v>0</v>
      </c>
      <c r="DZ251" s="257">
        <v>0</v>
      </c>
      <c r="EA251" s="278">
        <v>0</v>
      </c>
      <c r="EB251" s="278">
        <v>1</v>
      </c>
      <c r="EC251" s="278">
        <v>1</v>
      </c>
      <c r="ED251" s="278">
        <v>0</v>
      </c>
      <c r="EE251" s="278">
        <v>0</v>
      </c>
      <c r="EF251" s="257">
        <v>1</v>
      </c>
      <c r="EG251" s="278">
        <v>0</v>
      </c>
      <c r="EH251" s="257">
        <v>0</v>
      </c>
      <c r="EI251" s="258">
        <v>0</v>
      </c>
      <c r="EJ251" s="256"/>
      <c r="EK251" t="str">
        <f>IF(AND(AND(AND(OR($DX251=1,$DW251=1),OR($EC251=1,$EA251=1)),SUM($DV251:$DZ251,$EF251)&gt;=4),SUM($EA251:$EE251)&gt;=2),"Whole sector","")</f>
        <v>Whole sector</v>
      </c>
      <c r="EL251" t="str">
        <f>IF(AND(AND(OR($DX251=1,$DW251=1),AND($EC251=0,$EA251=0)),SUM($DV251:$DZ251,$EF251)&gt;=4),"Ecosystem approach","")</f>
        <v/>
      </c>
      <c r="EM251" s="258" t="s">
        <v>545</v>
      </c>
      <c r="EN251" s="257" t="s">
        <v>237</v>
      </c>
      <c r="EO251" s="257"/>
      <c r="EP251" t="str">
        <f>IF(ISNUMBER(BU251),IF(ABS(BU251-[3]QC_indicators!$B$2)&gt;3*[3]QC_indicators!$C$2,"C ratio",IF(ISNUMBER(BY251),IF(ABS(BY251-[3]QC_indicators!$B$1)&gt;3*[3]QC_indicators!$C$1,"DF","no"))),IF(ISNUMBER(BY251),IF(ABS(BY251-[3]QC_indicators!$B$1)&gt;3*[3]QC_indicators!$C$1,"DF","no")))</f>
        <v>no</v>
      </c>
      <c r="EQ251" s="282"/>
      <c r="ER251" s="282"/>
      <c r="ES251" s="282"/>
      <c r="ET251"/>
      <c r="EU251"/>
    </row>
    <row r="252" spans="1:151" s="139" customFormat="1" ht="15" hidden="1" customHeight="1">
      <c r="A252" s="256" t="s">
        <v>215</v>
      </c>
      <c r="B252" s="257" t="s">
        <v>216</v>
      </c>
      <c r="C252" s="257" t="s">
        <v>217</v>
      </c>
      <c r="D252" s="257" t="s">
        <v>218</v>
      </c>
      <c r="E252" s="257" t="s">
        <v>219</v>
      </c>
      <c r="F252" s="257" t="s">
        <v>220</v>
      </c>
      <c r="G252" s="257" t="s">
        <v>221</v>
      </c>
      <c r="H252" s="257"/>
      <c r="I252" s="257">
        <v>2012</v>
      </c>
      <c r="J252" s="257"/>
      <c r="K252" s="257" t="s">
        <v>222</v>
      </c>
      <c r="L252" s="257"/>
      <c r="M252" s="257" t="s">
        <v>3072</v>
      </c>
      <c r="N252" s="257" t="s">
        <v>223</v>
      </c>
      <c r="O252" s="277" t="s">
        <v>224</v>
      </c>
      <c r="P252" s="257"/>
      <c r="Q252" s="257" t="s">
        <v>225</v>
      </c>
      <c r="R252" s="258" t="s">
        <v>226</v>
      </c>
      <c r="S252" s="256" t="s">
        <v>227</v>
      </c>
      <c r="T252" s="257" t="s">
        <v>229</v>
      </c>
      <c r="U252" s="257" t="s">
        <v>239</v>
      </c>
      <c r="V252" s="257">
        <v>0</v>
      </c>
      <c r="W252" s="257">
        <v>0</v>
      </c>
      <c r="X252" s="257">
        <v>0</v>
      </c>
      <c r="Y252" s="257">
        <v>1</v>
      </c>
      <c r="Z252" s="257">
        <v>0</v>
      </c>
      <c r="AA252" s="257">
        <v>0</v>
      </c>
      <c r="AB252" s="257">
        <v>0</v>
      </c>
      <c r="AC252" s="257">
        <v>0</v>
      </c>
      <c r="AD252" s="257">
        <v>0</v>
      </c>
      <c r="AE252" s="257">
        <v>0</v>
      </c>
      <c r="AF252" s="257">
        <v>0</v>
      </c>
      <c r="AG252" s="257">
        <v>0</v>
      </c>
      <c r="AH252" s="257">
        <v>0</v>
      </c>
      <c r="AI252" s="257">
        <v>0</v>
      </c>
      <c r="AJ252" s="257">
        <v>0</v>
      </c>
      <c r="AK252" s="257">
        <v>0</v>
      </c>
      <c r="AL252" s="257">
        <v>0</v>
      </c>
      <c r="AM252" s="257">
        <v>0</v>
      </c>
      <c r="AN252" s="257">
        <v>0</v>
      </c>
      <c r="AO252" s="257">
        <v>0</v>
      </c>
      <c r="AP252" s="257">
        <v>0</v>
      </c>
      <c r="AQ252" s="257">
        <v>0</v>
      </c>
      <c r="AR252" s="257">
        <v>0</v>
      </c>
      <c r="AS252" s="257">
        <v>0</v>
      </c>
      <c r="AT252" s="257">
        <v>0</v>
      </c>
      <c r="AU252" s="257">
        <v>0</v>
      </c>
      <c r="AV252" s="257">
        <v>0</v>
      </c>
      <c r="AW252" s="257">
        <v>0</v>
      </c>
      <c r="AX252" s="279">
        <v>1</v>
      </c>
      <c r="AY252" s="279">
        <v>1</v>
      </c>
      <c r="AZ252" s="257">
        <v>1</v>
      </c>
      <c r="BA252" s="257">
        <v>0</v>
      </c>
      <c r="BB252" s="257">
        <v>0</v>
      </c>
      <c r="BC252" s="257">
        <v>0</v>
      </c>
      <c r="BD252" s="257">
        <v>0</v>
      </c>
      <c r="BE252" s="257" t="s">
        <v>92</v>
      </c>
      <c r="BF252" s="2" t="str" cm="1">
        <f t="array" ref="BF252">IF(COUNTIF(AZ252:BB252,"&lt;&gt;0")=1,INDEX($V$4:$AW$4,MATCH(TRUE,INDEX($V252:$AW252&lt;&gt;0,),0)),IF(COUNTIF(AZ252:BB252,"&lt;&gt;0")=0,INDEX($AM$4:$AW$4,MATCH(1,$AM252:$AW252,0)),"Multiple strategies"))</f>
        <v>SilvicultureRemov</v>
      </c>
      <c r="BG252" s="280" t="s">
        <v>230</v>
      </c>
      <c r="BH252" s="257" t="s">
        <v>231</v>
      </c>
      <c r="BI252" s="281" t="s">
        <v>3073</v>
      </c>
      <c r="BJ252" s="278" t="s">
        <v>232</v>
      </c>
      <c r="BK252" s="257">
        <v>46.459096459999998</v>
      </c>
      <c r="BL252" s="257">
        <v>56.739926740000001</v>
      </c>
      <c r="BM252" s="278">
        <v>0.81880783302541138</v>
      </c>
      <c r="BN252" s="257">
        <v>10.280830280000004</v>
      </c>
      <c r="BO252" s="278">
        <v>20.981286285714294</v>
      </c>
      <c r="BP252" s="278" t="s">
        <v>233</v>
      </c>
      <c r="BQ252" s="312" t="s">
        <v>3073</v>
      </c>
      <c r="BR252" s="278" t="s">
        <v>234</v>
      </c>
      <c r="BS252" s="257">
        <v>-9.5592716459999991</v>
      </c>
      <c r="BT252" s="257">
        <v>-9.5324096189999992</v>
      </c>
      <c r="BU252" s="259">
        <v>0.99718995044865788</v>
      </c>
      <c r="BV252" s="257">
        <v>2.6862026999999955E-2</v>
      </c>
      <c r="BW252" s="257"/>
      <c r="BX252" s="257">
        <v>2.6862026999999954E-5</v>
      </c>
      <c r="BY252" s="257">
        <v>1.2802850423088564E-6</v>
      </c>
      <c r="BZ252" s="257">
        <v>0</v>
      </c>
      <c r="CA252" s="257">
        <v>0</v>
      </c>
      <c r="CB252" s="257">
        <v>0</v>
      </c>
      <c r="CC252" s="257">
        <v>0</v>
      </c>
      <c r="CD252" s="257">
        <v>0</v>
      </c>
      <c r="CE252" s="257">
        <v>0</v>
      </c>
      <c r="CF252" s="257">
        <v>0</v>
      </c>
      <c r="CG252" s="257">
        <v>0</v>
      </c>
      <c r="CH252" s="257">
        <v>0</v>
      </c>
      <c r="CI252" s="257">
        <v>0</v>
      </c>
      <c r="CJ252" s="257">
        <v>0</v>
      </c>
      <c r="CK252" s="257">
        <v>0</v>
      </c>
      <c r="CL252" s="257">
        <v>0</v>
      </c>
      <c r="CM252" s="257">
        <v>0</v>
      </c>
      <c r="CN252" s="257" t="s">
        <v>3074</v>
      </c>
      <c r="CO252" s="257">
        <v>46.459096459999998</v>
      </c>
      <c r="CP252" s="257">
        <v>56.739926740000001</v>
      </c>
      <c r="CQ252" s="257">
        <v>20.981286285714294</v>
      </c>
      <c r="CR252" s="257">
        <v>-9.5592716459999991</v>
      </c>
      <c r="CS252" s="257">
        <v>-9.5324096189999992</v>
      </c>
      <c r="CT252" s="257">
        <v>2.6862026999999954E-5</v>
      </c>
      <c r="CU252" s="257">
        <v>1.2802850423088564E-6</v>
      </c>
      <c r="CV252" s="258">
        <v>2.8100495513421419E-3</v>
      </c>
      <c r="CW252" s="256" t="s">
        <v>235</v>
      </c>
      <c r="CX252" s="257" t="s">
        <v>3075</v>
      </c>
      <c r="CY252" s="257" t="s">
        <v>236</v>
      </c>
      <c r="CZ252" s="257"/>
      <c r="DA252" s="278"/>
      <c r="DB252" s="278">
        <v>80</v>
      </c>
      <c r="DC252" s="257" t="s">
        <v>3076</v>
      </c>
      <c r="DD252" s="257">
        <v>0</v>
      </c>
      <c r="DE252" s="257">
        <v>1</v>
      </c>
      <c r="DF252" s="257">
        <v>0</v>
      </c>
      <c r="DG252" s="257">
        <v>0</v>
      </c>
      <c r="DH252" s="257"/>
      <c r="DI252" s="257">
        <v>1</v>
      </c>
      <c r="DJ252" s="257" t="s">
        <v>174</v>
      </c>
      <c r="DK252" s="257">
        <v>0</v>
      </c>
      <c r="DL252" s="257" t="s">
        <v>181</v>
      </c>
      <c r="DM252" s="257">
        <v>0</v>
      </c>
      <c r="DN252" s="257">
        <v>0</v>
      </c>
      <c r="DO252" s="257">
        <v>0</v>
      </c>
      <c r="DP252" s="278">
        <v>0</v>
      </c>
      <c r="DQ252" s="278">
        <v>0</v>
      </c>
      <c r="DR252" s="278">
        <v>0</v>
      </c>
      <c r="DS252" s="278">
        <v>0</v>
      </c>
      <c r="DT252" s="257">
        <v>0</v>
      </c>
      <c r="DU252" s="278" t="s">
        <v>964</v>
      </c>
      <c r="DV252" s="278">
        <v>1</v>
      </c>
      <c r="DW252" s="278">
        <v>1</v>
      </c>
      <c r="DX252" s="278">
        <v>1</v>
      </c>
      <c r="DY252" s="278">
        <v>0</v>
      </c>
      <c r="DZ252" s="257">
        <v>0</v>
      </c>
      <c r="EA252" s="278">
        <v>0</v>
      </c>
      <c r="EB252" s="278">
        <v>1</v>
      </c>
      <c r="EC252" s="278">
        <v>1</v>
      </c>
      <c r="ED252" s="278">
        <v>0</v>
      </c>
      <c r="EE252" s="278">
        <v>0</v>
      </c>
      <c r="EF252" s="257">
        <v>1</v>
      </c>
      <c r="EG252" s="278">
        <v>0</v>
      </c>
      <c r="EH252" s="257">
        <v>0</v>
      </c>
      <c r="EI252" s="258">
        <v>0</v>
      </c>
      <c r="EJ252" s="256"/>
      <c r="EK252" t="str">
        <f>IF(AND(AND(AND(OR($DX252=1,$DW252=1),OR($EC252=1,$EA252=1)),SUM($DV252:$DZ252,$EF252)&gt;=4),SUM($EA252:$EE252)&gt;=2),"Whole sector","")</f>
        <v>Whole sector</v>
      </c>
      <c r="EL252" t="str">
        <f>IF(AND(AND(OR($DX252=1,$DW252=1),AND($EC252=0,$EA252=0)),SUM($DV252:$DZ252,$EF252)&gt;=4),"Ecosystem approach","")</f>
        <v/>
      </c>
      <c r="EM252" s="258" t="s">
        <v>545</v>
      </c>
      <c r="EN252" s="257" t="s">
        <v>237</v>
      </c>
      <c r="EO252" s="257"/>
      <c r="EP252" t="str">
        <f>IF(ISNUMBER(BU252),IF(ABS(BU252-[3]QC_indicators!$B$2)&gt;3*[3]QC_indicators!$C$2,"C ratio",IF(ISNUMBER(BY252),IF(ABS(BY252-[3]QC_indicators!$B$1)&gt;3*[3]QC_indicators!$C$1,"DF","no"))),IF(ISNUMBER(BY252),IF(ABS(BY252-[3]QC_indicators!$B$1)&gt;3*[3]QC_indicators!$C$1,"DF","no")))</f>
        <v>no</v>
      </c>
      <c r="EQ252" s="257"/>
      <c r="ER252" s="257"/>
      <c r="ES252" s="257"/>
      <c r="ET252" s="257"/>
      <c r="EU252"/>
    </row>
    <row r="253" spans="1:151" s="139" customFormat="1" ht="15" hidden="1" customHeight="1">
      <c r="A253" s="256" t="s">
        <v>215</v>
      </c>
      <c r="B253" s="257" t="s">
        <v>216</v>
      </c>
      <c r="C253" s="257" t="s">
        <v>217</v>
      </c>
      <c r="D253" s="257" t="s">
        <v>218</v>
      </c>
      <c r="E253" s="257" t="s">
        <v>219</v>
      </c>
      <c r="F253" s="257" t="s">
        <v>220</v>
      </c>
      <c r="G253" s="257" t="s">
        <v>221</v>
      </c>
      <c r="H253" s="257"/>
      <c r="I253" s="257">
        <v>2012</v>
      </c>
      <c r="J253" s="257"/>
      <c r="K253" s="257" t="s">
        <v>222</v>
      </c>
      <c r="L253" s="257"/>
      <c r="M253" s="257" t="s">
        <v>3072</v>
      </c>
      <c r="N253" s="257" t="s">
        <v>223</v>
      </c>
      <c r="O253" s="277" t="s">
        <v>224</v>
      </c>
      <c r="P253" s="257"/>
      <c r="Q253" s="257" t="s">
        <v>225</v>
      </c>
      <c r="R253" s="258" t="s">
        <v>226</v>
      </c>
      <c r="S253" s="256" t="s">
        <v>227</v>
      </c>
      <c r="T253" s="257" t="s">
        <v>238</v>
      </c>
      <c r="U253" s="257" t="s">
        <v>229</v>
      </c>
      <c r="V253" s="257">
        <v>0</v>
      </c>
      <c r="W253" s="257">
        <v>0</v>
      </c>
      <c r="X253" s="257">
        <v>0</v>
      </c>
      <c r="Y253" s="257">
        <v>1</v>
      </c>
      <c r="Z253" s="257">
        <v>0</v>
      </c>
      <c r="AA253" s="257">
        <v>0</v>
      </c>
      <c r="AB253" s="257">
        <v>0</v>
      </c>
      <c r="AC253" s="257">
        <v>0</v>
      </c>
      <c r="AD253" s="257">
        <v>0</v>
      </c>
      <c r="AE253" s="257">
        <v>0</v>
      </c>
      <c r="AF253" s="257">
        <v>0</v>
      </c>
      <c r="AG253" s="257">
        <v>0</v>
      </c>
      <c r="AH253" s="257">
        <v>0</v>
      </c>
      <c r="AI253" s="257">
        <v>0</v>
      </c>
      <c r="AJ253" s="257">
        <v>0</v>
      </c>
      <c r="AK253" s="257">
        <v>0</v>
      </c>
      <c r="AL253" s="257">
        <v>0</v>
      </c>
      <c r="AM253" s="257">
        <v>0</v>
      </c>
      <c r="AN253" s="257">
        <v>0</v>
      </c>
      <c r="AO253" s="257">
        <v>0</v>
      </c>
      <c r="AP253" s="257">
        <v>0</v>
      </c>
      <c r="AQ253" s="257">
        <v>0</v>
      </c>
      <c r="AR253" s="257">
        <v>0</v>
      </c>
      <c r="AS253" s="257">
        <v>0</v>
      </c>
      <c r="AT253" s="257">
        <v>0</v>
      </c>
      <c r="AU253" s="257">
        <v>0</v>
      </c>
      <c r="AV253" s="257">
        <v>0</v>
      </c>
      <c r="AW253" s="257">
        <v>0</v>
      </c>
      <c r="AX253" s="279">
        <v>1</v>
      </c>
      <c r="AY253" s="279">
        <v>1</v>
      </c>
      <c r="AZ253" s="257">
        <v>1</v>
      </c>
      <c r="BA253" s="257">
        <v>0</v>
      </c>
      <c r="BB253" s="257">
        <v>0</v>
      </c>
      <c r="BC253" s="257">
        <v>0</v>
      </c>
      <c r="BD253" s="257">
        <v>0</v>
      </c>
      <c r="BE253" s="257" t="s">
        <v>92</v>
      </c>
      <c r="BF253" s="2" t="str" cm="1">
        <f t="array" ref="BF253">IF(COUNTIF(AZ253:BB253,"&lt;&gt;0")=1,INDEX($V$4:$AW$4,MATCH(TRUE,INDEX($V253:$AW253&lt;&gt;0,),0)),IF(COUNTIF(AZ253:BB253,"&lt;&gt;0")=0,INDEX($AM$4:$AW$4,MATCH(1,$AM253:$AW253,0)),"Multiple strategies"))</f>
        <v>SilvicultureRemov</v>
      </c>
      <c r="BG253" s="280" t="s">
        <v>230</v>
      </c>
      <c r="BH253" s="257" t="s">
        <v>231</v>
      </c>
      <c r="BI253" s="281" t="s">
        <v>3073</v>
      </c>
      <c r="BJ253" s="278" t="s">
        <v>232</v>
      </c>
      <c r="BK253" s="257">
        <v>54.398789620000002</v>
      </c>
      <c r="BL253" s="257">
        <v>56.739926740000001</v>
      </c>
      <c r="BM253" s="257">
        <v>1.0430365663713088</v>
      </c>
      <c r="BN253" s="257">
        <v>2.3411371199999991</v>
      </c>
      <c r="BO253" s="278">
        <v>4.7778308571428552</v>
      </c>
      <c r="BP253" s="278" t="s">
        <v>233</v>
      </c>
      <c r="BQ253" s="312" t="s">
        <v>3073</v>
      </c>
      <c r="BR253" s="278" t="s">
        <v>234</v>
      </c>
      <c r="BS253" s="257">
        <v>-9.1923873230000002</v>
      </c>
      <c r="BT253" s="257">
        <v>-9.5324096189999992</v>
      </c>
      <c r="BU253" s="259">
        <v>1.0369895527736563</v>
      </c>
      <c r="BV253" s="257">
        <v>-0.340022295999999</v>
      </c>
      <c r="BW253" s="257"/>
      <c r="BX253" s="257">
        <v>-3.4002229599999903E-4</v>
      </c>
      <c r="BY253" s="257">
        <v>-7.1166666666666495E-5</v>
      </c>
      <c r="BZ253" s="257">
        <v>0</v>
      </c>
      <c r="CA253" s="257">
        <v>0</v>
      </c>
      <c r="CB253" s="257">
        <v>0</v>
      </c>
      <c r="CC253" s="257">
        <v>0</v>
      </c>
      <c r="CD253" s="257">
        <v>0</v>
      </c>
      <c r="CE253" s="257">
        <v>0</v>
      </c>
      <c r="CF253" s="257">
        <v>0</v>
      </c>
      <c r="CG253" s="257">
        <v>0</v>
      </c>
      <c r="CH253" s="257">
        <v>0</v>
      </c>
      <c r="CI253" s="257">
        <v>0</v>
      </c>
      <c r="CJ253" s="257">
        <v>0</v>
      </c>
      <c r="CK253" s="257">
        <v>0</v>
      </c>
      <c r="CL253" s="257">
        <v>0</v>
      </c>
      <c r="CM253" s="257">
        <v>0</v>
      </c>
      <c r="CN253" s="257" t="s">
        <v>3074</v>
      </c>
      <c r="CO253" s="257">
        <v>54.398789620000002</v>
      </c>
      <c r="CP253" s="257">
        <v>56.739926740000001</v>
      </c>
      <c r="CQ253" s="257">
        <v>4.7778308571428552</v>
      </c>
      <c r="CR253" s="257">
        <v>-9.1923873230000002</v>
      </c>
      <c r="CS253" s="257">
        <v>-9.5324096189999992</v>
      </c>
      <c r="CT253" s="257">
        <v>-3.4002229599999903E-4</v>
      </c>
      <c r="CU253" s="257">
        <v>-7.1166666666666495E-5</v>
      </c>
      <c r="CV253" s="258">
        <v>-3.6989552773656446E-2</v>
      </c>
      <c r="CW253" s="256" t="s">
        <v>235</v>
      </c>
      <c r="CX253" s="257" t="s">
        <v>3075</v>
      </c>
      <c r="CY253" s="257" t="s">
        <v>236</v>
      </c>
      <c r="CZ253" s="257"/>
      <c r="DA253" s="278"/>
      <c r="DB253" s="278">
        <v>80</v>
      </c>
      <c r="DC253" s="257" t="s">
        <v>3076</v>
      </c>
      <c r="DD253" s="257">
        <v>0</v>
      </c>
      <c r="DE253" s="257">
        <v>1</v>
      </c>
      <c r="DF253" s="257">
        <v>0</v>
      </c>
      <c r="DG253" s="257">
        <v>0</v>
      </c>
      <c r="DH253" s="257"/>
      <c r="DI253" s="257">
        <v>1</v>
      </c>
      <c r="DJ253" s="257" t="s">
        <v>174</v>
      </c>
      <c r="DK253" s="257">
        <v>0</v>
      </c>
      <c r="DL253" s="257" t="s">
        <v>181</v>
      </c>
      <c r="DM253" s="257">
        <v>0</v>
      </c>
      <c r="DN253" s="257">
        <v>0</v>
      </c>
      <c r="DO253" s="257">
        <v>0</v>
      </c>
      <c r="DP253" s="278">
        <v>0</v>
      </c>
      <c r="DQ253" s="278">
        <v>0</v>
      </c>
      <c r="DR253" s="278">
        <v>0</v>
      </c>
      <c r="DS253" s="278">
        <v>0</v>
      </c>
      <c r="DT253" s="257">
        <v>0</v>
      </c>
      <c r="DU253" s="278" t="s">
        <v>964</v>
      </c>
      <c r="DV253" s="278">
        <v>1</v>
      </c>
      <c r="DW253" s="278">
        <v>1</v>
      </c>
      <c r="DX253" s="278">
        <v>1</v>
      </c>
      <c r="DY253" s="278">
        <v>0</v>
      </c>
      <c r="DZ253" s="257">
        <v>0</v>
      </c>
      <c r="EA253" s="278">
        <v>0</v>
      </c>
      <c r="EB253" s="278">
        <v>1</v>
      </c>
      <c r="EC253" s="278">
        <v>1</v>
      </c>
      <c r="ED253" s="278">
        <v>0</v>
      </c>
      <c r="EE253" s="278">
        <v>0</v>
      </c>
      <c r="EF253" s="257">
        <v>1</v>
      </c>
      <c r="EG253" s="278">
        <v>0</v>
      </c>
      <c r="EH253" s="257">
        <v>0</v>
      </c>
      <c r="EI253" s="258">
        <v>0</v>
      </c>
      <c r="EJ253" s="256"/>
      <c r="EK253" t="str">
        <f>IF(AND(AND(AND(OR($DX253=1,$DW253=1),OR($EC253=1,$EA253=1)),SUM($DV253:$DZ253,$EF253)&gt;=4),SUM($EA253:$EE253)&gt;=2),"Whole sector","")</f>
        <v>Whole sector</v>
      </c>
      <c r="EL253" t="str">
        <f>IF(AND(AND(OR($DX253=1,$DW253=1),AND($EC253=0,$EA253=0)),SUM($DV253:$DZ253,$EF253)&gt;=4),"Ecosystem approach","")</f>
        <v/>
      </c>
      <c r="EM253" s="258" t="s">
        <v>545</v>
      </c>
      <c r="EN253" s="257" t="s">
        <v>237</v>
      </c>
      <c r="EO253" s="257"/>
      <c r="EP253" t="str">
        <f>IF(ISNUMBER(BU253),IF(ABS(BU253-[3]QC_indicators!$B$2)&gt;3*[3]QC_indicators!$C$2,"C ratio",IF(ISNUMBER(BY253),IF(ABS(BY253-[3]QC_indicators!$B$1)&gt;3*[3]QC_indicators!$C$1,"DF","no"))),IF(ISNUMBER(BY253),IF(ABS(BY253-[3]QC_indicators!$B$1)&gt;3*[3]QC_indicators!$C$1,"DF","no")))</f>
        <v>no</v>
      </c>
      <c r="EQ253" s="257"/>
      <c r="ER253" s="257"/>
      <c r="ES253" s="257"/>
      <c r="ET253" s="257"/>
      <c r="EU253"/>
    </row>
    <row r="254" spans="1:151" s="139" customFormat="1" ht="15" hidden="1" customHeight="1">
      <c r="A254" s="256" t="s">
        <v>215</v>
      </c>
      <c r="B254" s="257" t="s">
        <v>216</v>
      </c>
      <c r="C254" s="257" t="s">
        <v>217</v>
      </c>
      <c r="D254" s="257" t="s">
        <v>218</v>
      </c>
      <c r="E254" s="257" t="s">
        <v>219</v>
      </c>
      <c r="F254" s="257" t="s">
        <v>220</v>
      </c>
      <c r="G254" s="257" t="s">
        <v>221</v>
      </c>
      <c r="H254" s="257"/>
      <c r="I254" s="257">
        <v>2012</v>
      </c>
      <c r="J254" s="257"/>
      <c r="K254" s="257" t="s">
        <v>222</v>
      </c>
      <c r="L254" s="257"/>
      <c r="M254" s="257" t="s">
        <v>3072</v>
      </c>
      <c r="N254" s="257" t="s">
        <v>223</v>
      </c>
      <c r="O254" s="277" t="s">
        <v>224</v>
      </c>
      <c r="P254" s="257"/>
      <c r="Q254" s="257" t="s">
        <v>225</v>
      </c>
      <c r="R254" s="258" t="s">
        <v>226</v>
      </c>
      <c r="S254" s="256" t="s">
        <v>241</v>
      </c>
      <c r="T254" s="257">
        <v>2000</v>
      </c>
      <c r="U254" s="257">
        <v>4000</v>
      </c>
      <c r="V254" s="257">
        <v>0</v>
      </c>
      <c r="W254" s="257">
        <v>0</v>
      </c>
      <c r="X254" s="257">
        <v>0</v>
      </c>
      <c r="Y254" s="257">
        <v>0</v>
      </c>
      <c r="Z254" s="257">
        <v>0</v>
      </c>
      <c r="AA254" s="257">
        <v>1</v>
      </c>
      <c r="AB254" s="257">
        <v>0</v>
      </c>
      <c r="AC254" s="257">
        <v>0</v>
      </c>
      <c r="AD254" s="257">
        <v>0</v>
      </c>
      <c r="AE254" s="257">
        <v>0</v>
      </c>
      <c r="AF254" s="257">
        <v>0</v>
      </c>
      <c r="AG254" s="257">
        <v>0</v>
      </c>
      <c r="AH254" s="257">
        <v>0</v>
      </c>
      <c r="AI254" s="257">
        <v>0</v>
      </c>
      <c r="AJ254" s="257">
        <v>0</v>
      </c>
      <c r="AK254" s="257">
        <v>0</v>
      </c>
      <c r="AL254" s="257">
        <v>0</v>
      </c>
      <c r="AM254" s="257">
        <v>0</v>
      </c>
      <c r="AN254" s="257">
        <v>0</v>
      </c>
      <c r="AO254" s="257">
        <v>0</v>
      </c>
      <c r="AP254" s="257">
        <v>0</v>
      </c>
      <c r="AQ254" s="257">
        <v>0</v>
      </c>
      <c r="AR254" s="257">
        <v>0</v>
      </c>
      <c r="AS254" s="257">
        <v>0</v>
      </c>
      <c r="AT254" s="257">
        <v>0</v>
      </c>
      <c r="AU254" s="257">
        <v>0</v>
      </c>
      <c r="AV254" s="257">
        <v>0</v>
      </c>
      <c r="AW254" s="257">
        <v>0</v>
      </c>
      <c r="AX254" s="279">
        <v>1</v>
      </c>
      <c r="AY254" s="279">
        <v>1</v>
      </c>
      <c r="AZ254" s="257">
        <v>1</v>
      </c>
      <c r="BA254" s="257">
        <v>0</v>
      </c>
      <c r="BB254" s="257">
        <v>0</v>
      </c>
      <c r="BC254" s="257">
        <v>0</v>
      </c>
      <c r="BD254" s="257">
        <v>0</v>
      </c>
      <c r="BE254" s="257" t="s">
        <v>94</v>
      </c>
      <c r="BF254" s="2" t="str" cm="1">
        <f t="array" ref="BF254">IF(COUNTIF(AZ254:BB254,"&lt;&gt;0")=1,INDEX($V$4:$AW$4,MATCH(TRUE,INDEX($V254:$AW254&lt;&gt;0,),0)),IF(COUNTIF(AZ254:BB254,"&lt;&gt;0")=0,INDEX($AM$4:$AW$4,MATCH(1,$AM254:$AW254,0)),"Multiple strategies"))</f>
        <v>SilvicultureProd</v>
      </c>
      <c r="BG254" s="280" t="s">
        <v>230</v>
      </c>
      <c r="BH254" s="257" t="s">
        <v>231</v>
      </c>
      <c r="BI254" s="281" t="s">
        <v>3073</v>
      </c>
      <c r="BJ254" s="278" t="s">
        <v>232</v>
      </c>
      <c r="BK254" s="257">
        <v>54.766085619999998</v>
      </c>
      <c r="BL254" s="257">
        <v>56.739926740000001</v>
      </c>
      <c r="BM254" s="278">
        <v>1.0360413036216556</v>
      </c>
      <c r="BN254" s="257">
        <v>1.973841120000003</v>
      </c>
      <c r="BO254" s="278">
        <v>4.0282471836734759</v>
      </c>
      <c r="BP254" s="278" t="s">
        <v>233</v>
      </c>
      <c r="BQ254" s="312" t="s">
        <v>3073</v>
      </c>
      <c r="BR254" s="278" t="s">
        <v>234</v>
      </c>
      <c r="BS254" s="257">
        <v>-9.0261044179999992</v>
      </c>
      <c r="BT254" s="257">
        <v>-9.5324096189999992</v>
      </c>
      <c r="BU254" s="259">
        <v>1.0560934349474529</v>
      </c>
      <c r="BV254" s="257">
        <v>-0.50630520099999998</v>
      </c>
      <c r="BW254" s="257"/>
      <c r="BX254" s="257">
        <v>-5.0630520100000004E-4</v>
      </c>
      <c r="BY254" s="257">
        <v>-1.256887122150944E-4</v>
      </c>
      <c r="BZ254" s="257">
        <v>0</v>
      </c>
      <c r="CA254" s="257">
        <v>0</v>
      </c>
      <c r="CB254" s="257">
        <v>0</v>
      </c>
      <c r="CC254" s="257">
        <v>0</v>
      </c>
      <c r="CD254" s="257">
        <v>0</v>
      </c>
      <c r="CE254" s="257">
        <v>0</v>
      </c>
      <c r="CF254" s="257">
        <v>0</v>
      </c>
      <c r="CG254" s="257">
        <v>0</v>
      </c>
      <c r="CH254" s="257">
        <v>0</v>
      </c>
      <c r="CI254" s="257">
        <v>0</v>
      </c>
      <c r="CJ254" s="257">
        <v>0</v>
      </c>
      <c r="CK254" s="257">
        <v>0</v>
      </c>
      <c r="CL254" s="257">
        <v>0</v>
      </c>
      <c r="CM254" s="257">
        <v>0</v>
      </c>
      <c r="CN254" s="257" t="s">
        <v>3074</v>
      </c>
      <c r="CO254" s="257">
        <v>54.766085619999998</v>
      </c>
      <c r="CP254" s="257">
        <v>56.739926740000001</v>
      </c>
      <c r="CQ254" s="257">
        <v>4.0282471836734759</v>
      </c>
      <c r="CR254" s="257">
        <v>-9.0261044179999992</v>
      </c>
      <c r="CS254" s="257">
        <v>-9.5324096189999992</v>
      </c>
      <c r="CT254" s="257">
        <v>-5.0630520100000004E-4</v>
      </c>
      <c r="CU254" s="257">
        <v>-1.256887122150944E-4</v>
      </c>
      <c r="CV254" s="258">
        <v>-5.6093434947452878E-2</v>
      </c>
      <c r="CW254" s="256" t="s">
        <v>235</v>
      </c>
      <c r="CX254" s="257" t="s">
        <v>3075</v>
      </c>
      <c r="CY254" s="257" t="s">
        <v>236</v>
      </c>
      <c r="CZ254" s="257"/>
      <c r="DA254" s="278"/>
      <c r="DB254" s="278">
        <v>80</v>
      </c>
      <c r="DC254" s="257" t="s">
        <v>3076</v>
      </c>
      <c r="DD254" s="257">
        <v>0</v>
      </c>
      <c r="DE254" s="257">
        <v>1</v>
      </c>
      <c r="DF254" s="257">
        <v>0</v>
      </c>
      <c r="DG254" s="257">
        <v>0</v>
      </c>
      <c r="DH254" s="257"/>
      <c r="DI254" s="257">
        <v>1</v>
      </c>
      <c r="DJ254" s="257" t="s">
        <v>174</v>
      </c>
      <c r="DK254" s="257">
        <v>0</v>
      </c>
      <c r="DL254" s="257" t="s">
        <v>181</v>
      </c>
      <c r="DM254" s="257">
        <v>0</v>
      </c>
      <c r="DN254" s="257">
        <v>0</v>
      </c>
      <c r="DO254" s="257">
        <v>0</v>
      </c>
      <c r="DP254" s="278">
        <v>0</v>
      </c>
      <c r="DQ254" s="278">
        <v>0</v>
      </c>
      <c r="DR254" s="278">
        <v>0</v>
      </c>
      <c r="DS254" s="278">
        <v>0</v>
      </c>
      <c r="DT254" s="257">
        <v>0</v>
      </c>
      <c r="DU254" s="278" t="s">
        <v>964</v>
      </c>
      <c r="DV254" s="278">
        <v>1</v>
      </c>
      <c r="DW254" s="278">
        <v>1</v>
      </c>
      <c r="DX254" s="278">
        <v>1</v>
      </c>
      <c r="DY254" s="278">
        <v>0</v>
      </c>
      <c r="DZ254" s="257">
        <v>0</v>
      </c>
      <c r="EA254" s="278">
        <v>0</v>
      </c>
      <c r="EB254" s="278">
        <v>1</v>
      </c>
      <c r="EC254" s="278">
        <v>1</v>
      </c>
      <c r="ED254" s="278">
        <v>0</v>
      </c>
      <c r="EE254" s="278">
        <v>0</v>
      </c>
      <c r="EF254" s="257">
        <v>1</v>
      </c>
      <c r="EG254" s="278">
        <v>0</v>
      </c>
      <c r="EH254" s="257">
        <v>0</v>
      </c>
      <c r="EI254" s="258">
        <v>0</v>
      </c>
      <c r="EJ254" s="256"/>
      <c r="EK254" t="str">
        <f>IF(AND(AND(AND(OR($DX254=1,$DW254=1),OR($EC254=1,$EA254=1)),SUM($DV254:$DZ254,$EF254)&gt;=4),SUM($EA254:$EE254)&gt;=2),"Whole sector","")</f>
        <v>Whole sector</v>
      </c>
      <c r="EL254" t="str">
        <f>IF(AND(AND(OR($DX254=1,$DW254=1),AND($EC254=0,$EA254=0)),SUM($DV254:$DZ254,$EF254)&gt;=4),"Ecosystem approach","")</f>
        <v/>
      </c>
      <c r="EM254" s="258" t="s">
        <v>545</v>
      </c>
      <c r="EN254" s="257" t="s">
        <v>237</v>
      </c>
      <c r="EO254" s="257"/>
      <c r="EP254" t="str">
        <f>IF(ISNUMBER(BU254),IF(ABS(BU254-[3]QC_indicators!$B$2)&gt;3*[3]QC_indicators!$C$2,"C ratio",IF(ISNUMBER(BY254),IF(ABS(BY254-[3]QC_indicators!$B$1)&gt;3*[3]QC_indicators!$C$1,"DF","no"))),IF(ISNUMBER(BY254),IF(ABS(BY254-[3]QC_indicators!$B$1)&gt;3*[3]QC_indicators!$C$1,"DF","no")))</f>
        <v>no</v>
      </c>
      <c r="EQ254" s="282"/>
      <c r="ER254" s="282"/>
      <c r="ES254" s="282"/>
      <c r="ET254"/>
      <c r="EU254"/>
    </row>
    <row r="255" spans="1:151" s="139" customFormat="1" ht="15" hidden="1" customHeight="1">
      <c r="A255" s="256" t="s">
        <v>215</v>
      </c>
      <c r="B255" s="257" t="s">
        <v>216</v>
      </c>
      <c r="C255" s="257" t="s">
        <v>217</v>
      </c>
      <c r="D255" s="257" t="s">
        <v>218</v>
      </c>
      <c r="E255" s="257" t="s">
        <v>219</v>
      </c>
      <c r="F255" s="257" t="s">
        <v>220</v>
      </c>
      <c r="G255" s="257" t="s">
        <v>221</v>
      </c>
      <c r="H255" s="257"/>
      <c r="I255" s="257">
        <v>2012</v>
      </c>
      <c r="J255" s="257"/>
      <c r="K255" s="257" t="s">
        <v>222</v>
      </c>
      <c r="L255" s="257"/>
      <c r="M255" s="257" t="s">
        <v>3072</v>
      </c>
      <c r="N255" s="257" t="s">
        <v>223</v>
      </c>
      <c r="O255" s="277" t="s">
        <v>224</v>
      </c>
      <c r="P255" s="257"/>
      <c r="Q255" s="257" t="s">
        <v>225</v>
      </c>
      <c r="R255" s="258" t="s">
        <v>226</v>
      </c>
      <c r="S255" s="256" t="s">
        <v>227</v>
      </c>
      <c r="T255" s="257" t="s">
        <v>229</v>
      </c>
      <c r="U255" s="257" t="s">
        <v>240</v>
      </c>
      <c r="V255" s="257">
        <v>0</v>
      </c>
      <c r="W255" s="257">
        <v>0</v>
      </c>
      <c r="X255" s="257">
        <v>0</v>
      </c>
      <c r="Y255" s="257">
        <v>1</v>
      </c>
      <c r="Z255" s="257">
        <v>0</v>
      </c>
      <c r="AA255" s="257">
        <v>0</v>
      </c>
      <c r="AB255" s="257">
        <v>0</v>
      </c>
      <c r="AC255" s="257">
        <v>0</v>
      </c>
      <c r="AD255" s="257">
        <v>0</v>
      </c>
      <c r="AE255" s="257">
        <v>0</v>
      </c>
      <c r="AF255" s="257">
        <v>0</v>
      </c>
      <c r="AG255" s="257">
        <v>0</v>
      </c>
      <c r="AH255" s="257">
        <v>0</v>
      </c>
      <c r="AI255" s="257">
        <v>0</v>
      </c>
      <c r="AJ255" s="257">
        <v>0</v>
      </c>
      <c r="AK255" s="257">
        <v>0</v>
      </c>
      <c r="AL255" s="257">
        <v>0</v>
      </c>
      <c r="AM255" s="257">
        <v>0</v>
      </c>
      <c r="AN255" s="257">
        <v>0</v>
      </c>
      <c r="AO255" s="257">
        <v>0</v>
      </c>
      <c r="AP255" s="257">
        <v>0</v>
      </c>
      <c r="AQ255" s="257">
        <v>0</v>
      </c>
      <c r="AR255" s="257">
        <v>0</v>
      </c>
      <c r="AS255" s="257">
        <v>0</v>
      </c>
      <c r="AT255" s="257">
        <v>0</v>
      </c>
      <c r="AU255" s="257">
        <v>0</v>
      </c>
      <c r="AV255" s="257">
        <v>0</v>
      </c>
      <c r="AW255" s="257">
        <v>0</v>
      </c>
      <c r="AX255" s="279">
        <v>1</v>
      </c>
      <c r="AY255" s="279">
        <v>1</v>
      </c>
      <c r="AZ255" s="257">
        <v>1</v>
      </c>
      <c r="BA255" s="257">
        <v>0</v>
      </c>
      <c r="BB255" s="257">
        <v>0</v>
      </c>
      <c r="BC255" s="257">
        <v>0</v>
      </c>
      <c r="BD255" s="257">
        <v>0</v>
      </c>
      <c r="BE255" s="257" t="s">
        <v>92</v>
      </c>
      <c r="BF255" s="2" t="str" cm="1">
        <f t="array" ref="BF255">IF(COUNTIF(AZ255:BB255,"&lt;&gt;0")=1,INDEX($V$4:$AW$4,MATCH(TRUE,INDEX($V255:$AW255&lt;&gt;0,),0)),IF(COUNTIF(AZ255:BB255,"&lt;&gt;0")=0,INDEX($AM$4:$AW$4,MATCH(1,$AM255:$AW255,0)),"Multiple strategies"))</f>
        <v>SilvicultureRemov</v>
      </c>
      <c r="BG255" s="280" t="s">
        <v>230</v>
      </c>
      <c r="BH255" s="257" t="s">
        <v>231</v>
      </c>
      <c r="BI255" s="281" t="s">
        <v>3073</v>
      </c>
      <c r="BJ255" s="278" t="s">
        <v>232</v>
      </c>
      <c r="BK255" s="257">
        <v>34.220071779999998</v>
      </c>
      <c r="BL255" s="257">
        <v>54.766085619999998</v>
      </c>
      <c r="BM255" s="278">
        <v>0.62484056314412195</v>
      </c>
      <c r="BN255" s="257">
        <v>20.546013840000001</v>
      </c>
      <c r="BO255" s="278">
        <v>41.93064048979592</v>
      </c>
      <c r="BP255" s="278" t="s">
        <v>233</v>
      </c>
      <c r="BQ255" s="312" t="s">
        <v>3073</v>
      </c>
      <c r="BR255" s="278" t="s">
        <v>234</v>
      </c>
      <c r="BS255" s="257">
        <v>-10.49196787</v>
      </c>
      <c r="BT255" s="257">
        <v>-9.0261044179999992</v>
      </c>
      <c r="BU255" s="259">
        <v>0.86028708149294009</v>
      </c>
      <c r="BV255" s="257">
        <v>1.4658634520000007</v>
      </c>
      <c r="BW255" s="257"/>
      <c r="BX255" s="257">
        <v>1.4658634520000008E-3</v>
      </c>
      <c r="BY255" s="257">
        <v>3.4959243047020181E-5</v>
      </c>
      <c r="BZ255" s="257">
        <v>0</v>
      </c>
      <c r="CA255" s="257">
        <v>0</v>
      </c>
      <c r="CB255" s="257">
        <v>0</v>
      </c>
      <c r="CC255" s="257">
        <v>0</v>
      </c>
      <c r="CD255" s="257">
        <v>0</v>
      </c>
      <c r="CE255" s="257">
        <v>0</v>
      </c>
      <c r="CF255" s="257">
        <v>0</v>
      </c>
      <c r="CG255" s="257">
        <v>0</v>
      </c>
      <c r="CH255" s="257">
        <v>0</v>
      </c>
      <c r="CI255" s="257">
        <v>0</v>
      </c>
      <c r="CJ255" s="257">
        <v>0</v>
      </c>
      <c r="CK255" s="257">
        <v>0</v>
      </c>
      <c r="CL255" s="257">
        <v>0</v>
      </c>
      <c r="CM255" s="257">
        <v>0</v>
      </c>
      <c r="CN255" s="257" t="s">
        <v>3074</v>
      </c>
      <c r="CO255" s="257">
        <v>34.220071779999998</v>
      </c>
      <c r="CP255" s="257">
        <v>54.766085619999998</v>
      </c>
      <c r="CQ255" s="257">
        <v>41.93064048979592</v>
      </c>
      <c r="CR255" s="257">
        <v>-10.49196787</v>
      </c>
      <c r="CS255" s="257">
        <v>-9.0261044179999992</v>
      </c>
      <c r="CT255" s="257">
        <v>1.4658634520000008E-3</v>
      </c>
      <c r="CU255" s="257">
        <v>3.4959243047020181E-5</v>
      </c>
      <c r="CV255" s="258">
        <v>0.13971291850705989</v>
      </c>
      <c r="CW255" s="256" t="s">
        <v>235</v>
      </c>
      <c r="CX255" s="257" t="s">
        <v>3075</v>
      </c>
      <c r="CY255" s="257" t="s">
        <v>236</v>
      </c>
      <c r="CZ255" s="257"/>
      <c r="DA255" s="278"/>
      <c r="DB255" s="278">
        <v>80</v>
      </c>
      <c r="DC255" s="257" t="s">
        <v>3076</v>
      </c>
      <c r="DD255" s="257">
        <v>0</v>
      </c>
      <c r="DE255" s="257">
        <v>1</v>
      </c>
      <c r="DF255" s="257">
        <v>0</v>
      </c>
      <c r="DG255" s="257">
        <v>0</v>
      </c>
      <c r="DH255" s="257"/>
      <c r="DI255" s="257">
        <v>1</v>
      </c>
      <c r="DJ255" s="257" t="s">
        <v>174</v>
      </c>
      <c r="DK255" s="257">
        <v>0</v>
      </c>
      <c r="DL255" s="257" t="s">
        <v>181</v>
      </c>
      <c r="DM255" s="257">
        <v>0</v>
      </c>
      <c r="DN255" s="257">
        <v>0</v>
      </c>
      <c r="DO255" s="257">
        <v>0</v>
      </c>
      <c r="DP255" s="278">
        <v>0</v>
      </c>
      <c r="DQ255" s="278">
        <v>0</v>
      </c>
      <c r="DR255" s="278">
        <v>0</v>
      </c>
      <c r="DS255" s="278">
        <v>0</v>
      </c>
      <c r="DT255" s="257">
        <v>0</v>
      </c>
      <c r="DU255" s="278" t="s">
        <v>964</v>
      </c>
      <c r="DV255" s="278">
        <v>1</v>
      </c>
      <c r="DW255" s="278">
        <v>1</v>
      </c>
      <c r="DX255" s="278">
        <v>1</v>
      </c>
      <c r="DY255" s="278">
        <v>0</v>
      </c>
      <c r="DZ255" s="257">
        <v>0</v>
      </c>
      <c r="EA255" s="278">
        <v>0</v>
      </c>
      <c r="EB255" s="278">
        <v>1</v>
      </c>
      <c r="EC255" s="278">
        <v>1</v>
      </c>
      <c r="ED255" s="278">
        <v>0</v>
      </c>
      <c r="EE255" s="278">
        <v>0</v>
      </c>
      <c r="EF255" s="257">
        <v>1</v>
      </c>
      <c r="EG255" s="278">
        <v>0</v>
      </c>
      <c r="EH255" s="257">
        <v>0</v>
      </c>
      <c r="EI255" s="258">
        <v>0</v>
      </c>
      <c r="EJ255" s="256"/>
      <c r="EK255" t="str">
        <f>IF(AND(AND(AND(OR($DX255=1,$DW255=1),OR($EC255=1,$EA255=1)),SUM($DV255:$DZ255,$EF255)&gt;=4),SUM($EA255:$EE255)&gt;=2),"Whole sector","")</f>
        <v>Whole sector</v>
      </c>
      <c r="EL255" t="str">
        <f>IF(AND(AND(OR($DX255=1,$DW255=1),AND($EC255=0,$EA255=0)),SUM($DV255:$DZ255,$EF255)&gt;=4),"Ecosystem approach","")</f>
        <v/>
      </c>
      <c r="EM255" s="258" t="s">
        <v>545</v>
      </c>
      <c r="EN255" s="257" t="s">
        <v>237</v>
      </c>
      <c r="EO255" s="257"/>
      <c r="EP255" t="str">
        <f>IF(ISNUMBER(BU255),IF(ABS(BU255-[3]QC_indicators!$B$2)&gt;3*[3]QC_indicators!$C$2,"C ratio",IF(ISNUMBER(BY255),IF(ABS(BY255-[3]QC_indicators!$B$1)&gt;3*[3]QC_indicators!$C$1,"DF","no"))),IF(ISNUMBER(BY255),IF(ABS(BY255-[3]QC_indicators!$B$1)&gt;3*[3]QC_indicators!$C$1,"DF","no")))</f>
        <v>no</v>
      </c>
      <c r="EQ255" s="282"/>
      <c r="ER255" s="282"/>
      <c r="ES255" s="282"/>
      <c r="ET255"/>
      <c r="EU255"/>
    </row>
    <row r="256" spans="1:151" s="139" customFormat="1" ht="15" hidden="1" customHeight="1">
      <c r="A256" s="256" t="s">
        <v>215</v>
      </c>
      <c r="B256" s="257" t="s">
        <v>216</v>
      </c>
      <c r="C256" s="257" t="s">
        <v>217</v>
      </c>
      <c r="D256" s="257" t="s">
        <v>218</v>
      </c>
      <c r="E256" s="257" t="s">
        <v>219</v>
      </c>
      <c r="F256" s="257" t="s">
        <v>220</v>
      </c>
      <c r="G256" s="257" t="s">
        <v>221</v>
      </c>
      <c r="H256" s="257"/>
      <c r="I256" s="257">
        <v>2012</v>
      </c>
      <c r="J256" s="257"/>
      <c r="K256" s="257" t="s">
        <v>222</v>
      </c>
      <c r="L256" s="257"/>
      <c r="M256" s="257" t="s">
        <v>3072</v>
      </c>
      <c r="N256" s="257" t="s">
        <v>223</v>
      </c>
      <c r="O256" s="277" t="s">
        <v>224</v>
      </c>
      <c r="P256" s="257"/>
      <c r="Q256" s="257" t="s">
        <v>225</v>
      </c>
      <c r="R256" s="258" t="s">
        <v>226</v>
      </c>
      <c r="S256" s="256" t="s">
        <v>227</v>
      </c>
      <c r="T256" s="257" t="s">
        <v>229</v>
      </c>
      <c r="U256" s="257" t="s">
        <v>239</v>
      </c>
      <c r="V256" s="257">
        <v>0</v>
      </c>
      <c r="W256" s="257">
        <v>0</v>
      </c>
      <c r="X256" s="257">
        <v>0</v>
      </c>
      <c r="Y256" s="257">
        <v>1</v>
      </c>
      <c r="Z256" s="257">
        <v>0</v>
      </c>
      <c r="AA256" s="257">
        <v>0</v>
      </c>
      <c r="AB256" s="257">
        <v>0</v>
      </c>
      <c r="AC256" s="257">
        <v>0</v>
      </c>
      <c r="AD256" s="257">
        <v>0</v>
      </c>
      <c r="AE256" s="257">
        <v>0</v>
      </c>
      <c r="AF256" s="257">
        <v>0</v>
      </c>
      <c r="AG256" s="257">
        <v>0</v>
      </c>
      <c r="AH256" s="257">
        <v>0</v>
      </c>
      <c r="AI256" s="257">
        <v>0</v>
      </c>
      <c r="AJ256" s="257">
        <v>0</v>
      </c>
      <c r="AK256" s="257">
        <v>0</v>
      </c>
      <c r="AL256" s="257">
        <v>0</v>
      </c>
      <c r="AM256" s="257">
        <v>0</v>
      </c>
      <c r="AN256" s="257">
        <v>0</v>
      </c>
      <c r="AO256" s="257">
        <v>0</v>
      </c>
      <c r="AP256" s="257">
        <v>0</v>
      </c>
      <c r="AQ256" s="257">
        <v>0</v>
      </c>
      <c r="AR256" s="257">
        <v>0</v>
      </c>
      <c r="AS256" s="257">
        <v>0</v>
      </c>
      <c r="AT256" s="257">
        <v>0</v>
      </c>
      <c r="AU256" s="257">
        <v>0</v>
      </c>
      <c r="AV256" s="257">
        <v>0</v>
      </c>
      <c r="AW256" s="257">
        <v>0</v>
      </c>
      <c r="AX256" s="279">
        <v>1</v>
      </c>
      <c r="AY256" s="279">
        <v>1</v>
      </c>
      <c r="AZ256" s="257">
        <v>1</v>
      </c>
      <c r="BA256" s="257">
        <v>0</v>
      </c>
      <c r="BB256" s="257">
        <v>0</v>
      </c>
      <c r="BC256" s="257">
        <v>0</v>
      </c>
      <c r="BD256" s="257">
        <v>0</v>
      </c>
      <c r="BE256" s="257" t="s">
        <v>92</v>
      </c>
      <c r="BF256" s="2" t="str" cm="1">
        <f t="array" ref="BF256">IF(COUNTIF(AZ256:BB256,"&lt;&gt;0")=1,INDEX($V$4:$AW$4,MATCH(TRUE,INDEX($V256:$AW256&lt;&gt;0,),0)),IF(COUNTIF(AZ256:BB256,"&lt;&gt;0")=0,INDEX($AM$4:$AW$4,MATCH(1,$AM256:$AW256,0)),"Multiple strategies"))</f>
        <v>SilvicultureRemov</v>
      </c>
      <c r="BG256" s="280" t="s">
        <v>230</v>
      </c>
      <c r="BH256" s="257" t="s">
        <v>231</v>
      </c>
      <c r="BI256" s="281" t="s">
        <v>3073</v>
      </c>
      <c r="BJ256" s="278" t="s">
        <v>232</v>
      </c>
      <c r="BK256" s="257">
        <v>37.305819020000001</v>
      </c>
      <c r="BL256" s="257">
        <v>54.766085619999998</v>
      </c>
      <c r="BM256" s="278">
        <v>0.68118468935045284</v>
      </c>
      <c r="BN256" s="257">
        <v>17.460266599999997</v>
      </c>
      <c r="BO256" s="278">
        <v>35.633197142857135</v>
      </c>
      <c r="BP256" s="278" t="s">
        <v>233</v>
      </c>
      <c r="BQ256" s="312" t="s">
        <v>3073</v>
      </c>
      <c r="BR256" s="278" t="s">
        <v>234</v>
      </c>
      <c r="BS256" s="257">
        <v>-9.8192771079999996</v>
      </c>
      <c r="BT256" s="257">
        <v>-9.0261044179999992</v>
      </c>
      <c r="BU256" s="259">
        <v>0.91922290395962203</v>
      </c>
      <c r="BV256" s="257">
        <v>0.79317269000000046</v>
      </c>
      <c r="BW256" s="257"/>
      <c r="BX256" s="257">
        <v>7.9317269000000047E-4</v>
      </c>
      <c r="BY256" s="257">
        <v>2.2259374785262461E-5</v>
      </c>
      <c r="BZ256" s="257">
        <v>0</v>
      </c>
      <c r="CA256" s="257">
        <v>0</v>
      </c>
      <c r="CB256" s="257">
        <v>0</v>
      </c>
      <c r="CC256" s="257">
        <v>0</v>
      </c>
      <c r="CD256" s="257">
        <v>0</v>
      </c>
      <c r="CE256" s="257">
        <v>0</v>
      </c>
      <c r="CF256" s="257">
        <v>0</v>
      </c>
      <c r="CG256" s="257">
        <v>0</v>
      </c>
      <c r="CH256" s="257">
        <v>0</v>
      </c>
      <c r="CI256" s="257">
        <v>0</v>
      </c>
      <c r="CJ256" s="257">
        <v>0</v>
      </c>
      <c r="CK256" s="257">
        <v>0</v>
      </c>
      <c r="CL256" s="257">
        <v>0</v>
      </c>
      <c r="CM256" s="257">
        <v>0</v>
      </c>
      <c r="CN256" s="257" t="s">
        <v>3074</v>
      </c>
      <c r="CO256" s="257">
        <v>37.305819020000001</v>
      </c>
      <c r="CP256" s="257">
        <v>54.766085619999998</v>
      </c>
      <c r="CQ256" s="257">
        <v>35.633197142857135</v>
      </c>
      <c r="CR256" s="257">
        <v>-9.8192771079999996</v>
      </c>
      <c r="CS256" s="257">
        <v>-9.0261044179999992</v>
      </c>
      <c r="CT256" s="257">
        <v>7.9317269000000047E-4</v>
      </c>
      <c r="CU256" s="257">
        <v>2.2259374785262461E-5</v>
      </c>
      <c r="CV256" s="258">
        <v>8.077709604037793E-2</v>
      </c>
      <c r="CW256" s="256" t="s">
        <v>235</v>
      </c>
      <c r="CX256" s="257" t="s">
        <v>3075</v>
      </c>
      <c r="CY256" s="257" t="s">
        <v>236</v>
      </c>
      <c r="CZ256" s="257"/>
      <c r="DA256" s="278"/>
      <c r="DB256" s="278">
        <v>80</v>
      </c>
      <c r="DC256" s="257" t="s">
        <v>3076</v>
      </c>
      <c r="DD256" s="257">
        <v>0</v>
      </c>
      <c r="DE256" s="257">
        <v>1</v>
      </c>
      <c r="DF256" s="257">
        <v>0</v>
      </c>
      <c r="DG256" s="257">
        <v>0</v>
      </c>
      <c r="DH256" s="257"/>
      <c r="DI256" s="257">
        <v>1</v>
      </c>
      <c r="DJ256" s="257" t="s">
        <v>174</v>
      </c>
      <c r="DK256" s="257">
        <v>0</v>
      </c>
      <c r="DL256" s="257" t="s">
        <v>181</v>
      </c>
      <c r="DM256" s="257">
        <v>0</v>
      </c>
      <c r="DN256" s="257">
        <v>0</v>
      </c>
      <c r="DO256" s="257">
        <v>0</v>
      </c>
      <c r="DP256" s="278">
        <v>0</v>
      </c>
      <c r="DQ256" s="278">
        <v>0</v>
      </c>
      <c r="DR256" s="278">
        <v>0</v>
      </c>
      <c r="DS256" s="278">
        <v>0</v>
      </c>
      <c r="DT256" s="257">
        <v>0</v>
      </c>
      <c r="DU256" s="278" t="s">
        <v>964</v>
      </c>
      <c r="DV256" s="278">
        <v>1</v>
      </c>
      <c r="DW256" s="278">
        <v>1</v>
      </c>
      <c r="DX256" s="278">
        <v>1</v>
      </c>
      <c r="DY256" s="278">
        <v>0</v>
      </c>
      <c r="DZ256" s="257">
        <v>0</v>
      </c>
      <c r="EA256" s="278">
        <v>0</v>
      </c>
      <c r="EB256" s="278">
        <v>1</v>
      </c>
      <c r="EC256" s="278">
        <v>1</v>
      </c>
      <c r="ED256" s="278">
        <v>0</v>
      </c>
      <c r="EE256" s="278">
        <v>0</v>
      </c>
      <c r="EF256" s="257">
        <v>1</v>
      </c>
      <c r="EG256" s="278">
        <v>0</v>
      </c>
      <c r="EH256" s="257">
        <v>0</v>
      </c>
      <c r="EI256" s="258">
        <v>0</v>
      </c>
      <c r="EJ256" s="256"/>
      <c r="EK256" t="str">
        <f>IF(AND(AND(AND(OR($DX256=1,$DW256=1),OR($EC256=1,$EA256=1)),SUM($DV256:$DZ256,$EF256)&gt;=4),SUM($EA256:$EE256)&gt;=2),"Whole sector","")</f>
        <v>Whole sector</v>
      </c>
      <c r="EL256" t="str">
        <f>IF(AND(AND(OR($DX256=1,$DW256=1),AND($EC256=0,$EA256=0)),SUM($DV256:$DZ256,$EF256)&gt;=4),"Ecosystem approach","")</f>
        <v/>
      </c>
      <c r="EM256" s="258" t="s">
        <v>545</v>
      </c>
      <c r="EN256" s="257" t="s">
        <v>237</v>
      </c>
      <c r="EO256" s="257"/>
      <c r="EP256" t="str">
        <f>IF(ISNUMBER(BU256),IF(ABS(BU256-[3]QC_indicators!$B$2)&gt;3*[3]QC_indicators!$C$2,"C ratio",IF(ISNUMBER(BY256),IF(ABS(BY256-[3]QC_indicators!$B$1)&gt;3*[3]QC_indicators!$C$1,"DF","no"))),IF(ISNUMBER(BY256),IF(ABS(BY256-[3]QC_indicators!$B$1)&gt;3*[3]QC_indicators!$C$1,"DF","no")))</f>
        <v>no</v>
      </c>
      <c r="EQ256" s="282"/>
      <c r="ER256" s="282"/>
      <c r="ES256" s="282"/>
      <c r="ET256"/>
      <c r="EU256"/>
    </row>
    <row r="257" spans="1:151" s="139" customFormat="1" ht="15" hidden="1" customHeight="1">
      <c r="A257" s="256" t="s">
        <v>215</v>
      </c>
      <c r="B257" s="257" t="s">
        <v>216</v>
      </c>
      <c r="C257" s="257" t="s">
        <v>217</v>
      </c>
      <c r="D257" s="257" t="s">
        <v>218</v>
      </c>
      <c r="E257" s="257" t="s">
        <v>219</v>
      </c>
      <c r="F257" s="257" t="s">
        <v>220</v>
      </c>
      <c r="G257" s="257" t="s">
        <v>221</v>
      </c>
      <c r="H257" s="257"/>
      <c r="I257" s="257">
        <v>2012</v>
      </c>
      <c r="J257" s="257"/>
      <c r="K257" s="257" t="s">
        <v>222</v>
      </c>
      <c r="L257" s="257"/>
      <c r="M257" s="257" t="s">
        <v>3072</v>
      </c>
      <c r="N257" s="257" t="s">
        <v>223</v>
      </c>
      <c r="O257" s="277" t="s">
        <v>224</v>
      </c>
      <c r="P257" s="257"/>
      <c r="Q257" s="257" t="s">
        <v>225</v>
      </c>
      <c r="R257" s="258" t="s">
        <v>226</v>
      </c>
      <c r="S257" s="256" t="s">
        <v>227</v>
      </c>
      <c r="T257" s="257" t="s">
        <v>229</v>
      </c>
      <c r="U257" s="257" t="s">
        <v>238</v>
      </c>
      <c r="V257" s="257">
        <v>0</v>
      </c>
      <c r="W257" s="257">
        <v>0</v>
      </c>
      <c r="X257" s="257">
        <v>0</v>
      </c>
      <c r="Y257" s="257">
        <v>1</v>
      </c>
      <c r="Z257" s="257">
        <v>0</v>
      </c>
      <c r="AA257" s="257">
        <v>0</v>
      </c>
      <c r="AB257" s="257">
        <v>0</v>
      </c>
      <c r="AC257" s="257">
        <v>0</v>
      </c>
      <c r="AD257" s="257">
        <v>0</v>
      </c>
      <c r="AE257" s="257">
        <v>0</v>
      </c>
      <c r="AF257" s="257">
        <v>0</v>
      </c>
      <c r="AG257" s="257">
        <v>0</v>
      </c>
      <c r="AH257" s="257">
        <v>0</v>
      </c>
      <c r="AI257" s="257">
        <v>0</v>
      </c>
      <c r="AJ257" s="257">
        <v>0</v>
      </c>
      <c r="AK257" s="257">
        <v>0</v>
      </c>
      <c r="AL257" s="257">
        <v>0</v>
      </c>
      <c r="AM257" s="257">
        <v>0</v>
      </c>
      <c r="AN257" s="257">
        <v>0</v>
      </c>
      <c r="AO257" s="257">
        <v>0</v>
      </c>
      <c r="AP257" s="257">
        <v>0</v>
      </c>
      <c r="AQ257" s="257">
        <v>0</v>
      </c>
      <c r="AR257" s="257">
        <v>0</v>
      </c>
      <c r="AS257" s="257">
        <v>0</v>
      </c>
      <c r="AT257" s="257">
        <v>0</v>
      </c>
      <c r="AU257" s="257">
        <v>0</v>
      </c>
      <c r="AV257" s="257">
        <v>0</v>
      </c>
      <c r="AW257" s="257">
        <v>0</v>
      </c>
      <c r="AX257" s="279">
        <v>1</v>
      </c>
      <c r="AY257" s="279">
        <v>1</v>
      </c>
      <c r="AZ257" s="257">
        <v>1</v>
      </c>
      <c r="BA257" s="257">
        <v>0</v>
      </c>
      <c r="BB257" s="257">
        <v>0</v>
      </c>
      <c r="BC257" s="257">
        <v>0</v>
      </c>
      <c r="BD257" s="257">
        <v>0</v>
      </c>
      <c r="BE257" s="257" t="s">
        <v>92</v>
      </c>
      <c r="BF257" s="2" t="str" cm="1">
        <f t="array" ref="BF257">IF(COUNTIF(AZ257:BB257,"&lt;&gt;0")=1,INDEX($V$4:$AW$4,MATCH(TRUE,INDEX($V257:$AW257&lt;&gt;0,),0)),IF(COUNTIF(AZ257:BB257,"&lt;&gt;0")=0,INDEX($AM$4:$AW$4,MATCH(1,$AM257:$AW257,0)),"Multiple strategies"))</f>
        <v>SilvicultureRemov</v>
      </c>
      <c r="BG257" s="280" t="s">
        <v>230</v>
      </c>
      <c r="BH257" s="257" t="s">
        <v>231</v>
      </c>
      <c r="BI257" s="281" t="s">
        <v>3073</v>
      </c>
      <c r="BJ257" s="278" t="s">
        <v>232</v>
      </c>
      <c r="BK257" s="257">
        <v>47.845851490000001</v>
      </c>
      <c r="BL257" s="257">
        <v>54.766085619999998</v>
      </c>
      <c r="BM257" s="278">
        <v>0.87364015427327157</v>
      </c>
      <c r="BN257" s="257">
        <v>6.9202341299999972</v>
      </c>
      <c r="BO257" s="278">
        <v>14.122926795918362</v>
      </c>
      <c r="BP257" s="278" t="s">
        <v>233</v>
      </c>
      <c r="BQ257" s="312" t="s">
        <v>3073</v>
      </c>
      <c r="BR257" s="278" t="s">
        <v>234</v>
      </c>
      <c r="BS257" s="257">
        <v>-9.0763052210000001</v>
      </c>
      <c r="BT257" s="257">
        <v>-9.0261044179999992</v>
      </c>
      <c r="BU257" s="259">
        <v>0.99446902657219471</v>
      </c>
      <c r="BV257" s="257">
        <v>5.020080300000096E-2</v>
      </c>
      <c r="BW257" s="257"/>
      <c r="BX257" s="257">
        <v>5.0200803000000959E-5</v>
      </c>
      <c r="BY257" s="257">
        <v>3.5545608729282225E-6</v>
      </c>
      <c r="BZ257" s="257">
        <v>0</v>
      </c>
      <c r="CA257" s="257">
        <v>0</v>
      </c>
      <c r="CB257" s="257">
        <v>0</v>
      </c>
      <c r="CC257" s="257">
        <v>0</v>
      </c>
      <c r="CD257" s="257">
        <v>0</v>
      </c>
      <c r="CE257" s="257">
        <v>0</v>
      </c>
      <c r="CF257" s="257">
        <v>0</v>
      </c>
      <c r="CG257" s="257">
        <v>0</v>
      </c>
      <c r="CH257" s="257">
        <v>0</v>
      </c>
      <c r="CI257" s="257">
        <v>0</v>
      </c>
      <c r="CJ257" s="257">
        <v>0</v>
      </c>
      <c r="CK257" s="257">
        <v>0</v>
      </c>
      <c r="CL257" s="257">
        <v>0</v>
      </c>
      <c r="CM257" s="257">
        <v>0</v>
      </c>
      <c r="CN257" s="257" t="s">
        <v>3074</v>
      </c>
      <c r="CO257" s="257">
        <v>47.845851490000001</v>
      </c>
      <c r="CP257" s="257">
        <v>54.766085619999998</v>
      </c>
      <c r="CQ257" s="257">
        <v>14.122926795918362</v>
      </c>
      <c r="CR257" s="257">
        <v>-9.0763052210000001</v>
      </c>
      <c r="CS257" s="257">
        <v>-9.0261044179999992</v>
      </c>
      <c r="CT257" s="257">
        <v>5.0200803000000959E-5</v>
      </c>
      <c r="CU257" s="257">
        <v>3.5545608729282225E-6</v>
      </c>
      <c r="CV257" s="258">
        <v>5.5309734278052389E-3</v>
      </c>
      <c r="CW257" s="256" t="s">
        <v>235</v>
      </c>
      <c r="CX257" s="257" t="s">
        <v>3075</v>
      </c>
      <c r="CY257" s="257" t="s">
        <v>236</v>
      </c>
      <c r="CZ257" s="257"/>
      <c r="DA257" s="278"/>
      <c r="DB257" s="278">
        <v>80</v>
      </c>
      <c r="DC257" s="257" t="s">
        <v>3076</v>
      </c>
      <c r="DD257" s="257">
        <v>0</v>
      </c>
      <c r="DE257" s="257">
        <v>1</v>
      </c>
      <c r="DF257" s="257">
        <v>0</v>
      </c>
      <c r="DG257" s="257">
        <v>0</v>
      </c>
      <c r="DH257" s="257"/>
      <c r="DI257" s="257">
        <v>1</v>
      </c>
      <c r="DJ257" s="257" t="s">
        <v>174</v>
      </c>
      <c r="DK257" s="257">
        <v>0</v>
      </c>
      <c r="DL257" s="257" t="s">
        <v>181</v>
      </c>
      <c r="DM257" s="257">
        <v>0</v>
      </c>
      <c r="DN257" s="257">
        <v>0</v>
      </c>
      <c r="DO257" s="257">
        <v>0</v>
      </c>
      <c r="DP257" s="278">
        <v>0</v>
      </c>
      <c r="DQ257" s="278">
        <v>0</v>
      </c>
      <c r="DR257" s="278">
        <v>0</v>
      </c>
      <c r="DS257" s="278">
        <v>0</v>
      </c>
      <c r="DT257" s="257">
        <v>0</v>
      </c>
      <c r="DU257" s="278" t="s">
        <v>964</v>
      </c>
      <c r="DV257" s="278">
        <v>1</v>
      </c>
      <c r="DW257" s="278">
        <v>1</v>
      </c>
      <c r="DX257" s="278">
        <v>1</v>
      </c>
      <c r="DY257" s="278">
        <v>0</v>
      </c>
      <c r="DZ257" s="257">
        <v>0</v>
      </c>
      <c r="EA257" s="278">
        <v>0</v>
      </c>
      <c r="EB257" s="278">
        <v>1</v>
      </c>
      <c r="EC257" s="278">
        <v>1</v>
      </c>
      <c r="ED257" s="278">
        <v>0</v>
      </c>
      <c r="EE257" s="278">
        <v>0</v>
      </c>
      <c r="EF257" s="257">
        <v>1</v>
      </c>
      <c r="EG257" s="278">
        <v>0</v>
      </c>
      <c r="EH257" s="257">
        <v>0</v>
      </c>
      <c r="EI257" s="258">
        <v>0</v>
      </c>
      <c r="EJ257" s="256"/>
      <c r="EK257" t="str">
        <f>IF(AND(AND(AND(OR($DX257=1,$DW257=1),OR($EC257=1,$EA257=1)),SUM($DV257:$DZ257,$EF257)&gt;=4),SUM($EA257:$EE257)&gt;=2),"Whole sector","")</f>
        <v>Whole sector</v>
      </c>
      <c r="EL257" t="str">
        <f>IF(AND(AND(OR($DX257=1,$DW257=1),AND($EC257=0,$EA257=0)),SUM($DV257:$DZ257,$EF257)&gt;=4),"Ecosystem approach","")</f>
        <v/>
      </c>
      <c r="EM257" s="258" t="s">
        <v>545</v>
      </c>
      <c r="EN257" s="257" t="s">
        <v>237</v>
      </c>
      <c r="EO257" s="257"/>
      <c r="EP257" t="str">
        <f>IF(ISNUMBER(BU257),IF(ABS(BU257-[3]QC_indicators!$B$2)&gt;3*[3]QC_indicators!$C$2,"C ratio",IF(ISNUMBER(BY257),IF(ABS(BY257-[3]QC_indicators!$B$1)&gt;3*[3]QC_indicators!$C$1,"DF","no"))),IF(ISNUMBER(BY257),IF(ABS(BY257-[3]QC_indicators!$B$1)&gt;3*[3]QC_indicators!$C$1,"DF","no")))</f>
        <v>no</v>
      </c>
      <c r="EQ257" s="257"/>
      <c r="ER257" s="257"/>
      <c r="ES257" s="257"/>
      <c r="ET257" s="257"/>
      <c r="EU257"/>
    </row>
    <row r="258" spans="1:151" s="139" customFormat="1" ht="15" hidden="1" customHeight="1">
      <c r="A258" s="256" t="s">
        <v>215</v>
      </c>
      <c r="B258" s="257" t="s">
        <v>216</v>
      </c>
      <c r="C258" s="257" t="s">
        <v>217</v>
      </c>
      <c r="D258" s="257" t="s">
        <v>218</v>
      </c>
      <c r="E258" s="257" t="s">
        <v>219</v>
      </c>
      <c r="F258" s="257" t="s">
        <v>220</v>
      </c>
      <c r="G258" s="257" t="s">
        <v>221</v>
      </c>
      <c r="H258" s="257"/>
      <c r="I258" s="257">
        <v>2012</v>
      </c>
      <c r="J258" s="257"/>
      <c r="K258" s="257" t="s">
        <v>222</v>
      </c>
      <c r="L258" s="257"/>
      <c r="M258" s="257" t="s">
        <v>3072</v>
      </c>
      <c r="N258" s="257" t="s">
        <v>223</v>
      </c>
      <c r="O258" s="277" t="s">
        <v>224</v>
      </c>
      <c r="P258" s="257"/>
      <c r="Q258" s="257" t="s">
        <v>225</v>
      </c>
      <c r="R258" s="258" t="s">
        <v>226</v>
      </c>
      <c r="S258" s="256" t="s">
        <v>227</v>
      </c>
      <c r="T258" s="257" t="s">
        <v>228</v>
      </c>
      <c r="U258" s="257" t="s">
        <v>229</v>
      </c>
      <c r="V258" s="257">
        <v>0</v>
      </c>
      <c r="W258" s="257">
        <v>0</v>
      </c>
      <c r="X258" s="257">
        <v>0</v>
      </c>
      <c r="Y258" s="257">
        <v>1</v>
      </c>
      <c r="Z258" s="257">
        <v>0</v>
      </c>
      <c r="AA258" s="257">
        <v>0</v>
      </c>
      <c r="AB258" s="257">
        <v>0</v>
      </c>
      <c r="AC258" s="257">
        <v>0</v>
      </c>
      <c r="AD258" s="257">
        <v>0</v>
      </c>
      <c r="AE258" s="257">
        <v>0</v>
      </c>
      <c r="AF258" s="257">
        <v>0</v>
      </c>
      <c r="AG258" s="257">
        <v>0</v>
      </c>
      <c r="AH258" s="257">
        <v>0</v>
      </c>
      <c r="AI258" s="257">
        <v>0</v>
      </c>
      <c r="AJ258" s="257">
        <v>0</v>
      </c>
      <c r="AK258" s="257">
        <v>0</v>
      </c>
      <c r="AL258" s="257">
        <v>0</v>
      </c>
      <c r="AM258" s="257">
        <v>0</v>
      </c>
      <c r="AN258" s="257">
        <v>0</v>
      </c>
      <c r="AO258" s="257">
        <v>0</v>
      </c>
      <c r="AP258" s="257">
        <v>0</v>
      </c>
      <c r="AQ258" s="257">
        <v>0</v>
      </c>
      <c r="AR258" s="257">
        <v>0</v>
      </c>
      <c r="AS258" s="257">
        <v>0</v>
      </c>
      <c r="AT258" s="257">
        <v>0</v>
      </c>
      <c r="AU258" s="257">
        <v>0</v>
      </c>
      <c r="AV258" s="257">
        <v>0</v>
      </c>
      <c r="AW258" s="257">
        <v>0</v>
      </c>
      <c r="AX258" s="279">
        <v>1</v>
      </c>
      <c r="AY258" s="279">
        <v>1</v>
      </c>
      <c r="AZ258" s="257">
        <v>1</v>
      </c>
      <c r="BA258" s="257">
        <v>0</v>
      </c>
      <c r="BB258" s="257">
        <v>0</v>
      </c>
      <c r="BC258" s="257">
        <v>0</v>
      </c>
      <c r="BD258" s="257">
        <v>0</v>
      </c>
      <c r="BE258" s="257" t="s">
        <v>92</v>
      </c>
      <c r="BF258" s="2" t="str" cm="1">
        <f t="array" ref="BF258">IF(COUNTIF(AZ258:BB258,"&lt;&gt;0")=1,INDEX($V$4:$AW$4,MATCH(TRUE,INDEX($V258:$AW258&lt;&gt;0,),0)),IF(COUNTIF(AZ258:BB258,"&lt;&gt;0")=0,INDEX($AM$4:$AW$4,MATCH(1,$AM258:$AW258,0)),"Multiple strategies"))</f>
        <v>SilvicultureRemov</v>
      </c>
      <c r="BG258" s="280" t="s">
        <v>230</v>
      </c>
      <c r="BH258" s="257" t="s">
        <v>231</v>
      </c>
      <c r="BI258" s="281" t="s">
        <v>3073</v>
      </c>
      <c r="BJ258" s="278" t="s">
        <v>232</v>
      </c>
      <c r="BK258" s="257">
        <v>53.012261809999998</v>
      </c>
      <c r="BL258" s="257">
        <v>54.766085619999998</v>
      </c>
      <c r="BM258" s="257">
        <v>1.0330833612850898</v>
      </c>
      <c r="BN258" s="257">
        <v>1.7538238100000001</v>
      </c>
      <c r="BO258" s="278">
        <v>3.5792322653061226</v>
      </c>
      <c r="BP258" s="278" t="s">
        <v>233</v>
      </c>
      <c r="BQ258" s="312" t="s">
        <v>3073</v>
      </c>
      <c r="BR258" s="278" t="s">
        <v>234</v>
      </c>
      <c r="BS258" s="257">
        <v>-8.8453815260000006</v>
      </c>
      <c r="BT258" s="257">
        <v>-9.0261044179999992</v>
      </c>
      <c r="BU258" s="259">
        <v>1.0204313280855986</v>
      </c>
      <c r="BV258" s="257">
        <v>-0.18072289199999858</v>
      </c>
      <c r="BW258" s="257"/>
      <c r="BX258" s="257">
        <v>-1.8072289199999857E-4</v>
      </c>
      <c r="BY258" s="257">
        <v>-5.049208282786359E-5</v>
      </c>
      <c r="BZ258" s="257">
        <v>0</v>
      </c>
      <c r="CA258" s="257">
        <v>0</v>
      </c>
      <c r="CB258" s="257">
        <v>0</v>
      </c>
      <c r="CC258" s="257">
        <v>0</v>
      </c>
      <c r="CD258" s="257">
        <v>0</v>
      </c>
      <c r="CE258" s="257">
        <v>0</v>
      </c>
      <c r="CF258" s="257">
        <v>0</v>
      </c>
      <c r="CG258" s="257">
        <v>0</v>
      </c>
      <c r="CH258" s="257">
        <v>0</v>
      </c>
      <c r="CI258" s="257">
        <v>0</v>
      </c>
      <c r="CJ258" s="257">
        <v>0</v>
      </c>
      <c r="CK258" s="257">
        <v>0</v>
      </c>
      <c r="CL258" s="257">
        <v>0</v>
      </c>
      <c r="CM258" s="257">
        <v>0</v>
      </c>
      <c r="CN258" s="257" t="s">
        <v>3074</v>
      </c>
      <c r="CO258" s="257">
        <v>53.012261809999998</v>
      </c>
      <c r="CP258" s="257">
        <v>54.766085619999998</v>
      </c>
      <c r="CQ258" s="257">
        <v>3.5792322653061226</v>
      </c>
      <c r="CR258" s="257">
        <v>-8.8453815260000006</v>
      </c>
      <c r="CS258" s="257">
        <v>-9.0261044179999992</v>
      </c>
      <c r="CT258" s="257">
        <v>-1.8072289199999857E-4</v>
      </c>
      <c r="CU258" s="257">
        <v>-5.049208282786359E-5</v>
      </c>
      <c r="CV258" s="258">
        <v>-2.0431328085598572E-2</v>
      </c>
      <c r="CW258" s="256" t="s">
        <v>235</v>
      </c>
      <c r="CX258" s="257" t="s">
        <v>3075</v>
      </c>
      <c r="CY258" s="257" t="s">
        <v>236</v>
      </c>
      <c r="CZ258" s="257"/>
      <c r="DA258" s="278"/>
      <c r="DB258" s="278">
        <v>80</v>
      </c>
      <c r="DC258" s="257" t="s">
        <v>3076</v>
      </c>
      <c r="DD258" s="257">
        <v>0</v>
      </c>
      <c r="DE258" s="257">
        <v>1</v>
      </c>
      <c r="DF258" s="257">
        <v>0</v>
      </c>
      <c r="DG258" s="257">
        <v>0</v>
      </c>
      <c r="DH258" s="257"/>
      <c r="DI258" s="257">
        <v>1</v>
      </c>
      <c r="DJ258" s="257" t="s">
        <v>174</v>
      </c>
      <c r="DK258" s="257">
        <v>0</v>
      </c>
      <c r="DL258" s="257" t="s">
        <v>181</v>
      </c>
      <c r="DM258" s="257">
        <v>0</v>
      </c>
      <c r="DN258" s="257">
        <v>0</v>
      </c>
      <c r="DO258" s="257">
        <v>0</v>
      </c>
      <c r="DP258" s="278">
        <v>0</v>
      </c>
      <c r="DQ258" s="278">
        <v>0</v>
      </c>
      <c r="DR258" s="278">
        <v>0</v>
      </c>
      <c r="DS258" s="278">
        <v>0</v>
      </c>
      <c r="DT258" s="257">
        <v>0</v>
      </c>
      <c r="DU258" s="278" t="s">
        <v>964</v>
      </c>
      <c r="DV258" s="278">
        <v>1</v>
      </c>
      <c r="DW258" s="278">
        <v>1</v>
      </c>
      <c r="DX258" s="278">
        <v>1</v>
      </c>
      <c r="DY258" s="278">
        <v>0</v>
      </c>
      <c r="DZ258" s="257">
        <v>0</v>
      </c>
      <c r="EA258" s="278">
        <v>0</v>
      </c>
      <c r="EB258" s="278">
        <v>1</v>
      </c>
      <c r="EC258" s="278">
        <v>1</v>
      </c>
      <c r="ED258" s="278">
        <v>0</v>
      </c>
      <c r="EE258" s="278">
        <v>0</v>
      </c>
      <c r="EF258" s="257">
        <v>1</v>
      </c>
      <c r="EG258" s="278">
        <v>0</v>
      </c>
      <c r="EH258" s="257">
        <v>0</v>
      </c>
      <c r="EI258" s="258">
        <v>0</v>
      </c>
      <c r="EJ258" s="256"/>
      <c r="EK258" t="str">
        <f>IF(AND(AND(AND(OR($DX258=1,$DW258=1),OR($EC258=1,$EA258=1)),SUM($DV258:$DZ258,$EF258)&gt;=4),SUM($EA258:$EE258)&gt;=2),"Whole sector","")</f>
        <v>Whole sector</v>
      </c>
      <c r="EL258" t="str">
        <f>IF(AND(AND(OR($DX258=1,$DW258=1),AND($EC258=0,$EA258=0)),SUM($DV258:$DZ258,$EF258)&gt;=4),"Ecosystem approach","")</f>
        <v/>
      </c>
      <c r="EM258" s="258" t="s">
        <v>545</v>
      </c>
      <c r="EN258" s="257" t="s">
        <v>237</v>
      </c>
      <c r="EO258" s="257"/>
      <c r="EP258" t="str">
        <f>IF(ISNUMBER(BU258),IF(ABS(BU258-[3]QC_indicators!$B$2)&gt;3*[3]QC_indicators!$C$2,"C ratio",IF(ISNUMBER(BY258),IF(ABS(BY258-[3]QC_indicators!$B$1)&gt;3*[3]QC_indicators!$C$1,"DF","no"))),IF(ISNUMBER(BY258),IF(ABS(BY258-[3]QC_indicators!$B$1)&gt;3*[3]QC_indicators!$C$1,"DF","no")))</f>
        <v>no</v>
      </c>
      <c r="EQ258" s="257"/>
      <c r="ER258" s="257"/>
      <c r="ES258" s="257"/>
      <c r="ET258" s="257"/>
      <c r="EU258"/>
    </row>
    <row r="259" spans="1:151" s="139" customFormat="1" ht="15" hidden="1" customHeight="1">
      <c r="A259" s="256" t="s">
        <v>215</v>
      </c>
      <c r="B259" s="257" t="s">
        <v>216</v>
      </c>
      <c r="C259" s="257" t="s">
        <v>217</v>
      </c>
      <c r="D259" s="257" t="s">
        <v>218</v>
      </c>
      <c r="E259" s="257" t="s">
        <v>219</v>
      </c>
      <c r="F259" s="257" t="s">
        <v>220</v>
      </c>
      <c r="G259" s="257" t="s">
        <v>221</v>
      </c>
      <c r="H259" s="257"/>
      <c r="I259" s="257">
        <v>2012</v>
      </c>
      <c r="J259" s="257"/>
      <c r="K259" s="257" t="s">
        <v>222</v>
      </c>
      <c r="L259" s="257"/>
      <c r="M259" s="257" t="s">
        <v>3072</v>
      </c>
      <c r="N259" s="257" t="s">
        <v>223</v>
      </c>
      <c r="O259" s="277" t="s">
        <v>224</v>
      </c>
      <c r="P259" s="257"/>
      <c r="Q259" s="257" t="s">
        <v>225</v>
      </c>
      <c r="R259" s="258" t="s">
        <v>226</v>
      </c>
      <c r="S259" s="256" t="s">
        <v>241</v>
      </c>
      <c r="T259" s="257">
        <v>2000</v>
      </c>
      <c r="U259" s="257">
        <v>4000</v>
      </c>
      <c r="V259" s="257">
        <v>0</v>
      </c>
      <c r="W259" s="257">
        <v>0</v>
      </c>
      <c r="X259" s="257">
        <v>0</v>
      </c>
      <c r="Y259" s="257">
        <v>0</v>
      </c>
      <c r="Z259" s="257">
        <v>0</v>
      </c>
      <c r="AA259" s="257">
        <v>1</v>
      </c>
      <c r="AB259" s="257">
        <v>0</v>
      </c>
      <c r="AC259" s="257">
        <v>0</v>
      </c>
      <c r="AD259" s="257">
        <v>0</v>
      </c>
      <c r="AE259" s="257">
        <v>0</v>
      </c>
      <c r="AF259" s="257">
        <v>0</v>
      </c>
      <c r="AG259" s="257">
        <v>0</v>
      </c>
      <c r="AH259" s="257">
        <v>0</v>
      </c>
      <c r="AI259" s="257">
        <v>0</v>
      </c>
      <c r="AJ259" s="257">
        <v>0</v>
      </c>
      <c r="AK259" s="257">
        <v>0</v>
      </c>
      <c r="AL259" s="257">
        <v>0</v>
      </c>
      <c r="AM259" s="257">
        <v>0</v>
      </c>
      <c r="AN259" s="257">
        <v>0</v>
      </c>
      <c r="AO259" s="257">
        <v>0</v>
      </c>
      <c r="AP259" s="257">
        <v>0</v>
      </c>
      <c r="AQ259" s="257">
        <v>0</v>
      </c>
      <c r="AR259" s="257">
        <v>0</v>
      </c>
      <c r="AS259" s="257">
        <v>0</v>
      </c>
      <c r="AT259" s="257">
        <v>0</v>
      </c>
      <c r="AU259" s="257">
        <v>0</v>
      </c>
      <c r="AV259" s="257">
        <v>0</v>
      </c>
      <c r="AW259" s="257">
        <v>0</v>
      </c>
      <c r="AX259" s="279">
        <v>1</v>
      </c>
      <c r="AY259" s="279">
        <v>1</v>
      </c>
      <c r="AZ259" s="257">
        <v>1</v>
      </c>
      <c r="BA259" s="257">
        <v>0</v>
      </c>
      <c r="BB259" s="257">
        <v>0</v>
      </c>
      <c r="BC259" s="257">
        <v>0</v>
      </c>
      <c r="BD259" s="257">
        <v>0</v>
      </c>
      <c r="BE259" s="257" t="s">
        <v>94</v>
      </c>
      <c r="BF259" s="2" t="str" cm="1">
        <f t="array" ref="BF259">IF(COUNTIF(AZ259:BB259,"&lt;&gt;0")=1,INDEX($V$4:$AW$4,MATCH(TRUE,INDEX($V259:$AW259&lt;&gt;0,),0)),IF(COUNTIF(AZ259:BB259,"&lt;&gt;0")=0,INDEX($AM$4:$AW$4,MATCH(1,$AM259:$AW259,0)),"Multiple strategies"))</f>
        <v>SilvicultureProd</v>
      </c>
      <c r="BG259" s="280" t="s">
        <v>230</v>
      </c>
      <c r="BH259" s="257" t="s">
        <v>231</v>
      </c>
      <c r="BI259" s="281" t="s">
        <v>3073</v>
      </c>
      <c r="BJ259" s="278" t="s">
        <v>232</v>
      </c>
      <c r="BK259" s="257">
        <v>47.845851490000001</v>
      </c>
      <c r="BL259" s="257">
        <v>54.398789620000002</v>
      </c>
      <c r="BM259" s="278">
        <v>1.1369593794640607</v>
      </c>
      <c r="BN259" s="257">
        <v>6.5529381300000011</v>
      </c>
      <c r="BO259" s="278">
        <v>13.373343122448983</v>
      </c>
      <c r="BP259" s="278" t="s">
        <v>233</v>
      </c>
      <c r="BQ259" s="312" t="s">
        <v>3073</v>
      </c>
      <c r="BR259" s="278" t="s">
        <v>234</v>
      </c>
      <c r="BS259" s="257">
        <v>-9.0763052210000001</v>
      </c>
      <c r="BT259" s="257">
        <v>-9.1923873230000002</v>
      </c>
      <c r="BU259" s="259">
        <v>1.0127895767246147</v>
      </c>
      <c r="BV259" s="257">
        <v>-0.11608210200000002</v>
      </c>
      <c r="BW259" s="257"/>
      <c r="BX259" s="257">
        <v>-1.1608210200000002E-4</v>
      </c>
      <c r="BY259" s="257">
        <v>-8.680110944371147E-6</v>
      </c>
      <c r="BZ259" s="257">
        <v>0</v>
      </c>
      <c r="CA259" s="257">
        <v>0</v>
      </c>
      <c r="CB259" s="257">
        <v>0</v>
      </c>
      <c r="CC259" s="257">
        <v>0</v>
      </c>
      <c r="CD259" s="257">
        <v>0</v>
      </c>
      <c r="CE259" s="257">
        <v>0</v>
      </c>
      <c r="CF259" s="257">
        <v>0</v>
      </c>
      <c r="CG259" s="257">
        <v>0</v>
      </c>
      <c r="CH259" s="257">
        <v>0</v>
      </c>
      <c r="CI259" s="257">
        <v>0</v>
      </c>
      <c r="CJ259" s="257">
        <v>0</v>
      </c>
      <c r="CK259" s="257">
        <v>0</v>
      </c>
      <c r="CL259" s="257">
        <v>0</v>
      </c>
      <c r="CM259" s="257">
        <v>0</v>
      </c>
      <c r="CN259" s="257" t="s">
        <v>3074</v>
      </c>
      <c r="CO259" s="257">
        <v>47.845851490000001</v>
      </c>
      <c r="CP259" s="257">
        <v>54.398789620000002</v>
      </c>
      <c r="CQ259" s="257">
        <v>13.373343122448983</v>
      </c>
      <c r="CR259" s="257">
        <v>-9.0763052210000001</v>
      </c>
      <c r="CS259" s="257">
        <v>-9.1923873230000002</v>
      </c>
      <c r="CT259" s="257">
        <v>-1.1608210200000002E-4</v>
      </c>
      <c r="CU259" s="257">
        <v>-8.680110944371147E-6</v>
      </c>
      <c r="CV259" s="258">
        <v>-1.2789576724614648E-2</v>
      </c>
      <c r="CW259" s="256" t="s">
        <v>235</v>
      </c>
      <c r="CX259" s="257" t="s">
        <v>3075</v>
      </c>
      <c r="CY259" s="257" t="s">
        <v>236</v>
      </c>
      <c r="CZ259" s="257"/>
      <c r="DA259" s="278"/>
      <c r="DB259" s="278">
        <v>80</v>
      </c>
      <c r="DC259" s="257" t="s">
        <v>3076</v>
      </c>
      <c r="DD259" s="257">
        <v>0</v>
      </c>
      <c r="DE259" s="257">
        <v>1</v>
      </c>
      <c r="DF259" s="257">
        <v>0</v>
      </c>
      <c r="DG259" s="257">
        <v>0</v>
      </c>
      <c r="DH259" s="257"/>
      <c r="DI259" s="257">
        <v>1</v>
      </c>
      <c r="DJ259" s="257" t="s">
        <v>174</v>
      </c>
      <c r="DK259" s="257">
        <v>0</v>
      </c>
      <c r="DL259" s="257" t="s">
        <v>181</v>
      </c>
      <c r="DM259" s="257">
        <v>0</v>
      </c>
      <c r="DN259" s="257">
        <v>0</v>
      </c>
      <c r="DO259" s="257">
        <v>0</v>
      </c>
      <c r="DP259" s="278">
        <v>0</v>
      </c>
      <c r="DQ259" s="278">
        <v>0</v>
      </c>
      <c r="DR259" s="278">
        <v>0</v>
      </c>
      <c r="DS259" s="278">
        <v>0</v>
      </c>
      <c r="DT259" s="257">
        <v>0</v>
      </c>
      <c r="DU259" s="278" t="s">
        <v>964</v>
      </c>
      <c r="DV259" s="278">
        <v>1</v>
      </c>
      <c r="DW259" s="278">
        <v>1</v>
      </c>
      <c r="DX259" s="278">
        <v>1</v>
      </c>
      <c r="DY259" s="278">
        <v>0</v>
      </c>
      <c r="DZ259" s="257">
        <v>0</v>
      </c>
      <c r="EA259" s="278">
        <v>0</v>
      </c>
      <c r="EB259" s="278">
        <v>1</v>
      </c>
      <c r="EC259" s="278">
        <v>1</v>
      </c>
      <c r="ED259" s="278">
        <v>0</v>
      </c>
      <c r="EE259" s="278">
        <v>0</v>
      </c>
      <c r="EF259" s="257">
        <v>1</v>
      </c>
      <c r="EG259" s="278">
        <v>0</v>
      </c>
      <c r="EH259" s="257">
        <v>0</v>
      </c>
      <c r="EI259" s="258">
        <v>0</v>
      </c>
      <c r="EJ259" s="256"/>
      <c r="EK259" t="str">
        <f>IF(AND(AND(AND(OR($DX259=1,$DW259=1),OR($EC259=1,$EA259=1)),SUM($DV259:$DZ259,$EF259)&gt;=4),SUM($EA259:$EE259)&gt;=2),"Whole sector","")</f>
        <v>Whole sector</v>
      </c>
      <c r="EL259" t="str">
        <f>IF(AND(AND(OR($DX259=1,$DW259=1),AND($EC259=0,$EA259=0)),SUM($DV259:$DZ259,$EF259)&gt;=4),"Ecosystem approach","")</f>
        <v/>
      </c>
      <c r="EM259" s="258" t="s">
        <v>545</v>
      </c>
      <c r="EN259" s="257" t="s">
        <v>237</v>
      </c>
      <c r="EO259" s="257"/>
      <c r="EP259" t="str">
        <f>IF(ISNUMBER(BU259),IF(ABS(BU259-[3]QC_indicators!$B$2)&gt;3*[3]QC_indicators!$C$2,"C ratio",IF(ISNUMBER(BY259),IF(ABS(BY259-[3]QC_indicators!$B$1)&gt;3*[3]QC_indicators!$C$1,"DF","no"))),IF(ISNUMBER(BY259),IF(ABS(BY259-[3]QC_indicators!$B$1)&gt;3*[3]QC_indicators!$C$1,"DF","no")))</f>
        <v>no</v>
      </c>
      <c r="EQ259" s="282"/>
      <c r="ER259" s="282"/>
      <c r="ES259" s="282"/>
      <c r="ET259"/>
      <c r="EU259"/>
    </row>
    <row r="260" spans="1:151" s="139" customFormat="1" ht="15" hidden="1" customHeight="1">
      <c r="A260" s="256" t="s">
        <v>215</v>
      </c>
      <c r="B260" s="257" t="s">
        <v>216</v>
      </c>
      <c r="C260" s="257" t="s">
        <v>217</v>
      </c>
      <c r="D260" s="257" t="s">
        <v>218</v>
      </c>
      <c r="E260" s="257" t="s">
        <v>219</v>
      </c>
      <c r="F260" s="257" t="s">
        <v>220</v>
      </c>
      <c r="G260" s="257" t="s">
        <v>221</v>
      </c>
      <c r="H260" s="257"/>
      <c r="I260" s="257">
        <v>2012</v>
      </c>
      <c r="J260" s="257"/>
      <c r="K260" s="257" t="s">
        <v>222</v>
      </c>
      <c r="L260" s="257"/>
      <c r="M260" s="257" t="s">
        <v>3072</v>
      </c>
      <c r="N260" s="257" t="s">
        <v>223</v>
      </c>
      <c r="O260" s="277" t="s">
        <v>224</v>
      </c>
      <c r="P260" s="257"/>
      <c r="Q260" s="257" t="s">
        <v>225</v>
      </c>
      <c r="R260" s="258" t="s">
        <v>226</v>
      </c>
      <c r="S260" s="256" t="s">
        <v>241</v>
      </c>
      <c r="T260" s="257">
        <v>2000</v>
      </c>
      <c r="U260" s="257">
        <v>4000</v>
      </c>
      <c r="V260" s="257">
        <v>0</v>
      </c>
      <c r="W260" s="257">
        <v>0</v>
      </c>
      <c r="X260" s="257">
        <v>0</v>
      </c>
      <c r="Y260" s="257">
        <v>0</v>
      </c>
      <c r="Z260" s="257">
        <v>0</v>
      </c>
      <c r="AA260" s="257">
        <v>1</v>
      </c>
      <c r="AB260" s="257">
        <v>0</v>
      </c>
      <c r="AC260" s="257">
        <v>0</v>
      </c>
      <c r="AD260" s="257">
        <v>0</v>
      </c>
      <c r="AE260" s="257">
        <v>0</v>
      </c>
      <c r="AF260" s="257">
        <v>0</v>
      </c>
      <c r="AG260" s="257">
        <v>0</v>
      </c>
      <c r="AH260" s="257">
        <v>0</v>
      </c>
      <c r="AI260" s="257">
        <v>0</v>
      </c>
      <c r="AJ260" s="257">
        <v>0</v>
      </c>
      <c r="AK260" s="257">
        <v>0</v>
      </c>
      <c r="AL260" s="257">
        <v>0</v>
      </c>
      <c r="AM260" s="257">
        <v>0</v>
      </c>
      <c r="AN260" s="257">
        <v>0</v>
      </c>
      <c r="AO260" s="257">
        <v>0</v>
      </c>
      <c r="AP260" s="257">
        <v>0</v>
      </c>
      <c r="AQ260" s="257">
        <v>0</v>
      </c>
      <c r="AR260" s="257">
        <v>0</v>
      </c>
      <c r="AS260" s="257">
        <v>0</v>
      </c>
      <c r="AT260" s="257">
        <v>0</v>
      </c>
      <c r="AU260" s="257">
        <v>0</v>
      </c>
      <c r="AV260" s="257">
        <v>0</v>
      </c>
      <c r="AW260" s="257">
        <v>0</v>
      </c>
      <c r="AX260" s="279">
        <v>1</v>
      </c>
      <c r="AY260" s="279">
        <v>1</v>
      </c>
      <c r="AZ260" s="257">
        <v>1</v>
      </c>
      <c r="BA260" s="257">
        <v>0</v>
      </c>
      <c r="BB260" s="257">
        <v>0</v>
      </c>
      <c r="BC260" s="257">
        <v>0</v>
      </c>
      <c r="BD260" s="257">
        <v>0</v>
      </c>
      <c r="BE260" s="257" t="s">
        <v>94</v>
      </c>
      <c r="BF260" s="2" t="str" cm="1">
        <f t="array" ref="BF260">IF(COUNTIF(AZ260:BB260,"&lt;&gt;0")=1,INDEX($V$4:$AW$4,MATCH(TRUE,INDEX($V260:$AW260&lt;&gt;0,),0)),IF(COUNTIF(AZ260:BB260,"&lt;&gt;0")=0,INDEX($AM$4:$AW$4,MATCH(1,$AM260:$AW260,0)),"Multiple strategies"))</f>
        <v>SilvicultureProd</v>
      </c>
      <c r="BG260" s="280" t="s">
        <v>230</v>
      </c>
      <c r="BH260" s="257" t="s">
        <v>231</v>
      </c>
      <c r="BI260" s="281" t="s">
        <v>3073</v>
      </c>
      <c r="BJ260" s="278" t="s">
        <v>232</v>
      </c>
      <c r="BK260" s="257">
        <v>48.643391100000002</v>
      </c>
      <c r="BL260" s="257">
        <v>53.696488080000002</v>
      </c>
      <c r="BM260" s="278">
        <v>1.1038804422498414</v>
      </c>
      <c r="BN260" s="257">
        <v>5.0530969799999994</v>
      </c>
      <c r="BO260" s="278">
        <v>10.312442816326529</v>
      </c>
      <c r="BP260" s="278" t="s">
        <v>233</v>
      </c>
      <c r="BQ260" s="312" t="s">
        <v>3073</v>
      </c>
      <c r="BR260" s="278" t="s">
        <v>234</v>
      </c>
      <c r="BS260" s="257">
        <v>-9.3488297330000005</v>
      </c>
      <c r="BT260" s="257">
        <v>-9.4136546180000007</v>
      </c>
      <c r="BU260" s="259">
        <v>1.0069340106570963</v>
      </c>
      <c r="BV260" s="257">
        <v>-6.4824885000000165E-2</v>
      </c>
      <c r="BW260" s="257"/>
      <c r="BX260" s="257">
        <v>-6.4824885000000165E-5</v>
      </c>
      <c r="BY260" s="257">
        <v>-6.2860843114077907E-6</v>
      </c>
      <c r="BZ260" s="257">
        <v>0</v>
      </c>
      <c r="CA260" s="257">
        <v>0</v>
      </c>
      <c r="CB260" s="257">
        <v>0</v>
      </c>
      <c r="CC260" s="257">
        <v>0</v>
      </c>
      <c r="CD260" s="257">
        <v>0</v>
      </c>
      <c r="CE260" s="257">
        <v>0</v>
      </c>
      <c r="CF260" s="257">
        <v>0</v>
      </c>
      <c r="CG260" s="257">
        <v>0</v>
      </c>
      <c r="CH260" s="257">
        <v>0</v>
      </c>
      <c r="CI260" s="257">
        <v>0</v>
      </c>
      <c r="CJ260" s="257">
        <v>0</v>
      </c>
      <c r="CK260" s="257">
        <v>0</v>
      </c>
      <c r="CL260" s="257">
        <v>0</v>
      </c>
      <c r="CM260" s="257">
        <v>0</v>
      </c>
      <c r="CN260" s="257" t="s">
        <v>3074</v>
      </c>
      <c r="CO260" s="257">
        <v>48.643391100000002</v>
      </c>
      <c r="CP260" s="257">
        <v>53.696488080000002</v>
      </c>
      <c r="CQ260" s="257">
        <v>10.312442816326529</v>
      </c>
      <c r="CR260" s="257">
        <v>-9.3488297330000005</v>
      </c>
      <c r="CS260" s="257">
        <v>-9.4136546180000007</v>
      </c>
      <c r="CT260" s="257">
        <v>-6.4824885000000165E-5</v>
      </c>
      <c r="CU260" s="257">
        <v>-6.2860843114077907E-6</v>
      </c>
      <c r="CV260" s="258">
        <v>-6.9340106570962359E-3</v>
      </c>
      <c r="CW260" s="256" t="s">
        <v>235</v>
      </c>
      <c r="CX260" s="257" t="s">
        <v>3075</v>
      </c>
      <c r="CY260" s="257" t="s">
        <v>236</v>
      </c>
      <c r="CZ260" s="257"/>
      <c r="DA260" s="278"/>
      <c r="DB260" s="278">
        <v>80</v>
      </c>
      <c r="DC260" s="257" t="s">
        <v>3076</v>
      </c>
      <c r="DD260" s="257">
        <v>0</v>
      </c>
      <c r="DE260" s="257">
        <v>1</v>
      </c>
      <c r="DF260" s="257">
        <v>0</v>
      </c>
      <c r="DG260" s="257">
        <v>0</v>
      </c>
      <c r="DH260" s="257"/>
      <c r="DI260" s="257">
        <v>1</v>
      </c>
      <c r="DJ260" s="257" t="s">
        <v>174</v>
      </c>
      <c r="DK260" s="257">
        <v>0</v>
      </c>
      <c r="DL260" s="257" t="s">
        <v>181</v>
      </c>
      <c r="DM260" s="257">
        <v>0</v>
      </c>
      <c r="DN260" s="257">
        <v>0</v>
      </c>
      <c r="DO260" s="257">
        <v>0</v>
      </c>
      <c r="DP260" s="278">
        <v>0</v>
      </c>
      <c r="DQ260" s="278">
        <v>0</v>
      </c>
      <c r="DR260" s="278">
        <v>0</v>
      </c>
      <c r="DS260" s="278">
        <v>0</v>
      </c>
      <c r="DT260" s="257">
        <v>0</v>
      </c>
      <c r="DU260" s="278" t="s">
        <v>964</v>
      </c>
      <c r="DV260" s="278">
        <v>1</v>
      </c>
      <c r="DW260" s="278">
        <v>1</v>
      </c>
      <c r="DX260" s="278">
        <v>1</v>
      </c>
      <c r="DY260" s="278">
        <v>0</v>
      </c>
      <c r="DZ260" s="257">
        <v>0</v>
      </c>
      <c r="EA260" s="278">
        <v>0</v>
      </c>
      <c r="EB260" s="278">
        <v>1</v>
      </c>
      <c r="EC260" s="278">
        <v>1</v>
      </c>
      <c r="ED260" s="278">
        <v>0</v>
      </c>
      <c r="EE260" s="278">
        <v>0</v>
      </c>
      <c r="EF260" s="257">
        <v>1</v>
      </c>
      <c r="EG260" s="278">
        <v>0</v>
      </c>
      <c r="EH260" s="257">
        <v>0</v>
      </c>
      <c r="EI260" s="258">
        <v>0</v>
      </c>
      <c r="EJ260" s="256"/>
      <c r="EK260" t="str">
        <f>IF(AND(AND(AND(OR($DX260=1,$DW260=1),OR($EC260=1,$EA260=1)),SUM($DV260:$DZ260,$EF260)&gt;=4),SUM($EA260:$EE260)&gt;=2),"Whole sector","")</f>
        <v>Whole sector</v>
      </c>
      <c r="EL260" t="str">
        <f>IF(AND(AND(OR($DX260=1,$DW260=1),AND($EC260=0,$EA260=0)),SUM($DV260:$DZ260,$EF260)&gt;=4),"Ecosystem approach","")</f>
        <v/>
      </c>
      <c r="EM260" s="258" t="s">
        <v>545</v>
      </c>
      <c r="EN260" s="257" t="s">
        <v>237</v>
      </c>
      <c r="EO260" s="257"/>
      <c r="EP260" t="str">
        <f>IF(ISNUMBER(BU260),IF(ABS(BU260-[3]QC_indicators!$B$2)&gt;3*[3]QC_indicators!$C$2,"C ratio",IF(ISNUMBER(BY260),IF(ABS(BY260-[3]QC_indicators!$B$1)&gt;3*[3]QC_indicators!$C$1,"DF","no"))),IF(ISNUMBER(BY260),IF(ABS(BY260-[3]QC_indicators!$B$1)&gt;3*[3]QC_indicators!$C$1,"DF","no")))</f>
        <v>no</v>
      </c>
      <c r="EQ260" s="282"/>
      <c r="ER260" s="282"/>
      <c r="ES260" s="282"/>
      <c r="ET260"/>
      <c r="EU260"/>
    </row>
    <row r="261" spans="1:151" s="139" customFormat="1" ht="15" hidden="1" customHeight="1">
      <c r="A261" s="256" t="s">
        <v>215</v>
      </c>
      <c r="B261" s="257" t="s">
        <v>216</v>
      </c>
      <c r="C261" s="257" t="s">
        <v>217</v>
      </c>
      <c r="D261" s="257" t="s">
        <v>218</v>
      </c>
      <c r="E261" s="257" t="s">
        <v>219</v>
      </c>
      <c r="F261" s="257" t="s">
        <v>220</v>
      </c>
      <c r="G261" s="257" t="s">
        <v>221</v>
      </c>
      <c r="H261" s="257"/>
      <c r="I261" s="257">
        <v>2012</v>
      </c>
      <c r="J261" s="257"/>
      <c r="K261" s="257" t="s">
        <v>222</v>
      </c>
      <c r="L261" s="257"/>
      <c r="M261" s="257" t="s">
        <v>3072</v>
      </c>
      <c r="N261" s="257" t="s">
        <v>223</v>
      </c>
      <c r="O261" s="277" t="s">
        <v>224</v>
      </c>
      <c r="P261" s="257"/>
      <c r="Q261" s="257" t="s">
        <v>225</v>
      </c>
      <c r="R261" s="258" t="s">
        <v>226</v>
      </c>
      <c r="S261" s="256" t="s">
        <v>242</v>
      </c>
      <c r="T261" s="257" t="s">
        <v>245</v>
      </c>
      <c r="U261" s="278" t="s">
        <v>243</v>
      </c>
      <c r="V261" s="257">
        <v>0</v>
      </c>
      <c r="W261" s="257">
        <v>0</v>
      </c>
      <c r="X261" s="257">
        <v>0</v>
      </c>
      <c r="Y261" s="257">
        <v>0</v>
      </c>
      <c r="Z261" s="257">
        <v>0</v>
      </c>
      <c r="AA261" s="257">
        <v>0</v>
      </c>
      <c r="AB261" s="257">
        <v>0</v>
      </c>
      <c r="AC261" s="257">
        <v>1</v>
      </c>
      <c r="AD261" s="257">
        <v>0</v>
      </c>
      <c r="AE261" s="257">
        <v>0</v>
      </c>
      <c r="AF261" s="257">
        <v>0</v>
      </c>
      <c r="AG261" s="257">
        <v>0</v>
      </c>
      <c r="AH261" s="257">
        <v>0</v>
      </c>
      <c r="AI261" s="257">
        <v>0</v>
      </c>
      <c r="AJ261" s="257">
        <v>0</v>
      </c>
      <c r="AK261" s="257">
        <v>0</v>
      </c>
      <c r="AL261" s="257">
        <v>0</v>
      </c>
      <c r="AM261" s="257">
        <v>0</v>
      </c>
      <c r="AN261" s="257">
        <v>0</v>
      </c>
      <c r="AO261" s="257">
        <v>0</v>
      </c>
      <c r="AP261" s="257">
        <v>0</v>
      </c>
      <c r="AQ261" s="257">
        <v>0</v>
      </c>
      <c r="AR261" s="257">
        <v>0</v>
      </c>
      <c r="AS261" s="257">
        <v>0</v>
      </c>
      <c r="AT261" s="257">
        <v>0</v>
      </c>
      <c r="AU261" s="257">
        <v>0</v>
      </c>
      <c r="AV261" s="257">
        <v>0</v>
      </c>
      <c r="AW261" s="257">
        <v>0</v>
      </c>
      <c r="AX261" s="279">
        <v>1</v>
      </c>
      <c r="AY261" s="279">
        <v>1</v>
      </c>
      <c r="AZ261" s="257">
        <v>1</v>
      </c>
      <c r="BA261" s="257">
        <v>0</v>
      </c>
      <c r="BB261" s="257">
        <v>0</v>
      </c>
      <c r="BC261" s="257">
        <v>0</v>
      </c>
      <c r="BD261" s="257">
        <v>0</v>
      </c>
      <c r="BE261" s="257" t="s">
        <v>96</v>
      </c>
      <c r="BF261" s="2" t="str" cm="1">
        <f t="array" ref="BF261">IF(COUNTIF(AZ261:BB261,"&lt;&gt;0")=1,INDEX($V$4:$AW$4,MATCH(TRUE,INDEX($V261:$AW261&lt;&gt;0,),0)),IF(COUNTIF(AZ261:BB261,"&lt;&gt;0")=0,INDEX($AM$4:$AW$4,MATCH(1,$AM261:$AW261,0)),"Multiple strategies"))</f>
        <v>SilvicultureProd</v>
      </c>
      <c r="BG261" s="280" t="s">
        <v>230</v>
      </c>
      <c r="BH261" s="257" t="s">
        <v>231</v>
      </c>
      <c r="BI261" s="281" t="s">
        <v>3073</v>
      </c>
      <c r="BJ261" s="278" t="s">
        <v>232</v>
      </c>
      <c r="BK261" s="257">
        <v>46.459096459096401</v>
      </c>
      <c r="BL261" s="257">
        <v>53.696488079979403</v>
      </c>
      <c r="BM261" s="278">
        <v>1.1557798616952217</v>
      </c>
      <c r="BN261" s="257">
        <v>7.2373916208830025</v>
      </c>
      <c r="BO261" s="278">
        <v>14.770186981393882</v>
      </c>
      <c r="BP261" s="278" t="s">
        <v>233</v>
      </c>
      <c r="BQ261" s="312" t="s">
        <v>3073</v>
      </c>
      <c r="BR261" s="278" t="s">
        <v>234</v>
      </c>
      <c r="BS261" s="257">
        <v>-9.5592716462281597</v>
      </c>
      <c r="BT261" s="257">
        <v>-9.4136546184738901</v>
      </c>
      <c r="BU261" s="259">
        <v>0.98476693275980642</v>
      </c>
      <c r="BV261" s="257">
        <v>0.14561702775426966</v>
      </c>
      <c r="BW261" s="257"/>
      <c r="BX261" s="257">
        <v>1.4561702775426965E-4</v>
      </c>
      <c r="BY261" s="257">
        <v>9.8588479575583257E-6</v>
      </c>
      <c r="BZ261" s="257">
        <v>0</v>
      </c>
      <c r="CA261" s="257">
        <v>0</v>
      </c>
      <c r="CB261" s="257">
        <v>0</v>
      </c>
      <c r="CC261" s="257">
        <v>0</v>
      </c>
      <c r="CD261" s="257">
        <v>0</v>
      </c>
      <c r="CE261" s="257">
        <v>0</v>
      </c>
      <c r="CF261" s="257">
        <v>0</v>
      </c>
      <c r="CG261" s="257">
        <v>0</v>
      </c>
      <c r="CH261" s="257">
        <v>0</v>
      </c>
      <c r="CI261" s="257">
        <v>0</v>
      </c>
      <c r="CJ261" s="257">
        <v>0</v>
      </c>
      <c r="CK261" s="257">
        <v>0</v>
      </c>
      <c r="CL261" s="257">
        <v>0</v>
      </c>
      <c r="CM261" s="257">
        <v>0</v>
      </c>
      <c r="CN261" s="257" t="s">
        <v>3074</v>
      </c>
      <c r="CO261" s="257">
        <v>46.459096459096401</v>
      </c>
      <c r="CP261" s="257">
        <v>53.696488079979403</v>
      </c>
      <c r="CQ261" s="257">
        <v>14.770186981393882</v>
      </c>
      <c r="CR261" s="257">
        <v>-9.5592716462281597</v>
      </c>
      <c r="CS261" s="257">
        <v>-9.4136546184738901</v>
      </c>
      <c r="CT261" s="257">
        <v>1.4561702775426965E-4</v>
      </c>
      <c r="CU261" s="257">
        <v>9.8588479575583257E-6</v>
      </c>
      <c r="CV261" s="258">
        <v>1.5233067240193594E-2</v>
      </c>
      <c r="CW261" s="256" t="s">
        <v>235</v>
      </c>
      <c r="CX261" s="257" t="s">
        <v>3075</v>
      </c>
      <c r="CY261" s="257" t="s">
        <v>236</v>
      </c>
      <c r="CZ261" s="257"/>
      <c r="DA261" s="278"/>
      <c r="DB261" s="278">
        <v>80</v>
      </c>
      <c r="DC261" s="257" t="s">
        <v>3076</v>
      </c>
      <c r="DD261" s="257">
        <v>0</v>
      </c>
      <c r="DE261" s="257">
        <v>1</v>
      </c>
      <c r="DF261" s="257">
        <v>0</v>
      </c>
      <c r="DG261" s="257">
        <v>0</v>
      </c>
      <c r="DH261" s="257"/>
      <c r="DI261" s="257">
        <v>1</v>
      </c>
      <c r="DJ261" s="257" t="s">
        <v>174</v>
      </c>
      <c r="DK261" s="257">
        <v>0</v>
      </c>
      <c r="DL261" s="257" t="s">
        <v>181</v>
      </c>
      <c r="DM261" s="257">
        <v>0</v>
      </c>
      <c r="DN261" s="257">
        <v>0</v>
      </c>
      <c r="DO261" s="257">
        <v>0</v>
      </c>
      <c r="DP261" s="278">
        <v>0</v>
      </c>
      <c r="DQ261" s="278">
        <v>0</v>
      </c>
      <c r="DR261" s="278">
        <v>0</v>
      </c>
      <c r="DS261" s="278">
        <v>0</v>
      </c>
      <c r="DT261" s="257">
        <v>0</v>
      </c>
      <c r="DU261" s="278" t="s">
        <v>964</v>
      </c>
      <c r="DV261" s="278">
        <v>1</v>
      </c>
      <c r="DW261" s="278">
        <v>1</v>
      </c>
      <c r="DX261" s="278">
        <v>1</v>
      </c>
      <c r="DY261" s="278">
        <v>0</v>
      </c>
      <c r="DZ261" s="257">
        <v>0</v>
      </c>
      <c r="EA261" s="278">
        <v>0</v>
      </c>
      <c r="EB261" s="278">
        <v>1</v>
      </c>
      <c r="EC261" s="278">
        <v>1</v>
      </c>
      <c r="ED261" s="278">
        <v>0</v>
      </c>
      <c r="EE261" s="278">
        <v>0</v>
      </c>
      <c r="EF261" s="257">
        <v>1</v>
      </c>
      <c r="EG261" s="278">
        <v>0</v>
      </c>
      <c r="EH261" s="257">
        <v>0</v>
      </c>
      <c r="EI261" s="258">
        <v>0</v>
      </c>
      <c r="EJ261" s="256"/>
      <c r="EK261" t="str">
        <f>IF(AND(AND(AND(OR($DX261=1,$DW261=1),OR($EC261=1,$EA261=1)),SUM($DV261:$DZ261,$EF261)&gt;=4),SUM($EA261:$EE261)&gt;=2),"Whole sector","")</f>
        <v>Whole sector</v>
      </c>
      <c r="EL261" t="str">
        <f>IF(AND(AND(OR($DX261=1,$DW261=1),AND($EC261=0,$EA261=0)),SUM($DV261:$DZ261,$EF261)&gt;=4),"Ecosystem approach","")</f>
        <v/>
      </c>
      <c r="EM261" s="258" t="s">
        <v>545</v>
      </c>
      <c r="EN261" s="257" t="s">
        <v>237</v>
      </c>
      <c r="EO261" s="257"/>
      <c r="EP261" t="str">
        <f>IF(ISNUMBER(BU261),IF(ABS(BU261-[3]QC_indicators!$B$2)&gt;3*[3]QC_indicators!$C$2,"C ratio",IF(ISNUMBER(BY261),IF(ABS(BY261-[3]QC_indicators!$B$1)&gt;3*[3]QC_indicators!$C$1,"DF","no"))),IF(ISNUMBER(BY261),IF(ABS(BY261-[3]QC_indicators!$B$1)&gt;3*[3]QC_indicators!$C$1,"DF","no")))</f>
        <v>no</v>
      </c>
      <c r="EQ261"/>
      <c r="ER261"/>
      <c r="ES261"/>
      <c r="ET261"/>
      <c r="EU261"/>
    </row>
    <row r="262" spans="1:151" s="139" customFormat="1" ht="15" hidden="1" customHeight="1">
      <c r="A262" s="256" t="s">
        <v>215</v>
      </c>
      <c r="B262" s="257" t="s">
        <v>216</v>
      </c>
      <c r="C262" s="257" t="s">
        <v>217</v>
      </c>
      <c r="D262" s="257" t="s">
        <v>218</v>
      </c>
      <c r="E262" s="257" t="s">
        <v>219</v>
      </c>
      <c r="F262" s="257" t="s">
        <v>220</v>
      </c>
      <c r="G262" s="257" t="s">
        <v>221</v>
      </c>
      <c r="H262" s="257"/>
      <c r="I262" s="257">
        <v>2012</v>
      </c>
      <c r="J262" s="257"/>
      <c r="K262" s="257" t="s">
        <v>222</v>
      </c>
      <c r="L262" s="257"/>
      <c r="M262" s="257" t="s">
        <v>3072</v>
      </c>
      <c r="N262" s="257" t="s">
        <v>223</v>
      </c>
      <c r="O262" s="277" t="s">
        <v>224</v>
      </c>
      <c r="P262" s="257"/>
      <c r="Q262" s="257" t="s">
        <v>225</v>
      </c>
      <c r="R262" s="258" t="s">
        <v>226</v>
      </c>
      <c r="S262" s="256" t="s">
        <v>242</v>
      </c>
      <c r="T262" s="257" t="s">
        <v>245</v>
      </c>
      <c r="U262" s="278" t="s">
        <v>243</v>
      </c>
      <c r="V262" s="257">
        <v>0</v>
      </c>
      <c r="W262" s="257">
        <v>0</v>
      </c>
      <c r="X262" s="257">
        <v>0</v>
      </c>
      <c r="Y262" s="257">
        <v>0</v>
      </c>
      <c r="Z262" s="257">
        <v>0</v>
      </c>
      <c r="AA262" s="257">
        <v>0</v>
      </c>
      <c r="AB262" s="257">
        <v>0</v>
      </c>
      <c r="AC262" s="257">
        <v>1</v>
      </c>
      <c r="AD262" s="257">
        <v>0</v>
      </c>
      <c r="AE262" s="257">
        <v>0</v>
      </c>
      <c r="AF262" s="257">
        <v>0</v>
      </c>
      <c r="AG262" s="257">
        <v>0</v>
      </c>
      <c r="AH262" s="257">
        <v>0</v>
      </c>
      <c r="AI262" s="257">
        <v>0</v>
      </c>
      <c r="AJ262" s="257">
        <v>0</v>
      </c>
      <c r="AK262" s="257">
        <v>0</v>
      </c>
      <c r="AL262" s="257">
        <v>0</v>
      </c>
      <c r="AM262" s="257">
        <v>0</v>
      </c>
      <c r="AN262" s="257">
        <v>0</v>
      </c>
      <c r="AO262" s="257">
        <v>0</v>
      </c>
      <c r="AP262" s="257">
        <v>0</v>
      </c>
      <c r="AQ262" s="257">
        <v>0</v>
      </c>
      <c r="AR262" s="257">
        <v>0</v>
      </c>
      <c r="AS262" s="257">
        <v>0</v>
      </c>
      <c r="AT262" s="257">
        <v>0</v>
      </c>
      <c r="AU262" s="257">
        <v>0</v>
      </c>
      <c r="AV262" s="257">
        <v>0</v>
      </c>
      <c r="AW262" s="257">
        <v>0</v>
      </c>
      <c r="AX262" s="279">
        <v>1</v>
      </c>
      <c r="AY262" s="279">
        <v>1</v>
      </c>
      <c r="AZ262" s="257">
        <v>1</v>
      </c>
      <c r="BA262" s="257">
        <v>0</v>
      </c>
      <c r="BB262" s="257">
        <v>0</v>
      </c>
      <c r="BC262" s="257">
        <v>0</v>
      </c>
      <c r="BD262" s="257">
        <v>0</v>
      </c>
      <c r="BE262" s="257" t="s">
        <v>96</v>
      </c>
      <c r="BF262" s="2" t="str" cm="1">
        <f t="array" ref="BF262">IF(COUNTIF(AZ262:BB262,"&lt;&gt;0")=1,INDEX($V$4:$AW$4,MATCH(TRUE,INDEX($V262:$AW262&lt;&gt;0,),0)),IF(COUNTIF(AZ262:BB262,"&lt;&gt;0")=0,INDEX($AM$4:$AW$4,MATCH(1,$AM262:$AW262,0)),"Multiple strategies"))</f>
        <v>SilvicultureProd</v>
      </c>
      <c r="BG262" s="280" t="s">
        <v>230</v>
      </c>
      <c r="BH262" s="257" t="s">
        <v>231</v>
      </c>
      <c r="BI262" s="281" t="s">
        <v>3073</v>
      </c>
      <c r="BJ262" s="278" t="s">
        <v>232</v>
      </c>
      <c r="BK262" s="257">
        <v>43.2961724266072</v>
      </c>
      <c r="BL262" s="257">
        <v>49.052379731692703</v>
      </c>
      <c r="BM262" s="278">
        <v>1.1329495653419028</v>
      </c>
      <c r="BN262" s="257">
        <v>5.7562073050855034</v>
      </c>
      <c r="BO262" s="278">
        <v>11.747361847113272</v>
      </c>
      <c r="BP262" s="278" t="s">
        <v>233</v>
      </c>
      <c r="BQ262" s="312" t="s">
        <v>3073</v>
      </c>
      <c r="BR262" s="278" t="s">
        <v>234</v>
      </c>
      <c r="BS262" s="257">
        <v>-9.82778574082921</v>
      </c>
      <c r="BT262" s="257">
        <v>-9.7349397590361395</v>
      </c>
      <c r="BU262" s="259">
        <v>0.99055270594602562</v>
      </c>
      <c r="BV262" s="257">
        <v>9.2845981793070465E-2</v>
      </c>
      <c r="BW262" s="257"/>
      <c r="BX262" s="257">
        <v>9.2845981793070463E-5</v>
      </c>
      <c r="BY262" s="257">
        <v>7.9035602207048637E-6</v>
      </c>
      <c r="BZ262" s="257">
        <v>0</v>
      </c>
      <c r="CA262" s="257">
        <v>0</v>
      </c>
      <c r="CB262" s="257">
        <v>0</v>
      </c>
      <c r="CC262" s="257">
        <v>0</v>
      </c>
      <c r="CD262" s="257">
        <v>0</v>
      </c>
      <c r="CE262" s="257">
        <v>0</v>
      </c>
      <c r="CF262" s="257">
        <v>0</v>
      </c>
      <c r="CG262" s="257">
        <v>0</v>
      </c>
      <c r="CH262" s="257">
        <v>0</v>
      </c>
      <c r="CI262" s="257">
        <v>0</v>
      </c>
      <c r="CJ262" s="257">
        <v>0</v>
      </c>
      <c r="CK262" s="257">
        <v>0</v>
      </c>
      <c r="CL262" s="257">
        <v>0</v>
      </c>
      <c r="CM262" s="257">
        <v>0</v>
      </c>
      <c r="CN262" s="257" t="s">
        <v>3074</v>
      </c>
      <c r="CO262" s="257">
        <v>43.2961724266072</v>
      </c>
      <c r="CP262" s="257">
        <v>49.052379731692703</v>
      </c>
      <c r="CQ262" s="257">
        <v>11.747361847113272</v>
      </c>
      <c r="CR262" s="257">
        <v>-9.82778574082921</v>
      </c>
      <c r="CS262" s="257">
        <v>-9.7349397590361395</v>
      </c>
      <c r="CT262" s="257">
        <v>9.2845981793070463E-5</v>
      </c>
      <c r="CU262" s="257">
        <v>7.9035602207048637E-6</v>
      </c>
      <c r="CV262" s="258">
        <v>9.4472940539744275E-3</v>
      </c>
      <c r="CW262" s="256" t="s">
        <v>235</v>
      </c>
      <c r="CX262" s="257" t="s">
        <v>3075</v>
      </c>
      <c r="CY262" s="257" t="s">
        <v>236</v>
      </c>
      <c r="CZ262" s="257"/>
      <c r="DA262" s="278"/>
      <c r="DB262" s="278">
        <v>80</v>
      </c>
      <c r="DC262" s="257" t="s">
        <v>3076</v>
      </c>
      <c r="DD262" s="257">
        <v>0</v>
      </c>
      <c r="DE262" s="257">
        <v>1</v>
      </c>
      <c r="DF262" s="257">
        <v>0</v>
      </c>
      <c r="DG262" s="257">
        <v>0</v>
      </c>
      <c r="DH262" s="257"/>
      <c r="DI262" s="257">
        <v>1</v>
      </c>
      <c r="DJ262" s="257" t="s">
        <v>174</v>
      </c>
      <c r="DK262" s="257">
        <v>0</v>
      </c>
      <c r="DL262" s="257" t="s">
        <v>181</v>
      </c>
      <c r="DM262" s="257">
        <v>0</v>
      </c>
      <c r="DN262" s="257">
        <v>0</v>
      </c>
      <c r="DO262" s="257">
        <v>0</v>
      </c>
      <c r="DP262" s="278">
        <v>0</v>
      </c>
      <c r="DQ262" s="278">
        <v>0</v>
      </c>
      <c r="DR262" s="278">
        <v>0</v>
      </c>
      <c r="DS262" s="278">
        <v>0</v>
      </c>
      <c r="DT262" s="257">
        <v>0</v>
      </c>
      <c r="DU262" s="278" t="s">
        <v>964</v>
      </c>
      <c r="DV262" s="278">
        <v>1</v>
      </c>
      <c r="DW262" s="278">
        <v>1</v>
      </c>
      <c r="DX262" s="278">
        <v>1</v>
      </c>
      <c r="DY262" s="278">
        <v>0</v>
      </c>
      <c r="DZ262" s="257">
        <v>0</v>
      </c>
      <c r="EA262" s="278">
        <v>0</v>
      </c>
      <c r="EB262" s="278">
        <v>1</v>
      </c>
      <c r="EC262" s="278">
        <v>1</v>
      </c>
      <c r="ED262" s="278">
        <v>0</v>
      </c>
      <c r="EE262" s="278">
        <v>0</v>
      </c>
      <c r="EF262" s="257">
        <v>1</v>
      </c>
      <c r="EG262" s="278">
        <v>0</v>
      </c>
      <c r="EH262" s="257">
        <v>0</v>
      </c>
      <c r="EI262" s="258">
        <v>0</v>
      </c>
      <c r="EJ262" s="256"/>
      <c r="EK262" t="str">
        <f>IF(AND(AND(AND(OR($DX262=1,$DW262=1),OR($EC262=1,$EA262=1)),SUM($DV262:$DZ262,$EF262)&gt;=4),SUM($EA262:$EE262)&gt;=2),"Whole sector","")</f>
        <v>Whole sector</v>
      </c>
      <c r="EL262" t="str">
        <f>IF(AND(AND(OR($DX262=1,$DW262=1),AND($EC262=0,$EA262=0)),SUM($DV262:$DZ262,$EF262)&gt;=4),"Ecosystem approach","")</f>
        <v/>
      </c>
      <c r="EM262" s="258" t="s">
        <v>545</v>
      </c>
      <c r="EN262" s="257" t="s">
        <v>237</v>
      </c>
      <c r="EO262" s="257"/>
      <c r="EP262" t="str">
        <f>IF(ISNUMBER(BU262),IF(ABS(BU262-[3]QC_indicators!$B$2)&gt;3*[3]QC_indicators!$C$2,"C ratio",IF(ISNUMBER(BY262),IF(ABS(BY262-[3]QC_indicators!$B$1)&gt;3*[3]QC_indicators!$C$1,"DF","no"))),IF(ISNUMBER(BY262),IF(ABS(BY262-[3]QC_indicators!$B$1)&gt;3*[3]QC_indicators!$C$1,"DF","no")))</f>
        <v>no</v>
      </c>
      <c r="EQ262"/>
      <c r="ER262"/>
      <c r="ES262"/>
      <c r="ET262"/>
      <c r="EU262"/>
    </row>
    <row r="263" spans="1:151" s="139" customFormat="1" ht="15" hidden="1" customHeight="1">
      <c r="A263" s="256" t="s">
        <v>215</v>
      </c>
      <c r="B263" s="257" t="s">
        <v>216</v>
      </c>
      <c r="C263" s="257" t="s">
        <v>217</v>
      </c>
      <c r="D263" s="257" t="s">
        <v>218</v>
      </c>
      <c r="E263" s="257" t="s">
        <v>219</v>
      </c>
      <c r="F263" s="257" t="s">
        <v>220</v>
      </c>
      <c r="G263" s="257" t="s">
        <v>221</v>
      </c>
      <c r="H263" s="257"/>
      <c r="I263" s="257">
        <v>2012</v>
      </c>
      <c r="J263" s="257"/>
      <c r="K263" s="257" t="s">
        <v>222</v>
      </c>
      <c r="L263" s="257"/>
      <c r="M263" s="257" t="s">
        <v>3072</v>
      </c>
      <c r="N263" s="257" t="s">
        <v>223</v>
      </c>
      <c r="O263" s="277" t="s">
        <v>224</v>
      </c>
      <c r="P263" s="257"/>
      <c r="Q263" s="257" t="s">
        <v>225</v>
      </c>
      <c r="R263" s="258" t="s">
        <v>226</v>
      </c>
      <c r="S263" s="256" t="s">
        <v>241</v>
      </c>
      <c r="T263" s="257">
        <v>2000</v>
      </c>
      <c r="U263" s="257">
        <v>4000</v>
      </c>
      <c r="V263" s="257">
        <v>0</v>
      </c>
      <c r="W263" s="257">
        <v>0</v>
      </c>
      <c r="X263" s="257">
        <v>0</v>
      </c>
      <c r="Y263" s="257">
        <v>0</v>
      </c>
      <c r="Z263" s="257">
        <v>0</v>
      </c>
      <c r="AA263" s="257">
        <v>1</v>
      </c>
      <c r="AB263" s="257">
        <v>0</v>
      </c>
      <c r="AC263" s="257">
        <v>0</v>
      </c>
      <c r="AD263" s="257">
        <v>0</v>
      </c>
      <c r="AE263" s="257">
        <v>0</v>
      </c>
      <c r="AF263" s="257">
        <v>0</v>
      </c>
      <c r="AG263" s="257">
        <v>0</v>
      </c>
      <c r="AH263" s="257">
        <v>0</v>
      </c>
      <c r="AI263" s="257">
        <v>0</v>
      </c>
      <c r="AJ263" s="257">
        <v>0</v>
      </c>
      <c r="AK263" s="257">
        <v>0</v>
      </c>
      <c r="AL263" s="257">
        <v>0</v>
      </c>
      <c r="AM263" s="257">
        <v>0</v>
      </c>
      <c r="AN263" s="257">
        <v>0</v>
      </c>
      <c r="AO263" s="257">
        <v>0</v>
      </c>
      <c r="AP263" s="257">
        <v>0</v>
      </c>
      <c r="AQ263" s="257">
        <v>0</v>
      </c>
      <c r="AR263" s="257">
        <v>0</v>
      </c>
      <c r="AS263" s="257">
        <v>0</v>
      </c>
      <c r="AT263" s="257">
        <v>0</v>
      </c>
      <c r="AU263" s="257">
        <v>0</v>
      </c>
      <c r="AV263" s="257">
        <v>0</v>
      </c>
      <c r="AW263" s="257">
        <v>0</v>
      </c>
      <c r="AX263" s="279">
        <v>1</v>
      </c>
      <c r="AY263" s="279">
        <v>1</v>
      </c>
      <c r="AZ263" s="257">
        <v>1</v>
      </c>
      <c r="BA263" s="257">
        <v>0</v>
      </c>
      <c r="BB263" s="257">
        <v>0</v>
      </c>
      <c r="BC263" s="257">
        <v>0</v>
      </c>
      <c r="BD263" s="257">
        <v>0</v>
      </c>
      <c r="BE263" s="257" t="s">
        <v>94</v>
      </c>
      <c r="BF263" s="2" t="str" cm="1">
        <f t="array" ref="BF263">IF(COUNTIF(AZ263:BB263,"&lt;&gt;0")=1,INDEX($V$4:$AW$4,MATCH(TRUE,INDEX($V263:$AW263&lt;&gt;0,),0)),IF(COUNTIF(AZ263:BB263,"&lt;&gt;0")=0,INDEX($AM$4:$AW$4,MATCH(1,$AM263:$AW263,0)),"Multiple strategies"))</f>
        <v>SilvicultureProd</v>
      </c>
      <c r="BG263" s="280" t="s">
        <v>230</v>
      </c>
      <c r="BH263" s="257" t="s">
        <v>231</v>
      </c>
      <c r="BI263" s="281" t="s">
        <v>3073</v>
      </c>
      <c r="BJ263" s="278" t="s">
        <v>232</v>
      </c>
      <c r="BK263" s="257">
        <v>41.741420320000003</v>
      </c>
      <c r="BL263" s="257">
        <v>49.052379729999998</v>
      </c>
      <c r="BM263" s="278">
        <v>1.1751487935473297</v>
      </c>
      <c r="BN263" s="257">
        <v>7.3109594099999953</v>
      </c>
      <c r="BO263" s="278">
        <v>14.920325326530604</v>
      </c>
      <c r="BP263" s="278" t="s">
        <v>233</v>
      </c>
      <c r="BQ263" s="312" t="s">
        <v>3073</v>
      </c>
      <c r="BR263" s="278" t="s">
        <v>234</v>
      </c>
      <c r="BS263" s="257">
        <v>-10.16263182</v>
      </c>
      <c r="BT263" s="257">
        <v>-9.7349397589999995</v>
      </c>
      <c r="BU263" s="259">
        <v>0.95791522623516634</v>
      </c>
      <c r="BV263" s="257">
        <v>0.42769206100000012</v>
      </c>
      <c r="BW263" s="257"/>
      <c r="BX263" s="257">
        <v>4.2769206100000011E-4</v>
      </c>
      <c r="BY263" s="257">
        <v>2.8665062700710601E-5</v>
      </c>
      <c r="BZ263" s="257">
        <v>0</v>
      </c>
      <c r="CA263" s="257">
        <v>0</v>
      </c>
      <c r="CB263" s="257">
        <v>0</v>
      </c>
      <c r="CC263" s="257">
        <v>0</v>
      </c>
      <c r="CD263" s="257">
        <v>0</v>
      </c>
      <c r="CE263" s="257">
        <v>0</v>
      </c>
      <c r="CF263" s="257">
        <v>0</v>
      </c>
      <c r="CG263" s="257">
        <v>0</v>
      </c>
      <c r="CH263" s="257">
        <v>0</v>
      </c>
      <c r="CI263" s="257">
        <v>0</v>
      </c>
      <c r="CJ263" s="257">
        <v>0</v>
      </c>
      <c r="CK263" s="257">
        <v>0</v>
      </c>
      <c r="CL263" s="257">
        <v>0</v>
      </c>
      <c r="CM263" s="257">
        <v>0</v>
      </c>
      <c r="CN263" s="257" t="s">
        <v>3074</v>
      </c>
      <c r="CO263" s="257">
        <v>41.741420320000003</v>
      </c>
      <c r="CP263" s="257">
        <v>49.052379729999998</v>
      </c>
      <c r="CQ263" s="257">
        <v>14.920325326530604</v>
      </c>
      <c r="CR263" s="257">
        <v>-10.16263182</v>
      </c>
      <c r="CS263" s="257">
        <v>-9.7349397589999995</v>
      </c>
      <c r="CT263" s="257">
        <v>4.2769206100000011E-4</v>
      </c>
      <c r="CU263" s="257">
        <v>2.8665062700710601E-5</v>
      </c>
      <c r="CV263" s="258">
        <v>4.2084773764833695E-2</v>
      </c>
      <c r="CW263" s="256" t="s">
        <v>235</v>
      </c>
      <c r="CX263" s="257" t="s">
        <v>3075</v>
      </c>
      <c r="CY263" s="257" t="s">
        <v>236</v>
      </c>
      <c r="CZ263" s="257"/>
      <c r="DA263" s="278"/>
      <c r="DB263" s="278">
        <v>80</v>
      </c>
      <c r="DC263" s="257" t="s">
        <v>3076</v>
      </c>
      <c r="DD263" s="257">
        <v>0</v>
      </c>
      <c r="DE263" s="257">
        <v>1</v>
      </c>
      <c r="DF263" s="257">
        <v>0</v>
      </c>
      <c r="DG263" s="257">
        <v>0</v>
      </c>
      <c r="DH263" s="257"/>
      <c r="DI263" s="257">
        <v>1</v>
      </c>
      <c r="DJ263" s="257" t="s">
        <v>174</v>
      </c>
      <c r="DK263" s="257">
        <v>0</v>
      </c>
      <c r="DL263" s="257" t="s">
        <v>181</v>
      </c>
      <c r="DM263" s="257">
        <v>0</v>
      </c>
      <c r="DN263" s="257">
        <v>0</v>
      </c>
      <c r="DO263" s="257">
        <v>0</v>
      </c>
      <c r="DP263" s="278">
        <v>0</v>
      </c>
      <c r="DQ263" s="278">
        <v>0</v>
      </c>
      <c r="DR263" s="278">
        <v>0</v>
      </c>
      <c r="DS263" s="278">
        <v>0</v>
      </c>
      <c r="DT263" s="257">
        <v>0</v>
      </c>
      <c r="DU263" s="278" t="s">
        <v>964</v>
      </c>
      <c r="DV263" s="278">
        <v>1</v>
      </c>
      <c r="DW263" s="278">
        <v>1</v>
      </c>
      <c r="DX263" s="278">
        <v>1</v>
      </c>
      <c r="DY263" s="278">
        <v>0</v>
      </c>
      <c r="DZ263" s="257">
        <v>0</v>
      </c>
      <c r="EA263" s="278">
        <v>0</v>
      </c>
      <c r="EB263" s="278">
        <v>1</v>
      </c>
      <c r="EC263" s="278">
        <v>1</v>
      </c>
      <c r="ED263" s="278">
        <v>0</v>
      </c>
      <c r="EE263" s="278">
        <v>0</v>
      </c>
      <c r="EF263" s="257">
        <v>1</v>
      </c>
      <c r="EG263" s="278">
        <v>0</v>
      </c>
      <c r="EH263" s="257">
        <v>0</v>
      </c>
      <c r="EI263" s="258">
        <v>0</v>
      </c>
      <c r="EJ263" s="256"/>
      <c r="EK263" t="str">
        <f>IF(AND(AND(AND(OR($DX263=1,$DW263=1),OR($EC263=1,$EA263=1)),SUM($DV263:$DZ263,$EF263)&gt;=4),SUM($EA263:$EE263)&gt;=2),"Whole sector","")</f>
        <v>Whole sector</v>
      </c>
      <c r="EL263" t="str">
        <f>IF(AND(AND(OR($DX263=1,$DW263=1),AND($EC263=0,$EA263=0)),SUM($DV263:$DZ263,$EF263)&gt;=4),"Ecosystem approach","")</f>
        <v/>
      </c>
      <c r="EM263" s="258" t="s">
        <v>545</v>
      </c>
      <c r="EN263" s="257" t="s">
        <v>237</v>
      </c>
      <c r="EO263" s="257"/>
      <c r="EP263" t="str">
        <f>IF(ISNUMBER(BU263),IF(ABS(BU263-[3]QC_indicators!$B$2)&gt;3*[3]QC_indicators!$C$2,"C ratio",IF(ISNUMBER(BY263),IF(ABS(BY263-[3]QC_indicators!$B$1)&gt;3*[3]QC_indicators!$C$1,"DF","no"))),IF(ISNUMBER(BY263),IF(ABS(BY263-[3]QC_indicators!$B$1)&gt;3*[3]QC_indicators!$C$1,"DF","no")))</f>
        <v>no</v>
      </c>
      <c r="EQ263" s="282"/>
      <c r="ER263" s="282"/>
      <c r="ES263" s="282"/>
      <c r="ET263"/>
      <c r="EU263"/>
    </row>
    <row r="264" spans="1:151" s="139" customFormat="1" ht="15" hidden="1" customHeight="1">
      <c r="A264" s="256" t="s">
        <v>215</v>
      </c>
      <c r="B264" s="257" t="s">
        <v>216</v>
      </c>
      <c r="C264" s="257" t="s">
        <v>217</v>
      </c>
      <c r="D264" s="257" t="s">
        <v>218</v>
      </c>
      <c r="E264" s="257" t="s">
        <v>219</v>
      </c>
      <c r="F264" s="257" t="s">
        <v>220</v>
      </c>
      <c r="G264" s="257" t="s">
        <v>221</v>
      </c>
      <c r="H264" s="257"/>
      <c r="I264" s="257">
        <v>2012</v>
      </c>
      <c r="J264" s="257"/>
      <c r="K264" s="257" t="s">
        <v>222</v>
      </c>
      <c r="L264" s="257"/>
      <c r="M264" s="257" t="s">
        <v>3072</v>
      </c>
      <c r="N264" s="257" t="s">
        <v>223</v>
      </c>
      <c r="O264" s="277" t="s">
        <v>224</v>
      </c>
      <c r="P264" s="257"/>
      <c r="Q264" s="257" t="s">
        <v>225</v>
      </c>
      <c r="R264" s="258" t="s">
        <v>226</v>
      </c>
      <c r="S264" s="256" t="s">
        <v>242</v>
      </c>
      <c r="T264" s="257" t="s">
        <v>245</v>
      </c>
      <c r="U264" s="278" t="s">
        <v>243</v>
      </c>
      <c r="V264" s="257">
        <v>0</v>
      </c>
      <c r="W264" s="257">
        <v>0</v>
      </c>
      <c r="X264" s="257">
        <v>0</v>
      </c>
      <c r="Y264" s="257">
        <v>0</v>
      </c>
      <c r="Z264" s="257">
        <v>0</v>
      </c>
      <c r="AA264" s="257">
        <v>0</v>
      </c>
      <c r="AB264" s="257">
        <v>0</v>
      </c>
      <c r="AC264" s="257">
        <v>1</v>
      </c>
      <c r="AD264" s="257">
        <v>0</v>
      </c>
      <c r="AE264" s="257">
        <v>0</v>
      </c>
      <c r="AF264" s="257">
        <v>0</v>
      </c>
      <c r="AG264" s="257">
        <v>0</v>
      </c>
      <c r="AH264" s="257">
        <v>0</v>
      </c>
      <c r="AI264" s="257">
        <v>0</v>
      </c>
      <c r="AJ264" s="257">
        <v>0</v>
      </c>
      <c r="AK264" s="257">
        <v>0</v>
      </c>
      <c r="AL264" s="257">
        <v>0</v>
      </c>
      <c r="AM264" s="257">
        <v>0</v>
      </c>
      <c r="AN264" s="257">
        <v>0</v>
      </c>
      <c r="AO264" s="257">
        <v>0</v>
      </c>
      <c r="AP264" s="257">
        <v>0</v>
      </c>
      <c r="AQ264" s="257">
        <v>0</v>
      </c>
      <c r="AR264" s="257">
        <v>0</v>
      </c>
      <c r="AS264" s="257">
        <v>0</v>
      </c>
      <c r="AT264" s="257">
        <v>0</v>
      </c>
      <c r="AU264" s="257">
        <v>0</v>
      </c>
      <c r="AV264" s="257">
        <v>0</v>
      </c>
      <c r="AW264" s="257">
        <v>0</v>
      </c>
      <c r="AX264" s="279">
        <v>1</v>
      </c>
      <c r="AY264" s="279">
        <v>1</v>
      </c>
      <c r="AZ264" s="257">
        <v>1</v>
      </c>
      <c r="BA264" s="257">
        <v>0</v>
      </c>
      <c r="BB264" s="257">
        <v>0</v>
      </c>
      <c r="BC264" s="257">
        <v>0</v>
      </c>
      <c r="BD264" s="257">
        <v>0</v>
      </c>
      <c r="BE264" s="257" t="s">
        <v>96</v>
      </c>
      <c r="BF264" s="2" t="str" cm="1">
        <f t="array" ref="BF264">IF(COUNTIF(AZ264:BB264,"&lt;&gt;0")=1,INDEX($V$4:$AW$4,MATCH(TRUE,INDEX($V264:$AW264&lt;&gt;0,),0)),IF(COUNTIF(AZ264:BB264,"&lt;&gt;0")=0,INDEX($AM$4:$AW$4,MATCH(1,$AM264:$AW264,0)),"Multiple strategies"))</f>
        <v>SilvicultureProd</v>
      </c>
      <c r="BG264" s="280" t="s">
        <v>230</v>
      </c>
      <c r="BH264" s="257" t="s">
        <v>231</v>
      </c>
      <c r="BI264" s="281" t="s">
        <v>3073</v>
      </c>
      <c r="BJ264" s="278" t="s">
        <v>232</v>
      </c>
      <c r="BK264" s="257">
        <v>37.305819020763899</v>
      </c>
      <c r="BL264" s="257">
        <v>48.643391097519498</v>
      </c>
      <c r="BM264" s="278">
        <v>1.3039089443511551</v>
      </c>
      <c r="BN264" s="257">
        <v>11.337572076755599</v>
      </c>
      <c r="BO264" s="278">
        <v>23.137902197460406</v>
      </c>
      <c r="BP264" s="278" t="s">
        <v>233</v>
      </c>
      <c r="BQ264" s="312" t="s">
        <v>3073</v>
      </c>
      <c r="BR264" s="278" t="s">
        <v>234</v>
      </c>
      <c r="BS264" s="257">
        <v>-9.8192771084337291</v>
      </c>
      <c r="BT264" s="257">
        <v>-9.3488297325102803</v>
      </c>
      <c r="BU264" s="259">
        <v>0.95208940834153832</v>
      </c>
      <c r="BV264" s="257">
        <v>0.47044737592344887</v>
      </c>
      <c r="BW264" s="257"/>
      <c r="BX264" s="257">
        <v>4.7044737592344887E-4</v>
      </c>
      <c r="BY264" s="257">
        <v>2.0332326237211112E-5</v>
      </c>
      <c r="BZ264" s="257">
        <v>0</v>
      </c>
      <c r="CA264" s="257">
        <v>0</v>
      </c>
      <c r="CB264" s="257">
        <v>0</v>
      </c>
      <c r="CC264" s="257">
        <v>0</v>
      </c>
      <c r="CD264" s="257">
        <v>0</v>
      </c>
      <c r="CE264" s="257">
        <v>0</v>
      </c>
      <c r="CF264" s="257">
        <v>0</v>
      </c>
      <c r="CG264" s="257">
        <v>0</v>
      </c>
      <c r="CH264" s="257">
        <v>0</v>
      </c>
      <c r="CI264" s="257">
        <v>0</v>
      </c>
      <c r="CJ264" s="257">
        <v>0</v>
      </c>
      <c r="CK264" s="257">
        <v>0</v>
      </c>
      <c r="CL264" s="257">
        <v>0</v>
      </c>
      <c r="CM264" s="257">
        <v>0</v>
      </c>
      <c r="CN264" s="257" t="s">
        <v>3074</v>
      </c>
      <c r="CO264" s="257">
        <v>37.305819020763899</v>
      </c>
      <c r="CP264" s="257">
        <v>48.643391097519498</v>
      </c>
      <c r="CQ264" s="257">
        <v>23.137902197460406</v>
      </c>
      <c r="CR264" s="257">
        <v>-9.8192771084337291</v>
      </c>
      <c r="CS264" s="257">
        <v>-9.3488297325102803</v>
      </c>
      <c r="CT264" s="257">
        <v>4.7044737592344887E-4</v>
      </c>
      <c r="CU264" s="257">
        <v>2.0332326237211112E-5</v>
      </c>
      <c r="CV264" s="258">
        <v>4.791059165846169E-2</v>
      </c>
      <c r="CW264" s="256" t="s">
        <v>235</v>
      </c>
      <c r="CX264" s="257" t="s">
        <v>3075</v>
      </c>
      <c r="CY264" s="257" t="s">
        <v>236</v>
      </c>
      <c r="CZ264" s="257"/>
      <c r="DA264" s="278"/>
      <c r="DB264" s="278">
        <v>80</v>
      </c>
      <c r="DC264" s="257" t="s">
        <v>3076</v>
      </c>
      <c r="DD264" s="257">
        <v>0</v>
      </c>
      <c r="DE264" s="257">
        <v>1</v>
      </c>
      <c r="DF264" s="257">
        <v>0</v>
      </c>
      <c r="DG264" s="257">
        <v>0</v>
      </c>
      <c r="DH264" s="257"/>
      <c r="DI264" s="257">
        <v>1</v>
      </c>
      <c r="DJ264" s="257" t="s">
        <v>174</v>
      </c>
      <c r="DK264" s="257">
        <v>0</v>
      </c>
      <c r="DL264" s="257" t="s">
        <v>181</v>
      </c>
      <c r="DM264" s="257">
        <v>0</v>
      </c>
      <c r="DN264" s="257">
        <v>0</v>
      </c>
      <c r="DO264" s="257">
        <v>0</v>
      </c>
      <c r="DP264" s="278">
        <v>0</v>
      </c>
      <c r="DQ264" s="278">
        <v>0</v>
      </c>
      <c r="DR264" s="278">
        <v>0</v>
      </c>
      <c r="DS264" s="278">
        <v>0</v>
      </c>
      <c r="DT264" s="257">
        <v>0</v>
      </c>
      <c r="DU264" s="278" t="s">
        <v>964</v>
      </c>
      <c r="DV264" s="278">
        <v>1</v>
      </c>
      <c r="DW264" s="278">
        <v>1</v>
      </c>
      <c r="DX264" s="278">
        <v>1</v>
      </c>
      <c r="DY264" s="278">
        <v>0</v>
      </c>
      <c r="DZ264" s="257">
        <v>0</v>
      </c>
      <c r="EA264" s="278">
        <v>0</v>
      </c>
      <c r="EB264" s="278">
        <v>1</v>
      </c>
      <c r="EC264" s="278">
        <v>1</v>
      </c>
      <c r="ED264" s="278">
        <v>0</v>
      </c>
      <c r="EE264" s="278">
        <v>0</v>
      </c>
      <c r="EF264" s="257">
        <v>1</v>
      </c>
      <c r="EG264" s="278">
        <v>0</v>
      </c>
      <c r="EH264" s="257">
        <v>0</v>
      </c>
      <c r="EI264" s="258">
        <v>0</v>
      </c>
      <c r="EJ264" s="256"/>
      <c r="EK264" t="str">
        <f>IF(AND(AND(AND(OR($DX264=1,$DW264=1),OR($EC264=1,$EA264=1)),SUM($DV264:$DZ264,$EF264)&gt;=4),SUM($EA264:$EE264)&gt;=2),"Whole sector","")</f>
        <v>Whole sector</v>
      </c>
      <c r="EL264" t="str">
        <f>IF(AND(AND(OR($DX264=1,$DW264=1),AND($EC264=0,$EA264=0)),SUM($DV264:$DZ264,$EF264)&gt;=4),"Ecosystem approach","")</f>
        <v/>
      </c>
      <c r="EM264" s="258" t="s">
        <v>545</v>
      </c>
      <c r="EN264" s="257" t="s">
        <v>237</v>
      </c>
      <c r="EO264" s="257"/>
      <c r="EP264" t="str">
        <f>IF(ISNUMBER(BU264),IF(ABS(BU264-[3]QC_indicators!$B$2)&gt;3*[3]QC_indicators!$C$2,"C ratio",IF(ISNUMBER(BY264),IF(ABS(BY264-[3]QC_indicators!$B$1)&gt;3*[3]QC_indicators!$C$1,"DF","no"))),IF(ISNUMBER(BY264),IF(ABS(BY264-[3]QC_indicators!$B$1)&gt;3*[3]QC_indicators!$C$1,"DF","no")))</f>
        <v>no</v>
      </c>
      <c r="EQ264"/>
      <c r="ER264"/>
      <c r="ES264"/>
      <c r="ET264"/>
      <c r="EU264"/>
    </row>
    <row r="265" spans="1:151" s="139" customFormat="1" ht="15" hidden="1" customHeight="1">
      <c r="A265" s="256" t="s">
        <v>215</v>
      </c>
      <c r="B265" s="257" t="s">
        <v>216</v>
      </c>
      <c r="C265" s="257" t="s">
        <v>217</v>
      </c>
      <c r="D265" s="257" t="s">
        <v>218</v>
      </c>
      <c r="E265" s="257" t="s">
        <v>219</v>
      </c>
      <c r="F265" s="257" t="s">
        <v>220</v>
      </c>
      <c r="G265" s="257" t="s">
        <v>221</v>
      </c>
      <c r="H265" s="257"/>
      <c r="I265" s="257">
        <v>2012</v>
      </c>
      <c r="J265" s="257"/>
      <c r="K265" s="257" t="s">
        <v>222</v>
      </c>
      <c r="L265" s="257"/>
      <c r="M265" s="257" t="s">
        <v>3072</v>
      </c>
      <c r="N265" s="257" t="s">
        <v>223</v>
      </c>
      <c r="O265" s="277" t="s">
        <v>224</v>
      </c>
      <c r="P265" s="257"/>
      <c r="Q265" s="257" t="s">
        <v>225</v>
      </c>
      <c r="R265" s="258" t="s">
        <v>226</v>
      </c>
      <c r="S265" s="256" t="s">
        <v>241</v>
      </c>
      <c r="T265" s="257">
        <v>2000</v>
      </c>
      <c r="U265" s="257">
        <v>4000</v>
      </c>
      <c r="V265" s="257">
        <v>0</v>
      </c>
      <c r="W265" s="257">
        <v>0</v>
      </c>
      <c r="X265" s="257">
        <v>0</v>
      </c>
      <c r="Y265" s="257">
        <v>0</v>
      </c>
      <c r="Z265" s="257">
        <v>0</v>
      </c>
      <c r="AA265" s="257">
        <v>1</v>
      </c>
      <c r="AB265" s="257">
        <v>0</v>
      </c>
      <c r="AC265" s="257">
        <v>0</v>
      </c>
      <c r="AD265" s="257">
        <v>0</v>
      </c>
      <c r="AE265" s="257">
        <v>0</v>
      </c>
      <c r="AF265" s="257">
        <v>0</v>
      </c>
      <c r="AG265" s="257">
        <v>0</v>
      </c>
      <c r="AH265" s="257">
        <v>0</v>
      </c>
      <c r="AI265" s="257">
        <v>0</v>
      </c>
      <c r="AJ265" s="257">
        <v>0</v>
      </c>
      <c r="AK265" s="257">
        <v>0</v>
      </c>
      <c r="AL265" s="257">
        <v>0</v>
      </c>
      <c r="AM265" s="257">
        <v>0</v>
      </c>
      <c r="AN265" s="257">
        <v>0</v>
      </c>
      <c r="AO265" s="257">
        <v>0</v>
      </c>
      <c r="AP265" s="257">
        <v>0</v>
      </c>
      <c r="AQ265" s="257">
        <v>0</v>
      </c>
      <c r="AR265" s="257">
        <v>0</v>
      </c>
      <c r="AS265" s="257">
        <v>0</v>
      </c>
      <c r="AT265" s="257">
        <v>0</v>
      </c>
      <c r="AU265" s="257">
        <v>0</v>
      </c>
      <c r="AV265" s="257">
        <v>0</v>
      </c>
      <c r="AW265" s="257">
        <v>0</v>
      </c>
      <c r="AX265" s="279">
        <v>1</v>
      </c>
      <c r="AY265" s="279">
        <v>1</v>
      </c>
      <c r="AZ265" s="257">
        <v>1</v>
      </c>
      <c r="BA265" s="257">
        <v>0</v>
      </c>
      <c r="BB265" s="257">
        <v>0</v>
      </c>
      <c r="BC265" s="257">
        <v>0</v>
      </c>
      <c r="BD265" s="257">
        <v>0</v>
      </c>
      <c r="BE265" s="257" t="s">
        <v>94</v>
      </c>
      <c r="BF265" s="2" t="str" cm="1">
        <f t="array" ref="BF265">IF(COUNTIF(AZ265:BB265,"&lt;&gt;0")=1,INDEX($V$4:$AW$4,MATCH(TRUE,INDEX($V265:$AW265&lt;&gt;0,),0)),IF(COUNTIF(AZ265:BB265,"&lt;&gt;0")=0,INDEX($AM$4:$AW$4,MATCH(1,$AM265:$AW265,0)),"Multiple strategies"))</f>
        <v>SilvicultureProd</v>
      </c>
      <c r="BG265" s="280" t="s">
        <v>230</v>
      </c>
      <c r="BH265" s="257" t="s">
        <v>231</v>
      </c>
      <c r="BI265" s="281" t="s">
        <v>3073</v>
      </c>
      <c r="BJ265" s="278" t="s">
        <v>232</v>
      </c>
      <c r="BK265" s="257">
        <v>37.305819020000001</v>
      </c>
      <c r="BL265" s="257">
        <v>46.459096459999998</v>
      </c>
      <c r="BM265" s="278">
        <v>1.2453579007364197</v>
      </c>
      <c r="BN265" s="257">
        <v>9.1532774399999965</v>
      </c>
      <c r="BO265" s="278">
        <v>18.68015804081632</v>
      </c>
      <c r="BP265" s="278" t="s">
        <v>233</v>
      </c>
      <c r="BQ265" s="312" t="s">
        <v>3073</v>
      </c>
      <c r="BR265" s="278" t="s">
        <v>234</v>
      </c>
      <c r="BS265" s="257">
        <v>-9.8192771079999996</v>
      </c>
      <c r="BT265" s="257">
        <v>-9.5592716459999991</v>
      </c>
      <c r="BU265" s="259">
        <v>0.97352091613870761</v>
      </c>
      <c r="BV265" s="257">
        <v>0.26000546200000052</v>
      </c>
      <c r="BW265" s="257"/>
      <c r="BX265" s="257">
        <v>2.6000546200000054E-4</v>
      </c>
      <c r="BY265" s="257">
        <v>1.3918804189551619E-5</v>
      </c>
      <c r="BZ265" s="257">
        <v>0</v>
      </c>
      <c r="CA265" s="257">
        <v>0</v>
      </c>
      <c r="CB265" s="257">
        <v>0</v>
      </c>
      <c r="CC265" s="257">
        <v>0</v>
      </c>
      <c r="CD265" s="257">
        <v>0</v>
      </c>
      <c r="CE265" s="257">
        <v>0</v>
      </c>
      <c r="CF265" s="257">
        <v>0</v>
      </c>
      <c r="CG265" s="257">
        <v>0</v>
      </c>
      <c r="CH265" s="257">
        <v>0</v>
      </c>
      <c r="CI265" s="257">
        <v>0</v>
      </c>
      <c r="CJ265" s="257">
        <v>0</v>
      </c>
      <c r="CK265" s="257">
        <v>0</v>
      </c>
      <c r="CL265" s="257">
        <v>0</v>
      </c>
      <c r="CM265" s="257">
        <v>0</v>
      </c>
      <c r="CN265" s="257" t="s">
        <v>3074</v>
      </c>
      <c r="CO265" s="257">
        <v>37.305819020000001</v>
      </c>
      <c r="CP265" s="257">
        <v>46.459096459999998</v>
      </c>
      <c r="CQ265" s="257">
        <v>18.68015804081632</v>
      </c>
      <c r="CR265" s="257">
        <v>-9.8192771079999996</v>
      </c>
      <c r="CS265" s="257">
        <v>-9.5592716459999991</v>
      </c>
      <c r="CT265" s="257">
        <v>2.6000546200000054E-4</v>
      </c>
      <c r="CU265" s="257">
        <v>1.3918804189551619E-5</v>
      </c>
      <c r="CV265" s="258">
        <v>2.6479083861292382E-2</v>
      </c>
      <c r="CW265" s="256" t="s">
        <v>235</v>
      </c>
      <c r="CX265" s="257" t="s">
        <v>3075</v>
      </c>
      <c r="CY265" s="257" t="s">
        <v>236</v>
      </c>
      <c r="CZ265" s="257"/>
      <c r="DA265" s="278"/>
      <c r="DB265" s="278">
        <v>80</v>
      </c>
      <c r="DC265" s="257" t="s">
        <v>3076</v>
      </c>
      <c r="DD265" s="257">
        <v>0</v>
      </c>
      <c r="DE265" s="257">
        <v>1</v>
      </c>
      <c r="DF265" s="257">
        <v>0</v>
      </c>
      <c r="DG265" s="257">
        <v>0</v>
      </c>
      <c r="DH265" s="257"/>
      <c r="DI265" s="257">
        <v>1</v>
      </c>
      <c r="DJ265" s="257" t="s">
        <v>174</v>
      </c>
      <c r="DK265" s="257">
        <v>0</v>
      </c>
      <c r="DL265" s="257" t="s">
        <v>181</v>
      </c>
      <c r="DM265" s="257">
        <v>0</v>
      </c>
      <c r="DN265" s="257">
        <v>0</v>
      </c>
      <c r="DO265" s="257">
        <v>0</v>
      </c>
      <c r="DP265" s="278">
        <v>0</v>
      </c>
      <c r="DQ265" s="278">
        <v>0</v>
      </c>
      <c r="DR265" s="278">
        <v>0</v>
      </c>
      <c r="DS265" s="278">
        <v>0</v>
      </c>
      <c r="DT265" s="257">
        <v>0</v>
      </c>
      <c r="DU265" s="278" t="s">
        <v>964</v>
      </c>
      <c r="DV265" s="278">
        <v>1</v>
      </c>
      <c r="DW265" s="278">
        <v>1</v>
      </c>
      <c r="DX265" s="278">
        <v>1</v>
      </c>
      <c r="DY265" s="278">
        <v>0</v>
      </c>
      <c r="DZ265" s="257">
        <v>0</v>
      </c>
      <c r="EA265" s="278">
        <v>0</v>
      </c>
      <c r="EB265" s="278">
        <v>1</v>
      </c>
      <c r="EC265" s="278">
        <v>1</v>
      </c>
      <c r="ED265" s="278">
        <v>0</v>
      </c>
      <c r="EE265" s="278">
        <v>0</v>
      </c>
      <c r="EF265" s="257">
        <v>1</v>
      </c>
      <c r="EG265" s="278">
        <v>0</v>
      </c>
      <c r="EH265" s="257">
        <v>0</v>
      </c>
      <c r="EI265" s="258">
        <v>0</v>
      </c>
      <c r="EJ265" s="256"/>
      <c r="EK265" t="str">
        <f>IF(AND(AND(AND(OR($DX265=1,$DW265=1),OR($EC265=1,$EA265=1)),SUM($DV265:$DZ265,$EF265)&gt;=4),SUM($EA265:$EE265)&gt;=2),"Whole sector","")</f>
        <v>Whole sector</v>
      </c>
      <c r="EL265" t="str">
        <f>IF(AND(AND(OR($DX265=1,$DW265=1),AND($EC265=0,$EA265=0)),SUM($DV265:$DZ265,$EF265)&gt;=4),"Ecosystem approach","")</f>
        <v/>
      </c>
      <c r="EM265" s="258" t="s">
        <v>545</v>
      </c>
      <c r="EN265" s="257" t="s">
        <v>237</v>
      </c>
      <c r="EO265" s="257"/>
      <c r="EP265" t="str">
        <f>IF(ISNUMBER(BU265),IF(ABS(BU265-[3]QC_indicators!$B$2)&gt;3*[3]QC_indicators!$C$2,"C ratio",IF(ISNUMBER(BY265),IF(ABS(BY265-[3]QC_indicators!$B$1)&gt;3*[3]QC_indicators!$C$1,"DF","no"))),IF(ISNUMBER(BY265),IF(ABS(BY265-[3]QC_indicators!$B$1)&gt;3*[3]QC_indicators!$C$1,"DF","no")))</f>
        <v>no</v>
      </c>
      <c r="EQ265" s="282"/>
      <c r="ER265" s="282"/>
      <c r="ES265" s="282"/>
      <c r="ET265"/>
      <c r="EU265"/>
    </row>
    <row r="266" spans="1:151" s="139" customFormat="1" ht="15" hidden="1" customHeight="1">
      <c r="A266" s="256" t="s">
        <v>215</v>
      </c>
      <c r="B266" s="257" t="s">
        <v>216</v>
      </c>
      <c r="C266" s="257" t="s">
        <v>217</v>
      </c>
      <c r="D266" s="257" t="s">
        <v>218</v>
      </c>
      <c r="E266" s="257" t="s">
        <v>219</v>
      </c>
      <c r="F266" s="257" t="s">
        <v>220</v>
      </c>
      <c r="G266" s="257" t="s">
        <v>221</v>
      </c>
      <c r="H266" s="257"/>
      <c r="I266" s="257">
        <v>2012</v>
      </c>
      <c r="J266" s="257"/>
      <c r="K266" s="257" t="s">
        <v>222</v>
      </c>
      <c r="L266" s="257"/>
      <c r="M266" s="257" t="s">
        <v>3072</v>
      </c>
      <c r="N266" s="257" t="s">
        <v>223</v>
      </c>
      <c r="O266" s="277" t="s">
        <v>224</v>
      </c>
      <c r="P266" s="257"/>
      <c r="Q266" s="257" t="s">
        <v>225</v>
      </c>
      <c r="R266" s="258" t="s">
        <v>226</v>
      </c>
      <c r="S266" s="256" t="s">
        <v>241</v>
      </c>
      <c r="T266" s="257">
        <v>2000</v>
      </c>
      <c r="U266" s="257">
        <v>4000</v>
      </c>
      <c r="V266" s="257">
        <v>0</v>
      </c>
      <c r="W266" s="257">
        <v>0</v>
      </c>
      <c r="X266" s="257">
        <v>0</v>
      </c>
      <c r="Y266" s="257">
        <v>0</v>
      </c>
      <c r="Z266" s="257">
        <v>0</v>
      </c>
      <c r="AA266" s="257">
        <v>1</v>
      </c>
      <c r="AB266" s="257">
        <v>0</v>
      </c>
      <c r="AC266" s="257">
        <v>0</v>
      </c>
      <c r="AD266" s="257">
        <v>0</v>
      </c>
      <c r="AE266" s="257">
        <v>0</v>
      </c>
      <c r="AF266" s="257">
        <v>0</v>
      </c>
      <c r="AG266" s="257">
        <v>0</v>
      </c>
      <c r="AH266" s="257">
        <v>0</v>
      </c>
      <c r="AI266" s="257">
        <v>0</v>
      </c>
      <c r="AJ266" s="257">
        <v>0</v>
      </c>
      <c r="AK266" s="257">
        <v>0</v>
      </c>
      <c r="AL266" s="257">
        <v>0</v>
      </c>
      <c r="AM266" s="257">
        <v>0</v>
      </c>
      <c r="AN266" s="257">
        <v>0</v>
      </c>
      <c r="AO266" s="257">
        <v>0</v>
      </c>
      <c r="AP266" s="257">
        <v>0</v>
      </c>
      <c r="AQ266" s="257">
        <v>0</v>
      </c>
      <c r="AR266" s="257">
        <v>0</v>
      </c>
      <c r="AS266" s="257">
        <v>0</v>
      </c>
      <c r="AT266" s="257">
        <v>0</v>
      </c>
      <c r="AU266" s="257">
        <v>0</v>
      </c>
      <c r="AV266" s="257">
        <v>0</v>
      </c>
      <c r="AW266" s="257">
        <v>0</v>
      </c>
      <c r="AX266" s="279">
        <v>1</v>
      </c>
      <c r="AY266" s="279">
        <v>1</v>
      </c>
      <c r="AZ266" s="257">
        <v>1</v>
      </c>
      <c r="BA266" s="257">
        <v>0</v>
      </c>
      <c r="BB266" s="257">
        <v>0</v>
      </c>
      <c r="BC266" s="257">
        <v>0</v>
      </c>
      <c r="BD266" s="257">
        <v>0</v>
      </c>
      <c r="BE266" s="257" t="s">
        <v>94</v>
      </c>
      <c r="BF266" s="2" t="str" cm="1">
        <f t="array" ref="BF266">IF(COUNTIF(AZ266:BB266,"&lt;&gt;0")=1,INDEX($V$4:$AW$4,MATCH(TRUE,INDEX($V266:$AW266&lt;&gt;0,),0)),IF(COUNTIF(AZ266:BB266,"&lt;&gt;0")=0,INDEX($AM$4:$AW$4,MATCH(1,$AM266:$AW266,0)),"Multiple strategies"))</f>
        <v>SilvicultureProd</v>
      </c>
      <c r="BG266" s="280" t="s">
        <v>230</v>
      </c>
      <c r="BH266" s="257" t="s">
        <v>231</v>
      </c>
      <c r="BI266" s="281" t="s">
        <v>3073</v>
      </c>
      <c r="BJ266" s="278" t="s">
        <v>232</v>
      </c>
      <c r="BK266" s="257">
        <v>34.220071779999998</v>
      </c>
      <c r="BL266" s="257">
        <v>43.296172429999999</v>
      </c>
      <c r="BM266" s="278">
        <v>1.2652273995317727</v>
      </c>
      <c r="BN266" s="257">
        <v>9.0761006500000008</v>
      </c>
      <c r="BO266" s="278">
        <v>18.522654387755104</v>
      </c>
      <c r="BP266" s="278" t="s">
        <v>233</v>
      </c>
      <c r="BQ266" s="312" t="s">
        <v>3073</v>
      </c>
      <c r="BR266" s="278" t="s">
        <v>234</v>
      </c>
      <c r="BS266" s="257">
        <v>-10.49196787</v>
      </c>
      <c r="BT266" s="257">
        <v>-9.8277857409999996</v>
      </c>
      <c r="BU266" s="259">
        <v>0.93669613391601048</v>
      </c>
      <c r="BV266" s="257">
        <v>0.66418212900000029</v>
      </c>
      <c r="BW266" s="257"/>
      <c r="BX266" s="257">
        <v>6.6418212900000028E-4</v>
      </c>
      <c r="BY266" s="257">
        <v>3.5857826588778529E-5</v>
      </c>
      <c r="BZ266" s="257">
        <v>0</v>
      </c>
      <c r="CA266" s="257">
        <v>0</v>
      </c>
      <c r="CB266" s="257">
        <v>0</v>
      </c>
      <c r="CC266" s="257">
        <v>0</v>
      </c>
      <c r="CD266" s="257">
        <v>0</v>
      </c>
      <c r="CE266" s="257">
        <v>0</v>
      </c>
      <c r="CF266" s="257">
        <v>0</v>
      </c>
      <c r="CG266" s="257">
        <v>0</v>
      </c>
      <c r="CH266" s="257">
        <v>0</v>
      </c>
      <c r="CI266" s="257">
        <v>0</v>
      </c>
      <c r="CJ266" s="257">
        <v>0</v>
      </c>
      <c r="CK266" s="257">
        <v>0</v>
      </c>
      <c r="CL266" s="257">
        <v>0</v>
      </c>
      <c r="CM266" s="257">
        <v>0</v>
      </c>
      <c r="CN266" s="257" t="s">
        <v>3074</v>
      </c>
      <c r="CO266" s="257">
        <v>34.220071779999998</v>
      </c>
      <c r="CP266" s="257">
        <v>43.296172429999999</v>
      </c>
      <c r="CQ266" s="257">
        <v>18.522654387755104</v>
      </c>
      <c r="CR266" s="257">
        <v>-10.49196787</v>
      </c>
      <c r="CS266" s="257">
        <v>-9.8277857409999996</v>
      </c>
      <c r="CT266" s="257">
        <v>6.6418212900000028E-4</v>
      </c>
      <c r="CU266" s="257">
        <v>3.5857826588778529E-5</v>
      </c>
      <c r="CV266" s="258">
        <v>6.3303866083989468E-2</v>
      </c>
      <c r="CW266" s="256" t="s">
        <v>235</v>
      </c>
      <c r="CX266" s="257" t="s">
        <v>3075</v>
      </c>
      <c r="CY266" s="257" t="s">
        <v>236</v>
      </c>
      <c r="CZ266" s="257"/>
      <c r="DA266" s="278"/>
      <c r="DB266" s="278">
        <v>80</v>
      </c>
      <c r="DC266" s="257" t="s">
        <v>3076</v>
      </c>
      <c r="DD266" s="257">
        <v>0</v>
      </c>
      <c r="DE266" s="257">
        <v>1</v>
      </c>
      <c r="DF266" s="257">
        <v>0</v>
      </c>
      <c r="DG266" s="257">
        <v>0</v>
      </c>
      <c r="DH266" s="257"/>
      <c r="DI266" s="257">
        <v>1</v>
      </c>
      <c r="DJ266" s="257" t="s">
        <v>174</v>
      </c>
      <c r="DK266" s="257">
        <v>0</v>
      </c>
      <c r="DL266" s="257" t="s">
        <v>181</v>
      </c>
      <c r="DM266" s="257">
        <v>0</v>
      </c>
      <c r="DN266" s="257">
        <v>0</v>
      </c>
      <c r="DO266" s="257">
        <v>0</v>
      </c>
      <c r="DP266" s="278">
        <v>0</v>
      </c>
      <c r="DQ266" s="278">
        <v>0</v>
      </c>
      <c r="DR266" s="278">
        <v>0</v>
      </c>
      <c r="DS266" s="278">
        <v>0</v>
      </c>
      <c r="DT266" s="257">
        <v>0</v>
      </c>
      <c r="DU266" s="278" t="s">
        <v>964</v>
      </c>
      <c r="DV266" s="278">
        <v>1</v>
      </c>
      <c r="DW266" s="278">
        <v>1</v>
      </c>
      <c r="DX266" s="278">
        <v>1</v>
      </c>
      <c r="DY266" s="278">
        <v>0</v>
      </c>
      <c r="DZ266" s="257">
        <v>0</v>
      </c>
      <c r="EA266" s="278">
        <v>0</v>
      </c>
      <c r="EB266" s="278">
        <v>1</v>
      </c>
      <c r="EC266" s="278">
        <v>1</v>
      </c>
      <c r="ED266" s="278">
        <v>0</v>
      </c>
      <c r="EE266" s="278">
        <v>0</v>
      </c>
      <c r="EF266" s="257">
        <v>1</v>
      </c>
      <c r="EG266" s="278">
        <v>0</v>
      </c>
      <c r="EH266" s="257">
        <v>0</v>
      </c>
      <c r="EI266" s="258">
        <v>0</v>
      </c>
      <c r="EJ266" s="256"/>
      <c r="EK266" t="str">
        <f>IF(AND(AND(AND(OR($DX266=1,$DW266=1),OR($EC266=1,$EA266=1)),SUM($DV266:$DZ266,$EF266)&gt;=4),SUM($EA266:$EE266)&gt;=2),"Whole sector","")</f>
        <v>Whole sector</v>
      </c>
      <c r="EL266" t="str">
        <f>IF(AND(AND(OR($DX266=1,$DW266=1),AND($EC266=0,$EA266=0)),SUM($DV266:$DZ266,$EF266)&gt;=4),"Ecosystem approach","")</f>
        <v/>
      </c>
      <c r="EM266" s="258" t="s">
        <v>545</v>
      </c>
      <c r="EN266" s="257" t="s">
        <v>237</v>
      </c>
      <c r="EO266" s="257"/>
      <c r="EP266" t="str">
        <f>IF(ISNUMBER(BU266),IF(ABS(BU266-[3]QC_indicators!$B$2)&gt;3*[3]QC_indicators!$C$2,"C ratio",IF(ISNUMBER(BY266),IF(ABS(BY266-[3]QC_indicators!$B$1)&gt;3*[3]QC_indicators!$C$1,"DF","no"))),IF(ISNUMBER(BY266),IF(ABS(BY266-[3]QC_indicators!$B$1)&gt;3*[3]QC_indicators!$C$1,"DF","no")))</f>
        <v>no</v>
      </c>
      <c r="EQ266" s="282"/>
      <c r="ER266" s="282"/>
      <c r="ES266" s="282"/>
      <c r="ET266"/>
      <c r="EU266"/>
    </row>
    <row r="267" spans="1:151" s="139" customFormat="1" ht="15" hidden="1" customHeight="1">
      <c r="A267" s="256" t="s">
        <v>215</v>
      </c>
      <c r="B267" s="257" t="s">
        <v>216</v>
      </c>
      <c r="C267" s="257" t="s">
        <v>217</v>
      </c>
      <c r="D267" s="257" t="s">
        <v>218</v>
      </c>
      <c r="E267" s="257" t="s">
        <v>219</v>
      </c>
      <c r="F267" s="257" t="s">
        <v>220</v>
      </c>
      <c r="G267" s="257" t="s">
        <v>221</v>
      </c>
      <c r="H267" s="257"/>
      <c r="I267" s="257">
        <v>2012</v>
      </c>
      <c r="J267" s="257"/>
      <c r="K267" s="257" t="s">
        <v>222</v>
      </c>
      <c r="L267" s="257"/>
      <c r="M267" s="257" t="s">
        <v>3072</v>
      </c>
      <c r="N267" s="257" t="s">
        <v>223</v>
      </c>
      <c r="O267" s="277" t="s">
        <v>224</v>
      </c>
      <c r="P267" s="257"/>
      <c r="Q267" s="257" t="s">
        <v>225</v>
      </c>
      <c r="R267" s="258" t="s">
        <v>226</v>
      </c>
      <c r="S267" s="256" t="s">
        <v>242</v>
      </c>
      <c r="T267" s="257" t="s">
        <v>245</v>
      </c>
      <c r="U267" s="278" t="s">
        <v>243</v>
      </c>
      <c r="V267" s="257">
        <v>0</v>
      </c>
      <c r="W267" s="257">
        <v>0</v>
      </c>
      <c r="X267" s="257">
        <v>0</v>
      </c>
      <c r="Y267" s="257">
        <v>0</v>
      </c>
      <c r="Z267" s="257">
        <v>0</v>
      </c>
      <c r="AA267" s="257">
        <v>0</v>
      </c>
      <c r="AB267" s="257">
        <v>0</v>
      </c>
      <c r="AC267" s="257">
        <v>1</v>
      </c>
      <c r="AD267" s="257">
        <v>0</v>
      </c>
      <c r="AE267" s="257">
        <v>0</v>
      </c>
      <c r="AF267" s="257">
        <v>0</v>
      </c>
      <c r="AG267" s="257">
        <v>0</v>
      </c>
      <c r="AH267" s="257">
        <v>0</v>
      </c>
      <c r="AI267" s="257">
        <v>0</v>
      </c>
      <c r="AJ267" s="257">
        <v>0</v>
      </c>
      <c r="AK267" s="257">
        <v>0</v>
      </c>
      <c r="AL267" s="257">
        <v>0</v>
      </c>
      <c r="AM267" s="257">
        <v>0</v>
      </c>
      <c r="AN267" s="257">
        <v>0</v>
      </c>
      <c r="AO267" s="257">
        <v>0</v>
      </c>
      <c r="AP267" s="257">
        <v>0</v>
      </c>
      <c r="AQ267" s="257">
        <v>0</v>
      </c>
      <c r="AR267" s="257">
        <v>0</v>
      </c>
      <c r="AS267" s="257">
        <v>0</v>
      </c>
      <c r="AT267" s="257">
        <v>0</v>
      </c>
      <c r="AU267" s="257">
        <v>0</v>
      </c>
      <c r="AV267" s="257">
        <v>0</v>
      </c>
      <c r="AW267" s="257">
        <v>0</v>
      </c>
      <c r="AX267" s="279">
        <v>1</v>
      </c>
      <c r="AY267" s="279">
        <v>1</v>
      </c>
      <c r="AZ267" s="257">
        <v>1</v>
      </c>
      <c r="BA267" s="257">
        <v>0</v>
      </c>
      <c r="BB267" s="257">
        <v>0</v>
      </c>
      <c r="BC267" s="257">
        <v>0</v>
      </c>
      <c r="BD267" s="257">
        <v>0</v>
      </c>
      <c r="BE267" s="257" t="s">
        <v>96</v>
      </c>
      <c r="BF267" s="2" t="str" cm="1">
        <f t="array" ref="BF267">IF(COUNTIF(AZ267:BB267,"&lt;&gt;0")=1,INDEX($V$4:$AW$4,MATCH(TRUE,INDEX($V267:$AW267&lt;&gt;0,),0)),IF(COUNTIF(AZ267:BB267,"&lt;&gt;0")=0,INDEX($AM$4:$AW$4,MATCH(1,$AM267:$AW267,0)),"Multiple strategies"))</f>
        <v>SilvicultureProd</v>
      </c>
      <c r="BG267" s="280" t="s">
        <v>230</v>
      </c>
      <c r="BH267" s="257" t="s">
        <v>231</v>
      </c>
      <c r="BI267" s="281" t="s">
        <v>3073</v>
      </c>
      <c r="BJ267" s="278" t="s">
        <v>232</v>
      </c>
      <c r="BK267" s="257">
        <v>34.220071776467499</v>
      </c>
      <c r="BL267" s="257">
        <v>41.741420319401897</v>
      </c>
      <c r="BM267" s="278">
        <v>1.2197934765322931</v>
      </c>
      <c r="BN267" s="257">
        <v>7.5213485429343976</v>
      </c>
      <c r="BO267" s="278">
        <v>15.349690903947751</v>
      </c>
      <c r="BP267" s="278" t="s">
        <v>233</v>
      </c>
      <c r="BQ267" s="312" t="s">
        <v>3073</v>
      </c>
      <c r="BR267" s="278" t="s">
        <v>234</v>
      </c>
      <c r="BS267" s="257">
        <v>-10.491967871485899</v>
      </c>
      <c r="BT267" s="257">
        <v>-10.1626318158436</v>
      </c>
      <c r="BU267" s="259">
        <v>0.96861064962490606</v>
      </c>
      <c r="BV267" s="257">
        <v>0.32933605564229929</v>
      </c>
      <c r="BW267" s="257"/>
      <c r="BX267" s="257">
        <v>3.2933605564229926E-4</v>
      </c>
      <c r="BY267" s="257">
        <v>2.1455549672182527E-5</v>
      </c>
      <c r="BZ267" s="257">
        <v>0</v>
      </c>
      <c r="CA267" s="257">
        <v>0</v>
      </c>
      <c r="CB267" s="257">
        <v>0</v>
      </c>
      <c r="CC267" s="257">
        <v>0</v>
      </c>
      <c r="CD267" s="257">
        <v>0</v>
      </c>
      <c r="CE267" s="257">
        <v>0</v>
      </c>
      <c r="CF267" s="257">
        <v>0</v>
      </c>
      <c r="CG267" s="257">
        <v>0</v>
      </c>
      <c r="CH267" s="257">
        <v>0</v>
      </c>
      <c r="CI267" s="257">
        <v>0</v>
      </c>
      <c r="CJ267" s="257">
        <v>0</v>
      </c>
      <c r="CK267" s="257">
        <v>0</v>
      </c>
      <c r="CL267" s="257">
        <v>0</v>
      </c>
      <c r="CM267" s="257">
        <v>0</v>
      </c>
      <c r="CN267" s="257" t="s">
        <v>3074</v>
      </c>
      <c r="CO267" s="257">
        <v>34.220071776467499</v>
      </c>
      <c r="CP267" s="257">
        <v>41.741420319401897</v>
      </c>
      <c r="CQ267" s="257">
        <v>15.349690903947751</v>
      </c>
      <c r="CR267" s="257">
        <v>-10.491967871485899</v>
      </c>
      <c r="CS267" s="257">
        <v>-10.1626318158436</v>
      </c>
      <c r="CT267" s="257">
        <v>3.2933605564229926E-4</v>
      </c>
      <c r="CU267" s="257">
        <v>2.1455549672182527E-5</v>
      </c>
      <c r="CV267" s="258">
        <v>3.1389350375093925E-2</v>
      </c>
      <c r="CW267" s="256" t="s">
        <v>235</v>
      </c>
      <c r="CX267" s="257" t="s">
        <v>3075</v>
      </c>
      <c r="CY267" s="257" t="s">
        <v>236</v>
      </c>
      <c r="CZ267" s="257"/>
      <c r="DA267" s="278"/>
      <c r="DB267" s="278">
        <v>80</v>
      </c>
      <c r="DC267" s="257" t="s">
        <v>3076</v>
      </c>
      <c r="DD267" s="257">
        <v>0</v>
      </c>
      <c r="DE267" s="257">
        <v>1</v>
      </c>
      <c r="DF267" s="257">
        <v>0</v>
      </c>
      <c r="DG267" s="257">
        <v>0</v>
      </c>
      <c r="DH267" s="257"/>
      <c r="DI267" s="257">
        <v>1</v>
      </c>
      <c r="DJ267" s="257" t="s">
        <v>174</v>
      </c>
      <c r="DK267" s="257">
        <v>0</v>
      </c>
      <c r="DL267" s="257" t="s">
        <v>181</v>
      </c>
      <c r="DM267" s="257">
        <v>0</v>
      </c>
      <c r="DN267" s="257">
        <v>0</v>
      </c>
      <c r="DO267" s="257">
        <v>0</v>
      </c>
      <c r="DP267" s="278">
        <v>0</v>
      </c>
      <c r="DQ267" s="278">
        <v>0</v>
      </c>
      <c r="DR267" s="278">
        <v>0</v>
      </c>
      <c r="DS267" s="278">
        <v>0</v>
      </c>
      <c r="DT267" s="257">
        <v>0</v>
      </c>
      <c r="DU267" s="278" t="s">
        <v>964</v>
      </c>
      <c r="DV267" s="278">
        <v>1</v>
      </c>
      <c r="DW267" s="278">
        <v>1</v>
      </c>
      <c r="DX267" s="278">
        <v>1</v>
      </c>
      <c r="DY267" s="278">
        <v>0</v>
      </c>
      <c r="DZ267" s="257">
        <v>0</v>
      </c>
      <c r="EA267" s="278">
        <v>0</v>
      </c>
      <c r="EB267" s="278">
        <v>1</v>
      </c>
      <c r="EC267" s="278">
        <v>1</v>
      </c>
      <c r="ED267" s="278">
        <v>0</v>
      </c>
      <c r="EE267" s="278">
        <v>0</v>
      </c>
      <c r="EF267" s="257">
        <v>1</v>
      </c>
      <c r="EG267" s="278">
        <v>0</v>
      </c>
      <c r="EH267" s="257">
        <v>0</v>
      </c>
      <c r="EI267" s="258">
        <v>0</v>
      </c>
      <c r="EJ267" s="256"/>
      <c r="EK267" t="str">
        <f>IF(AND(AND(AND(OR($DX267=1,$DW267=1),OR($EC267=1,$EA267=1)),SUM($DV267:$DZ267,$EF267)&gt;=4),SUM($EA267:$EE267)&gt;=2),"Whole sector","")</f>
        <v>Whole sector</v>
      </c>
      <c r="EL267" t="str">
        <f>IF(AND(AND(OR($DX267=1,$DW267=1),AND($EC267=0,$EA267=0)),SUM($DV267:$DZ267,$EF267)&gt;=4),"Ecosystem approach","")</f>
        <v/>
      </c>
      <c r="EM267" s="258" t="s">
        <v>545</v>
      </c>
      <c r="EN267" s="257" t="s">
        <v>237</v>
      </c>
      <c r="EO267" s="257"/>
      <c r="EP267" t="str">
        <f>IF(ISNUMBER(BU267),IF(ABS(BU267-[3]QC_indicators!$B$2)&gt;3*[3]QC_indicators!$C$2,"C ratio",IF(ISNUMBER(BY267),IF(ABS(BY267-[3]QC_indicators!$B$1)&gt;3*[3]QC_indicators!$C$1,"DF","no"))),IF(ISNUMBER(BY267),IF(ABS(BY267-[3]QC_indicators!$B$1)&gt;3*[3]QC_indicators!$C$1,"DF","no")))</f>
        <v>no</v>
      </c>
      <c r="EQ267"/>
      <c r="ER267"/>
      <c r="ES267"/>
      <c r="ET267"/>
      <c r="EU267"/>
    </row>
    <row r="268" spans="1:151" s="139" customFormat="1" ht="15" hidden="1" customHeight="1">
      <c r="A268" s="256" t="s">
        <v>215</v>
      </c>
      <c r="B268" s="257" t="s">
        <v>216</v>
      </c>
      <c r="C268" s="257" t="s">
        <v>217</v>
      </c>
      <c r="D268" s="257" t="s">
        <v>218</v>
      </c>
      <c r="E268" s="257" t="s">
        <v>219</v>
      </c>
      <c r="F268" s="257" t="s">
        <v>220</v>
      </c>
      <c r="G268" s="257" t="s">
        <v>221</v>
      </c>
      <c r="H268" s="257"/>
      <c r="I268" s="257">
        <v>2012</v>
      </c>
      <c r="J268" s="257"/>
      <c r="K268" s="257" t="s">
        <v>222</v>
      </c>
      <c r="L268" s="257"/>
      <c r="M268" s="257" t="s">
        <v>3072</v>
      </c>
      <c r="N268" s="257" t="s">
        <v>223</v>
      </c>
      <c r="O268" s="277" t="s">
        <v>224</v>
      </c>
      <c r="P268" s="257"/>
      <c r="Q268" s="257" t="s">
        <v>225</v>
      </c>
      <c r="R268" s="258" t="s">
        <v>226</v>
      </c>
      <c r="S268" s="256" t="s">
        <v>242</v>
      </c>
      <c r="T268" s="257" t="s">
        <v>243</v>
      </c>
      <c r="U268" s="278" t="s">
        <v>244</v>
      </c>
      <c r="V268" s="257">
        <v>0</v>
      </c>
      <c r="W268" s="257">
        <v>0</v>
      </c>
      <c r="X268" s="257">
        <v>0</v>
      </c>
      <c r="Y268" s="257">
        <v>0</v>
      </c>
      <c r="Z268" s="257">
        <v>0</v>
      </c>
      <c r="AA268" s="257">
        <v>0</v>
      </c>
      <c r="AB268" s="257">
        <v>0</v>
      </c>
      <c r="AC268" s="257">
        <v>1</v>
      </c>
      <c r="AD268" s="257">
        <v>0</v>
      </c>
      <c r="AE268" s="257">
        <v>0</v>
      </c>
      <c r="AF268" s="257">
        <v>0</v>
      </c>
      <c r="AG268" s="257">
        <v>0</v>
      </c>
      <c r="AH268" s="257">
        <v>0</v>
      </c>
      <c r="AI268" s="257">
        <v>0</v>
      </c>
      <c r="AJ268" s="257">
        <v>0</v>
      </c>
      <c r="AK268" s="257">
        <v>0</v>
      </c>
      <c r="AL268" s="257">
        <v>0</v>
      </c>
      <c r="AM268" s="257">
        <v>0</v>
      </c>
      <c r="AN268" s="257">
        <v>0</v>
      </c>
      <c r="AO268" s="257">
        <v>0</v>
      </c>
      <c r="AP268" s="257">
        <v>0</v>
      </c>
      <c r="AQ268" s="257">
        <v>0</v>
      </c>
      <c r="AR268" s="257">
        <v>0</v>
      </c>
      <c r="AS268" s="257">
        <v>0</v>
      </c>
      <c r="AT268" s="257">
        <v>0</v>
      </c>
      <c r="AU268" s="257">
        <v>0</v>
      </c>
      <c r="AV268" s="257">
        <v>0</v>
      </c>
      <c r="AW268" s="257">
        <v>0</v>
      </c>
      <c r="AX268" s="279">
        <v>1</v>
      </c>
      <c r="AY268" s="279">
        <v>1</v>
      </c>
      <c r="AZ268" s="257">
        <v>1</v>
      </c>
      <c r="BA268" s="257">
        <v>0</v>
      </c>
      <c r="BB268" s="257">
        <v>0</v>
      </c>
      <c r="BC268" s="257">
        <v>0</v>
      </c>
      <c r="BD268" s="257">
        <v>0</v>
      </c>
      <c r="BE268" s="257" t="s">
        <v>96</v>
      </c>
      <c r="BF268" s="2" t="str" cm="1">
        <f t="array" ref="BF268">IF(COUNTIF(AZ268:BB268,"&lt;&gt;0")=1,INDEX($V$4:$AW$4,MATCH(TRUE,INDEX($V268:$AW268&lt;&gt;0,),0)),IF(COUNTIF(AZ268:BB268,"&lt;&gt;0")=0,INDEX($AM$4:$AW$4,MATCH(1,$AM268:$AW268,0)),"Multiple strategies"))</f>
        <v>SilvicultureProd</v>
      </c>
      <c r="BG268" s="280" t="s">
        <v>230</v>
      </c>
      <c r="BH268" s="257" t="s">
        <v>231</v>
      </c>
      <c r="BI268" s="281" t="s">
        <v>3073</v>
      </c>
      <c r="BJ268" s="278" t="s">
        <v>232</v>
      </c>
      <c r="BK268" s="257">
        <v>124.699677125181</v>
      </c>
      <c r="BL268" s="257">
        <v>127.190336749634</v>
      </c>
      <c r="BM268" s="278">
        <v>1.0199732644211479</v>
      </c>
      <c r="BN268" s="257">
        <v>2.4906596244530022</v>
      </c>
      <c r="BO268" s="278">
        <v>5.0829788254142905</v>
      </c>
      <c r="BP268" s="278" t="s">
        <v>233</v>
      </c>
      <c r="BQ268" s="314" t="s">
        <v>2627</v>
      </c>
      <c r="BR268" s="278" t="s">
        <v>234</v>
      </c>
      <c r="BS268" s="257">
        <v>-7.9158553717989797</v>
      </c>
      <c r="BT268" s="257">
        <v>-11.589751098096601</v>
      </c>
      <c r="BU268" s="259">
        <v>1.4641186016846945</v>
      </c>
      <c r="BV268" s="257">
        <v>-3.6738957262976211</v>
      </c>
      <c r="BW268" s="257"/>
      <c r="BX268" s="257">
        <v>-3.6738957262976209E-3</v>
      </c>
      <c r="BY268" s="257">
        <v>-7.2278399192390462E-4</v>
      </c>
      <c r="BZ268" s="257">
        <v>0</v>
      </c>
      <c r="CA268" s="257">
        <v>0</v>
      </c>
      <c r="CB268" s="257">
        <v>0</v>
      </c>
      <c r="CC268" s="257">
        <v>0</v>
      </c>
      <c r="CD268" s="257">
        <v>0</v>
      </c>
      <c r="CE268" s="257">
        <v>0</v>
      </c>
      <c r="CF268" s="257">
        <v>0</v>
      </c>
      <c r="CG268" s="257">
        <v>0</v>
      </c>
      <c r="CH268" s="257">
        <v>0</v>
      </c>
      <c r="CI268" s="257">
        <v>0</v>
      </c>
      <c r="CJ268" s="257">
        <v>0</v>
      </c>
      <c r="CK268" s="257">
        <v>0</v>
      </c>
      <c r="CL268" s="257">
        <v>0</v>
      </c>
      <c r="CM268" s="257">
        <v>0</v>
      </c>
      <c r="CN268" s="257" t="s">
        <v>3074</v>
      </c>
      <c r="CO268" s="257">
        <v>124.699677125181</v>
      </c>
      <c r="CP268" s="257">
        <v>127.190336749634</v>
      </c>
      <c r="CQ268" s="257">
        <v>5.0829788254142905</v>
      </c>
      <c r="CR268" s="257">
        <v>-7.9158553717989797</v>
      </c>
      <c r="CS268" s="257">
        <v>-11.589751098096601</v>
      </c>
      <c r="CT268" s="257">
        <v>-3.6738957262976209E-3</v>
      </c>
      <c r="CU268" s="257">
        <v>-7.2278399192390462E-4</v>
      </c>
      <c r="CV268" s="258">
        <v>-0.46411860168469465</v>
      </c>
      <c r="CW268" s="256" t="s">
        <v>235</v>
      </c>
      <c r="CX268" s="257" t="s">
        <v>3075</v>
      </c>
      <c r="CY268" s="257" t="s">
        <v>236</v>
      </c>
      <c r="CZ268" s="257"/>
      <c r="DA268" s="278"/>
      <c r="DB268" s="278">
        <v>80</v>
      </c>
      <c r="DC268" s="257" t="s">
        <v>3076</v>
      </c>
      <c r="DD268" s="257">
        <v>0</v>
      </c>
      <c r="DE268" s="257">
        <v>1</v>
      </c>
      <c r="DF268" s="257">
        <v>0</v>
      </c>
      <c r="DG268" s="257">
        <v>0</v>
      </c>
      <c r="DH268" s="257"/>
      <c r="DI268" s="257">
        <v>1</v>
      </c>
      <c r="DJ268" s="257" t="s">
        <v>174</v>
      </c>
      <c r="DK268" s="257">
        <v>0</v>
      </c>
      <c r="DL268" s="257" t="s">
        <v>181</v>
      </c>
      <c r="DM268" s="257">
        <v>0</v>
      </c>
      <c r="DN268" s="257">
        <v>0</v>
      </c>
      <c r="DO268" s="257">
        <v>0</v>
      </c>
      <c r="DP268" s="278">
        <v>0</v>
      </c>
      <c r="DQ268" s="278">
        <v>0</v>
      </c>
      <c r="DR268" s="278">
        <v>0</v>
      </c>
      <c r="DS268" s="278">
        <v>0</v>
      </c>
      <c r="DT268" s="257">
        <v>0</v>
      </c>
      <c r="DU268" s="278" t="s">
        <v>964</v>
      </c>
      <c r="DV268" s="278">
        <v>1</v>
      </c>
      <c r="DW268" s="278">
        <v>1</v>
      </c>
      <c r="DX268" s="278">
        <v>1</v>
      </c>
      <c r="DY268" s="278">
        <v>0</v>
      </c>
      <c r="DZ268" s="257">
        <v>0</v>
      </c>
      <c r="EA268" s="278">
        <v>0</v>
      </c>
      <c r="EB268" s="278">
        <v>1</v>
      </c>
      <c r="EC268" s="278">
        <v>1</v>
      </c>
      <c r="ED268" s="278">
        <v>0</v>
      </c>
      <c r="EE268" s="278">
        <v>0</v>
      </c>
      <c r="EF268" s="257">
        <v>1</v>
      </c>
      <c r="EG268" s="278">
        <v>0</v>
      </c>
      <c r="EH268" s="257">
        <v>0</v>
      </c>
      <c r="EI268" s="258">
        <v>0</v>
      </c>
      <c r="EJ268" s="256"/>
      <c r="EK268" t="str">
        <f>IF(AND(AND(AND(OR($DX268=1,$DW268=1),OR($EC268=1,$EA268=1)),SUM($DV268:$DZ268,$EF268)&gt;=4),SUM($EA268:$EE268)&gt;=2),"Whole sector","")</f>
        <v>Whole sector</v>
      </c>
      <c r="EL268" t="str">
        <f>IF(AND(AND(OR($DX268=1,$DW268=1),AND($EC268=0,$EA268=0)),SUM($DV268:$DZ268,$EF268)&gt;=4),"Ecosystem approach","")</f>
        <v/>
      </c>
      <c r="EM268" s="258" t="s">
        <v>545</v>
      </c>
      <c r="EN268" s="257" t="s">
        <v>237</v>
      </c>
      <c r="EO268" s="257"/>
      <c r="EP268" t="str">
        <f>IF(ISNUMBER(BU268),IF(ABS(BU268-[3]QC_indicators!$B$2)&gt;3*[3]QC_indicators!$C$2,"C ratio",IF(ISNUMBER(BY268),IF(ABS(BY268-[3]QC_indicators!$B$1)&gt;3*[3]QC_indicators!$C$1,"DF","no"))),IF(ISNUMBER(BY268),IF(ABS(BY268-[3]QC_indicators!$B$1)&gt;3*[3]QC_indicators!$C$1,"DF","no")))</f>
        <v>no</v>
      </c>
      <c r="EQ268"/>
      <c r="ER268"/>
      <c r="ES268"/>
      <c r="ET268"/>
      <c r="EU268"/>
    </row>
    <row r="269" spans="1:151" s="139" customFormat="1" ht="15" hidden="1" customHeight="1">
      <c r="A269" s="256" t="s">
        <v>215</v>
      </c>
      <c r="B269" s="257" t="s">
        <v>216</v>
      </c>
      <c r="C269" s="257" t="s">
        <v>217</v>
      </c>
      <c r="D269" s="257" t="s">
        <v>218</v>
      </c>
      <c r="E269" s="257" t="s">
        <v>219</v>
      </c>
      <c r="F269" s="257" t="s">
        <v>220</v>
      </c>
      <c r="G269" s="257" t="s">
        <v>221</v>
      </c>
      <c r="H269" s="257"/>
      <c r="I269" s="257">
        <v>2012</v>
      </c>
      <c r="J269" s="257"/>
      <c r="K269" s="257" t="s">
        <v>222</v>
      </c>
      <c r="L269" s="257"/>
      <c r="M269" s="257" t="s">
        <v>3072</v>
      </c>
      <c r="N269" s="257" t="s">
        <v>223</v>
      </c>
      <c r="O269" s="277" t="s">
        <v>224</v>
      </c>
      <c r="P269" s="257"/>
      <c r="Q269" s="257" t="s">
        <v>225</v>
      </c>
      <c r="R269" s="258" t="s">
        <v>226</v>
      </c>
      <c r="S269" s="256" t="s">
        <v>227</v>
      </c>
      <c r="T269" s="257" t="s">
        <v>229</v>
      </c>
      <c r="U269" s="257" t="s">
        <v>238</v>
      </c>
      <c r="V269" s="257">
        <v>0</v>
      </c>
      <c r="W269" s="257">
        <v>0</v>
      </c>
      <c r="X269" s="257">
        <v>0</v>
      </c>
      <c r="Y269" s="257">
        <v>1</v>
      </c>
      <c r="Z269" s="257">
        <v>0</v>
      </c>
      <c r="AA269" s="257">
        <v>0</v>
      </c>
      <c r="AB269" s="257">
        <v>0</v>
      </c>
      <c r="AC269" s="257">
        <v>0</v>
      </c>
      <c r="AD269" s="257">
        <v>0</v>
      </c>
      <c r="AE269" s="257">
        <v>0</v>
      </c>
      <c r="AF269" s="257">
        <v>0</v>
      </c>
      <c r="AG269" s="257">
        <v>0</v>
      </c>
      <c r="AH269" s="257">
        <v>0</v>
      </c>
      <c r="AI269" s="257">
        <v>0</v>
      </c>
      <c r="AJ269" s="257">
        <v>0</v>
      </c>
      <c r="AK269" s="257">
        <v>0</v>
      </c>
      <c r="AL269" s="257">
        <v>0</v>
      </c>
      <c r="AM269" s="257">
        <v>0</v>
      </c>
      <c r="AN269" s="257">
        <v>0</v>
      </c>
      <c r="AO269" s="257">
        <v>0</v>
      </c>
      <c r="AP269" s="257">
        <v>0</v>
      </c>
      <c r="AQ269" s="257">
        <v>0</v>
      </c>
      <c r="AR269" s="257">
        <v>0</v>
      </c>
      <c r="AS269" s="257">
        <v>0</v>
      </c>
      <c r="AT269" s="257">
        <v>0</v>
      </c>
      <c r="AU269" s="257">
        <v>0</v>
      </c>
      <c r="AV269" s="257">
        <v>0</v>
      </c>
      <c r="AW269" s="257">
        <v>0</v>
      </c>
      <c r="AX269" s="279">
        <v>1</v>
      </c>
      <c r="AY269" s="279">
        <v>1</v>
      </c>
      <c r="AZ269" s="257">
        <v>1</v>
      </c>
      <c r="BA269" s="257">
        <v>0</v>
      </c>
      <c r="BB269" s="257">
        <v>0</v>
      </c>
      <c r="BC269" s="257">
        <v>0</v>
      </c>
      <c r="BD269" s="257">
        <v>0</v>
      </c>
      <c r="BE269" s="257" t="s">
        <v>92</v>
      </c>
      <c r="BF269" s="2" t="str" cm="1">
        <f t="array" ref="BF269">IF(COUNTIF(AZ269:BB269,"&lt;&gt;0")=1,INDEX($V$4:$AW$4,MATCH(TRUE,INDEX($V269:$AW269&lt;&gt;0,),0)),IF(COUNTIF(AZ269:BB269,"&lt;&gt;0")=0,INDEX($AM$4:$AW$4,MATCH(1,$AM269:$AW269,0)),"Multiple strategies"))</f>
        <v>SilvicultureRemov</v>
      </c>
      <c r="BG269" s="280" t="s">
        <v>230</v>
      </c>
      <c r="BH269" s="257" t="s">
        <v>231</v>
      </c>
      <c r="BI269" s="281" t="s">
        <v>3073</v>
      </c>
      <c r="BJ269" s="278" t="s">
        <v>232</v>
      </c>
      <c r="BK269" s="257">
        <v>100.5900439</v>
      </c>
      <c r="BL269" s="257">
        <v>127.1903367</v>
      </c>
      <c r="BM269" s="278">
        <v>1.2644426005663569</v>
      </c>
      <c r="BN269" s="257">
        <v>26.600292800000005</v>
      </c>
      <c r="BO269" s="278">
        <v>54.286311836734704</v>
      </c>
      <c r="BP269" s="278" t="s">
        <v>233</v>
      </c>
      <c r="BQ269" s="314" t="s">
        <v>2627</v>
      </c>
      <c r="BR269" s="278" t="s">
        <v>234</v>
      </c>
      <c r="BS269" s="257">
        <v>-11.804099559999999</v>
      </c>
      <c r="BT269" s="257">
        <v>-11.589751100000001</v>
      </c>
      <c r="BU269" s="259">
        <v>0.9818411850128449</v>
      </c>
      <c r="BV269" s="257">
        <v>0.2143484599999983</v>
      </c>
      <c r="BW269" s="257"/>
      <c r="BX269" s="257">
        <v>2.143484599999983E-4</v>
      </c>
      <c r="BY269" s="257">
        <v>3.9484808001812348E-6</v>
      </c>
      <c r="BZ269" s="257">
        <v>0</v>
      </c>
      <c r="CA269" s="257">
        <v>0</v>
      </c>
      <c r="CB269" s="257">
        <v>0</v>
      </c>
      <c r="CC269" s="257">
        <v>0</v>
      </c>
      <c r="CD269" s="257">
        <v>0</v>
      </c>
      <c r="CE269" s="257">
        <v>0</v>
      </c>
      <c r="CF269" s="257">
        <v>0</v>
      </c>
      <c r="CG269" s="257">
        <v>0</v>
      </c>
      <c r="CH269" s="257">
        <v>0</v>
      </c>
      <c r="CI269" s="257">
        <v>0</v>
      </c>
      <c r="CJ269" s="257">
        <v>0</v>
      </c>
      <c r="CK269" s="257">
        <v>0</v>
      </c>
      <c r="CL269" s="257">
        <v>0</v>
      </c>
      <c r="CM269" s="257">
        <v>0</v>
      </c>
      <c r="CN269" s="257" t="s">
        <v>3074</v>
      </c>
      <c r="CO269" s="257">
        <v>100.5900439</v>
      </c>
      <c r="CP269" s="257">
        <v>127.1903367</v>
      </c>
      <c r="CQ269" s="257">
        <v>54.286311836734704</v>
      </c>
      <c r="CR269" s="257">
        <v>-11.804099559999999</v>
      </c>
      <c r="CS269" s="257">
        <v>-11.589751100000001</v>
      </c>
      <c r="CT269" s="257">
        <v>2.143484599999983E-4</v>
      </c>
      <c r="CU269" s="257">
        <v>3.9484808001812348E-6</v>
      </c>
      <c r="CV269" s="258">
        <v>1.8158814987155047E-2</v>
      </c>
      <c r="CW269" s="256" t="s">
        <v>235</v>
      </c>
      <c r="CX269" s="257" t="s">
        <v>3075</v>
      </c>
      <c r="CY269" s="257" t="s">
        <v>236</v>
      </c>
      <c r="CZ269" s="257"/>
      <c r="DA269" s="278"/>
      <c r="DB269" s="278">
        <v>80</v>
      </c>
      <c r="DC269" s="257" t="s">
        <v>3076</v>
      </c>
      <c r="DD269" s="257">
        <v>0</v>
      </c>
      <c r="DE269" s="257">
        <v>1</v>
      </c>
      <c r="DF269" s="257">
        <v>0</v>
      </c>
      <c r="DG269" s="257">
        <v>0</v>
      </c>
      <c r="DH269" s="257"/>
      <c r="DI269" s="257">
        <v>1</v>
      </c>
      <c r="DJ269" s="257" t="s">
        <v>174</v>
      </c>
      <c r="DK269" s="257">
        <v>0</v>
      </c>
      <c r="DL269" s="257" t="s">
        <v>181</v>
      </c>
      <c r="DM269" s="257">
        <v>0</v>
      </c>
      <c r="DN269" s="257">
        <v>0</v>
      </c>
      <c r="DO269" s="257">
        <v>0</v>
      </c>
      <c r="DP269" s="278">
        <v>0</v>
      </c>
      <c r="DQ269" s="278">
        <v>0</v>
      </c>
      <c r="DR269" s="278">
        <v>0</v>
      </c>
      <c r="DS269" s="278">
        <v>0</v>
      </c>
      <c r="DT269" s="257">
        <v>0</v>
      </c>
      <c r="DU269" s="278" t="s">
        <v>964</v>
      </c>
      <c r="DV269" s="278">
        <v>1</v>
      </c>
      <c r="DW269" s="278">
        <v>1</v>
      </c>
      <c r="DX269" s="278">
        <v>1</v>
      </c>
      <c r="DY269" s="278">
        <v>0</v>
      </c>
      <c r="DZ269" s="257">
        <v>0</v>
      </c>
      <c r="EA269" s="278">
        <v>0</v>
      </c>
      <c r="EB269" s="278">
        <v>1</v>
      </c>
      <c r="EC269" s="278">
        <v>1</v>
      </c>
      <c r="ED269" s="278">
        <v>0</v>
      </c>
      <c r="EE269" s="278">
        <v>0</v>
      </c>
      <c r="EF269" s="257">
        <v>1</v>
      </c>
      <c r="EG269" s="278">
        <v>0</v>
      </c>
      <c r="EH269" s="257">
        <v>0</v>
      </c>
      <c r="EI269" s="258">
        <v>0</v>
      </c>
      <c r="EJ269" s="256"/>
      <c r="EK269" t="str">
        <f>IF(AND(AND(AND(OR($DX269=1,$DW269=1),OR($EC269=1,$EA269=1)),SUM($DV269:$DZ269,$EF269)&gt;=4),SUM($EA269:$EE269)&gt;=2),"Whole sector","")</f>
        <v>Whole sector</v>
      </c>
      <c r="EL269" t="str">
        <f>IF(AND(AND(OR($DX269=1,$DW269=1),AND($EC269=0,$EA269=0)),SUM($DV269:$DZ269,$EF269)&gt;=4),"Ecosystem approach","")</f>
        <v/>
      </c>
      <c r="EM269" s="258" t="s">
        <v>545</v>
      </c>
      <c r="EN269" s="257" t="s">
        <v>237</v>
      </c>
      <c r="EO269" s="257"/>
      <c r="EP269" t="str">
        <f>IF(ISNUMBER(BU269),IF(ABS(BU269-[3]QC_indicators!$B$2)&gt;3*[3]QC_indicators!$C$2,"C ratio",IF(ISNUMBER(BY269),IF(ABS(BY269-[3]QC_indicators!$B$1)&gt;3*[3]QC_indicators!$C$1,"DF","no"))),IF(ISNUMBER(BY269),IF(ABS(BY269-[3]QC_indicators!$B$1)&gt;3*[3]QC_indicators!$C$1,"DF","no")))</f>
        <v>no</v>
      </c>
      <c r="EQ269" s="282"/>
      <c r="ER269" s="282"/>
      <c r="ES269" s="282"/>
      <c r="ET269"/>
      <c r="EU269"/>
    </row>
    <row r="270" spans="1:151" s="139" customFormat="1" ht="15" hidden="1" customHeight="1">
      <c r="A270" s="256" t="s">
        <v>215</v>
      </c>
      <c r="B270" s="257" t="s">
        <v>216</v>
      </c>
      <c r="C270" s="257" t="s">
        <v>217</v>
      </c>
      <c r="D270" s="257" t="s">
        <v>218</v>
      </c>
      <c r="E270" s="257" t="s">
        <v>219</v>
      </c>
      <c r="F270" s="257" t="s">
        <v>220</v>
      </c>
      <c r="G270" s="257" t="s">
        <v>221</v>
      </c>
      <c r="H270" s="257"/>
      <c r="I270" s="257">
        <v>2012</v>
      </c>
      <c r="J270" s="257"/>
      <c r="K270" s="257" t="s">
        <v>222</v>
      </c>
      <c r="L270" s="257"/>
      <c r="M270" s="257" t="s">
        <v>3072</v>
      </c>
      <c r="N270" s="257" t="s">
        <v>223</v>
      </c>
      <c r="O270" s="277" t="s">
        <v>224</v>
      </c>
      <c r="P270" s="257"/>
      <c r="Q270" s="257" t="s">
        <v>225</v>
      </c>
      <c r="R270" s="258" t="s">
        <v>226</v>
      </c>
      <c r="S270" s="256" t="s">
        <v>241</v>
      </c>
      <c r="T270" s="257">
        <v>2000</v>
      </c>
      <c r="U270" s="257">
        <v>4000</v>
      </c>
      <c r="V270" s="257">
        <v>0</v>
      </c>
      <c r="W270" s="257">
        <v>0</v>
      </c>
      <c r="X270" s="257">
        <v>0</v>
      </c>
      <c r="Y270" s="257">
        <v>0</v>
      </c>
      <c r="Z270" s="257">
        <v>0</v>
      </c>
      <c r="AA270" s="257">
        <v>1</v>
      </c>
      <c r="AB270" s="257">
        <v>0</v>
      </c>
      <c r="AC270" s="257">
        <v>0</v>
      </c>
      <c r="AD270" s="257">
        <v>0</v>
      </c>
      <c r="AE270" s="257">
        <v>0</v>
      </c>
      <c r="AF270" s="257">
        <v>0</v>
      </c>
      <c r="AG270" s="257">
        <v>0</v>
      </c>
      <c r="AH270" s="257">
        <v>0</v>
      </c>
      <c r="AI270" s="257">
        <v>0</v>
      </c>
      <c r="AJ270" s="257">
        <v>0</v>
      </c>
      <c r="AK270" s="257">
        <v>0</v>
      </c>
      <c r="AL270" s="257">
        <v>0</v>
      </c>
      <c r="AM270" s="257">
        <v>0</v>
      </c>
      <c r="AN270" s="257">
        <v>0</v>
      </c>
      <c r="AO270" s="257">
        <v>0</v>
      </c>
      <c r="AP270" s="257">
        <v>0</v>
      </c>
      <c r="AQ270" s="257">
        <v>0</v>
      </c>
      <c r="AR270" s="257">
        <v>0</v>
      </c>
      <c r="AS270" s="257">
        <v>0</v>
      </c>
      <c r="AT270" s="257">
        <v>0</v>
      </c>
      <c r="AU270" s="257">
        <v>0</v>
      </c>
      <c r="AV270" s="257">
        <v>0</v>
      </c>
      <c r="AW270" s="257">
        <v>0</v>
      </c>
      <c r="AX270" s="279">
        <v>1</v>
      </c>
      <c r="AY270" s="279">
        <v>1</v>
      </c>
      <c r="AZ270" s="257">
        <v>1</v>
      </c>
      <c r="BA270" s="257">
        <v>0</v>
      </c>
      <c r="BB270" s="257">
        <v>0</v>
      </c>
      <c r="BC270" s="257">
        <v>0</v>
      </c>
      <c r="BD270" s="257">
        <v>0</v>
      </c>
      <c r="BE270" s="257" t="s">
        <v>94</v>
      </c>
      <c r="BF270" s="2" t="str" cm="1">
        <f t="array" ref="BF270">IF(COUNTIF(AZ270:BB270,"&lt;&gt;0")=1,INDEX($V$4:$AW$4,MATCH(TRUE,INDEX($V270:$AW270&lt;&gt;0,),0)),IF(COUNTIF(AZ270:BB270,"&lt;&gt;0")=0,INDEX($AM$4:$AW$4,MATCH(1,$AM270:$AW270,0)),"Multiple strategies"))</f>
        <v>SilvicultureProd</v>
      </c>
      <c r="BG270" s="280" t="s">
        <v>230</v>
      </c>
      <c r="BH270" s="257" t="s">
        <v>231</v>
      </c>
      <c r="BI270" s="281" t="s">
        <v>3073</v>
      </c>
      <c r="BJ270" s="278" t="s">
        <v>232</v>
      </c>
      <c r="BK270" s="257">
        <v>114.0804598</v>
      </c>
      <c r="BL270" s="257">
        <v>127.1903367</v>
      </c>
      <c r="BM270" s="278">
        <v>1.1149178125945807</v>
      </c>
      <c r="BN270" s="257">
        <v>13.109876900000003</v>
      </c>
      <c r="BO270" s="278">
        <v>26.754850816326538</v>
      </c>
      <c r="BP270" s="278" t="s">
        <v>233</v>
      </c>
      <c r="BQ270" s="314" t="s">
        <v>2627</v>
      </c>
      <c r="BR270" s="278" t="s">
        <v>234</v>
      </c>
      <c r="BS270" s="257">
        <v>-7.6632653060000004</v>
      </c>
      <c r="BT270" s="257">
        <v>-11.589751100000001</v>
      </c>
      <c r="BU270" s="259">
        <v>1.5123776402372151</v>
      </c>
      <c r="BV270" s="257">
        <v>-3.9264857940000004</v>
      </c>
      <c r="BW270" s="257"/>
      <c r="BX270" s="257">
        <v>-3.9264857940000007E-3</v>
      </c>
      <c r="BY270" s="257">
        <v>-1.4675790274277861E-4</v>
      </c>
      <c r="BZ270" s="257">
        <v>0</v>
      </c>
      <c r="CA270" s="257">
        <v>0</v>
      </c>
      <c r="CB270" s="257">
        <v>0</v>
      </c>
      <c r="CC270" s="257">
        <v>0</v>
      </c>
      <c r="CD270" s="257">
        <v>0</v>
      </c>
      <c r="CE270" s="257">
        <v>0</v>
      </c>
      <c r="CF270" s="257">
        <v>0</v>
      </c>
      <c r="CG270" s="257">
        <v>0</v>
      </c>
      <c r="CH270" s="257">
        <v>0</v>
      </c>
      <c r="CI270" s="257">
        <v>0</v>
      </c>
      <c r="CJ270" s="257">
        <v>0</v>
      </c>
      <c r="CK270" s="257">
        <v>0</v>
      </c>
      <c r="CL270" s="257">
        <v>0</v>
      </c>
      <c r="CM270" s="257">
        <v>0</v>
      </c>
      <c r="CN270" s="257" t="s">
        <v>3074</v>
      </c>
      <c r="CO270" s="257">
        <v>114.0804598</v>
      </c>
      <c r="CP270" s="257">
        <v>127.1903367</v>
      </c>
      <c r="CQ270" s="257">
        <v>26.754850816326538</v>
      </c>
      <c r="CR270" s="257">
        <v>-7.6632653060000004</v>
      </c>
      <c r="CS270" s="257">
        <v>-11.589751100000001</v>
      </c>
      <c r="CT270" s="257">
        <v>-3.9264857940000007E-3</v>
      </c>
      <c r="CU270" s="257">
        <v>-1.4675790274277861E-4</v>
      </c>
      <c r="CV270" s="258">
        <v>-0.5123776402372151</v>
      </c>
      <c r="CW270" s="256" t="s">
        <v>235</v>
      </c>
      <c r="CX270" s="257" t="s">
        <v>3075</v>
      </c>
      <c r="CY270" s="257" t="s">
        <v>236</v>
      </c>
      <c r="CZ270" s="257"/>
      <c r="DA270" s="278"/>
      <c r="DB270" s="278">
        <v>80</v>
      </c>
      <c r="DC270" s="257" t="s">
        <v>3076</v>
      </c>
      <c r="DD270" s="257">
        <v>0</v>
      </c>
      <c r="DE270" s="257">
        <v>1</v>
      </c>
      <c r="DF270" s="257">
        <v>0</v>
      </c>
      <c r="DG270" s="257">
        <v>0</v>
      </c>
      <c r="DH270" s="257"/>
      <c r="DI270" s="257">
        <v>1</v>
      </c>
      <c r="DJ270" s="257" t="s">
        <v>174</v>
      </c>
      <c r="DK270" s="257">
        <v>0</v>
      </c>
      <c r="DL270" s="257" t="s">
        <v>181</v>
      </c>
      <c r="DM270" s="257">
        <v>0</v>
      </c>
      <c r="DN270" s="257">
        <v>0</v>
      </c>
      <c r="DO270" s="257">
        <v>0</v>
      </c>
      <c r="DP270" s="278">
        <v>0</v>
      </c>
      <c r="DQ270" s="278">
        <v>0</v>
      </c>
      <c r="DR270" s="278">
        <v>0</v>
      </c>
      <c r="DS270" s="278">
        <v>0</v>
      </c>
      <c r="DT270" s="257">
        <v>0</v>
      </c>
      <c r="DU270" s="278" t="s">
        <v>964</v>
      </c>
      <c r="DV270" s="278">
        <v>1</v>
      </c>
      <c r="DW270" s="278">
        <v>1</v>
      </c>
      <c r="DX270" s="278">
        <v>1</v>
      </c>
      <c r="DY270" s="278">
        <v>0</v>
      </c>
      <c r="DZ270" s="257">
        <v>0</v>
      </c>
      <c r="EA270" s="278">
        <v>0</v>
      </c>
      <c r="EB270" s="278">
        <v>1</v>
      </c>
      <c r="EC270" s="278">
        <v>1</v>
      </c>
      <c r="ED270" s="278">
        <v>0</v>
      </c>
      <c r="EE270" s="278">
        <v>0</v>
      </c>
      <c r="EF270" s="257">
        <v>1</v>
      </c>
      <c r="EG270" s="278">
        <v>0</v>
      </c>
      <c r="EH270" s="257">
        <v>0</v>
      </c>
      <c r="EI270" s="258">
        <v>0</v>
      </c>
      <c r="EJ270" s="256"/>
      <c r="EK270" t="str">
        <f>IF(AND(AND(AND(OR($DX270=1,$DW270=1),OR($EC270=1,$EA270=1)),SUM($DV270:$DZ270,$EF270)&gt;=4),SUM($EA270:$EE270)&gt;=2),"Whole sector","")</f>
        <v>Whole sector</v>
      </c>
      <c r="EL270" t="str">
        <f>IF(AND(AND(OR($DX270=1,$DW270=1),AND($EC270=0,$EA270=0)),SUM($DV270:$DZ270,$EF270)&gt;=4),"Ecosystem approach","")</f>
        <v/>
      </c>
      <c r="EM270" s="258" t="s">
        <v>545</v>
      </c>
      <c r="EN270" s="257" t="s">
        <v>237</v>
      </c>
      <c r="EO270" s="257"/>
      <c r="EP270" t="str">
        <f>IF(ISNUMBER(BU270),IF(ABS(BU270-[3]QC_indicators!$B$2)&gt;3*[3]QC_indicators!$C$2,"C ratio",IF(ISNUMBER(BY270),IF(ABS(BY270-[3]QC_indicators!$B$1)&gt;3*[3]QC_indicators!$C$1,"DF","no"))),IF(ISNUMBER(BY270),IF(ABS(BY270-[3]QC_indicators!$B$1)&gt;3*[3]QC_indicators!$C$1,"DF","no")))</f>
        <v>no</v>
      </c>
      <c r="EQ270" s="282"/>
      <c r="ER270" s="282"/>
      <c r="ES270" s="282"/>
      <c r="ET270"/>
      <c r="EU270"/>
    </row>
    <row r="271" spans="1:151" s="139" customFormat="1" ht="15" hidden="1" customHeight="1">
      <c r="A271" s="256" t="s">
        <v>215</v>
      </c>
      <c r="B271" s="257" t="s">
        <v>216</v>
      </c>
      <c r="C271" s="257" t="s">
        <v>217</v>
      </c>
      <c r="D271" s="257" t="s">
        <v>218</v>
      </c>
      <c r="E271" s="257" t="s">
        <v>219</v>
      </c>
      <c r="F271" s="257" t="s">
        <v>220</v>
      </c>
      <c r="G271" s="257" t="s">
        <v>221</v>
      </c>
      <c r="H271" s="257"/>
      <c r="I271" s="257">
        <v>2012</v>
      </c>
      <c r="J271" s="257"/>
      <c r="K271" s="257" t="s">
        <v>222</v>
      </c>
      <c r="L271" s="257"/>
      <c r="M271" s="257" t="s">
        <v>3072</v>
      </c>
      <c r="N271" s="257" t="s">
        <v>223</v>
      </c>
      <c r="O271" s="277" t="s">
        <v>224</v>
      </c>
      <c r="P271" s="257"/>
      <c r="Q271" s="257" t="s">
        <v>225</v>
      </c>
      <c r="R271" s="258" t="s">
        <v>226</v>
      </c>
      <c r="S271" s="256" t="s">
        <v>242</v>
      </c>
      <c r="T271" s="257" t="s">
        <v>243</v>
      </c>
      <c r="U271" s="278" t="s">
        <v>244</v>
      </c>
      <c r="V271" s="257">
        <v>0</v>
      </c>
      <c r="W271" s="257">
        <v>0</v>
      </c>
      <c r="X271" s="257">
        <v>0</v>
      </c>
      <c r="Y271" s="257">
        <v>0</v>
      </c>
      <c r="Z271" s="257">
        <v>0</v>
      </c>
      <c r="AA271" s="257">
        <v>0</v>
      </c>
      <c r="AB271" s="257">
        <v>0</v>
      </c>
      <c r="AC271" s="257">
        <v>1</v>
      </c>
      <c r="AD271" s="257">
        <v>0</v>
      </c>
      <c r="AE271" s="257">
        <v>0</v>
      </c>
      <c r="AF271" s="257">
        <v>0</v>
      </c>
      <c r="AG271" s="257">
        <v>0</v>
      </c>
      <c r="AH271" s="257">
        <v>0</v>
      </c>
      <c r="AI271" s="257">
        <v>0</v>
      </c>
      <c r="AJ271" s="257">
        <v>0</v>
      </c>
      <c r="AK271" s="257">
        <v>0</v>
      </c>
      <c r="AL271" s="257">
        <v>0</v>
      </c>
      <c r="AM271" s="257">
        <v>0</v>
      </c>
      <c r="AN271" s="257">
        <v>0</v>
      </c>
      <c r="AO271" s="257">
        <v>0</v>
      </c>
      <c r="AP271" s="257">
        <v>0</v>
      </c>
      <c r="AQ271" s="257">
        <v>0</v>
      </c>
      <c r="AR271" s="257">
        <v>0</v>
      </c>
      <c r="AS271" s="257">
        <v>0</v>
      </c>
      <c r="AT271" s="257">
        <v>0</v>
      </c>
      <c r="AU271" s="257">
        <v>0</v>
      </c>
      <c r="AV271" s="257">
        <v>0</v>
      </c>
      <c r="AW271" s="257">
        <v>0</v>
      </c>
      <c r="AX271" s="279">
        <v>1</v>
      </c>
      <c r="AY271" s="279">
        <v>1</v>
      </c>
      <c r="AZ271" s="257">
        <v>1</v>
      </c>
      <c r="BA271" s="257">
        <v>0</v>
      </c>
      <c r="BB271" s="257">
        <v>0</v>
      </c>
      <c r="BC271" s="257">
        <v>0</v>
      </c>
      <c r="BD271" s="257">
        <v>0</v>
      </c>
      <c r="BE271" s="257" t="s">
        <v>96</v>
      </c>
      <c r="BF271" s="2" t="str" cm="1">
        <f t="array" ref="BF271">IF(COUNTIF(AZ271:BB271,"&lt;&gt;0")=1,INDEX($V$4:$AW$4,MATCH(TRUE,INDEX($V271:$AW271&lt;&gt;0,),0)),IF(COUNTIF(AZ271:BB271,"&lt;&gt;0")=0,INDEX($AM$4:$AW$4,MATCH(1,$AM271:$AW271,0)),"Multiple strategies"))</f>
        <v>SilvicultureProd</v>
      </c>
      <c r="BG271" s="280" t="s">
        <v>230</v>
      </c>
      <c r="BH271" s="257" t="s">
        <v>231</v>
      </c>
      <c r="BI271" s="281" t="s">
        <v>3073</v>
      </c>
      <c r="BJ271" s="278" t="s">
        <v>232</v>
      </c>
      <c r="BK271" s="257">
        <v>90.5390284179134</v>
      </c>
      <c r="BL271" s="257">
        <v>102.32650073206401</v>
      </c>
      <c r="BM271" s="278">
        <v>1.1301921670701121</v>
      </c>
      <c r="BN271" s="257">
        <v>11.787472314150605</v>
      </c>
      <c r="BO271" s="278">
        <v>24.056065947246132</v>
      </c>
      <c r="BP271" s="278" t="s">
        <v>233</v>
      </c>
      <c r="BQ271" s="284" t="s">
        <v>2627</v>
      </c>
      <c r="BR271" s="278" t="s">
        <v>234</v>
      </c>
      <c r="BS271" s="257">
        <v>-8.2073792916471504</v>
      </c>
      <c r="BT271" s="257">
        <v>-11.784382625671</v>
      </c>
      <c r="BU271" s="259">
        <v>1.4358277114918099</v>
      </c>
      <c r="BV271" s="257">
        <v>-3.5770033340238498</v>
      </c>
      <c r="BW271" s="257"/>
      <c r="BX271" s="257">
        <v>-3.5770033340238499E-3</v>
      </c>
      <c r="BY271" s="257">
        <v>-1.4869444330041566E-4</v>
      </c>
      <c r="BZ271" s="257">
        <v>0</v>
      </c>
      <c r="CA271" s="257">
        <v>0</v>
      </c>
      <c r="CB271" s="257">
        <v>0</v>
      </c>
      <c r="CC271" s="257">
        <v>0</v>
      </c>
      <c r="CD271" s="257">
        <v>0</v>
      </c>
      <c r="CE271" s="257">
        <v>0</v>
      </c>
      <c r="CF271" s="257">
        <v>0</v>
      </c>
      <c r="CG271" s="257">
        <v>0</v>
      </c>
      <c r="CH271" s="257">
        <v>0</v>
      </c>
      <c r="CI271" s="257">
        <v>0</v>
      </c>
      <c r="CJ271" s="257">
        <v>0</v>
      </c>
      <c r="CK271" s="257">
        <v>0</v>
      </c>
      <c r="CL271" s="257">
        <v>0</v>
      </c>
      <c r="CM271" s="257">
        <v>0</v>
      </c>
      <c r="CN271" s="257" t="s">
        <v>3074</v>
      </c>
      <c r="CO271" s="257">
        <v>90.5390284179134</v>
      </c>
      <c r="CP271" s="257">
        <v>102.32650073206401</v>
      </c>
      <c r="CQ271" s="257">
        <v>24.056065947246132</v>
      </c>
      <c r="CR271" s="257">
        <v>-8.2073792916471504</v>
      </c>
      <c r="CS271" s="257">
        <v>-11.784382625671</v>
      </c>
      <c r="CT271" s="257">
        <v>-3.5770033340238499E-3</v>
      </c>
      <c r="CU271" s="257">
        <v>-1.4869444330041566E-4</v>
      </c>
      <c r="CV271" s="258">
        <v>-0.43582771149180993</v>
      </c>
      <c r="CW271" s="256" t="s">
        <v>235</v>
      </c>
      <c r="CX271" s="257" t="s">
        <v>3075</v>
      </c>
      <c r="CY271" s="257" t="s">
        <v>236</v>
      </c>
      <c r="CZ271" s="257"/>
      <c r="DA271" s="278"/>
      <c r="DB271" s="278">
        <v>80</v>
      </c>
      <c r="DC271" s="257" t="s">
        <v>3076</v>
      </c>
      <c r="DD271" s="257">
        <v>0</v>
      </c>
      <c r="DE271" s="257">
        <v>1</v>
      </c>
      <c r="DF271" s="257">
        <v>0</v>
      </c>
      <c r="DG271" s="257">
        <v>0</v>
      </c>
      <c r="DH271" s="257"/>
      <c r="DI271" s="257">
        <v>1</v>
      </c>
      <c r="DJ271" s="257" t="s">
        <v>174</v>
      </c>
      <c r="DK271" s="257">
        <v>0</v>
      </c>
      <c r="DL271" s="257" t="s">
        <v>181</v>
      </c>
      <c r="DM271" s="257">
        <v>0</v>
      </c>
      <c r="DN271" s="257">
        <v>0</v>
      </c>
      <c r="DO271" s="257">
        <v>0</v>
      </c>
      <c r="DP271" s="278">
        <v>0</v>
      </c>
      <c r="DQ271" s="278">
        <v>0</v>
      </c>
      <c r="DR271" s="278">
        <v>0</v>
      </c>
      <c r="DS271" s="278">
        <v>0</v>
      </c>
      <c r="DT271" s="257">
        <v>0</v>
      </c>
      <c r="DU271" s="278" t="s">
        <v>964</v>
      </c>
      <c r="DV271" s="278">
        <v>1</v>
      </c>
      <c r="DW271" s="278">
        <v>1</v>
      </c>
      <c r="DX271" s="278">
        <v>1</v>
      </c>
      <c r="DY271" s="278">
        <v>0</v>
      </c>
      <c r="DZ271" s="257">
        <v>0</v>
      </c>
      <c r="EA271" s="278">
        <v>0</v>
      </c>
      <c r="EB271" s="278">
        <v>1</v>
      </c>
      <c r="EC271" s="278">
        <v>1</v>
      </c>
      <c r="ED271" s="278">
        <v>0</v>
      </c>
      <c r="EE271" s="278">
        <v>0</v>
      </c>
      <c r="EF271" s="257">
        <v>1</v>
      </c>
      <c r="EG271" s="278">
        <v>0</v>
      </c>
      <c r="EH271" s="257">
        <v>0</v>
      </c>
      <c r="EI271" s="258">
        <v>0</v>
      </c>
      <c r="EJ271" s="256"/>
      <c r="EK271" t="str">
        <f>IF(AND(AND(AND(OR($DX271=1,$DW271=1),OR($EC271=1,$EA271=1)),SUM($DV271:$DZ271,$EF271)&gt;=4),SUM($EA271:$EE271)&gt;=2),"Whole sector","")</f>
        <v>Whole sector</v>
      </c>
      <c r="EL271" t="str">
        <f>IF(AND(AND(OR($DX271=1,$DW271=1),AND($EC271=0,$EA271=0)),SUM($DV271:$DZ271,$EF271)&gt;=4),"Ecosystem approach","")</f>
        <v/>
      </c>
      <c r="EM271" s="258" t="s">
        <v>545</v>
      </c>
      <c r="EN271" s="257" t="s">
        <v>237</v>
      </c>
      <c r="EO271" s="257"/>
      <c r="EP271" t="str">
        <f>IF(ISNUMBER(BU271),IF(ABS(BU271-[3]QC_indicators!$B$2)&gt;3*[3]QC_indicators!$C$2,"C ratio",IF(ISNUMBER(BY271),IF(ABS(BY271-[3]QC_indicators!$B$1)&gt;3*[3]QC_indicators!$C$1,"DF","no"))),IF(ISNUMBER(BY271),IF(ABS(BY271-[3]QC_indicators!$B$1)&gt;3*[3]QC_indicators!$C$1,"DF","no")))</f>
        <v>no</v>
      </c>
      <c r="EQ271"/>
      <c r="ER271"/>
      <c r="ES271"/>
      <c r="ET271"/>
      <c r="EU271"/>
    </row>
    <row r="272" spans="1:151" s="139" customFormat="1" ht="15" hidden="1" customHeight="1">
      <c r="A272" s="256" t="s">
        <v>215</v>
      </c>
      <c r="B272" s="257" t="s">
        <v>216</v>
      </c>
      <c r="C272" s="257" t="s">
        <v>217</v>
      </c>
      <c r="D272" s="257" t="s">
        <v>218</v>
      </c>
      <c r="E272" s="257" t="s">
        <v>219</v>
      </c>
      <c r="F272" s="257" t="s">
        <v>220</v>
      </c>
      <c r="G272" s="257" t="s">
        <v>221</v>
      </c>
      <c r="H272" s="257"/>
      <c r="I272" s="257">
        <v>2012</v>
      </c>
      <c r="J272" s="257"/>
      <c r="K272" s="257" t="s">
        <v>222</v>
      </c>
      <c r="L272" s="257"/>
      <c r="M272" s="257" t="s">
        <v>3072</v>
      </c>
      <c r="N272" s="257" t="s">
        <v>223</v>
      </c>
      <c r="O272" s="277" t="s">
        <v>224</v>
      </c>
      <c r="P272" s="257"/>
      <c r="Q272" s="257" t="s">
        <v>225</v>
      </c>
      <c r="R272" s="258" t="s">
        <v>226</v>
      </c>
      <c r="S272" s="256" t="s">
        <v>241</v>
      </c>
      <c r="T272" s="257">
        <v>2000</v>
      </c>
      <c r="U272" s="257">
        <v>4000</v>
      </c>
      <c r="V272" s="257">
        <v>0</v>
      </c>
      <c r="W272" s="257">
        <v>0</v>
      </c>
      <c r="X272" s="257">
        <v>0</v>
      </c>
      <c r="Y272" s="257">
        <v>0</v>
      </c>
      <c r="Z272" s="257">
        <v>0</v>
      </c>
      <c r="AA272" s="257">
        <v>1</v>
      </c>
      <c r="AB272" s="257">
        <v>0</v>
      </c>
      <c r="AC272" s="257">
        <v>0</v>
      </c>
      <c r="AD272" s="257">
        <v>0</v>
      </c>
      <c r="AE272" s="257">
        <v>0</v>
      </c>
      <c r="AF272" s="257">
        <v>0</v>
      </c>
      <c r="AG272" s="257">
        <v>0</v>
      </c>
      <c r="AH272" s="257">
        <v>0</v>
      </c>
      <c r="AI272" s="257">
        <v>0</v>
      </c>
      <c r="AJ272" s="257">
        <v>0</v>
      </c>
      <c r="AK272" s="257">
        <v>0</v>
      </c>
      <c r="AL272" s="257">
        <v>0</v>
      </c>
      <c r="AM272" s="257">
        <v>0</v>
      </c>
      <c r="AN272" s="257">
        <v>0</v>
      </c>
      <c r="AO272" s="257">
        <v>0</v>
      </c>
      <c r="AP272" s="257">
        <v>0</v>
      </c>
      <c r="AQ272" s="257">
        <v>0</v>
      </c>
      <c r="AR272" s="257">
        <v>0</v>
      </c>
      <c r="AS272" s="257">
        <v>0</v>
      </c>
      <c r="AT272" s="257">
        <v>0</v>
      </c>
      <c r="AU272" s="257">
        <v>0</v>
      </c>
      <c r="AV272" s="257">
        <v>0</v>
      </c>
      <c r="AW272" s="257">
        <v>0</v>
      </c>
      <c r="AX272" s="279">
        <v>1</v>
      </c>
      <c r="AY272" s="279">
        <v>1</v>
      </c>
      <c r="AZ272" s="257">
        <v>1</v>
      </c>
      <c r="BA272" s="257">
        <v>0</v>
      </c>
      <c r="BB272" s="257">
        <v>0</v>
      </c>
      <c r="BC272" s="257">
        <v>0</v>
      </c>
      <c r="BD272" s="257">
        <v>0</v>
      </c>
      <c r="BE272" s="257" t="s">
        <v>94</v>
      </c>
      <c r="BF272" s="2" t="str" cm="1">
        <f t="array" ref="BF272">IF(COUNTIF(AZ272:BB272,"&lt;&gt;0")=1,INDEX($V$4:$AW$4,MATCH(TRUE,INDEX($V272:$AW272&lt;&gt;0,),0)),IF(COUNTIF(AZ272:BB272,"&lt;&gt;0")=0,INDEX($AM$4:$AW$4,MATCH(1,$AM272:$AW272,0)),"Multiple strategies"))</f>
        <v>SilvicultureProd</v>
      </c>
      <c r="BG272" s="280" t="s">
        <v>230</v>
      </c>
      <c r="BH272" s="257" t="s">
        <v>231</v>
      </c>
      <c r="BI272" s="281" t="s">
        <v>3073</v>
      </c>
      <c r="BJ272" s="278" t="s">
        <v>232</v>
      </c>
      <c r="BK272" s="257">
        <v>95.114942529999993</v>
      </c>
      <c r="BL272" s="257">
        <v>102.3265007</v>
      </c>
      <c r="BM272" s="278">
        <v>1.0758194031156085</v>
      </c>
      <c r="BN272" s="257">
        <v>7.2115581700000035</v>
      </c>
      <c r="BO272" s="278">
        <v>14.717465653061232</v>
      </c>
      <c r="BP272" s="278" t="s">
        <v>233</v>
      </c>
      <c r="BQ272" s="284" t="s">
        <v>2627</v>
      </c>
      <c r="BR272" s="278" t="s">
        <v>234</v>
      </c>
      <c r="BS272" s="257">
        <v>-7.8979591840000003</v>
      </c>
      <c r="BT272" s="257">
        <v>-11.78438263</v>
      </c>
      <c r="BU272" s="259">
        <v>1.4920794543827562</v>
      </c>
      <c r="BV272" s="257">
        <v>-3.8864234459999993</v>
      </c>
      <c r="BW272" s="257"/>
      <c r="BX272" s="257">
        <v>-3.8864234459999995E-3</v>
      </c>
      <c r="BY272" s="257">
        <v>-2.6406879673550478E-4</v>
      </c>
      <c r="BZ272" s="257">
        <v>0</v>
      </c>
      <c r="CA272" s="257">
        <v>0</v>
      </c>
      <c r="CB272" s="257">
        <v>0</v>
      </c>
      <c r="CC272" s="257">
        <v>0</v>
      </c>
      <c r="CD272" s="257">
        <v>0</v>
      </c>
      <c r="CE272" s="257">
        <v>0</v>
      </c>
      <c r="CF272" s="257">
        <v>0</v>
      </c>
      <c r="CG272" s="257">
        <v>0</v>
      </c>
      <c r="CH272" s="257">
        <v>0</v>
      </c>
      <c r="CI272" s="257">
        <v>0</v>
      </c>
      <c r="CJ272" s="257">
        <v>0</v>
      </c>
      <c r="CK272" s="257">
        <v>0</v>
      </c>
      <c r="CL272" s="257">
        <v>0</v>
      </c>
      <c r="CM272" s="257">
        <v>0</v>
      </c>
      <c r="CN272" s="257" t="s">
        <v>3074</v>
      </c>
      <c r="CO272" s="257">
        <v>95.114942529999993</v>
      </c>
      <c r="CP272" s="257">
        <v>102.3265007</v>
      </c>
      <c r="CQ272" s="257">
        <v>14.717465653061232</v>
      </c>
      <c r="CR272" s="257">
        <v>-7.8979591840000003</v>
      </c>
      <c r="CS272" s="257">
        <v>-11.78438263</v>
      </c>
      <c r="CT272" s="257">
        <v>-3.8864234459999995E-3</v>
      </c>
      <c r="CU272" s="257">
        <v>-2.6406879673550478E-4</v>
      </c>
      <c r="CV272" s="258">
        <v>-0.4920794543827563</v>
      </c>
      <c r="CW272" s="256" t="s">
        <v>235</v>
      </c>
      <c r="CX272" s="257" t="s">
        <v>3075</v>
      </c>
      <c r="CY272" s="257" t="s">
        <v>236</v>
      </c>
      <c r="CZ272" s="257"/>
      <c r="DA272" s="278"/>
      <c r="DB272" s="278">
        <v>80</v>
      </c>
      <c r="DC272" s="257" t="s">
        <v>3076</v>
      </c>
      <c r="DD272" s="257">
        <v>0</v>
      </c>
      <c r="DE272" s="257">
        <v>1</v>
      </c>
      <c r="DF272" s="257">
        <v>0</v>
      </c>
      <c r="DG272" s="257">
        <v>0</v>
      </c>
      <c r="DH272" s="257"/>
      <c r="DI272" s="257">
        <v>1</v>
      </c>
      <c r="DJ272" s="257" t="s">
        <v>174</v>
      </c>
      <c r="DK272" s="257">
        <v>0</v>
      </c>
      <c r="DL272" s="257" t="s">
        <v>181</v>
      </c>
      <c r="DM272" s="257">
        <v>0</v>
      </c>
      <c r="DN272" s="257">
        <v>0</v>
      </c>
      <c r="DO272" s="257">
        <v>0</v>
      </c>
      <c r="DP272" s="278">
        <v>0</v>
      </c>
      <c r="DQ272" s="278">
        <v>0</v>
      </c>
      <c r="DR272" s="278">
        <v>0</v>
      </c>
      <c r="DS272" s="278">
        <v>0</v>
      </c>
      <c r="DT272" s="257">
        <v>0</v>
      </c>
      <c r="DU272" s="278" t="s">
        <v>964</v>
      </c>
      <c r="DV272" s="278">
        <v>1</v>
      </c>
      <c r="DW272" s="278">
        <v>1</v>
      </c>
      <c r="DX272" s="278">
        <v>1</v>
      </c>
      <c r="DY272" s="278">
        <v>0</v>
      </c>
      <c r="DZ272" s="257">
        <v>0</v>
      </c>
      <c r="EA272" s="278">
        <v>0</v>
      </c>
      <c r="EB272" s="278">
        <v>1</v>
      </c>
      <c r="EC272" s="278">
        <v>1</v>
      </c>
      <c r="ED272" s="278">
        <v>0</v>
      </c>
      <c r="EE272" s="278">
        <v>0</v>
      </c>
      <c r="EF272" s="257">
        <v>1</v>
      </c>
      <c r="EG272" s="278">
        <v>0</v>
      </c>
      <c r="EH272" s="257">
        <v>0</v>
      </c>
      <c r="EI272" s="258">
        <v>0</v>
      </c>
      <c r="EJ272" s="256"/>
      <c r="EK272" t="str">
        <f>IF(AND(AND(AND(OR($DX272=1,$DW272=1),OR($EC272=1,$EA272=1)),SUM($DV272:$DZ272,$EF272)&gt;=4),SUM($EA272:$EE272)&gt;=2),"Whole sector","")</f>
        <v>Whole sector</v>
      </c>
      <c r="EL272" t="str">
        <f>IF(AND(AND(OR($DX272=1,$DW272=1),AND($EC272=0,$EA272=0)),SUM($DV272:$DZ272,$EF272)&gt;=4),"Ecosystem approach","")</f>
        <v/>
      </c>
      <c r="EM272" s="258" t="s">
        <v>545</v>
      </c>
      <c r="EN272" s="257" t="s">
        <v>237</v>
      </c>
      <c r="EO272" s="257"/>
      <c r="EP272" t="str">
        <f>IF(ISNUMBER(BU272),IF(ABS(BU272-[3]QC_indicators!$B$2)&gt;3*[3]QC_indicators!$C$2,"C ratio",IF(ISNUMBER(BY272),IF(ABS(BY272-[3]QC_indicators!$B$1)&gt;3*[3]QC_indicators!$C$1,"DF","no"))),IF(ISNUMBER(BY272),IF(ABS(BY272-[3]QC_indicators!$B$1)&gt;3*[3]QC_indicators!$C$1,"DF","no")))</f>
        <v>no</v>
      </c>
      <c r="EQ272" s="282"/>
      <c r="ER272" s="282"/>
      <c r="ES272" s="282"/>
      <c r="ET272"/>
      <c r="EU272"/>
    </row>
    <row r="273" spans="1:151" s="139" customFormat="1" ht="15" hidden="1" customHeight="1">
      <c r="A273" s="256" t="s">
        <v>215</v>
      </c>
      <c r="B273" s="257" t="s">
        <v>216</v>
      </c>
      <c r="C273" s="257" t="s">
        <v>217</v>
      </c>
      <c r="D273" s="257" t="s">
        <v>218</v>
      </c>
      <c r="E273" s="257" t="s">
        <v>219</v>
      </c>
      <c r="F273" s="257" t="s">
        <v>220</v>
      </c>
      <c r="G273" s="257" t="s">
        <v>221</v>
      </c>
      <c r="H273" s="257"/>
      <c r="I273" s="257">
        <v>2012</v>
      </c>
      <c r="J273" s="257"/>
      <c r="K273" s="257" t="s">
        <v>222</v>
      </c>
      <c r="L273" s="257"/>
      <c r="M273" s="257" t="s">
        <v>3072</v>
      </c>
      <c r="N273" s="257" t="s">
        <v>223</v>
      </c>
      <c r="O273" s="277" t="s">
        <v>224</v>
      </c>
      <c r="P273" s="257"/>
      <c r="Q273" s="257" t="s">
        <v>225</v>
      </c>
      <c r="R273" s="258" t="s">
        <v>226</v>
      </c>
      <c r="S273" s="256" t="s">
        <v>227</v>
      </c>
      <c r="T273" s="257" t="s">
        <v>229</v>
      </c>
      <c r="U273" s="257" t="s">
        <v>228</v>
      </c>
      <c r="V273" s="257">
        <v>0</v>
      </c>
      <c r="W273" s="257">
        <v>0</v>
      </c>
      <c r="X273" s="257">
        <v>0</v>
      </c>
      <c r="Y273" s="257">
        <v>1</v>
      </c>
      <c r="Z273" s="257">
        <v>0</v>
      </c>
      <c r="AA273" s="257">
        <v>0</v>
      </c>
      <c r="AB273" s="257">
        <v>0</v>
      </c>
      <c r="AC273" s="257">
        <v>0</v>
      </c>
      <c r="AD273" s="257">
        <v>0</v>
      </c>
      <c r="AE273" s="257">
        <v>0</v>
      </c>
      <c r="AF273" s="257">
        <v>0</v>
      </c>
      <c r="AG273" s="257">
        <v>0</v>
      </c>
      <c r="AH273" s="257">
        <v>0</v>
      </c>
      <c r="AI273" s="257">
        <v>0</v>
      </c>
      <c r="AJ273" s="257">
        <v>0</v>
      </c>
      <c r="AK273" s="257">
        <v>0</v>
      </c>
      <c r="AL273" s="257">
        <v>0</v>
      </c>
      <c r="AM273" s="257">
        <v>0</v>
      </c>
      <c r="AN273" s="257">
        <v>0</v>
      </c>
      <c r="AO273" s="257">
        <v>0</v>
      </c>
      <c r="AP273" s="257">
        <v>0</v>
      </c>
      <c r="AQ273" s="257">
        <v>0</v>
      </c>
      <c r="AR273" s="257">
        <v>0</v>
      </c>
      <c r="AS273" s="257">
        <v>0</v>
      </c>
      <c r="AT273" s="257">
        <v>0</v>
      </c>
      <c r="AU273" s="257">
        <v>0</v>
      </c>
      <c r="AV273" s="257">
        <v>0</v>
      </c>
      <c r="AW273" s="257">
        <v>0</v>
      </c>
      <c r="AX273" s="279">
        <v>1</v>
      </c>
      <c r="AY273" s="279">
        <v>1</v>
      </c>
      <c r="AZ273" s="257">
        <v>1</v>
      </c>
      <c r="BA273" s="257">
        <v>0</v>
      </c>
      <c r="BB273" s="257">
        <v>0</v>
      </c>
      <c r="BC273" s="257">
        <v>0</v>
      </c>
      <c r="BD273" s="257">
        <v>0</v>
      </c>
      <c r="BE273" s="257" t="s">
        <v>92</v>
      </c>
      <c r="BF273" s="2" t="str" cm="1">
        <f t="array" ref="BF273">IF(COUNTIF(AZ273:BB273,"&lt;&gt;0")=1,INDEX($V$4:$AW$4,MATCH(TRUE,INDEX($V273:$AW273&lt;&gt;0,),0)),IF(COUNTIF(AZ273:BB273,"&lt;&gt;0")=0,INDEX($AM$4:$AW$4,MATCH(1,$AM273:$AW273,0)),"Multiple strategies"))</f>
        <v>SilvicultureRemov</v>
      </c>
      <c r="BG273" s="280" t="s">
        <v>230</v>
      </c>
      <c r="BH273" s="257" t="s">
        <v>231</v>
      </c>
      <c r="BI273" s="281" t="s">
        <v>3073</v>
      </c>
      <c r="BJ273" s="278" t="s">
        <v>232</v>
      </c>
      <c r="BK273" s="257">
        <v>100.5900439</v>
      </c>
      <c r="BL273" s="257">
        <v>102.3265007</v>
      </c>
      <c r="BM273" s="278">
        <v>1.0172627104301324</v>
      </c>
      <c r="BN273" s="257">
        <v>1.7364567999999991</v>
      </c>
      <c r="BO273" s="278">
        <v>3.5437893877551003</v>
      </c>
      <c r="BP273" s="278" t="s">
        <v>233</v>
      </c>
      <c r="BQ273" s="284" t="s">
        <v>2627</v>
      </c>
      <c r="BR273" s="278" t="s">
        <v>234</v>
      </c>
      <c r="BS273" s="257">
        <v>-11.804099559999999</v>
      </c>
      <c r="BT273" s="257">
        <v>-11.78438263</v>
      </c>
      <c r="BU273" s="259">
        <v>0.99832965404097296</v>
      </c>
      <c r="BV273" s="257">
        <v>1.9716929999999522E-2</v>
      </c>
      <c r="BW273" s="257"/>
      <c r="BX273" s="257">
        <v>1.9716929999999522E-5</v>
      </c>
      <c r="BY273" s="257">
        <v>5.5637984774511927E-6</v>
      </c>
      <c r="BZ273" s="257">
        <v>0</v>
      </c>
      <c r="CA273" s="257">
        <v>0</v>
      </c>
      <c r="CB273" s="257">
        <v>0</v>
      </c>
      <c r="CC273" s="257">
        <v>0</v>
      </c>
      <c r="CD273" s="257">
        <v>0</v>
      </c>
      <c r="CE273" s="257">
        <v>0</v>
      </c>
      <c r="CF273" s="257">
        <v>0</v>
      </c>
      <c r="CG273" s="257">
        <v>0</v>
      </c>
      <c r="CH273" s="257">
        <v>0</v>
      </c>
      <c r="CI273" s="257">
        <v>0</v>
      </c>
      <c r="CJ273" s="257">
        <v>0</v>
      </c>
      <c r="CK273" s="257">
        <v>0</v>
      </c>
      <c r="CL273" s="257">
        <v>0</v>
      </c>
      <c r="CM273" s="257">
        <v>0</v>
      </c>
      <c r="CN273" s="257" t="s">
        <v>3074</v>
      </c>
      <c r="CO273" s="257">
        <v>100.5900439</v>
      </c>
      <c r="CP273" s="257">
        <v>102.3265007</v>
      </c>
      <c r="CQ273" s="257">
        <v>3.5437893877551003</v>
      </c>
      <c r="CR273" s="257">
        <v>-11.804099559999999</v>
      </c>
      <c r="CS273" s="257">
        <v>-11.78438263</v>
      </c>
      <c r="CT273" s="257">
        <v>1.9716929999999522E-5</v>
      </c>
      <c r="CU273" s="257">
        <v>5.5637984774511927E-6</v>
      </c>
      <c r="CV273" s="258">
        <v>1.6703459590270962E-3</v>
      </c>
      <c r="CW273" s="256" t="s">
        <v>235</v>
      </c>
      <c r="CX273" s="257" t="s">
        <v>3075</v>
      </c>
      <c r="CY273" s="257" t="s">
        <v>236</v>
      </c>
      <c r="CZ273" s="257"/>
      <c r="DA273" s="278"/>
      <c r="DB273" s="278">
        <v>80</v>
      </c>
      <c r="DC273" s="257" t="s">
        <v>3076</v>
      </c>
      <c r="DD273" s="257">
        <v>0</v>
      </c>
      <c r="DE273" s="257">
        <v>1</v>
      </c>
      <c r="DF273" s="257">
        <v>0</v>
      </c>
      <c r="DG273" s="257">
        <v>0</v>
      </c>
      <c r="DH273" s="257"/>
      <c r="DI273" s="257">
        <v>1</v>
      </c>
      <c r="DJ273" s="257" t="s">
        <v>174</v>
      </c>
      <c r="DK273" s="257">
        <v>0</v>
      </c>
      <c r="DL273" s="257" t="s">
        <v>181</v>
      </c>
      <c r="DM273" s="257">
        <v>0</v>
      </c>
      <c r="DN273" s="257">
        <v>0</v>
      </c>
      <c r="DO273" s="257">
        <v>0</v>
      </c>
      <c r="DP273" s="278">
        <v>0</v>
      </c>
      <c r="DQ273" s="278">
        <v>0</v>
      </c>
      <c r="DR273" s="278">
        <v>0</v>
      </c>
      <c r="DS273" s="278">
        <v>0</v>
      </c>
      <c r="DT273" s="257">
        <v>0</v>
      </c>
      <c r="DU273" s="278" t="s">
        <v>964</v>
      </c>
      <c r="DV273" s="278">
        <v>1</v>
      </c>
      <c r="DW273" s="278">
        <v>1</v>
      </c>
      <c r="DX273" s="278">
        <v>1</v>
      </c>
      <c r="DY273" s="278">
        <v>0</v>
      </c>
      <c r="DZ273" s="257">
        <v>0</v>
      </c>
      <c r="EA273" s="278">
        <v>0</v>
      </c>
      <c r="EB273" s="278">
        <v>1</v>
      </c>
      <c r="EC273" s="278">
        <v>1</v>
      </c>
      <c r="ED273" s="278">
        <v>0</v>
      </c>
      <c r="EE273" s="278">
        <v>0</v>
      </c>
      <c r="EF273" s="257">
        <v>1</v>
      </c>
      <c r="EG273" s="278">
        <v>0</v>
      </c>
      <c r="EH273" s="257">
        <v>0</v>
      </c>
      <c r="EI273" s="258">
        <v>0</v>
      </c>
      <c r="EJ273" s="256"/>
      <c r="EK273" t="str">
        <f>IF(AND(AND(AND(OR($DX273=1,$DW273=1),OR($EC273=1,$EA273=1)),SUM($DV273:$DZ273,$EF273)&gt;=4),SUM($EA273:$EE273)&gt;=2),"Whole sector","")</f>
        <v>Whole sector</v>
      </c>
      <c r="EL273" t="str">
        <f>IF(AND(AND(OR($DX273=1,$DW273=1),AND($EC273=0,$EA273=0)),SUM($DV273:$DZ273,$EF273)&gt;=4),"Ecosystem approach","")</f>
        <v/>
      </c>
      <c r="EM273" s="258" t="s">
        <v>545</v>
      </c>
      <c r="EN273" s="257" t="s">
        <v>237</v>
      </c>
      <c r="EO273" s="257"/>
      <c r="EP273" t="str">
        <f>IF(ISNUMBER(BU273),IF(ABS(BU273-[3]QC_indicators!$B$2)&gt;3*[3]QC_indicators!$C$2,"C ratio",IF(ISNUMBER(BY273),IF(ABS(BY273-[3]QC_indicators!$B$1)&gt;3*[3]QC_indicators!$C$1,"DF","no"))),IF(ISNUMBER(BY273),IF(ABS(BY273-[3]QC_indicators!$B$1)&gt;3*[3]QC_indicators!$C$1,"DF","no")))</f>
        <v>no</v>
      </c>
      <c r="EQ273" s="282"/>
      <c r="ER273" s="282"/>
      <c r="ES273" s="282"/>
      <c r="ET273"/>
      <c r="EU273"/>
    </row>
    <row r="274" spans="1:151" s="139" customFormat="1" ht="15" hidden="1" customHeight="1">
      <c r="A274" s="256" t="s">
        <v>215</v>
      </c>
      <c r="B274" s="257" t="s">
        <v>216</v>
      </c>
      <c r="C274" s="257" t="s">
        <v>217</v>
      </c>
      <c r="D274" s="257" t="s">
        <v>218</v>
      </c>
      <c r="E274" s="257" t="s">
        <v>219</v>
      </c>
      <c r="F274" s="257" t="s">
        <v>220</v>
      </c>
      <c r="G274" s="257" t="s">
        <v>221</v>
      </c>
      <c r="H274" s="257"/>
      <c r="I274" s="257">
        <v>2012</v>
      </c>
      <c r="J274" s="257"/>
      <c r="K274" s="257" t="s">
        <v>222</v>
      </c>
      <c r="L274" s="257"/>
      <c r="M274" s="257" t="s">
        <v>3072</v>
      </c>
      <c r="N274" s="257" t="s">
        <v>223</v>
      </c>
      <c r="O274" s="277" t="s">
        <v>224</v>
      </c>
      <c r="P274" s="257"/>
      <c r="Q274" s="257" t="s">
        <v>225</v>
      </c>
      <c r="R274" s="258" t="s">
        <v>226</v>
      </c>
      <c r="S274" s="256" t="s">
        <v>242</v>
      </c>
      <c r="T274" s="257" t="s">
        <v>243</v>
      </c>
      <c r="U274" s="278" t="s">
        <v>244</v>
      </c>
      <c r="V274" s="257">
        <v>0</v>
      </c>
      <c r="W274" s="257">
        <v>0</v>
      </c>
      <c r="X274" s="257">
        <v>0</v>
      </c>
      <c r="Y274" s="257">
        <v>0</v>
      </c>
      <c r="Z274" s="257">
        <v>0</v>
      </c>
      <c r="AA274" s="257">
        <v>0</v>
      </c>
      <c r="AB274" s="257">
        <v>0</v>
      </c>
      <c r="AC274" s="257">
        <v>1</v>
      </c>
      <c r="AD274" s="257">
        <v>0</v>
      </c>
      <c r="AE274" s="257">
        <v>0</v>
      </c>
      <c r="AF274" s="257">
        <v>0</v>
      </c>
      <c r="AG274" s="257">
        <v>0</v>
      </c>
      <c r="AH274" s="257">
        <v>0</v>
      </c>
      <c r="AI274" s="257">
        <v>0</v>
      </c>
      <c r="AJ274" s="257">
        <v>0</v>
      </c>
      <c r="AK274" s="257">
        <v>0</v>
      </c>
      <c r="AL274" s="257">
        <v>0</v>
      </c>
      <c r="AM274" s="257">
        <v>0</v>
      </c>
      <c r="AN274" s="257">
        <v>0</v>
      </c>
      <c r="AO274" s="257">
        <v>0</v>
      </c>
      <c r="AP274" s="257">
        <v>0</v>
      </c>
      <c r="AQ274" s="257">
        <v>0</v>
      </c>
      <c r="AR274" s="257">
        <v>0</v>
      </c>
      <c r="AS274" s="257">
        <v>0</v>
      </c>
      <c r="AT274" s="257">
        <v>0</v>
      </c>
      <c r="AU274" s="257">
        <v>0</v>
      </c>
      <c r="AV274" s="257">
        <v>0</v>
      </c>
      <c r="AW274" s="257">
        <v>0</v>
      </c>
      <c r="AX274" s="279">
        <v>1</v>
      </c>
      <c r="AY274" s="279">
        <v>1</v>
      </c>
      <c r="AZ274" s="257">
        <v>1</v>
      </c>
      <c r="BA274" s="257">
        <v>0</v>
      </c>
      <c r="BB274" s="257">
        <v>0</v>
      </c>
      <c r="BC274" s="257">
        <v>0</v>
      </c>
      <c r="BD274" s="257">
        <v>0</v>
      </c>
      <c r="BE274" s="257" t="s">
        <v>96</v>
      </c>
      <c r="BF274" s="2" t="str" cm="1">
        <f t="array" ref="BF274">IF(COUNTIF(AZ274:BB274,"&lt;&gt;0")=1,INDEX($V$4:$AW$4,MATCH(TRUE,INDEX($V274:$AW274&lt;&gt;0,),0)),IF(COUNTIF(AZ274:BB274,"&lt;&gt;0")=0,INDEX($AM$4:$AW$4,MATCH(1,$AM274:$AW274,0)),"Multiple strategies"))</f>
        <v>SilvicultureProd</v>
      </c>
      <c r="BG274" s="280" t="s">
        <v>230</v>
      </c>
      <c r="BH274" s="257" t="s">
        <v>231</v>
      </c>
      <c r="BI274" s="281" t="s">
        <v>3073</v>
      </c>
      <c r="BJ274" s="278" t="s">
        <v>232</v>
      </c>
      <c r="BK274" s="257">
        <v>98.063244029280497</v>
      </c>
      <c r="BL274" s="257">
        <v>100.590043923865</v>
      </c>
      <c r="BM274" s="278">
        <v>1.0257670437032456</v>
      </c>
      <c r="BN274" s="257">
        <v>2.5267998945844994</v>
      </c>
      <c r="BO274" s="278">
        <v>5.1567344787438767</v>
      </c>
      <c r="BP274" s="278" t="s">
        <v>233</v>
      </c>
      <c r="BQ274" s="284" t="s">
        <v>2627</v>
      </c>
      <c r="BR274" s="278" t="s">
        <v>234</v>
      </c>
      <c r="BS274" s="257">
        <v>-8.1244670100805898</v>
      </c>
      <c r="BT274" s="257">
        <v>-11.8040995607613</v>
      </c>
      <c r="BU274" s="259">
        <v>1.4529075625656593</v>
      </c>
      <c r="BV274" s="257">
        <v>-3.6796325506807097</v>
      </c>
      <c r="BW274" s="257"/>
      <c r="BX274" s="257">
        <v>-3.6796325506807098E-3</v>
      </c>
      <c r="BY274" s="257">
        <v>-7.1355866117369445E-4</v>
      </c>
      <c r="BZ274" s="257">
        <v>0</v>
      </c>
      <c r="CA274" s="257">
        <v>0</v>
      </c>
      <c r="CB274" s="257">
        <v>0</v>
      </c>
      <c r="CC274" s="257">
        <v>0</v>
      </c>
      <c r="CD274" s="257">
        <v>0</v>
      </c>
      <c r="CE274" s="257">
        <v>0</v>
      </c>
      <c r="CF274" s="257">
        <v>0</v>
      </c>
      <c r="CG274" s="257">
        <v>0</v>
      </c>
      <c r="CH274" s="257">
        <v>0</v>
      </c>
      <c r="CI274" s="257">
        <v>0</v>
      </c>
      <c r="CJ274" s="257">
        <v>0</v>
      </c>
      <c r="CK274" s="257">
        <v>0</v>
      </c>
      <c r="CL274" s="257">
        <v>0</v>
      </c>
      <c r="CM274" s="257">
        <v>0</v>
      </c>
      <c r="CN274" s="257" t="s">
        <v>3074</v>
      </c>
      <c r="CO274" s="257">
        <v>98.063244029280497</v>
      </c>
      <c r="CP274" s="257">
        <v>100.590043923865</v>
      </c>
      <c r="CQ274" s="257">
        <v>5.1567344787438767</v>
      </c>
      <c r="CR274" s="257">
        <v>-8.1244670100805898</v>
      </c>
      <c r="CS274" s="257">
        <v>-11.8040995607613</v>
      </c>
      <c r="CT274" s="257">
        <v>-3.6796325506807098E-3</v>
      </c>
      <c r="CU274" s="257">
        <v>-7.1355866117369445E-4</v>
      </c>
      <c r="CV274" s="258">
        <v>-0.45290756256565928</v>
      </c>
      <c r="CW274" s="256" t="s">
        <v>235</v>
      </c>
      <c r="CX274" s="257" t="s">
        <v>3075</v>
      </c>
      <c r="CY274" s="257" t="s">
        <v>236</v>
      </c>
      <c r="CZ274" s="257"/>
      <c r="DA274" s="278"/>
      <c r="DB274" s="278">
        <v>80</v>
      </c>
      <c r="DC274" s="257" t="s">
        <v>3076</v>
      </c>
      <c r="DD274" s="257">
        <v>0</v>
      </c>
      <c r="DE274" s="257">
        <v>1</v>
      </c>
      <c r="DF274" s="257">
        <v>0</v>
      </c>
      <c r="DG274" s="257">
        <v>0</v>
      </c>
      <c r="DH274" s="257"/>
      <c r="DI274" s="257">
        <v>1</v>
      </c>
      <c r="DJ274" s="257" t="s">
        <v>174</v>
      </c>
      <c r="DK274" s="257">
        <v>0</v>
      </c>
      <c r="DL274" s="257" t="s">
        <v>181</v>
      </c>
      <c r="DM274" s="257">
        <v>0</v>
      </c>
      <c r="DN274" s="257">
        <v>0</v>
      </c>
      <c r="DO274" s="257">
        <v>0</v>
      </c>
      <c r="DP274" s="278">
        <v>0</v>
      </c>
      <c r="DQ274" s="278">
        <v>0</v>
      </c>
      <c r="DR274" s="278">
        <v>0</v>
      </c>
      <c r="DS274" s="278">
        <v>0</v>
      </c>
      <c r="DT274" s="257">
        <v>0</v>
      </c>
      <c r="DU274" s="278" t="s">
        <v>964</v>
      </c>
      <c r="DV274" s="278">
        <v>1</v>
      </c>
      <c r="DW274" s="278">
        <v>1</v>
      </c>
      <c r="DX274" s="278">
        <v>1</v>
      </c>
      <c r="DY274" s="278">
        <v>0</v>
      </c>
      <c r="DZ274" s="257">
        <v>0</v>
      </c>
      <c r="EA274" s="278">
        <v>0</v>
      </c>
      <c r="EB274" s="278">
        <v>1</v>
      </c>
      <c r="EC274" s="278">
        <v>1</v>
      </c>
      <c r="ED274" s="278">
        <v>0</v>
      </c>
      <c r="EE274" s="278">
        <v>0</v>
      </c>
      <c r="EF274" s="257">
        <v>1</v>
      </c>
      <c r="EG274" s="278">
        <v>0</v>
      </c>
      <c r="EH274" s="257">
        <v>0</v>
      </c>
      <c r="EI274" s="258">
        <v>0</v>
      </c>
      <c r="EJ274" s="256"/>
      <c r="EK274" t="str">
        <f>IF(AND(AND(AND(OR($DX274=1,$DW274=1),OR($EC274=1,$EA274=1)),SUM($DV274:$DZ274,$EF274)&gt;=4),SUM($EA274:$EE274)&gt;=2),"Whole sector","")</f>
        <v>Whole sector</v>
      </c>
      <c r="EL274" t="str">
        <f>IF(AND(AND(OR($DX274=1,$DW274=1),AND($EC274=0,$EA274=0)),SUM($DV274:$DZ274,$EF274)&gt;=4),"Ecosystem approach","")</f>
        <v/>
      </c>
      <c r="EM274" s="258" t="s">
        <v>545</v>
      </c>
      <c r="EN274" s="257" t="s">
        <v>237</v>
      </c>
      <c r="EO274" s="257"/>
      <c r="EP274" t="str">
        <f>IF(ISNUMBER(BU274),IF(ABS(BU274-[3]QC_indicators!$B$2)&gt;3*[3]QC_indicators!$C$2,"C ratio",IF(ISNUMBER(BY274),IF(ABS(BY274-[3]QC_indicators!$B$1)&gt;3*[3]QC_indicators!$C$1,"DF","no"))),IF(ISNUMBER(BY274),IF(ABS(BY274-[3]QC_indicators!$B$1)&gt;3*[3]QC_indicators!$C$1,"DF","no")))</f>
        <v>no</v>
      </c>
      <c r="EQ274"/>
      <c r="ER274"/>
      <c r="ES274"/>
      <c r="ET274"/>
      <c r="EU274"/>
    </row>
    <row r="275" spans="1:151" s="139" customFormat="1" ht="15" hidden="1" customHeight="1">
      <c r="A275" s="256" t="s">
        <v>215</v>
      </c>
      <c r="B275" s="257" t="s">
        <v>216</v>
      </c>
      <c r="C275" s="257" t="s">
        <v>217</v>
      </c>
      <c r="D275" s="257" t="s">
        <v>218</v>
      </c>
      <c r="E275" s="257" t="s">
        <v>219</v>
      </c>
      <c r="F275" s="257" t="s">
        <v>220</v>
      </c>
      <c r="G275" s="257" t="s">
        <v>221</v>
      </c>
      <c r="H275" s="257"/>
      <c r="I275" s="257">
        <v>2012</v>
      </c>
      <c r="J275" s="257"/>
      <c r="K275" s="257" t="s">
        <v>222</v>
      </c>
      <c r="L275" s="257"/>
      <c r="M275" s="257" t="s">
        <v>3072</v>
      </c>
      <c r="N275" s="257" t="s">
        <v>223</v>
      </c>
      <c r="O275" s="277" t="s">
        <v>224</v>
      </c>
      <c r="P275" s="257"/>
      <c r="Q275" s="257" t="s">
        <v>225</v>
      </c>
      <c r="R275" s="258" t="s">
        <v>226</v>
      </c>
      <c r="S275" s="256" t="s">
        <v>227</v>
      </c>
      <c r="T275" s="257" t="s">
        <v>229</v>
      </c>
      <c r="U275" s="257" t="s">
        <v>240</v>
      </c>
      <c r="V275" s="257">
        <v>0</v>
      </c>
      <c r="W275" s="257">
        <v>0</v>
      </c>
      <c r="X275" s="257">
        <v>0</v>
      </c>
      <c r="Y275" s="257">
        <v>1</v>
      </c>
      <c r="Z275" s="257">
        <v>0</v>
      </c>
      <c r="AA275" s="257">
        <v>0</v>
      </c>
      <c r="AB275" s="257">
        <v>0</v>
      </c>
      <c r="AC275" s="257">
        <v>0</v>
      </c>
      <c r="AD275" s="257">
        <v>0</v>
      </c>
      <c r="AE275" s="257">
        <v>0</v>
      </c>
      <c r="AF275" s="257">
        <v>0</v>
      </c>
      <c r="AG275" s="257">
        <v>0</v>
      </c>
      <c r="AH275" s="257">
        <v>0</v>
      </c>
      <c r="AI275" s="257">
        <v>0</v>
      </c>
      <c r="AJ275" s="257">
        <v>0</v>
      </c>
      <c r="AK275" s="257">
        <v>0</v>
      </c>
      <c r="AL275" s="257">
        <v>0</v>
      </c>
      <c r="AM275" s="257">
        <v>0</v>
      </c>
      <c r="AN275" s="257">
        <v>0</v>
      </c>
      <c r="AO275" s="257">
        <v>0</v>
      </c>
      <c r="AP275" s="257">
        <v>0</v>
      </c>
      <c r="AQ275" s="257">
        <v>0</v>
      </c>
      <c r="AR275" s="257">
        <v>0</v>
      </c>
      <c r="AS275" s="257">
        <v>0</v>
      </c>
      <c r="AT275" s="257">
        <v>0</v>
      </c>
      <c r="AU275" s="257">
        <v>0</v>
      </c>
      <c r="AV275" s="257">
        <v>0</v>
      </c>
      <c r="AW275" s="257">
        <v>0</v>
      </c>
      <c r="AX275" s="279">
        <v>1</v>
      </c>
      <c r="AY275" s="279">
        <v>1</v>
      </c>
      <c r="AZ275" s="257">
        <v>1</v>
      </c>
      <c r="BA275" s="257">
        <v>0</v>
      </c>
      <c r="BB275" s="257">
        <v>0</v>
      </c>
      <c r="BC275" s="257">
        <v>0</v>
      </c>
      <c r="BD275" s="257">
        <v>0</v>
      </c>
      <c r="BE275" s="257" t="s">
        <v>92</v>
      </c>
      <c r="BF275" s="2" t="str" cm="1">
        <f t="array" ref="BF275">IF(COUNTIF(AZ275:BB275,"&lt;&gt;0")=1,INDEX($V$4:$AW$4,MATCH(TRUE,INDEX($V275:$AW275&lt;&gt;0,),0)),IF(COUNTIF(AZ275:BB275,"&lt;&gt;0")=0,INDEX($AM$4:$AW$4,MATCH(1,$AM275:$AW275,0)),"Multiple strategies"))</f>
        <v>SilvicultureRemov</v>
      </c>
      <c r="BG275" s="280" t="s">
        <v>230</v>
      </c>
      <c r="BH275" s="257" t="s">
        <v>231</v>
      </c>
      <c r="BI275" s="281" t="s">
        <v>3073</v>
      </c>
      <c r="BJ275" s="278" t="s">
        <v>232</v>
      </c>
      <c r="BK275" s="257">
        <v>81.736456810000007</v>
      </c>
      <c r="BL275" s="257">
        <v>100.5900439</v>
      </c>
      <c r="BM275" s="278">
        <v>0.81257004809797095</v>
      </c>
      <c r="BN275" s="257">
        <v>18.853587089999991</v>
      </c>
      <c r="BO275" s="278">
        <v>38.476708346938757</v>
      </c>
      <c r="BP275" s="278" t="s">
        <v>233</v>
      </c>
      <c r="BQ275" s="284" t="s">
        <v>2627</v>
      </c>
      <c r="BR275" s="278" t="s">
        <v>234</v>
      </c>
      <c r="BS275" s="257">
        <v>-12.163201559999999</v>
      </c>
      <c r="BT275" s="257">
        <v>-11.804099559999999</v>
      </c>
      <c r="BU275" s="259">
        <v>0.9704763586931795</v>
      </c>
      <c r="BV275" s="257">
        <v>0.35910200000000003</v>
      </c>
      <c r="BW275" s="257"/>
      <c r="BX275" s="257">
        <v>3.5910200000000003E-4</v>
      </c>
      <c r="BY275" s="257">
        <v>9.3329709174192014E-6</v>
      </c>
      <c r="BZ275" s="257">
        <v>0</v>
      </c>
      <c r="CA275" s="257">
        <v>0</v>
      </c>
      <c r="CB275" s="257">
        <v>0</v>
      </c>
      <c r="CC275" s="257">
        <v>0</v>
      </c>
      <c r="CD275" s="257">
        <v>0</v>
      </c>
      <c r="CE275" s="257">
        <v>0</v>
      </c>
      <c r="CF275" s="257">
        <v>0</v>
      </c>
      <c r="CG275" s="257">
        <v>0</v>
      </c>
      <c r="CH275" s="257">
        <v>0</v>
      </c>
      <c r="CI275" s="257">
        <v>0</v>
      </c>
      <c r="CJ275" s="257">
        <v>0</v>
      </c>
      <c r="CK275" s="257">
        <v>0</v>
      </c>
      <c r="CL275" s="257">
        <v>0</v>
      </c>
      <c r="CM275" s="257">
        <v>0</v>
      </c>
      <c r="CN275" s="257" t="s">
        <v>3074</v>
      </c>
      <c r="CO275" s="257">
        <v>81.736456810000007</v>
      </c>
      <c r="CP275" s="257">
        <v>100.5900439</v>
      </c>
      <c r="CQ275" s="257">
        <v>38.476708346938757</v>
      </c>
      <c r="CR275" s="257">
        <v>-12.163201559999999</v>
      </c>
      <c r="CS275" s="257">
        <v>-11.804099559999999</v>
      </c>
      <c r="CT275" s="257">
        <v>3.5910200000000003E-4</v>
      </c>
      <c r="CU275" s="257">
        <v>9.3329709174192014E-6</v>
      </c>
      <c r="CV275" s="258">
        <v>2.9523641306820541E-2</v>
      </c>
      <c r="CW275" s="256" t="s">
        <v>235</v>
      </c>
      <c r="CX275" s="257" t="s">
        <v>3075</v>
      </c>
      <c r="CY275" s="257" t="s">
        <v>236</v>
      </c>
      <c r="CZ275" s="257"/>
      <c r="DA275" s="278"/>
      <c r="DB275" s="278">
        <v>80</v>
      </c>
      <c r="DC275" s="257" t="s">
        <v>3076</v>
      </c>
      <c r="DD275" s="257">
        <v>0</v>
      </c>
      <c r="DE275" s="257">
        <v>1</v>
      </c>
      <c r="DF275" s="257">
        <v>0</v>
      </c>
      <c r="DG275" s="257">
        <v>0</v>
      </c>
      <c r="DH275" s="257"/>
      <c r="DI275" s="257">
        <v>1</v>
      </c>
      <c r="DJ275" s="257" t="s">
        <v>174</v>
      </c>
      <c r="DK275" s="257">
        <v>0</v>
      </c>
      <c r="DL275" s="257" t="s">
        <v>181</v>
      </c>
      <c r="DM275" s="257">
        <v>0</v>
      </c>
      <c r="DN275" s="257">
        <v>0</v>
      </c>
      <c r="DO275" s="257">
        <v>0</v>
      </c>
      <c r="DP275" s="278">
        <v>0</v>
      </c>
      <c r="DQ275" s="278">
        <v>0</v>
      </c>
      <c r="DR275" s="278">
        <v>0</v>
      </c>
      <c r="DS275" s="278">
        <v>0</v>
      </c>
      <c r="DT275" s="257">
        <v>0</v>
      </c>
      <c r="DU275" s="278" t="s">
        <v>964</v>
      </c>
      <c r="DV275" s="278">
        <v>1</v>
      </c>
      <c r="DW275" s="278">
        <v>1</v>
      </c>
      <c r="DX275" s="278">
        <v>1</v>
      </c>
      <c r="DY275" s="278">
        <v>0</v>
      </c>
      <c r="DZ275" s="257">
        <v>0</v>
      </c>
      <c r="EA275" s="278">
        <v>0</v>
      </c>
      <c r="EB275" s="278">
        <v>1</v>
      </c>
      <c r="EC275" s="278">
        <v>1</v>
      </c>
      <c r="ED275" s="278">
        <v>0</v>
      </c>
      <c r="EE275" s="278">
        <v>0</v>
      </c>
      <c r="EF275" s="257">
        <v>1</v>
      </c>
      <c r="EG275" s="278">
        <v>0</v>
      </c>
      <c r="EH275" s="257">
        <v>0</v>
      </c>
      <c r="EI275" s="258">
        <v>0</v>
      </c>
      <c r="EJ275" s="256"/>
      <c r="EK275" t="str">
        <f>IF(AND(AND(AND(OR($DX275=1,$DW275=1),OR($EC275=1,$EA275=1)),SUM($DV275:$DZ275,$EF275)&gt;=4),SUM($EA275:$EE275)&gt;=2),"Whole sector","")</f>
        <v>Whole sector</v>
      </c>
      <c r="EL275" t="str">
        <f>IF(AND(AND(OR($DX275=1,$DW275=1),AND($EC275=0,$EA275=0)),SUM($DV275:$DZ275,$EF275)&gt;=4),"Ecosystem approach","")</f>
        <v/>
      </c>
      <c r="EM275" s="258" t="s">
        <v>545</v>
      </c>
      <c r="EN275" s="257" t="s">
        <v>237</v>
      </c>
      <c r="EO275" s="257"/>
      <c r="EP275" t="str">
        <f>IF(ISNUMBER(BU275),IF(ABS(BU275-[3]QC_indicators!$B$2)&gt;3*[3]QC_indicators!$C$2,"C ratio",IF(ISNUMBER(BY275),IF(ABS(BY275-[3]QC_indicators!$B$1)&gt;3*[3]QC_indicators!$C$1,"DF","no"))),IF(ISNUMBER(BY275),IF(ABS(BY275-[3]QC_indicators!$B$1)&gt;3*[3]QC_indicators!$C$1,"DF","no")))</f>
        <v>no</v>
      </c>
      <c r="EQ275" s="282"/>
      <c r="ER275" s="282"/>
      <c r="ES275" s="282"/>
      <c r="ET275"/>
      <c r="EU275"/>
    </row>
    <row r="276" spans="1:151" s="139" customFormat="1" ht="15" hidden="1" customHeight="1">
      <c r="A276" s="256" t="s">
        <v>215</v>
      </c>
      <c r="B276" s="257" t="s">
        <v>216</v>
      </c>
      <c r="C276" s="257" t="s">
        <v>217</v>
      </c>
      <c r="D276" s="257" t="s">
        <v>218</v>
      </c>
      <c r="E276" s="257" t="s">
        <v>219</v>
      </c>
      <c r="F276" s="257" t="s">
        <v>220</v>
      </c>
      <c r="G276" s="257" t="s">
        <v>221</v>
      </c>
      <c r="H276" s="257"/>
      <c r="I276" s="257">
        <v>2012</v>
      </c>
      <c r="J276" s="257"/>
      <c r="K276" s="257" t="s">
        <v>222</v>
      </c>
      <c r="L276" s="257"/>
      <c r="M276" s="257" t="s">
        <v>3072</v>
      </c>
      <c r="N276" s="257" t="s">
        <v>223</v>
      </c>
      <c r="O276" s="277" t="s">
        <v>224</v>
      </c>
      <c r="P276" s="257"/>
      <c r="Q276" s="257" t="s">
        <v>225</v>
      </c>
      <c r="R276" s="258" t="s">
        <v>226</v>
      </c>
      <c r="S276" s="256" t="s">
        <v>227</v>
      </c>
      <c r="T276" s="257" t="s">
        <v>229</v>
      </c>
      <c r="U276" s="257" t="s">
        <v>239</v>
      </c>
      <c r="V276" s="257">
        <v>0</v>
      </c>
      <c r="W276" s="257">
        <v>0</v>
      </c>
      <c r="X276" s="257">
        <v>0</v>
      </c>
      <c r="Y276" s="257">
        <v>1</v>
      </c>
      <c r="Z276" s="257">
        <v>0</v>
      </c>
      <c r="AA276" s="257">
        <v>0</v>
      </c>
      <c r="AB276" s="257">
        <v>0</v>
      </c>
      <c r="AC276" s="257">
        <v>0</v>
      </c>
      <c r="AD276" s="257">
        <v>0</v>
      </c>
      <c r="AE276" s="257">
        <v>0</v>
      </c>
      <c r="AF276" s="257">
        <v>0</v>
      </c>
      <c r="AG276" s="257">
        <v>0</v>
      </c>
      <c r="AH276" s="257">
        <v>0</v>
      </c>
      <c r="AI276" s="257">
        <v>0</v>
      </c>
      <c r="AJ276" s="257">
        <v>0</v>
      </c>
      <c r="AK276" s="257">
        <v>0</v>
      </c>
      <c r="AL276" s="257">
        <v>0</v>
      </c>
      <c r="AM276" s="257">
        <v>0</v>
      </c>
      <c r="AN276" s="257">
        <v>0</v>
      </c>
      <c r="AO276" s="257">
        <v>0</v>
      </c>
      <c r="AP276" s="257">
        <v>0</v>
      </c>
      <c r="AQ276" s="257">
        <v>0</v>
      </c>
      <c r="AR276" s="257">
        <v>0</v>
      </c>
      <c r="AS276" s="257">
        <v>0</v>
      </c>
      <c r="AT276" s="257">
        <v>0</v>
      </c>
      <c r="AU276" s="257">
        <v>0</v>
      </c>
      <c r="AV276" s="257">
        <v>0</v>
      </c>
      <c r="AW276" s="257">
        <v>0</v>
      </c>
      <c r="AX276" s="279">
        <v>1</v>
      </c>
      <c r="AY276" s="279">
        <v>1</v>
      </c>
      <c r="AZ276" s="257">
        <v>1</v>
      </c>
      <c r="BA276" s="257">
        <v>0</v>
      </c>
      <c r="BB276" s="257">
        <v>0</v>
      </c>
      <c r="BC276" s="257">
        <v>0</v>
      </c>
      <c r="BD276" s="257">
        <v>0</v>
      </c>
      <c r="BE276" s="257" t="s">
        <v>92</v>
      </c>
      <c r="BF276" s="2" t="str" cm="1">
        <f t="array" ref="BF276">IF(COUNTIF(AZ276:BB276,"&lt;&gt;0")=1,INDEX($V$4:$AW$4,MATCH(TRUE,INDEX($V276:$AW276&lt;&gt;0,),0)),IF(COUNTIF(AZ276:BB276,"&lt;&gt;0")=0,INDEX($AM$4:$AW$4,MATCH(1,$AM276:$AW276,0)),"Multiple strategies"))</f>
        <v>SilvicultureRemov</v>
      </c>
      <c r="BG276" s="280" t="s">
        <v>230</v>
      </c>
      <c r="BH276" s="257" t="s">
        <v>231</v>
      </c>
      <c r="BI276" s="281" t="s">
        <v>3073</v>
      </c>
      <c r="BJ276" s="278" t="s">
        <v>232</v>
      </c>
      <c r="BK276" s="257">
        <v>82.922401170000001</v>
      </c>
      <c r="BL276" s="257">
        <v>100.5900439</v>
      </c>
      <c r="BM276" s="278">
        <v>0.82435992624116949</v>
      </c>
      <c r="BN276" s="257">
        <v>17.667642729999997</v>
      </c>
      <c r="BO276" s="278">
        <v>36.056413734693869</v>
      </c>
      <c r="BP276" s="278" t="s">
        <v>233</v>
      </c>
      <c r="BQ276" s="284" t="s">
        <v>2627</v>
      </c>
      <c r="BR276" s="278" t="s">
        <v>234</v>
      </c>
      <c r="BS276" s="257">
        <v>-12.051927770000001</v>
      </c>
      <c r="BT276" s="257">
        <v>-11.804099559999999</v>
      </c>
      <c r="BU276" s="259">
        <v>0.97943663331463848</v>
      </c>
      <c r="BV276" s="257">
        <v>0.24782821000000155</v>
      </c>
      <c r="BW276" s="257"/>
      <c r="BX276" s="257">
        <v>2.4782821000000156E-4</v>
      </c>
      <c r="BY276" s="257">
        <v>6.8733460799385768E-6</v>
      </c>
      <c r="BZ276" s="257">
        <v>0</v>
      </c>
      <c r="CA276" s="257">
        <v>0</v>
      </c>
      <c r="CB276" s="257">
        <v>0</v>
      </c>
      <c r="CC276" s="257">
        <v>0</v>
      </c>
      <c r="CD276" s="257">
        <v>0</v>
      </c>
      <c r="CE276" s="257">
        <v>0</v>
      </c>
      <c r="CF276" s="257">
        <v>0</v>
      </c>
      <c r="CG276" s="257">
        <v>0</v>
      </c>
      <c r="CH276" s="257">
        <v>0</v>
      </c>
      <c r="CI276" s="257">
        <v>0</v>
      </c>
      <c r="CJ276" s="257">
        <v>0</v>
      </c>
      <c r="CK276" s="257">
        <v>0</v>
      </c>
      <c r="CL276" s="257">
        <v>0</v>
      </c>
      <c r="CM276" s="257">
        <v>0</v>
      </c>
      <c r="CN276" s="257" t="s">
        <v>3074</v>
      </c>
      <c r="CO276" s="257">
        <v>82.922401170000001</v>
      </c>
      <c r="CP276" s="257">
        <v>100.5900439</v>
      </c>
      <c r="CQ276" s="257">
        <v>36.056413734693869</v>
      </c>
      <c r="CR276" s="257">
        <v>-12.051927770000001</v>
      </c>
      <c r="CS276" s="257">
        <v>-11.804099559999999</v>
      </c>
      <c r="CT276" s="257">
        <v>2.4782821000000156E-4</v>
      </c>
      <c r="CU276" s="257">
        <v>6.8733460799385768E-6</v>
      </c>
      <c r="CV276" s="258">
        <v>2.0563366685361534E-2</v>
      </c>
      <c r="CW276" s="256" t="s">
        <v>235</v>
      </c>
      <c r="CX276" s="257" t="s">
        <v>3075</v>
      </c>
      <c r="CY276" s="257" t="s">
        <v>236</v>
      </c>
      <c r="CZ276" s="257"/>
      <c r="DA276" s="278"/>
      <c r="DB276" s="278">
        <v>80</v>
      </c>
      <c r="DC276" s="257" t="s">
        <v>3076</v>
      </c>
      <c r="DD276" s="257">
        <v>0</v>
      </c>
      <c r="DE276" s="257">
        <v>1</v>
      </c>
      <c r="DF276" s="257">
        <v>0</v>
      </c>
      <c r="DG276" s="257">
        <v>0</v>
      </c>
      <c r="DH276" s="257"/>
      <c r="DI276" s="257">
        <v>1</v>
      </c>
      <c r="DJ276" s="257" t="s">
        <v>174</v>
      </c>
      <c r="DK276" s="257">
        <v>0</v>
      </c>
      <c r="DL276" s="257" t="s">
        <v>181</v>
      </c>
      <c r="DM276" s="257">
        <v>0</v>
      </c>
      <c r="DN276" s="257">
        <v>0</v>
      </c>
      <c r="DO276" s="257">
        <v>0</v>
      </c>
      <c r="DP276" s="278">
        <v>0</v>
      </c>
      <c r="DQ276" s="278">
        <v>0</v>
      </c>
      <c r="DR276" s="278">
        <v>0</v>
      </c>
      <c r="DS276" s="278">
        <v>0</v>
      </c>
      <c r="DT276" s="257">
        <v>0</v>
      </c>
      <c r="DU276" s="278" t="s">
        <v>964</v>
      </c>
      <c r="DV276" s="278">
        <v>1</v>
      </c>
      <c r="DW276" s="278">
        <v>1</v>
      </c>
      <c r="DX276" s="278">
        <v>1</v>
      </c>
      <c r="DY276" s="278">
        <v>0</v>
      </c>
      <c r="DZ276" s="257">
        <v>0</v>
      </c>
      <c r="EA276" s="278">
        <v>0</v>
      </c>
      <c r="EB276" s="278">
        <v>1</v>
      </c>
      <c r="EC276" s="278">
        <v>1</v>
      </c>
      <c r="ED276" s="278">
        <v>0</v>
      </c>
      <c r="EE276" s="278">
        <v>0</v>
      </c>
      <c r="EF276" s="257">
        <v>1</v>
      </c>
      <c r="EG276" s="278">
        <v>0</v>
      </c>
      <c r="EH276" s="257">
        <v>0</v>
      </c>
      <c r="EI276" s="258">
        <v>0</v>
      </c>
      <c r="EJ276" s="256"/>
      <c r="EK276" t="str">
        <f>IF(AND(AND(AND(OR($DX276=1,$DW276=1),OR($EC276=1,$EA276=1)),SUM($DV276:$DZ276,$EF276)&gt;=4),SUM($EA276:$EE276)&gt;=2),"Whole sector","")</f>
        <v>Whole sector</v>
      </c>
      <c r="EL276" t="str">
        <f>IF(AND(AND(OR($DX276=1,$DW276=1),AND($EC276=0,$EA276=0)),SUM($DV276:$DZ276,$EF276)&gt;=4),"Ecosystem approach","")</f>
        <v/>
      </c>
      <c r="EM276" s="258" t="s">
        <v>545</v>
      </c>
      <c r="EN276" s="257" t="s">
        <v>237</v>
      </c>
      <c r="EO276" s="257"/>
      <c r="EP276" t="str">
        <f>IF(ISNUMBER(BU276),IF(ABS(BU276-[3]QC_indicators!$B$2)&gt;3*[3]QC_indicators!$C$2,"C ratio",IF(ISNUMBER(BY276),IF(ABS(BY276-[3]QC_indicators!$B$1)&gt;3*[3]QC_indicators!$C$1,"DF","no"))),IF(ISNUMBER(BY276),IF(ABS(BY276-[3]QC_indicators!$B$1)&gt;3*[3]QC_indicators!$C$1,"DF","no")))</f>
        <v>no</v>
      </c>
      <c r="EQ276" s="282"/>
      <c r="ER276" s="282"/>
      <c r="ES276" s="282"/>
      <c r="ET276"/>
      <c r="EU276"/>
    </row>
    <row r="277" spans="1:151" s="139" customFormat="1" ht="15" hidden="1" customHeight="1">
      <c r="A277" s="256" t="s">
        <v>215</v>
      </c>
      <c r="B277" s="257" t="s">
        <v>216</v>
      </c>
      <c r="C277" s="257" t="s">
        <v>217</v>
      </c>
      <c r="D277" s="257" t="s">
        <v>218</v>
      </c>
      <c r="E277" s="257" t="s">
        <v>219</v>
      </c>
      <c r="F277" s="257" t="s">
        <v>220</v>
      </c>
      <c r="G277" s="257" t="s">
        <v>221</v>
      </c>
      <c r="H277" s="257"/>
      <c r="I277" s="257">
        <v>2012</v>
      </c>
      <c r="J277" s="257"/>
      <c r="K277" s="257" t="s">
        <v>222</v>
      </c>
      <c r="L277" s="257"/>
      <c r="M277" s="257" t="s">
        <v>3072</v>
      </c>
      <c r="N277" s="257" t="s">
        <v>223</v>
      </c>
      <c r="O277" s="277" t="s">
        <v>224</v>
      </c>
      <c r="P277" s="257"/>
      <c r="Q277" s="257" t="s">
        <v>225</v>
      </c>
      <c r="R277" s="258" t="s">
        <v>226</v>
      </c>
      <c r="S277" s="256" t="s">
        <v>241</v>
      </c>
      <c r="T277" s="257">
        <v>2000</v>
      </c>
      <c r="U277" s="257">
        <v>4000</v>
      </c>
      <c r="V277" s="257">
        <v>0</v>
      </c>
      <c r="W277" s="257">
        <v>0</v>
      </c>
      <c r="X277" s="257">
        <v>0</v>
      </c>
      <c r="Y277" s="257">
        <v>0</v>
      </c>
      <c r="Z277" s="257">
        <v>0</v>
      </c>
      <c r="AA277" s="257">
        <v>1</v>
      </c>
      <c r="AB277" s="257">
        <v>0</v>
      </c>
      <c r="AC277" s="257">
        <v>0</v>
      </c>
      <c r="AD277" s="257">
        <v>0</v>
      </c>
      <c r="AE277" s="257">
        <v>0</v>
      </c>
      <c r="AF277" s="257">
        <v>0</v>
      </c>
      <c r="AG277" s="257">
        <v>0</v>
      </c>
      <c r="AH277" s="257">
        <v>0</v>
      </c>
      <c r="AI277" s="257">
        <v>0</v>
      </c>
      <c r="AJ277" s="257">
        <v>0</v>
      </c>
      <c r="AK277" s="257">
        <v>0</v>
      </c>
      <c r="AL277" s="257">
        <v>0</v>
      </c>
      <c r="AM277" s="257">
        <v>0</v>
      </c>
      <c r="AN277" s="257">
        <v>0</v>
      </c>
      <c r="AO277" s="257">
        <v>0</v>
      </c>
      <c r="AP277" s="257">
        <v>0</v>
      </c>
      <c r="AQ277" s="257">
        <v>0</v>
      </c>
      <c r="AR277" s="257">
        <v>0</v>
      </c>
      <c r="AS277" s="257">
        <v>0</v>
      </c>
      <c r="AT277" s="257">
        <v>0</v>
      </c>
      <c r="AU277" s="257">
        <v>0</v>
      </c>
      <c r="AV277" s="257">
        <v>0</v>
      </c>
      <c r="AW277" s="257">
        <v>0</v>
      </c>
      <c r="AX277" s="279">
        <v>1</v>
      </c>
      <c r="AY277" s="279">
        <v>1</v>
      </c>
      <c r="AZ277" s="257">
        <v>1</v>
      </c>
      <c r="BA277" s="257">
        <v>0</v>
      </c>
      <c r="BB277" s="257">
        <v>0</v>
      </c>
      <c r="BC277" s="257">
        <v>0</v>
      </c>
      <c r="BD277" s="257">
        <v>0</v>
      </c>
      <c r="BE277" s="257" t="s">
        <v>94</v>
      </c>
      <c r="BF277" s="2" t="str" cm="1">
        <f t="array" ref="BF277">IF(COUNTIF(AZ277:BB277,"&lt;&gt;0")=1,INDEX($V$4:$AW$4,MATCH(TRUE,INDEX($V277:$AW277&lt;&gt;0,),0)),IF(COUNTIF(AZ277:BB277,"&lt;&gt;0")=0,INDEX($AM$4:$AW$4,MATCH(1,$AM277:$AW277,0)),"Multiple strategies"))</f>
        <v>SilvicultureProd</v>
      </c>
      <c r="BG277" s="280" t="s">
        <v>230</v>
      </c>
      <c r="BH277" s="257" t="s">
        <v>231</v>
      </c>
      <c r="BI277" s="281" t="s">
        <v>3073</v>
      </c>
      <c r="BJ277" s="278" t="s">
        <v>232</v>
      </c>
      <c r="BK277" s="257">
        <v>95.977011489999995</v>
      </c>
      <c r="BL277" s="257">
        <v>100.5900439</v>
      </c>
      <c r="BM277" s="278">
        <v>1.0480639305015309</v>
      </c>
      <c r="BN277" s="257">
        <v>4.6130324100000024</v>
      </c>
      <c r="BO277" s="278">
        <v>9.4143518571428615</v>
      </c>
      <c r="BP277" s="278" t="s">
        <v>233</v>
      </c>
      <c r="BQ277" s="284" t="s">
        <v>2627</v>
      </c>
      <c r="BR277" s="278" t="s">
        <v>234</v>
      </c>
      <c r="BS277" s="257">
        <v>-8.1428571430000005</v>
      </c>
      <c r="BT277" s="257">
        <v>-11.804099559999999</v>
      </c>
      <c r="BU277" s="259">
        <v>1.4496262617289537</v>
      </c>
      <c r="BV277" s="257">
        <v>-3.6612424169999986</v>
      </c>
      <c r="BW277" s="257"/>
      <c r="BX277" s="257">
        <v>-3.6612424169999986E-3</v>
      </c>
      <c r="BY277" s="257">
        <v>-3.889001040705887E-4</v>
      </c>
      <c r="BZ277" s="257">
        <v>0</v>
      </c>
      <c r="CA277" s="257">
        <v>0</v>
      </c>
      <c r="CB277" s="257">
        <v>0</v>
      </c>
      <c r="CC277" s="257">
        <v>0</v>
      </c>
      <c r="CD277" s="257">
        <v>0</v>
      </c>
      <c r="CE277" s="257">
        <v>0</v>
      </c>
      <c r="CF277" s="257">
        <v>0</v>
      </c>
      <c r="CG277" s="257">
        <v>0</v>
      </c>
      <c r="CH277" s="257">
        <v>0</v>
      </c>
      <c r="CI277" s="257">
        <v>0</v>
      </c>
      <c r="CJ277" s="257">
        <v>0</v>
      </c>
      <c r="CK277" s="257">
        <v>0</v>
      </c>
      <c r="CL277" s="257">
        <v>0</v>
      </c>
      <c r="CM277" s="257">
        <v>0</v>
      </c>
      <c r="CN277" s="257" t="s">
        <v>3074</v>
      </c>
      <c r="CO277" s="257">
        <v>95.977011489999995</v>
      </c>
      <c r="CP277" s="257">
        <v>100.5900439</v>
      </c>
      <c r="CQ277" s="257">
        <v>9.4143518571428615</v>
      </c>
      <c r="CR277" s="257">
        <v>-8.1428571430000005</v>
      </c>
      <c r="CS277" s="257">
        <v>-11.804099559999999</v>
      </c>
      <c r="CT277" s="257">
        <v>-3.6612424169999986E-3</v>
      </c>
      <c r="CU277" s="257">
        <v>-3.889001040705887E-4</v>
      </c>
      <c r="CV277" s="258">
        <v>-0.4496262617289537</v>
      </c>
      <c r="CW277" s="256" t="s">
        <v>235</v>
      </c>
      <c r="CX277" s="257" t="s">
        <v>3075</v>
      </c>
      <c r="CY277" s="257" t="s">
        <v>236</v>
      </c>
      <c r="CZ277" s="257"/>
      <c r="DA277" s="278"/>
      <c r="DB277" s="278">
        <v>80</v>
      </c>
      <c r="DC277" s="257" t="s">
        <v>3076</v>
      </c>
      <c r="DD277" s="257">
        <v>0</v>
      </c>
      <c r="DE277" s="257">
        <v>1</v>
      </c>
      <c r="DF277" s="257">
        <v>0</v>
      </c>
      <c r="DG277" s="257">
        <v>0</v>
      </c>
      <c r="DH277" s="257"/>
      <c r="DI277" s="257">
        <v>1</v>
      </c>
      <c r="DJ277" s="257" t="s">
        <v>174</v>
      </c>
      <c r="DK277" s="257">
        <v>0</v>
      </c>
      <c r="DL277" s="257" t="s">
        <v>181</v>
      </c>
      <c r="DM277" s="257">
        <v>0</v>
      </c>
      <c r="DN277" s="257">
        <v>0</v>
      </c>
      <c r="DO277" s="257">
        <v>0</v>
      </c>
      <c r="DP277" s="278">
        <v>0</v>
      </c>
      <c r="DQ277" s="278">
        <v>0</v>
      </c>
      <c r="DR277" s="278">
        <v>0</v>
      </c>
      <c r="DS277" s="278">
        <v>0</v>
      </c>
      <c r="DT277" s="257">
        <v>0</v>
      </c>
      <c r="DU277" s="278" t="s">
        <v>964</v>
      </c>
      <c r="DV277" s="278">
        <v>1</v>
      </c>
      <c r="DW277" s="278">
        <v>1</v>
      </c>
      <c r="DX277" s="278">
        <v>1</v>
      </c>
      <c r="DY277" s="278">
        <v>0</v>
      </c>
      <c r="DZ277" s="257">
        <v>0</v>
      </c>
      <c r="EA277" s="278">
        <v>0</v>
      </c>
      <c r="EB277" s="278">
        <v>1</v>
      </c>
      <c r="EC277" s="278">
        <v>1</v>
      </c>
      <c r="ED277" s="278">
        <v>0</v>
      </c>
      <c r="EE277" s="278">
        <v>0</v>
      </c>
      <c r="EF277" s="257">
        <v>1</v>
      </c>
      <c r="EG277" s="278">
        <v>0</v>
      </c>
      <c r="EH277" s="257">
        <v>0</v>
      </c>
      <c r="EI277" s="258">
        <v>0</v>
      </c>
      <c r="EJ277" s="256"/>
      <c r="EK277" t="str">
        <f>IF(AND(AND(AND(OR($DX277=1,$DW277=1),OR($EC277=1,$EA277=1)),SUM($DV277:$DZ277,$EF277)&gt;=4),SUM($EA277:$EE277)&gt;=2),"Whole sector","")</f>
        <v>Whole sector</v>
      </c>
      <c r="EL277" t="str">
        <f>IF(AND(AND(OR($DX277=1,$DW277=1),AND($EC277=0,$EA277=0)),SUM($DV277:$DZ277,$EF277)&gt;=4),"Ecosystem approach","")</f>
        <v/>
      </c>
      <c r="EM277" s="258" t="s">
        <v>545</v>
      </c>
      <c r="EN277" s="257" t="s">
        <v>237</v>
      </c>
      <c r="EO277" s="257"/>
      <c r="EP277" t="str">
        <f>IF(ISNUMBER(BU277),IF(ABS(BU277-[3]QC_indicators!$B$2)&gt;3*[3]QC_indicators!$C$2,"C ratio",IF(ISNUMBER(BY277),IF(ABS(BY277-[3]QC_indicators!$B$1)&gt;3*[3]QC_indicators!$C$1,"DF","no"))),IF(ISNUMBER(BY277),IF(ABS(BY277-[3]QC_indicators!$B$1)&gt;3*[3]QC_indicators!$C$1,"DF","no")))</f>
        <v>no</v>
      </c>
      <c r="EQ277" s="282"/>
      <c r="ER277" s="282"/>
      <c r="ES277" s="282"/>
      <c r="ET277"/>
      <c r="EU277"/>
    </row>
    <row r="278" spans="1:151" s="139" customFormat="1" ht="15" hidden="1" customHeight="1">
      <c r="A278" s="256" t="s">
        <v>215</v>
      </c>
      <c r="B278" s="257" t="s">
        <v>216</v>
      </c>
      <c r="C278" s="257" t="s">
        <v>217</v>
      </c>
      <c r="D278" s="257" t="s">
        <v>218</v>
      </c>
      <c r="E278" s="257" t="s">
        <v>219</v>
      </c>
      <c r="F278" s="257" t="s">
        <v>220</v>
      </c>
      <c r="G278" s="257" t="s">
        <v>221</v>
      </c>
      <c r="H278" s="257"/>
      <c r="I278" s="257">
        <v>2012</v>
      </c>
      <c r="J278" s="257"/>
      <c r="K278" s="257" t="s">
        <v>222</v>
      </c>
      <c r="L278" s="257"/>
      <c r="M278" s="257" t="s">
        <v>3072</v>
      </c>
      <c r="N278" s="257" t="s">
        <v>223</v>
      </c>
      <c r="O278" s="277" t="s">
        <v>224</v>
      </c>
      <c r="P278" s="257"/>
      <c r="Q278" s="257" t="s">
        <v>225</v>
      </c>
      <c r="R278" s="258" t="s">
        <v>226</v>
      </c>
      <c r="S278" s="256" t="s">
        <v>242</v>
      </c>
      <c r="T278" s="257" t="s">
        <v>243</v>
      </c>
      <c r="U278" s="278" t="s">
        <v>244</v>
      </c>
      <c r="V278" s="257">
        <v>0</v>
      </c>
      <c r="W278" s="257">
        <v>0</v>
      </c>
      <c r="X278" s="257">
        <v>0</v>
      </c>
      <c r="Y278" s="257">
        <v>0</v>
      </c>
      <c r="Z278" s="257">
        <v>0</v>
      </c>
      <c r="AA278" s="257">
        <v>0</v>
      </c>
      <c r="AB278" s="257">
        <v>0</v>
      </c>
      <c r="AC278" s="257">
        <v>1</v>
      </c>
      <c r="AD278" s="257">
        <v>0</v>
      </c>
      <c r="AE278" s="257">
        <v>0</v>
      </c>
      <c r="AF278" s="257">
        <v>0</v>
      </c>
      <c r="AG278" s="257">
        <v>0</v>
      </c>
      <c r="AH278" s="257">
        <v>0</v>
      </c>
      <c r="AI278" s="257">
        <v>0</v>
      </c>
      <c r="AJ278" s="257">
        <v>0</v>
      </c>
      <c r="AK278" s="257">
        <v>0</v>
      </c>
      <c r="AL278" s="257">
        <v>0</v>
      </c>
      <c r="AM278" s="257">
        <v>0</v>
      </c>
      <c r="AN278" s="257">
        <v>0</v>
      </c>
      <c r="AO278" s="257">
        <v>0</v>
      </c>
      <c r="AP278" s="257">
        <v>0</v>
      </c>
      <c r="AQ278" s="257">
        <v>0</v>
      </c>
      <c r="AR278" s="257">
        <v>0</v>
      </c>
      <c r="AS278" s="257">
        <v>0</v>
      </c>
      <c r="AT278" s="257">
        <v>0</v>
      </c>
      <c r="AU278" s="257">
        <v>0</v>
      </c>
      <c r="AV278" s="257">
        <v>0</v>
      </c>
      <c r="AW278" s="257">
        <v>0</v>
      </c>
      <c r="AX278" s="279">
        <v>1</v>
      </c>
      <c r="AY278" s="279">
        <v>1</v>
      </c>
      <c r="AZ278" s="257">
        <v>1</v>
      </c>
      <c r="BA278" s="257">
        <v>0</v>
      </c>
      <c r="BB278" s="257">
        <v>0</v>
      </c>
      <c r="BC278" s="257">
        <v>0</v>
      </c>
      <c r="BD278" s="257">
        <v>0</v>
      </c>
      <c r="BE278" s="257" t="s">
        <v>96</v>
      </c>
      <c r="BF278" s="2" t="str" cm="1">
        <f t="array" ref="BF278">IF(COUNTIF(AZ278:BB278,"&lt;&gt;0")=1,INDEX($V$4:$AW$4,MATCH(TRUE,INDEX($V278:$AW278&lt;&gt;0,),0)),IF(COUNTIF(AZ278:BB278,"&lt;&gt;0")=0,INDEX($AM$4:$AW$4,MATCH(1,$AM278:$AW278,0)),"Multiple strategies"))</f>
        <v>SilvicultureProd</v>
      </c>
      <c r="BG278" s="280" t="s">
        <v>230</v>
      </c>
      <c r="BH278" s="257" t="s">
        <v>231</v>
      </c>
      <c r="BI278" s="281" t="s">
        <v>3073</v>
      </c>
      <c r="BJ278" s="278" t="s">
        <v>232</v>
      </c>
      <c r="BK278" s="257">
        <v>75.212579794444494</v>
      </c>
      <c r="BL278" s="257">
        <v>82.922401171303093</v>
      </c>
      <c r="BM278" s="278">
        <v>1.1025070725925037</v>
      </c>
      <c r="BN278" s="257">
        <v>7.7098213768585993</v>
      </c>
      <c r="BO278" s="278">
        <v>15.734329340527754</v>
      </c>
      <c r="BP278" s="278" t="s">
        <v>233</v>
      </c>
      <c r="BQ278" s="284" t="s">
        <v>2627</v>
      </c>
      <c r="BR278" s="278" t="s">
        <v>234</v>
      </c>
      <c r="BS278" s="257">
        <v>-8.4548837897123708</v>
      </c>
      <c r="BT278" s="257">
        <v>-12.051927769643701</v>
      </c>
      <c r="BU278" s="259">
        <v>1.42543978952237</v>
      </c>
      <c r="BV278" s="257">
        <v>-3.5970439799313301</v>
      </c>
      <c r="BW278" s="257"/>
      <c r="BX278" s="257">
        <v>-3.5970439799313299E-3</v>
      </c>
      <c r="BY278" s="257">
        <v>-2.286112043343488E-4</v>
      </c>
      <c r="BZ278" s="257">
        <v>0</v>
      </c>
      <c r="CA278" s="257">
        <v>0</v>
      </c>
      <c r="CB278" s="257">
        <v>0</v>
      </c>
      <c r="CC278" s="257">
        <v>0</v>
      </c>
      <c r="CD278" s="257">
        <v>0</v>
      </c>
      <c r="CE278" s="257">
        <v>0</v>
      </c>
      <c r="CF278" s="257">
        <v>0</v>
      </c>
      <c r="CG278" s="257">
        <v>0</v>
      </c>
      <c r="CH278" s="257">
        <v>0</v>
      </c>
      <c r="CI278" s="257">
        <v>0</v>
      </c>
      <c r="CJ278" s="257">
        <v>0</v>
      </c>
      <c r="CK278" s="257">
        <v>0</v>
      </c>
      <c r="CL278" s="257">
        <v>0</v>
      </c>
      <c r="CM278" s="257">
        <v>0</v>
      </c>
      <c r="CN278" s="257" t="s">
        <v>3074</v>
      </c>
      <c r="CO278" s="257">
        <v>75.212579794444494</v>
      </c>
      <c r="CP278" s="257">
        <v>82.922401171303093</v>
      </c>
      <c r="CQ278" s="257">
        <v>15.734329340527754</v>
      </c>
      <c r="CR278" s="257">
        <v>-8.4548837897123708</v>
      </c>
      <c r="CS278" s="257">
        <v>-12.051927769643701</v>
      </c>
      <c r="CT278" s="257">
        <v>-3.5970439799313299E-3</v>
      </c>
      <c r="CU278" s="257">
        <v>-2.286112043343488E-4</v>
      </c>
      <c r="CV278" s="258">
        <v>-0.4254397895223701</v>
      </c>
      <c r="CW278" s="256" t="s">
        <v>235</v>
      </c>
      <c r="CX278" s="257" t="s">
        <v>3075</v>
      </c>
      <c r="CY278" s="257" t="s">
        <v>236</v>
      </c>
      <c r="CZ278" s="257"/>
      <c r="DA278" s="278"/>
      <c r="DB278" s="278">
        <v>80</v>
      </c>
      <c r="DC278" s="257" t="s">
        <v>3076</v>
      </c>
      <c r="DD278" s="257">
        <v>0</v>
      </c>
      <c r="DE278" s="257">
        <v>1</v>
      </c>
      <c r="DF278" s="257">
        <v>0</v>
      </c>
      <c r="DG278" s="257">
        <v>0</v>
      </c>
      <c r="DH278" s="257"/>
      <c r="DI278" s="257">
        <v>1</v>
      </c>
      <c r="DJ278" s="257" t="s">
        <v>174</v>
      </c>
      <c r="DK278" s="257">
        <v>0</v>
      </c>
      <c r="DL278" s="257" t="s">
        <v>181</v>
      </c>
      <c r="DM278" s="257">
        <v>0</v>
      </c>
      <c r="DN278" s="257">
        <v>0</v>
      </c>
      <c r="DO278" s="257">
        <v>0</v>
      </c>
      <c r="DP278" s="278">
        <v>0</v>
      </c>
      <c r="DQ278" s="278">
        <v>0</v>
      </c>
      <c r="DR278" s="278">
        <v>0</v>
      </c>
      <c r="DS278" s="278">
        <v>0</v>
      </c>
      <c r="DT278" s="257">
        <v>0</v>
      </c>
      <c r="DU278" s="278" t="s">
        <v>964</v>
      </c>
      <c r="DV278" s="278">
        <v>1</v>
      </c>
      <c r="DW278" s="278">
        <v>1</v>
      </c>
      <c r="DX278" s="278">
        <v>1</v>
      </c>
      <c r="DY278" s="278">
        <v>0</v>
      </c>
      <c r="DZ278" s="257">
        <v>0</v>
      </c>
      <c r="EA278" s="278">
        <v>0</v>
      </c>
      <c r="EB278" s="278">
        <v>1</v>
      </c>
      <c r="EC278" s="278">
        <v>1</v>
      </c>
      <c r="ED278" s="278">
        <v>0</v>
      </c>
      <c r="EE278" s="278">
        <v>0</v>
      </c>
      <c r="EF278" s="257">
        <v>1</v>
      </c>
      <c r="EG278" s="278">
        <v>0</v>
      </c>
      <c r="EH278" s="257">
        <v>0</v>
      </c>
      <c r="EI278" s="258">
        <v>0</v>
      </c>
      <c r="EJ278" s="256"/>
      <c r="EK278" t="str">
        <f>IF(AND(AND(AND(OR($DX278=1,$DW278=1),OR($EC278=1,$EA278=1)),SUM($DV278:$DZ278,$EF278)&gt;=4),SUM($EA278:$EE278)&gt;=2),"Whole sector","")</f>
        <v>Whole sector</v>
      </c>
      <c r="EL278" t="str">
        <f>IF(AND(AND(OR($DX278=1,$DW278=1),AND($EC278=0,$EA278=0)),SUM($DV278:$DZ278,$EF278)&gt;=4),"Ecosystem approach","")</f>
        <v/>
      </c>
      <c r="EM278" s="258" t="s">
        <v>545</v>
      </c>
      <c r="EN278" s="257" t="s">
        <v>237</v>
      </c>
      <c r="EO278" s="257"/>
      <c r="EP278" t="str">
        <f>IF(ISNUMBER(BU278),IF(ABS(BU278-[3]QC_indicators!$B$2)&gt;3*[3]QC_indicators!$C$2,"C ratio",IF(ISNUMBER(BY278),IF(ABS(BY278-[3]QC_indicators!$B$1)&gt;3*[3]QC_indicators!$C$1,"DF","no"))),IF(ISNUMBER(BY278),IF(ABS(BY278-[3]QC_indicators!$B$1)&gt;3*[3]QC_indicators!$C$1,"DF","no")))</f>
        <v>no</v>
      </c>
      <c r="EQ278"/>
      <c r="ER278"/>
      <c r="ES278"/>
      <c r="ET278"/>
      <c r="EU278"/>
    </row>
    <row r="279" spans="1:151" s="139" customFormat="1" ht="15" hidden="1" customHeight="1">
      <c r="A279" s="256" t="s">
        <v>215</v>
      </c>
      <c r="B279" s="257" t="s">
        <v>216</v>
      </c>
      <c r="C279" s="257" t="s">
        <v>217</v>
      </c>
      <c r="D279" s="257" t="s">
        <v>218</v>
      </c>
      <c r="E279" s="257" t="s">
        <v>219</v>
      </c>
      <c r="F279" s="257" t="s">
        <v>220</v>
      </c>
      <c r="G279" s="257" t="s">
        <v>221</v>
      </c>
      <c r="H279" s="257"/>
      <c r="I279" s="257">
        <v>2012</v>
      </c>
      <c r="J279" s="257"/>
      <c r="K279" s="257" t="s">
        <v>222</v>
      </c>
      <c r="L279" s="257"/>
      <c r="M279" s="257" t="s">
        <v>3072</v>
      </c>
      <c r="N279" s="257" t="s">
        <v>223</v>
      </c>
      <c r="O279" s="277" t="s">
        <v>224</v>
      </c>
      <c r="P279" s="257"/>
      <c r="Q279" s="257" t="s">
        <v>225</v>
      </c>
      <c r="R279" s="258" t="s">
        <v>226</v>
      </c>
      <c r="S279" s="256" t="s">
        <v>241</v>
      </c>
      <c r="T279" s="257">
        <v>2000</v>
      </c>
      <c r="U279" s="257">
        <v>4000</v>
      </c>
      <c r="V279" s="257">
        <v>0</v>
      </c>
      <c r="W279" s="257">
        <v>0</v>
      </c>
      <c r="X279" s="257">
        <v>0</v>
      </c>
      <c r="Y279" s="257">
        <v>0</v>
      </c>
      <c r="Z279" s="257">
        <v>0</v>
      </c>
      <c r="AA279" s="257">
        <v>1</v>
      </c>
      <c r="AB279" s="257">
        <v>0</v>
      </c>
      <c r="AC279" s="257">
        <v>0</v>
      </c>
      <c r="AD279" s="257">
        <v>0</v>
      </c>
      <c r="AE279" s="257">
        <v>0</v>
      </c>
      <c r="AF279" s="257">
        <v>0</v>
      </c>
      <c r="AG279" s="257">
        <v>0</v>
      </c>
      <c r="AH279" s="257">
        <v>0</v>
      </c>
      <c r="AI279" s="257">
        <v>0</v>
      </c>
      <c r="AJ279" s="257">
        <v>0</v>
      </c>
      <c r="AK279" s="257">
        <v>0</v>
      </c>
      <c r="AL279" s="257">
        <v>0</v>
      </c>
      <c r="AM279" s="257">
        <v>0</v>
      </c>
      <c r="AN279" s="257">
        <v>0</v>
      </c>
      <c r="AO279" s="257">
        <v>0</v>
      </c>
      <c r="AP279" s="257">
        <v>0</v>
      </c>
      <c r="AQ279" s="257">
        <v>0</v>
      </c>
      <c r="AR279" s="257">
        <v>0</v>
      </c>
      <c r="AS279" s="257">
        <v>0</v>
      </c>
      <c r="AT279" s="257">
        <v>0</v>
      </c>
      <c r="AU279" s="257">
        <v>0</v>
      </c>
      <c r="AV279" s="257">
        <v>0</v>
      </c>
      <c r="AW279" s="257">
        <v>0</v>
      </c>
      <c r="AX279" s="279">
        <v>1</v>
      </c>
      <c r="AY279" s="279">
        <v>1</v>
      </c>
      <c r="AZ279" s="257">
        <v>1</v>
      </c>
      <c r="BA279" s="257">
        <v>0</v>
      </c>
      <c r="BB279" s="257">
        <v>0</v>
      </c>
      <c r="BC279" s="257">
        <v>0</v>
      </c>
      <c r="BD279" s="257">
        <v>0</v>
      </c>
      <c r="BE279" s="257" t="s">
        <v>94</v>
      </c>
      <c r="BF279" s="2" t="str" cm="1">
        <f t="array" ref="BF279">IF(COUNTIF(AZ279:BB279,"&lt;&gt;0")=1,INDEX($V$4:$AW$4,MATCH(TRUE,INDEX($V279:$AW279&lt;&gt;0,),0)),IF(COUNTIF(AZ279:BB279,"&lt;&gt;0")=0,INDEX($AM$4:$AW$4,MATCH(1,$AM279:$AW279,0)),"Multiple strategies"))</f>
        <v>SilvicultureProd</v>
      </c>
      <c r="BG279" s="280" t="s">
        <v>230</v>
      </c>
      <c r="BH279" s="257" t="s">
        <v>231</v>
      </c>
      <c r="BI279" s="281" t="s">
        <v>3073</v>
      </c>
      <c r="BJ279" s="278" t="s">
        <v>232</v>
      </c>
      <c r="BK279" s="257">
        <v>77.011494249999998</v>
      </c>
      <c r="BL279" s="257">
        <v>82.922401170000001</v>
      </c>
      <c r="BM279" s="278">
        <v>1.0767535674715207</v>
      </c>
      <c r="BN279" s="257">
        <v>5.9109069200000022</v>
      </c>
      <c r="BO279" s="278">
        <v>12.063075346938779</v>
      </c>
      <c r="BP279" s="278" t="s">
        <v>233</v>
      </c>
      <c r="BQ279" s="284" t="s">
        <v>2627</v>
      </c>
      <c r="BR279" s="278" t="s">
        <v>234</v>
      </c>
      <c r="BS279" s="257">
        <v>-8</v>
      </c>
      <c r="BT279" s="257">
        <v>-12.051927770000001</v>
      </c>
      <c r="BU279" s="259">
        <v>1.5064909712500001</v>
      </c>
      <c r="BV279" s="257">
        <v>-4.0519277700000007</v>
      </c>
      <c r="BW279" s="257"/>
      <c r="BX279" s="257">
        <v>-4.0519277700000007E-3</v>
      </c>
      <c r="BY279" s="257">
        <v>-3.3589508922600317E-4</v>
      </c>
      <c r="BZ279" s="257">
        <v>0</v>
      </c>
      <c r="CA279" s="257">
        <v>0</v>
      </c>
      <c r="CB279" s="257">
        <v>0</v>
      </c>
      <c r="CC279" s="257">
        <v>0</v>
      </c>
      <c r="CD279" s="257">
        <v>0</v>
      </c>
      <c r="CE279" s="257">
        <v>0</v>
      </c>
      <c r="CF279" s="257">
        <v>0</v>
      </c>
      <c r="CG279" s="257">
        <v>0</v>
      </c>
      <c r="CH279" s="257">
        <v>0</v>
      </c>
      <c r="CI279" s="257">
        <v>0</v>
      </c>
      <c r="CJ279" s="257">
        <v>0</v>
      </c>
      <c r="CK279" s="257">
        <v>0</v>
      </c>
      <c r="CL279" s="257">
        <v>0</v>
      </c>
      <c r="CM279" s="257">
        <v>0</v>
      </c>
      <c r="CN279" s="257" t="s">
        <v>3074</v>
      </c>
      <c r="CO279" s="257">
        <v>77.011494249999998</v>
      </c>
      <c r="CP279" s="257">
        <v>82.922401170000001</v>
      </c>
      <c r="CQ279" s="257">
        <v>12.063075346938779</v>
      </c>
      <c r="CR279" s="257">
        <v>-8</v>
      </c>
      <c r="CS279" s="257">
        <v>-12.051927770000001</v>
      </c>
      <c r="CT279" s="257">
        <v>-4.0519277700000007E-3</v>
      </c>
      <c r="CU279" s="257">
        <v>-3.3589508922600317E-4</v>
      </c>
      <c r="CV279" s="258">
        <v>-0.50649097125000009</v>
      </c>
      <c r="CW279" s="256" t="s">
        <v>235</v>
      </c>
      <c r="CX279" s="257" t="s">
        <v>3075</v>
      </c>
      <c r="CY279" s="257" t="s">
        <v>236</v>
      </c>
      <c r="CZ279" s="257"/>
      <c r="DA279" s="278"/>
      <c r="DB279" s="278">
        <v>80</v>
      </c>
      <c r="DC279" s="257" t="s">
        <v>3076</v>
      </c>
      <c r="DD279" s="257">
        <v>0</v>
      </c>
      <c r="DE279" s="257">
        <v>1</v>
      </c>
      <c r="DF279" s="257">
        <v>0</v>
      </c>
      <c r="DG279" s="257">
        <v>0</v>
      </c>
      <c r="DH279" s="257"/>
      <c r="DI279" s="257">
        <v>1</v>
      </c>
      <c r="DJ279" s="257" t="s">
        <v>174</v>
      </c>
      <c r="DK279" s="257">
        <v>0</v>
      </c>
      <c r="DL279" s="257" t="s">
        <v>181</v>
      </c>
      <c r="DM279" s="257">
        <v>0</v>
      </c>
      <c r="DN279" s="257">
        <v>0</v>
      </c>
      <c r="DO279" s="257">
        <v>0</v>
      </c>
      <c r="DP279" s="278">
        <v>0</v>
      </c>
      <c r="DQ279" s="278">
        <v>0</v>
      </c>
      <c r="DR279" s="278">
        <v>0</v>
      </c>
      <c r="DS279" s="278">
        <v>0</v>
      </c>
      <c r="DT279" s="257">
        <v>0</v>
      </c>
      <c r="DU279" s="278" t="s">
        <v>964</v>
      </c>
      <c r="DV279" s="278">
        <v>1</v>
      </c>
      <c r="DW279" s="278">
        <v>1</v>
      </c>
      <c r="DX279" s="278">
        <v>1</v>
      </c>
      <c r="DY279" s="278">
        <v>0</v>
      </c>
      <c r="DZ279" s="257">
        <v>0</v>
      </c>
      <c r="EA279" s="278">
        <v>0</v>
      </c>
      <c r="EB279" s="278">
        <v>1</v>
      </c>
      <c r="EC279" s="278">
        <v>1</v>
      </c>
      <c r="ED279" s="278">
        <v>0</v>
      </c>
      <c r="EE279" s="278">
        <v>0</v>
      </c>
      <c r="EF279" s="257">
        <v>1</v>
      </c>
      <c r="EG279" s="278">
        <v>0</v>
      </c>
      <c r="EH279" s="257">
        <v>0</v>
      </c>
      <c r="EI279" s="258">
        <v>0</v>
      </c>
      <c r="EJ279" s="256"/>
      <c r="EK279" t="str">
        <f>IF(AND(AND(AND(OR($DX279=1,$DW279=1),OR($EC279=1,$EA279=1)),SUM($DV279:$DZ279,$EF279)&gt;=4),SUM($EA279:$EE279)&gt;=2),"Whole sector","")</f>
        <v>Whole sector</v>
      </c>
      <c r="EL279" t="str">
        <f>IF(AND(AND(OR($DX279=1,$DW279=1),AND($EC279=0,$EA279=0)),SUM($DV279:$DZ279,$EF279)&gt;=4),"Ecosystem approach","")</f>
        <v/>
      </c>
      <c r="EM279" s="258" t="s">
        <v>545</v>
      </c>
      <c r="EN279" s="257" t="s">
        <v>237</v>
      </c>
      <c r="EO279" s="257"/>
      <c r="EP279" t="str">
        <f>IF(ISNUMBER(BU279),IF(ABS(BU279-[3]QC_indicators!$B$2)&gt;3*[3]QC_indicators!$C$2,"C ratio",IF(ISNUMBER(BY279),IF(ABS(BY279-[3]QC_indicators!$B$1)&gt;3*[3]QC_indicators!$C$1,"DF","no"))),IF(ISNUMBER(BY279),IF(ABS(BY279-[3]QC_indicators!$B$1)&gt;3*[3]QC_indicators!$C$1,"DF","no")))</f>
        <v>no</v>
      </c>
      <c r="EQ279" s="282"/>
      <c r="ER279" s="282"/>
      <c r="ES279" s="282"/>
      <c r="ET279"/>
      <c r="EU279"/>
    </row>
    <row r="280" spans="1:151" s="139" customFormat="1" ht="15" hidden="1" customHeight="1">
      <c r="A280" s="256" t="s">
        <v>215</v>
      </c>
      <c r="B280" s="257" t="s">
        <v>216</v>
      </c>
      <c r="C280" s="257" t="s">
        <v>217</v>
      </c>
      <c r="D280" s="257" t="s">
        <v>218</v>
      </c>
      <c r="E280" s="257" t="s">
        <v>219</v>
      </c>
      <c r="F280" s="257" t="s">
        <v>220</v>
      </c>
      <c r="G280" s="257" t="s">
        <v>221</v>
      </c>
      <c r="H280" s="257"/>
      <c r="I280" s="257">
        <v>2012</v>
      </c>
      <c r="J280" s="257"/>
      <c r="K280" s="257" t="s">
        <v>222</v>
      </c>
      <c r="L280" s="257"/>
      <c r="M280" s="257" t="s">
        <v>3072</v>
      </c>
      <c r="N280" s="257" t="s">
        <v>223</v>
      </c>
      <c r="O280" s="277" t="s">
        <v>224</v>
      </c>
      <c r="P280" s="257"/>
      <c r="Q280" s="257" t="s">
        <v>225</v>
      </c>
      <c r="R280" s="258" t="s">
        <v>226</v>
      </c>
      <c r="S280" s="256" t="s">
        <v>241</v>
      </c>
      <c r="T280" s="257">
        <v>2000</v>
      </c>
      <c r="U280" s="257">
        <v>4000</v>
      </c>
      <c r="V280" s="257">
        <v>0</v>
      </c>
      <c r="W280" s="257">
        <v>0</v>
      </c>
      <c r="X280" s="257">
        <v>0</v>
      </c>
      <c r="Y280" s="257">
        <v>0</v>
      </c>
      <c r="Z280" s="257">
        <v>0</v>
      </c>
      <c r="AA280" s="257">
        <v>1</v>
      </c>
      <c r="AB280" s="257">
        <v>0</v>
      </c>
      <c r="AC280" s="257">
        <v>0</v>
      </c>
      <c r="AD280" s="257">
        <v>0</v>
      </c>
      <c r="AE280" s="257">
        <v>0</v>
      </c>
      <c r="AF280" s="257">
        <v>0</v>
      </c>
      <c r="AG280" s="257">
        <v>0</v>
      </c>
      <c r="AH280" s="257">
        <v>0</v>
      </c>
      <c r="AI280" s="257">
        <v>0</v>
      </c>
      <c r="AJ280" s="257">
        <v>0</v>
      </c>
      <c r="AK280" s="257">
        <v>0</v>
      </c>
      <c r="AL280" s="257">
        <v>0</v>
      </c>
      <c r="AM280" s="257">
        <v>0</v>
      </c>
      <c r="AN280" s="257">
        <v>0</v>
      </c>
      <c r="AO280" s="257">
        <v>0</v>
      </c>
      <c r="AP280" s="257">
        <v>0</v>
      </c>
      <c r="AQ280" s="257">
        <v>0</v>
      </c>
      <c r="AR280" s="257">
        <v>0</v>
      </c>
      <c r="AS280" s="257">
        <v>0</v>
      </c>
      <c r="AT280" s="257">
        <v>0</v>
      </c>
      <c r="AU280" s="257">
        <v>0</v>
      </c>
      <c r="AV280" s="257">
        <v>0</v>
      </c>
      <c r="AW280" s="257">
        <v>0</v>
      </c>
      <c r="AX280" s="279">
        <v>1</v>
      </c>
      <c r="AY280" s="279">
        <v>1</v>
      </c>
      <c r="AZ280" s="257">
        <v>1</v>
      </c>
      <c r="BA280" s="257">
        <v>0</v>
      </c>
      <c r="BB280" s="257">
        <v>0</v>
      </c>
      <c r="BC280" s="257">
        <v>0</v>
      </c>
      <c r="BD280" s="257">
        <v>0</v>
      </c>
      <c r="BE280" s="257" t="s">
        <v>94</v>
      </c>
      <c r="BF280" s="2" t="str" cm="1">
        <f t="array" ref="BF280">IF(COUNTIF(AZ280:BB280,"&lt;&gt;0")=1,INDEX($V$4:$AW$4,MATCH(TRUE,INDEX($V280:$AW280&lt;&gt;0,),0)),IF(COUNTIF(AZ280:BB280,"&lt;&gt;0")=0,INDEX($AM$4:$AW$4,MATCH(1,$AM280:$AW280,0)),"Multiple strategies"))</f>
        <v>SilvicultureProd</v>
      </c>
      <c r="BG280" s="280" t="s">
        <v>230</v>
      </c>
      <c r="BH280" s="257" t="s">
        <v>231</v>
      </c>
      <c r="BI280" s="281" t="s">
        <v>3073</v>
      </c>
      <c r="BJ280" s="278" t="s">
        <v>232</v>
      </c>
      <c r="BK280" s="257">
        <v>69.827586210000007</v>
      </c>
      <c r="BL280" s="257">
        <v>81.736456810000007</v>
      </c>
      <c r="BM280" s="278">
        <v>1.1705467888319263</v>
      </c>
      <c r="BN280" s="257">
        <v>11.9088706</v>
      </c>
      <c r="BO280" s="278">
        <v>24.303817551020408</v>
      </c>
      <c r="BP280" s="278" t="s">
        <v>233</v>
      </c>
      <c r="BQ280" s="284" t="s">
        <v>2627</v>
      </c>
      <c r="BR280" s="278" t="s">
        <v>234</v>
      </c>
      <c r="BS280" s="257">
        <v>-8.4285714289999998</v>
      </c>
      <c r="BT280" s="257">
        <v>-12.163201559999999</v>
      </c>
      <c r="BU280" s="259">
        <v>1.4430917104350969</v>
      </c>
      <c r="BV280" s="257">
        <v>-3.7346301309999994</v>
      </c>
      <c r="BW280" s="257"/>
      <c r="BX280" s="257">
        <v>-3.7346301309999995E-3</v>
      </c>
      <c r="BY280" s="257">
        <v>-1.536643419561549E-4</v>
      </c>
      <c r="BZ280" s="257">
        <v>0</v>
      </c>
      <c r="CA280" s="257">
        <v>0</v>
      </c>
      <c r="CB280" s="257">
        <v>0</v>
      </c>
      <c r="CC280" s="257">
        <v>0</v>
      </c>
      <c r="CD280" s="257">
        <v>0</v>
      </c>
      <c r="CE280" s="257">
        <v>0</v>
      </c>
      <c r="CF280" s="257">
        <v>0</v>
      </c>
      <c r="CG280" s="257">
        <v>0</v>
      </c>
      <c r="CH280" s="257">
        <v>0</v>
      </c>
      <c r="CI280" s="257">
        <v>0</v>
      </c>
      <c r="CJ280" s="257">
        <v>0</v>
      </c>
      <c r="CK280" s="257">
        <v>0</v>
      </c>
      <c r="CL280" s="257">
        <v>0</v>
      </c>
      <c r="CM280" s="257">
        <v>0</v>
      </c>
      <c r="CN280" s="257" t="s">
        <v>3074</v>
      </c>
      <c r="CO280" s="257">
        <v>69.827586210000007</v>
      </c>
      <c r="CP280" s="257">
        <v>81.736456810000007</v>
      </c>
      <c r="CQ280" s="257">
        <v>24.303817551020408</v>
      </c>
      <c r="CR280" s="257">
        <v>-8.4285714289999998</v>
      </c>
      <c r="CS280" s="257">
        <v>-12.163201559999999</v>
      </c>
      <c r="CT280" s="257">
        <v>-3.7346301309999995E-3</v>
      </c>
      <c r="CU280" s="257">
        <v>-1.536643419561549E-4</v>
      </c>
      <c r="CV280" s="258">
        <v>-0.44309171043509699</v>
      </c>
      <c r="CW280" s="256" t="s">
        <v>235</v>
      </c>
      <c r="CX280" s="257" t="s">
        <v>3075</v>
      </c>
      <c r="CY280" s="257" t="s">
        <v>236</v>
      </c>
      <c r="CZ280" s="257"/>
      <c r="DA280" s="278"/>
      <c r="DB280" s="278">
        <v>80</v>
      </c>
      <c r="DC280" s="257" t="s">
        <v>3076</v>
      </c>
      <c r="DD280" s="257">
        <v>0</v>
      </c>
      <c r="DE280" s="257">
        <v>1</v>
      </c>
      <c r="DF280" s="257">
        <v>0</v>
      </c>
      <c r="DG280" s="257">
        <v>0</v>
      </c>
      <c r="DH280" s="257"/>
      <c r="DI280" s="257">
        <v>1</v>
      </c>
      <c r="DJ280" s="257" t="s">
        <v>174</v>
      </c>
      <c r="DK280" s="257">
        <v>0</v>
      </c>
      <c r="DL280" s="257" t="s">
        <v>181</v>
      </c>
      <c r="DM280" s="257">
        <v>0</v>
      </c>
      <c r="DN280" s="257">
        <v>0</v>
      </c>
      <c r="DO280" s="257">
        <v>0</v>
      </c>
      <c r="DP280" s="278">
        <v>0</v>
      </c>
      <c r="DQ280" s="278">
        <v>0</v>
      </c>
      <c r="DR280" s="278">
        <v>0</v>
      </c>
      <c r="DS280" s="278">
        <v>0</v>
      </c>
      <c r="DT280" s="257">
        <v>0</v>
      </c>
      <c r="DU280" s="278" t="s">
        <v>964</v>
      </c>
      <c r="DV280" s="278">
        <v>1</v>
      </c>
      <c r="DW280" s="278">
        <v>1</v>
      </c>
      <c r="DX280" s="278">
        <v>1</v>
      </c>
      <c r="DY280" s="278">
        <v>0</v>
      </c>
      <c r="DZ280" s="257">
        <v>0</v>
      </c>
      <c r="EA280" s="278">
        <v>0</v>
      </c>
      <c r="EB280" s="278">
        <v>1</v>
      </c>
      <c r="EC280" s="278">
        <v>1</v>
      </c>
      <c r="ED280" s="278">
        <v>0</v>
      </c>
      <c r="EE280" s="278">
        <v>0</v>
      </c>
      <c r="EF280" s="257">
        <v>1</v>
      </c>
      <c r="EG280" s="278">
        <v>0</v>
      </c>
      <c r="EH280" s="257">
        <v>0</v>
      </c>
      <c r="EI280" s="258">
        <v>0</v>
      </c>
      <c r="EJ280" s="256"/>
      <c r="EK280" t="str">
        <f>IF(AND(AND(AND(OR($DX280=1,$DW280=1),OR($EC280=1,$EA280=1)),SUM($DV280:$DZ280,$EF280)&gt;=4),SUM($EA280:$EE280)&gt;=2),"Whole sector","")</f>
        <v>Whole sector</v>
      </c>
      <c r="EL280" t="str">
        <f>IF(AND(AND(OR($DX280=1,$DW280=1),AND($EC280=0,$EA280=0)),SUM($DV280:$DZ280,$EF280)&gt;=4),"Ecosystem approach","")</f>
        <v/>
      </c>
      <c r="EM280" s="258" t="s">
        <v>545</v>
      </c>
      <c r="EN280" s="257" t="s">
        <v>237</v>
      </c>
      <c r="EO280" s="257"/>
      <c r="EP280" t="str">
        <f>IF(ISNUMBER(BU280),IF(ABS(BU280-[3]QC_indicators!$B$2)&gt;3*[3]QC_indicators!$C$2,"C ratio",IF(ISNUMBER(BY280),IF(ABS(BY280-[3]QC_indicators!$B$1)&gt;3*[3]QC_indicators!$C$1,"DF","no"))),IF(ISNUMBER(BY280),IF(ABS(BY280-[3]QC_indicators!$B$1)&gt;3*[3]QC_indicators!$C$1,"DF","no")))</f>
        <v>no</v>
      </c>
      <c r="EQ280" s="282"/>
      <c r="ER280" s="282"/>
      <c r="ES280" s="282"/>
      <c r="ET280"/>
      <c r="EU280"/>
    </row>
    <row r="281" spans="1:151" s="139" customFormat="1" ht="15" hidden="1" customHeight="1">
      <c r="A281" s="256" t="s">
        <v>215</v>
      </c>
      <c r="B281" s="257" t="s">
        <v>216</v>
      </c>
      <c r="C281" s="257" t="s">
        <v>217</v>
      </c>
      <c r="D281" s="257" t="s">
        <v>218</v>
      </c>
      <c r="E281" s="257" t="s">
        <v>219</v>
      </c>
      <c r="F281" s="257" t="s">
        <v>220</v>
      </c>
      <c r="G281" s="257" t="s">
        <v>221</v>
      </c>
      <c r="H281" s="257"/>
      <c r="I281" s="257">
        <v>2012</v>
      </c>
      <c r="J281" s="257"/>
      <c r="K281" s="257" t="s">
        <v>222</v>
      </c>
      <c r="L281" s="257"/>
      <c r="M281" s="257" t="s">
        <v>3072</v>
      </c>
      <c r="N281" s="257" t="s">
        <v>223</v>
      </c>
      <c r="O281" s="277" t="s">
        <v>224</v>
      </c>
      <c r="P281" s="257"/>
      <c r="Q281" s="257" t="s">
        <v>225</v>
      </c>
      <c r="R281" s="258" t="s">
        <v>226</v>
      </c>
      <c r="S281" s="256" t="s">
        <v>242</v>
      </c>
      <c r="T281" s="257" t="s">
        <v>243</v>
      </c>
      <c r="U281" s="278" t="s">
        <v>244</v>
      </c>
      <c r="V281" s="257">
        <v>0</v>
      </c>
      <c r="W281" s="257">
        <v>0</v>
      </c>
      <c r="X281" s="257">
        <v>0</v>
      </c>
      <c r="Y281" s="257">
        <v>0</v>
      </c>
      <c r="Z281" s="257">
        <v>0</v>
      </c>
      <c r="AA281" s="257">
        <v>0</v>
      </c>
      <c r="AB281" s="257">
        <v>0</v>
      </c>
      <c r="AC281" s="257">
        <v>1</v>
      </c>
      <c r="AD281" s="257">
        <v>0</v>
      </c>
      <c r="AE281" s="257">
        <v>0</v>
      </c>
      <c r="AF281" s="257">
        <v>0</v>
      </c>
      <c r="AG281" s="257">
        <v>0</v>
      </c>
      <c r="AH281" s="257">
        <v>0</v>
      </c>
      <c r="AI281" s="257">
        <v>0</v>
      </c>
      <c r="AJ281" s="257">
        <v>0</v>
      </c>
      <c r="AK281" s="257">
        <v>0</v>
      </c>
      <c r="AL281" s="257">
        <v>0</v>
      </c>
      <c r="AM281" s="257">
        <v>0</v>
      </c>
      <c r="AN281" s="257">
        <v>0</v>
      </c>
      <c r="AO281" s="257">
        <v>0</v>
      </c>
      <c r="AP281" s="257">
        <v>0</v>
      </c>
      <c r="AQ281" s="257">
        <v>0</v>
      </c>
      <c r="AR281" s="257">
        <v>0</v>
      </c>
      <c r="AS281" s="257">
        <v>0</v>
      </c>
      <c r="AT281" s="257">
        <v>0</v>
      </c>
      <c r="AU281" s="257">
        <v>0</v>
      </c>
      <c r="AV281" s="257">
        <v>0</v>
      </c>
      <c r="AW281" s="257">
        <v>0</v>
      </c>
      <c r="AX281" s="279">
        <v>1</v>
      </c>
      <c r="AY281" s="279">
        <v>1</v>
      </c>
      <c r="AZ281" s="257">
        <v>1</v>
      </c>
      <c r="BA281" s="257">
        <v>0</v>
      </c>
      <c r="BB281" s="257">
        <v>0</v>
      </c>
      <c r="BC281" s="257">
        <v>0</v>
      </c>
      <c r="BD281" s="257">
        <v>0</v>
      </c>
      <c r="BE281" s="257" t="s">
        <v>96</v>
      </c>
      <c r="BF281" s="2" t="str" cm="1">
        <f t="array" ref="BF281">IF(COUNTIF(AZ281:BB281,"&lt;&gt;0")=1,INDEX($V$4:$AW$4,MATCH(TRUE,INDEX($V281:$AW281&lt;&gt;0,),0)),IF(COUNTIF(AZ281:BB281,"&lt;&gt;0")=0,INDEX($AM$4:$AW$4,MATCH(1,$AM281:$AW281,0)),"Multiple strategies"))</f>
        <v>SilvicultureProd</v>
      </c>
      <c r="BG281" s="280" t="s">
        <v>230</v>
      </c>
      <c r="BH281" s="257" t="s">
        <v>231</v>
      </c>
      <c r="BI281" s="281" t="s">
        <v>3073</v>
      </c>
      <c r="BJ281" s="278" t="s">
        <v>232</v>
      </c>
      <c r="BK281" s="257">
        <v>74.931604761787398</v>
      </c>
      <c r="BL281" s="257">
        <v>81.736456808199094</v>
      </c>
      <c r="BM281" s="278">
        <v>1.0908141773827582</v>
      </c>
      <c r="BN281" s="257">
        <v>6.8048520464116962</v>
      </c>
      <c r="BO281" s="278">
        <v>13.887453155942238</v>
      </c>
      <c r="BP281" s="278" t="s">
        <v>233</v>
      </c>
      <c r="BQ281" s="281" t="s">
        <v>2627</v>
      </c>
      <c r="BR281" s="278" t="s">
        <v>234</v>
      </c>
      <c r="BS281" s="257">
        <v>-8.5161560643777907</v>
      </c>
      <c r="BT281" s="257">
        <v>-12.163201561737401</v>
      </c>
      <c r="BU281" s="259">
        <v>1.4282501952512152</v>
      </c>
      <c r="BV281" s="257">
        <v>-3.6470454973596098</v>
      </c>
      <c r="BW281" s="257"/>
      <c r="BX281" s="257">
        <v>-3.6470454973596099E-3</v>
      </c>
      <c r="BY281" s="257">
        <v>-2.626144229908054E-4</v>
      </c>
      <c r="BZ281" s="257">
        <v>0</v>
      </c>
      <c r="CA281" s="257">
        <v>0</v>
      </c>
      <c r="CB281" s="257">
        <v>0</v>
      </c>
      <c r="CC281" s="257">
        <v>0</v>
      </c>
      <c r="CD281" s="257">
        <v>0</v>
      </c>
      <c r="CE281" s="257">
        <v>0</v>
      </c>
      <c r="CF281" s="257">
        <v>0</v>
      </c>
      <c r="CG281" s="257">
        <v>0</v>
      </c>
      <c r="CH281" s="257">
        <v>0</v>
      </c>
      <c r="CI281" s="257">
        <v>0</v>
      </c>
      <c r="CJ281" s="257">
        <v>0</v>
      </c>
      <c r="CK281" s="257">
        <v>0</v>
      </c>
      <c r="CL281" s="257">
        <v>0</v>
      </c>
      <c r="CM281" s="257">
        <v>0</v>
      </c>
      <c r="CN281" s="257" t="s">
        <v>3074</v>
      </c>
      <c r="CO281" s="257">
        <v>74.931604761787398</v>
      </c>
      <c r="CP281" s="257">
        <v>81.736456808199094</v>
      </c>
      <c r="CQ281" s="257">
        <v>13.887453155942238</v>
      </c>
      <c r="CR281" s="257">
        <v>-8.5161560643777907</v>
      </c>
      <c r="CS281" s="257">
        <v>-12.163201561737401</v>
      </c>
      <c r="CT281" s="257">
        <v>-3.6470454973596099E-3</v>
      </c>
      <c r="CU281" s="257">
        <v>-2.626144229908054E-4</v>
      </c>
      <c r="CV281" s="258">
        <v>-0.42825019525121527</v>
      </c>
      <c r="CW281" s="256" t="s">
        <v>235</v>
      </c>
      <c r="CX281" s="257" t="s">
        <v>3075</v>
      </c>
      <c r="CY281" s="257" t="s">
        <v>236</v>
      </c>
      <c r="CZ281" s="257"/>
      <c r="DA281" s="278"/>
      <c r="DB281" s="278">
        <v>80</v>
      </c>
      <c r="DC281" s="257" t="s">
        <v>3076</v>
      </c>
      <c r="DD281" s="257">
        <v>0</v>
      </c>
      <c r="DE281" s="257">
        <v>1</v>
      </c>
      <c r="DF281" s="257">
        <v>0</v>
      </c>
      <c r="DG281" s="257">
        <v>0</v>
      </c>
      <c r="DH281" s="257"/>
      <c r="DI281" s="257">
        <v>1</v>
      </c>
      <c r="DJ281" s="257" t="s">
        <v>174</v>
      </c>
      <c r="DK281" s="257">
        <v>0</v>
      </c>
      <c r="DL281" s="257" t="s">
        <v>181</v>
      </c>
      <c r="DM281" s="257">
        <v>0</v>
      </c>
      <c r="DN281" s="257">
        <v>0</v>
      </c>
      <c r="DO281" s="257">
        <v>0</v>
      </c>
      <c r="DP281" s="278">
        <v>0</v>
      </c>
      <c r="DQ281" s="278">
        <v>0</v>
      </c>
      <c r="DR281" s="278">
        <v>0</v>
      </c>
      <c r="DS281" s="278">
        <v>0</v>
      </c>
      <c r="DT281" s="257">
        <v>0</v>
      </c>
      <c r="DU281" s="278" t="s">
        <v>964</v>
      </c>
      <c r="DV281" s="278">
        <v>1</v>
      </c>
      <c r="DW281" s="278">
        <v>1</v>
      </c>
      <c r="DX281" s="278">
        <v>1</v>
      </c>
      <c r="DY281" s="278">
        <v>0</v>
      </c>
      <c r="DZ281" s="257">
        <v>0</v>
      </c>
      <c r="EA281" s="278">
        <v>0</v>
      </c>
      <c r="EB281" s="278">
        <v>1</v>
      </c>
      <c r="EC281" s="278">
        <v>1</v>
      </c>
      <c r="ED281" s="278">
        <v>0</v>
      </c>
      <c r="EE281" s="278">
        <v>0</v>
      </c>
      <c r="EF281" s="257">
        <v>1</v>
      </c>
      <c r="EG281" s="278">
        <v>0</v>
      </c>
      <c r="EH281" s="257">
        <v>0</v>
      </c>
      <c r="EI281" s="258">
        <v>0</v>
      </c>
      <c r="EJ281" s="256"/>
      <c r="EK281" t="str">
        <f>IF(AND(AND(AND(OR($DX281=1,$DW281=1),OR($EC281=1,$EA281=1)),SUM($DV281:$DZ281,$EF281)&gt;=4),SUM($EA281:$EE281)&gt;=2),"Whole sector","")</f>
        <v>Whole sector</v>
      </c>
      <c r="EL281" t="str">
        <f>IF(AND(AND(OR($DX281=1,$DW281=1),AND($EC281=0,$EA281=0)),SUM($DV281:$DZ281,$EF281)&gt;=4),"Ecosystem approach","")</f>
        <v/>
      </c>
      <c r="EM281" s="258" t="s">
        <v>545</v>
      </c>
      <c r="EN281" s="257" t="s">
        <v>237</v>
      </c>
      <c r="EO281" s="257"/>
      <c r="EP281" t="str">
        <f>IF(ISNUMBER(BU281),IF(ABS(BU281-[3]QC_indicators!$B$2)&gt;3*[3]QC_indicators!$C$2,"C ratio",IF(ISNUMBER(BY281),IF(ABS(BY281-[3]QC_indicators!$B$1)&gt;3*[3]QC_indicators!$C$1,"DF","no"))),IF(ISNUMBER(BY281),IF(ABS(BY281-[3]QC_indicators!$B$1)&gt;3*[3]QC_indicators!$C$1,"DF","no")))</f>
        <v>no</v>
      </c>
      <c r="EQ281"/>
      <c r="ER281"/>
      <c r="ES281"/>
      <c r="ET281"/>
      <c r="EU281"/>
    </row>
    <row r="282" spans="1:151" s="139" customFormat="1" ht="15" hidden="1" customHeight="1">
      <c r="A282" s="1" t="s">
        <v>1959</v>
      </c>
      <c r="B282" t="s">
        <v>1960</v>
      </c>
      <c r="C282" t="s">
        <v>1961</v>
      </c>
      <c r="D282" t="s">
        <v>1962</v>
      </c>
      <c r="E282" t="s">
        <v>1963</v>
      </c>
      <c r="F282" t="s">
        <v>1964</v>
      </c>
      <c r="G282" t="s">
        <v>1965</v>
      </c>
      <c r="H282" t="s">
        <v>255</v>
      </c>
      <c r="I282">
        <v>2020</v>
      </c>
      <c r="J282">
        <v>5</v>
      </c>
      <c r="K282" t="s">
        <v>1966</v>
      </c>
      <c r="L282"/>
      <c r="M282" t="str">
        <f>LEFT($D282,FIND(",",$D282)-1)&amp;"_"&amp;I282&amp;L282</f>
        <v>Lundholm_2020</v>
      </c>
      <c r="N282" t="s">
        <v>223</v>
      </c>
      <c r="O282" s="145" t="s">
        <v>226</v>
      </c>
      <c r="P282"/>
      <c r="Q282" s="266" t="s">
        <v>257</v>
      </c>
      <c r="R282" s="271" t="s">
        <v>1156</v>
      </c>
      <c r="S282" s="1" t="s">
        <v>1967</v>
      </c>
      <c r="T282" t="s">
        <v>1113</v>
      </c>
      <c r="U282" s="143" t="s">
        <v>1968</v>
      </c>
      <c r="V282">
        <v>0</v>
      </c>
      <c r="W282">
        <v>0</v>
      </c>
      <c r="X282">
        <v>0</v>
      </c>
      <c r="Y282">
        <v>2</v>
      </c>
      <c r="Z282">
        <v>0</v>
      </c>
      <c r="AA282">
        <v>0</v>
      </c>
      <c r="AB282">
        <v>0</v>
      </c>
      <c r="AC282">
        <v>0</v>
      </c>
      <c r="AD282">
        <v>0</v>
      </c>
      <c r="AE282">
        <v>0</v>
      </c>
      <c r="AF282">
        <v>0</v>
      </c>
      <c r="AG282">
        <v>0</v>
      </c>
      <c r="AH282">
        <v>0</v>
      </c>
      <c r="AI282">
        <v>0</v>
      </c>
      <c r="AJ282">
        <v>0</v>
      </c>
      <c r="AK282">
        <v>0</v>
      </c>
      <c r="AL282">
        <v>0</v>
      </c>
      <c r="AM282">
        <v>0</v>
      </c>
      <c r="AN282">
        <v>1</v>
      </c>
      <c r="AO282">
        <v>0</v>
      </c>
      <c r="AP282">
        <v>0</v>
      </c>
      <c r="AQ282">
        <v>2</v>
      </c>
      <c r="AR282">
        <v>0</v>
      </c>
      <c r="AS282">
        <v>0</v>
      </c>
      <c r="AT282">
        <v>0</v>
      </c>
      <c r="AU282">
        <v>2</v>
      </c>
      <c r="AV282">
        <v>0</v>
      </c>
      <c r="AW282">
        <v>0</v>
      </c>
      <c r="AX282" s="141">
        <f>COUNTIF(V282:AW282,"&lt;&gt;0")</f>
        <v>4</v>
      </c>
      <c r="AY282" s="141">
        <f>COUNTIF(V282:AL282,"&lt;&gt;0")</f>
        <v>1</v>
      </c>
      <c r="AZ282">
        <f>COUNTIF(V282:AC282,"&lt;&gt;0")</f>
        <v>1</v>
      </c>
      <c r="BA282">
        <f>COUNTIF(AD282:AI282,"&lt;&gt;0")</f>
        <v>0</v>
      </c>
      <c r="BB282">
        <f>COUNTIF(AJ282:AL282,"&lt;&gt;0")</f>
        <v>0</v>
      </c>
      <c r="BC282">
        <f>COUNTIF(AS282:AW282,"&lt;&gt;0")</f>
        <v>1</v>
      </c>
      <c r="BD282">
        <f>COUNTIF(AM282:AR282,"&lt;&gt;0")</f>
        <v>2</v>
      </c>
      <c r="BE282" t="str" cm="1">
        <f t="array" ref="BE282">IF(AY282=1,INDEX($V$7:$AL$7,MATCH(TRUE,INDEX($V282:$AW282&lt;&gt;0,),0)),IF(AY282=0,INDEX($AM$7:$AW$7,MATCH(1,$AM282:$AW282,0)),IF(BF282="Multiple strategies","mixed drivers",IF(BF282="Supply chain","multiple supply","multiple silviculture"))))</f>
        <v xml:space="preserve">cutting intensity </v>
      </c>
      <c r="BF282" s="2" t="str" cm="1">
        <f t="array" ref="BF282">IF(COUNTIF(AZ282:BB282,"&lt;&gt;0")=1,INDEX($V$4:$AW$4,MATCH(TRUE,INDEX($V282:$AW282&lt;&gt;0,),0)),IF(COUNTIF(AZ282:BB282,"&lt;&gt;0")=0,INDEX($AM$4:$AW$4,MATCH(1,$AM282:$AW282,0)),"Multiple strategies"))</f>
        <v>SilvicultureRemov</v>
      </c>
      <c r="BG282" s="142" t="s">
        <v>322</v>
      </c>
      <c r="BH282" t="s">
        <v>1436</v>
      </c>
      <c r="BI282"/>
      <c r="BJ282" s="143" t="s">
        <v>499</v>
      </c>
      <c r="BK282">
        <v>32797</v>
      </c>
      <c r="BL282" s="143">
        <v>42789</v>
      </c>
      <c r="BM282" s="163">
        <f>BL282/BK282</f>
        <v>1.3046620117693692</v>
      </c>
      <c r="BN282">
        <f>BL282-BK282</f>
        <v>9992</v>
      </c>
      <c r="BO282" s="159">
        <f>BN282</f>
        <v>9992</v>
      </c>
      <c r="BP282" t="s">
        <v>233</v>
      </c>
      <c r="BQ282"/>
      <c r="BR282" t="s">
        <v>1969</v>
      </c>
      <c r="BS282" s="143">
        <v>21.5</v>
      </c>
      <c r="BT282">
        <v>9.9</v>
      </c>
      <c r="BU282" s="144">
        <f>IFERROR(BT282/BS282,"")</f>
        <v>0.46046511627906977</v>
      </c>
      <c r="BV282">
        <f>BT282-BS282</f>
        <v>-11.6</v>
      </c>
      <c r="BW282"/>
      <c r="BX282"/>
      <c r="BY282">
        <f>IFERROR(BX282/BO282,"")</f>
        <v>0</v>
      </c>
      <c r="BZ282">
        <v>0</v>
      </c>
      <c r="CA282">
        <v>0</v>
      </c>
      <c r="CB282">
        <v>0</v>
      </c>
      <c r="CC282">
        <v>0</v>
      </c>
      <c r="CD282">
        <v>0</v>
      </c>
      <c r="CE282">
        <v>0</v>
      </c>
      <c r="CF282">
        <v>0</v>
      </c>
      <c r="CG282">
        <v>0</v>
      </c>
      <c r="CH282">
        <v>0</v>
      </c>
      <c r="CI282">
        <v>0</v>
      </c>
      <c r="CJ282">
        <v>1</v>
      </c>
      <c r="CK282">
        <v>0</v>
      </c>
      <c r="CL282">
        <v>1</v>
      </c>
      <c r="CM282">
        <v>1</v>
      </c>
      <c r="CN282" t="str">
        <f>IF($BL282&lt;$BK282,"refNeedCorrection","refOK")</f>
        <v>refOK</v>
      </c>
      <c r="CO282">
        <f>IF($CN282="refNeedCorrection",BL282,BK282)</f>
        <v>32797</v>
      </c>
      <c r="CP282">
        <f>IF($CN282="refNeedCorrection",BK282,BL282)</f>
        <v>42789</v>
      </c>
      <c r="CQ282">
        <f>IF($CN282="refOK",$BO282,-$BO282)</f>
        <v>9992</v>
      </c>
      <c r="CR282">
        <f>IF($CN282="refOK",$BS282,$BT282)*IF($BP282="Emissions positive",-1,1)</f>
        <v>21.5</v>
      </c>
      <c r="CS282">
        <f>IF($CN282="refOK",$BT282,$BS282)*IF($BP282="Emissions positive",-1,1)</f>
        <v>9.9</v>
      </c>
      <c r="CT282">
        <f>IF($CN282="refNeedCorrection",-BX282,BX282)*IF($BP282="Emissions positive",-1,1)</f>
        <v>0</v>
      </c>
      <c r="CU282">
        <f>IFERROR(CT282/CQ282,"")</f>
        <v>0</v>
      </c>
      <c r="CV282" s="2">
        <f>IFERROR((CS282-CR282)/ABS(CR282),"")</f>
        <v>-0.53953488372093017</v>
      </c>
      <c r="CW282" s="1" t="s">
        <v>1201</v>
      </c>
      <c r="CX282" s="266" t="str">
        <f>IF(OR($CW282="prd",$CW282="std",$CW282="cit"),"loc",IF(OR($CW282="eur",$CW282="reg",$CW282="coy"),"reg",$CW282))</f>
        <v>reg</v>
      </c>
      <c r="CY282" t="s">
        <v>1970</v>
      </c>
      <c r="CZ282">
        <v>2021</v>
      </c>
      <c r="DA282" s="143">
        <v>2110</v>
      </c>
      <c r="DB282" s="143">
        <f>DA282-CZ282</f>
        <v>89</v>
      </c>
      <c r="DC282" t="str">
        <f>IF(DB282=0,"0",IF(AND(DB282&gt;=1,DB282&lt;=30),"1-30",IF(AND(DB282&gt;30,DB282&lt;=70),"31-70",IF(AND(DB282&gt;70,DB282&lt;=100),"71-100",IF(DB282&gt;100,"+100")))))</f>
        <v>71-100</v>
      </c>
      <c r="DD282">
        <v>0</v>
      </c>
      <c r="DE282">
        <v>1</v>
      </c>
      <c r="DF282">
        <v>1</v>
      </c>
      <c r="DG282">
        <v>1</v>
      </c>
      <c r="DH282"/>
      <c r="DI282">
        <f>SUM(DD282:DG282)</f>
        <v>3</v>
      </c>
      <c r="DJ282" t="str">
        <f>IF(DI282=1,INDEX($DD$7:$DG$7,MATCH(1,$DD282:$DG282,0)),"mixedProduct")</f>
        <v>mixedProduct</v>
      </c>
      <c r="DK282">
        <f>IF(DD282=1,DK$7,0)</f>
        <v>0</v>
      </c>
      <c r="DL282" t="str">
        <f>IF(DE282=1,DL$7,0)</f>
        <v>Energy</v>
      </c>
      <c r="DM282" t="str">
        <f>IF(DF282=1,DM$7,0)</f>
        <v>Pulp/Paper</v>
      </c>
      <c r="DN282" t="str">
        <f>IF(DG282=1,DN$7,0)</f>
        <v>Timber</v>
      </c>
      <c r="DO282">
        <v>0</v>
      </c>
      <c r="DP282" s="143">
        <v>1</v>
      </c>
      <c r="DQ282" t="s">
        <v>1971</v>
      </c>
      <c r="DR282" t="s">
        <v>1972</v>
      </c>
      <c r="DS282" s="143">
        <v>0</v>
      </c>
      <c r="DT282">
        <f>SUM(DO282:DP282)</f>
        <v>1</v>
      </c>
      <c r="DU282" s="143" t="str">
        <f>IF(DO282=1,"self-calculated DF",IF(DP282=1,"external DF used","explicit C balance"))</f>
        <v>external DF used</v>
      </c>
      <c r="DV282" s="143">
        <v>1</v>
      </c>
      <c r="DW282" s="143">
        <v>1</v>
      </c>
      <c r="DX282" s="143">
        <v>1</v>
      </c>
      <c r="DY282" s="143">
        <v>1</v>
      </c>
      <c r="DZ282">
        <v>1</v>
      </c>
      <c r="EA282" s="143">
        <v>1</v>
      </c>
      <c r="EB282" s="143">
        <v>0</v>
      </c>
      <c r="EC282" s="143">
        <v>0</v>
      </c>
      <c r="ED282" s="143">
        <v>0</v>
      </c>
      <c r="EE282">
        <v>0</v>
      </c>
      <c r="EF282">
        <v>1</v>
      </c>
      <c r="EG282" s="143">
        <v>0</v>
      </c>
      <c r="EH282">
        <v>0</v>
      </c>
      <c r="EI282" s="2">
        <v>0</v>
      </c>
      <c r="EJ282" s="1"/>
      <c r="EK282" t="str">
        <f>IF(AND(AND(AND(OR($DX282=1,$DW282=1),OR($EC282=1,$EA282=1)),SUM($DV282:$DZ282,$EF282)&gt;=4),SUM($EA282:$EE282)&gt;=2),"Whole sector","")</f>
        <v/>
      </c>
      <c r="EL282" t="str">
        <f>IF(AND(AND(OR($DX282=1,$DW282=1),AND($EC282=0,$EA282=0)),SUM($DV282:$DZ282,$EF282)&gt;=4),"Ecosystem approach","")</f>
        <v/>
      </c>
      <c r="EM282" s="2" t="str">
        <f>IF(AND(AND(AND($DX282=0,$DW282=0),OR($EC282=1,$EA282=1)),SUM($EB282:$EE282)&gt;=2),"Technology approach","")</f>
        <v/>
      </c>
      <c r="EN282"/>
      <c r="EO282"/>
      <c r="EP282" t="str">
        <f>IF(ISNUMBER(BU282),IF(ABS(BU282-[1]QC_indicators!$B$2)&gt;3*[1]QC_indicators!$C$2,"C ratio",IF(ISNUMBER(BY282),IF(ABS(BY282-[1]QC_indicators!$B$1)&gt;3*[1]QC_indicators!$C$1,"DF","no"))),IF(ISNUMBER(BY282),IF(ABS(BY282-[1]QC_indicators!$B$1)&gt;3*[1]QC_indicators!$C$1,"DF","no")))</f>
        <v>no</v>
      </c>
      <c r="EQ282"/>
      <c r="ER282"/>
      <c r="ES282"/>
      <c r="ET282" s="266" t="s">
        <v>3409</v>
      </c>
      <c r="EU282"/>
    </row>
    <row r="283" spans="1:151" s="139" customFormat="1" ht="15" hidden="1" customHeight="1">
      <c r="A283" s="1" t="s">
        <v>1959</v>
      </c>
      <c r="B283" t="s">
        <v>1960</v>
      </c>
      <c r="C283" t="s">
        <v>1961</v>
      </c>
      <c r="D283" t="s">
        <v>1962</v>
      </c>
      <c r="E283" t="s">
        <v>1963</v>
      </c>
      <c r="F283" t="s">
        <v>1964</v>
      </c>
      <c r="G283" t="s">
        <v>1965</v>
      </c>
      <c r="H283" t="s">
        <v>255</v>
      </c>
      <c r="I283">
        <v>2020</v>
      </c>
      <c r="J283">
        <v>5</v>
      </c>
      <c r="K283" t="s">
        <v>1966</v>
      </c>
      <c r="L283"/>
      <c r="M283" t="str">
        <f>LEFT($D283,FIND(",",$D283)-1)&amp;"_"&amp;I283&amp;L283</f>
        <v>Lundholm_2020</v>
      </c>
      <c r="N283" t="s">
        <v>223</v>
      </c>
      <c r="O283" s="145" t="s">
        <v>226</v>
      </c>
      <c r="P283"/>
      <c r="Q283" s="266" t="s">
        <v>257</v>
      </c>
      <c r="R283" s="271" t="s">
        <v>1156</v>
      </c>
      <c r="S283" s="1" t="s">
        <v>1967</v>
      </c>
      <c r="T283" t="s">
        <v>1113</v>
      </c>
      <c r="U283" s="143" t="s">
        <v>1968</v>
      </c>
      <c r="V283">
        <v>0</v>
      </c>
      <c r="W283">
        <v>0</v>
      </c>
      <c r="X283">
        <v>0</v>
      </c>
      <c r="Y283">
        <v>2</v>
      </c>
      <c r="Z283">
        <v>0</v>
      </c>
      <c r="AA283">
        <v>0</v>
      </c>
      <c r="AB283">
        <v>0</v>
      </c>
      <c r="AC283">
        <v>0</v>
      </c>
      <c r="AD283">
        <v>0</v>
      </c>
      <c r="AE283">
        <v>0</v>
      </c>
      <c r="AF283">
        <v>0</v>
      </c>
      <c r="AG283">
        <v>0</v>
      </c>
      <c r="AH283">
        <v>0</v>
      </c>
      <c r="AI283">
        <v>0</v>
      </c>
      <c r="AJ283">
        <v>0</v>
      </c>
      <c r="AK283">
        <v>0</v>
      </c>
      <c r="AL283">
        <v>0</v>
      </c>
      <c r="AM283">
        <v>0</v>
      </c>
      <c r="AN283">
        <v>1</v>
      </c>
      <c r="AO283">
        <v>0</v>
      </c>
      <c r="AP283">
        <v>0</v>
      </c>
      <c r="AQ283">
        <v>2</v>
      </c>
      <c r="AR283">
        <v>0</v>
      </c>
      <c r="AS283">
        <v>0</v>
      </c>
      <c r="AT283">
        <v>0</v>
      </c>
      <c r="AU283">
        <v>2</v>
      </c>
      <c r="AV283">
        <v>0</v>
      </c>
      <c r="AW283">
        <v>0</v>
      </c>
      <c r="AX283" s="141">
        <f>COUNTIF(V283:AW283,"&lt;&gt;0")</f>
        <v>4</v>
      </c>
      <c r="AY283" s="141">
        <f>COUNTIF(V283:AL283,"&lt;&gt;0")</f>
        <v>1</v>
      </c>
      <c r="AZ283">
        <f>COUNTIF(V283:AC283,"&lt;&gt;0")</f>
        <v>1</v>
      </c>
      <c r="BA283">
        <f>COUNTIF(AD283:AI283,"&lt;&gt;0")</f>
        <v>0</v>
      </c>
      <c r="BB283">
        <f>COUNTIF(AJ283:AL283,"&lt;&gt;0")</f>
        <v>0</v>
      </c>
      <c r="BC283">
        <f>COUNTIF(AS283:AW283,"&lt;&gt;0")</f>
        <v>1</v>
      </c>
      <c r="BD283">
        <f>COUNTIF(AM283:AR283,"&lt;&gt;0")</f>
        <v>2</v>
      </c>
      <c r="BE283" t="str" cm="1">
        <f t="array" ref="BE283">IF(AY283=1,INDEX($V$7:$AL$7,MATCH(TRUE,INDEX($V283:$AW283&lt;&gt;0,),0)),IF(AY283=0,INDEX($AM$7:$AW$7,MATCH(1,$AM283:$AW283,0)),IF(BF283="Multiple strategies","mixed drivers",IF(BF283="Supply chain","multiple supply","multiple silviculture"))))</f>
        <v xml:space="preserve">cutting intensity </v>
      </c>
      <c r="BF283" s="2" t="str" cm="1">
        <f t="array" ref="BF283">IF(COUNTIF(AZ283:BB283,"&lt;&gt;0")=1,INDEX($V$4:$AW$4,MATCH(TRUE,INDEX($V283:$AW283&lt;&gt;0,),0)),IF(COUNTIF(AZ283:BB283,"&lt;&gt;0")=0,INDEX($AM$4:$AW$4,MATCH(1,$AM283:$AW283,0)),"Multiple strategies"))</f>
        <v>SilvicultureRemov</v>
      </c>
      <c r="BG283" s="142" t="s">
        <v>322</v>
      </c>
      <c r="BH283" t="s">
        <v>1436</v>
      </c>
      <c r="BI283"/>
      <c r="BJ283" s="143" t="s">
        <v>499</v>
      </c>
      <c r="BK283">
        <v>32797</v>
      </c>
      <c r="BL283" s="143">
        <v>45223</v>
      </c>
      <c r="BM283" s="163">
        <f>BL283/BK283</f>
        <v>1.3788761167179926</v>
      </c>
      <c r="BN283">
        <f>BL283-BK283</f>
        <v>12426</v>
      </c>
      <c r="BO283" s="159">
        <f>BN283</f>
        <v>12426</v>
      </c>
      <c r="BP283" t="s">
        <v>233</v>
      </c>
      <c r="BQ283"/>
      <c r="BR283" t="s">
        <v>1969</v>
      </c>
      <c r="BS283" s="143">
        <v>21.5</v>
      </c>
      <c r="BT283">
        <v>7.6</v>
      </c>
      <c r="BU283" s="144">
        <f>IFERROR(BT283/BS283,"")</f>
        <v>0.35348837209302325</v>
      </c>
      <c r="BV283">
        <f>BT283-BS283</f>
        <v>-13.9</v>
      </c>
      <c r="BW283"/>
      <c r="BX283"/>
      <c r="BY283">
        <f>IFERROR(BX283/BO283,"")</f>
        <v>0</v>
      </c>
      <c r="BZ283">
        <v>0</v>
      </c>
      <c r="CA283">
        <v>0</v>
      </c>
      <c r="CB283">
        <v>0</v>
      </c>
      <c r="CC283">
        <v>0</v>
      </c>
      <c r="CD283">
        <v>0</v>
      </c>
      <c r="CE283">
        <v>0</v>
      </c>
      <c r="CF283">
        <v>0</v>
      </c>
      <c r="CG283">
        <v>0</v>
      </c>
      <c r="CH283">
        <v>0</v>
      </c>
      <c r="CI283">
        <v>0</v>
      </c>
      <c r="CJ283">
        <v>1</v>
      </c>
      <c r="CK283">
        <v>0</v>
      </c>
      <c r="CL283">
        <v>1</v>
      </c>
      <c r="CM283">
        <v>1</v>
      </c>
      <c r="CN283" t="str">
        <f>IF($BL283&lt;$BK283,"refNeedCorrection","refOK")</f>
        <v>refOK</v>
      </c>
      <c r="CO283">
        <f>IF($CN283="refNeedCorrection",BL283,BK283)</f>
        <v>32797</v>
      </c>
      <c r="CP283">
        <f>IF($CN283="refNeedCorrection",BK283,BL283)</f>
        <v>45223</v>
      </c>
      <c r="CQ283">
        <f>IF($CN283="refOK",$BO283,-$BO283)</f>
        <v>12426</v>
      </c>
      <c r="CR283">
        <f>IF($CN283="refOK",$BS283,$BT283)*IF($BP283="Emissions positive",-1,1)</f>
        <v>21.5</v>
      </c>
      <c r="CS283">
        <f>IF($CN283="refOK",$BT283,$BS283)*IF($BP283="Emissions positive",-1,1)</f>
        <v>7.6</v>
      </c>
      <c r="CT283">
        <f>IF($CN283="refNeedCorrection",-BX283,BX283)*IF($BP283="Emissions positive",-1,1)</f>
        <v>0</v>
      </c>
      <c r="CU283">
        <f>IFERROR(CT283/CQ283,"")</f>
        <v>0</v>
      </c>
      <c r="CV283" s="2">
        <f>IFERROR((CS283-CR283)/ABS(CR283),"")</f>
        <v>-0.6465116279069768</v>
      </c>
      <c r="CW283" s="1" t="s">
        <v>1201</v>
      </c>
      <c r="CX283" s="266" t="str">
        <f>IF(OR($CW283="prd",$CW283="std",$CW283="cit"),"loc",IF(OR($CW283="eur",$CW283="reg",$CW283="coy"),"reg",$CW283))</f>
        <v>reg</v>
      </c>
      <c r="CY283" t="s">
        <v>1970</v>
      </c>
      <c r="CZ283">
        <v>2021</v>
      </c>
      <c r="DA283" s="143">
        <v>2110</v>
      </c>
      <c r="DB283" s="143">
        <f>DA283-CZ283</f>
        <v>89</v>
      </c>
      <c r="DC283" t="str">
        <f>IF(DB283=0,"0",IF(AND(DB283&gt;=1,DB283&lt;=30),"1-30",IF(AND(DB283&gt;30,DB283&lt;=70),"31-70",IF(AND(DB283&gt;70,DB283&lt;=100),"71-100",IF(DB283&gt;100,"+100")))))</f>
        <v>71-100</v>
      </c>
      <c r="DD283">
        <v>0</v>
      </c>
      <c r="DE283">
        <v>1</v>
      </c>
      <c r="DF283">
        <v>1</v>
      </c>
      <c r="DG283">
        <v>1</v>
      </c>
      <c r="DH283"/>
      <c r="DI283">
        <f>SUM(DD283:DG283)</f>
        <v>3</v>
      </c>
      <c r="DJ283" t="str">
        <f>IF(DI283=1,INDEX($DD$7:$DG$7,MATCH(1,$DD283:$DG283,0)),"mixedProduct")</f>
        <v>mixedProduct</v>
      </c>
      <c r="DK283">
        <f>IF(DD283=1,DK$7,0)</f>
        <v>0</v>
      </c>
      <c r="DL283" t="str">
        <f>IF(DE283=1,DL$7,0)</f>
        <v>Energy</v>
      </c>
      <c r="DM283" t="str">
        <f>IF(DF283=1,DM$7,0)</f>
        <v>Pulp/Paper</v>
      </c>
      <c r="DN283" t="str">
        <f>IF(DG283=1,DN$7,0)</f>
        <v>Timber</v>
      </c>
      <c r="DO283">
        <v>0</v>
      </c>
      <c r="DP283" s="143">
        <v>1</v>
      </c>
      <c r="DQ283" t="s">
        <v>1971</v>
      </c>
      <c r="DR283" t="s">
        <v>1972</v>
      </c>
      <c r="DS283" s="143">
        <v>0</v>
      </c>
      <c r="DT283">
        <f>SUM(DO283:DP283)</f>
        <v>1</v>
      </c>
      <c r="DU283" s="143" t="str">
        <f>IF(DO283=1,"self-calculated DF",IF(DP283=1,"external DF used","explicit C balance"))</f>
        <v>external DF used</v>
      </c>
      <c r="DV283" s="143">
        <v>1</v>
      </c>
      <c r="DW283" s="143">
        <v>1</v>
      </c>
      <c r="DX283" s="143">
        <v>1</v>
      </c>
      <c r="DY283" s="143">
        <v>1</v>
      </c>
      <c r="DZ283">
        <v>1</v>
      </c>
      <c r="EA283" s="143">
        <v>1</v>
      </c>
      <c r="EB283" s="143">
        <v>0</v>
      </c>
      <c r="EC283" s="143">
        <v>0</v>
      </c>
      <c r="ED283" s="143">
        <v>0</v>
      </c>
      <c r="EE283">
        <v>0</v>
      </c>
      <c r="EF283">
        <v>1</v>
      </c>
      <c r="EG283" s="143">
        <v>0</v>
      </c>
      <c r="EH283">
        <v>0</v>
      </c>
      <c r="EI283" s="2">
        <v>0</v>
      </c>
      <c r="EJ283" s="1"/>
      <c r="EK283" t="str">
        <f>IF(AND(AND(AND(OR($DX283=1,$DW283=1),OR($EC283=1,$EA283=1)),SUM($DV283:$DZ283,$EF283)&gt;=4),SUM($EA283:$EE283)&gt;=2),"Whole sector","")</f>
        <v/>
      </c>
      <c r="EL283" t="str">
        <f>IF(AND(AND(OR($DX283=1,$DW283=1),AND($EC283=0,$EA283=0)),SUM($DV283:$DZ283,$EF283)&gt;=4),"Ecosystem approach","")</f>
        <v/>
      </c>
      <c r="EM283" s="2" t="str">
        <f>IF(AND(AND(AND($DX283=0,$DW283=0),OR($EC283=1,$EA283=1)),SUM($EB283:$EE283)&gt;=2),"Technology approach","")</f>
        <v/>
      </c>
      <c r="EN283"/>
      <c r="EO283"/>
      <c r="EP283" t="str">
        <f>IF(ISNUMBER(BU283),IF(ABS(BU283-[1]QC_indicators!$B$2)&gt;3*[1]QC_indicators!$C$2,"C ratio",IF(ISNUMBER(BY283),IF(ABS(BY283-[1]QC_indicators!$B$1)&gt;3*[1]QC_indicators!$C$1,"DF","no"))),IF(ISNUMBER(BY283),IF(ABS(BY283-[1]QC_indicators!$B$1)&gt;3*[1]QC_indicators!$C$1,"DF","no")))</f>
        <v>no</v>
      </c>
      <c r="EQ283"/>
      <c r="ER283"/>
      <c r="ES283"/>
      <c r="ET283" s="266" t="s">
        <v>3409</v>
      </c>
      <c r="EU283"/>
    </row>
    <row r="284" spans="1:151" s="139" customFormat="1" ht="15" hidden="1" customHeight="1">
      <c r="A284" s="1" t="s">
        <v>1959</v>
      </c>
      <c r="B284" t="s">
        <v>1960</v>
      </c>
      <c r="C284" t="s">
        <v>1961</v>
      </c>
      <c r="D284" t="s">
        <v>1962</v>
      </c>
      <c r="E284" t="s">
        <v>1963</v>
      </c>
      <c r="F284" t="s">
        <v>1964</v>
      </c>
      <c r="G284" t="s">
        <v>1965</v>
      </c>
      <c r="H284" t="s">
        <v>255</v>
      </c>
      <c r="I284">
        <v>2020</v>
      </c>
      <c r="J284">
        <v>5</v>
      </c>
      <c r="K284" t="s">
        <v>1966</v>
      </c>
      <c r="L284"/>
      <c r="M284" t="str">
        <f>LEFT($D284,FIND(",",$D284)-1)&amp;"_"&amp;I284&amp;L284</f>
        <v>Lundholm_2020</v>
      </c>
      <c r="N284" t="s">
        <v>223</v>
      </c>
      <c r="O284" s="145" t="s">
        <v>226</v>
      </c>
      <c r="P284"/>
      <c r="Q284" s="266" t="s">
        <v>257</v>
      </c>
      <c r="R284" s="271" t="s">
        <v>1156</v>
      </c>
      <c r="S284" s="1" t="s">
        <v>1967</v>
      </c>
      <c r="T284" t="s">
        <v>1113</v>
      </c>
      <c r="U284" s="143" t="s">
        <v>1973</v>
      </c>
      <c r="V284">
        <v>0</v>
      </c>
      <c r="W284">
        <v>0</v>
      </c>
      <c r="X284">
        <v>0</v>
      </c>
      <c r="Y284">
        <v>2</v>
      </c>
      <c r="Z284">
        <v>0</v>
      </c>
      <c r="AA284">
        <v>0</v>
      </c>
      <c r="AB284">
        <v>0</v>
      </c>
      <c r="AC284">
        <v>0</v>
      </c>
      <c r="AD284">
        <v>0</v>
      </c>
      <c r="AE284">
        <v>0</v>
      </c>
      <c r="AF284">
        <v>0</v>
      </c>
      <c r="AG284">
        <v>0</v>
      </c>
      <c r="AH284">
        <v>0</v>
      </c>
      <c r="AI284">
        <v>0</v>
      </c>
      <c r="AJ284">
        <v>0</v>
      </c>
      <c r="AK284">
        <v>0</v>
      </c>
      <c r="AL284">
        <v>0</v>
      </c>
      <c r="AM284">
        <v>0</v>
      </c>
      <c r="AN284">
        <v>1</v>
      </c>
      <c r="AO284">
        <v>0</v>
      </c>
      <c r="AP284">
        <v>0</v>
      </c>
      <c r="AQ284">
        <v>2</v>
      </c>
      <c r="AR284">
        <v>0</v>
      </c>
      <c r="AS284">
        <v>0</v>
      </c>
      <c r="AT284">
        <v>0</v>
      </c>
      <c r="AU284">
        <v>2</v>
      </c>
      <c r="AV284">
        <v>0</v>
      </c>
      <c r="AW284">
        <v>0</v>
      </c>
      <c r="AX284" s="141">
        <f>COUNTIF(V284:AW284,"&lt;&gt;0")</f>
        <v>4</v>
      </c>
      <c r="AY284" s="141">
        <f>COUNTIF(V284:AL284,"&lt;&gt;0")</f>
        <v>1</v>
      </c>
      <c r="AZ284">
        <f>COUNTIF(V284:AC284,"&lt;&gt;0")</f>
        <v>1</v>
      </c>
      <c r="BA284">
        <f>COUNTIF(AD284:AI284,"&lt;&gt;0")</f>
        <v>0</v>
      </c>
      <c r="BB284">
        <f>COUNTIF(AJ284:AL284,"&lt;&gt;0")</f>
        <v>0</v>
      </c>
      <c r="BC284">
        <f>COUNTIF(AS284:AW284,"&lt;&gt;0")</f>
        <v>1</v>
      </c>
      <c r="BD284">
        <f>COUNTIF(AM284:AR284,"&lt;&gt;0")</f>
        <v>2</v>
      </c>
      <c r="BE284" t="str" cm="1">
        <f t="array" ref="BE284">IF(AY284=1,INDEX($V$7:$AL$7,MATCH(TRUE,INDEX($V284:$AW284&lt;&gt;0,),0)),IF(AY284=0,INDEX($AM$7:$AW$7,MATCH(1,$AM284:$AW284,0)),IF(BF284="Multiple strategies","mixed drivers",IF(BF284="Supply chain","multiple supply","multiple silviculture"))))</f>
        <v xml:space="preserve">cutting intensity </v>
      </c>
      <c r="BF284" s="2" t="str" cm="1">
        <f t="array" ref="BF284">IF(COUNTIF(AZ284:BB284,"&lt;&gt;0")=1,INDEX($V$4:$AW$4,MATCH(TRUE,INDEX($V284:$AW284&lt;&gt;0,),0)),IF(COUNTIF(AZ284:BB284,"&lt;&gt;0")=0,INDEX($AM$4:$AW$4,MATCH(1,$AM284:$AW284,0)),"Multiple strategies"))</f>
        <v>SilvicultureRemov</v>
      </c>
      <c r="BG284" s="142" t="s">
        <v>322</v>
      </c>
      <c r="BH284" t="s">
        <v>1436</v>
      </c>
      <c r="BI284"/>
      <c r="BJ284" s="143" t="s">
        <v>499</v>
      </c>
      <c r="BK284">
        <v>32797</v>
      </c>
      <c r="BL284" s="143">
        <v>52773</v>
      </c>
      <c r="BM284" s="163">
        <f>BL284/BK284</f>
        <v>1.6090800987895235</v>
      </c>
      <c r="BN284">
        <f>BL284-BK284</f>
        <v>19976</v>
      </c>
      <c r="BO284" s="159">
        <f>BN284</f>
        <v>19976</v>
      </c>
      <c r="BP284" t="s">
        <v>233</v>
      </c>
      <c r="BQ284"/>
      <c r="BR284" t="s">
        <v>1969</v>
      </c>
      <c r="BS284" s="143">
        <v>21.5</v>
      </c>
      <c r="BT284">
        <v>-11.7</v>
      </c>
      <c r="BU284" s="144">
        <f>IFERROR(BT284/BS284,"")</f>
        <v>-0.54418604651162783</v>
      </c>
      <c r="BV284">
        <f>BT284-BS284</f>
        <v>-33.200000000000003</v>
      </c>
      <c r="BW284"/>
      <c r="BX284"/>
      <c r="BY284">
        <f>IFERROR(BX284/BO284,"")</f>
        <v>0</v>
      </c>
      <c r="BZ284">
        <v>0</v>
      </c>
      <c r="CA284">
        <v>0</v>
      </c>
      <c r="CB284">
        <v>0</v>
      </c>
      <c r="CC284">
        <v>0</v>
      </c>
      <c r="CD284">
        <v>0</v>
      </c>
      <c r="CE284">
        <v>0</v>
      </c>
      <c r="CF284">
        <v>0</v>
      </c>
      <c r="CG284">
        <v>0</v>
      </c>
      <c r="CH284">
        <v>0</v>
      </c>
      <c r="CI284">
        <v>0</v>
      </c>
      <c r="CJ284">
        <v>1</v>
      </c>
      <c r="CK284">
        <v>0</v>
      </c>
      <c r="CL284">
        <v>1</v>
      </c>
      <c r="CM284">
        <v>1</v>
      </c>
      <c r="CN284" t="str">
        <f>IF($BL284&lt;$BK284,"refNeedCorrection","refOK")</f>
        <v>refOK</v>
      </c>
      <c r="CO284">
        <f>IF($CN284="refNeedCorrection",BL284,BK284)</f>
        <v>32797</v>
      </c>
      <c r="CP284">
        <f>IF($CN284="refNeedCorrection",BK284,BL284)</f>
        <v>52773</v>
      </c>
      <c r="CQ284">
        <f>IF($CN284="refOK",$BO284,-$BO284)</f>
        <v>19976</v>
      </c>
      <c r="CR284">
        <f>IF($CN284="refOK",$BS284,$BT284)*IF($BP284="Emissions positive",-1,1)</f>
        <v>21.5</v>
      </c>
      <c r="CS284">
        <f>IF($CN284="refOK",$BT284,$BS284)*IF($BP284="Emissions positive",-1,1)</f>
        <v>-11.7</v>
      </c>
      <c r="CT284">
        <f>IF($CN284="refNeedCorrection",-BX284,BX284)*IF($BP284="Emissions positive",-1,1)</f>
        <v>0</v>
      </c>
      <c r="CU284">
        <f>IFERROR(CT284/CQ284,"")</f>
        <v>0</v>
      </c>
      <c r="CV284" s="2">
        <f>IFERROR((CS284-CR284)/ABS(CR284),"")</f>
        <v>-1.5441860465116279</v>
      </c>
      <c r="CW284" s="1" t="s">
        <v>1201</v>
      </c>
      <c r="CX284" s="266" t="str">
        <f>IF(OR($CW284="prd",$CW284="std",$CW284="cit"),"loc",IF(OR($CW284="eur",$CW284="reg",$CW284="coy"),"reg",$CW284))</f>
        <v>reg</v>
      </c>
      <c r="CY284" t="s">
        <v>1970</v>
      </c>
      <c r="CZ284">
        <v>2021</v>
      </c>
      <c r="DA284" s="143">
        <v>2110</v>
      </c>
      <c r="DB284" s="143">
        <f>DA284-CZ284</f>
        <v>89</v>
      </c>
      <c r="DC284" t="str">
        <f>IF(DB284=0,"0",IF(AND(DB284&gt;=1,DB284&lt;=30),"1-30",IF(AND(DB284&gt;30,DB284&lt;=70),"31-70",IF(AND(DB284&gt;70,DB284&lt;=100),"71-100",IF(DB284&gt;100,"+100")))))</f>
        <v>71-100</v>
      </c>
      <c r="DD284">
        <v>0</v>
      </c>
      <c r="DE284">
        <v>1</v>
      </c>
      <c r="DF284">
        <v>1</v>
      </c>
      <c r="DG284">
        <v>1</v>
      </c>
      <c r="DH284"/>
      <c r="DI284">
        <f>SUM(DD284:DG284)</f>
        <v>3</v>
      </c>
      <c r="DJ284" t="str">
        <f>IF(DI284=1,INDEX($DD$7:$DG$7,MATCH(1,$DD284:$DG284,0)),"mixedProduct")</f>
        <v>mixedProduct</v>
      </c>
      <c r="DK284">
        <f>IF(DD284=1,DK$7,0)</f>
        <v>0</v>
      </c>
      <c r="DL284" t="str">
        <f>IF(DE284=1,DL$7,0)</f>
        <v>Energy</v>
      </c>
      <c r="DM284" t="str">
        <f>IF(DF284=1,DM$7,0)</f>
        <v>Pulp/Paper</v>
      </c>
      <c r="DN284" t="str">
        <f>IF(DG284=1,DN$7,0)</f>
        <v>Timber</v>
      </c>
      <c r="DO284">
        <v>0</v>
      </c>
      <c r="DP284" s="143">
        <v>1</v>
      </c>
      <c r="DQ284" t="s">
        <v>1971</v>
      </c>
      <c r="DR284" t="s">
        <v>1972</v>
      </c>
      <c r="DS284" s="143">
        <v>0</v>
      </c>
      <c r="DT284">
        <f>SUM(DO284:DP284)</f>
        <v>1</v>
      </c>
      <c r="DU284" s="143" t="str">
        <f>IF(DO284=1,"self-calculated DF",IF(DP284=1,"external DF used","explicit C balance"))</f>
        <v>external DF used</v>
      </c>
      <c r="DV284" s="143">
        <v>1</v>
      </c>
      <c r="DW284" s="143">
        <v>1</v>
      </c>
      <c r="DX284" s="143">
        <v>1</v>
      </c>
      <c r="DY284" s="143">
        <v>1</v>
      </c>
      <c r="DZ284">
        <v>1</v>
      </c>
      <c r="EA284" s="143">
        <v>1</v>
      </c>
      <c r="EB284" s="143">
        <v>0</v>
      </c>
      <c r="EC284" s="143">
        <v>0</v>
      </c>
      <c r="ED284" s="143">
        <v>0</v>
      </c>
      <c r="EE284">
        <v>0</v>
      </c>
      <c r="EF284">
        <v>1</v>
      </c>
      <c r="EG284" s="143">
        <v>0</v>
      </c>
      <c r="EH284">
        <v>0</v>
      </c>
      <c r="EI284" s="2">
        <v>0</v>
      </c>
      <c r="EJ284" s="1"/>
      <c r="EK284" t="str">
        <f>IF(AND(AND(AND(OR($DX284=1,$DW284=1),OR($EC284=1,$EA284=1)),SUM($DV284:$DZ284,$EF284)&gt;=4),SUM($EA284:$EE284)&gt;=2),"Whole sector","")</f>
        <v/>
      </c>
      <c r="EL284" t="str">
        <f>IF(AND(AND(OR($DX284=1,$DW284=1),AND($EC284=0,$EA284=0)),SUM($DV284:$DZ284,$EF284)&gt;=4),"Ecosystem approach","")</f>
        <v/>
      </c>
      <c r="EM284" s="2" t="str">
        <f>IF(AND(AND(AND($DX284=0,$DW284=0),OR($EC284=1,$EA284=1)),SUM($EB284:$EE284)&gt;=2),"Technology approach","")</f>
        <v/>
      </c>
      <c r="EN284"/>
      <c r="EO284"/>
      <c r="EP284" t="str">
        <f>IF(ISNUMBER(BU284),IF(ABS(BU284-[1]QC_indicators!$B$2)&gt;3*[1]QC_indicators!$C$2,"C ratio",IF(ISNUMBER(BY284),IF(ABS(BY284-[1]QC_indicators!$B$1)&gt;3*[1]QC_indicators!$C$1,"DF","no"))),IF(ISNUMBER(BY284),IF(ABS(BY284-[1]QC_indicators!$B$1)&gt;3*[1]QC_indicators!$C$1,"DF","no")))</f>
        <v>no</v>
      </c>
      <c r="EQ284"/>
      <c r="ER284"/>
      <c r="ES284"/>
      <c r="ET284" s="266" t="s">
        <v>3409</v>
      </c>
      <c r="EU284"/>
    </row>
    <row r="285" spans="1:151" s="139" customFormat="1" ht="15" hidden="1" customHeight="1">
      <c r="A285" s="1" t="s">
        <v>1362</v>
      </c>
      <c r="B285" t="s">
        <v>2137</v>
      </c>
      <c r="C285" t="s">
        <v>2138</v>
      </c>
      <c r="D285" t="s">
        <v>2139</v>
      </c>
      <c r="E285" t="s">
        <v>2140</v>
      </c>
      <c r="F285" t="s">
        <v>2141</v>
      </c>
      <c r="G285" t="s">
        <v>1368</v>
      </c>
      <c r="H285" t="s">
        <v>255</v>
      </c>
      <c r="I285">
        <v>2012</v>
      </c>
      <c r="J285">
        <v>21</v>
      </c>
      <c r="K285" t="s">
        <v>2142</v>
      </c>
      <c r="L285" s="192"/>
      <c r="M285" t="str">
        <f>LEFT($D285,FIND(",",$D285)-1)&amp;"_"&amp;I285&amp;L285</f>
        <v>Pyorala_2012</v>
      </c>
      <c r="N285" t="s">
        <v>223</v>
      </c>
      <c r="O285" s="145" t="s">
        <v>342</v>
      </c>
      <c r="P285" s="180" t="s">
        <v>224</v>
      </c>
      <c r="Q285" s="266" t="s">
        <v>257</v>
      </c>
      <c r="R285" s="271" t="s">
        <v>1156</v>
      </c>
      <c r="S285" s="265" t="s">
        <v>2152</v>
      </c>
      <c r="T285" s="266" t="s">
        <v>2145</v>
      </c>
      <c r="U285" s="266" t="s">
        <v>2144</v>
      </c>
      <c r="V285">
        <v>0</v>
      </c>
      <c r="W285">
        <v>0</v>
      </c>
      <c r="X285">
        <v>0</v>
      </c>
      <c r="Y285">
        <v>1</v>
      </c>
      <c r="Z285">
        <v>0</v>
      </c>
      <c r="AA285">
        <v>0</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0</v>
      </c>
      <c r="AU285">
        <v>0</v>
      </c>
      <c r="AV285">
        <v>0</v>
      </c>
      <c r="AW285">
        <v>0</v>
      </c>
      <c r="AX285" s="141">
        <f>COUNTIF(V285:AW285,"&lt;&gt;0")</f>
        <v>1</v>
      </c>
      <c r="AY285" s="141">
        <f>COUNTIF(V285:AL285,"&lt;&gt;0")</f>
        <v>1</v>
      </c>
      <c r="AZ285">
        <f>COUNTIF(V285:AC285,"&lt;&gt;0")</f>
        <v>1</v>
      </c>
      <c r="BA285">
        <f>COUNTIF(AD285:AI285,"&lt;&gt;0")</f>
        <v>0</v>
      </c>
      <c r="BB285">
        <f>COUNTIF(AJ285:AL285,"&lt;&gt;0")</f>
        <v>0</v>
      </c>
      <c r="BC285">
        <f>COUNTIF(AS285:AW285,"&lt;&gt;0")</f>
        <v>0</v>
      </c>
      <c r="BD285">
        <f>COUNTIF(AM285:AR285,"&lt;&gt;0")</f>
        <v>0</v>
      </c>
      <c r="BE285" t="str" cm="1">
        <f t="array" ref="BE285">IF(AY285=1,INDEX($V$7:$AL$7,MATCH(TRUE,INDEX($V285:$AW285&lt;&gt;0,),0)),IF(AY285=0,INDEX($AM$7:$AW$7,MATCH(1,$AM285:$AW285,0)),IF(BF285="Multiple strategies","mixed drivers",IF(BF285="Supply chain","multiple supply","multiple silviculture"))))</f>
        <v xml:space="preserve">cutting intensity </v>
      </c>
      <c r="BF285" s="2" t="str" cm="1">
        <f t="array" ref="BF285">IF(COUNTIF(AZ285:BB285,"&lt;&gt;0")=1,INDEX($V$4:$AW$4,MATCH(TRUE,INDEX($V285:$AW285&lt;&gt;0,),0)),IF(COUNTIF(AZ285:BB285,"&lt;&gt;0")=0,INDEX($AM$4:$AW$4,MATCH(1,$AM285:$AW285,0)),"Multiple strategies"))</f>
        <v>SilvicultureRemov</v>
      </c>
      <c r="BG285" s="178" t="s">
        <v>322</v>
      </c>
      <c r="BH285" s="266" t="s">
        <v>2146</v>
      </c>
      <c r="BI285" s="266" t="s">
        <v>703</v>
      </c>
      <c r="BJ285" s="160" t="s">
        <v>702</v>
      </c>
      <c r="BK285">
        <v>6.5</v>
      </c>
      <c r="BL285">
        <v>6.7</v>
      </c>
      <c r="BM285"/>
      <c r="BN285">
        <f>BL285-BK285</f>
        <v>0.20000000000000018</v>
      </c>
      <c r="BO285">
        <f>BN285</f>
        <v>0.20000000000000018</v>
      </c>
      <c r="BP285" s="155" t="s">
        <v>396</v>
      </c>
      <c r="BQ285" s="266" t="s">
        <v>785</v>
      </c>
      <c r="BR285" s="155" t="s">
        <v>280</v>
      </c>
      <c r="BS285">
        <v>1</v>
      </c>
      <c r="BT285">
        <v>1</v>
      </c>
      <c r="BU285" s="144"/>
      <c r="BV285">
        <f>BT285-BS285</f>
        <v>0</v>
      </c>
      <c r="BW285"/>
      <c r="BX285">
        <f>BV285</f>
        <v>0</v>
      </c>
      <c r="BY285">
        <f>IFERROR(BX285/BO285,"")</f>
        <v>0</v>
      </c>
      <c r="BZ285">
        <v>0</v>
      </c>
      <c r="CA285">
        <v>0</v>
      </c>
      <c r="CB285">
        <v>0</v>
      </c>
      <c r="CC285">
        <v>0</v>
      </c>
      <c r="CD285">
        <v>0</v>
      </c>
      <c r="CE285">
        <v>0</v>
      </c>
      <c r="CF285">
        <v>0</v>
      </c>
      <c r="CG285">
        <v>0</v>
      </c>
      <c r="CH285">
        <v>0</v>
      </c>
      <c r="CI285">
        <v>0</v>
      </c>
      <c r="CJ285">
        <v>0</v>
      </c>
      <c r="CK285">
        <v>0</v>
      </c>
      <c r="CL285">
        <v>0</v>
      </c>
      <c r="CM285">
        <v>0</v>
      </c>
      <c r="CN285" t="str">
        <f>IF($BL285&lt;$BK285,"refNeedCorrection","refOK")</f>
        <v>refOK</v>
      </c>
      <c r="CO285">
        <f>IF($CN285="refOK",$BK285,$BL285)</f>
        <v>6.5</v>
      </c>
      <c r="CP285">
        <f>IF($CN285="refOK",$BL285,$BK285)</f>
        <v>6.7</v>
      </c>
      <c r="CQ285">
        <f>IF($CN285="refOK",$BO285,-$BO285)</f>
        <v>0.20000000000000018</v>
      </c>
      <c r="CR285">
        <f>IF($CN285="refOK",$BS285,$BT285)*IF($BP285="Emissions positive",-1,1)</f>
        <v>-1</v>
      </c>
      <c r="CS285">
        <f>IF($CN285="refOK",$BT285,$BS285)*IF($BP285="Emissions positive",-1,1)</f>
        <v>-1</v>
      </c>
      <c r="CT285">
        <f>IF($CN285="refNeedCorrection",-BX285,BX285)*IF($BP285="Emissions positive",-1,1)</f>
        <v>0</v>
      </c>
      <c r="CU285">
        <f>IFERROR(CT285/CQ285,"")</f>
        <v>0</v>
      </c>
      <c r="CV285" s="2">
        <f>IFERROR((CS285-CR285)/ABS(CR285),"")</f>
        <v>0</v>
      </c>
      <c r="CW285" s="1" t="s">
        <v>1201</v>
      </c>
      <c r="CX285" s="266" t="str">
        <f>IF(OR($CW285="prd",$CW285="std",$CW285="cit"),"loc",IF(OR($CW285="eur",$CW285="reg",$CW285="coy"),"reg",$CW285))</f>
        <v>reg</v>
      </c>
      <c r="CY285" t="s">
        <v>236</v>
      </c>
      <c r="CZ285"/>
      <c r="DA285"/>
      <c r="DB285">
        <v>80</v>
      </c>
      <c r="DC285" t="str">
        <f>IF(DB285=0,"0",IF(AND(DB285&gt;=1,DB285&lt;=30),"1-30",IF(AND(DB285&gt;30,DB285&lt;=70),"31-70",IF(AND(DB285&gt;70,DB285&lt;=100),"71-100",IF(DB285&gt;100,"+100")))))</f>
        <v>71-100</v>
      </c>
      <c r="DD285">
        <v>0</v>
      </c>
      <c r="DE285">
        <v>1</v>
      </c>
      <c r="DF285">
        <v>1</v>
      </c>
      <c r="DG285">
        <v>1</v>
      </c>
      <c r="DH285"/>
      <c r="DI285">
        <f>SUM(DD285:DG285)</f>
        <v>3</v>
      </c>
      <c r="DJ285" t="str">
        <f>IF(DI285=1,INDEX($DD$7:$DG$7,MATCH(1,$DD285:$DG285,0)),"mixedProduct")</f>
        <v>mixedProduct</v>
      </c>
      <c r="DK285">
        <f>IF(DD285=1,DK$7,0)</f>
        <v>0</v>
      </c>
      <c r="DL285" t="str">
        <f>IF(DE285=1,DL$7,0)</f>
        <v>Energy</v>
      </c>
      <c r="DM285" t="str">
        <f>IF(DF285=1,DM$7,0)</f>
        <v>Pulp/Paper</v>
      </c>
      <c r="DN285" t="str">
        <f>IF(DG285=1,DN$7,0)</f>
        <v>Timber</v>
      </c>
      <c r="DO285">
        <v>0</v>
      </c>
      <c r="DP285">
        <v>1</v>
      </c>
      <c r="DQ285" t="s">
        <v>2148</v>
      </c>
      <c r="DR285">
        <v>0</v>
      </c>
      <c r="DS285">
        <v>0</v>
      </c>
      <c r="DT285">
        <f>SUM(DO285:DP285)</f>
        <v>1</v>
      </c>
      <c r="DU285" s="143" t="str">
        <f>IF(DO285=1,"self-calculated DF",IF(DP285=1,"external DF used","explicit C balance"))</f>
        <v>external DF used</v>
      </c>
      <c r="DV285">
        <v>1</v>
      </c>
      <c r="DW285">
        <v>1</v>
      </c>
      <c r="DX285">
        <v>1</v>
      </c>
      <c r="DY285">
        <v>0</v>
      </c>
      <c r="DZ285">
        <v>1</v>
      </c>
      <c r="EA285">
        <v>0</v>
      </c>
      <c r="EB285">
        <v>1</v>
      </c>
      <c r="EC285">
        <v>1</v>
      </c>
      <c r="ED285">
        <v>0</v>
      </c>
      <c r="EE285">
        <v>0</v>
      </c>
      <c r="EF285">
        <v>1</v>
      </c>
      <c r="EG285">
        <v>0</v>
      </c>
      <c r="EH285">
        <v>0</v>
      </c>
      <c r="EI285" s="2">
        <v>0</v>
      </c>
      <c r="EJ285" s="1"/>
      <c r="EK285" t="str">
        <f>IF(AND(AND(AND(OR($DX285=1,$DW285=1),OR($EC285=1,$EA285=1)),SUM($DV285:$DZ285,$EF285)&gt;=4),SUM($EA285:$EE285)&gt;=2),"Whole sector","")</f>
        <v>Whole sector</v>
      </c>
      <c r="EL285" t="str">
        <f>IF(AND(AND(OR($DX285=1,$DW285=1),AND($EC285=0,$EA285=0)),SUM($DV285:$DZ285,$EF285)&gt;=4),"Ecosystem approach","")</f>
        <v/>
      </c>
      <c r="EM285" s="2" t="str">
        <f>IF(AND(AND(AND($DX285=0,$DW285=0),OR($EC285=1,$EA285=1)),SUM($EB285:$EE285)&gt;=2),"Technology approach","")</f>
        <v/>
      </c>
      <c r="EN285"/>
      <c r="EO285"/>
      <c r="EP285" t="str">
        <f>IF(ISNUMBER(BU285),IF(ABS(BU285-[1]QC_indicators!$B$2)&gt;3*[1]QC_indicators!$C$2,"C ratio",IF(ISNUMBER(BY285),IF(ABS(BY285-[1]QC_indicators!$B$1)&gt;3*[1]QC_indicators!$C$1,"DF","no"))),IF(ISNUMBER(BY285),IF(ABS(BY285-[1]QC_indicators!$B$1)&gt;3*[1]QC_indicators!$C$1,"DF","no")))</f>
        <v>no</v>
      </c>
      <c r="EQ285"/>
      <c r="ER285"/>
      <c r="ES285"/>
      <c r="ET285" s="266" t="s">
        <v>3409</v>
      </c>
      <c r="EU285"/>
    </row>
    <row r="286" spans="1:151" s="139" customFormat="1" ht="15" hidden="1" customHeight="1">
      <c r="A286" s="1" t="s">
        <v>1362</v>
      </c>
      <c r="B286" t="s">
        <v>2137</v>
      </c>
      <c r="C286" t="s">
        <v>2138</v>
      </c>
      <c r="D286" t="s">
        <v>2139</v>
      </c>
      <c r="E286" t="s">
        <v>2140</v>
      </c>
      <c r="F286" t="s">
        <v>2141</v>
      </c>
      <c r="G286" t="s">
        <v>1368</v>
      </c>
      <c r="H286" t="s">
        <v>255</v>
      </c>
      <c r="I286">
        <v>2012</v>
      </c>
      <c r="J286">
        <v>21</v>
      </c>
      <c r="K286" t="s">
        <v>2142</v>
      </c>
      <c r="L286" s="192"/>
      <c r="M286" t="str">
        <f>LEFT($D286,FIND(",",$D286)-1)&amp;"_"&amp;I286&amp;L286</f>
        <v>Pyorala_2012</v>
      </c>
      <c r="N286" t="s">
        <v>223</v>
      </c>
      <c r="O286" s="145" t="s">
        <v>342</v>
      </c>
      <c r="P286" s="180" t="s">
        <v>224</v>
      </c>
      <c r="Q286" s="266" t="s">
        <v>257</v>
      </c>
      <c r="R286" s="271" t="s">
        <v>1156</v>
      </c>
      <c r="S286" s="265" t="s">
        <v>2152</v>
      </c>
      <c r="T286" s="266" t="s">
        <v>2145</v>
      </c>
      <c r="U286" s="266" t="s">
        <v>2150</v>
      </c>
      <c r="V286">
        <v>0</v>
      </c>
      <c r="W286">
        <v>0</v>
      </c>
      <c r="X286">
        <v>0</v>
      </c>
      <c r="Y286">
        <v>1</v>
      </c>
      <c r="Z286">
        <v>0</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0</v>
      </c>
      <c r="AX286" s="141">
        <f>COUNTIF(V286:AW286,"&lt;&gt;0")</f>
        <v>1</v>
      </c>
      <c r="AY286" s="141">
        <f>COUNTIF(V286:AL286,"&lt;&gt;0")</f>
        <v>1</v>
      </c>
      <c r="AZ286">
        <f>COUNTIF(V286:AC286,"&lt;&gt;0")</f>
        <v>1</v>
      </c>
      <c r="BA286">
        <f>COUNTIF(AD286:AI286,"&lt;&gt;0")</f>
        <v>0</v>
      </c>
      <c r="BB286">
        <f>COUNTIF(AJ286:AL286,"&lt;&gt;0")</f>
        <v>0</v>
      </c>
      <c r="BC286">
        <f>COUNTIF(AS286:AW286,"&lt;&gt;0")</f>
        <v>0</v>
      </c>
      <c r="BD286">
        <f>COUNTIF(AM286:AR286,"&lt;&gt;0")</f>
        <v>0</v>
      </c>
      <c r="BE286" t="str" cm="1">
        <f t="array" ref="BE286">IF(AY286=1,INDEX($V$7:$AL$7,MATCH(TRUE,INDEX($V286:$AW286&lt;&gt;0,),0)),IF(AY286=0,INDEX($AM$7:$AW$7,MATCH(1,$AM286:$AW286,0)),IF(BF286="Multiple strategies","mixed drivers",IF(BF286="Supply chain","multiple supply","multiple silviculture"))))</f>
        <v xml:space="preserve">cutting intensity </v>
      </c>
      <c r="BF286" s="2" t="str" cm="1">
        <f t="array" ref="BF286">IF(COUNTIF(AZ286:BB286,"&lt;&gt;0")=1,INDEX($V$4:$AW$4,MATCH(TRUE,INDEX($V286:$AW286&lt;&gt;0,),0)),IF(COUNTIF(AZ286:BB286,"&lt;&gt;0")=0,INDEX($AM$4:$AW$4,MATCH(1,$AM286:$AW286,0)),"Multiple strategies"))</f>
        <v>SilvicultureRemov</v>
      </c>
      <c r="BG286" s="178" t="s">
        <v>322</v>
      </c>
      <c r="BH286" s="266" t="s">
        <v>2146</v>
      </c>
      <c r="BI286" s="266" t="s">
        <v>703</v>
      </c>
      <c r="BJ286" s="160" t="s">
        <v>702</v>
      </c>
      <c r="BK286">
        <v>6.5</v>
      </c>
      <c r="BL286">
        <v>6.8</v>
      </c>
      <c r="BM286"/>
      <c r="BN286">
        <f>BL286-BK286</f>
        <v>0.29999999999999982</v>
      </c>
      <c r="BO286">
        <f>BN286</f>
        <v>0.29999999999999982</v>
      </c>
      <c r="BP286" s="155" t="s">
        <v>396</v>
      </c>
      <c r="BQ286" s="266" t="s">
        <v>785</v>
      </c>
      <c r="BR286" s="155" t="s">
        <v>280</v>
      </c>
      <c r="BS286">
        <v>1</v>
      </c>
      <c r="BT286">
        <v>1.1000000000000001</v>
      </c>
      <c r="BU286" s="144"/>
      <c r="BV286">
        <f>BT286-BS286</f>
        <v>0.10000000000000009</v>
      </c>
      <c r="BW286"/>
      <c r="BX286">
        <f>BV286</f>
        <v>0.10000000000000009</v>
      </c>
      <c r="BY286">
        <f>IFERROR(BX286/BO286,"")</f>
        <v>0.33333333333333381</v>
      </c>
      <c r="BZ286">
        <v>0</v>
      </c>
      <c r="CA286">
        <v>0</v>
      </c>
      <c r="CB286">
        <v>0</v>
      </c>
      <c r="CC286">
        <v>0</v>
      </c>
      <c r="CD286">
        <v>0</v>
      </c>
      <c r="CE286">
        <v>0</v>
      </c>
      <c r="CF286">
        <v>0</v>
      </c>
      <c r="CG286">
        <v>0</v>
      </c>
      <c r="CH286">
        <v>0</v>
      </c>
      <c r="CI286">
        <v>0</v>
      </c>
      <c r="CJ286">
        <v>0</v>
      </c>
      <c r="CK286">
        <v>0</v>
      </c>
      <c r="CL286">
        <v>0</v>
      </c>
      <c r="CM286">
        <v>0</v>
      </c>
      <c r="CN286" t="str">
        <f>IF($BL286&lt;$BK286,"refNeedCorrection","refOK")</f>
        <v>refOK</v>
      </c>
      <c r="CO286">
        <f>IF($CN286="refOK",$BK286,$BL286)</f>
        <v>6.5</v>
      </c>
      <c r="CP286">
        <f>IF($CN286="refOK",$BL286,$BK286)</f>
        <v>6.8</v>
      </c>
      <c r="CQ286">
        <f>IF($CN286="refOK",$BO286,-$BO286)</f>
        <v>0.29999999999999982</v>
      </c>
      <c r="CR286">
        <f>IF($CN286="refOK",$BS286,$BT286)*IF($BP286="Emissions positive",-1,1)</f>
        <v>-1</v>
      </c>
      <c r="CS286">
        <f>IF($CN286="refOK",$BT286,$BS286)*IF($BP286="Emissions positive",-1,1)</f>
        <v>-1.1000000000000001</v>
      </c>
      <c r="CT286">
        <f>IF($CN286="refNeedCorrection",-BX286,BX286)*IF($BP286="Emissions positive",-1,1)</f>
        <v>-0.10000000000000009</v>
      </c>
      <c r="CU286">
        <f>IFERROR(CT286/CQ286,"")</f>
        <v>-0.33333333333333381</v>
      </c>
      <c r="CV286" s="2">
        <f>IFERROR((CS286-CR286)/ABS(CR286),"")</f>
        <v>-0.10000000000000009</v>
      </c>
      <c r="CW286" s="1" t="s">
        <v>1201</v>
      </c>
      <c r="CX286" s="266" t="str">
        <f>IF(OR($CW286="prd",$CW286="std",$CW286="cit"),"loc",IF(OR($CW286="eur",$CW286="reg",$CW286="coy"),"reg",$CW286))</f>
        <v>reg</v>
      </c>
      <c r="CY286" t="s">
        <v>236</v>
      </c>
      <c r="CZ286"/>
      <c r="DA286"/>
      <c r="DB286">
        <v>80</v>
      </c>
      <c r="DC286" t="str">
        <f>IF(DB286=0,"0",IF(AND(DB286&gt;=1,DB286&lt;=30),"1-30",IF(AND(DB286&gt;30,DB286&lt;=70),"31-70",IF(AND(DB286&gt;70,DB286&lt;=100),"71-100",IF(DB286&gt;100,"+100")))))</f>
        <v>71-100</v>
      </c>
      <c r="DD286">
        <v>0</v>
      </c>
      <c r="DE286">
        <v>1</v>
      </c>
      <c r="DF286">
        <v>1</v>
      </c>
      <c r="DG286">
        <v>1</v>
      </c>
      <c r="DH286"/>
      <c r="DI286">
        <f>SUM(DD286:DG286)</f>
        <v>3</v>
      </c>
      <c r="DJ286" t="str">
        <f>IF(DI286=1,INDEX($DD$7:$DG$7,MATCH(1,$DD286:$DG286,0)),"mixedProduct")</f>
        <v>mixedProduct</v>
      </c>
      <c r="DK286">
        <f>IF(DD286=1,DK$7,0)</f>
        <v>0</v>
      </c>
      <c r="DL286" t="str">
        <f>IF(DE286=1,DL$7,0)</f>
        <v>Energy</v>
      </c>
      <c r="DM286" t="str">
        <f>IF(DF286=1,DM$7,0)</f>
        <v>Pulp/Paper</v>
      </c>
      <c r="DN286" t="str">
        <f>IF(DG286=1,DN$7,0)</f>
        <v>Timber</v>
      </c>
      <c r="DO286">
        <v>0</v>
      </c>
      <c r="DP286">
        <v>1</v>
      </c>
      <c r="DQ286" t="s">
        <v>2148</v>
      </c>
      <c r="DR286">
        <v>0</v>
      </c>
      <c r="DS286">
        <v>0</v>
      </c>
      <c r="DT286">
        <f>SUM(DO286:DP286)</f>
        <v>1</v>
      </c>
      <c r="DU286" s="143" t="str">
        <f>IF(DO286=1,"self-calculated DF",IF(DP286=1,"external DF used","explicit C balance"))</f>
        <v>external DF used</v>
      </c>
      <c r="DV286">
        <v>1</v>
      </c>
      <c r="DW286">
        <v>1</v>
      </c>
      <c r="DX286">
        <v>1</v>
      </c>
      <c r="DY286">
        <v>0</v>
      </c>
      <c r="DZ286">
        <v>1</v>
      </c>
      <c r="EA286">
        <v>0</v>
      </c>
      <c r="EB286">
        <v>1</v>
      </c>
      <c r="EC286">
        <v>1</v>
      </c>
      <c r="ED286">
        <v>0</v>
      </c>
      <c r="EE286">
        <v>0</v>
      </c>
      <c r="EF286">
        <v>1</v>
      </c>
      <c r="EG286">
        <v>0</v>
      </c>
      <c r="EH286">
        <v>0</v>
      </c>
      <c r="EI286" s="2">
        <v>0</v>
      </c>
      <c r="EJ286" s="1"/>
      <c r="EK286" t="str">
        <f>IF(AND(AND(AND(OR($DX286=1,$DW286=1),OR($EC286=1,$EA286=1)),SUM($DV286:$DZ286,$EF286)&gt;=4),SUM($EA286:$EE286)&gt;=2),"Whole sector","")</f>
        <v>Whole sector</v>
      </c>
      <c r="EL286" t="str">
        <f>IF(AND(AND(OR($DX286=1,$DW286=1),AND($EC286=0,$EA286=0)),SUM($DV286:$DZ286,$EF286)&gt;=4),"Ecosystem approach","")</f>
        <v/>
      </c>
      <c r="EM286" s="2" t="str">
        <f>IF(AND(AND(AND($DX286=0,$DW286=0),OR($EC286=1,$EA286=1)),SUM($EB286:$EE286)&gt;=2),"Technology approach","")</f>
        <v/>
      </c>
      <c r="EN286"/>
      <c r="EO286"/>
      <c r="EP286" t="str">
        <f>IF(ISNUMBER(BU286),IF(ABS(BU286-[1]QC_indicators!$B$2)&gt;3*[1]QC_indicators!$C$2,"C ratio",IF(ISNUMBER(BY286),IF(ABS(BY286-[1]QC_indicators!$B$1)&gt;3*[1]QC_indicators!$C$1,"DF","no"))),IF(ISNUMBER(BY286),IF(ABS(BY286-[1]QC_indicators!$B$1)&gt;3*[1]QC_indicators!$C$1,"DF","no")))</f>
        <v>no</v>
      </c>
      <c r="EQ286"/>
      <c r="ER286"/>
      <c r="ES286"/>
      <c r="ET286" s="266" t="s">
        <v>3409</v>
      </c>
      <c r="EU286"/>
    </row>
    <row r="287" spans="1:151" s="139" customFormat="1" ht="15" hidden="1" customHeight="1">
      <c r="A287" s="1" t="s">
        <v>1362</v>
      </c>
      <c r="B287" t="s">
        <v>2137</v>
      </c>
      <c r="C287" t="s">
        <v>2138</v>
      </c>
      <c r="D287" t="s">
        <v>2139</v>
      </c>
      <c r="E287" t="s">
        <v>2140</v>
      </c>
      <c r="F287" t="s">
        <v>2141</v>
      </c>
      <c r="G287" t="s">
        <v>1368</v>
      </c>
      <c r="H287" t="s">
        <v>255</v>
      </c>
      <c r="I287">
        <v>2012</v>
      </c>
      <c r="J287">
        <v>21</v>
      </c>
      <c r="K287" t="s">
        <v>2142</v>
      </c>
      <c r="L287" s="192"/>
      <c r="M287" t="str">
        <f>LEFT($D287,FIND(",",$D287)-1)&amp;"_"&amp;I287&amp;L287</f>
        <v>Pyorala_2012</v>
      </c>
      <c r="N287" t="s">
        <v>223</v>
      </c>
      <c r="O287" s="145" t="s">
        <v>342</v>
      </c>
      <c r="P287" s="180" t="s">
        <v>224</v>
      </c>
      <c r="Q287" s="266" t="s">
        <v>257</v>
      </c>
      <c r="R287" s="271" t="s">
        <v>1156</v>
      </c>
      <c r="S287" s="265" t="s">
        <v>2143</v>
      </c>
      <c r="T287" s="266" t="s">
        <v>2150</v>
      </c>
      <c r="U287" s="266" t="s">
        <v>2145</v>
      </c>
      <c r="V287">
        <v>0</v>
      </c>
      <c r="W287">
        <v>0</v>
      </c>
      <c r="X287">
        <v>0</v>
      </c>
      <c r="Y287">
        <v>1</v>
      </c>
      <c r="Z287">
        <v>0</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0</v>
      </c>
      <c r="AW287">
        <v>0</v>
      </c>
      <c r="AX287" s="141">
        <f>COUNTIF(V287:AW287,"&lt;&gt;0")</f>
        <v>1</v>
      </c>
      <c r="AY287" s="141">
        <f>COUNTIF(V287:AL287,"&lt;&gt;0")</f>
        <v>1</v>
      </c>
      <c r="AZ287">
        <f>COUNTIF(V287:AC287,"&lt;&gt;0")</f>
        <v>1</v>
      </c>
      <c r="BA287">
        <f>COUNTIF(AD287:AI287,"&lt;&gt;0")</f>
        <v>0</v>
      </c>
      <c r="BB287">
        <f>COUNTIF(AJ287:AL287,"&lt;&gt;0")</f>
        <v>0</v>
      </c>
      <c r="BC287">
        <f>COUNTIF(AS287:AW287,"&lt;&gt;0")</f>
        <v>0</v>
      </c>
      <c r="BD287">
        <f>COUNTIF(AM287:AR287,"&lt;&gt;0")</f>
        <v>0</v>
      </c>
      <c r="BE287" t="str" cm="1">
        <f t="array" ref="BE287">IF(AY287=1,INDEX($V$7:$AL$7,MATCH(TRUE,INDEX($V287:$AW287&lt;&gt;0,),0)),IF(AY287=0,INDEX($AM$7:$AW$7,MATCH(1,$AM287:$AW287,0)),IF(BF287="Multiple strategies","mixed drivers",IF(BF287="Supply chain","multiple supply","multiple silviculture"))))</f>
        <v xml:space="preserve">cutting intensity </v>
      </c>
      <c r="BF287" s="2" t="str" cm="1">
        <f t="array" ref="BF287">IF(COUNTIF(AZ287:BB287,"&lt;&gt;0")=1,INDEX($V$4:$AW$4,MATCH(TRUE,INDEX($V287:$AW287&lt;&gt;0,),0)),IF(COUNTIF(AZ287:BB287,"&lt;&gt;0")=0,INDEX($AM$4:$AW$4,MATCH(1,$AM287:$AW287,0)),"Multiple strategies"))</f>
        <v>SilvicultureRemov</v>
      </c>
      <c r="BG287" s="178" t="s">
        <v>322</v>
      </c>
      <c r="BH287" s="266" t="s">
        <v>2146</v>
      </c>
      <c r="BI287" s="266" t="s">
        <v>703</v>
      </c>
      <c r="BJ287" s="160" t="s">
        <v>702</v>
      </c>
      <c r="BK287">
        <v>8.1</v>
      </c>
      <c r="BL287">
        <v>8.4</v>
      </c>
      <c r="BM287"/>
      <c r="BN287">
        <f>BL287-BK287</f>
        <v>0.30000000000000071</v>
      </c>
      <c r="BO287">
        <f>BN287</f>
        <v>0.30000000000000071</v>
      </c>
      <c r="BP287" s="155" t="s">
        <v>396</v>
      </c>
      <c r="BQ287" s="266" t="s">
        <v>785</v>
      </c>
      <c r="BR287" s="155" t="s">
        <v>280</v>
      </c>
      <c r="BS287">
        <v>0.9</v>
      </c>
      <c r="BT287">
        <v>1.1000000000000001</v>
      </c>
      <c r="BU287" s="144"/>
      <c r="BV287">
        <f>BT287-BS287</f>
        <v>0.20000000000000007</v>
      </c>
      <c r="BW287"/>
      <c r="BX287">
        <f>BV287</f>
        <v>0.20000000000000007</v>
      </c>
      <c r="BY287">
        <f>IFERROR(BX287/BO287,"")</f>
        <v>0.6666666666666653</v>
      </c>
      <c r="BZ287">
        <v>0</v>
      </c>
      <c r="CA287">
        <v>0</v>
      </c>
      <c r="CB287">
        <v>0</v>
      </c>
      <c r="CC287">
        <v>0</v>
      </c>
      <c r="CD287">
        <v>0</v>
      </c>
      <c r="CE287">
        <v>0</v>
      </c>
      <c r="CF287">
        <v>0</v>
      </c>
      <c r="CG287">
        <v>0</v>
      </c>
      <c r="CH287">
        <v>0</v>
      </c>
      <c r="CI287">
        <v>0</v>
      </c>
      <c r="CJ287">
        <v>0</v>
      </c>
      <c r="CK287">
        <v>0</v>
      </c>
      <c r="CL287">
        <v>0</v>
      </c>
      <c r="CM287">
        <v>0</v>
      </c>
      <c r="CN287" t="str">
        <f>IF($BL287&lt;$BK287,"refNeedCorrection","refOK")</f>
        <v>refOK</v>
      </c>
      <c r="CO287">
        <f>IF($CN287="refOK",$BK287,$BL287)</f>
        <v>8.1</v>
      </c>
      <c r="CP287">
        <f>IF($CN287="refOK",$BL287,$BK287)</f>
        <v>8.4</v>
      </c>
      <c r="CQ287">
        <f>IF($CN287="refOK",$BO287,-$BO287)</f>
        <v>0.30000000000000071</v>
      </c>
      <c r="CR287">
        <f>IF($CN287="refOK",$BS287,$BT287)*IF($BP287="Emissions positive",-1,1)</f>
        <v>-0.9</v>
      </c>
      <c r="CS287">
        <f>IF($CN287="refOK",$BT287,$BS287)*IF($BP287="Emissions positive",-1,1)</f>
        <v>-1.1000000000000001</v>
      </c>
      <c r="CT287">
        <f>IF($CN287="refNeedCorrection",-BX287,BX287)*IF($BP287="Emissions positive",-1,1)</f>
        <v>-0.20000000000000007</v>
      </c>
      <c r="CU287">
        <f>IFERROR(CT287/CQ287,"")</f>
        <v>-0.6666666666666653</v>
      </c>
      <c r="CV287" s="2">
        <f>IFERROR((CS287-CR287)/ABS(CR287),"")</f>
        <v>-0.22222222222222229</v>
      </c>
      <c r="CW287" s="1" t="s">
        <v>1201</v>
      </c>
      <c r="CX287" s="266" t="str">
        <f>IF(OR($CW287="prd",$CW287="std",$CW287="cit"),"loc",IF(OR($CW287="eur",$CW287="reg",$CW287="coy"),"reg",$CW287))</f>
        <v>reg</v>
      </c>
      <c r="CY287" t="s">
        <v>236</v>
      </c>
      <c r="CZ287"/>
      <c r="DA287"/>
      <c r="DB287">
        <v>80</v>
      </c>
      <c r="DC287" t="str">
        <f>IF(DB287=0,"0",IF(AND(DB287&gt;=1,DB287&lt;=30),"1-30",IF(AND(DB287&gt;30,DB287&lt;=70),"31-70",IF(AND(DB287&gt;70,DB287&lt;=100),"71-100",IF(DB287&gt;100,"+100")))))</f>
        <v>71-100</v>
      </c>
      <c r="DD287">
        <v>0</v>
      </c>
      <c r="DE287">
        <v>1</v>
      </c>
      <c r="DF287">
        <v>1</v>
      </c>
      <c r="DG287">
        <v>1</v>
      </c>
      <c r="DH287"/>
      <c r="DI287">
        <f>SUM(DD287:DG287)</f>
        <v>3</v>
      </c>
      <c r="DJ287" t="str">
        <f>IF(DI287=1,INDEX($DD$7:$DG$7,MATCH(1,$DD287:$DG287,0)),"mixedProduct")</f>
        <v>mixedProduct</v>
      </c>
      <c r="DK287">
        <f>IF(DD287=1,DK$7,0)</f>
        <v>0</v>
      </c>
      <c r="DL287" t="str">
        <f>IF(DE287=1,DL$7,0)</f>
        <v>Energy</v>
      </c>
      <c r="DM287" t="str">
        <f>IF(DF287=1,DM$7,0)</f>
        <v>Pulp/Paper</v>
      </c>
      <c r="DN287" t="str">
        <f>IF(DG287=1,DN$7,0)</f>
        <v>Timber</v>
      </c>
      <c r="DO287">
        <v>0</v>
      </c>
      <c r="DP287">
        <v>1</v>
      </c>
      <c r="DQ287" t="s">
        <v>2148</v>
      </c>
      <c r="DR287">
        <v>0</v>
      </c>
      <c r="DS287">
        <v>0</v>
      </c>
      <c r="DT287">
        <f>SUM(DO287:DP287)</f>
        <v>1</v>
      </c>
      <c r="DU287" s="143" t="str">
        <f>IF(DO287=1,"self-calculated DF",IF(DP287=1,"external DF used","explicit C balance"))</f>
        <v>external DF used</v>
      </c>
      <c r="DV287">
        <v>1</v>
      </c>
      <c r="DW287">
        <v>1</v>
      </c>
      <c r="DX287">
        <v>1</v>
      </c>
      <c r="DY287">
        <v>0</v>
      </c>
      <c r="DZ287">
        <v>1</v>
      </c>
      <c r="EA287">
        <v>0</v>
      </c>
      <c r="EB287">
        <v>1</v>
      </c>
      <c r="EC287">
        <v>1</v>
      </c>
      <c r="ED287">
        <v>0</v>
      </c>
      <c r="EE287">
        <v>0</v>
      </c>
      <c r="EF287">
        <v>1</v>
      </c>
      <c r="EG287">
        <v>0</v>
      </c>
      <c r="EH287">
        <v>0</v>
      </c>
      <c r="EI287" s="2">
        <v>0</v>
      </c>
      <c r="EJ287" s="1"/>
      <c r="EK287" t="str">
        <f>IF(AND(AND(AND(OR($DX287=1,$DW287=1),OR($EC287=1,$EA287=1)),SUM($DV287:$DZ287,$EF287)&gt;=4),SUM($EA287:$EE287)&gt;=2),"Whole sector","")</f>
        <v>Whole sector</v>
      </c>
      <c r="EL287" t="str">
        <f>IF(AND(AND(OR($DX287=1,$DW287=1),AND($EC287=0,$EA287=0)),SUM($DV287:$DZ287,$EF287)&gt;=4),"Ecosystem approach","")</f>
        <v/>
      </c>
      <c r="EM287" s="2" t="str">
        <f>IF(AND(AND(AND($DX287=0,$DW287=0),OR($EC287=1,$EA287=1)),SUM($EB287:$EE287)&gt;=2),"Technology approach","")</f>
        <v/>
      </c>
      <c r="EN287"/>
      <c r="EO287"/>
      <c r="EP287" t="str">
        <f>IF(ISNUMBER(BU287),IF(ABS(BU287-[1]QC_indicators!$B$2)&gt;3*[1]QC_indicators!$C$2,"C ratio",IF(ISNUMBER(BY287),IF(ABS(BY287-[1]QC_indicators!$B$1)&gt;3*[1]QC_indicators!$C$1,"DF","no"))),IF(ISNUMBER(BY287),IF(ABS(BY287-[1]QC_indicators!$B$1)&gt;3*[1]QC_indicators!$C$1,"DF","no")))</f>
        <v>no</v>
      </c>
      <c r="EQ287"/>
      <c r="ER287"/>
      <c r="ES287"/>
      <c r="ET287" s="266" t="s">
        <v>3409</v>
      </c>
      <c r="EU287"/>
    </row>
    <row r="288" spans="1:151" s="139" customFormat="1" ht="15" hidden="1" customHeight="1">
      <c r="A288" s="1" t="s">
        <v>1362</v>
      </c>
      <c r="B288" t="s">
        <v>2137</v>
      </c>
      <c r="C288" t="s">
        <v>2138</v>
      </c>
      <c r="D288" t="s">
        <v>2139</v>
      </c>
      <c r="E288" t="s">
        <v>2140</v>
      </c>
      <c r="F288" t="s">
        <v>2141</v>
      </c>
      <c r="G288" t="s">
        <v>1368</v>
      </c>
      <c r="H288" t="s">
        <v>255</v>
      </c>
      <c r="I288">
        <v>2012</v>
      </c>
      <c r="J288">
        <v>21</v>
      </c>
      <c r="K288" t="s">
        <v>2142</v>
      </c>
      <c r="L288" s="192"/>
      <c r="M288" t="str">
        <f>LEFT($D288,FIND(",",$D288)-1)&amp;"_"&amp;I288&amp;L288</f>
        <v>Pyorala_2012</v>
      </c>
      <c r="N288" t="s">
        <v>223</v>
      </c>
      <c r="O288" s="145" t="s">
        <v>342</v>
      </c>
      <c r="P288" s="180" t="s">
        <v>224</v>
      </c>
      <c r="Q288" s="266" t="s">
        <v>257</v>
      </c>
      <c r="R288" s="271" t="s">
        <v>1156</v>
      </c>
      <c r="S288" s="265" t="s">
        <v>2143</v>
      </c>
      <c r="T288" s="266" t="s">
        <v>2144</v>
      </c>
      <c r="U288" s="266" t="s">
        <v>2145</v>
      </c>
      <c r="V288">
        <v>0</v>
      </c>
      <c r="W288">
        <v>0</v>
      </c>
      <c r="X288">
        <v>0</v>
      </c>
      <c r="Y288">
        <v>1</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s="141">
        <f>COUNTIF(V288:AW288,"&lt;&gt;0")</f>
        <v>1</v>
      </c>
      <c r="AY288" s="141">
        <f>COUNTIF(V288:AL288,"&lt;&gt;0")</f>
        <v>1</v>
      </c>
      <c r="AZ288">
        <f>COUNTIF(V288:AC288,"&lt;&gt;0")</f>
        <v>1</v>
      </c>
      <c r="BA288">
        <f>COUNTIF(AD288:AI288,"&lt;&gt;0")</f>
        <v>0</v>
      </c>
      <c r="BB288">
        <f>COUNTIF(AJ288:AL288,"&lt;&gt;0")</f>
        <v>0</v>
      </c>
      <c r="BC288">
        <f>COUNTIF(AS288:AW288,"&lt;&gt;0")</f>
        <v>0</v>
      </c>
      <c r="BD288">
        <f>COUNTIF(AM288:AR288,"&lt;&gt;0")</f>
        <v>0</v>
      </c>
      <c r="BE288" t="str" cm="1">
        <f t="array" ref="BE288">IF(AY288=1,INDEX($V$7:$AL$7,MATCH(TRUE,INDEX($V288:$AW288&lt;&gt;0,),0)),IF(AY288=0,INDEX($AM$7:$AW$7,MATCH(1,$AM288:$AW288,0)),IF(BF288="Multiple strategies","mixed drivers",IF(BF288="Supply chain","multiple supply","multiple silviculture"))))</f>
        <v xml:space="preserve">cutting intensity </v>
      </c>
      <c r="BF288" s="2" t="str" cm="1">
        <f t="array" ref="BF288">IF(COUNTIF(AZ288:BB288,"&lt;&gt;0")=1,INDEX($V$4:$AW$4,MATCH(TRUE,INDEX($V288:$AW288&lt;&gt;0,),0)),IF(COUNTIF(AZ288:BB288,"&lt;&gt;0")=0,INDEX($AM$4:$AW$4,MATCH(1,$AM288:$AW288,0)),"Multiple strategies"))</f>
        <v>SilvicultureRemov</v>
      </c>
      <c r="BG288" s="178" t="s">
        <v>322</v>
      </c>
      <c r="BH288" s="266" t="s">
        <v>2146</v>
      </c>
      <c r="BI288" s="266" t="s">
        <v>427</v>
      </c>
      <c r="BJ288" s="160" t="s">
        <v>702</v>
      </c>
      <c r="BK288">
        <v>8.3000000000000007</v>
      </c>
      <c r="BL288">
        <v>8.4</v>
      </c>
      <c r="BM288"/>
      <c r="BN288">
        <f>BL288-BK288</f>
        <v>9.9999999999999645E-2</v>
      </c>
      <c r="BO288">
        <f>BN288</f>
        <v>9.9999999999999645E-2</v>
      </c>
      <c r="BP288" s="155" t="s">
        <v>396</v>
      </c>
      <c r="BQ288" s="266" t="s">
        <v>785</v>
      </c>
      <c r="BR288" s="155" t="s">
        <v>280</v>
      </c>
      <c r="BS288">
        <v>0.9</v>
      </c>
      <c r="BT288">
        <v>1.1000000000000001</v>
      </c>
      <c r="BU288" s="144"/>
      <c r="BV288">
        <f>BT288-BS288</f>
        <v>0.20000000000000007</v>
      </c>
      <c r="BW288"/>
      <c r="BX288">
        <f>BV288</f>
        <v>0.20000000000000007</v>
      </c>
      <c r="BY288">
        <f>IFERROR(BX288/BO288,"")</f>
        <v>2.000000000000008</v>
      </c>
      <c r="BZ288">
        <v>0</v>
      </c>
      <c r="CA288">
        <v>0</v>
      </c>
      <c r="CB288">
        <v>0</v>
      </c>
      <c r="CC288">
        <v>0</v>
      </c>
      <c r="CD288">
        <v>0</v>
      </c>
      <c r="CE288">
        <v>0</v>
      </c>
      <c r="CF288">
        <v>0</v>
      </c>
      <c r="CG288">
        <v>0</v>
      </c>
      <c r="CH288">
        <v>0</v>
      </c>
      <c r="CI288">
        <v>0</v>
      </c>
      <c r="CJ288">
        <v>0</v>
      </c>
      <c r="CK288">
        <v>0</v>
      </c>
      <c r="CL288">
        <v>0</v>
      </c>
      <c r="CM288">
        <v>0</v>
      </c>
      <c r="CN288" t="str">
        <f>IF($BL288&lt;$BK288,"refNeedCorrection","refOK")</f>
        <v>refOK</v>
      </c>
      <c r="CO288">
        <f>IF($CN288="refOK",$BK288,$BL288)</f>
        <v>8.3000000000000007</v>
      </c>
      <c r="CP288">
        <f>IF($CN288="refOK",$BL288,$BK288)</f>
        <v>8.4</v>
      </c>
      <c r="CQ288">
        <f>IF($CN288="refOK",$BO288,-$BO288)</f>
        <v>9.9999999999999645E-2</v>
      </c>
      <c r="CR288">
        <f>IF($CN288="refOK",$BS288,$BT288)*IF($BP288="Emissions positive",-1,1)</f>
        <v>-0.9</v>
      </c>
      <c r="CS288">
        <f>IF($CN288="refOK",$BT288,$BS288)*IF($BP288="Emissions positive",-1,1)</f>
        <v>-1.1000000000000001</v>
      </c>
      <c r="CT288">
        <f>IF($CN288="refNeedCorrection",-BX288,BX288)*IF($BP288="Emissions positive",-1,1)</f>
        <v>-0.20000000000000007</v>
      </c>
      <c r="CU288">
        <f>IFERROR(CT288/CQ288,"")</f>
        <v>-2.000000000000008</v>
      </c>
      <c r="CV288" s="2">
        <f>IFERROR((CS288-CR288)/ABS(CR288),"")</f>
        <v>-0.22222222222222229</v>
      </c>
      <c r="CW288" s="1" t="s">
        <v>1201</v>
      </c>
      <c r="CX288" s="266" t="str">
        <f>IF(OR($CW288="prd",$CW288="std",$CW288="cit"),"loc",IF(OR($CW288="eur",$CW288="reg",$CW288="coy"),"reg",$CW288))</f>
        <v>reg</v>
      </c>
      <c r="CY288" t="s">
        <v>236</v>
      </c>
      <c r="CZ288"/>
      <c r="DA288"/>
      <c r="DB288">
        <v>80</v>
      </c>
      <c r="DC288" t="str">
        <f>IF(DB288=0,"0",IF(AND(DB288&gt;=1,DB288&lt;=30),"1-30",IF(AND(DB288&gt;30,DB288&lt;=70),"31-70",IF(AND(DB288&gt;70,DB288&lt;=100),"71-100",IF(DB288&gt;100,"+100")))))</f>
        <v>71-100</v>
      </c>
      <c r="DD288">
        <v>0</v>
      </c>
      <c r="DE288">
        <v>1</v>
      </c>
      <c r="DF288">
        <v>1</v>
      </c>
      <c r="DG288">
        <v>1</v>
      </c>
      <c r="DH288"/>
      <c r="DI288">
        <f>SUM(DD288:DG288)</f>
        <v>3</v>
      </c>
      <c r="DJ288" t="str">
        <f>IF(DI288=1,INDEX($DD$7:$DG$7,MATCH(1,$DD288:$DG288,0)),"mixedProduct")</f>
        <v>mixedProduct</v>
      </c>
      <c r="DK288">
        <f>IF(DD288=1,DK$7,0)</f>
        <v>0</v>
      </c>
      <c r="DL288" t="str">
        <f>IF(DE288=1,DL$7,0)</f>
        <v>Energy</v>
      </c>
      <c r="DM288" t="str">
        <f>IF(DF288=1,DM$7,0)</f>
        <v>Pulp/Paper</v>
      </c>
      <c r="DN288" t="str">
        <f>IF(DG288=1,DN$7,0)</f>
        <v>Timber</v>
      </c>
      <c r="DO288">
        <v>0</v>
      </c>
      <c r="DP288">
        <v>1</v>
      </c>
      <c r="DQ288" t="s">
        <v>2148</v>
      </c>
      <c r="DR288">
        <v>0</v>
      </c>
      <c r="DS288">
        <v>0</v>
      </c>
      <c r="DT288">
        <f>SUM(DO288:DP288)</f>
        <v>1</v>
      </c>
      <c r="DU288" s="143" t="str">
        <f>IF(DO288=1,"self-calculated DF",IF(DP288=1,"external DF used","explicit C balance"))</f>
        <v>external DF used</v>
      </c>
      <c r="DV288">
        <v>1</v>
      </c>
      <c r="DW288">
        <v>1</v>
      </c>
      <c r="DX288">
        <v>1</v>
      </c>
      <c r="DY288">
        <v>0</v>
      </c>
      <c r="DZ288">
        <v>1</v>
      </c>
      <c r="EA288">
        <v>0</v>
      </c>
      <c r="EB288">
        <v>1</v>
      </c>
      <c r="EC288">
        <v>1</v>
      </c>
      <c r="ED288">
        <v>0</v>
      </c>
      <c r="EE288">
        <v>0</v>
      </c>
      <c r="EF288">
        <v>1</v>
      </c>
      <c r="EG288">
        <v>0</v>
      </c>
      <c r="EH288">
        <v>0</v>
      </c>
      <c r="EI288" s="2">
        <v>0</v>
      </c>
      <c r="EJ288" s="1"/>
      <c r="EK288" t="str">
        <f>IF(AND(AND(AND(OR($DX288=1,$DW288=1),OR($EC288=1,$EA288=1)),SUM($DV288:$DZ288,$EF288)&gt;=4),SUM($EA288:$EE288)&gt;=2),"Whole sector","")</f>
        <v>Whole sector</v>
      </c>
      <c r="EL288" t="str">
        <f>IF(AND(AND(OR($DX288=1,$DW288=1),AND($EC288=0,$EA288=0)),SUM($DV288:$DZ288,$EF288)&gt;=4),"Ecosystem approach","")</f>
        <v/>
      </c>
      <c r="EM288" s="2" t="str">
        <f>IF(AND(AND(AND($DX288=0,$DW288=0),OR($EC288=1,$EA288=1)),SUM($EB288:$EE288)&gt;=2),"Technology approach","")</f>
        <v/>
      </c>
      <c r="EN288"/>
      <c r="EO288"/>
      <c r="EP288" t="str">
        <f>IF(ISNUMBER(BU288),IF(ABS(BU288-[1]QC_indicators!$B$2)&gt;3*[1]QC_indicators!$C$2,"C ratio",IF(ISNUMBER(BY288),IF(ABS(BY288-[1]QC_indicators!$B$1)&gt;3*[1]QC_indicators!$C$1,"DF","no"))),IF(ISNUMBER(BY288),IF(ABS(BY288-[1]QC_indicators!$B$1)&gt;3*[1]QC_indicators!$C$1,"DF","no")))</f>
        <v>no</v>
      </c>
      <c r="EQ288"/>
      <c r="ER288"/>
      <c r="ES288"/>
      <c r="ET288" s="266" t="s">
        <v>3409</v>
      </c>
      <c r="EU288"/>
    </row>
    <row r="289" spans="1:151" s="139" customFormat="1" ht="15" hidden="1" customHeight="1">
      <c r="A289" s="1" t="s">
        <v>1362</v>
      </c>
      <c r="B289" t="s">
        <v>2137</v>
      </c>
      <c r="C289" t="s">
        <v>2138</v>
      </c>
      <c r="D289" t="s">
        <v>2139</v>
      </c>
      <c r="E289" t="s">
        <v>2140</v>
      </c>
      <c r="F289" t="s">
        <v>2141</v>
      </c>
      <c r="G289" t="s">
        <v>1368</v>
      </c>
      <c r="H289" t="s">
        <v>255</v>
      </c>
      <c r="I289">
        <v>2012</v>
      </c>
      <c r="J289">
        <v>21</v>
      </c>
      <c r="K289" t="s">
        <v>2142</v>
      </c>
      <c r="L289" s="192"/>
      <c r="M289" t="str">
        <f>LEFT($D289,FIND(",",$D289)-1)&amp;"_"&amp;I289&amp;L289</f>
        <v>Pyorala_2012</v>
      </c>
      <c r="N289" t="s">
        <v>223</v>
      </c>
      <c r="O289" s="145" t="s">
        <v>342</v>
      </c>
      <c r="P289" s="180" t="s">
        <v>224</v>
      </c>
      <c r="Q289" s="266" t="s">
        <v>257</v>
      </c>
      <c r="R289" s="271" t="s">
        <v>1156</v>
      </c>
      <c r="S289" s="265" t="s">
        <v>2153</v>
      </c>
      <c r="T289" s="266" t="s">
        <v>2145</v>
      </c>
      <c r="U289" s="266" t="s">
        <v>2154</v>
      </c>
      <c r="V289">
        <v>0</v>
      </c>
      <c r="W289">
        <v>0</v>
      </c>
      <c r="X289">
        <v>0</v>
      </c>
      <c r="Y289">
        <v>0</v>
      </c>
      <c r="Z289">
        <v>0</v>
      </c>
      <c r="AA289">
        <v>0</v>
      </c>
      <c r="AB289">
        <v>1</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s="141">
        <f>COUNTIF(V289:AW289,"&lt;&gt;0")</f>
        <v>1</v>
      </c>
      <c r="AY289" s="141">
        <f>COUNTIF(V289:AL289,"&lt;&gt;0")</f>
        <v>1</v>
      </c>
      <c r="AZ289">
        <f>COUNTIF(V289:AC289,"&lt;&gt;0")</f>
        <v>1</v>
      </c>
      <c r="BA289">
        <f>COUNTIF(AD289:AI289,"&lt;&gt;0")</f>
        <v>0</v>
      </c>
      <c r="BB289">
        <f>COUNTIF(AJ289:AL289,"&lt;&gt;0")</f>
        <v>0</v>
      </c>
      <c r="BC289">
        <f>COUNTIF(AS289:AW289,"&lt;&gt;0")</f>
        <v>0</v>
      </c>
      <c r="BD289">
        <f>COUNTIF(AM289:AR289,"&lt;&gt;0")</f>
        <v>0</v>
      </c>
      <c r="BE289" t="str" cm="1">
        <f t="array" ref="BE289">IF(AY289=1,INDEX($V$7:$AL$7,MATCH(TRUE,INDEX($V289:$AW289&lt;&gt;0,),0)),IF(AY289=0,INDEX($AM$7:$AW$7,MATCH(1,$AM289:$AW289,0)),IF(BF289="Multiple strategies","mixed drivers",IF(BF289="Supply chain","multiple supply","multiple silviculture"))))</f>
        <v>fertilisation</v>
      </c>
      <c r="BF289" s="2" t="str" cm="1">
        <f t="array" ref="BF289">IF(COUNTIF(AZ289:BB289,"&lt;&gt;0")=1,INDEX($V$4:$AW$4,MATCH(TRUE,INDEX($V289:$AW289&lt;&gt;0,),0)),IF(COUNTIF(AZ289:BB289,"&lt;&gt;0")=0,INDEX($AM$4:$AW$4,MATCH(1,$AM289:$AW289,0)),"Multiple strategies"))</f>
        <v>SilvicultureProd</v>
      </c>
      <c r="BG289" s="178" t="s">
        <v>322</v>
      </c>
      <c r="BH289" s="266" t="s">
        <v>2146</v>
      </c>
      <c r="BI289" s="266" t="s">
        <v>427</v>
      </c>
      <c r="BJ289" s="160" t="s">
        <v>702</v>
      </c>
      <c r="BK289">
        <v>8.4</v>
      </c>
      <c r="BL289">
        <v>8.6999999999999993</v>
      </c>
      <c r="BM289"/>
      <c r="BN289">
        <f>BL289-BK289</f>
        <v>0.29999999999999893</v>
      </c>
      <c r="BO289">
        <f>BN289</f>
        <v>0.29999999999999893</v>
      </c>
      <c r="BP289" s="155" t="s">
        <v>396</v>
      </c>
      <c r="BQ289" s="266" t="s">
        <v>785</v>
      </c>
      <c r="BR289" s="155" t="s">
        <v>280</v>
      </c>
      <c r="BS289">
        <v>1.1000000000000001</v>
      </c>
      <c r="BT289">
        <v>1</v>
      </c>
      <c r="BU289" s="144"/>
      <c r="BV289">
        <f>BT289-BS289</f>
        <v>-0.10000000000000009</v>
      </c>
      <c r="BW289"/>
      <c r="BX289">
        <f>BV289</f>
        <v>-0.10000000000000009</v>
      </c>
      <c r="BY289">
        <f>IFERROR(BX289/BO289,"")</f>
        <v>-0.33333333333333481</v>
      </c>
      <c r="BZ289">
        <v>0</v>
      </c>
      <c r="CA289">
        <v>0</v>
      </c>
      <c r="CB289">
        <v>0</v>
      </c>
      <c r="CC289">
        <v>0</v>
      </c>
      <c r="CD289">
        <v>0</v>
      </c>
      <c r="CE289">
        <v>0</v>
      </c>
      <c r="CF289">
        <v>0</v>
      </c>
      <c r="CG289">
        <v>0</v>
      </c>
      <c r="CH289">
        <v>0</v>
      </c>
      <c r="CI289">
        <v>0</v>
      </c>
      <c r="CJ289">
        <v>0</v>
      </c>
      <c r="CK289">
        <v>0</v>
      </c>
      <c r="CL289">
        <v>0</v>
      </c>
      <c r="CM289">
        <v>0</v>
      </c>
      <c r="CN289" t="str">
        <f>IF($BL289&lt;$BK289,"refNeedCorrection","refOK")</f>
        <v>refOK</v>
      </c>
      <c r="CO289">
        <f>IF($CN289="refOK",$BK289,$BL289)</f>
        <v>8.4</v>
      </c>
      <c r="CP289">
        <f>IF($CN289="refOK",$BL289,$BK289)</f>
        <v>8.6999999999999993</v>
      </c>
      <c r="CQ289">
        <f>IF($CN289="refOK",$BO289,-$BO289)</f>
        <v>0.29999999999999893</v>
      </c>
      <c r="CR289">
        <f>IF($CN289="refOK",$BS289,$BT289)*IF($BP289="Emissions positive",-1,1)</f>
        <v>-1.1000000000000001</v>
      </c>
      <c r="CS289">
        <f>IF($CN289="refOK",$BT289,$BS289)*IF($BP289="Emissions positive",-1,1)</f>
        <v>-1</v>
      </c>
      <c r="CT289">
        <f>IF($CN289="refNeedCorrection",-BX289,BX289)*IF($BP289="Emissions positive",-1,1)</f>
        <v>0.10000000000000009</v>
      </c>
      <c r="CU289">
        <f>IFERROR(CT289/CQ289,"")</f>
        <v>0.33333333333333481</v>
      </c>
      <c r="CV289" s="2">
        <f>IFERROR((CS289-CR289)/ABS(CR289),"")</f>
        <v>9.0909090909090981E-2</v>
      </c>
      <c r="CW289" s="1" t="s">
        <v>1201</v>
      </c>
      <c r="CX289" s="266" t="str">
        <f>IF(OR($CW289="prd",$CW289="std",$CW289="cit"),"loc",IF(OR($CW289="eur",$CW289="reg",$CW289="coy"),"reg",$CW289))</f>
        <v>reg</v>
      </c>
      <c r="CY289" t="s">
        <v>236</v>
      </c>
      <c r="CZ289"/>
      <c r="DA289"/>
      <c r="DB289">
        <v>80</v>
      </c>
      <c r="DC289" t="str">
        <f>IF(DB289=0,"0",IF(AND(DB289&gt;=1,DB289&lt;=30),"1-30",IF(AND(DB289&gt;30,DB289&lt;=70),"31-70",IF(AND(DB289&gt;70,DB289&lt;=100),"71-100",IF(DB289&gt;100,"+100")))))</f>
        <v>71-100</v>
      </c>
      <c r="DD289">
        <v>0</v>
      </c>
      <c r="DE289">
        <v>1</v>
      </c>
      <c r="DF289">
        <v>1</v>
      </c>
      <c r="DG289">
        <v>1</v>
      </c>
      <c r="DH289"/>
      <c r="DI289">
        <f>SUM(DD289:DG289)</f>
        <v>3</v>
      </c>
      <c r="DJ289" t="str">
        <f>IF(DI289=1,INDEX($DD$7:$DG$7,MATCH(1,$DD289:$DG289,0)),"mixedProduct")</f>
        <v>mixedProduct</v>
      </c>
      <c r="DK289">
        <f>IF(DD289=1,DK$7,0)</f>
        <v>0</v>
      </c>
      <c r="DL289" t="str">
        <f>IF(DE289=1,DL$7,0)</f>
        <v>Energy</v>
      </c>
      <c r="DM289" t="str">
        <f>IF(DF289=1,DM$7,0)</f>
        <v>Pulp/Paper</v>
      </c>
      <c r="DN289" t="str">
        <f>IF(DG289=1,DN$7,0)</f>
        <v>Timber</v>
      </c>
      <c r="DO289">
        <v>0</v>
      </c>
      <c r="DP289">
        <v>1</v>
      </c>
      <c r="DQ289" t="s">
        <v>2148</v>
      </c>
      <c r="DR289">
        <v>0</v>
      </c>
      <c r="DS289">
        <v>0</v>
      </c>
      <c r="DT289">
        <f>SUM(DO289:DP289)</f>
        <v>1</v>
      </c>
      <c r="DU289" s="143" t="str">
        <f>IF(DO289=1,"self-calculated DF",IF(DP289=1,"external DF used","explicit C balance"))</f>
        <v>external DF used</v>
      </c>
      <c r="DV289">
        <v>1</v>
      </c>
      <c r="DW289">
        <v>1</v>
      </c>
      <c r="DX289">
        <v>1</v>
      </c>
      <c r="DY289">
        <v>0</v>
      </c>
      <c r="DZ289">
        <v>1</v>
      </c>
      <c r="EA289">
        <v>0</v>
      </c>
      <c r="EB289">
        <v>1</v>
      </c>
      <c r="EC289">
        <v>1</v>
      </c>
      <c r="ED289">
        <v>0</v>
      </c>
      <c r="EE289">
        <v>0</v>
      </c>
      <c r="EF289">
        <v>1</v>
      </c>
      <c r="EG289">
        <v>0</v>
      </c>
      <c r="EH289">
        <v>0</v>
      </c>
      <c r="EI289" s="2">
        <v>0</v>
      </c>
      <c r="EJ289" s="1"/>
      <c r="EK289" t="str">
        <f>IF(AND(AND(AND(OR($DX289=1,$DW289=1),OR($EC289=1,$EA289=1)),SUM($DV289:$DZ289,$EF289)&gt;=4),SUM($EA289:$EE289)&gt;=2),"Whole sector","")</f>
        <v>Whole sector</v>
      </c>
      <c r="EL289" t="str">
        <f>IF(AND(AND(OR($DX289=1,$DW289=1),AND($EC289=0,$EA289=0)),SUM($DV289:$DZ289,$EF289)&gt;=4),"Ecosystem approach","")</f>
        <v/>
      </c>
      <c r="EM289" s="2" t="str">
        <f>IF(AND(AND(AND($DX289=0,$DW289=0),OR($EC289=1,$EA289=1)),SUM($EB289:$EE289)&gt;=2),"Technology approach","")</f>
        <v/>
      </c>
      <c r="EN289"/>
      <c r="EO289"/>
      <c r="EP289" t="str">
        <f>IF(ISNUMBER(BU289),IF(ABS(BU289-[1]QC_indicators!$B$2)&gt;3*[1]QC_indicators!$C$2,"C ratio",IF(ISNUMBER(BY289),IF(ABS(BY289-[1]QC_indicators!$B$1)&gt;3*[1]QC_indicators!$C$1,"DF","no"))),IF(ISNUMBER(BY289),IF(ABS(BY289-[1]QC_indicators!$B$1)&gt;3*[1]QC_indicators!$C$1,"DF","no")))</f>
        <v>no</v>
      </c>
      <c r="EQ289"/>
      <c r="ER289"/>
      <c r="ES289"/>
      <c r="ET289" s="266" t="s">
        <v>3409</v>
      </c>
      <c r="EU289"/>
    </row>
    <row r="290" spans="1:151" s="139" customFormat="1" ht="15" hidden="1" customHeight="1">
      <c r="A290" s="1" t="s">
        <v>1362</v>
      </c>
      <c r="B290" t="s">
        <v>2137</v>
      </c>
      <c r="C290" t="s">
        <v>2138</v>
      </c>
      <c r="D290" t="s">
        <v>2139</v>
      </c>
      <c r="E290" t="s">
        <v>2140</v>
      </c>
      <c r="F290" t="s">
        <v>2141</v>
      </c>
      <c r="G290" t="s">
        <v>1368</v>
      </c>
      <c r="H290" t="s">
        <v>255</v>
      </c>
      <c r="I290">
        <v>2012</v>
      </c>
      <c r="J290">
        <v>21</v>
      </c>
      <c r="K290" t="s">
        <v>2142</v>
      </c>
      <c r="L290" s="192"/>
      <c r="M290" t="str">
        <f>LEFT($D290,FIND(",",$D290)-1)&amp;"_"&amp;I290&amp;L290</f>
        <v>Pyorala_2012</v>
      </c>
      <c r="N290" t="s">
        <v>223</v>
      </c>
      <c r="O290" s="145" t="s">
        <v>342</v>
      </c>
      <c r="P290" s="180" t="s">
        <v>224</v>
      </c>
      <c r="Q290" s="266" t="s">
        <v>257</v>
      </c>
      <c r="R290" s="271" t="s">
        <v>1156</v>
      </c>
      <c r="S290" s="265" t="s">
        <v>2157</v>
      </c>
      <c r="T290" s="266" t="s">
        <v>2145</v>
      </c>
      <c r="U290" s="266" t="s">
        <v>2154</v>
      </c>
      <c r="V290">
        <v>0</v>
      </c>
      <c r="W290">
        <v>0</v>
      </c>
      <c r="X290">
        <v>0</v>
      </c>
      <c r="Y290">
        <v>0</v>
      </c>
      <c r="Z290">
        <v>0</v>
      </c>
      <c r="AA290">
        <v>0</v>
      </c>
      <c r="AB290">
        <v>1</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s="141">
        <f>COUNTIF(V290:AW290,"&lt;&gt;0")</f>
        <v>1</v>
      </c>
      <c r="AY290" s="141">
        <f>COUNTIF(V290:AL290,"&lt;&gt;0")</f>
        <v>1</v>
      </c>
      <c r="AZ290">
        <f>COUNTIF(V290:AC290,"&lt;&gt;0")</f>
        <v>1</v>
      </c>
      <c r="BA290">
        <f>COUNTIF(AD290:AI290,"&lt;&gt;0")</f>
        <v>0</v>
      </c>
      <c r="BB290">
        <f>COUNTIF(AJ290:AL290,"&lt;&gt;0")</f>
        <v>0</v>
      </c>
      <c r="BC290">
        <f>COUNTIF(AS290:AW290,"&lt;&gt;0")</f>
        <v>0</v>
      </c>
      <c r="BD290">
        <f>COUNTIF(AM290:AR290,"&lt;&gt;0")</f>
        <v>0</v>
      </c>
      <c r="BE290" t="str" cm="1">
        <f t="array" ref="BE290">IF(AY290=1,INDEX($V$7:$AL$7,MATCH(TRUE,INDEX($V290:$AW290&lt;&gt;0,),0)),IF(AY290=0,INDEX($AM$7:$AW$7,MATCH(1,$AM290:$AW290,0)),IF(BF290="Multiple strategies","mixed drivers",IF(BF290="Supply chain","multiple supply","multiple silviculture"))))</f>
        <v>fertilisation</v>
      </c>
      <c r="BF290" s="2" t="str" cm="1">
        <f t="array" ref="BF290">IF(COUNTIF(AZ290:BB290,"&lt;&gt;0")=1,INDEX($V$4:$AW$4,MATCH(TRUE,INDEX($V290:$AW290&lt;&gt;0,),0)),IF(COUNTIF(AZ290:BB290,"&lt;&gt;0")=0,INDEX($AM$4:$AW$4,MATCH(1,$AM290:$AW290,0)),"Multiple strategies"))</f>
        <v>SilvicultureProd</v>
      </c>
      <c r="BG290" s="178" t="s">
        <v>322</v>
      </c>
      <c r="BH290" s="266" t="s">
        <v>2146</v>
      </c>
      <c r="BI290" s="266" t="s">
        <v>703</v>
      </c>
      <c r="BJ290" s="160" t="s">
        <v>702</v>
      </c>
      <c r="BK290">
        <v>6.5</v>
      </c>
      <c r="BL290">
        <v>7</v>
      </c>
      <c r="BM290"/>
      <c r="BN290">
        <f>BL290-BK290</f>
        <v>0.5</v>
      </c>
      <c r="BO290">
        <f>BN290</f>
        <v>0.5</v>
      </c>
      <c r="BP290" s="155" t="s">
        <v>396</v>
      </c>
      <c r="BQ290" s="266" t="s">
        <v>785</v>
      </c>
      <c r="BR290" s="155" t="s">
        <v>280</v>
      </c>
      <c r="BS290">
        <v>1</v>
      </c>
      <c r="BT290">
        <v>1</v>
      </c>
      <c r="BU290" s="144"/>
      <c r="BV290">
        <f>BT290-BS290</f>
        <v>0</v>
      </c>
      <c r="BW290"/>
      <c r="BX290">
        <f>BV290</f>
        <v>0</v>
      </c>
      <c r="BY290">
        <f>IFERROR(BX290/BO290,"")</f>
        <v>0</v>
      </c>
      <c r="BZ290">
        <v>0</v>
      </c>
      <c r="CA290">
        <v>0</v>
      </c>
      <c r="CB290">
        <v>0</v>
      </c>
      <c r="CC290">
        <v>0</v>
      </c>
      <c r="CD290">
        <v>0</v>
      </c>
      <c r="CE290">
        <v>0</v>
      </c>
      <c r="CF290">
        <v>0</v>
      </c>
      <c r="CG290">
        <v>0</v>
      </c>
      <c r="CH290">
        <v>0</v>
      </c>
      <c r="CI290">
        <v>0</v>
      </c>
      <c r="CJ290">
        <v>0</v>
      </c>
      <c r="CK290">
        <v>0</v>
      </c>
      <c r="CL290">
        <v>0</v>
      </c>
      <c r="CM290">
        <v>0</v>
      </c>
      <c r="CN290" t="str">
        <f>IF($BL290&lt;$BK290,"refNeedCorrection","refOK")</f>
        <v>refOK</v>
      </c>
      <c r="CO290">
        <f>IF($CN290="refOK",$BK290,$BL290)</f>
        <v>6.5</v>
      </c>
      <c r="CP290">
        <f>IF($CN290="refOK",$BL290,$BK290)</f>
        <v>7</v>
      </c>
      <c r="CQ290">
        <f>IF($CN290="refOK",$BO290,-$BO290)</f>
        <v>0.5</v>
      </c>
      <c r="CR290">
        <f>IF($CN290="refOK",$BS290,$BT290)*IF($BP290="Emissions positive",-1,1)</f>
        <v>-1</v>
      </c>
      <c r="CS290">
        <f>IF($CN290="refOK",$BT290,$BS290)*IF($BP290="Emissions positive",-1,1)</f>
        <v>-1</v>
      </c>
      <c r="CT290">
        <f>IF($CN290="refNeedCorrection",-BX290,BX290)*IF($BP290="Emissions positive",-1,1)</f>
        <v>0</v>
      </c>
      <c r="CU290">
        <f>IFERROR(CT290/CQ290,"")</f>
        <v>0</v>
      </c>
      <c r="CV290" s="2">
        <f>IFERROR((CS290-CR290)/ABS(CR290),"")</f>
        <v>0</v>
      </c>
      <c r="CW290" s="1" t="s">
        <v>1201</v>
      </c>
      <c r="CX290" s="266" t="str">
        <f>IF(OR($CW290="prd",$CW290="std",$CW290="cit"),"loc",IF(OR($CW290="eur",$CW290="reg",$CW290="coy"),"reg",$CW290))</f>
        <v>reg</v>
      </c>
      <c r="CY290" t="s">
        <v>236</v>
      </c>
      <c r="CZ290"/>
      <c r="DA290"/>
      <c r="DB290">
        <v>80</v>
      </c>
      <c r="DC290" t="str">
        <f>IF(DB290=0,"0",IF(AND(DB290&gt;=1,DB290&lt;=30),"1-30",IF(AND(DB290&gt;30,DB290&lt;=70),"31-70",IF(AND(DB290&gt;70,DB290&lt;=100),"71-100",IF(DB290&gt;100,"+100")))))</f>
        <v>71-100</v>
      </c>
      <c r="DD290">
        <v>0</v>
      </c>
      <c r="DE290">
        <v>1</v>
      </c>
      <c r="DF290">
        <v>1</v>
      </c>
      <c r="DG290">
        <v>1</v>
      </c>
      <c r="DH290"/>
      <c r="DI290">
        <f>SUM(DD290:DG290)</f>
        <v>3</v>
      </c>
      <c r="DJ290" t="str">
        <f>IF(DI290=1,INDEX($DD$7:$DG$7,MATCH(1,$DD290:$DG290,0)),"mixedProduct")</f>
        <v>mixedProduct</v>
      </c>
      <c r="DK290">
        <f>IF(DD290=1,DK$7,0)</f>
        <v>0</v>
      </c>
      <c r="DL290" t="str">
        <f>IF(DE290=1,DL$7,0)</f>
        <v>Energy</v>
      </c>
      <c r="DM290" t="str">
        <f>IF(DF290=1,DM$7,0)</f>
        <v>Pulp/Paper</v>
      </c>
      <c r="DN290" t="str">
        <f>IF(DG290=1,DN$7,0)</f>
        <v>Timber</v>
      </c>
      <c r="DO290">
        <v>0</v>
      </c>
      <c r="DP290">
        <v>1</v>
      </c>
      <c r="DQ290" t="s">
        <v>2148</v>
      </c>
      <c r="DR290">
        <v>0</v>
      </c>
      <c r="DS290">
        <v>0</v>
      </c>
      <c r="DT290">
        <f>SUM(DO290:DP290)</f>
        <v>1</v>
      </c>
      <c r="DU290" s="143" t="str">
        <f>IF(DO290=1,"self-calculated DF",IF(DP290=1,"external DF used","explicit C balance"))</f>
        <v>external DF used</v>
      </c>
      <c r="DV290">
        <v>1</v>
      </c>
      <c r="DW290">
        <v>1</v>
      </c>
      <c r="DX290">
        <v>1</v>
      </c>
      <c r="DY290">
        <v>0</v>
      </c>
      <c r="DZ290">
        <v>1</v>
      </c>
      <c r="EA290">
        <v>0</v>
      </c>
      <c r="EB290">
        <v>1</v>
      </c>
      <c r="EC290">
        <v>1</v>
      </c>
      <c r="ED290">
        <v>0</v>
      </c>
      <c r="EE290">
        <v>0</v>
      </c>
      <c r="EF290">
        <v>1</v>
      </c>
      <c r="EG290">
        <v>0</v>
      </c>
      <c r="EH290">
        <v>0</v>
      </c>
      <c r="EI290" s="2">
        <v>0</v>
      </c>
      <c r="EJ290" s="1"/>
      <c r="EK290" t="str">
        <f>IF(AND(AND(AND(OR($DX290=1,$DW290=1),OR($EC290=1,$EA290=1)),SUM($DV290:$DZ290,$EF290)&gt;=4),SUM($EA290:$EE290)&gt;=2),"Whole sector","")</f>
        <v>Whole sector</v>
      </c>
      <c r="EL290" t="str">
        <f>IF(AND(AND(OR($DX290=1,$DW290=1),AND($EC290=0,$EA290=0)),SUM($DV290:$DZ290,$EF290)&gt;=4),"Ecosystem approach","")</f>
        <v/>
      </c>
      <c r="EM290" s="2" t="str">
        <f>IF(AND(AND(AND($DX290=0,$DW290=0),OR($EC290=1,$EA290=1)),SUM($EB290:$EE290)&gt;=2),"Technology approach","")</f>
        <v/>
      </c>
      <c r="EN290"/>
      <c r="EO290"/>
      <c r="EP290" t="str">
        <f>IF(ISNUMBER(BU290),IF(ABS(BU290-[1]QC_indicators!$B$2)&gt;3*[1]QC_indicators!$C$2,"C ratio",IF(ISNUMBER(BY290),IF(ABS(BY290-[1]QC_indicators!$B$1)&gt;3*[1]QC_indicators!$C$1,"DF","no"))),IF(ISNUMBER(BY290),IF(ABS(BY290-[1]QC_indicators!$B$1)&gt;3*[1]QC_indicators!$C$1,"DF","no")))</f>
        <v>no</v>
      </c>
      <c r="EQ290"/>
      <c r="ER290"/>
      <c r="ES290"/>
      <c r="ET290" s="266" t="s">
        <v>3409</v>
      </c>
      <c r="EU290"/>
    </row>
    <row r="291" spans="1:151" s="139" customFormat="1" ht="15" hidden="1" customHeight="1">
      <c r="A291" s="1" t="s">
        <v>1362</v>
      </c>
      <c r="B291" t="s">
        <v>2137</v>
      </c>
      <c r="C291" t="s">
        <v>2138</v>
      </c>
      <c r="D291" t="s">
        <v>2139</v>
      </c>
      <c r="E291" t="s">
        <v>2140</v>
      </c>
      <c r="F291" t="s">
        <v>2141</v>
      </c>
      <c r="G291" t="s">
        <v>1368</v>
      </c>
      <c r="H291" t="s">
        <v>255</v>
      </c>
      <c r="I291">
        <v>2012</v>
      </c>
      <c r="J291">
        <v>21</v>
      </c>
      <c r="K291" t="s">
        <v>2142</v>
      </c>
      <c r="L291" s="192"/>
      <c r="M291" t="str">
        <f>LEFT($D291,FIND(",",$D291)-1)&amp;"_"&amp;I291&amp;L291</f>
        <v>Pyorala_2012</v>
      </c>
      <c r="N291" t="s">
        <v>223</v>
      </c>
      <c r="O291" s="145" t="s">
        <v>342</v>
      </c>
      <c r="P291" s="193" t="s">
        <v>224</v>
      </c>
      <c r="Q291" s="266" t="s">
        <v>225</v>
      </c>
      <c r="R291" s="271" t="s">
        <v>1156</v>
      </c>
      <c r="S291" s="265" t="s">
        <v>2158</v>
      </c>
      <c r="T291" s="266" t="s">
        <v>2159</v>
      </c>
      <c r="U291" s="266" t="s">
        <v>2160</v>
      </c>
      <c r="V291">
        <v>0</v>
      </c>
      <c r="W291">
        <v>0</v>
      </c>
      <c r="X291">
        <v>0</v>
      </c>
      <c r="Y291">
        <v>0</v>
      </c>
      <c r="Z291">
        <v>0</v>
      </c>
      <c r="AA291">
        <v>0</v>
      </c>
      <c r="AB291">
        <v>0</v>
      </c>
      <c r="AC291">
        <v>1</v>
      </c>
      <c r="AD291">
        <v>0</v>
      </c>
      <c r="AE291">
        <v>0</v>
      </c>
      <c r="AF291">
        <v>0</v>
      </c>
      <c r="AG291">
        <v>0</v>
      </c>
      <c r="AH291">
        <v>0</v>
      </c>
      <c r="AI291">
        <v>0</v>
      </c>
      <c r="AJ291">
        <v>0</v>
      </c>
      <c r="AK291">
        <v>0</v>
      </c>
      <c r="AL291">
        <v>0</v>
      </c>
      <c r="AM291">
        <v>0</v>
      </c>
      <c r="AN291">
        <v>0</v>
      </c>
      <c r="AO291">
        <v>0</v>
      </c>
      <c r="AP291">
        <v>0</v>
      </c>
      <c r="AQ291">
        <v>0</v>
      </c>
      <c r="AR291">
        <v>0</v>
      </c>
      <c r="AS291">
        <v>0</v>
      </c>
      <c r="AT291">
        <v>0</v>
      </c>
      <c r="AU291">
        <v>0</v>
      </c>
      <c r="AV291">
        <v>0</v>
      </c>
      <c r="AW291">
        <v>0</v>
      </c>
      <c r="AX291" s="141">
        <f>COUNTIF(V291:AW291,"&lt;&gt;0")</f>
        <v>1</v>
      </c>
      <c r="AY291" s="141">
        <f>COUNTIF(V291:AL291,"&lt;&gt;0")</f>
        <v>1</v>
      </c>
      <c r="AZ291">
        <f>COUNTIF(V291:AC291,"&lt;&gt;0")</f>
        <v>1</v>
      </c>
      <c r="BA291">
        <f>COUNTIF(AD291:AI291,"&lt;&gt;0")</f>
        <v>0</v>
      </c>
      <c r="BB291">
        <f>COUNTIF(AJ291:AL291,"&lt;&gt;0")</f>
        <v>0</v>
      </c>
      <c r="BC291">
        <f>COUNTIF(AS291:AW291,"&lt;&gt;0")</f>
        <v>0</v>
      </c>
      <c r="BD291">
        <f>COUNTIF(AM291:AR291,"&lt;&gt;0")</f>
        <v>0</v>
      </c>
      <c r="BE291" t="str" cm="1">
        <f t="array" ref="BE291">IF(AY291=1,INDEX($V$7:$AL$7,MATCH(TRUE,INDEX($V291:$AW291&lt;&gt;0,),0)),IF(AY291=0,INDEX($AM$7:$AW$7,MATCH(1,$AM291:$AW291,0)),IF(BF291="Multiple strategies","mixed drivers",IF(BF291="Supply chain","multiple supply","multiple silviculture"))))</f>
        <v>site fertility</v>
      </c>
      <c r="BF291" s="2" t="str" cm="1">
        <f t="array" ref="BF291">IF(COUNTIF(AZ291:BB291,"&lt;&gt;0")=1,INDEX($V$4:$AW$4,MATCH(TRUE,INDEX($V291:$AW291&lt;&gt;0,),0)),IF(COUNTIF(AZ291:BB291,"&lt;&gt;0")=0,INDEX($AM$4:$AW$4,MATCH(1,$AM291:$AW291,0)),"Multiple strategies"))</f>
        <v>SilvicultureProd</v>
      </c>
      <c r="BG291" s="194" t="s">
        <v>322</v>
      </c>
      <c r="BH291" s="266" t="s">
        <v>2146</v>
      </c>
      <c r="BI291" s="266" t="s">
        <v>2161</v>
      </c>
      <c r="BJ291" s="195" t="s">
        <v>702</v>
      </c>
      <c r="BK291">
        <v>7.4</v>
      </c>
      <c r="BL291">
        <v>8.8000000000000007</v>
      </c>
      <c r="BM291"/>
      <c r="BN291">
        <f>BL291-BK291</f>
        <v>1.4000000000000004</v>
      </c>
      <c r="BO291">
        <f>BN291</f>
        <v>1.4000000000000004</v>
      </c>
      <c r="BP291" s="149" t="s">
        <v>396</v>
      </c>
      <c r="BQ291" s="266" t="s">
        <v>785</v>
      </c>
      <c r="BR291" s="149" t="s">
        <v>280</v>
      </c>
      <c r="BS291">
        <v>0.9</v>
      </c>
      <c r="BT291">
        <v>0.8</v>
      </c>
      <c r="BU291" s="144"/>
      <c r="BV291">
        <f>BT291-BS291</f>
        <v>-9.9999999999999978E-2</v>
      </c>
      <c r="BW291"/>
      <c r="BX291">
        <f>BV291</f>
        <v>-9.9999999999999978E-2</v>
      </c>
      <c r="BY291">
        <f>IFERROR(BX291/BO291,"")</f>
        <v>-7.1428571428571397E-2</v>
      </c>
      <c r="BZ291">
        <v>0</v>
      </c>
      <c r="CA291">
        <v>0</v>
      </c>
      <c r="CB291">
        <v>0</v>
      </c>
      <c r="CC291">
        <v>0</v>
      </c>
      <c r="CD291">
        <v>0</v>
      </c>
      <c r="CE291">
        <v>0</v>
      </c>
      <c r="CF291">
        <v>0</v>
      </c>
      <c r="CG291">
        <v>0</v>
      </c>
      <c r="CH291">
        <v>0</v>
      </c>
      <c r="CI291">
        <v>0</v>
      </c>
      <c r="CJ291">
        <v>0</v>
      </c>
      <c r="CK291">
        <v>0</v>
      </c>
      <c r="CL291">
        <v>0</v>
      </c>
      <c r="CM291">
        <v>0</v>
      </c>
      <c r="CN291" t="str">
        <f>IF($BL291&lt;$BK291,"refNeedCorrection","refOK")</f>
        <v>refOK</v>
      </c>
      <c r="CO291">
        <f>IF($CN291="refOK",$BK291,$BL291)</f>
        <v>7.4</v>
      </c>
      <c r="CP291">
        <f>IF($CN291="refOK",$BL291,$BK291)</f>
        <v>8.8000000000000007</v>
      </c>
      <c r="CQ291">
        <f>IF($CN291="refOK",$BO291,-$BO291)</f>
        <v>1.4000000000000004</v>
      </c>
      <c r="CR291">
        <f>IF($CN291="refOK",$BS291,$BT291)*IF($BP291="Emissions positive",-1,1)</f>
        <v>-0.9</v>
      </c>
      <c r="CS291">
        <f>IF($CN291="refOK",$BT291,$BS291)*IF($BP291="Emissions positive",-1,1)</f>
        <v>-0.8</v>
      </c>
      <c r="CT291">
        <f>IF($CN291="refNeedCorrection",-BX291,BX291)*IF($BP291="Emissions positive",-1,1)</f>
        <v>9.9999999999999978E-2</v>
      </c>
      <c r="CU291">
        <f>IFERROR(CT291/CQ291,"")</f>
        <v>7.1428571428571397E-2</v>
      </c>
      <c r="CV291" s="2">
        <f>IFERROR((CS291-CR291)/ABS(CR291),"")</f>
        <v>0.11111111111111108</v>
      </c>
      <c r="CW291" s="1" t="s">
        <v>1201</v>
      </c>
      <c r="CX291" s="266" t="str">
        <f>IF(OR($CW291="prd",$CW291="std",$CW291="cit"),"loc",IF(OR($CW291="eur",$CW291="reg",$CW291="coy"),"reg",$CW291))</f>
        <v>reg</v>
      </c>
      <c r="CY291" t="s">
        <v>236</v>
      </c>
      <c r="CZ291"/>
      <c r="DA291"/>
      <c r="DB291">
        <v>80</v>
      </c>
      <c r="DC291" t="str">
        <f>IF(DB291=0,"0",IF(AND(DB291&gt;=1,DB291&lt;=30),"1-30",IF(AND(DB291&gt;30,DB291&lt;=70),"31-70",IF(AND(DB291&gt;70,DB291&lt;=100),"71-100",IF(DB291&gt;100,"+100")))))</f>
        <v>71-100</v>
      </c>
      <c r="DD291">
        <v>0</v>
      </c>
      <c r="DE291">
        <v>1</v>
      </c>
      <c r="DF291">
        <v>1</v>
      </c>
      <c r="DG291">
        <v>1</v>
      </c>
      <c r="DH291"/>
      <c r="DI291">
        <f>SUM(DD291:DG291)</f>
        <v>3</v>
      </c>
      <c r="DJ291" t="str">
        <f>IF(DI291=1,INDEX($DD$7:$DG$7,MATCH(1,$DD291:$DG291,0)),"mixedProduct")</f>
        <v>mixedProduct</v>
      </c>
      <c r="DK291">
        <f>IF(DD291=1,DK$7,0)</f>
        <v>0</v>
      </c>
      <c r="DL291" t="str">
        <f>IF(DE291=1,DL$7,0)</f>
        <v>Energy</v>
      </c>
      <c r="DM291" t="str">
        <f>IF(DF291=1,DM$7,0)</f>
        <v>Pulp/Paper</v>
      </c>
      <c r="DN291" t="str">
        <f>IF(DG291=1,DN$7,0)</f>
        <v>Timber</v>
      </c>
      <c r="DO291">
        <v>0</v>
      </c>
      <c r="DP291">
        <v>1</v>
      </c>
      <c r="DQ291" t="s">
        <v>2148</v>
      </c>
      <c r="DR291">
        <v>0</v>
      </c>
      <c r="DS291">
        <v>0</v>
      </c>
      <c r="DT291">
        <f>SUM(DO291:DP291)</f>
        <v>1</v>
      </c>
      <c r="DU291" s="143" t="str">
        <f>IF(DO291=1,"self-calculated DF",IF(DP291=1,"external DF used","explicit C balance"))</f>
        <v>external DF used</v>
      </c>
      <c r="DV291">
        <v>1</v>
      </c>
      <c r="DW291">
        <v>1</v>
      </c>
      <c r="DX291">
        <v>1</v>
      </c>
      <c r="DY291">
        <v>0</v>
      </c>
      <c r="DZ291">
        <v>1</v>
      </c>
      <c r="EA291">
        <v>0</v>
      </c>
      <c r="EB291">
        <v>1</v>
      </c>
      <c r="EC291">
        <v>1</v>
      </c>
      <c r="ED291">
        <v>0</v>
      </c>
      <c r="EE291">
        <v>0</v>
      </c>
      <c r="EF291">
        <v>1</v>
      </c>
      <c r="EG291">
        <v>0</v>
      </c>
      <c r="EH291">
        <v>0</v>
      </c>
      <c r="EI291" s="2">
        <v>0</v>
      </c>
      <c r="EJ291" s="1"/>
      <c r="EK291" t="str">
        <f>IF(AND(AND(AND(OR($DX291=1,$DW291=1),OR($EC291=1,$EA291=1)),SUM($DV291:$DZ291,$EF291)&gt;=4),SUM($EA291:$EE291)&gt;=2),"Whole sector","")</f>
        <v>Whole sector</v>
      </c>
      <c r="EL291" t="str">
        <f>IF(AND(AND(OR($DX291=1,$DW291=1),AND($EC291=0,$EA291=0)),SUM($DV291:$DZ291,$EF291)&gt;=4),"Ecosystem approach","")</f>
        <v/>
      </c>
      <c r="EM291" s="2" t="str">
        <f>IF(AND(AND(AND($DX291=0,$DW291=0),OR($EC291=1,$EA291=1)),SUM($EB291:$EE291)&gt;=2),"Technology approach","")</f>
        <v/>
      </c>
      <c r="EN291"/>
      <c r="EO291"/>
      <c r="EP291" t="str">
        <f>IF(ISNUMBER(BU291),IF(ABS(BU291-[1]QC_indicators!$B$2)&gt;3*[1]QC_indicators!$C$2,"C ratio",IF(ISNUMBER(BY291),IF(ABS(BY291-[1]QC_indicators!$B$1)&gt;3*[1]QC_indicators!$C$1,"DF","no"))),IF(ISNUMBER(BY291),IF(ABS(BY291-[1]QC_indicators!$B$1)&gt;3*[1]QC_indicators!$C$1,"DF","no")))</f>
        <v>no</v>
      </c>
      <c r="EQ291"/>
      <c r="ER291"/>
      <c r="ES291"/>
      <c r="ET291" s="266" t="s">
        <v>3409</v>
      </c>
      <c r="EU291"/>
    </row>
    <row r="292" spans="1:151" s="139" customFormat="1" ht="15" hidden="1" customHeight="1">
      <c r="A292" s="1" t="s">
        <v>1362</v>
      </c>
      <c r="B292" t="s">
        <v>2137</v>
      </c>
      <c r="C292" t="s">
        <v>2138</v>
      </c>
      <c r="D292" t="s">
        <v>2139</v>
      </c>
      <c r="E292" t="s">
        <v>2140</v>
      </c>
      <c r="F292" t="s">
        <v>2141</v>
      </c>
      <c r="G292" t="s">
        <v>1368</v>
      </c>
      <c r="H292" t="s">
        <v>255</v>
      </c>
      <c r="I292">
        <v>2012</v>
      </c>
      <c r="J292">
        <v>21</v>
      </c>
      <c r="K292" t="s">
        <v>2142</v>
      </c>
      <c r="L292" s="192"/>
      <c r="M292" t="str">
        <f>LEFT($D292,FIND(",",$D292)-1)&amp;"_"&amp;I292&amp;L292</f>
        <v>Pyorala_2012</v>
      </c>
      <c r="N292" t="s">
        <v>223</v>
      </c>
      <c r="O292" s="145" t="s">
        <v>342</v>
      </c>
      <c r="P292" s="193" t="s">
        <v>224</v>
      </c>
      <c r="Q292" s="266" t="s">
        <v>2164</v>
      </c>
      <c r="R292" s="271" t="s">
        <v>1156</v>
      </c>
      <c r="S292" s="265" t="s">
        <v>2165</v>
      </c>
      <c r="T292" s="266" t="s">
        <v>2159</v>
      </c>
      <c r="U292" s="266" t="s">
        <v>2160</v>
      </c>
      <c r="V292">
        <v>0</v>
      </c>
      <c r="W292">
        <v>0</v>
      </c>
      <c r="X292">
        <v>0</v>
      </c>
      <c r="Y292">
        <v>0</v>
      </c>
      <c r="Z292">
        <v>0</v>
      </c>
      <c r="AA292">
        <v>0</v>
      </c>
      <c r="AB292">
        <v>0</v>
      </c>
      <c r="AC292">
        <v>1</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s="141">
        <f>COUNTIF(V292:AW292,"&lt;&gt;0")</f>
        <v>1</v>
      </c>
      <c r="AY292" s="141">
        <f>COUNTIF(V292:AL292,"&lt;&gt;0")</f>
        <v>1</v>
      </c>
      <c r="AZ292">
        <f>COUNTIF(V292:AC292,"&lt;&gt;0")</f>
        <v>1</v>
      </c>
      <c r="BA292">
        <f>COUNTIF(AD292:AI292,"&lt;&gt;0")</f>
        <v>0</v>
      </c>
      <c r="BB292">
        <f>COUNTIF(AJ292:AL292,"&lt;&gt;0")</f>
        <v>0</v>
      </c>
      <c r="BC292">
        <f>COUNTIF(AS292:AW292,"&lt;&gt;0")</f>
        <v>0</v>
      </c>
      <c r="BD292">
        <f>COUNTIF(AM292:AR292,"&lt;&gt;0")</f>
        <v>0</v>
      </c>
      <c r="BE292" t="str" cm="1">
        <f t="array" ref="BE292">IF(AY292=1,INDEX($V$7:$AL$7,MATCH(TRUE,INDEX($V292:$AW292&lt;&gt;0,),0)),IF(AY292=0,INDEX($AM$7:$AW$7,MATCH(1,$AM292:$AW292,0)),IF(BF292="Multiple strategies","mixed drivers",IF(BF292="Supply chain","multiple supply","multiple silviculture"))))</f>
        <v>site fertility</v>
      </c>
      <c r="BF292" s="2" t="str" cm="1">
        <f t="array" ref="BF292">IF(COUNTIF(AZ292:BB292,"&lt;&gt;0")=1,INDEX($V$4:$AW$4,MATCH(TRUE,INDEX($V292:$AW292&lt;&gt;0,),0)),IF(COUNTIF(AZ292:BB292,"&lt;&gt;0")=0,INDEX($AM$4:$AW$4,MATCH(1,$AM292:$AW292,0)),"Multiple strategies"))</f>
        <v>SilvicultureProd</v>
      </c>
      <c r="BG292" s="194" t="s">
        <v>322</v>
      </c>
      <c r="BH292" s="266" t="s">
        <v>2146</v>
      </c>
      <c r="BI292" s="266" t="s">
        <v>2161</v>
      </c>
      <c r="BJ292" s="195" t="s">
        <v>702</v>
      </c>
      <c r="BK292">
        <v>6.5</v>
      </c>
      <c r="BL292">
        <v>8.4</v>
      </c>
      <c r="BM292"/>
      <c r="BN292">
        <f>BL292-BK292</f>
        <v>1.9000000000000004</v>
      </c>
      <c r="BO292">
        <f>BN292</f>
        <v>1.9000000000000004</v>
      </c>
      <c r="BP292" s="149" t="s">
        <v>396</v>
      </c>
      <c r="BQ292" s="266" t="s">
        <v>785</v>
      </c>
      <c r="BR292" s="149" t="s">
        <v>280</v>
      </c>
      <c r="BS292">
        <v>1</v>
      </c>
      <c r="BT292">
        <v>1.1000000000000001</v>
      </c>
      <c r="BU292" s="144"/>
      <c r="BV292">
        <f>BT292-BS292</f>
        <v>0.10000000000000009</v>
      </c>
      <c r="BW292"/>
      <c r="BX292">
        <f>BV292</f>
        <v>0.10000000000000009</v>
      </c>
      <c r="BY292">
        <f>IFERROR(BX292/BO292,"")</f>
        <v>5.263157894736846E-2</v>
      </c>
      <c r="BZ292">
        <v>0</v>
      </c>
      <c r="CA292">
        <v>0</v>
      </c>
      <c r="CB292">
        <v>0</v>
      </c>
      <c r="CC292">
        <v>0</v>
      </c>
      <c r="CD292">
        <v>0</v>
      </c>
      <c r="CE292">
        <v>0</v>
      </c>
      <c r="CF292">
        <v>0</v>
      </c>
      <c r="CG292">
        <v>0</v>
      </c>
      <c r="CH292">
        <v>0</v>
      </c>
      <c r="CI292">
        <v>0</v>
      </c>
      <c r="CJ292">
        <v>0</v>
      </c>
      <c r="CK292">
        <v>0</v>
      </c>
      <c r="CL292">
        <v>0</v>
      </c>
      <c r="CM292">
        <v>0</v>
      </c>
      <c r="CN292" t="str">
        <f>IF($BL292&lt;$BK292,"refNeedCorrection","refOK")</f>
        <v>refOK</v>
      </c>
      <c r="CO292">
        <f>IF($CN292="refOK",$BK292,$BL292)</f>
        <v>6.5</v>
      </c>
      <c r="CP292">
        <f>IF($CN292="refOK",$BL292,$BK292)</f>
        <v>8.4</v>
      </c>
      <c r="CQ292">
        <f>IF($CN292="refOK",$BO292,-$BO292)</f>
        <v>1.9000000000000004</v>
      </c>
      <c r="CR292">
        <f>IF($CN292="refOK",$BS292,$BT292)*IF($BP292="Emissions positive",-1,1)</f>
        <v>-1</v>
      </c>
      <c r="CS292">
        <f>IF($CN292="refOK",$BT292,$BS292)*IF($BP292="Emissions positive",-1,1)</f>
        <v>-1.1000000000000001</v>
      </c>
      <c r="CT292">
        <f>IF($CN292="refNeedCorrection",-BX292,BX292)*IF($BP292="Emissions positive",-1,1)</f>
        <v>-0.10000000000000009</v>
      </c>
      <c r="CU292">
        <f>IFERROR(CT292/CQ292,"")</f>
        <v>-5.263157894736846E-2</v>
      </c>
      <c r="CV292" s="2">
        <f>IFERROR((CS292-CR292)/ABS(CR292),"")</f>
        <v>-0.10000000000000009</v>
      </c>
      <c r="CW292" s="1" t="s">
        <v>1201</v>
      </c>
      <c r="CX292" s="266" t="str">
        <f>IF(OR($CW292="prd",$CW292="std",$CW292="cit"),"loc",IF(OR($CW292="eur",$CW292="reg",$CW292="coy"),"reg",$CW292))</f>
        <v>reg</v>
      </c>
      <c r="CY292" t="s">
        <v>236</v>
      </c>
      <c r="CZ292"/>
      <c r="DA292"/>
      <c r="DB292">
        <v>80</v>
      </c>
      <c r="DC292" t="str">
        <f>IF(DB292=0,"0",IF(AND(DB292&gt;=1,DB292&lt;=30),"1-30",IF(AND(DB292&gt;30,DB292&lt;=70),"31-70",IF(AND(DB292&gt;70,DB292&lt;=100),"71-100",IF(DB292&gt;100,"+100")))))</f>
        <v>71-100</v>
      </c>
      <c r="DD292">
        <v>0</v>
      </c>
      <c r="DE292">
        <v>1</v>
      </c>
      <c r="DF292">
        <v>1</v>
      </c>
      <c r="DG292">
        <v>1</v>
      </c>
      <c r="DH292"/>
      <c r="DI292">
        <f>SUM(DD292:DG292)</f>
        <v>3</v>
      </c>
      <c r="DJ292" t="str">
        <f>IF(DI292=1,INDEX($DD$7:$DG$7,MATCH(1,$DD292:$DG292,0)),"mixedProduct")</f>
        <v>mixedProduct</v>
      </c>
      <c r="DK292">
        <f>IF(DD292=1,DK$7,0)</f>
        <v>0</v>
      </c>
      <c r="DL292" t="str">
        <f>IF(DE292=1,DL$7,0)</f>
        <v>Energy</v>
      </c>
      <c r="DM292" t="str">
        <f>IF(DF292=1,DM$7,0)</f>
        <v>Pulp/Paper</v>
      </c>
      <c r="DN292" t="str">
        <f>IF(DG292=1,DN$7,0)</f>
        <v>Timber</v>
      </c>
      <c r="DO292">
        <v>0</v>
      </c>
      <c r="DP292">
        <v>1</v>
      </c>
      <c r="DQ292" t="s">
        <v>2148</v>
      </c>
      <c r="DR292">
        <v>0</v>
      </c>
      <c r="DS292">
        <v>0</v>
      </c>
      <c r="DT292">
        <f>SUM(DO292:DP292)</f>
        <v>1</v>
      </c>
      <c r="DU292" s="143" t="str">
        <f>IF(DO292=1,"self-calculated DF",IF(DP292=1,"external DF used","explicit C balance"))</f>
        <v>external DF used</v>
      </c>
      <c r="DV292">
        <v>1</v>
      </c>
      <c r="DW292">
        <v>1</v>
      </c>
      <c r="DX292">
        <v>1</v>
      </c>
      <c r="DY292">
        <v>0</v>
      </c>
      <c r="DZ292">
        <v>1</v>
      </c>
      <c r="EA292">
        <v>0</v>
      </c>
      <c r="EB292">
        <v>1</v>
      </c>
      <c r="EC292">
        <v>1</v>
      </c>
      <c r="ED292">
        <v>0</v>
      </c>
      <c r="EE292">
        <v>0</v>
      </c>
      <c r="EF292">
        <v>1</v>
      </c>
      <c r="EG292">
        <v>0</v>
      </c>
      <c r="EH292">
        <v>0</v>
      </c>
      <c r="EI292" s="2">
        <v>0</v>
      </c>
      <c r="EJ292" s="1"/>
      <c r="EK292" t="str">
        <f>IF(AND(AND(AND(OR($DX292=1,$DW292=1),OR($EC292=1,$EA292=1)),SUM($DV292:$DZ292,$EF292)&gt;=4),SUM($EA292:$EE292)&gt;=2),"Whole sector","")</f>
        <v>Whole sector</v>
      </c>
      <c r="EL292" t="str">
        <f>IF(AND(AND(OR($DX292=1,$DW292=1),AND($EC292=0,$EA292=0)),SUM($DV292:$DZ292,$EF292)&gt;=4),"Ecosystem approach","")</f>
        <v/>
      </c>
      <c r="EM292" s="2" t="str">
        <f>IF(AND(AND(AND($DX292=0,$DW292=0),OR($EC292=1,$EA292=1)),SUM($EB292:$EE292)&gt;=2),"Technology approach","")</f>
        <v/>
      </c>
      <c r="EN292"/>
      <c r="EO292"/>
      <c r="EP292" t="str">
        <f>IF(ISNUMBER(BU292),IF(ABS(BU292-[1]QC_indicators!$B$2)&gt;3*[1]QC_indicators!$C$2,"C ratio",IF(ISNUMBER(BY292),IF(ABS(BY292-[1]QC_indicators!$B$1)&gt;3*[1]QC_indicators!$C$1,"DF","no"))),IF(ISNUMBER(BY292),IF(ABS(BY292-[1]QC_indicators!$B$1)&gt;3*[1]QC_indicators!$C$1,"DF","no")))</f>
        <v>no</v>
      </c>
      <c r="EQ292"/>
      <c r="ER292"/>
      <c r="ES292"/>
      <c r="ET292" s="266" t="s">
        <v>3409</v>
      </c>
      <c r="EU292"/>
    </row>
    <row r="293" spans="1:151" s="139" customFormat="1" ht="15" customHeight="1">
      <c r="A293" s="1" t="s">
        <v>1362</v>
      </c>
      <c r="B293" t="s">
        <v>2137</v>
      </c>
      <c r="C293" t="s">
        <v>2138</v>
      </c>
      <c r="D293" t="s">
        <v>2139</v>
      </c>
      <c r="E293" t="s">
        <v>2140</v>
      </c>
      <c r="F293" t="s">
        <v>2141</v>
      </c>
      <c r="G293" t="s">
        <v>1368</v>
      </c>
      <c r="H293" t="s">
        <v>255</v>
      </c>
      <c r="I293">
        <v>2012</v>
      </c>
      <c r="J293">
        <v>21</v>
      </c>
      <c r="K293" t="s">
        <v>2142</v>
      </c>
      <c r="L293" s="192"/>
      <c r="M293" t="str">
        <f>LEFT($D293,FIND(",",$D293)-1)&amp;"_"&amp;I293&amp;L293</f>
        <v>Pyorala_2012</v>
      </c>
      <c r="N293" t="s">
        <v>223</v>
      </c>
      <c r="O293" s="145" t="s">
        <v>342</v>
      </c>
      <c r="P293" s="180" t="s">
        <v>224</v>
      </c>
      <c r="Q293" s="266" t="s">
        <v>257</v>
      </c>
      <c r="R293" s="271" t="s">
        <v>1156</v>
      </c>
      <c r="S293" s="265" t="s">
        <v>2165</v>
      </c>
      <c r="T293" s="266" t="s">
        <v>2159</v>
      </c>
      <c r="U293" s="266" t="s">
        <v>2160</v>
      </c>
      <c r="V293">
        <v>0</v>
      </c>
      <c r="W293">
        <v>0</v>
      </c>
      <c r="X293">
        <v>0</v>
      </c>
      <c r="Y293">
        <v>0</v>
      </c>
      <c r="Z293">
        <v>0</v>
      </c>
      <c r="AA293">
        <v>0</v>
      </c>
      <c r="AB293">
        <v>0</v>
      </c>
      <c r="AC293">
        <v>1</v>
      </c>
      <c r="AD293">
        <v>0</v>
      </c>
      <c r="AE293">
        <v>0</v>
      </c>
      <c r="AF293">
        <v>0</v>
      </c>
      <c r="AG293">
        <v>0</v>
      </c>
      <c r="AH293">
        <v>0</v>
      </c>
      <c r="AI293">
        <v>0</v>
      </c>
      <c r="AJ293">
        <v>0</v>
      </c>
      <c r="AK293">
        <v>0</v>
      </c>
      <c r="AL293">
        <v>0</v>
      </c>
      <c r="AM293">
        <v>0</v>
      </c>
      <c r="AN293">
        <v>0</v>
      </c>
      <c r="AO293">
        <v>0</v>
      </c>
      <c r="AP293">
        <v>0</v>
      </c>
      <c r="AQ293">
        <v>0</v>
      </c>
      <c r="AR293">
        <v>0</v>
      </c>
      <c r="AS293">
        <v>0</v>
      </c>
      <c r="AT293">
        <v>0</v>
      </c>
      <c r="AU293">
        <v>0</v>
      </c>
      <c r="AV293">
        <v>0</v>
      </c>
      <c r="AW293">
        <v>0</v>
      </c>
      <c r="AX293" s="141">
        <f>COUNTIF(V293:AW293,"&lt;&gt;0")</f>
        <v>1</v>
      </c>
      <c r="AY293" s="141">
        <f>COUNTIF(V293:AL293,"&lt;&gt;0")</f>
        <v>1</v>
      </c>
      <c r="AZ293">
        <f>COUNTIF(V293:AC293,"&lt;&gt;0")</f>
        <v>1</v>
      </c>
      <c r="BA293">
        <f>COUNTIF(AD293:AI293,"&lt;&gt;0")</f>
        <v>0</v>
      </c>
      <c r="BB293">
        <f>COUNTIF(AJ293:AL293,"&lt;&gt;0")</f>
        <v>0</v>
      </c>
      <c r="BC293">
        <f>COUNTIF(AS293:AW293,"&lt;&gt;0")</f>
        <v>0</v>
      </c>
      <c r="BD293">
        <f>COUNTIF(AM293:AR293,"&lt;&gt;0")</f>
        <v>0</v>
      </c>
      <c r="BE293" t="str" cm="1">
        <f t="array" ref="BE293">IF(AY293=1,INDEX($V$7:$AL$7,MATCH(TRUE,INDEX($V293:$AW293&lt;&gt;0,),0)),IF(AY293=0,INDEX($AM$7:$AW$7,MATCH(1,$AM293:$AW293,0)),IF(BF293="Multiple strategies","mixed drivers",IF(BF293="Supply chain","multiple supply","multiple silviculture"))))</f>
        <v>site fertility</v>
      </c>
      <c r="BF293" s="2" t="str" cm="1">
        <f t="array" ref="BF293">IF(COUNTIF(AZ293:BB293,"&lt;&gt;0")=1,INDEX($V$4:$AW$4,MATCH(TRUE,INDEX($V293:$AW293&lt;&gt;0,),0)),IF(COUNTIF(AZ293:BB293,"&lt;&gt;0")=0,INDEX($AM$4:$AW$4,MATCH(1,$AM293:$AW293,0)),"Multiple strategies"))</f>
        <v>SilvicultureProd</v>
      </c>
      <c r="BG293" s="178" t="s">
        <v>322</v>
      </c>
      <c r="BH293" s="266" t="s">
        <v>2146</v>
      </c>
      <c r="BI293" s="266" t="s">
        <v>2161</v>
      </c>
      <c r="BJ293" s="160" t="s">
        <v>702</v>
      </c>
      <c r="BK293">
        <v>6.5</v>
      </c>
      <c r="BL293">
        <v>8.4</v>
      </c>
      <c r="BM293"/>
      <c r="BN293">
        <f>BL293-BK293</f>
        <v>1.9000000000000004</v>
      </c>
      <c r="BO293">
        <f>BN293</f>
        <v>1.9000000000000004</v>
      </c>
      <c r="BP293" s="155" t="s">
        <v>233</v>
      </c>
      <c r="BQ293" s="266" t="s">
        <v>788</v>
      </c>
      <c r="BR293" s="272" t="s">
        <v>2147</v>
      </c>
      <c r="BS293" s="266">
        <f>99.4/80</f>
        <v>1.2425000000000002</v>
      </c>
      <c r="BT293" s="266">
        <f>113.9/80</f>
        <v>1.4237500000000001</v>
      </c>
      <c r="BU293" s="144"/>
      <c r="BV293">
        <f>BT293-BS293</f>
        <v>0.18124999999999991</v>
      </c>
      <c r="BW293"/>
      <c r="BX293">
        <f>BV293</f>
        <v>0.18124999999999991</v>
      </c>
      <c r="BY293">
        <f>IFERROR(BX293/BO293,"")</f>
        <v>9.5394736842105199E-2</v>
      </c>
      <c r="BZ293">
        <v>0</v>
      </c>
      <c r="CA293">
        <v>0</v>
      </c>
      <c r="CB293">
        <v>0</v>
      </c>
      <c r="CC293">
        <v>0</v>
      </c>
      <c r="CD293">
        <v>0</v>
      </c>
      <c r="CE293">
        <v>0</v>
      </c>
      <c r="CF293">
        <v>0</v>
      </c>
      <c r="CG293">
        <v>0</v>
      </c>
      <c r="CH293">
        <v>0</v>
      </c>
      <c r="CI293">
        <v>0</v>
      </c>
      <c r="CJ293">
        <v>0</v>
      </c>
      <c r="CK293">
        <v>0</v>
      </c>
      <c r="CL293">
        <v>0</v>
      </c>
      <c r="CM293">
        <v>0</v>
      </c>
      <c r="CN293" t="str">
        <f>IF($BL293&lt;$BK293,"refNeedCorrection","refOK")</f>
        <v>refOK</v>
      </c>
      <c r="CO293">
        <f>IF($CN293="refOK",$BK293,$BL293)</f>
        <v>6.5</v>
      </c>
      <c r="CP293">
        <f>IF($CN293="refOK",$BL293,$BK293)</f>
        <v>8.4</v>
      </c>
      <c r="CQ293">
        <f>IF($CN293="refOK",$BO293,-$BO293)</f>
        <v>1.9000000000000004</v>
      </c>
      <c r="CR293">
        <f>IF($CN293="refOK",$BS293,$BT293)*IF($BP293="Emissions positive",-1,1)</f>
        <v>1.2425000000000002</v>
      </c>
      <c r="CS293">
        <f>IF($CN293="refOK",$BT293,$BS293)*IF($BP293="Emissions positive",-1,1)</f>
        <v>1.4237500000000001</v>
      </c>
      <c r="CT293">
        <f>IF($CN293="refNeedCorrection",-BX293,BX293)*IF($BP293="Emissions positive",-1,1)</f>
        <v>0.18124999999999991</v>
      </c>
      <c r="CU293">
        <f>IFERROR(CT293/CQ293,"")</f>
        <v>9.5394736842105199E-2</v>
      </c>
      <c r="CV293" s="2">
        <f>IFERROR((CS293-CR293)/ABS(CR293),"")</f>
        <v>0.14587525150905423</v>
      </c>
      <c r="CW293" s="1" t="s">
        <v>1201</v>
      </c>
      <c r="CX293" s="266" t="str">
        <f>IF(OR($CW293="prd",$CW293="std",$CW293="cit"),"loc",IF(OR($CW293="eur",$CW293="reg",$CW293="coy"),"reg",$CW293))</f>
        <v>reg</v>
      </c>
      <c r="CY293" t="s">
        <v>236</v>
      </c>
      <c r="CZ293"/>
      <c r="DA293"/>
      <c r="DB293">
        <v>80</v>
      </c>
      <c r="DC293" t="str">
        <f>IF(DB293=0,"0",IF(AND(DB293&gt;=1,DB293&lt;=30),"1-30",IF(AND(DB293&gt;30,DB293&lt;=70),"31-70",IF(AND(DB293&gt;70,DB293&lt;=100),"71-100",IF(DB293&gt;100,"+100")))))</f>
        <v>71-100</v>
      </c>
      <c r="DD293">
        <v>0</v>
      </c>
      <c r="DE293">
        <v>1</v>
      </c>
      <c r="DF293">
        <v>1</v>
      </c>
      <c r="DG293">
        <v>1</v>
      </c>
      <c r="DH293"/>
      <c r="DI293">
        <f>SUM(DD293:DG293)</f>
        <v>3</v>
      </c>
      <c r="DJ293" t="str">
        <f>IF(DI293=1,INDEX($DD$7:$DG$7,MATCH(1,$DD293:$DG293,0)),"mixedProduct")</f>
        <v>mixedProduct</v>
      </c>
      <c r="DK293">
        <f>IF(DD293=1,DK$7,0)</f>
        <v>0</v>
      </c>
      <c r="DL293" t="str">
        <f>IF(DE293=1,DL$7,0)</f>
        <v>Energy</v>
      </c>
      <c r="DM293" t="str">
        <f>IF(DF293=1,DM$7,0)</f>
        <v>Pulp/Paper</v>
      </c>
      <c r="DN293" t="str">
        <f>IF(DG293=1,DN$7,0)</f>
        <v>Timber</v>
      </c>
      <c r="DO293">
        <v>0</v>
      </c>
      <c r="DP293">
        <v>1</v>
      </c>
      <c r="DQ293" t="s">
        <v>2148</v>
      </c>
      <c r="DR293">
        <v>0</v>
      </c>
      <c r="DS293">
        <v>0</v>
      </c>
      <c r="DT293">
        <f>SUM(DO293:DP293)</f>
        <v>1</v>
      </c>
      <c r="DU293" s="143" t="str">
        <f>IF(DO293=1,"self-calculated DF",IF(DP293=1,"external DF used","explicit C balance"))</f>
        <v>external DF used</v>
      </c>
      <c r="DV293">
        <v>1</v>
      </c>
      <c r="DW293">
        <v>1</v>
      </c>
      <c r="DX293">
        <v>1</v>
      </c>
      <c r="DY293">
        <v>0</v>
      </c>
      <c r="DZ293">
        <v>0</v>
      </c>
      <c r="EA293" s="143">
        <v>0</v>
      </c>
      <c r="EB293">
        <v>0</v>
      </c>
      <c r="EC293">
        <v>0</v>
      </c>
      <c r="ED293">
        <v>0</v>
      </c>
      <c r="EE293">
        <v>0</v>
      </c>
      <c r="EF293">
        <v>1</v>
      </c>
      <c r="EG293">
        <v>0</v>
      </c>
      <c r="EH293">
        <v>0</v>
      </c>
      <c r="EI293" s="2">
        <v>0</v>
      </c>
      <c r="EJ293" s="1"/>
      <c r="EK293" t="str">
        <f>IF(AND(AND(AND(OR($DX293=1,$DW293=1),OR($EC293=1,$EA293=1)),SUM($DV293:$DZ293,$EF293)&gt;=4),SUM($EA293:$EE293)&gt;=2),"Whole sector","")</f>
        <v/>
      </c>
      <c r="EL293" t="str">
        <f>IF(AND(AND(OR($DX293=1,$DW293=1),AND($EC293=0,$EA293=0)),SUM($DV293:$DZ293,$EF293)&gt;=4),"Ecosystem approach","")</f>
        <v>Ecosystem approach</v>
      </c>
      <c r="EM293" s="2" t="str">
        <f>IF(AND(AND(AND($DX293=0,$DW293=0),OR($EC293=1,$EA293=1)),SUM($EB293:$EE293)&gt;=2),"Technology approach","")</f>
        <v/>
      </c>
      <c r="EN293"/>
      <c r="EO293"/>
      <c r="EP293" t="str">
        <f>IF(ISNUMBER(BU293),IF(ABS(BU293-[1]QC_indicators!$B$2)&gt;3*[1]QC_indicators!$C$2,"C ratio",IF(ISNUMBER(BY293),IF(ABS(BY293-[1]QC_indicators!$B$1)&gt;3*[1]QC_indicators!$C$1,"DF","no"))),IF(ISNUMBER(BY293),IF(ABS(BY293-[1]QC_indicators!$B$1)&gt;3*[1]QC_indicators!$C$1,"DF","no")))</f>
        <v>no</v>
      </c>
      <c r="EQ293"/>
      <c r="ER293"/>
      <c r="ES293"/>
      <c r="ET293" s="266" t="s">
        <v>3409</v>
      </c>
      <c r="EU293"/>
    </row>
    <row r="294" spans="1:151" s="139" customFormat="1" ht="15" customHeight="1">
      <c r="A294" s="1" t="s">
        <v>1362</v>
      </c>
      <c r="B294" t="s">
        <v>2137</v>
      </c>
      <c r="C294" t="s">
        <v>2138</v>
      </c>
      <c r="D294" t="s">
        <v>2139</v>
      </c>
      <c r="E294" t="s">
        <v>2140</v>
      </c>
      <c r="F294" t="s">
        <v>2141</v>
      </c>
      <c r="G294" t="s">
        <v>1368</v>
      </c>
      <c r="H294" t="s">
        <v>255</v>
      </c>
      <c r="I294">
        <v>2012</v>
      </c>
      <c r="J294">
        <v>21</v>
      </c>
      <c r="K294" t="s">
        <v>2142</v>
      </c>
      <c r="L294" s="192"/>
      <c r="M294" t="str">
        <f>LEFT($D294,FIND(",",$D294)-1)&amp;"_"&amp;I294&amp;L294</f>
        <v>Pyorala_2012</v>
      </c>
      <c r="N294" t="s">
        <v>223</v>
      </c>
      <c r="O294" s="145" t="s">
        <v>342</v>
      </c>
      <c r="P294" s="193" t="s">
        <v>224</v>
      </c>
      <c r="Q294" s="266" t="s">
        <v>2168</v>
      </c>
      <c r="R294" s="271" t="s">
        <v>1156</v>
      </c>
      <c r="S294" s="265" t="s">
        <v>2158</v>
      </c>
      <c r="T294" s="266" t="s">
        <v>2159</v>
      </c>
      <c r="U294" s="266" t="s">
        <v>2160</v>
      </c>
      <c r="V294">
        <v>0</v>
      </c>
      <c r="W294">
        <v>0</v>
      </c>
      <c r="X294">
        <v>0</v>
      </c>
      <c r="Y294">
        <v>0</v>
      </c>
      <c r="Z294">
        <v>0</v>
      </c>
      <c r="AA294">
        <v>0</v>
      </c>
      <c r="AB294">
        <v>0</v>
      </c>
      <c r="AC294">
        <v>1</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s="141">
        <f>COUNTIF(V294:AW294,"&lt;&gt;0")</f>
        <v>1</v>
      </c>
      <c r="AY294" s="141">
        <f>COUNTIF(V294:AL294,"&lt;&gt;0")</f>
        <v>1</v>
      </c>
      <c r="AZ294">
        <f>COUNTIF(V294:AC294,"&lt;&gt;0")</f>
        <v>1</v>
      </c>
      <c r="BA294">
        <f>COUNTIF(AD294:AI294,"&lt;&gt;0")</f>
        <v>0</v>
      </c>
      <c r="BB294">
        <f>COUNTIF(AJ294:AL294,"&lt;&gt;0")</f>
        <v>0</v>
      </c>
      <c r="BC294">
        <f>COUNTIF(AS294:AW294,"&lt;&gt;0")</f>
        <v>0</v>
      </c>
      <c r="BD294">
        <f>COUNTIF(AM294:AR294,"&lt;&gt;0")</f>
        <v>0</v>
      </c>
      <c r="BE294" t="str" cm="1">
        <f t="array" ref="BE294">IF(AY294=1,INDEX($V$7:$AL$7,MATCH(TRUE,INDEX($V294:$AW294&lt;&gt;0,),0)),IF(AY294=0,INDEX($AM$7:$AW$7,MATCH(1,$AM294:$AW294,0)),IF(BF294="Multiple strategies","mixed drivers",IF(BF294="Supply chain","multiple supply","multiple silviculture"))))</f>
        <v>site fertility</v>
      </c>
      <c r="BF294" s="2" t="str" cm="1">
        <f t="array" ref="BF294">IF(COUNTIF(AZ294:BB294,"&lt;&gt;0")=1,INDEX($V$4:$AW$4,MATCH(TRUE,INDEX($V294:$AW294&lt;&gt;0,),0)),IF(COUNTIF(AZ294:BB294,"&lt;&gt;0")=0,INDEX($AM$4:$AW$4,MATCH(1,$AM294:$AW294,0)),"Multiple strategies"))</f>
        <v>SilvicultureProd</v>
      </c>
      <c r="BG294" s="194" t="s">
        <v>322</v>
      </c>
      <c r="BH294" s="266" t="s">
        <v>2146</v>
      </c>
      <c r="BI294" s="266" t="s">
        <v>2161</v>
      </c>
      <c r="BJ294" s="195" t="s">
        <v>702</v>
      </c>
      <c r="BK294">
        <v>7.4</v>
      </c>
      <c r="BL294">
        <v>8.8000000000000007</v>
      </c>
      <c r="BM294"/>
      <c r="BN294">
        <f>BL294-BK294</f>
        <v>1.4000000000000004</v>
      </c>
      <c r="BO294">
        <f>BN294</f>
        <v>1.4000000000000004</v>
      </c>
      <c r="BP294" s="149" t="s">
        <v>233</v>
      </c>
      <c r="BQ294" s="266" t="s">
        <v>788</v>
      </c>
      <c r="BR294" s="296" t="s">
        <v>2147</v>
      </c>
      <c r="BS294" s="266">
        <f>116.4/80</f>
        <v>1.4550000000000001</v>
      </c>
      <c r="BT294" s="266">
        <f>138.5/80</f>
        <v>1.73125</v>
      </c>
      <c r="BU294" s="144"/>
      <c r="BV294">
        <f>BT294-BS294</f>
        <v>0.27624999999999988</v>
      </c>
      <c r="BW294"/>
      <c r="BX294">
        <f>BV294</f>
        <v>0.27624999999999988</v>
      </c>
      <c r="BY294">
        <f>IFERROR(BX294/BO294,"")</f>
        <v>0.19732142857142843</v>
      </c>
      <c r="BZ294">
        <v>0</v>
      </c>
      <c r="CA294">
        <v>0</v>
      </c>
      <c r="CB294">
        <v>0</v>
      </c>
      <c r="CC294">
        <v>0</v>
      </c>
      <c r="CD294">
        <v>0</v>
      </c>
      <c r="CE294">
        <v>0</v>
      </c>
      <c r="CF294">
        <v>0</v>
      </c>
      <c r="CG294">
        <v>0</v>
      </c>
      <c r="CH294">
        <v>0</v>
      </c>
      <c r="CI294">
        <v>0</v>
      </c>
      <c r="CJ294">
        <v>0</v>
      </c>
      <c r="CK294">
        <v>0</v>
      </c>
      <c r="CL294">
        <v>0</v>
      </c>
      <c r="CM294">
        <v>0</v>
      </c>
      <c r="CN294" t="str">
        <f>IF($BL294&lt;$BK294,"refNeedCorrection","refOK")</f>
        <v>refOK</v>
      </c>
      <c r="CO294">
        <f>IF($CN294="refOK",$BK294,$BL294)</f>
        <v>7.4</v>
      </c>
      <c r="CP294">
        <f>IF($CN294="refOK",$BL294,$BK294)</f>
        <v>8.8000000000000007</v>
      </c>
      <c r="CQ294">
        <f>IF($CN294="refOK",$BO294,-$BO294)</f>
        <v>1.4000000000000004</v>
      </c>
      <c r="CR294">
        <f>IF($CN294="refOK",$BS294,$BT294)*IF($BP294="Emissions positive",-1,1)</f>
        <v>1.4550000000000001</v>
      </c>
      <c r="CS294">
        <f>IF($CN294="refOK",$BT294,$BS294)*IF($BP294="Emissions positive",-1,1)</f>
        <v>1.73125</v>
      </c>
      <c r="CT294">
        <f>IF($CN294="refNeedCorrection",-BX294,BX294)*IF($BP294="Emissions positive",-1,1)</f>
        <v>0.27624999999999988</v>
      </c>
      <c r="CU294">
        <f>IFERROR(CT294/CQ294,"")</f>
        <v>0.19732142857142843</v>
      </c>
      <c r="CV294" s="2">
        <f>IFERROR((CS294-CR294)/ABS(CR294),"")</f>
        <v>0.18986254295532637</v>
      </c>
      <c r="CW294" s="1" t="s">
        <v>1201</v>
      </c>
      <c r="CX294" s="266" t="str">
        <f>IF(OR($CW294="prd",$CW294="std",$CW294="cit"),"loc",IF(OR($CW294="eur",$CW294="reg",$CW294="coy"),"reg",$CW294))</f>
        <v>reg</v>
      </c>
      <c r="CY294" t="s">
        <v>236</v>
      </c>
      <c r="CZ294"/>
      <c r="DA294"/>
      <c r="DB294">
        <v>80</v>
      </c>
      <c r="DC294" t="str">
        <f>IF(DB294=0,"0",IF(AND(DB294&gt;=1,DB294&lt;=30),"1-30",IF(AND(DB294&gt;30,DB294&lt;=70),"31-70",IF(AND(DB294&gt;70,DB294&lt;=100),"71-100",IF(DB294&gt;100,"+100")))))</f>
        <v>71-100</v>
      </c>
      <c r="DD294">
        <v>0</v>
      </c>
      <c r="DE294">
        <v>1</v>
      </c>
      <c r="DF294">
        <v>1</v>
      </c>
      <c r="DG294">
        <v>1</v>
      </c>
      <c r="DH294"/>
      <c r="DI294">
        <f>SUM(DD294:DG294)</f>
        <v>3</v>
      </c>
      <c r="DJ294" t="str">
        <f>IF(DI294=1,INDEX($DD$7:$DG$7,MATCH(1,$DD294:$DG294,0)),"mixedProduct")</f>
        <v>mixedProduct</v>
      </c>
      <c r="DK294">
        <f>IF(DD294=1,DK$7,0)</f>
        <v>0</v>
      </c>
      <c r="DL294" t="str">
        <f>IF(DE294=1,DL$7,0)</f>
        <v>Energy</v>
      </c>
      <c r="DM294" t="str">
        <f>IF(DF294=1,DM$7,0)</f>
        <v>Pulp/Paper</v>
      </c>
      <c r="DN294" t="str">
        <f>IF(DG294=1,DN$7,0)</f>
        <v>Timber</v>
      </c>
      <c r="DO294">
        <v>0</v>
      </c>
      <c r="DP294">
        <v>1</v>
      </c>
      <c r="DQ294" t="s">
        <v>2148</v>
      </c>
      <c r="DR294">
        <v>0</v>
      </c>
      <c r="DS294">
        <v>0</v>
      </c>
      <c r="DT294">
        <f>SUM(DO294:DP294)</f>
        <v>1</v>
      </c>
      <c r="DU294" s="143" t="str">
        <f>IF(DO294=1,"self-calculated DF",IF(DP294=1,"external DF used","explicit C balance"))</f>
        <v>external DF used</v>
      </c>
      <c r="DV294">
        <v>1</v>
      </c>
      <c r="DW294">
        <v>1</v>
      </c>
      <c r="DX294">
        <v>1</v>
      </c>
      <c r="DY294">
        <v>0</v>
      </c>
      <c r="DZ294">
        <v>0</v>
      </c>
      <c r="EA294" s="143">
        <v>0</v>
      </c>
      <c r="EB294">
        <v>0</v>
      </c>
      <c r="EC294">
        <v>0</v>
      </c>
      <c r="ED294">
        <v>0</v>
      </c>
      <c r="EE294">
        <v>0</v>
      </c>
      <c r="EF294">
        <v>1</v>
      </c>
      <c r="EG294">
        <v>0</v>
      </c>
      <c r="EH294">
        <v>0</v>
      </c>
      <c r="EI294" s="2">
        <v>0</v>
      </c>
      <c r="EJ294" s="1"/>
      <c r="EK294" t="str">
        <f>IF(AND(AND(AND(OR($DX294=1,$DW294=1),OR($EC294=1,$EA294=1)),SUM($DV294:$DZ294,$EF294)&gt;=4),SUM($EA294:$EE294)&gt;=2),"Whole sector","")</f>
        <v/>
      </c>
      <c r="EL294" t="str">
        <f>IF(AND(AND(OR($DX294=1,$DW294=1),AND($EC294=0,$EA294=0)),SUM($DV294:$DZ294,$EF294)&gt;=4),"Ecosystem approach","")</f>
        <v>Ecosystem approach</v>
      </c>
      <c r="EM294" s="2" t="str">
        <f>IF(AND(AND(AND($DX294=0,$DW294=0),OR($EC294=1,$EA294=1)),SUM($EB294:$EE294)&gt;=2),"Technology approach","")</f>
        <v/>
      </c>
      <c r="EN294"/>
      <c r="EO294"/>
      <c r="EP294" t="str">
        <f>IF(ISNUMBER(BU294),IF(ABS(BU294-[1]QC_indicators!$B$2)&gt;3*[1]QC_indicators!$C$2,"C ratio",IF(ISNUMBER(BY294),IF(ABS(BY294-[1]QC_indicators!$B$1)&gt;3*[1]QC_indicators!$C$1,"DF","no"))),IF(ISNUMBER(BY294),IF(ABS(BY294-[1]QC_indicators!$B$1)&gt;3*[1]QC_indicators!$C$1,"DF","no")))</f>
        <v>no</v>
      </c>
      <c r="EQ294"/>
      <c r="ER294"/>
      <c r="ES294"/>
      <c r="ET294" s="266" t="s">
        <v>3409</v>
      </c>
      <c r="EU294"/>
    </row>
    <row r="295" spans="1:151" s="139" customFormat="1" ht="15" hidden="1" customHeight="1">
      <c r="A295" s="1"/>
      <c r="B295"/>
      <c r="C295"/>
      <c r="D295" t="s">
        <v>829</v>
      </c>
      <c r="E295" s="266" t="s">
        <v>830</v>
      </c>
      <c r="F295"/>
      <c r="G295" t="s">
        <v>831</v>
      </c>
      <c r="H295"/>
      <c r="I295">
        <v>2012</v>
      </c>
      <c r="J295"/>
      <c r="K295" s="297" t="s">
        <v>832</v>
      </c>
      <c r="L295"/>
      <c r="M295" t="str">
        <f>LEFT($D295,FIND(",",$D295)-1)&amp;"_"&amp;I295&amp;L295</f>
        <v>Kilpeläinen_2012</v>
      </c>
      <c r="N295" t="s">
        <v>223</v>
      </c>
      <c r="O295" t="s">
        <v>224</v>
      </c>
      <c r="P295"/>
      <c r="Q295" s="266" t="s">
        <v>257</v>
      </c>
      <c r="R295" s="271" t="s">
        <v>1156</v>
      </c>
      <c r="S295" s="1" t="s">
        <v>833</v>
      </c>
      <c r="T295" t="s">
        <v>834</v>
      </c>
      <c r="U295" s="143" t="s">
        <v>835</v>
      </c>
      <c r="V295">
        <v>0</v>
      </c>
      <c r="W295">
        <v>0</v>
      </c>
      <c r="X295">
        <v>0</v>
      </c>
      <c r="Y295">
        <v>1</v>
      </c>
      <c r="Z295">
        <v>0</v>
      </c>
      <c r="AA295">
        <v>0</v>
      </c>
      <c r="AB295">
        <v>0</v>
      </c>
      <c r="AC295">
        <v>0</v>
      </c>
      <c r="AD295">
        <v>0</v>
      </c>
      <c r="AE295">
        <v>0</v>
      </c>
      <c r="AF295">
        <v>0</v>
      </c>
      <c r="AG295">
        <v>0</v>
      </c>
      <c r="AH295">
        <v>0</v>
      </c>
      <c r="AI295">
        <v>0</v>
      </c>
      <c r="AJ295">
        <v>0</v>
      </c>
      <c r="AK295">
        <v>0</v>
      </c>
      <c r="AL295">
        <v>0</v>
      </c>
      <c r="AM295">
        <v>0</v>
      </c>
      <c r="AN295">
        <v>0</v>
      </c>
      <c r="AO295">
        <v>0</v>
      </c>
      <c r="AP295">
        <v>0</v>
      </c>
      <c r="AQ295">
        <v>0</v>
      </c>
      <c r="AR295">
        <v>0</v>
      </c>
      <c r="AS295">
        <v>0</v>
      </c>
      <c r="AT295">
        <v>0</v>
      </c>
      <c r="AU295">
        <v>0</v>
      </c>
      <c r="AV295">
        <v>0</v>
      </c>
      <c r="AW295">
        <v>0</v>
      </c>
      <c r="AX295" s="141">
        <f>COUNTIF(V295:AW295,"&lt;&gt;0")</f>
        <v>1</v>
      </c>
      <c r="AY295" s="141">
        <f>COUNTIF(V295:AL295,"&lt;&gt;0")</f>
        <v>1</v>
      </c>
      <c r="AZ295">
        <f>COUNTIF(V295:AC295,"&lt;&gt;0")</f>
        <v>1</v>
      </c>
      <c r="BA295">
        <f>COUNTIF(AD295:AI295,"&lt;&gt;0")</f>
        <v>0</v>
      </c>
      <c r="BB295">
        <f>COUNTIF(AJ295:AL295,"&lt;&gt;0")</f>
        <v>0</v>
      </c>
      <c r="BC295">
        <f>COUNTIF(AS295:AW295,"&lt;&gt;0")</f>
        <v>0</v>
      </c>
      <c r="BD295">
        <f>COUNTIF(AM295:AR295,"&lt;&gt;0")</f>
        <v>0</v>
      </c>
      <c r="BE295" t="str" cm="1">
        <f t="array" ref="BE295">IF(AY295=1,INDEX($V$7:$AL$7,MATCH(TRUE,INDEX($V295:$AW295&lt;&gt;0,),0)),IF(AY295=0,INDEX($AM$7:$AW$7,MATCH(1,$AM295:$AW295,0)),IF(BF295="Multiple strategies","mixed drivers",IF(BF295="Supply chain","multiple supply","multiple silviculture"))))</f>
        <v xml:space="preserve">cutting intensity </v>
      </c>
      <c r="BF295" s="2" t="str" cm="1">
        <f t="array" ref="BF295">IF(COUNTIF(AZ295:BB295,"&lt;&gt;0")=1,INDEX($V$4:$AW$4,MATCH(TRUE,INDEX($V295:$AW295&lt;&gt;0,),0)),IF(COUNTIF(AZ295:BB295,"&lt;&gt;0")=0,INDEX($AM$4:$AW$4,MATCH(1,$AM295:$AW295,0)),"Multiple strategies"))</f>
        <v>SilvicultureRemov</v>
      </c>
      <c r="BG295" s="142" t="s">
        <v>322</v>
      </c>
      <c r="BH295" t="s">
        <v>836</v>
      </c>
      <c r="BI295"/>
      <c r="BJ295" s="143" t="s">
        <v>837</v>
      </c>
      <c r="BK295"/>
      <c r="BL295" s="143"/>
      <c r="BM295" s="143"/>
      <c r="BN295" s="143">
        <v>17000000</v>
      </c>
      <c r="BO295" s="143">
        <f>BN295*90</f>
        <v>1530000000</v>
      </c>
      <c r="BP295" s="266" t="s">
        <v>233</v>
      </c>
      <c r="BQ295" s="266"/>
      <c r="BR295" t="s">
        <v>838</v>
      </c>
      <c r="BS295">
        <v>-9928</v>
      </c>
      <c r="BT295">
        <v>-10141</v>
      </c>
      <c r="BU295">
        <v>1.0214544721998389</v>
      </c>
      <c r="BV295">
        <v>-213</v>
      </c>
      <c r="BW295"/>
      <c r="BX295">
        <f>BV295/10^6</f>
        <v>-2.13E-4</v>
      </c>
      <c r="BY295">
        <f>IFERROR(BX295/BO295,"")</f>
        <v>-1.3921568627450981E-13</v>
      </c>
      <c r="BZ295" s="143">
        <v>0</v>
      </c>
      <c r="CA295" s="143">
        <v>0</v>
      </c>
      <c r="CB295" s="143">
        <v>0</v>
      </c>
      <c r="CC295" s="143">
        <v>0</v>
      </c>
      <c r="CD295" s="143">
        <v>0</v>
      </c>
      <c r="CE295" s="143">
        <v>0</v>
      </c>
      <c r="CF295" s="143">
        <v>0</v>
      </c>
      <c r="CG295" s="143">
        <v>1</v>
      </c>
      <c r="CH295" s="143">
        <v>0</v>
      </c>
      <c r="CI295" s="143">
        <v>0</v>
      </c>
      <c r="CJ295" s="143">
        <v>0</v>
      </c>
      <c r="CK295" s="143">
        <v>0</v>
      </c>
      <c r="CL295" s="143">
        <v>0</v>
      </c>
      <c r="CM295">
        <v>0</v>
      </c>
      <c r="CN295" t="str">
        <f>IF(BL295&lt;BK295,"refNeedCorrection","refOK")</f>
        <v>refOK</v>
      </c>
      <c r="CO295"/>
      <c r="CP295"/>
      <c r="CQ295">
        <f>IF($CN295="refNeedCorrection",-BO295,BO295)</f>
        <v>1530000000</v>
      </c>
      <c r="CR295">
        <f>IF($CN295="refOK",$BS295,$BT295)*IF($BP295="Emissions positive",-1,1)</f>
        <v>-9928</v>
      </c>
      <c r="CS295">
        <f>IF($CN295="refOK",$BT295,$BS295)*IF($BP295="Emissions positive",-1,1)</f>
        <v>-10141</v>
      </c>
      <c r="CT295">
        <f>IF($CN295="refNeedCorrection",-BX295,BX295)*IF($BP295="Emissions positive",-1,1)</f>
        <v>-2.13E-4</v>
      </c>
      <c r="CU295">
        <f>IFERROR(CT295/CQ295,"")</f>
        <v>-1.3921568627450981E-13</v>
      </c>
      <c r="CV295" s="2">
        <f>IFERROR((CS295-CR295)/ABS(CR295),"")</f>
        <v>-2.1454472199838839E-2</v>
      </c>
      <c r="CW295" s="1" t="s">
        <v>235</v>
      </c>
      <c r="CX295" s="266" t="str">
        <f>IF(OR($CW295="prd",$CW295="std",$CW295="cit"),"loc",IF(OR($CW295="eur",$CW295="reg",$CW295="coy"),"reg",$CW295))</f>
        <v>loc</v>
      </c>
      <c r="CY295" t="s">
        <v>236</v>
      </c>
      <c r="CZ295"/>
      <c r="DA295" s="143"/>
      <c r="DB295" s="143">
        <v>90</v>
      </c>
      <c r="DC295" t="str">
        <f>IF(DB295=0,"0",IF(AND(DB295&gt;=1,DB295&lt;=30),"1-30",IF(AND(DB295&gt;30,DB295&lt;=70),"31-70",IF(AND(DB295&gt;70,DB295&lt;=100),"71-100",IF(DB295&gt;100,"+100")))))</f>
        <v>71-100</v>
      </c>
      <c r="DD295">
        <v>0</v>
      </c>
      <c r="DE295">
        <v>1</v>
      </c>
      <c r="DF295">
        <v>0</v>
      </c>
      <c r="DG295">
        <v>1</v>
      </c>
      <c r="DH295"/>
      <c r="DI295">
        <f>SUM(DD295:DG295)</f>
        <v>2</v>
      </c>
      <c r="DJ295" t="str">
        <f>IF(DI295=1,INDEX($DD$7:$DG$7,MATCH(1,$DD295:$DG295,0)),"mixedProduct")</f>
        <v>mixedProduct</v>
      </c>
      <c r="DK295">
        <f>IF(DD295=1,DK$7,0)</f>
        <v>0</v>
      </c>
      <c r="DL295" t="str">
        <f>IF(DE295=1,DL$7,0)</f>
        <v>Energy</v>
      </c>
      <c r="DM295">
        <f>IF(DF295=1,DM$7,0)</f>
        <v>0</v>
      </c>
      <c r="DN295" t="str">
        <f>IF(DG295=1,DN$7,0)</f>
        <v>Timber</v>
      </c>
      <c r="DO295">
        <v>0</v>
      </c>
      <c r="DP295" s="143">
        <v>0</v>
      </c>
      <c r="DQ295" s="143">
        <v>0</v>
      </c>
      <c r="DR295">
        <v>0</v>
      </c>
      <c r="DS295" s="143">
        <v>0</v>
      </c>
      <c r="DT295">
        <f>SUM(DO295:DP295)</f>
        <v>0</v>
      </c>
      <c r="DU295" s="143" t="str">
        <f>IF(DO295=1,"self-calculated DF",IF(DP295=1,"external DF used","explicit C balance"))</f>
        <v>explicit C balance</v>
      </c>
      <c r="DV295" s="143">
        <v>1</v>
      </c>
      <c r="DW295" s="143">
        <v>1</v>
      </c>
      <c r="DX295" s="143">
        <v>1</v>
      </c>
      <c r="DY295" s="143">
        <v>0</v>
      </c>
      <c r="DZ295">
        <v>0</v>
      </c>
      <c r="EA295" s="143">
        <v>0</v>
      </c>
      <c r="EB295" s="143">
        <v>1</v>
      </c>
      <c r="EC295" s="143">
        <v>1</v>
      </c>
      <c r="ED295" s="143">
        <v>0</v>
      </c>
      <c r="EE295">
        <v>0</v>
      </c>
      <c r="EF295">
        <v>1</v>
      </c>
      <c r="EG295" s="143">
        <v>0</v>
      </c>
      <c r="EH295" s="143">
        <v>0</v>
      </c>
      <c r="EI295" s="2">
        <v>0</v>
      </c>
      <c r="EJ295" s="1"/>
      <c r="EK295" t="str">
        <f>IF(AND(AND(AND(OR($DX295=1,$DW295=1),OR($EC295=1,$EA295=1)),SUM($DV295:$DZ295,$EF295)&gt;=4),SUM($EA295:$EE295)&gt;=2),"Whole sector","")</f>
        <v>Whole sector</v>
      </c>
      <c r="EL295" t="str">
        <f>IF(AND(AND(OR($DX295=1,$DW295=1),AND($EC295=0,$EA295=0)),SUM($DV295:$DZ295,$EF295)&gt;=4),"Ecosystem approach","")</f>
        <v/>
      </c>
      <c r="EM295" s="2" t="str">
        <f>IF(AND(AND(AND($DX295=0,$DW295=0),OR($EC295=1,$EA295=1)),SUM($EB295:$EE295)&gt;=2),"Technology approach","")</f>
        <v/>
      </c>
      <c r="EN295" t="s">
        <v>839</v>
      </c>
      <c r="EO295"/>
      <c r="EP295" t="str">
        <f>IF(ISNUMBER(BU295),IF(ABS(BU295-[1]QC_indicators!$B$2)&gt;3*[1]QC_indicators!$C$2,"C ratio",IF(ISNUMBER(BY295),IF(ABS(BY295-[1]QC_indicators!$B$1)&gt;3*[1]QC_indicators!$C$1,"DF","no"))),IF(ISNUMBER(BY295),IF(ABS(BY295-[1]QC_indicators!$B$1)&gt;3*[1]QC_indicators!$C$1,"DF","no")))</f>
        <v>no</v>
      </c>
      <c r="EQ295"/>
      <c r="ER295" s="296" t="s">
        <v>350</v>
      </c>
      <c r="ES295"/>
      <c r="ET295" s="266" t="s">
        <v>3409</v>
      </c>
      <c r="EU295"/>
    </row>
    <row r="296" spans="1:151" s="139" customFormat="1" ht="15" customHeight="1">
      <c r="A296" s="1" t="s">
        <v>1362</v>
      </c>
      <c r="B296" t="s">
        <v>2137</v>
      </c>
      <c r="C296" t="s">
        <v>2138</v>
      </c>
      <c r="D296" t="s">
        <v>2139</v>
      </c>
      <c r="E296" t="s">
        <v>2140</v>
      </c>
      <c r="F296" t="s">
        <v>2141</v>
      </c>
      <c r="G296" t="s">
        <v>1368</v>
      </c>
      <c r="H296" t="s">
        <v>255</v>
      </c>
      <c r="I296">
        <v>2012</v>
      </c>
      <c r="J296">
        <v>21</v>
      </c>
      <c r="K296" t="s">
        <v>2142</v>
      </c>
      <c r="L296" s="192"/>
      <c r="M296" t="str">
        <f>LEFT($D296,FIND(",",$D296)-1)&amp;"_"&amp;I296&amp;L296</f>
        <v>Pyorala_2012</v>
      </c>
      <c r="N296" t="s">
        <v>223</v>
      </c>
      <c r="O296" s="145" t="s">
        <v>342</v>
      </c>
      <c r="P296" s="180" t="s">
        <v>224</v>
      </c>
      <c r="Q296" s="266" t="s">
        <v>257</v>
      </c>
      <c r="R296" s="271" t="s">
        <v>1156</v>
      </c>
      <c r="S296" s="265" t="s">
        <v>2149</v>
      </c>
      <c r="T296" s="266" t="s">
        <v>2144</v>
      </c>
      <c r="U296" s="266" t="s">
        <v>2145</v>
      </c>
      <c r="V296">
        <v>0</v>
      </c>
      <c r="W296">
        <v>0</v>
      </c>
      <c r="X296">
        <v>0</v>
      </c>
      <c r="Y296">
        <v>1</v>
      </c>
      <c r="Z296">
        <v>0</v>
      </c>
      <c r="AA296">
        <v>0</v>
      </c>
      <c r="AB296">
        <v>0</v>
      </c>
      <c r="AC296">
        <v>0</v>
      </c>
      <c r="AD296">
        <v>0</v>
      </c>
      <c r="AE296">
        <v>0</v>
      </c>
      <c r="AF296">
        <v>0</v>
      </c>
      <c r="AG296">
        <v>0</v>
      </c>
      <c r="AH296">
        <v>0</v>
      </c>
      <c r="AI296">
        <v>0</v>
      </c>
      <c r="AJ296">
        <v>0</v>
      </c>
      <c r="AK296">
        <v>0</v>
      </c>
      <c r="AL296">
        <v>0</v>
      </c>
      <c r="AM296">
        <v>0</v>
      </c>
      <c r="AN296">
        <v>0</v>
      </c>
      <c r="AO296">
        <v>0</v>
      </c>
      <c r="AP296">
        <v>0</v>
      </c>
      <c r="AQ296">
        <v>0</v>
      </c>
      <c r="AR296">
        <v>0</v>
      </c>
      <c r="AS296">
        <v>0</v>
      </c>
      <c r="AT296">
        <v>0</v>
      </c>
      <c r="AU296">
        <v>0</v>
      </c>
      <c r="AV296">
        <v>0</v>
      </c>
      <c r="AW296">
        <v>0</v>
      </c>
      <c r="AX296" s="141">
        <f>COUNTIF(V296:AW296,"&lt;&gt;0")</f>
        <v>1</v>
      </c>
      <c r="AY296" s="141">
        <f>COUNTIF(V296:AL296,"&lt;&gt;0")</f>
        <v>1</v>
      </c>
      <c r="AZ296">
        <f>COUNTIF(V296:AC296,"&lt;&gt;0")</f>
        <v>1</v>
      </c>
      <c r="BA296">
        <f>COUNTIF(AD296:AI296,"&lt;&gt;0")</f>
        <v>0</v>
      </c>
      <c r="BB296">
        <f>COUNTIF(AJ296:AL296,"&lt;&gt;0")</f>
        <v>0</v>
      </c>
      <c r="BC296">
        <f>COUNTIF(AS296:AW296,"&lt;&gt;0")</f>
        <v>0</v>
      </c>
      <c r="BD296">
        <f>COUNTIF(AM296:AR296,"&lt;&gt;0")</f>
        <v>0</v>
      </c>
      <c r="BE296" t="str" cm="1">
        <f t="array" ref="BE296">IF(AY296=1,INDEX($V$7:$AL$7,MATCH(TRUE,INDEX($V296:$AW296&lt;&gt;0,),0)),IF(AY296=0,INDEX($AM$7:$AW$7,MATCH(1,$AM296:$AW296,0)),IF(BF296="Multiple strategies","mixed drivers",IF(BF296="Supply chain","multiple supply","multiple silviculture"))))</f>
        <v xml:space="preserve">cutting intensity </v>
      </c>
      <c r="BF296" s="2" t="str" cm="1">
        <f t="array" ref="BF296">IF(COUNTIF(AZ296:BB296,"&lt;&gt;0")=1,INDEX($V$4:$AW$4,MATCH(TRUE,INDEX($V296:$AW296&lt;&gt;0,),0)),IF(COUNTIF(AZ296:BB296,"&lt;&gt;0")=0,INDEX($AM$4:$AW$4,MATCH(1,$AM296:$AW296,0)),"Multiple strategies"))</f>
        <v>SilvicultureRemov</v>
      </c>
      <c r="BG296" s="178" t="s">
        <v>322</v>
      </c>
      <c r="BH296" s="266" t="s">
        <v>2146</v>
      </c>
      <c r="BI296" s="266" t="s">
        <v>703</v>
      </c>
      <c r="BJ296" s="160" t="s">
        <v>702</v>
      </c>
      <c r="BK296">
        <v>7.3</v>
      </c>
      <c r="BL296">
        <v>7.6</v>
      </c>
      <c r="BM296"/>
      <c r="BN296">
        <f>BL296-BK296</f>
        <v>0.29999999999999982</v>
      </c>
      <c r="BO296">
        <f>BN296</f>
        <v>0.29999999999999982</v>
      </c>
      <c r="BP296" s="155" t="s">
        <v>233</v>
      </c>
      <c r="BQ296" s="266" t="s">
        <v>788</v>
      </c>
      <c r="BR296" s="272" t="s">
        <v>2147</v>
      </c>
      <c r="BS296" s="266">
        <f>172.8/50</f>
        <v>3.4560000000000004</v>
      </c>
      <c r="BT296" s="266">
        <f>147.4/50</f>
        <v>2.948</v>
      </c>
      <c r="BU296" s="144"/>
      <c r="BV296">
        <f>BT296-BS296</f>
        <v>-0.50800000000000045</v>
      </c>
      <c r="BW296"/>
      <c r="BX296">
        <f>BV296</f>
        <v>-0.50800000000000045</v>
      </c>
      <c r="BY296">
        <f>IFERROR(BX296/BO296,"")</f>
        <v>-1.6933333333333358</v>
      </c>
      <c r="BZ296">
        <v>0</v>
      </c>
      <c r="CA296">
        <v>0</v>
      </c>
      <c r="CB296">
        <v>0</v>
      </c>
      <c r="CC296">
        <v>0</v>
      </c>
      <c r="CD296">
        <v>0</v>
      </c>
      <c r="CE296">
        <v>0</v>
      </c>
      <c r="CF296">
        <v>0</v>
      </c>
      <c r="CG296">
        <v>0</v>
      </c>
      <c r="CH296">
        <v>0</v>
      </c>
      <c r="CI296">
        <v>0</v>
      </c>
      <c r="CJ296">
        <v>0</v>
      </c>
      <c r="CK296">
        <v>0</v>
      </c>
      <c r="CL296">
        <v>0</v>
      </c>
      <c r="CM296">
        <v>0</v>
      </c>
      <c r="CN296" t="str">
        <f>IF($BL296&lt;$BK296,"refNeedCorrection","refOK")</f>
        <v>refOK</v>
      </c>
      <c r="CO296">
        <f>IF($CN296="refOK",$BK296,$BL296)</f>
        <v>7.3</v>
      </c>
      <c r="CP296">
        <f>IF($CN296="refOK",$BL296,$BK296)</f>
        <v>7.6</v>
      </c>
      <c r="CQ296">
        <f>IF($CN296="refOK",$BO296,-$BO296)</f>
        <v>0.29999999999999982</v>
      </c>
      <c r="CR296">
        <f>IF($CN296="refOK",$BS296,$BT296)*IF($BP296="Emissions positive",-1,1)</f>
        <v>3.4560000000000004</v>
      </c>
      <c r="CS296">
        <f>IF($CN296="refOK",$BT296,$BS296)*IF($BP296="Emissions positive",-1,1)</f>
        <v>2.948</v>
      </c>
      <c r="CT296">
        <f>IF($CN296="refNeedCorrection",-BX296,BX296)*IF($BP296="Emissions positive",-1,1)</f>
        <v>-0.50800000000000045</v>
      </c>
      <c r="CU296">
        <f>IFERROR(CT296/CQ296,"")</f>
        <v>-1.6933333333333358</v>
      </c>
      <c r="CV296" s="2">
        <f>IFERROR((CS296-CR296)/ABS(CR296),"")</f>
        <v>-0.14699074074074087</v>
      </c>
      <c r="CW296" s="1" t="s">
        <v>1201</v>
      </c>
      <c r="CX296" s="266" t="str">
        <f>IF(OR($CW296="prd",$CW296="std",$CW296="cit"),"loc",IF(OR($CW296="eur",$CW296="reg",$CW296="coy"),"reg",$CW296))</f>
        <v>reg</v>
      </c>
      <c r="CY296" t="s">
        <v>236</v>
      </c>
      <c r="CZ296"/>
      <c r="DA296"/>
      <c r="DB296">
        <v>50</v>
      </c>
      <c r="DC296" t="str">
        <f>IF(DB296=0,"0",IF(AND(DB296&gt;=1,DB296&lt;=30),"1-30",IF(AND(DB296&gt;30,DB296&lt;=70),"31-70",IF(AND(DB296&gt;70,DB296&lt;=100),"71-100",IF(DB296&gt;100,"+100")))))</f>
        <v>31-70</v>
      </c>
      <c r="DD296">
        <v>0</v>
      </c>
      <c r="DE296">
        <v>1</v>
      </c>
      <c r="DF296">
        <v>1</v>
      </c>
      <c r="DG296">
        <v>1</v>
      </c>
      <c r="DH296"/>
      <c r="DI296">
        <f>SUM(DD296:DG296)</f>
        <v>3</v>
      </c>
      <c r="DJ296" t="str">
        <f>IF(DI296=1,INDEX($DD$7:$DG$7,MATCH(1,$DD296:$DG296,0)),"mixedProduct")</f>
        <v>mixedProduct</v>
      </c>
      <c r="DK296">
        <f>IF(DD296=1,DK$7,0)</f>
        <v>0</v>
      </c>
      <c r="DL296" t="str">
        <f>IF(DE296=1,DL$7,0)</f>
        <v>Energy</v>
      </c>
      <c r="DM296" t="str">
        <f>IF(DF296=1,DM$7,0)</f>
        <v>Pulp/Paper</v>
      </c>
      <c r="DN296" t="str">
        <f>IF(DG296=1,DN$7,0)</f>
        <v>Timber</v>
      </c>
      <c r="DO296">
        <v>0</v>
      </c>
      <c r="DP296">
        <v>1</v>
      </c>
      <c r="DQ296" t="s">
        <v>2148</v>
      </c>
      <c r="DR296">
        <v>0</v>
      </c>
      <c r="DS296">
        <v>0</v>
      </c>
      <c r="DT296">
        <f>SUM(DO296:DP296)</f>
        <v>1</v>
      </c>
      <c r="DU296" s="143" t="str">
        <f>IF(DO296=1,"self-calculated DF",IF(DP296=1,"external DF used","explicit C balance"))</f>
        <v>external DF used</v>
      </c>
      <c r="DV296">
        <v>1</v>
      </c>
      <c r="DW296">
        <v>1</v>
      </c>
      <c r="DX296">
        <v>1</v>
      </c>
      <c r="DY296">
        <v>0</v>
      </c>
      <c r="DZ296">
        <v>0</v>
      </c>
      <c r="EA296" s="143">
        <v>0</v>
      </c>
      <c r="EB296">
        <v>0</v>
      </c>
      <c r="EC296">
        <v>0</v>
      </c>
      <c r="ED296">
        <v>0</v>
      </c>
      <c r="EE296">
        <v>0</v>
      </c>
      <c r="EF296">
        <v>1</v>
      </c>
      <c r="EG296">
        <v>0</v>
      </c>
      <c r="EH296">
        <v>0</v>
      </c>
      <c r="EI296" s="2">
        <v>0</v>
      </c>
      <c r="EJ296" s="1"/>
      <c r="EK296" t="str">
        <f>IF(AND(AND(AND(OR($DX296=1,$DW296=1),OR($EC296=1,$EA296=1)),SUM($DV296:$DZ296,$EF296)&gt;=4),SUM($EA296:$EE296)&gt;=2),"Whole sector","")</f>
        <v/>
      </c>
      <c r="EL296" t="str">
        <f>IF(AND(AND(OR($DX296=1,$DW296=1),AND($EC296=0,$EA296=0)),SUM($DV296:$DZ296,$EF296)&gt;=4),"Ecosystem approach","")</f>
        <v>Ecosystem approach</v>
      </c>
      <c r="EM296" s="2" t="str">
        <f>IF(AND(AND(AND($DX296=0,$DW296=0),OR($EC296=1,$EA296=1)),SUM($EB296:$EE296)&gt;=2),"Technology approach","")</f>
        <v/>
      </c>
      <c r="EN296"/>
      <c r="EO296"/>
      <c r="EP296" t="str">
        <f>IF(ISNUMBER(BU296),IF(ABS(BU296-[1]QC_indicators!$B$2)&gt;3*[1]QC_indicators!$C$2,"C ratio",IF(ISNUMBER(BY296),IF(ABS(BY296-[1]QC_indicators!$B$1)&gt;3*[1]QC_indicators!$C$1,"DF","no"))),IF(ISNUMBER(BY296),IF(ABS(BY296-[1]QC_indicators!$B$1)&gt;3*[1]QC_indicators!$C$1,"DF","no")))</f>
        <v>no</v>
      </c>
      <c r="EQ296"/>
      <c r="ER296"/>
      <c r="ES296"/>
      <c r="ET296" s="266" t="s">
        <v>3409</v>
      </c>
      <c r="EU296"/>
    </row>
    <row r="297" spans="1:151" s="139" customFormat="1" ht="15" customHeight="1">
      <c r="A297" s="1" t="s">
        <v>1362</v>
      </c>
      <c r="B297" t="s">
        <v>2137</v>
      </c>
      <c r="C297" t="s">
        <v>2138</v>
      </c>
      <c r="D297" t="s">
        <v>2139</v>
      </c>
      <c r="E297" t="s">
        <v>2140</v>
      </c>
      <c r="F297" t="s">
        <v>2141</v>
      </c>
      <c r="G297" t="s">
        <v>1368</v>
      </c>
      <c r="H297" t="s">
        <v>255</v>
      </c>
      <c r="I297">
        <v>2012</v>
      </c>
      <c r="J297">
        <v>21</v>
      </c>
      <c r="K297" t="s">
        <v>2142</v>
      </c>
      <c r="L297" s="192"/>
      <c r="M297" t="str">
        <f>LEFT($D297,FIND(",",$D297)-1)&amp;"_"&amp;I297&amp;L297</f>
        <v>Pyorala_2012</v>
      </c>
      <c r="N297" t="s">
        <v>223</v>
      </c>
      <c r="O297" s="145" t="s">
        <v>342</v>
      </c>
      <c r="P297" s="180" t="s">
        <v>224</v>
      </c>
      <c r="Q297" s="266" t="s">
        <v>257</v>
      </c>
      <c r="R297" s="271" t="s">
        <v>1156</v>
      </c>
      <c r="S297" s="265" t="s">
        <v>2151</v>
      </c>
      <c r="T297" s="266" t="s">
        <v>2145</v>
      </c>
      <c r="U297" s="266" t="s">
        <v>2144</v>
      </c>
      <c r="V297">
        <v>0</v>
      </c>
      <c r="W297">
        <v>0</v>
      </c>
      <c r="X297">
        <v>0</v>
      </c>
      <c r="Y297">
        <v>1</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s="141">
        <f>COUNTIF(V297:AW297,"&lt;&gt;0")</f>
        <v>1</v>
      </c>
      <c r="AY297" s="141">
        <f>COUNTIF(V297:AL297,"&lt;&gt;0")</f>
        <v>1</v>
      </c>
      <c r="AZ297">
        <f>COUNTIF(V297:AC297,"&lt;&gt;0")</f>
        <v>1</v>
      </c>
      <c r="BA297">
        <f>COUNTIF(AD297:AI297,"&lt;&gt;0")</f>
        <v>0</v>
      </c>
      <c r="BB297">
        <f>COUNTIF(AJ297:AL297,"&lt;&gt;0")</f>
        <v>0</v>
      </c>
      <c r="BC297">
        <f>COUNTIF(AS297:AW297,"&lt;&gt;0")</f>
        <v>0</v>
      </c>
      <c r="BD297">
        <f>COUNTIF(AM297:AR297,"&lt;&gt;0")</f>
        <v>0</v>
      </c>
      <c r="BE297" t="str" cm="1">
        <f t="array" ref="BE297">IF(AY297=1,INDEX($V$7:$AL$7,MATCH(TRUE,INDEX($V297:$AW297&lt;&gt;0,),0)),IF(AY297=0,INDEX($AM$7:$AW$7,MATCH(1,$AM297:$AW297,0)),IF(BF297="Multiple strategies","mixed drivers",IF(BF297="Supply chain","multiple supply","multiple silviculture"))))</f>
        <v xml:space="preserve">cutting intensity </v>
      </c>
      <c r="BF297" s="2" t="str" cm="1">
        <f t="array" ref="BF297">IF(COUNTIF(AZ297:BB297,"&lt;&gt;0")=1,INDEX($V$4:$AW$4,MATCH(TRUE,INDEX($V297:$AW297&lt;&gt;0,),0)),IF(COUNTIF(AZ297:BB297,"&lt;&gt;0")=0,INDEX($AM$4:$AW$4,MATCH(1,$AM297:$AW297,0)),"Multiple strategies"))</f>
        <v>SilvicultureRemov</v>
      </c>
      <c r="BG297" s="178" t="s">
        <v>322</v>
      </c>
      <c r="BH297" s="266" t="s">
        <v>2146</v>
      </c>
      <c r="BI297" s="266" t="s">
        <v>427</v>
      </c>
      <c r="BJ297" s="160" t="s">
        <v>702</v>
      </c>
      <c r="BK297">
        <v>7.8</v>
      </c>
      <c r="BL297">
        <v>8.6999999999999993</v>
      </c>
      <c r="BM297"/>
      <c r="BN297">
        <f>BL297-BK297</f>
        <v>0.89999999999999947</v>
      </c>
      <c r="BO297">
        <f>BN297</f>
        <v>0.89999999999999947</v>
      </c>
      <c r="BP297" s="155" t="s">
        <v>233</v>
      </c>
      <c r="BQ297" s="266" t="s">
        <v>788</v>
      </c>
      <c r="BR297" s="272" t="s">
        <v>2147</v>
      </c>
      <c r="BS297" s="266">
        <f>155.5/50</f>
        <v>3.11</v>
      </c>
      <c r="BT297" s="266">
        <f>211.5/50</f>
        <v>4.2300000000000004</v>
      </c>
      <c r="BU297" s="144"/>
      <c r="BV297">
        <f>BT297-BS297</f>
        <v>1.1200000000000006</v>
      </c>
      <c r="BW297"/>
      <c r="BX297">
        <f>BV297</f>
        <v>1.1200000000000006</v>
      </c>
      <c r="BY297">
        <f>IFERROR(BX297/BO297,"")</f>
        <v>1.2444444444444458</v>
      </c>
      <c r="BZ297">
        <v>0</v>
      </c>
      <c r="CA297">
        <v>0</v>
      </c>
      <c r="CB297">
        <v>0</v>
      </c>
      <c r="CC297">
        <v>0</v>
      </c>
      <c r="CD297">
        <v>0</v>
      </c>
      <c r="CE297">
        <v>0</v>
      </c>
      <c r="CF297">
        <v>0</v>
      </c>
      <c r="CG297">
        <v>0</v>
      </c>
      <c r="CH297">
        <v>0</v>
      </c>
      <c r="CI297">
        <v>0</v>
      </c>
      <c r="CJ297">
        <v>0</v>
      </c>
      <c r="CK297">
        <v>0</v>
      </c>
      <c r="CL297">
        <v>0</v>
      </c>
      <c r="CM297">
        <v>0</v>
      </c>
      <c r="CN297" t="str">
        <f>IF($BL297&lt;$BK297,"refNeedCorrection","refOK")</f>
        <v>refOK</v>
      </c>
      <c r="CO297">
        <f>IF($CN297="refOK",$BK297,$BL297)</f>
        <v>7.8</v>
      </c>
      <c r="CP297">
        <f>IF($CN297="refOK",$BL297,$BK297)</f>
        <v>8.6999999999999993</v>
      </c>
      <c r="CQ297">
        <f>IF($CN297="refOK",$BO297,-$BO297)</f>
        <v>0.89999999999999947</v>
      </c>
      <c r="CR297">
        <f>IF($CN297="refOK",$BS297,$BT297)*IF($BP297="Emissions positive",-1,1)</f>
        <v>3.11</v>
      </c>
      <c r="CS297">
        <f>IF($CN297="refOK",$BT297,$BS297)*IF($BP297="Emissions positive",-1,1)</f>
        <v>4.2300000000000004</v>
      </c>
      <c r="CT297">
        <f>IF($CN297="refNeedCorrection",-BX297,BX297)*IF($BP297="Emissions positive",-1,1)</f>
        <v>1.1200000000000006</v>
      </c>
      <c r="CU297">
        <f>IFERROR(CT297/CQ297,"")</f>
        <v>1.2444444444444458</v>
      </c>
      <c r="CV297" s="2">
        <f>IFERROR((CS297-CR297)/ABS(CR297),"")</f>
        <v>0.36012861736334423</v>
      </c>
      <c r="CW297" s="1" t="s">
        <v>1201</v>
      </c>
      <c r="CX297" s="266" t="str">
        <f>IF(OR($CW297="prd",$CW297="std",$CW297="cit"),"loc",IF(OR($CW297="eur",$CW297="reg",$CW297="coy"),"reg",$CW297))</f>
        <v>reg</v>
      </c>
      <c r="CY297" t="s">
        <v>236</v>
      </c>
      <c r="CZ297"/>
      <c r="DA297"/>
      <c r="DB297">
        <v>50</v>
      </c>
      <c r="DC297" t="str">
        <f>IF(DB297=0,"0",IF(AND(DB297&gt;=1,DB297&lt;=30),"1-30",IF(AND(DB297&gt;30,DB297&lt;=70),"31-70",IF(AND(DB297&gt;70,DB297&lt;=100),"71-100",IF(DB297&gt;100,"+100")))))</f>
        <v>31-70</v>
      </c>
      <c r="DD297">
        <v>0</v>
      </c>
      <c r="DE297">
        <v>1</v>
      </c>
      <c r="DF297">
        <v>1</v>
      </c>
      <c r="DG297">
        <v>1</v>
      </c>
      <c r="DH297"/>
      <c r="DI297">
        <f>SUM(DD297:DG297)</f>
        <v>3</v>
      </c>
      <c r="DJ297" t="str">
        <f>IF(DI297=1,INDEX($DD$7:$DG$7,MATCH(1,$DD297:$DG297,0)),"mixedProduct")</f>
        <v>mixedProduct</v>
      </c>
      <c r="DK297">
        <f>IF(DD297=1,DK$7,0)</f>
        <v>0</v>
      </c>
      <c r="DL297" t="str">
        <f>IF(DE297=1,DL$7,0)</f>
        <v>Energy</v>
      </c>
      <c r="DM297" t="str">
        <f>IF(DF297=1,DM$7,0)</f>
        <v>Pulp/Paper</v>
      </c>
      <c r="DN297" t="str">
        <f>IF(DG297=1,DN$7,0)</f>
        <v>Timber</v>
      </c>
      <c r="DO297">
        <v>0</v>
      </c>
      <c r="DP297">
        <v>1</v>
      </c>
      <c r="DQ297" t="s">
        <v>2148</v>
      </c>
      <c r="DR297">
        <v>0</v>
      </c>
      <c r="DS297">
        <v>0</v>
      </c>
      <c r="DT297">
        <f>SUM(DO297:DP297)</f>
        <v>1</v>
      </c>
      <c r="DU297" s="143" t="str">
        <f>IF(DO297=1,"self-calculated DF",IF(DP297=1,"external DF used","explicit C balance"))</f>
        <v>external DF used</v>
      </c>
      <c r="DV297">
        <v>1</v>
      </c>
      <c r="DW297">
        <v>1</v>
      </c>
      <c r="DX297">
        <v>1</v>
      </c>
      <c r="DY297">
        <v>0</v>
      </c>
      <c r="DZ297">
        <v>0</v>
      </c>
      <c r="EA297" s="143">
        <v>0</v>
      </c>
      <c r="EB297">
        <v>0</v>
      </c>
      <c r="EC297">
        <v>0</v>
      </c>
      <c r="ED297">
        <v>0</v>
      </c>
      <c r="EE297">
        <v>0</v>
      </c>
      <c r="EF297">
        <v>1</v>
      </c>
      <c r="EG297">
        <v>0</v>
      </c>
      <c r="EH297">
        <v>0</v>
      </c>
      <c r="EI297" s="2">
        <v>0</v>
      </c>
      <c r="EJ297" s="1"/>
      <c r="EK297" t="str">
        <f>IF(AND(AND(AND(OR($DX297=1,$DW297=1),OR($EC297=1,$EA297=1)),SUM($DV297:$DZ297,$EF297)&gt;=4),SUM($EA297:$EE297)&gt;=2),"Whole sector","")</f>
        <v/>
      </c>
      <c r="EL297" t="str">
        <f>IF(AND(AND(OR($DX297=1,$DW297=1),AND($EC297=0,$EA297=0)),SUM($DV297:$DZ297,$EF297)&gt;=4),"Ecosystem approach","")</f>
        <v>Ecosystem approach</v>
      </c>
      <c r="EM297" s="2" t="str">
        <f>IF(AND(AND(AND($DX297=0,$DW297=0),OR($EC297=1,$EA297=1)),SUM($EB297:$EE297)&gt;=2),"Technology approach","")</f>
        <v/>
      </c>
      <c r="EN297"/>
      <c r="EO297"/>
      <c r="EP297" t="str">
        <f>IF(ISNUMBER(BU297),IF(ABS(BU297-[1]QC_indicators!$B$2)&gt;3*[1]QC_indicators!$C$2,"C ratio",IF(ISNUMBER(BY297),IF(ABS(BY297-[1]QC_indicators!$B$1)&gt;3*[1]QC_indicators!$C$1,"DF","no"))),IF(ISNUMBER(BY297),IF(ABS(BY297-[1]QC_indicators!$B$1)&gt;3*[1]QC_indicators!$C$1,"DF","no")))</f>
        <v>no</v>
      </c>
      <c r="EQ297"/>
      <c r="ER297"/>
      <c r="ES297"/>
      <c r="ET297" s="266" t="s">
        <v>3409</v>
      </c>
      <c r="EU297"/>
    </row>
    <row r="298" spans="1:151" s="139" customFormat="1" ht="15" hidden="1" customHeight="1">
      <c r="A298" s="1" t="s">
        <v>1362</v>
      </c>
      <c r="B298" t="s">
        <v>2137</v>
      </c>
      <c r="C298" t="s">
        <v>2138</v>
      </c>
      <c r="D298" t="s">
        <v>2139</v>
      </c>
      <c r="E298" t="s">
        <v>2140</v>
      </c>
      <c r="F298" t="s">
        <v>2141</v>
      </c>
      <c r="G298" t="s">
        <v>1368</v>
      </c>
      <c r="H298" t="s">
        <v>255</v>
      </c>
      <c r="I298">
        <v>2012</v>
      </c>
      <c r="J298">
        <v>21</v>
      </c>
      <c r="K298" t="s">
        <v>2142</v>
      </c>
      <c r="L298" s="192"/>
      <c r="M298" t="str">
        <f>LEFT($D298,FIND(",",$D298)-1)&amp;"_"&amp;I298&amp;L298</f>
        <v>Pyorala_2012</v>
      </c>
      <c r="N298" t="s">
        <v>223</v>
      </c>
      <c r="O298" s="145" t="s">
        <v>342</v>
      </c>
      <c r="P298" s="180" t="s">
        <v>224</v>
      </c>
      <c r="Q298" s="266" t="s">
        <v>257</v>
      </c>
      <c r="R298" s="271" t="s">
        <v>1156</v>
      </c>
      <c r="S298" s="265" t="s">
        <v>2152</v>
      </c>
      <c r="T298" s="266" t="s">
        <v>2145</v>
      </c>
      <c r="U298" s="266" t="s">
        <v>2144</v>
      </c>
      <c r="V298">
        <v>0</v>
      </c>
      <c r="W298">
        <v>0</v>
      </c>
      <c r="X298">
        <v>0</v>
      </c>
      <c r="Y298">
        <v>1</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s="141">
        <f>COUNTIF(V298:AW298,"&lt;&gt;0")</f>
        <v>1</v>
      </c>
      <c r="AY298" s="141">
        <f>COUNTIF(V298:AL298,"&lt;&gt;0")</f>
        <v>1</v>
      </c>
      <c r="AZ298">
        <f>COUNTIF(V298:AC298,"&lt;&gt;0")</f>
        <v>1</v>
      </c>
      <c r="BA298">
        <f>COUNTIF(AD298:AI298,"&lt;&gt;0")</f>
        <v>0</v>
      </c>
      <c r="BB298">
        <f>COUNTIF(AJ298:AL298,"&lt;&gt;0")</f>
        <v>0</v>
      </c>
      <c r="BC298">
        <f>COUNTIF(AS298:AW298,"&lt;&gt;0")</f>
        <v>0</v>
      </c>
      <c r="BD298">
        <f>COUNTIF(AM298:AR298,"&lt;&gt;0")</f>
        <v>0</v>
      </c>
      <c r="BE298" t="str" cm="1">
        <f t="array" ref="BE298">IF(AY298=1,INDEX($V$7:$AL$7,MATCH(TRUE,INDEX($V298:$AW298&lt;&gt;0,),0)),IF(AY298=0,INDEX($AM$7:$AW$7,MATCH(1,$AM298:$AW298,0)),IF(BF298="Multiple strategies","mixed drivers",IF(BF298="Supply chain","multiple supply","multiple silviculture"))))</f>
        <v xml:space="preserve">cutting intensity </v>
      </c>
      <c r="BF298" s="2" t="str" cm="1">
        <f t="array" ref="BF298">IF(COUNTIF(AZ298:BB298,"&lt;&gt;0")=1,INDEX($V$4:$AW$4,MATCH(TRUE,INDEX($V298:$AW298&lt;&gt;0,),0)),IF(COUNTIF(AZ298:BB298,"&lt;&gt;0")=0,INDEX($AM$4:$AW$4,MATCH(1,$AM298:$AW298,0)),"Multiple strategies"))</f>
        <v>SilvicultureRemov</v>
      </c>
      <c r="BG298" s="178" t="s">
        <v>322</v>
      </c>
      <c r="BH298" s="266" t="s">
        <v>2146</v>
      </c>
      <c r="BI298" s="266" t="s">
        <v>703</v>
      </c>
      <c r="BJ298" s="160" t="s">
        <v>702</v>
      </c>
      <c r="BK298">
        <v>6.5</v>
      </c>
      <c r="BL298">
        <v>6.7</v>
      </c>
      <c r="BM298"/>
      <c r="BN298">
        <f>BL298-BK298</f>
        <v>0.20000000000000018</v>
      </c>
      <c r="BO298">
        <f>BN298</f>
        <v>0.20000000000000018</v>
      </c>
      <c r="BP298" s="155" t="s">
        <v>396</v>
      </c>
      <c r="BQ298" s="266" t="s">
        <v>788</v>
      </c>
      <c r="BR298" s="272" t="s">
        <v>2147</v>
      </c>
      <c r="BS298">
        <f>-2.6/80</f>
        <v>-3.2500000000000001E-2</v>
      </c>
      <c r="BT298">
        <f>-3.2/80</f>
        <v>-0.04</v>
      </c>
      <c r="BU298" s="144"/>
      <c r="BV298">
        <f>BT298-BS298</f>
        <v>-7.4999999999999997E-3</v>
      </c>
      <c r="BW298"/>
      <c r="BX298">
        <f>BV298</f>
        <v>-7.4999999999999997E-3</v>
      </c>
      <c r="BY298">
        <f>IFERROR(BX298/BO298,"")</f>
        <v>-3.7499999999999964E-2</v>
      </c>
      <c r="BZ298">
        <v>0</v>
      </c>
      <c r="CA298">
        <v>0</v>
      </c>
      <c r="CB298">
        <v>0</v>
      </c>
      <c r="CC298">
        <v>0</v>
      </c>
      <c r="CD298">
        <v>0</v>
      </c>
      <c r="CE298">
        <v>0</v>
      </c>
      <c r="CF298">
        <v>0</v>
      </c>
      <c r="CG298">
        <v>0</v>
      </c>
      <c r="CH298">
        <v>0</v>
      </c>
      <c r="CI298">
        <v>0</v>
      </c>
      <c r="CJ298">
        <v>0</v>
      </c>
      <c r="CK298">
        <v>0</v>
      </c>
      <c r="CL298">
        <v>0</v>
      </c>
      <c r="CM298">
        <v>0</v>
      </c>
      <c r="CN298" t="str">
        <f>IF($BL298&lt;$BK298,"refNeedCorrection","refOK")</f>
        <v>refOK</v>
      </c>
      <c r="CO298">
        <f>IF($CN298="refOK",$BK298,$BL298)</f>
        <v>6.5</v>
      </c>
      <c r="CP298">
        <f>IF($CN298="refOK",$BL298,$BK298)</f>
        <v>6.7</v>
      </c>
      <c r="CQ298">
        <f>IF($CN298="refOK",$BO298,-$BO298)</f>
        <v>0.20000000000000018</v>
      </c>
      <c r="CR298">
        <f>IF($CN298="refOK",$BS298,$BT298)*IF($BP298="Emissions positive",-1,1)</f>
        <v>3.2500000000000001E-2</v>
      </c>
      <c r="CS298">
        <f>IF($CN298="refOK",$BT298,$BS298)*IF($BP298="Emissions positive",-1,1)</f>
        <v>0.04</v>
      </c>
      <c r="CT298">
        <f>IF($CN298="refNeedCorrection",-BX298,BX298)*IF($BP298="Emissions positive",-1,1)</f>
        <v>7.4999999999999997E-3</v>
      </c>
      <c r="CU298">
        <f>IFERROR(CT298/CQ298,"")</f>
        <v>3.7499999999999964E-2</v>
      </c>
      <c r="CV298" s="2">
        <f>IFERROR((CS298-CR298)/ABS(CR298),"")</f>
        <v>0.23076923076923075</v>
      </c>
      <c r="CW298" s="1" t="s">
        <v>1201</v>
      </c>
      <c r="CX298" s="266" t="str">
        <f>IF(OR($CW298="prd",$CW298="std",$CW298="cit"),"loc",IF(OR($CW298="eur",$CW298="reg",$CW298="coy"),"reg",$CW298))</f>
        <v>reg</v>
      </c>
      <c r="CY298" t="s">
        <v>236</v>
      </c>
      <c r="CZ298"/>
      <c r="DA298"/>
      <c r="DB298">
        <v>80</v>
      </c>
      <c r="DC298" t="str">
        <f>IF(DB298=0,"0",IF(AND(DB298&gt;=1,DB298&lt;=30),"1-30",IF(AND(DB298&gt;30,DB298&lt;=70),"31-70",IF(AND(DB298&gt;70,DB298&lt;=100),"71-100",IF(DB298&gt;100,"+100")))))</f>
        <v>71-100</v>
      </c>
      <c r="DD298">
        <v>0</v>
      </c>
      <c r="DE298">
        <v>1</v>
      </c>
      <c r="DF298">
        <v>1</v>
      </c>
      <c r="DG298">
        <v>1</v>
      </c>
      <c r="DH298"/>
      <c r="DI298">
        <f>SUM(DD298:DG298)</f>
        <v>3</v>
      </c>
      <c r="DJ298" t="str">
        <f>IF(DI298=1,INDEX($DD$7:$DG$7,MATCH(1,$DD298:$DG298,0)),"mixedProduct")</f>
        <v>mixedProduct</v>
      </c>
      <c r="DK298">
        <f>IF(DD298=1,DK$7,0)</f>
        <v>0</v>
      </c>
      <c r="DL298" t="str">
        <f>IF(DE298=1,DL$7,0)</f>
        <v>Energy</v>
      </c>
      <c r="DM298" t="str">
        <f>IF(DF298=1,DM$7,0)</f>
        <v>Pulp/Paper</v>
      </c>
      <c r="DN298" t="str">
        <f>IF(DG298=1,DN$7,0)</f>
        <v>Timber</v>
      </c>
      <c r="DO298">
        <v>0</v>
      </c>
      <c r="DP298">
        <v>1</v>
      </c>
      <c r="DQ298" t="s">
        <v>2148</v>
      </c>
      <c r="DR298">
        <v>0</v>
      </c>
      <c r="DS298">
        <v>0</v>
      </c>
      <c r="DT298">
        <f>SUM(DO298:DP298)</f>
        <v>1</v>
      </c>
      <c r="DU298" s="143" t="str">
        <f>IF(DO298=1,"self-calculated DF",IF(DP298=1,"external DF used","explicit C balance"))</f>
        <v>external DF used</v>
      </c>
      <c r="DV298">
        <v>1</v>
      </c>
      <c r="DW298">
        <v>1</v>
      </c>
      <c r="DX298">
        <v>1</v>
      </c>
      <c r="DY298">
        <v>0</v>
      </c>
      <c r="DZ298">
        <v>0</v>
      </c>
      <c r="EA298" s="143">
        <v>0</v>
      </c>
      <c r="EB298">
        <v>1</v>
      </c>
      <c r="EC298">
        <v>1</v>
      </c>
      <c r="ED298">
        <v>0</v>
      </c>
      <c r="EE298">
        <v>0</v>
      </c>
      <c r="EF298">
        <v>1</v>
      </c>
      <c r="EG298">
        <v>0</v>
      </c>
      <c r="EH298">
        <v>0</v>
      </c>
      <c r="EI298" s="2">
        <v>0</v>
      </c>
      <c r="EJ298" s="1"/>
      <c r="EK298" t="str">
        <f>IF(AND(AND(AND(OR($DX298=1,$DW298=1),OR($EC298=1,$EA298=1)),SUM($DV298:$DZ298,$EF298)&gt;=4),SUM($EA298:$EE298)&gt;=2),"Whole sector","")</f>
        <v>Whole sector</v>
      </c>
      <c r="EL298" t="str">
        <f>IF(AND(AND(OR($DX298=1,$DW298=1),AND($EC298=0,$EA298=0)),SUM($DV298:$DZ298,$EF298)&gt;=4),"Ecosystem approach","")</f>
        <v/>
      </c>
      <c r="EM298" s="2" t="str">
        <f>IF(AND(AND(AND($DX298=0,$DW298=0),OR($EC298=1,$EA298=1)),SUM($EB298:$EE298)&gt;=2),"Technology approach","")</f>
        <v/>
      </c>
      <c r="EN298"/>
      <c r="EO298"/>
      <c r="EP298" t="str">
        <f>IF(ISNUMBER(BU298),IF(ABS(BU298-[1]QC_indicators!$B$2)&gt;3*[1]QC_indicators!$C$2,"C ratio",IF(ISNUMBER(BY298),IF(ABS(BY298-[1]QC_indicators!$B$1)&gt;3*[1]QC_indicators!$C$1,"DF","no"))),IF(ISNUMBER(BY298),IF(ABS(BY298-[1]QC_indicators!$B$1)&gt;3*[1]QC_indicators!$C$1,"DF","no")))</f>
        <v>no</v>
      </c>
      <c r="EQ298"/>
      <c r="ER298"/>
      <c r="ES298"/>
      <c r="ET298" s="266" t="s">
        <v>3409</v>
      </c>
      <c r="EU298"/>
    </row>
    <row r="299" spans="1:151" s="139" customFormat="1" ht="15" hidden="1" customHeight="1">
      <c r="A299" s="1" t="s">
        <v>1362</v>
      </c>
      <c r="B299" t="s">
        <v>2137</v>
      </c>
      <c r="C299" t="s">
        <v>2138</v>
      </c>
      <c r="D299" t="s">
        <v>2139</v>
      </c>
      <c r="E299" t="s">
        <v>2140</v>
      </c>
      <c r="F299" t="s">
        <v>2141</v>
      </c>
      <c r="G299" t="s">
        <v>1368</v>
      </c>
      <c r="H299" t="s">
        <v>255</v>
      </c>
      <c r="I299">
        <v>2012</v>
      </c>
      <c r="J299">
        <v>21</v>
      </c>
      <c r="K299" t="s">
        <v>2142</v>
      </c>
      <c r="L299" s="192"/>
      <c r="M299" t="str">
        <f>LEFT($D299,FIND(",",$D299)-1)&amp;"_"&amp;I299&amp;L299</f>
        <v>Pyorala_2012</v>
      </c>
      <c r="N299" t="s">
        <v>223</v>
      </c>
      <c r="O299" s="145" t="s">
        <v>342</v>
      </c>
      <c r="P299" s="180" t="s">
        <v>224</v>
      </c>
      <c r="Q299" s="266" t="s">
        <v>257</v>
      </c>
      <c r="R299" s="271" t="s">
        <v>1156</v>
      </c>
      <c r="S299" s="265" t="s">
        <v>2152</v>
      </c>
      <c r="T299" s="266" t="s">
        <v>2145</v>
      </c>
      <c r="U299" s="266" t="s">
        <v>2150</v>
      </c>
      <c r="V299">
        <v>0</v>
      </c>
      <c r="W299">
        <v>0</v>
      </c>
      <c r="X299">
        <v>0</v>
      </c>
      <c r="Y299">
        <v>1</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s="141">
        <f>COUNTIF(V299:AW299,"&lt;&gt;0")</f>
        <v>1</v>
      </c>
      <c r="AY299" s="141">
        <f>COUNTIF(V299:AL299,"&lt;&gt;0")</f>
        <v>1</v>
      </c>
      <c r="AZ299">
        <f>COUNTIF(V299:AC299,"&lt;&gt;0")</f>
        <v>1</v>
      </c>
      <c r="BA299">
        <f>COUNTIF(AD299:AI299,"&lt;&gt;0")</f>
        <v>0</v>
      </c>
      <c r="BB299">
        <f>COUNTIF(AJ299:AL299,"&lt;&gt;0")</f>
        <v>0</v>
      </c>
      <c r="BC299">
        <f>COUNTIF(AS299:AW299,"&lt;&gt;0")</f>
        <v>0</v>
      </c>
      <c r="BD299">
        <f>COUNTIF(AM299:AR299,"&lt;&gt;0")</f>
        <v>0</v>
      </c>
      <c r="BE299" t="str" cm="1">
        <f t="array" ref="BE299">IF(AY299=1,INDEX($V$7:$AL$7,MATCH(TRUE,INDEX($V299:$AW299&lt;&gt;0,),0)),IF(AY299=0,INDEX($AM$7:$AW$7,MATCH(1,$AM299:$AW299,0)),IF(BF299="Multiple strategies","mixed drivers",IF(BF299="Supply chain","multiple supply","multiple silviculture"))))</f>
        <v xml:space="preserve">cutting intensity </v>
      </c>
      <c r="BF299" s="2" t="str" cm="1">
        <f t="array" ref="BF299">IF(COUNTIF(AZ299:BB299,"&lt;&gt;0")=1,INDEX($V$4:$AW$4,MATCH(TRUE,INDEX($V299:$AW299&lt;&gt;0,),0)),IF(COUNTIF(AZ299:BB299,"&lt;&gt;0")=0,INDEX($AM$4:$AW$4,MATCH(1,$AM299:$AW299,0)),"Multiple strategies"))</f>
        <v>SilvicultureRemov</v>
      </c>
      <c r="BG299" s="178" t="s">
        <v>322</v>
      </c>
      <c r="BH299" s="266" t="s">
        <v>2146</v>
      </c>
      <c r="BI299" s="266" t="s">
        <v>703</v>
      </c>
      <c r="BJ299" s="160" t="s">
        <v>702</v>
      </c>
      <c r="BK299">
        <v>6.5</v>
      </c>
      <c r="BL299">
        <v>6.8</v>
      </c>
      <c r="BM299"/>
      <c r="BN299">
        <f>BL299-BK299</f>
        <v>0.29999999999999982</v>
      </c>
      <c r="BO299">
        <f>BN299</f>
        <v>0.29999999999999982</v>
      </c>
      <c r="BP299" s="155" t="s">
        <v>396</v>
      </c>
      <c r="BQ299" s="266" t="s">
        <v>788</v>
      </c>
      <c r="BR299" s="272" t="s">
        <v>2147</v>
      </c>
      <c r="BS299">
        <f>-2.59/80</f>
        <v>-3.2375000000000001E-2</v>
      </c>
      <c r="BT299">
        <f>-3.28/80</f>
        <v>-4.0999999999999995E-2</v>
      </c>
      <c r="BU299" s="144"/>
      <c r="BV299">
        <f>BT299-BS299</f>
        <v>-8.6249999999999938E-3</v>
      </c>
      <c r="BW299"/>
      <c r="BX299">
        <f>BV299</f>
        <v>-8.6249999999999938E-3</v>
      </c>
      <c r="BY299">
        <f>IFERROR(BX299/BO299,"")</f>
        <v>-2.8749999999999998E-2</v>
      </c>
      <c r="BZ299">
        <v>0</v>
      </c>
      <c r="CA299">
        <v>0</v>
      </c>
      <c r="CB299">
        <v>0</v>
      </c>
      <c r="CC299">
        <v>0</v>
      </c>
      <c r="CD299">
        <v>0</v>
      </c>
      <c r="CE299">
        <v>0</v>
      </c>
      <c r="CF299">
        <v>0</v>
      </c>
      <c r="CG299">
        <v>0</v>
      </c>
      <c r="CH299">
        <v>0</v>
      </c>
      <c r="CI299">
        <v>0</v>
      </c>
      <c r="CJ299">
        <v>0</v>
      </c>
      <c r="CK299">
        <v>0</v>
      </c>
      <c r="CL299">
        <v>0</v>
      </c>
      <c r="CM299">
        <v>0</v>
      </c>
      <c r="CN299" t="str">
        <f>IF($BL299&lt;$BK299,"refNeedCorrection","refOK")</f>
        <v>refOK</v>
      </c>
      <c r="CO299">
        <f>IF($CN299="refOK",$BK299,$BL299)</f>
        <v>6.5</v>
      </c>
      <c r="CP299">
        <f>IF($CN299="refOK",$BL299,$BK299)</f>
        <v>6.8</v>
      </c>
      <c r="CQ299">
        <f>IF($CN299="refOK",$BO299,-$BO299)</f>
        <v>0.29999999999999982</v>
      </c>
      <c r="CR299">
        <f>IF($CN299="refOK",$BS299,$BT299)*IF($BP299="Emissions positive",-1,1)</f>
        <v>3.2375000000000001E-2</v>
      </c>
      <c r="CS299">
        <f>IF($CN299="refOK",$BT299,$BS299)*IF($BP299="Emissions positive",-1,1)</f>
        <v>4.0999999999999995E-2</v>
      </c>
      <c r="CT299">
        <f>IF($CN299="refNeedCorrection",-BX299,BX299)*IF($BP299="Emissions positive",-1,1)</f>
        <v>8.6249999999999938E-3</v>
      </c>
      <c r="CU299">
        <f>IFERROR(CT299/CQ299,"")</f>
        <v>2.8749999999999998E-2</v>
      </c>
      <c r="CV299" s="2">
        <f>IFERROR((CS299-CR299)/ABS(CR299),"")</f>
        <v>0.26640926640926621</v>
      </c>
      <c r="CW299" s="1" t="s">
        <v>1201</v>
      </c>
      <c r="CX299" s="266" t="str">
        <f>IF(OR($CW299="prd",$CW299="std",$CW299="cit"),"loc",IF(OR($CW299="eur",$CW299="reg",$CW299="coy"),"reg",$CW299))</f>
        <v>reg</v>
      </c>
      <c r="CY299" t="s">
        <v>236</v>
      </c>
      <c r="CZ299"/>
      <c r="DA299"/>
      <c r="DB299">
        <v>80</v>
      </c>
      <c r="DC299" t="str">
        <f>IF(DB299=0,"0",IF(AND(DB299&gt;=1,DB299&lt;=30),"1-30",IF(AND(DB299&gt;30,DB299&lt;=70),"31-70",IF(AND(DB299&gt;70,DB299&lt;=100),"71-100",IF(DB299&gt;100,"+100")))))</f>
        <v>71-100</v>
      </c>
      <c r="DD299">
        <v>0</v>
      </c>
      <c r="DE299">
        <v>1</v>
      </c>
      <c r="DF299">
        <v>1</v>
      </c>
      <c r="DG299">
        <v>1</v>
      </c>
      <c r="DH299"/>
      <c r="DI299">
        <f>SUM(DD299:DG299)</f>
        <v>3</v>
      </c>
      <c r="DJ299" t="str">
        <f>IF(DI299=1,INDEX($DD$7:$DG$7,MATCH(1,$DD299:$DG299,0)),"mixedProduct")</f>
        <v>mixedProduct</v>
      </c>
      <c r="DK299">
        <f>IF(DD299=1,DK$7,0)</f>
        <v>0</v>
      </c>
      <c r="DL299" t="str">
        <f>IF(DE299=1,DL$7,0)</f>
        <v>Energy</v>
      </c>
      <c r="DM299" t="str">
        <f>IF(DF299=1,DM$7,0)</f>
        <v>Pulp/Paper</v>
      </c>
      <c r="DN299" t="str">
        <f>IF(DG299=1,DN$7,0)</f>
        <v>Timber</v>
      </c>
      <c r="DO299">
        <v>0</v>
      </c>
      <c r="DP299">
        <v>1</v>
      </c>
      <c r="DQ299" t="s">
        <v>2148</v>
      </c>
      <c r="DR299">
        <v>0</v>
      </c>
      <c r="DS299">
        <v>0</v>
      </c>
      <c r="DT299">
        <f>SUM(DO299:DP299)</f>
        <v>1</v>
      </c>
      <c r="DU299" s="143" t="str">
        <f>IF(DO299=1,"self-calculated DF",IF(DP299=1,"external DF used","explicit C balance"))</f>
        <v>external DF used</v>
      </c>
      <c r="DV299">
        <v>1</v>
      </c>
      <c r="DW299">
        <v>1</v>
      </c>
      <c r="DX299">
        <v>1</v>
      </c>
      <c r="DY299">
        <v>0</v>
      </c>
      <c r="DZ299">
        <v>0</v>
      </c>
      <c r="EA299" s="143">
        <v>0</v>
      </c>
      <c r="EB299">
        <v>1</v>
      </c>
      <c r="EC299">
        <v>1</v>
      </c>
      <c r="ED299">
        <v>0</v>
      </c>
      <c r="EE299">
        <v>0</v>
      </c>
      <c r="EF299">
        <v>1</v>
      </c>
      <c r="EG299">
        <v>0</v>
      </c>
      <c r="EH299">
        <v>0</v>
      </c>
      <c r="EI299" s="2">
        <v>0</v>
      </c>
      <c r="EJ299" s="1"/>
      <c r="EK299" t="str">
        <f>IF(AND(AND(AND(OR($DX299=1,$DW299=1),OR($EC299=1,$EA299=1)),SUM($DV299:$DZ299,$EF299)&gt;=4),SUM($EA299:$EE299)&gt;=2),"Whole sector","")</f>
        <v>Whole sector</v>
      </c>
      <c r="EL299" t="str">
        <f>IF(AND(AND(OR($DX299=1,$DW299=1),AND($EC299=0,$EA299=0)),SUM($DV299:$DZ299,$EF299)&gt;=4),"Ecosystem approach","")</f>
        <v/>
      </c>
      <c r="EM299" s="2" t="str">
        <f>IF(AND(AND(AND($DX299=0,$DW299=0),OR($EC299=1,$EA299=1)),SUM($EB299:$EE299)&gt;=2),"Technology approach","")</f>
        <v/>
      </c>
      <c r="EN299"/>
      <c r="EO299"/>
      <c r="EP299" t="str">
        <f>IF(ISNUMBER(BU299),IF(ABS(BU299-[1]QC_indicators!$B$2)&gt;3*[1]QC_indicators!$C$2,"C ratio",IF(ISNUMBER(BY299),IF(ABS(BY299-[1]QC_indicators!$B$1)&gt;3*[1]QC_indicators!$C$1,"DF","no"))),IF(ISNUMBER(BY299),IF(ABS(BY299-[1]QC_indicators!$B$1)&gt;3*[1]QC_indicators!$C$1,"DF","no")))</f>
        <v>no</v>
      </c>
      <c r="EQ299"/>
      <c r="ER299"/>
      <c r="ES299"/>
      <c r="ET299" s="266" t="s">
        <v>3409</v>
      </c>
      <c r="EU299"/>
    </row>
    <row r="300" spans="1:151" s="139" customFormat="1" ht="15" hidden="1" customHeight="1">
      <c r="A300" s="1" t="s">
        <v>1362</v>
      </c>
      <c r="B300" t="s">
        <v>2137</v>
      </c>
      <c r="C300" t="s">
        <v>2138</v>
      </c>
      <c r="D300" t="s">
        <v>2139</v>
      </c>
      <c r="E300" t="s">
        <v>2140</v>
      </c>
      <c r="F300" t="s">
        <v>2141</v>
      </c>
      <c r="G300" t="s">
        <v>1368</v>
      </c>
      <c r="H300" t="s">
        <v>255</v>
      </c>
      <c r="I300">
        <v>2012</v>
      </c>
      <c r="J300">
        <v>21</v>
      </c>
      <c r="K300" t="s">
        <v>2142</v>
      </c>
      <c r="L300" s="192"/>
      <c r="M300" t="str">
        <f>LEFT($D300,FIND(",",$D300)-1)&amp;"_"&amp;I300&amp;L300</f>
        <v>Pyorala_2012</v>
      </c>
      <c r="N300" t="s">
        <v>223</v>
      </c>
      <c r="O300" s="145" t="s">
        <v>342</v>
      </c>
      <c r="P300" s="180" t="s">
        <v>224</v>
      </c>
      <c r="Q300" s="266" t="s">
        <v>257</v>
      </c>
      <c r="R300" s="271" t="s">
        <v>1156</v>
      </c>
      <c r="S300" s="265" t="s">
        <v>2143</v>
      </c>
      <c r="T300" s="266" t="s">
        <v>2150</v>
      </c>
      <c r="U300" s="266" t="s">
        <v>2145</v>
      </c>
      <c r="V300">
        <v>0</v>
      </c>
      <c r="W300">
        <v>0</v>
      </c>
      <c r="X300">
        <v>0</v>
      </c>
      <c r="Y300">
        <v>1</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s="141">
        <f>COUNTIF(V300:AW300,"&lt;&gt;0")</f>
        <v>1</v>
      </c>
      <c r="AY300" s="141">
        <f>COUNTIF(V300:AL300,"&lt;&gt;0")</f>
        <v>1</v>
      </c>
      <c r="AZ300">
        <f>COUNTIF(V300:AC300,"&lt;&gt;0")</f>
        <v>1</v>
      </c>
      <c r="BA300">
        <f>COUNTIF(AD300:AI300,"&lt;&gt;0")</f>
        <v>0</v>
      </c>
      <c r="BB300">
        <f>COUNTIF(AJ300:AL300,"&lt;&gt;0")</f>
        <v>0</v>
      </c>
      <c r="BC300">
        <f>COUNTIF(AS300:AW300,"&lt;&gt;0")</f>
        <v>0</v>
      </c>
      <c r="BD300">
        <f>COUNTIF(AM300:AR300,"&lt;&gt;0")</f>
        <v>0</v>
      </c>
      <c r="BE300" t="str" cm="1">
        <f t="array" ref="BE300">IF(AY300=1,INDEX($V$7:$AL$7,MATCH(TRUE,INDEX($V300:$AW300&lt;&gt;0,),0)),IF(AY300=0,INDEX($AM$7:$AW$7,MATCH(1,$AM300:$AW300,0)),IF(BF300="Multiple strategies","mixed drivers",IF(BF300="Supply chain","multiple supply","multiple silviculture"))))</f>
        <v xml:space="preserve">cutting intensity </v>
      </c>
      <c r="BF300" s="2" t="str" cm="1">
        <f t="array" ref="BF300">IF(COUNTIF(AZ300:BB300,"&lt;&gt;0")=1,INDEX($V$4:$AW$4,MATCH(TRUE,INDEX($V300:$AW300&lt;&gt;0,),0)),IF(COUNTIF(AZ300:BB300,"&lt;&gt;0")=0,INDEX($AM$4:$AW$4,MATCH(1,$AM300:$AW300,0)),"Multiple strategies"))</f>
        <v>SilvicultureRemov</v>
      </c>
      <c r="BG300" s="178" t="s">
        <v>322</v>
      </c>
      <c r="BH300" s="266" t="s">
        <v>2146</v>
      </c>
      <c r="BI300" s="266" t="s">
        <v>703</v>
      </c>
      <c r="BJ300" s="160" t="s">
        <v>702</v>
      </c>
      <c r="BK300">
        <v>8.1</v>
      </c>
      <c r="BL300">
        <v>8.4</v>
      </c>
      <c r="BM300"/>
      <c r="BN300">
        <f>BL300-BK300</f>
        <v>0.30000000000000071</v>
      </c>
      <c r="BO300">
        <f>BN300</f>
        <v>0.30000000000000071</v>
      </c>
      <c r="BP300" s="155" t="s">
        <v>396</v>
      </c>
      <c r="BQ300" s="266" t="s">
        <v>788</v>
      </c>
      <c r="BR300" s="272" t="s">
        <v>2147</v>
      </c>
      <c r="BS300">
        <f>-4.4/80</f>
        <v>-5.5000000000000007E-2</v>
      </c>
      <c r="BT300">
        <f>-3.8/80</f>
        <v>-4.7500000000000001E-2</v>
      </c>
      <c r="BU300" s="144"/>
      <c r="BV300">
        <f>BT300-BS300</f>
        <v>7.5000000000000067E-3</v>
      </c>
      <c r="BW300"/>
      <c r="BX300">
        <f>BV300</f>
        <v>7.5000000000000067E-3</v>
      </c>
      <c r="BY300">
        <f>IFERROR(BX300/BO300,"")</f>
        <v>2.4999999999999963E-2</v>
      </c>
      <c r="BZ300">
        <v>0</v>
      </c>
      <c r="CA300">
        <v>0</v>
      </c>
      <c r="CB300">
        <v>0</v>
      </c>
      <c r="CC300">
        <v>0</v>
      </c>
      <c r="CD300">
        <v>0</v>
      </c>
      <c r="CE300">
        <v>0</v>
      </c>
      <c r="CF300">
        <v>0</v>
      </c>
      <c r="CG300">
        <v>0</v>
      </c>
      <c r="CH300">
        <v>0</v>
      </c>
      <c r="CI300">
        <v>0</v>
      </c>
      <c r="CJ300">
        <v>0</v>
      </c>
      <c r="CK300">
        <v>0</v>
      </c>
      <c r="CL300">
        <v>0</v>
      </c>
      <c r="CM300">
        <v>0</v>
      </c>
      <c r="CN300" t="str">
        <f>IF($BL300&lt;$BK300,"refNeedCorrection","refOK")</f>
        <v>refOK</v>
      </c>
      <c r="CO300">
        <f>IF($CN300="refOK",$BK300,$BL300)</f>
        <v>8.1</v>
      </c>
      <c r="CP300">
        <f>IF($CN300="refOK",$BL300,$BK300)</f>
        <v>8.4</v>
      </c>
      <c r="CQ300">
        <f>IF($CN300="refOK",$BO300,-$BO300)</f>
        <v>0.30000000000000071</v>
      </c>
      <c r="CR300">
        <f>IF($CN300="refOK",$BS300,$BT300)*IF($BP300="Emissions positive",-1,1)</f>
        <v>5.5000000000000007E-2</v>
      </c>
      <c r="CS300">
        <f>IF($CN300="refOK",$BT300,$BS300)*IF($BP300="Emissions positive",-1,1)</f>
        <v>4.7500000000000001E-2</v>
      </c>
      <c r="CT300">
        <f>IF($CN300="refNeedCorrection",-BX300,BX300)*IF($BP300="Emissions positive",-1,1)</f>
        <v>-7.5000000000000067E-3</v>
      </c>
      <c r="CU300">
        <f>IFERROR(CT300/CQ300,"")</f>
        <v>-2.4999999999999963E-2</v>
      </c>
      <c r="CV300" s="2">
        <f>IFERROR((CS300-CR300)/ABS(CR300),"")</f>
        <v>-0.13636363636363646</v>
      </c>
      <c r="CW300" s="1" t="s">
        <v>1201</v>
      </c>
      <c r="CX300" s="266" t="str">
        <f>IF(OR($CW300="prd",$CW300="std",$CW300="cit"),"loc",IF(OR($CW300="eur",$CW300="reg",$CW300="coy"),"reg",$CW300))</f>
        <v>reg</v>
      </c>
      <c r="CY300" t="s">
        <v>236</v>
      </c>
      <c r="CZ300"/>
      <c r="DA300"/>
      <c r="DB300">
        <v>80</v>
      </c>
      <c r="DC300" t="str">
        <f>IF(DB300=0,"0",IF(AND(DB300&gt;=1,DB300&lt;=30),"1-30",IF(AND(DB300&gt;30,DB300&lt;=70),"31-70",IF(AND(DB300&gt;70,DB300&lt;=100),"71-100",IF(DB300&gt;100,"+100")))))</f>
        <v>71-100</v>
      </c>
      <c r="DD300">
        <v>0</v>
      </c>
      <c r="DE300">
        <v>1</v>
      </c>
      <c r="DF300">
        <v>1</v>
      </c>
      <c r="DG300">
        <v>1</v>
      </c>
      <c r="DH300"/>
      <c r="DI300">
        <f>SUM(DD300:DG300)</f>
        <v>3</v>
      </c>
      <c r="DJ300" t="str">
        <f>IF(DI300=1,INDEX($DD$7:$DG$7,MATCH(1,$DD300:$DG300,0)),"mixedProduct")</f>
        <v>mixedProduct</v>
      </c>
      <c r="DK300">
        <f>IF(DD300=1,DK$7,0)</f>
        <v>0</v>
      </c>
      <c r="DL300" t="str">
        <f>IF(DE300=1,DL$7,0)</f>
        <v>Energy</v>
      </c>
      <c r="DM300" t="str">
        <f>IF(DF300=1,DM$7,0)</f>
        <v>Pulp/Paper</v>
      </c>
      <c r="DN300" t="str">
        <f>IF(DG300=1,DN$7,0)</f>
        <v>Timber</v>
      </c>
      <c r="DO300">
        <v>0</v>
      </c>
      <c r="DP300">
        <v>1</v>
      </c>
      <c r="DQ300" t="s">
        <v>2148</v>
      </c>
      <c r="DR300">
        <v>0</v>
      </c>
      <c r="DS300">
        <v>0</v>
      </c>
      <c r="DT300">
        <f>SUM(DO300:DP300)</f>
        <v>1</v>
      </c>
      <c r="DU300" s="143" t="str">
        <f>IF(DO300=1,"self-calculated DF",IF(DP300=1,"external DF used","explicit C balance"))</f>
        <v>external DF used</v>
      </c>
      <c r="DV300">
        <v>1</v>
      </c>
      <c r="DW300">
        <v>1</v>
      </c>
      <c r="DX300">
        <v>1</v>
      </c>
      <c r="DY300">
        <v>0</v>
      </c>
      <c r="DZ300">
        <v>0</v>
      </c>
      <c r="EA300" s="143">
        <v>0</v>
      </c>
      <c r="EB300">
        <v>1</v>
      </c>
      <c r="EC300">
        <v>1</v>
      </c>
      <c r="ED300">
        <v>0</v>
      </c>
      <c r="EE300">
        <v>0</v>
      </c>
      <c r="EF300">
        <v>1</v>
      </c>
      <c r="EG300">
        <v>0</v>
      </c>
      <c r="EH300">
        <v>0</v>
      </c>
      <c r="EI300" s="2">
        <v>0</v>
      </c>
      <c r="EJ300" s="1"/>
      <c r="EK300" t="str">
        <f>IF(AND(AND(AND(OR($DX300=1,$DW300=1),OR($EC300=1,$EA300=1)),SUM($DV300:$DZ300,$EF300)&gt;=4),SUM($EA300:$EE300)&gt;=2),"Whole sector","")</f>
        <v>Whole sector</v>
      </c>
      <c r="EL300" t="str">
        <f>IF(AND(AND(OR($DX300=1,$DW300=1),AND($EC300=0,$EA300=0)),SUM($DV300:$DZ300,$EF300)&gt;=4),"Ecosystem approach","")</f>
        <v/>
      </c>
      <c r="EM300" s="2" t="str">
        <f>IF(AND(AND(AND($DX300=0,$DW300=0),OR($EC300=1,$EA300=1)),SUM($EB300:$EE300)&gt;=2),"Technology approach","")</f>
        <v/>
      </c>
      <c r="EN300"/>
      <c r="EO300"/>
      <c r="EP300" t="str">
        <f>IF(ISNUMBER(BU300),IF(ABS(BU300-[1]QC_indicators!$B$2)&gt;3*[1]QC_indicators!$C$2,"C ratio",IF(ISNUMBER(BY300),IF(ABS(BY300-[1]QC_indicators!$B$1)&gt;3*[1]QC_indicators!$C$1,"DF","no"))),IF(ISNUMBER(BY300),IF(ABS(BY300-[1]QC_indicators!$B$1)&gt;3*[1]QC_indicators!$C$1,"DF","no")))</f>
        <v>no</v>
      </c>
      <c r="EQ300"/>
      <c r="ER300"/>
      <c r="ES300"/>
      <c r="ET300" s="266" t="s">
        <v>3409</v>
      </c>
      <c r="EU300"/>
    </row>
    <row r="301" spans="1:151" s="139" customFormat="1" ht="15" hidden="1" customHeight="1">
      <c r="A301" s="1" t="s">
        <v>1362</v>
      </c>
      <c r="B301" t="s">
        <v>2137</v>
      </c>
      <c r="C301" t="s">
        <v>2138</v>
      </c>
      <c r="D301" t="s">
        <v>2139</v>
      </c>
      <c r="E301" t="s">
        <v>2140</v>
      </c>
      <c r="F301" t="s">
        <v>2141</v>
      </c>
      <c r="G301" t="s">
        <v>1368</v>
      </c>
      <c r="H301" t="s">
        <v>255</v>
      </c>
      <c r="I301">
        <v>2012</v>
      </c>
      <c r="J301">
        <v>21</v>
      </c>
      <c r="K301" t="s">
        <v>2142</v>
      </c>
      <c r="L301" s="192"/>
      <c r="M301" t="str">
        <f>LEFT($D301,FIND(",",$D301)-1)&amp;"_"&amp;I301&amp;L301</f>
        <v>Pyorala_2012</v>
      </c>
      <c r="N301" t="s">
        <v>223</v>
      </c>
      <c r="O301" s="145" t="s">
        <v>342</v>
      </c>
      <c r="P301" s="180" t="s">
        <v>224</v>
      </c>
      <c r="Q301" s="266" t="s">
        <v>257</v>
      </c>
      <c r="R301" s="271" t="s">
        <v>1156</v>
      </c>
      <c r="S301" s="265" t="s">
        <v>2143</v>
      </c>
      <c r="T301" s="266" t="s">
        <v>2144</v>
      </c>
      <c r="U301" s="266" t="s">
        <v>2145</v>
      </c>
      <c r="V301">
        <v>0</v>
      </c>
      <c r="W301">
        <v>0</v>
      </c>
      <c r="X301">
        <v>0</v>
      </c>
      <c r="Y301">
        <v>1</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s="141">
        <f>COUNTIF(V301:AW301,"&lt;&gt;0")</f>
        <v>1</v>
      </c>
      <c r="AY301" s="141">
        <f>COUNTIF(V301:AL301,"&lt;&gt;0")</f>
        <v>1</v>
      </c>
      <c r="AZ301">
        <f>COUNTIF(V301:AC301,"&lt;&gt;0")</f>
        <v>1</v>
      </c>
      <c r="BA301">
        <f>COUNTIF(AD301:AI301,"&lt;&gt;0")</f>
        <v>0</v>
      </c>
      <c r="BB301">
        <f>COUNTIF(AJ301:AL301,"&lt;&gt;0")</f>
        <v>0</v>
      </c>
      <c r="BC301">
        <f>COUNTIF(AS301:AW301,"&lt;&gt;0")</f>
        <v>0</v>
      </c>
      <c r="BD301">
        <f>COUNTIF(AM301:AR301,"&lt;&gt;0")</f>
        <v>0</v>
      </c>
      <c r="BE301" t="str" cm="1">
        <f t="array" ref="BE301">IF(AY301=1,INDEX($V$7:$AL$7,MATCH(TRUE,INDEX($V301:$AW301&lt;&gt;0,),0)),IF(AY301=0,INDEX($AM$7:$AW$7,MATCH(1,$AM301:$AW301,0)),IF(BF301="Multiple strategies","mixed drivers",IF(BF301="Supply chain","multiple supply","multiple silviculture"))))</f>
        <v xml:space="preserve">cutting intensity </v>
      </c>
      <c r="BF301" s="2" t="str" cm="1">
        <f t="array" ref="BF301">IF(COUNTIF(AZ301:BB301,"&lt;&gt;0")=1,INDEX($V$4:$AW$4,MATCH(TRUE,INDEX($V301:$AW301&lt;&gt;0,),0)),IF(COUNTIF(AZ301:BB301,"&lt;&gt;0")=0,INDEX($AM$4:$AW$4,MATCH(1,$AM301:$AW301,0)),"Multiple strategies"))</f>
        <v>SilvicultureRemov</v>
      </c>
      <c r="BG301" s="178" t="s">
        <v>322</v>
      </c>
      <c r="BH301" s="266" t="s">
        <v>2146</v>
      </c>
      <c r="BI301" s="266" t="s">
        <v>427</v>
      </c>
      <c r="BJ301" s="160" t="s">
        <v>702</v>
      </c>
      <c r="BK301">
        <v>8.3000000000000007</v>
      </c>
      <c r="BL301">
        <v>8.4</v>
      </c>
      <c r="BM301"/>
      <c r="BN301">
        <f>BL301-BK301</f>
        <v>9.9999999999999645E-2</v>
      </c>
      <c r="BO301">
        <f>BN301</f>
        <v>9.9999999999999645E-2</v>
      </c>
      <c r="BP301" s="155" t="s">
        <v>396</v>
      </c>
      <c r="BQ301" s="266" t="s">
        <v>788</v>
      </c>
      <c r="BR301" s="272" t="s">
        <v>2147</v>
      </c>
      <c r="BS301">
        <f>-4.5/80</f>
        <v>-5.6250000000000001E-2</v>
      </c>
      <c r="BT301">
        <f>-3.8/80</f>
        <v>-4.7500000000000001E-2</v>
      </c>
      <c r="BU301" s="144"/>
      <c r="BV301">
        <f>BT301-BS301</f>
        <v>8.7500000000000008E-3</v>
      </c>
      <c r="BW301"/>
      <c r="BX301">
        <f>BV301</f>
        <v>8.7500000000000008E-3</v>
      </c>
      <c r="BY301">
        <f>IFERROR(BX301/BO301,"")</f>
        <v>8.7500000000000314E-2</v>
      </c>
      <c r="BZ301">
        <v>0</v>
      </c>
      <c r="CA301">
        <v>0</v>
      </c>
      <c r="CB301">
        <v>0</v>
      </c>
      <c r="CC301">
        <v>0</v>
      </c>
      <c r="CD301">
        <v>0</v>
      </c>
      <c r="CE301">
        <v>0</v>
      </c>
      <c r="CF301">
        <v>0</v>
      </c>
      <c r="CG301">
        <v>0</v>
      </c>
      <c r="CH301">
        <v>0</v>
      </c>
      <c r="CI301">
        <v>0</v>
      </c>
      <c r="CJ301">
        <v>0</v>
      </c>
      <c r="CK301">
        <v>0</v>
      </c>
      <c r="CL301">
        <v>0</v>
      </c>
      <c r="CM301">
        <v>0</v>
      </c>
      <c r="CN301" t="str">
        <f>IF($BL301&lt;$BK301,"refNeedCorrection","refOK")</f>
        <v>refOK</v>
      </c>
      <c r="CO301">
        <f>IF($CN301="refOK",$BK301,$BL301)</f>
        <v>8.3000000000000007</v>
      </c>
      <c r="CP301">
        <f>IF($CN301="refOK",$BL301,$BK301)</f>
        <v>8.4</v>
      </c>
      <c r="CQ301">
        <f>IF($CN301="refOK",$BO301,-$BO301)</f>
        <v>9.9999999999999645E-2</v>
      </c>
      <c r="CR301">
        <f>IF($CN301="refOK",$BS301,$BT301)*IF($BP301="Emissions positive",-1,1)</f>
        <v>5.6250000000000001E-2</v>
      </c>
      <c r="CS301">
        <f>IF($CN301="refOK",$BT301,$BS301)*IF($BP301="Emissions positive",-1,1)</f>
        <v>4.7500000000000001E-2</v>
      </c>
      <c r="CT301">
        <f>IF($CN301="refNeedCorrection",-BX301,BX301)*IF($BP301="Emissions positive",-1,1)</f>
        <v>-8.7500000000000008E-3</v>
      </c>
      <c r="CU301">
        <f>IFERROR(CT301/CQ301,"")</f>
        <v>-8.7500000000000314E-2</v>
      </c>
      <c r="CV301" s="2">
        <f>IFERROR((CS301-CR301)/ABS(CR301),"")</f>
        <v>-0.15555555555555556</v>
      </c>
      <c r="CW301" s="1" t="s">
        <v>1201</v>
      </c>
      <c r="CX301" s="266" t="str">
        <f>IF(OR($CW301="prd",$CW301="std",$CW301="cit"),"loc",IF(OR($CW301="eur",$CW301="reg",$CW301="coy"),"reg",$CW301))</f>
        <v>reg</v>
      </c>
      <c r="CY301" t="s">
        <v>236</v>
      </c>
      <c r="CZ301"/>
      <c r="DA301"/>
      <c r="DB301">
        <v>80</v>
      </c>
      <c r="DC301" t="str">
        <f>IF(DB301=0,"0",IF(AND(DB301&gt;=1,DB301&lt;=30),"1-30",IF(AND(DB301&gt;30,DB301&lt;=70),"31-70",IF(AND(DB301&gt;70,DB301&lt;=100),"71-100",IF(DB301&gt;100,"+100")))))</f>
        <v>71-100</v>
      </c>
      <c r="DD301">
        <v>0</v>
      </c>
      <c r="DE301">
        <v>1</v>
      </c>
      <c r="DF301">
        <v>1</v>
      </c>
      <c r="DG301">
        <v>1</v>
      </c>
      <c r="DH301"/>
      <c r="DI301">
        <f>SUM(DD301:DG301)</f>
        <v>3</v>
      </c>
      <c r="DJ301" t="str">
        <f>IF(DI301=1,INDEX($DD$7:$DG$7,MATCH(1,$DD301:$DG301,0)),"mixedProduct")</f>
        <v>mixedProduct</v>
      </c>
      <c r="DK301">
        <f>IF(DD301=1,DK$7,0)</f>
        <v>0</v>
      </c>
      <c r="DL301" t="str">
        <f>IF(DE301=1,DL$7,0)</f>
        <v>Energy</v>
      </c>
      <c r="DM301" t="str">
        <f>IF(DF301=1,DM$7,0)</f>
        <v>Pulp/Paper</v>
      </c>
      <c r="DN301" t="str">
        <f>IF(DG301=1,DN$7,0)</f>
        <v>Timber</v>
      </c>
      <c r="DO301">
        <v>0</v>
      </c>
      <c r="DP301">
        <v>1</v>
      </c>
      <c r="DQ301" t="s">
        <v>2148</v>
      </c>
      <c r="DR301">
        <v>0</v>
      </c>
      <c r="DS301">
        <v>0</v>
      </c>
      <c r="DT301">
        <f>SUM(DO301:DP301)</f>
        <v>1</v>
      </c>
      <c r="DU301" s="143" t="str">
        <f>IF(DO301=1,"self-calculated DF",IF(DP301=1,"external DF used","explicit C balance"))</f>
        <v>external DF used</v>
      </c>
      <c r="DV301">
        <v>1</v>
      </c>
      <c r="DW301">
        <v>1</v>
      </c>
      <c r="DX301">
        <v>1</v>
      </c>
      <c r="DY301">
        <v>0</v>
      </c>
      <c r="DZ301">
        <v>0</v>
      </c>
      <c r="EA301" s="143">
        <v>0</v>
      </c>
      <c r="EB301">
        <v>1</v>
      </c>
      <c r="EC301">
        <v>1</v>
      </c>
      <c r="ED301">
        <v>0</v>
      </c>
      <c r="EE301">
        <v>0</v>
      </c>
      <c r="EF301">
        <v>1</v>
      </c>
      <c r="EG301">
        <v>0</v>
      </c>
      <c r="EH301">
        <v>0</v>
      </c>
      <c r="EI301" s="2">
        <v>0</v>
      </c>
      <c r="EJ301" s="1"/>
      <c r="EK301" t="str">
        <f>IF(AND(AND(AND(OR($DX301=1,$DW301=1),OR($EC301=1,$EA301=1)),SUM($DV301:$DZ301,$EF301)&gt;=4),SUM($EA301:$EE301)&gt;=2),"Whole sector","")</f>
        <v>Whole sector</v>
      </c>
      <c r="EL301" t="str">
        <f>IF(AND(AND(OR($DX301=1,$DW301=1),AND($EC301=0,$EA301=0)),SUM($DV301:$DZ301,$EF301)&gt;=4),"Ecosystem approach","")</f>
        <v/>
      </c>
      <c r="EM301" s="2" t="str">
        <f>IF(AND(AND(AND($DX301=0,$DW301=0),OR($EC301=1,$EA301=1)),SUM($EB301:$EE301)&gt;=2),"Technology approach","")</f>
        <v/>
      </c>
      <c r="EN301"/>
      <c r="EO301"/>
      <c r="EP301" t="str">
        <f>IF(ISNUMBER(BU301),IF(ABS(BU301-[1]QC_indicators!$B$2)&gt;3*[1]QC_indicators!$C$2,"C ratio",IF(ISNUMBER(BY301),IF(ABS(BY301-[1]QC_indicators!$B$1)&gt;3*[1]QC_indicators!$C$1,"DF","no"))),IF(ISNUMBER(BY301),IF(ABS(BY301-[1]QC_indicators!$B$1)&gt;3*[1]QC_indicators!$C$1,"DF","no")))</f>
        <v>no</v>
      </c>
      <c r="EQ301"/>
      <c r="ER301"/>
      <c r="ES301"/>
      <c r="ET301" s="266" t="s">
        <v>3409</v>
      </c>
      <c r="EU301"/>
    </row>
    <row r="302" spans="1:151" s="139" customFormat="1" ht="15" customHeight="1">
      <c r="A302" s="1" t="s">
        <v>1362</v>
      </c>
      <c r="B302" t="s">
        <v>2137</v>
      </c>
      <c r="C302" t="s">
        <v>2138</v>
      </c>
      <c r="D302" t="s">
        <v>2139</v>
      </c>
      <c r="E302" t="s">
        <v>2140</v>
      </c>
      <c r="F302" t="s">
        <v>2141</v>
      </c>
      <c r="G302" t="s">
        <v>1368</v>
      </c>
      <c r="H302" t="s">
        <v>255</v>
      </c>
      <c r="I302">
        <v>2012</v>
      </c>
      <c r="J302">
        <v>21</v>
      </c>
      <c r="K302" t="s">
        <v>2142</v>
      </c>
      <c r="L302" s="192"/>
      <c r="M302" t="str">
        <f>LEFT($D302,FIND(",",$D302)-1)&amp;"_"&amp;I302&amp;L302</f>
        <v>Pyorala_2012</v>
      </c>
      <c r="N302" t="s">
        <v>223</v>
      </c>
      <c r="O302" s="145" t="s">
        <v>342</v>
      </c>
      <c r="P302" s="193" t="s">
        <v>224</v>
      </c>
      <c r="Q302" s="266" t="s">
        <v>257</v>
      </c>
      <c r="R302" s="271" t="s">
        <v>1156</v>
      </c>
      <c r="S302" s="265" t="s">
        <v>2151</v>
      </c>
      <c r="T302" s="266" t="s">
        <v>2145</v>
      </c>
      <c r="U302" s="266" t="s">
        <v>2150</v>
      </c>
      <c r="V302">
        <v>0</v>
      </c>
      <c r="W302">
        <v>0</v>
      </c>
      <c r="X302">
        <v>0</v>
      </c>
      <c r="Y302">
        <v>1</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s="141">
        <f>COUNTIF(V302:AW302,"&lt;&gt;0")</f>
        <v>1</v>
      </c>
      <c r="AY302" s="141">
        <f>COUNTIF(V302:AL302,"&lt;&gt;0")</f>
        <v>1</v>
      </c>
      <c r="AZ302">
        <f>COUNTIF(V302:AC302,"&lt;&gt;0")</f>
        <v>1</v>
      </c>
      <c r="BA302">
        <f>COUNTIF(AD302:AI302,"&lt;&gt;0")</f>
        <v>0</v>
      </c>
      <c r="BB302">
        <f>COUNTIF(AJ302:AL302,"&lt;&gt;0")</f>
        <v>0</v>
      </c>
      <c r="BC302">
        <f>COUNTIF(AS302:AW302,"&lt;&gt;0")</f>
        <v>0</v>
      </c>
      <c r="BD302">
        <f>COUNTIF(AM302:AR302,"&lt;&gt;0")</f>
        <v>0</v>
      </c>
      <c r="BE302" t="str" cm="1">
        <f t="array" ref="BE302">IF(AY302=1,INDEX($V$7:$AL$7,MATCH(TRUE,INDEX($V302:$AW302&lt;&gt;0,),0)),IF(AY302=0,INDEX($AM$7:$AW$7,MATCH(1,$AM302:$AW302,0)),IF(BF302="Multiple strategies","mixed drivers",IF(BF302="Supply chain","multiple supply","multiple silviculture"))))</f>
        <v xml:space="preserve">cutting intensity </v>
      </c>
      <c r="BF302" s="2" t="str" cm="1">
        <f t="array" ref="BF302">IF(COUNTIF(AZ302:BB302,"&lt;&gt;0")=1,INDEX($V$4:$AW$4,MATCH(TRUE,INDEX($V302:$AW302&lt;&gt;0,),0)),IF(COUNTIF(AZ302:BB302,"&lt;&gt;0")=0,INDEX($AM$4:$AW$4,MATCH(1,$AM302:$AW302,0)),"Multiple strategies"))</f>
        <v>SilvicultureRemov</v>
      </c>
      <c r="BG302" s="194" t="s">
        <v>322</v>
      </c>
      <c r="BH302" s="266" t="s">
        <v>2146</v>
      </c>
      <c r="BI302" s="266" t="s">
        <v>703</v>
      </c>
      <c r="BJ302" s="195" t="s">
        <v>702</v>
      </c>
      <c r="BK302">
        <v>7.8</v>
      </c>
      <c r="BL302">
        <v>9</v>
      </c>
      <c r="BM302"/>
      <c r="BN302">
        <f>BL302-BK302</f>
        <v>1.2000000000000002</v>
      </c>
      <c r="BO302">
        <f>BN302</f>
        <v>1.2000000000000002</v>
      </c>
      <c r="BP302" s="149" t="s">
        <v>233</v>
      </c>
      <c r="BQ302" s="266" t="s">
        <v>788</v>
      </c>
      <c r="BR302" s="296" t="s">
        <v>2147</v>
      </c>
      <c r="BS302" s="266">
        <f>155.5/50</f>
        <v>3.11</v>
      </c>
      <c r="BT302" s="266">
        <f>234.2/50</f>
        <v>4.6840000000000002</v>
      </c>
      <c r="BU302" s="144"/>
      <c r="BV302">
        <f>BT302-BS302</f>
        <v>1.5740000000000003</v>
      </c>
      <c r="BW302"/>
      <c r="BX302">
        <f>BV302</f>
        <v>1.5740000000000003</v>
      </c>
      <c r="BY302">
        <f>IFERROR(BX302/BO302,"")</f>
        <v>1.3116666666666668</v>
      </c>
      <c r="BZ302">
        <v>0</v>
      </c>
      <c r="CA302">
        <v>0</v>
      </c>
      <c r="CB302">
        <v>0</v>
      </c>
      <c r="CC302">
        <v>0</v>
      </c>
      <c r="CD302">
        <v>0</v>
      </c>
      <c r="CE302">
        <v>0</v>
      </c>
      <c r="CF302">
        <v>0</v>
      </c>
      <c r="CG302">
        <v>0</v>
      </c>
      <c r="CH302">
        <v>0</v>
      </c>
      <c r="CI302">
        <v>0</v>
      </c>
      <c r="CJ302">
        <v>0</v>
      </c>
      <c r="CK302">
        <v>0</v>
      </c>
      <c r="CL302">
        <v>0</v>
      </c>
      <c r="CM302">
        <v>0</v>
      </c>
      <c r="CN302" t="str">
        <f>IF($BL302&lt;$BK302,"refNeedCorrection","refOK")</f>
        <v>refOK</v>
      </c>
      <c r="CO302">
        <f>IF($CN302="refOK",$BK302,$BL302)</f>
        <v>7.8</v>
      </c>
      <c r="CP302">
        <f>IF($CN302="refOK",$BL302,$BK302)</f>
        <v>9</v>
      </c>
      <c r="CQ302">
        <f>IF($CN302="refOK",$BO302,-$BO302)</f>
        <v>1.2000000000000002</v>
      </c>
      <c r="CR302">
        <f>IF($CN302="refOK",$BS302,$BT302)*IF($BP302="Emissions positive",-1,1)</f>
        <v>3.11</v>
      </c>
      <c r="CS302">
        <f>IF($CN302="refOK",$BT302,$BS302)*IF($BP302="Emissions positive",-1,1)</f>
        <v>4.6840000000000002</v>
      </c>
      <c r="CT302">
        <f>IF($CN302="refNeedCorrection",-BX302,BX302)*IF($BP302="Emissions positive",-1,1)</f>
        <v>1.5740000000000003</v>
      </c>
      <c r="CU302">
        <f>IFERROR(CT302/CQ302,"")</f>
        <v>1.3116666666666668</v>
      </c>
      <c r="CV302" s="2">
        <f>IFERROR((CS302-CR302)/ABS(CR302),"")</f>
        <v>0.50610932475884252</v>
      </c>
      <c r="CW302" s="1" t="s">
        <v>1201</v>
      </c>
      <c r="CX302" s="266" t="str">
        <f>IF(OR($CW302="prd",$CW302="std",$CW302="cit"),"loc",IF(OR($CW302="eur",$CW302="reg",$CW302="coy"),"reg",$CW302))</f>
        <v>reg</v>
      </c>
      <c r="CY302" t="s">
        <v>236</v>
      </c>
      <c r="CZ302"/>
      <c r="DA302"/>
      <c r="DB302">
        <v>50</v>
      </c>
      <c r="DC302" t="str">
        <f>IF(DB302=0,"0",IF(AND(DB302&gt;=1,DB302&lt;=30),"1-30",IF(AND(DB302&gt;30,DB302&lt;=70),"31-70",IF(AND(DB302&gt;70,DB302&lt;=100),"71-100",IF(DB302&gt;100,"+100")))))</f>
        <v>31-70</v>
      </c>
      <c r="DD302">
        <v>0</v>
      </c>
      <c r="DE302">
        <v>1</v>
      </c>
      <c r="DF302">
        <v>1</v>
      </c>
      <c r="DG302">
        <v>1</v>
      </c>
      <c r="DH302"/>
      <c r="DI302">
        <f>SUM(DD302:DG302)</f>
        <v>3</v>
      </c>
      <c r="DJ302" t="str">
        <f>IF(DI302=1,INDEX($DD$7:$DG$7,MATCH(1,$DD302:$DG302,0)),"mixedProduct")</f>
        <v>mixedProduct</v>
      </c>
      <c r="DK302">
        <f>IF(DD302=1,DK$7,0)</f>
        <v>0</v>
      </c>
      <c r="DL302" t="str">
        <f>IF(DE302=1,DL$7,0)</f>
        <v>Energy</v>
      </c>
      <c r="DM302" t="str">
        <f>IF(DF302=1,DM$7,0)</f>
        <v>Pulp/Paper</v>
      </c>
      <c r="DN302" t="str">
        <f>IF(DG302=1,DN$7,0)</f>
        <v>Timber</v>
      </c>
      <c r="DO302">
        <v>0</v>
      </c>
      <c r="DP302">
        <v>1</v>
      </c>
      <c r="DQ302" t="s">
        <v>2148</v>
      </c>
      <c r="DR302">
        <v>0</v>
      </c>
      <c r="DS302">
        <v>0</v>
      </c>
      <c r="DT302">
        <f>SUM(DO302:DP302)</f>
        <v>1</v>
      </c>
      <c r="DU302" s="143" t="str">
        <f>IF(DO302=1,"self-calculated DF",IF(DP302=1,"external DF used","explicit C balance"))</f>
        <v>external DF used</v>
      </c>
      <c r="DV302">
        <v>1</v>
      </c>
      <c r="DW302">
        <v>1</v>
      </c>
      <c r="DX302">
        <v>1</v>
      </c>
      <c r="DY302">
        <v>0</v>
      </c>
      <c r="DZ302">
        <v>0</v>
      </c>
      <c r="EA302" s="143">
        <v>0</v>
      </c>
      <c r="EB302">
        <v>0</v>
      </c>
      <c r="EC302">
        <v>0</v>
      </c>
      <c r="ED302">
        <v>0</v>
      </c>
      <c r="EE302">
        <v>0</v>
      </c>
      <c r="EF302">
        <v>1</v>
      </c>
      <c r="EG302">
        <v>0</v>
      </c>
      <c r="EH302">
        <v>0</v>
      </c>
      <c r="EI302" s="2">
        <v>0</v>
      </c>
      <c r="EJ302" s="1"/>
      <c r="EK302" t="str">
        <f>IF(AND(AND(AND(OR($DX302=1,$DW302=1),OR($EC302=1,$EA302=1)),SUM($DV302:$DZ302,$EF302)&gt;=4),SUM($EA302:$EE302)&gt;=2),"Whole sector","")</f>
        <v/>
      </c>
      <c r="EL302" t="str">
        <f>IF(AND(AND(OR($DX302=1,$DW302=1),AND($EC302=0,$EA302=0)),SUM($DV302:$DZ302,$EF302)&gt;=4),"Ecosystem approach","")</f>
        <v>Ecosystem approach</v>
      </c>
      <c r="EM302" s="2" t="str">
        <f>IF(AND(AND(AND($DX302=0,$DW302=0),OR($EC302=1,$EA302=1)),SUM($EB302:$EE302)&gt;=2),"Technology approach","")</f>
        <v/>
      </c>
      <c r="EN302"/>
      <c r="EO302"/>
      <c r="EP302" t="str">
        <f>IF(ISNUMBER(BU302),IF(ABS(BU302-[1]QC_indicators!$B$2)&gt;3*[1]QC_indicators!$C$2,"C ratio",IF(ISNUMBER(BY302),IF(ABS(BY302-[1]QC_indicators!$B$1)&gt;3*[1]QC_indicators!$C$1,"DF","no"))),IF(ISNUMBER(BY302),IF(ABS(BY302-[1]QC_indicators!$B$1)&gt;3*[1]QC_indicators!$C$1,"DF","no")))</f>
        <v>no</v>
      </c>
      <c r="EQ302"/>
      <c r="ER302"/>
      <c r="ES302"/>
      <c r="ET302" s="266" t="s">
        <v>3409</v>
      </c>
      <c r="EU302"/>
    </row>
    <row r="303" spans="1:151" s="139" customFormat="1" ht="15" customHeight="1">
      <c r="A303" s="1" t="s">
        <v>1362</v>
      </c>
      <c r="B303" t="s">
        <v>2137</v>
      </c>
      <c r="C303" t="s">
        <v>2138</v>
      </c>
      <c r="D303" t="s">
        <v>2139</v>
      </c>
      <c r="E303" t="s">
        <v>2140</v>
      </c>
      <c r="F303" t="s">
        <v>2141</v>
      </c>
      <c r="G303" t="s">
        <v>1368</v>
      </c>
      <c r="H303" t="s">
        <v>255</v>
      </c>
      <c r="I303">
        <v>2012</v>
      </c>
      <c r="J303">
        <v>21</v>
      </c>
      <c r="K303" t="s">
        <v>2142</v>
      </c>
      <c r="L303" s="192"/>
      <c r="M303" t="str">
        <f>LEFT($D303,FIND(",",$D303)-1)&amp;"_"&amp;I303&amp;L303</f>
        <v>Pyorala_2012</v>
      </c>
      <c r="N303" t="s">
        <v>223</v>
      </c>
      <c r="O303" s="145" t="s">
        <v>342</v>
      </c>
      <c r="P303" s="180" t="s">
        <v>224</v>
      </c>
      <c r="Q303" s="266" t="s">
        <v>257</v>
      </c>
      <c r="R303" s="271" t="s">
        <v>1156</v>
      </c>
      <c r="S303" s="265" t="s">
        <v>2149</v>
      </c>
      <c r="T303" s="266" t="s">
        <v>2145</v>
      </c>
      <c r="U303" s="266" t="s">
        <v>2150</v>
      </c>
      <c r="V303">
        <v>0</v>
      </c>
      <c r="W303">
        <v>0</v>
      </c>
      <c r="X303">
        <v>0</v>
      </c>
      <c r="Y303">
        <v>1</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s="141">
        <f>COUNTIF(V303:AW303,"&lt;&gt;0")</f>
        <v>1</v>
      </c>
      <c r="AY303" s="141">
        <f>COUNTIF(V303:AL303,"&lt;&gt;0")</f>
        <v>1</v>
      </c>
      <c r="AZ303">
        <f>COUNTIF(V303:AC303,"&lt;&gt;0")</f>
        <v>1</v>
      </c>
      <c r="BA303">
        <f>COUNTIF(AD303:AI303,"&lt;&gt;0")</f>
        <v>0</v>
      </c>
      <c r="BB303">
        <f>COUNTIF(AJ303:AL303,"&lt;&gt;0")</f>
        <v>0</v>
      </c>
      <c r="BC303">
        <f>COUNTIF(AS303:AW303,"&lt;&gt;0")</f>
        <v>0</v>
      </c>
      <c r="BD303">
        <f>COUNTIF(AM303:AR303,"&lt;&gt;0")</f>
        <v>0</v>
      </c>
      <c r="BE303" t="str" cm="1">
        <f t="array" ref="BE303">IF(AY303=1,INDEX($V$7:$AL$7,MATCH(TRUE,INDEX($V303:$AW303&lt;&gt;0,),0)),IF(AY303=0,INDEX($AM$7:$AW$7,MATCH(1,$AM303:$AW303,0)),IF(BF303="Multiple strategies","mixed drivers",IF(BF303="Supply chain","multiple supply","multiple silviculture"))))</f>
        <v xml:space="preserve">cutting intensity </v>
      </c>
      <c r="BF303" s="2" t="str" cm="1">
        <f t="array" ref="BF303">IF(COUNTIF(AZ303:BB303,"&lt;&gt;0")=1,INDEX($V$4:$AW$4,MATCH(TRUE,INDEX($V303:$AW303&lt;&gt;0,),0)),IF(COUNTIF(AZ303:BB303,"&lt;&gt;0")=0,INDEX($AM$4:$AW$4,MATCH(1,$AM303:$AW303,0)),"Multiple strategies"))</f>
        <v>SilvicultureRemov</v>
      </c>
      <c r="BG303" s="178" t="s">
        <v>322</v>
      </c>
      <c r="BH303" s="266" t="s">
        <v>2146</v>
      </c>
      <c r="BI303" s="266" t="s">
        <v>703</v>
      </c>
      <c r="BJ303" s="160" t="s">
        <v>702</v>
      </c>
      <c r="BK303">
        <v>7.6</v>
      </c>
      <c r="BL303">
        <v>7.9</v>
      </c>
      <c r="BM303"/>
      <c r="BN303">
        <f>BL303-BK303</f>
        <v>0.30000000000000071</v>
      </c>
      <c r="BO303">
        <f>BN303</f>
        <v>0.30000000000000071</v>
      </c>
      <c r="BP303" s="155" t="s">
        <v>233</v>
      </c>
      <c r="BQ303" s="266" t="s">
        <v>430</v>
      </c>
      <c r="BR303" s="272" t="s">
        <v>2147</v>
      </c>
      <c r="BS303" s="266">
        <f>147.4/50</f>
        <v>2.948</v>
      </c>
      <c r="BT303" s="266">
        <f>191.1/50</f>
        <v>3.8220000000000001</v>
      </c>
      <c r="BU303" s="144"/>
      <c r="BV303">
        <f>BT303-BS303</f>
        <v>0.87400000000000011</v>
      </c>
      <c r="BW303"/>
      <c r="BX303">
        <f>BV303</f>
        <v>0.87400000000000011</v>
      </c>
      <c r="BY303">
        <f>IFERROR(BX303/BO303,"")</f>
        <v>2.9133333333333269</v>
      </c>
      <c r="BZ303">
        <v>0</v>
      </c>
      <c r="CA303">
        <v>0</v>
      </c>
      <c r="CB303">
        <v>0</v>
      </c>
      <c r="CC303">
        <v>0</v>
      </c>
      <c r="CD303">
        <v>0</v>
      </c>
      <c r="CE303">
        <v>0</v>
      </c>
      <c r="CF303">
        <v>0</v>
      </c>
      <c r="CG303">
        <v>0</v>
      </c>
      <c r="CH303">
        <v>0</v>
      </c>
      <c r="CI303">
        <v>0</v>
      </c>
      <c r="CJ303">
        <v>0</v>
      </c>
      <c r="CK303">
        <v>0</v>
      </c>
      <c r="CL303">
        <v>0</v>
      </c>
      <c r="CM303">
        <v>0</v>
      </c>
      <c r="CN303" t="str">
        <f>IF($BL303&lt;$BK303,"refNeedCorrection","refOK")</f>
        <v>refOK</v>
      </c>
      <c r="CO303">
        <f>IF($CN303="refOK",$BK303,$BL303)</f>
        <v>7.6</v>
      </c>
      <c r="CP303">
        <f>IF($CN303="refOK",$BL303,$BK303)</f>
        <v>7.9</v>
      </c>
      <c r="CQ303">
        <f>IF($CN303="refOK",$BO303,-$BO303)</f>
        <v>0.30000000000000071</v>
      </c>
      <c r="CR303">
        <f>IF($CN303="refOK",$BS303,$BT303)*IF($BP303="Emissions positive",-1,1)</f>
        <v>2.948</v>
      </c>
      <c r="CS303">
        <f>IF($CN303="refOK",$BT303,$BS303)*IF($BP303="Emissions positive",-1,1)</f>
        <v>3.8220000000000001</v>
      </c>
      <c r="CT303">
        <f>IF($CN303="refNeedCorrection",-BX303,BX303)*IF($BP303="Emissions positive",-1,1)</f>
        <v>0.87400000000000011</v>
      </c>
      <c r="CU303">
        <f>IFERROR(CT303/CQ303,"")</f>
        <v>2.9133333333333269</v>
      </c>
      <c r="CV303" s="2">
        <f>IFERROR((CS303-CR303)/ABS(CR303),"")</f>
        <v>0.29647218453188606</v>
      </c>
      <c r="CW303" s="1" t="s">
        <v>1201</v>
      </c>
      <c r="CX303" s="266" t="str">
        <f>IF(OR($CW303="prd",$CW303="std",$CW303="cit"),"loc",IF(OR($CW303="eur",$CW303="reg",$CW303="coy"),"reg",$CW303))</f>
        <v>reg</v>
      </c>
      <c r="CY303" t="s">
        <v>236</v>
      </c>
      <c r="CZ303"/>
      <c r="DA303"/>
      <c r="DB303">
        <v>50</v>
      </c>
      <c r="DC303" t="str">
        <f>IF(DB303=0,"0",IF(AND(DB303&gt;=1,DB303&lt;=30),"1-30",IF(AND(DB303&gt;30,DB303&lt;=70),"31-70",IF(AND(DB303&gt;70,DB303&lt;=100),"71-100",IF(DB303&gt;100,"+100")))))</f>
        <v>31-70</v>
      </c>
      <c r="DD303">
        <v>0</v>
      </c>
      <c r="DE303">
        <v>1</v>
      </c>
      <c r="DF303">
        <v>1</v>
      </c>
      <c r="DG303">
        <v>1</v>
      </c>
      <c r="DH303"/>
      <c r="DI303">
        <f>SUM(DD303:DG303)</f>
        <v>3</v>
      </c>
      <c r="DJ303" t="str">
        <f>IF(DI303=1,INDEX($DD$7:$DG$7,MATCH(1,$DD303:$DG303,0)),"mixedProduct")</f>
        <v>mixedProduct</v>
      </c>
      <c r="DK303">
        <f>IF(DD303=1,DK$7,0)</f>
        <v>0</v>
      </c>
      <c r="DL303" t="str">
        <f>IF(DE303=1,DL$7,0)</f>
        <v>Energy</v>
      </c>
      <c r="DM303" t="str">
        <f>IF(DF303=1,DM$7,0)</f>
        <v>Pulp/Paper</v>
      </c>
      <c r="DN303" t="str">
        <f>IF(DG303=1,DN$7,0)</f>
        <v>Timber</v>
      </c>
      <c r="DO303">
        <v>0</v>
      </c>
      <c r="DP303">
        <v>1</v>
      </c>
      <c r="DQ303" t="s">
        <v>2148</v>
      </c>
      <c r="DR303">
        <v>0</v>
      </c>
      <c r="DS303">
        <v>0</v>
      </c>
      <c r="DT303">
        <f>SUM(DO303:DP303)</f>
        <v>1</v>
      </c>
      <c r="DU303" s="143" t="str">
        <f>IF(DO303=1,"self-calculated DF",IF(DP303=1,"external DF used","explicit C balance"))</f>
        <v>external DF used</v>
      </c>
      <c r="DV303">
        <v>1</v>
      </c>
      <c r="DW303">
        <v>1</v>
      </c>
      <c r="DX303">
        <v>1</v>
      </c>
      <c r="DY303">
        <v>0</v>
      </c>
      <c r="DZ303">
        <v>0</v>
      </c>
      <c r="EA303" s="143">
        <v>0</v>
      </c>
      <c r="EB303">
        <v>0</v>
      </c>
      <c r="EC303">
        <v>0</v>
      </c>
      <c r="ED303">
        <v>0</v>
      </c>
      <c r="EE303">
        <v>0</v>
      </c>
      <c r="EF303">
        <v>1</v>
      </c>
      <c r="EG303">
        <v>0</v>
      </c>
      <c r="EH303">
        <v>0</v>
      </c>
      <c r="EI303" s="2">
        <v>0</v>
      </c>
      <c r="EJ303" s="1"/>
      <c r="EK303" t="str">
        <f>IF(AND(AND(AND(OR($DX303=1,$DW303=1),OR($EC303=1,$EA303=1)),SUM($DV303:$DZ303,$EF303)&gt;=4),SUM($EA303:$EE303)&gt;=2),"Whole sector","")</f>
        <v/>
      </c>
      <c r="EL303" t="str">
        <f>IF(AND(AND(OR($DX303=1,$DW303=1),AND($EC303=0,$EA303=0)),SUM($DV303:$DZ303,$EF303)&gt;=4),"Ecosystem approach","")</f>
        <v>Ecosystem approach</v>
      </c>
      <c r="EM303" s="2" t="str">
        <f>IF(AND(AND(AND($DX303=0,$DW303=0),OR($EC303=1,$EA303=1)),SUM($EB303:$EE303)&gt;=2),"Technology approach","")</f>
        <v/>
      </c>
      <c r="EN303"/>
      <c r="EO303"/>
      <c r="EP303" t="str">
        <f>IF(ISNUMBER(BU303),IF(ABS(BU303-[1]QC_indicators!$B$2)&gt;3*[1]QC_indicators!$C$2,"C ratio",IF(ISNUMBER(BY303),IF(ABS(BY303-[1]QC_indicators!$B$1)&gt;3*[1]QC_indicators!$C$1,"DF","no"))),IF(ISNUMBER(BY303),IF(ABS(BY303-[1]QC_indicators!$B$1)&gt;3*[1]QC_indicators!$C$1,"DF","no")))</f>
        <v>no</v>
      </c>
      <c r="EQ303"/>
      <c r="ER303"/>
      <c r="ES303"/>
      <c r="ET303" s="266" t="s">
        <v>3409</v>
      </c>
      <c r="EU303"/>
    </row>
    <row r="304" spans="1:151" s="139" customFormat="1" ht="15" hidden="1" customHeight="1">
      <c r="A304" s="1" t="s">
        <v>1362</v>
      </c>
      <c r="B304" t="s">
        <v>2137</v>
      </c>
      <c r="C304" t="s">
        <v>2138</v>
      </c>
      <c r="D304" t="s">
        <v>2139</v>
      </c>
      <c r="E304" t="s">
        <v>2140</v>
      </c>
      <c r="F304" t="s">
        <v>2141</v>
      </c>
      <c r="G304" t="s">
        <v>1368</v>
      </c>
      <c r="H304" t="s">
        <v>255</v>
      </c>
      <c r="I304">
        <v>2012</v>
      </c>
      <c r="J304">
        <v>21</v>
      </c>
      <c r="K304" t="s">
        <v>2142</v>
      </c>
      <c r="L304" s="192"/>
      <c r="M304" t="str">
        <f>LEFT($D304,FIND(",",$D304)-1)&amp;"_"&amp;I304&amp;L304</f>
        <v>Pyorala_2012</v>
      </c>
      <c r="N304" t="s">
        <v>223</v>
      </c>
      <c r="O304" s="145" t="s">
        <v>342</v>
      </c>
      <c r="P304" s="180" t="s">
        <v>224</v>
      </c>
      <c r="Q304" s="266" t="s">
        <v>257</v>
      </c>
      <c r="R304" s="271" t="s">
        <v>1156</v>
      </c>
      <c r="S304" s="265" t="s">
        <v>2153</v>
      </c>
      <c r="T304" s="266" t="s">
        <v>2145</v>
      </c>
      <c r="U304" s="266" t="s">
        <v>2154</v>
      </c>
      <c r="V304">
        <v>0</v>
      </c>
      <c r="W304">
        <v>0</v>
      </c>
      <c r="X304">
        <v>0</v>
      </c>
      <c r="Y304">
        <v>0</v>
      </c>
      <c r="Z304">
        <v>0</v>
      </c>
      <c r="AA304">
        <v>0</v>
      </c>
      <c r="AB304">
        <v>1</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s="141">
        <f>COUNTIF(V304:AW304,"&lt;&gt;0")</f>
        <v>1</v>
      </c>
      <c r="AY304" s="141">
        <f>COUNTIF(V304:AL304,"&lt;&gt;0")</f>
        <v>1</v>
      </c>
      <c r="AZ304">
        <f>COUNTIF(V304:AC304,"&lt;&gt;0")</f>
        <v>1</v>
      </c>
      <c r="BA304">
        <f>COUNTIF(AD304:AI304,"&lt;&gt;0")</f>
        <v>0</v>
      </c>
      <c r="BB304">
        <f>COUNTIF(AJ304:AL304,"&lt;&gt;0")</f>
        <v>0</v>
      </c>
      <c r="BC304">
        <f>COUNTIF(AS304:AW304,"&lt;&gt;0")</f>
        <v>0</v>
      </c>
      <c r="BD304">
        <f>COUNTIF(AM304:AR304,"&lt;&gt;0")</f>
        <v>0</v>
      </c>
      <c r="BE304" t="str" cm="1">
        <f t="array" ref="BE304">IF(AY304=1,INDEX($V$7:$AL$7,MATCH(TRUE,INDEX($V304:$AW304&lt;&gt;0,),0)),IF(AY304=0,INDEX($AM$7:$AW$7,MATCH(1,$AM304:$AW304,0)),IF(BF304="Multiple strategies","mixed drivers",IF(BF304="Supply chain","multiple supply","multiple silviculture"))))</f>
        <v>fertilisation</v>
      </c>
      <c r="BF304" s="2" t="str" cm="1">
        <f t="array" ref="BF304">IF(COUNTIF(AZ304:BB304,"&lt;&gt;0")=1,INDEX($V$4:$AW$4,MATCH(TRUE,INDEX($V304:$AW304&lt;&gt;0,),0)),IF(COUNTIF(AZ304:BB304,"&lt;&gt;0")=0,INDEX($AM$4:$AW$4,MATCH(1,$AM304:$AW304,0)),"Multiple strategies"))</f>
        <v>SilvicultureProd</v>
      </c>
      <c r="BG304" s="178" t="s">
        <v>322</v>
      </c>
      <c r="BH304" s="266" t="s">
        <v>2146</v>
      </c>
      <c r="BI304" s="266" t="s">
        <v>427</v>
      </c>
      <c r="BJ304" s="160" t="s">
        <v>702</v>
      </c>
      <c r="BK304">
        <v>8.4</v>
      </c>
      <c r="BL304">
        <v>8.6999999999999993</v>
      </c>
      <c r="BM304"/>
      <c r="BN304">
        <f>BL304-BK304</f>
        <v>0.29999999999999893</v>
      </c>
      <c r="BO304">
        <f>BN304</f>
        <v>0.29999999999999893</v>
      </c>
      <c r="BP304" s="155" t="s">
        <v>396</v>
      </c>
      <c r="BQ304" s="266" t="s">
        <v>788</v>
      </c>
      <c r="BR304" s="272" t="s">
        <v>2147</v>
      </c>
      <c r="BS304">
        <f>-3.8/80</f>
        <v>-4.7500000000000001E-2</v>
      </c>
      <c r="BT304">
        <f>-4.1/80</f>
        <v>-5.1249999999999997E-2</v>
      </c>
      <c r="BU304" s="144"/>
      <c r="BV304">
        <f>BT304-BS304</f>
        <v>-3.7499999999999964E-3</v>
      </c>
      <c r="BW304"/>
      <c r="BX304">
        <f>BV304</f>
        <v>-3.7499999999999964E-3</v>
      </c>
      <c r="BY304">
        <f>IFERROR(BX304/BO304,"")</f>
        <v>-1.2500000000000032E-2</v>
      </c>
      <c r="BZ304">
        <v>0</v>
      </c>
      <c r="CA304">
        <v>0</v>
      </c>
      <c r="CB304">
        <v>0</v>
      </c>
      <c r="CC304">
        <v>0</v>
      </c>
      <c r="CD304">
        <v>0</v>
      </c>
      <c r="CE304">
        <v>0</v>
      </c>
      <c r="CF304">
        <v>0</v>
      </c>
      <c r="CG304">
        <v>0</v>
      </c>
      <c r="CH304">
        <v>0</v>
      </c>
      <c r="CI304">
        <v>0</v>
      </c>
      <c r="CJ304">
        <v>0</v>
      </c>
      <c r="CK304">
        <v>0</v>
      </c>
      <c r="CL304">
        <v>0</v>
      </c>
      <c r="CM304">
        <v>0</v>
      </c>
      <c r="CN304" t="str">
        <f>IF($BL304&lt;$BK304,"refNeedCorrection","refOK")</f>
        <v>refOK</v>
      </c>
      <c r="CO304">
        <f>IF($CN304="refOK",$BK304,$BL304)</f>
        <v>8.4</v>
      </c>
      <c r="CP304">
        <f>IF($CN304="refOK",$BL304,$BK304)</f>
        <v>8.6999999999999993</v>
      </c>
      <c r="CQ304">
        <f>IF($CN304="refOK",$BO304,-$BO304)</f>
        <v>0.29999999999999893</v>
      </c>
      <c r="CR304">
        <f>IF($CN304="refOK",$BS304,$BT304)*IF($BP304="Emissions positive",-1,1)</f>
        <v>4.7500000000000001E-2</v>
      </c>
      <c r="CS304">
        <f>IF($CN304="refOK",$BT304,$BS304)*IF($BP304="Emissions positive",-1,1)</f>
        <v>5.1249999999999997E-2</v>
      </c>
      <c r="CT304">
        <f>IF($CN304="refNeedCorrection",-BX304,BX304)*IF($BP304="Emissions positive",-1,1)</f>
        <v>3.7499999999999964E-3</v>
      </c>
      <c r="CU304">
        <f>IFERROR(CT304/CQ304,"")</f>
        <v>1.2500000000000032E-2</v>
      </c>
      <c r="CV304" s="2">
        <f>IFERROR((CS304-CR304)/ABS(CR304),"")</f>
        <v>7.8947368421052558E-2</v>
      </c>
      <c r="CW304" s="1" t="s">
        <v>1201</v>
      </c>
      <c r="CX304" s="266" t="str">
        <f>IF(OR($CW304="prd",$CW304="std",$CW304="cit"),"loc",IF(OR($CW304="eur",$CW304="reg",$CW304="coy"),"reg",$CW304))</f>
        <v>reg</v>
      </c>
      <c r="CY304" t="s">
        <v>236</v>
      </c>
      <c r="CZ304"/>
      <c r="DA304"/>
      <c r="DB304">
        <v>80</v>
      </c>
      <c r="DC304" t="str">
        <f>IF(DB304=0,"0",IF(AND(DB304&gt;=1,DB304&lt;=30),"1-30",IF(AND(DB304&gt;30,DB304&lt;=70),"31-70",IF(AND(DB304&gt;70,DB304&lt;=100),"71-100",IF(DB304&gt;100,"+100")))))</f>
        <v>71-100</v>
      </c>
      <c r="DD304">
        <v>0</v>
      </c>
      <c r="DE304">
        <v>1</v>
      </c>
      <c r="DF304">
        <v>1</v>
      </c>
      <c r="DG304">
        <v>1</v>
      </c>
      <c r="DH304"/>
      <c r="DI304">
        <f>SUM(DD304:DG304)</f>
        <v>3</v>
      </c>
      <c r="DJ304" t="str">
        <f>IF(DI304=1,INDEX($DD$7:$DG$7,MATCH(1,$DD304:$DG304,0)),"mixedProduct")</f>
        <v>mixedProduct</v>
      </c>
      <c r="DK304">
        <f>IF(DD304=1,DK$7,0)</f>
        <v>0</v>
      </c>
      <c r="DL304" t="str">
        <f>IF(DE304=1,DL$7,0)</f>
        <v>Energy</v>
      </c>
      <c r="DM304" t="str">
        <f>IF(DF304=1,DM$7,0)</f>
        <v>Pulp/Paper</v>
      </c>
      <c r="DN304" t="str">
        <f>IF(DG304=1,DN$7,0)</f>
        <v>Timber</v>
      </c>
      <c r="DO304">
        <v>0</v>
      </c>
      <c r="DP304">
        <v>1</v>
      </c>
      <c r="DQ304" t="s">
        <v>2148</v>
      </c>
      <c r="DR304">
        <v>0</v>
      </c>
      <c r="DS304">
        <v>0</v>
      </c>
      <c r="DT304">
        <f>SUM(DO304:DP304)</f>
        <v>1</v>
      </c>
      <c r="DU304" s="143" t="str">
        <f>IF(DO304=1,"self-calculated DF",IF(DP304=1,"external DF used","explicit C balance"))</f>
        <v>external DF used</v>
      </c>
      <c r="DV304">
        <v>1</v>
      </c>
      <c r="DW304">
        <v>1</v>
      </c>
      <c r="DX304">
        <v>1</v>
      </c>
      <c r="DY304">
        <v>0</v>
      </c>
      <c r="DZ304">
        <v>0</v>
      </c>
      <c r="EA304" s="143">
        <v>0</v>
      </c>
      <c r="EB304">
        <v>1</v>
      </c>
      <c r="EC304">
        <v>1</v>
      </c>
      <c r="ED304">
        <v>0</v>
      </c>
      <c r="EE304">
        <v>0</v>
      </c>
      <c r="EF304">
        <v>1</v>
      </c>
      <c r="EG304">
        <v>0</v>
      </c>
      <c r="EH304">
        <v>0</v>
      </c>
      <c r="EI304" s="2">
        <v>0</v>
      </c>
      <c r="EJ304" s="1"/>
      <c r="EK304" t="str">
        <f>IF(AND(AND(AND(OR($DX304=1,$DW304=1),OR($EC304=1,$EA304=1)),SUM($DV304:$DZ304,$EF304)&gt;=4),SUM($EA304:$EE304)&gt;=2),"Whole sector","")</f>
        <v>Whole sector</v>
      </c>
      <c r="EL304" t="str">
        <f>IF(AND(AND(OR($DX304=1,$DW304=1),AND($EC304=0,$EA304=0)),SUM($DV304:$DZ304,$EF304)&gt;=4),"Ecosystem approach","")</f>
        <v/>
      </c>
      <c r="EM304" s="2" t="str">
        <f>IF(AND(AND(AND($DX304=0,$DW304=0),OR($EC304=1,$EA304=1)),SUM($EB304:$EE304)&gt;=2),"Technology approach","")</f>
        <v/>
      </c>
      <c r="EN304"/>
      <c r="EO304"/>
      <c r="EP304" t="str">
        <f>IF(ISNUMBER(BU304),IF(ABS(BU304-[1]QC_indicators!$B$2)&gt;3*[1]QC_indicators!$C$2,"C ratio",IF(ISNUMBER(BY304),IF(ABS(BY304-[1]QC_indicators!$B$1)&gt;3*[1]QC_indicators!$C$1,"DF","no"))),IF(ISNUMBER(BY304),IF(ABS(BY304-[1]QC_indicators!$B$1)&gt;3*[1]QC_indicators!$C$1,"DF","no")))</f>
        <v>no</v>
      </c>
      <c r="EQ304"/>
      <c r="ER304"/>
      <c r="ES304"/>
      <c r="ET304" s="266" t="s">
        <v>3409</v>
      </c>
      <c r="EU304"/>
    </row>
    <row r="305" spans="1:151" s="139" customFormat="1" ht="15" hidden="1" customHeight="1">
      <c r="A305" s="1" t="s">
        <v>1362</v>
      </c>
      <c r="B305" t="s">
        <v>2137</v>
      </c>
      <c r="C305" t="s">
        <v>2138</v>
      </c>
      <c r="D305" t="s">
        <v>2139</v>
      </c>
      <c r="E305" t="s">
        <v>2140</v>
      </c>
      <c r="F305" t="s">
        <v>2141</v>
      </c>
      <c r="G305" t="s">
        <v>1368</v>
      </c>
      <c r="H305" t="s">
        <v>255</v>
      </c>
      <c r="I305">
        <v>2012</v>
      </c>
      <c r="J305">
        <v>21</v>
      </c>
      <c r="K305" t="s">
        <v>2142</v>
      </c>
      <c r="L305" s="192"/>
      <c r="M305" t="str">
        <f>LEFT($D305,FIND(",",$D305)-1)&amp;"_"&amp;I305&amp;L305</f>
        <v>Pyorala_2012</v>
      </c>
      <c r="N305" t="s">
        <v>223</v>
      </c>
      <c r="O305" s="145" t="s">
        <v>342</v>
      </c>
      <c r="P305" s="180" t="s">
        <v>224</v>
      </c>
      <c r="Q305" s="266" t="s">
        <v>257</v>
      </c>
      <c r="R305" s="271" t="s">
        <v>1156</v>
      </c>
      <c r="S305" s="265" t="s">
        <v>2157</v>
      </c>
      <c r="T305" s="266" t="s">
        <v>2145</v>
      </c>
      <c r="U305" s="266" t="s">
        <v>2154</v>
      </c>
      <c r="V305">
        <v>0</v>
      </c>
      <c r="W305">
        <v>0</v>
      </c>
      <c r="X305">
        <v>0</v>
      </c>
      <c r="Y305">
        <v>0</v>
      </c>
      <c r="Z305">
        <v>0</v>
      </c>
      <c r="AA305">
        <v>0</v>
      </c>
      <c r="AB305">
        <v>1</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s="141">
        <f>COUNTIF(V305:AW305,"&lt;&gt;0")</f>
        <v>1</v>
      </c>
      <c r="AY305" s="141">
        <f>COUNTIF(V305:AL305,"&lt;&gt;0")</f>
        <v>1</v>
      </c>
      <c r="AZ305">
        <f>COUNTIF(V305:AC305,"&lt;&gt;0")</f>
        <v>1</v>
      </c>
      <c r="BA305">
        <f>COUNTIF(AD305:AI305,"&lt;&gt;0")</f>
        <v>0</v>
      </c>
      <c r="BB305">
        <f>COUNTIF(AJ305:AL305,"&lt;&gt;0")</f>
        <v>0</v>
      </c>
      <c r="BC305">
        <f>COUNTIF(AS305:AW305,"&lt;&gt;0")</f>
        <v>0</v>
      </c>
      <c r="BD305">
        <f>COUNTIF(AM305:AR305,"&lt;&gt;0")</f>
        <v>0</v>
      </c>
      <c r="BE305" t="str" cm="1">
        <f t="array" ref="BE305">IF(AY305=1,INDEX($V$7:$AL$7,MATCH(TRUE,INDEX($V305:$AW305&lt;&gt;0,),0)),IF(AY305=0,INDEX($AM$7:$AW$7,MATCH(1,$AM305:$AW305,0)),IF(BF305="Multiple strategies","mixed drivers",IF(BF305="Supply chain","multiple supply","multiple silviculture"))))</f>
        <v>fertilisation</v>
      </c>
      <c r="BF305" s="2" t="str" cm="1">
        <f t="array" ref="BF305">IF(COUNTIF(AZ305:BB305,"&lt;&gt;0")=1,INDEX($V$4:$AW$4,MATCH(TRUE,INDEX($V305:$AW305&lt;&gt;0,),0)),IF(COUNTIF(AZ305:BB305,"&lt;&gt;0")=0,INDEX($AM$4:$AW$4,MATCH(1,$AM305:$AW305,0)),"Multiple strategies"))</f>
        <v>SilvicultureProd</v>
      </c>
      <c r="BG305" s="178" t="s">
        <v>322</v>
      </c>
      <c r="BH305" s="266" t="s">
        <v>2146</v>
      </c>
      <c r="BI305" s="266" t="s">
        <v>703</v>
      </c>
      <c r="BJ305" s="160" t="s">
        <v>702</v>
      </c>
      <c r="BK305">
        <v>6.5</v>
      </c>
      <c r="BL305">
        <v>7</v>
      </c>
      <c r="BM305"/>
      <c r="BN305">
        <f>BL305-BK305</f>
        <v>0.5</v>
      </c>
      <c r="BO305">
        <f>BN305</f>
        <v>0.5</v>
      </c>
      <c r="BP305" s="155" t="s">
        <v>396</v>
      </c>
      <c r="BQ305" s="266" t="s">
        <v>788</v>
      </c>
      <c r="BR305" s="272" t="s">
        <v>2147</v>
      </c>
      <c r="BS305">
        <f>-2.6/80</f>
        <v>-3.2500000000000001E-2</v>
      </c>
      <c r="BT305">
        <f>-3/80</f>
        <v>-3.7499999999999999E-2</v>
      </c>
      <c r="BU305" s="144"/>
      <c r="BV305">
        <f>BT305-BS305</f>
        <v>-4.9999999999999975E-3</v>
      </c>
      <c r="BW305"/>
      <c r="BX305">
        <f>BV305</f>
        <v>-4.9999999999999975E-3</v>
      </c>
      <c r="BY305">
        <f>IFERROR(BX305/BO305,"")</f>
        <v>-9.999999999999995E-3</v>
      </c>
      <c r="BZ305">
        <v>0</v>
      </c>
      <c r="CA305">
        <v>0</v>
      </c>
      <c r="CB305">
        <v>0</v>
      </c>
      <c r="CC305">
        <v>0</v>
      </c>
      <c r="CD305">
        <v>0</v>
      </c>
      <c r="CE305">
        <v>0</v>
      </c>
      <c r="CF305">
        <v>0</v>
      </c>
      <c r="CG305">
        <v>0</v>
      </c>
      <c r="CH305">
        <v>0</v>
      </c>
      <c r="CI305">
        <v>0</v>
      </c>
      <c r="CJ305">
        <v>0</v>
      </c>
      <c r="CK305">
        <v>0</v>
      </c>
      <c r="CL305">
        <v>0</v>
      </c>
      <c r="CM305">
        <v>0</v>
      </c>
      <c r="CN305" t="str">
        <f>IF($BL305&lt;$BK305,"refNeedCorrection","refOK")</f>
        <v>refOK</v>
      </c>
      <c r="CO305">
        <f>IF($CN305="refOK",$BK305,$BL305)</f>
        <v>6.5</v>
      </c>
      <c r="CP305">
        <f>IF($CN305="refOK",$BL305,$BK305)</f>
        <v>7</v>
      </c>
      <c r="CQ305">
        <f>IF($CN305="refOK",$BO305,-$BO305)</f>
        <v>0.5</v>
      </c>
      <c r="CR305">
        <f>IF($CN305="refOK",$BS305,$BT305)*IF($BP305="Emissions positive",-1,1)</f>
        <v>3.2500000000000001E-2</v>
      </c>
      <c r="CS305">
        <f>IF($CN305="refOK",$BT305,$BS305)*IF($BP305="Emissions positive",-1,1)</f>
        <v>3.7499999999999999E-2</v>
      </c>
      <c r="CT305">
        <f>IF($CN305="refNeedCorrection",-BX305,BX305)*IF($BP305="Emissions positive",-1,1)</f>
        <v>4.9999999999999975E-3</v>
      </c>
      <c r="CU305">
        <f>IFERROR(CT305/CQ305,"")</f>
        <v>9.999999999999995E-3</v>
      </c>
      <c r="CV305" s="2">
        <f>IFERROR((CS305-CR305)/ABS(CR305),"")</f>
        <v>0.15384615384615377</v>
      </c>
      <c r="CW305" s="1" t="s">
        <v>1201</v>
      </c>
      <c r="CX305" s="266" t="str">
        <f>IF(OR($CW305="prd",$CW305="std",$CW305="cit"),"loc",IF(OR($CW305="eur",$CW305="reg",$CW305="coy"),"reg",$CW305))</f>
        <v>reg</v>
      </c>
      <c r="CY305" t="s">
        <v>236</v>
      </c>
      <c r="CZ305"/>
      <c r="DA305"/>
      <c r="DB305">
        <v>80</v>
      </c>
      <c r="DC305" t="str">
        <f>IF(DB305=0,"0",IF(AND(DB305&gt;=1,DB305&lt;=30),"1-30",IF(AND(DB305&gt;30,DB305&lt;=70),"31-70",IF(AND(DB305&gt;70,DB305&lt;=100),"71-100",IF(DB305&gt;100,"+100")))))</f>
        <v>71-100</v>
      </c>
      <c r="DD305">
        <v>0</v>
      </c>
      <c r="DE305">
        <v>1</v>
      </c>
      <c r="DF305">
        <v>1</v>
      </c>
      <c r="DG305">
        <v>1</v>
      </c>
      <c r="DH305"/>
      <c r="DI305">
        <f>SUM(DD305:DG305)</f>
        <v>3</v>
      </c>
      <c r="DJ305" t="str">
        <f>IF(DI305=1,INDEX($DD$7:$DG$7,MATCH(1,$DD305:$DG305,0)),"mixedProduct")</f>
        <v>mixedProduct</v>
      </c>
      <c r="DK305">
        <f>IF(DD305=1,DK$7,0)</f>
        <v>0</v>
      </c>
      <c r="DL305" t="str">
        <f>IF(DE305=1,DL$7,0)</f>
        <v>Energy</v>
      </c>
      <c r="DM305" t="str">
        <f>IF(DF305=1,DM$7,0)</f>
        <v>Pulp/Paper</v>
      </c>
      <c r="DN305" t="str">
        <f>IF(DG305=1,DN$7,0)</f>
        <v>Timber</v>
      </c>
      <c r="DO305">
        <v>0</v>
      </c>
      <c r="DP305">
        <v>1</v>
      </c>
      <c r="DQ305" t="s">
        <v>2148</v>
      </c>
      <c r="DR305">
        <v>0</v>
      </c>
      <c r="DS305">
        <v>0</v>
      </c>
      <c r="DT305">
        <f>SUM(DO305:DP305)</f>
        <v>1</v>
      </c>
      <c r="DU305" s="143" t="str">
        <f>IF(DO305=1,"self-calculated DF",IF(DP305=1,"external DF used","explicit C balance"))</f>
        <v>external DF used</v>
      </c>
      <c r="DV305">
        <v>1</v>
      </c>
      <c r="DW305">
        <v>1</v>
      </c>
      <c r="DX305">
        <v>1</v>
      </c>
      <c r="DY305">
        <v>0</v>
      </c>
      <c r="DZ305">
        <v>0</v>
      </c>
      <c r="EA305" s="143">
        <v>0</v>
      </c>
      <c r="EB305">
        <v>1</v>
      </c>
      <c r="EC305">
        <v>1</v>
      </c>
      <c r="ED305">
        <v>0</v>
      </c>
      <c r="EE305">
        <v>0</v>
      </c>
      <c r="EF305">
        <v>1</v>
      </c>
      <c r="EG305">
        <v>0</v>
      </c>
      <c r="EH305">
        <v>0</v>
      </c>
      <c r="EI305" s="2">
        <v>0</v>
      </c>
      <c r="EJ305" s="1"/>
      <c r="EK305" t="str">
        <f>IF(AND(AND(AND(OR($DX305=1,$DW305=1),OR($EC305=1,$EA305=1)),SUM($DV305:$DZ305,$EF305)&gt;=4),SUM($EA305:$EE305)&gt;=2),"Whole sector","")</f>
        <v>Whole sector</v>
      </c>
      <c r="EL305" t="str">
        <f>IF(AND(AND(OR($DX305=1,$DW305=1),AND($EC305=0,$EA305=0)),SUM($DV305:$DZ305,$EF305)&gt;=4),"Ecosystem approach","")</f>
        <v/>
      </c>
      <c r="EM305" s="2" t="str">
        <f>IF(AND(AND(AND($DX305=0,$DW305=0),OR($EC305=1,$EA305=1)),SUM($EB305:$EE305)&gt;=2),"Technology approach","")</f>
        <v/>
      </c>
      <c r="EN305"/>
      <c r="EO305"/>
      <c r="EP305" t="str">
        <f>IF(ISNUMBER(BU305),IF(ABS(BU305-[1]QC_indicators!$B$2)&gt;3*[1]QC_indicators!$C$2,"C ratio",IF(ISNUMBER(BY305),IF(ABS(BY305-[1]QC_indicators!$B$1)&gt;3*[1]QC_indicators!$C$1,"DF","no"))),IF(ISNUMBER(BY305),IF(ABS(BY305-[1]QC_indicators!$B$1)&gt;3*[1]QC_indicators!$C$1,"DF","no")))</f>
        <v>no</v>
      </c>
      <c r="EQ305"/>
      <c r="ER305"/>
      <c r="ES305"/>
      <c r="ET305" s="266" t="s">
        <v>3409</v>
      </c>
      <c r="EU305"/>
    </row>
    <row r="306" spans="1:151" s="139" customFormat="1" ht="15" customHeight="1">
      <c r="A306" s="1" t="s">
        <v>1362</v>
      </c>
      <c r="B306" t="s">
        <v>2137</v>
      </c>
      <c r="C306" t="s">
        <v>2138</v>
      </c>
      <c r="D306" t="s">
        <v>2139</v>
      </c>
      <c r="E306" t="s">
        <v>2140</v>
      </c>
      <c r="F306" t="s">
        <v>2141</v>
      </c>
      <c r="G306" t="s">
        <v>1368</v>
      </c>
      <c r="H306" t="s">
        <v>255</v>
      </c>
      <c r="I306">
        <v>2012</v>
      </c>
      <c r="J306">
        <v>21</v>
      </c>
      <c r="K306" t="s">
        <v>2142</v>
      </c>
      <c r="L306" s="192"/>
      <c r="M306" t="str">
        <f>LEFT($D306,FIND(",",$D306)-1)&amp;"_"&amp;I306&amp;L306</f>
        <v>Pyorala_2012</v>
      </c>
      <c r="N306" t="s">
        <v>223</v>
      </c>
      <c r="O306" s="145" t="s">
        <v>342</v>
      </c>
      <c r="P306" s="180" t="s">
        <v>224</v>
      </c>
      <c r="Q306" s="266" t="s">
        <v>257</v>
      </c>
      <c r="R306" s="271" t="s">
        <v>1156</v>
      </c>
      <c r="S306" s="265" t="s">
        <v>2156</v>
      </c>
      <c r="T306" s="266" t="s">
        <v>2145</v>
      </c>
      <c r="U306" s="266" t="s">
        <v>2154</v>
      </c>
      <c r="V306">
        <v>0</v>
      </c>
      <c r="W306">
        <v>0</v>
      </c>
      <c r="X306">
        <v>0</v>
      </c>
      <c r="Y306">
        <v>0</v>
      </c>
      <c r="Z306">
        <v>0</v>
      </c>
      <c r="AA306">
        <v>0</v>
      </c>
      <c r="AB306">
        <v>1</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s="141">
        <f>COUNTIF(V306:AW306,"&lt;&gt;0")</f>
        <v>1</v>
      </c>
      <c r="AY306" s="141">
        <f>COUNTIF(V306:AL306,"&lt;&gt;0")</f>
        <v>1</v>
      </c>
      <c r="AZ306">
        <f>COUNTIF(V306:AC306,"&lt;&gt;0")</f>
        <v>1</v>
      </c>
      <c r="BA306">
        <f>COUNTIF(AD306:AI306,"&lt;&gt;0")</f>
        <v>0</v>
      </c>
      <c r="BB306">
        <f>COUNTIF(AJ306:AL306,"&lt;&gt;0")</f>
        <v>0</v>
      </c>
      <c r="BC306">
        <f>COUNTIF(AS306:AW306,"&lt;&gt;0")</f>
        <v>0</v>
      </c>
      <c r="BD306">
        <f>COUNTIF(AM306:AR306,"&lt;&gt;0")</f>
        <v>0</v>
      </c>
      <c r="BE306" t="str" cm="1">
        <f t="array" ref="BE306">IF(AY306=1,INDEX($V$7:$AL$7,MATCH(TRUE,INDEX($V306:$AW306&lt;&gt;0,),0)),IF(AY306=0,INDEX($AM$7:$AW$7,MATCH(1,$AM306:$AW306,0)),IF(BF306="Multiple strategies","mixed drivers",IF(BF306="Supply chain","multiple supply","multiple silviculture"))))</f>
        <v>fertilisation</v>
      </c>
      <c r="BF306" s="2" t="str" cm="1">
        <f t="array" ref="BF306">IF(COUNTIF(AZ306:BB306,"&lt;&gt;0")=1,INDEX($V$4:$AW$4,MATCH(TRUE,INDEX($V306:$AW306&lt;&gt;0,),0)),IF(COUNTIF(AZ306:BB306,"&lt;&gt;0")=0,INDEX($AM$4:$AW$4,MATCH(1,$AM306:$AW306,0)),"Multiple strategies"))</f>
        <v>SilvicultureProd</v>
      </c>
      <c r="BG306" s="178" t="s">
        <v>322</v>
      </c>
      <c r="BH306" s="266" t="s">
        <v>2146</v>
      </c>
      <c r="BI306" s="266" t="s">
        <v>427</v>
      </c>
      <c r="BJ306" s="160" t="s">
        <v>702</v>
      </c>
      <c r="BK306">
        <v>7.8</v>
      </c>
      <c r="BL306">
        <v>10.6</v>
      </c>
      <c r="BM306"/>
      <c r="BN306">
        <f>BL306-BK306</f>
        <v>2.8</v>
      </c>
      <c r="BO306">
        <f>BN306</f>
        <v>2.8</v>
      </c>
      <c r="BP306" s="155" t="s">
        <v>233</v>
      </c>
      <c r="BQ306" s="266" t="s">
        <v>788</v>
      </c>
      <c r="BR306" s="272" t="s">
        <v>2147</v>
      </c>
      <c r="BS306" s="266">
        <f>155.5/50</f>
        <v>3.11</v>
      </c>
      <c r="BT306" s="266">
        <f>180.7/50</f>
        <v>3.6139999999999999</v>
      </c>
      <c r="BU306" s="144"/>
      <c r="BV306">
        <f>BT306-BS306</f>
        <v>0.504</v>
      </c>
      <c r="BW306"/>
      <c r="BX306">
        <f>BV306</f>
        <v>0.504</v>
      </c>
      <c r="BY306">
        <f>IFERROR(BX306/BO306,"")</f>
        <v>0.18000000000000002</v>
      </c>
      <c r="BZ306">
        <v>0</v>
      </c>
      <c r="CA306">
        <v>0</v>
      </c>
      <c r="CB306">
        <v>0</v>
      </c>
      <c r="CC306">
        <v>0</v>
      </c>
      <c r="CD306">
        <v>0</v>
      </c>
      <c r="CE306">
        <v>0</v>
      </c>
      <c r="CF306">
        <v>0</v>
      </c>
      <c r="CG306">
        <v>0</v>
      </c>
      <c r="CH306">
        <v>0</v>
      </c>
      <c r="CI306">
        <v>0</v>
      </c>
      <c r="CJ306">
        <v>0</v>
      </c>
      <c r="CK306">
        <v>0</v>
      </c>
      <c r="CL306">
        <v>0</v>
      </c>
      <c r="CM306">
        <v>0</v>
      </c>
      <c r="CN306" t="str">
        <f>IF($BL306&lt;$BK306,"refNeedCorrection","refOK")</f>
        <v>refOK</v>
      </c>
      <c r="CO306">
        <f>IF($CN306="refOK",$BK306,$BL306)</f>
        <v>7.8</v>
      </c>
      <c r="CP306">
        <f>IF($CN306="refOK",$BL306,$BK306)</f>
        <v>10.6</v>
      </c>
      <c r="CQ306">
        <f>IF($CN306="refOK",$BO306,-$BO306)</f>
        <v>2.8</v>
      </c>
      <c r="CR306">
        <f>IF($CN306="refOK",$BS306,$BT306)*IF($BP306="Emissions positive",-1,1)</f>
        <v>3.11</v>
      </c>
      <c r="CS306">
        <f>IF($CN306="refOK",$BT306,$BS306)*IF($BP306="Emissions positive",-1,1)</f>
        <v>3.6139999999999999</v>
      </c>
      <c r="CT306">
        <f>IF($CN306="refNeedCorrection",-BX306,BX306)*IF($BP306="Emissions positive",-1,1)</f>
        <v>0.504</v>
      </c>
      <c r="CU306">
        <f>IFERROR(CT306/CQ306,"")</f>
        <v>0.18000000000000002</v>
      </c>
      <c r="CV306" s="2">
        <f>IFERROR((CS306-CR306)/ABS(CR306),"")</f>
        <v>0.16205787781350484</v>
      </c>
      <c r="CW306" s="1" t="s">
        <v>1201</v>
      </c>
      <c r="CX306" s="266" t="str">
        <f>IF(OR($CW306="prd",$CW306="std",$CW306="cit"),"loc",IF(OR($CW306="eur",$CW306="reg",$CW306="coy"),"reg",$CW306))</f>
        <v>reg</v>
      </c>
      <c r="CY306" t="s">
        <v>236</v>
      </c>
      <c r="CZ306"/>
      <c r="DA306"/>
      <c r="DB306">
        <v>50</v>
      </c>
      <c r="DC306" t="str">
        <f>IF(DB306=0,"0",IF(AND(DB306&gt;=1,DB306&lt;=30),"1-30",IF(AND(DB306&gt;30,DB306&lt;=70),"31-70",IF(AND(DB306&gt;70,DB306&lt;=100),"71-100",IF(DB306&gt;100,"+100")))))</f>
        <v>31-70</v>
      </c>
      <c r="DD306">
        <v>0</v>
      </c>
      <c r="DE306">
        <v>1</v>
      </c>
      <c r="DF306">
        <v>1</v>
      </c>
      <c r="DG306">
        <v>1</v>
      </c>
      <c r="DH306"/>
      <c r="DI306">
        <f>SUM(DD306:DG306)</f>
        <v>3</v>
      </c>
      <c r="DJ306" t="str">
        <f>IF(DI306=1,INDEX($DD$7:$DG$7,MATCH(1,$DD306:$DG306,0)),"mixedProduct")</f>
        <v>mixedProduct</v>
      </c>
      <c r="DK306">
        <f>IF(DD306=1,DK$7,0)</f>
        <v>0</v>
      </c>
      <c r="DL306" t="str">
        <f>IF(DE306=1,DL$7,0)</f>
        <v>Energy</v>
      </c>
      <c r="DM306" t="str">
        <f>IF(DF306=1,DM$7,0)</f>
        <v>Pulp/Paper</v>
      </c>
      <c r="DN306" t="str">
        <f>IF(DG306=1,DN$7,0)</f>
        <v>Timber</v>
      </c>
      <c r="DO306">
        <v>0</v>
      </c>
      <c r="DP306">
        <v>1</v>
      </c>
      <c r="DQ306" t="s">
        <v>2148</v>
      </c>
      <c r="DR306">
        <v>0</v>
      </c>
      <c r="DS306">
        <v>0</v>
      </c>
      <c r="DT306">
        <f>SUM(DO306:DP306)</f>
        <v>1</v>
      </c>
      <c r="DU306" s="143" t="str">
        <f>IF(DO306=1,"self-calculated DF",IF(DP306=1,"external DF used","explicit C balance"))</f>
        <v>external DF used</v>
      </c>
      <c r="DV306">
        <v>1</v>
      </c>
      <c r="DW306">
        <v>1</v>
      </c>
      <c r="DX306">
        <v>1</v>
      </c>
      <c r="DY306">
        <v>0</v>
      </c>
      <c r="DZ306">
        <v>0</v>
      </c>
      <c r="EA306" s="143">
        <v>0</v>
      </c>
      <c r="EB306">
        <v>0</v>
      </c>
      <c r="EC306">
        <v>0</v>
      </c>
      <c r="ED306">
        <v>0</v>
      </c>
      <c r="EE306">
        <v>0</v>
      </c>
      <c r="EF306">
        <v>1</v>
      </c>
      <c r="EG306">
        <v>0</v>
      </c>
      <c r="EH306">
        <v>0</v>
      </c>
      <c r="EI306" s="2">
        <v>0</v>
      </c>
      <c r="EJ306" s="1"/>
      <c r="EK306" t="str">
        <f>IF(AND(AND(AND(OR($DX306=1,$DW306=1),OR($EC306=1,$EA306=1)),SUM($DV306:$DZ306,$EF306)&gt;=4),SUM($EA306:$EE306)&gt;=2),"Whole sector","")</f>
        <v/>
      </c>
      <c r="EL306" t="str">
        <f>IF(AND(AND(OR($DX306=1,$DW306=1),AND($EC306=0,$EA306=0)),SUM($DV306:$DZ306,$EF306)&gt;=4),"Ecosystem approach","")</f>
        <v>Ecosystem approach</v>
      </c>
      <c r="EM306" s="2" t="str">
        <f>IF(AND(AND(AND($DX306=0,$DW306=0),OR($EC306=1,$EA306=1)),SUM($EB306:$EE306)&gt;=2),"Technology approach","")</f>
        <v/>
      </c>
      <c r="EN306"/>
      <c r="EO306"/>
      <c r="EP306" t="str">
        <f>IF(ISNUMBER(BU306),IF(ABS(BU306-[1]QC_indicators!$B$2)&gt;3*[1]QC_indicators!$C$2,"C ratio",IF(ISNUMBER(BY306),IF(ABS(BY306-[1]QC_indicators!$B$1)&gt;3*[1]QC_indicators!$C$1,"DF","no"))),IF(ISNUMBER(BY306),IF(ABS(BY306-[1]QC_indicators!$B$1)&gt;3*[1]QC_indicators!$C$1,"DF","no")))</f>
        <v>no</v>
      </c>
      <c r="EQ306"/>
      <c r="ER306"/>
      <c r="ES306"/>
      <c r="ET306" s="266" t="s">
        <v>3409</v>
      </c>
      <c r="EU306"/>
    </row>
    <row r="307" spans="1:151" s="139" customFormat="1" ht="15" customHeight="1">
      <c r="A307" s="1" t="s">
        <v>1362</v>
      </c>
      <c r="B307" t="s">
        <v>2137</v>
      </c>
      <c r="C307" t="s">
        <v>2138</v>
      </c>
      <c r="D307" t="s">
        <v>2139</v>
      </c>
      <c r="E307" t="s">
        <v>2140</v>
      </c>
      <c r="F307" t="s">
        <v>2141</v>
      </c>
      <c r="G307" t="s">
        <v>1368</v>
      </c>
      <c r="H307" t="s">
        <v>255</v>
      </c>
      <c r="I307">
        <v>2012</v>
      </c>
      <c r="J307">
        <v>21</v>
      </c>
      <c r="K307" t="s">
        <v>2142</v>
      </c>
      <c r="L307" s="192"/>
      <c r="M307" t="str">
        <f>LEFT($D307,FIND(",",$D307)-1)&amp;"_"&amp;I307&amp;L307</f>
        <v>Pyorala_2012</v>
      </c>
      <c r="N307" t="s">
        <v>223</v>
      </c>
      <c r="O307" s="145" t="s">
        <v>342</v>
      </c>
      <c r="P307" s="180" t="s">
        <v>224</v>
      </c>
      <c r="Q307" s="266" t="s">
        <v>257</v>
      </c>
      <c r="R307" s="271" t="s">
        <v>1156</v>
      </c>
      <c r="S307" s="265" t="s">
        <v>2155</v>
      </c>
      <c r="T307" s="266" t="s">
        <v>2145</v>
      </c>
      <c r="U307" s="266" t="s">
        <v>2154</v>
      </c>
      <c r="V307">
        <v>0</v>
      </c>
      <c r="W307">
        <v>0</v>
      </c>
      <c r="X307">
        <v>0</v>
      </c>
      <c r="Y307">
        <v>0</v>
      </c>
      <c r="Z307">
        <v>0</v>
      </c>
      <c r="AA307">
        <v>0</v>
      </c>
      <c r="AB307">
        <v>1</v>
      </c>
      <c r="AC307">
        <v>0</v>
      </c>
      <c r="AD307">
        <v>0</v>
      </c>
      <c r="AE307">
        <v>0</v>
      </c>
      <c r="AF307">
        <v>0</v>
      </c>
      <c r="AG307">
        <v>0</v>
      </c>
      <c r="AH307">
        <v>0</v>
      </c>
      <c r="AI307">
        <v>0</v>
      </c>
      <c r="AJ307">
        <v>0</v>
      </c>
      <c r="AK307">
        <v>0</v>
      </c>
      <c r="AL307">
        <v>0</v>
      </c>
      <c r="AM307">
        <v>0</v>
      </c>
      <c r="AN307">
        <v>0</v>
      </c>
      <c r="AO307">
        <v>0</v>
      </c>
      <c r="AP307">
        <v>0</v>
      </c>
      <c r="AQ307">
        <v>0</v>
      </c>
      <c r="AR307">
        <v>0</v>
      </c>
      <c r="AS307">
        <v>0</v>
      </c>
      <c r="AT307">
        <v>0</v>
      </c>
      <c r="AU307">
        <v>0</v>
      </c>
      <c r="AV307">
        <v>0</v>
      </c>
      <c r="AW307">
        <v>0</v>
      </c>
      <c r="AX307" s="141">
        <f>COUNTIF(V307:AW307,"&lt;&gt;0")</f>
        <v>1</v>
      </c>
      <c r="AY307" s="141">
        <f>COUNTIF(V307:AL307,"&lt;&gt;0")</f>
        <v>1</v>
      </c>
      <c r="AZ307">
        <f>COUNTIF(V307:AC307,"&lt;&gt;0")</f>
        <v>1</v>
      </c>
      <c r="BA307">
        <f>COUNTIF(AD307:AI307,"&lt;&gt;0")</f>
        <v>0</v>
      </c>
      <c r="BB307">
        <f>COUNTIF(AJ307:AL307,"&lt;&gt;0")</f>
        <v>0</v>
      </c>
      <c r="BC307">
        <f>COUNTIF(AS307:AW307,"&lt;&gt;0")</f>
        <v>0</v>
      </c>
      <c r="BD307">
        <f>COUNTIF(AM307:AR307,"&lt;&gt;0")</f>
        <v>0</v>
      </c>
      <c r="BE307" t="str" cm="1">
        <f t="array" ref="BE307">IF(AY307=1,INDEX($V$7:$AL$7,MATCH(TRUE,INDEX($V307:$AW307&lt;&gt;0,),0)),IF(AY307=0,INDEX($AM$7:$AW$7,MATCH(1,$AM307:$AW307,0)),IF(BF307="Multiple strategies","mixed drivers",IF(BF307="Supply chain","multiple supply","multiple silviculture"))))</f>
        <v>fertilisation</v>
      </c>
      <c r="BF307" s="2" t="str" cm="1">
        <f t="array" ref="BF307">IF(COUNTIF(AZ307:BB307,"&lt;&gt;0")=1,INDEX($V$4:$AW$4,MATCH(TRUE,INDEX($V307:$AW307&lt;&gt;0,),0)),IF(COUNTIF(AZ307:BB307,"&lt;&gt;0")=0,INDEX($AM$4:$AW$4,MATCH(1,$AM307:$AW307,0)),"Multiple strategies"))</f>
        <v>SilvicultureProd</v>
      </c>
      <c r="BG307" s="178" t="s">
        <v>322</v>
      </c>
      <c r="BH307" s="266" t="s">
        <v>2146</v>
      </c>
      <c r="BI307" s="266" t="s">
        <v>703</v>
      </c>
      <c r="BJ307" s="160" t="s">
        <v>702</v>
      </c>
      <c r="BK307">
        <v>7.6</v>
      </c>
      <c r="BL307">
        <v>7.9</v>
      </c>
      <c r="BM307"/>
      <c r="BN307">
        <f>BL307-BK307</f>
        <v>0.30000000000000071</v>
      </c>
      <c r="BO307">
        <f>BN307</f>
        <v>0.30000000000000071</v>
      </c>
      <c r="BP307" s="155" t="s">
        <v>233</v>
      </c>
      <c r="BQ307" s="266" t="s">
        <v>788</v>
      </c>
      <c r="BR307" s="272" t="s">
        <v>2147</v>
      </c>
      <c r="BS307" s="266">
        <f>147.4/50</f>
        <v>2.948</v>
      </c>
      <c r="BT307" s="266">
        <f>151.9/50</f>
        <v>3.0380000000000003</v>
      </c>
      <c r="BU307" s="144"/>
      <c r="BV307">
        <f>BT307-BS307</f>
        <v>9.0000000000000302E-2</v>
      </c>
      <c r="BW307"/>
      <c r="BX307">
        <f>BV307</f>
        <v>9.0000000000000302E-2</v>
      </c>
      <c r="BY307">
        <f>IFERROR(BX307/BO307,"")</f>
        <v>0.30000000000000032</v>
      </c>
      <c r="BZ307">
        <v>0</v>
      </c>
      <c r="CA307">
        <v>0</v>
      </c>
      <c r="CB307">
        <v>0</v>
      </c>
      <c r="CC307">
        <v>0</v>
      </c>
      <c r="CD307">
        <v>0</v>
      </c>
      <c r="CE307">
        <v>0</v>
      </c>
      <c r="CF307">
        <v>0</v>
      </c>
      <c r="CG307">
        <v>0</v>
      </c>
      <c r="CH307">
        <v>0</v>
      </c>
      <c r="CI307">
        <v>0</v>
      </c>
      <c r="CJ307">
        <v>0</v>
      </c>
      <c r="CK307">
        <v>0</v>
      </c>
      <c r="CL307">
        <v>0</v>
      </c>
      <c r="CM307">
        <v>0</v>
      </c>
      <c r="CN307" t="str">
        <f>IF($BL307&lt;$BK307,"refNeedCorrection","refOK")</f>
        <v>refOK</v>
      </c>
      <c r="CO307">
        <f>IF($CN307="refOK",$BK307,$BL307)</f>
        <v>7.6</v>
      </c>
      <c r="CP307">
        <f>IF($CN307="refOK",$BL307,$BK307)</f>
        <v>7.9</v>
      </c>
      <c r="CQ307">
        <f>IF($CN307="refOK",$BO307,-$BO307)</f>
        <v>0.30000000000000071</v>
      </c>
      <c r="CR307">
        <f>IF($CN307="refOK",$BS307,$BT307)*IF($BP307="Emissions positive",-1,1)</f>
        <v>2.948</v>
      </c>
      <c r="CS307">
        <f>IF($CN307="refOK",$BT307,$BS307)*IF($BP307="Emissions positive",-1,1)</f>
        <v>3.0380000000000003</v>
      </c>
      <c r="CT307">
        <f>IF($CN307="refNeedCorrection",-BX307,BX307)*IF($BP307="Emissions positive",-1,1)</f>
        <v>9.0000000000000302E-2</v>
      </c>
      <c r="CU307">
        <f>IFERROR(CT307/CQ307,"")</f>
        <v>0.30000000000000032</v>
      </c>
      <c r="CV307" s="2">
        <f>IFERROR((CS307-CR307)/ABS(CR307),"")</f>
        <v>3.05291723202172E-2</v>
      </c>
      <c r="CW307" s="1" t="s">
        <v>1201</v>
      </c>
      <c r="CX307" s="266" t="str">
        <f>IF(OR($CW307="prd",$CW307="std",$CW307="cit"),"loc",IF(OR($CW307="eur",$CW307="reg",$CW307="coy"),"reg",$CW307))</f>
        <v>reg</v>
      </c>
      <c r="CY307" t="s">
        <v>236</v>
      </c>
      <c r="CZ307"/>
      <c r="DA307"/>
      <c r="DB307">
        <v>50</v>
      </c>
      <c r="DC307" t="str">
        <f>IF(DB307=0,"0",IF(AND(DB307&gt;=1,DB307&lt;=30),"1-30",IF(AND(DB307&gt;30,DB307&lt;=70),"31-70",IF(AND(DB307&gt;70,DB307&lt;=100),"71-100",IF(DB307&gt;100,"+100")))))</f>
        <v>31-70</v>
      </c>
      <c r="DD307">
        <v>0</v>
      </c>
      <c r="DE307">
        <v>1</v>
      </c>
      <c r="DF307">
        <v>1</v>
      </c>
      <c r="DG307">
        <v>1</v>
      </c>
      <c r="DH307"/>
      <c r="DI307">
        <f>SUM(DD307:DG307)</f>
        <v>3</v>
      </c>
      <c r="DJ307" t="str">
        <f>IF(DI307=1,INDEX($DD$7:$DG$7,MATCH(1,$DD307:$DG307,0)),"mixedProduct")</f>
        <v>mixedProduct</v>
      </c>
      <c r="DK307">
        <f>IF(DD307=1,DK$7,0)</f>
        <v>0</v>
      </c>
      <c r="DL307" t="str">
        <f>IF(DE307=1,DL$7,0)</f>
        <v>Energy</v>
      </c>
      <c r="DM307" t="str">
        <f>IF(DF307=1,DM$7,0)</f>
        <v>Pulp/Paper</v>
      </c>
      <c r="DN307" t="str">
        <f>IF(DG307=1,DN$7,0)</f>
        <v>Timber</v>
      </c>
      <c r="DO307">
        <v>0</v>
      </c>
      <c r="DP307">
        <v>1</v>
      </c>
      <c r="DQ307" t="s">
        <v>2148</v>
      </c>
      <c r="DR307">
        <v>0</v>
      </c>
      <c r="DS307">
        <v>0</v>
      </c>
      <c r="DT307">
        <f>SUM(DO307:DP307)</f>
        <v>1</v>
      </c>
      <c r="DU307" s="143" t="str">
        <f>IF(DO307=1,"self-calculated DF",IF(DP307=1,"external DF used","explicit C balance"))</f>
        <v>external DF used</v>
      </c>
      <c r="DV307">
        <v>1</v>
      </c>
      <c r="DW307">
        <v>1</v>
      </c>
      <c r="DX307">
        <v>1</v>
      </c>
      <c r="DY307">
        <v>0</v>
      </c>
      <c r="DZ307">
        <v>0</v>
      </c>
      <c r="EA307" s="143">
        <v>0</v>
      </c>
      <c r="EB307">
        <v>0</v>
      </c>
      <c r="EC307">
        <v>0</v>
      </c>
      <c r="ED307">
        <v>0</v>
      </c>
      <c r="EE307">
        <v>0</v>
      </c>
      <c r="EF307">
        <v>1</v>
      </c>
      <c r="EG307">
        <v>0</v>
      </c>
      <c r="EH307">
        <v>0</v>
      </c>
      <c r="EI307" s="2">
        <v>0</v>
      </c>
      <c r="EJ307" s="1"/>
      <c r="EK307" t="str">
        <f>IF(AND(AND(AND(OR($DX307=1,$DW307=1),OR($EC307=1,$EA307=1)),SUM($DV307:$DZ307,$EF307)&gt;=4),SUM($EA307:$EE307)&gt;=2),"Whole sector","")</f>
        <v/>
      </c>
      <c r="EL307" t="str">
        <f>IF(AND(AND(OR($DX307=1,$DW307=1),AND($EC307=0,$EA307=0)),SUM($DV307:$DZ307,$EF307)&gt;=4),"Ecosystem approach","")</f>
        <v>Ecosystem approach</v>
      </c>
      <c r="EM307" s="2" t="str">
        <f>IF(AND(AND(AND($DX307=0,$DW307=0),OR($EC307=1,$EA307=1)),SUM($EB307:$EE307)&gt;=2),"Technology approach","")</f>
        <v/>
      </c>
      <c r="EN307"/>
      <c r="EO307"/>
      <c r="EP307" t="str">
        <f>IF(ISNUMBER(BU307),IF(ABS(BU307-[1]QC_indicators!$B$2)&gt;3*[1]QC_indicators!$C$2,"C ratio",IF(ISNUMBER(BY307),IF(ABS(BY307-[1]QC_indicators!$B$1)&gt;3*[1]QC_indicators!$C$1,"DF","no"))),IF(ISNUMBER(BY307),IF(ABS(BY307-[1]QC_indicators!$B$1)&gt;3*[1]QC_indicators!$C$1,"DF","no")))</f>
        <v>no</v>
      </c>
      <c r="EQ307"/>
      <c r="ER307"/>
      <c r="ES307"/>
      <c r="ET307" s="266" t="s">
        <v>3409</v>
      </c>
      <c r="EU307"/>
    </row>
    <row r="308" spans="1:151" s="139" customFormat="1" ht="15" hidden="1" customHeight="1">
      <c r="A308" s="1" t="s">
        <v>1362</v>
      </c>
      <c r="B308" t="s">
        <v>2137</v>
      </c>
      <c r="C308" t="s">
        <v>2138</v>
      </c>
      <c r="D308" t="s">
        <v>2139</v>
      </c>
      <c r="E308" t="s">
        <v>2140</v>
      </c>
      <c r="F308" t="s">
        <v>2141</v>
      </c>
      <c r="G308" t="s">
        <v>1368</v>
      </c>
      <c r="H308" t="s">
        <v>255</v>
      </c>
      <c r="I308">
        <v>2012</v>
      </c>
      <c r="J308">
        <v>21</v>
      </c>
      <c r="K308" t="s">
        <v>2142</v>
      </c>
      <c r="L308" s="192"/>
      <c r="M308" t="str">
        <f>LEFT($D308,FIND(",",$D308)-1)&amp;"_"&amp;I308&amp;L308</f>
        <v>Pyorala_2012</v>
      </c>
      <c r="N308" t="s">
        <v>223</v>
      </c>
      <c r="O308" s="145" t="s">
        <v>342</v>
      </c>
      <c r="P308" s="193" t="s">
        <v>224</v>
      </c>
      <c r="Q308" s="266" t="s">
        <v>2164</v>
      </c>
      <c r="R308" s="271" t="s">
        <v>1156</v>
      </c>
      <c r="S308" s="265" t="s">
        <v>2158</v>
      </c>
      <c r="T308" s="266" t="s">
        <v>2159</v>
      </c>
      <c r="U308" s="266" t="s">
        <v>2160</v>
      </c>
      <c r="V308">
        <v>0</v>
      </c>
      <c r="W308">
        <v>0</v>
      </c>
      <c r="X308">
        <v>0</v>
      </c>
      <c r="Y308">
        <v>0</v>
      </c>
      <c r="Z308">
        <v>0</v>
      </c>
      <c r="AA308">
        <v>0</v>
      </c>
      <c r="AB308">
        <v>0</v>
      </c>
      <c r="AC308">
        <v>1</v>
      </c>
      <c r="AD308">
        <v>0</v>
      </c>
      <c r="AE308">
        <v>0</v>
      </c>
      <c r="AF308">
        <v>0</v>
      </c>
      <c r="AG308">
        <v>0</v>
      </c>
      <c r="AH308">
        <v>0</v>
      </c>
      <c r="AI308">
        <v>0</v>
      </c>
      <c r="AJ308">
        <v>0</v>
      </c>
      <c r="AK308">
        <v>0</v>
      </c>
      <c r="AL308">
        <v>0</v>
      </c>
      <c r="AM308">
        <v>0</v>
      </c>
      <c r="AN308">
        <v>0</v>
      </c>
      <c r="AO308">
        <v>0</v>
      </c>
      <c r="AP308">
        <v>0</v>
      </c>
      <c r="AQ308">
        <v>0</v>
      </c>
      <c r="AR308">
        <v>0</v>
      </c>
      <c r="AS308">
        <v>0</v>
      </c>
      <c r="AT308">
        <v>0</v>
      </c>
      <c r="AU308">
        <v>0</v>
      </c>
      <c r="AV308">
        <v>0</v>
      </c>
      <c r="AW308">
        <v>0</v>
      </c>
      <c r="AX308" s="141">
        <f>COUNTIF(V308:AW308,"&lt;&gt;0")</f>
        <v>1</v>
      </c>
      <c r="AY308" s="141">
        <f>COUNTIF(V308:AL308,"&lt;&gt;0")</f>
        <v>1</v>
      </c>
      <c r="AZ308">
        <f>COUNTIF(V308:AC308,"&lt;&gt;0")</f>
        <v>1</v>
      </c>
      <c r="BA308">
        <f>COUNTIF(AD308:AI308,"&lt;&gt;0")</f>
        <v>0</v>
      </c>
      <c r="BB308">
        <f>COUNTIF(AJ308:AL308,"&lt;&gt;0")</f>
        <v>0</v>
      </c>
      <c r="BC308">
        <f>COUNTIF(AS308:AW308,"&lt;&gt;0")</f>
        <v>0</v>
      </c>
      <c r="BD308">
        <f>COUNTIF(AM308:AR308,"&lt;&gt;0")</f>
        <v>0</v>
      </c>
      <c r="BE308" t="str" cm="1">
        <f t="array" ref="BE308">IF(AY308=1,INDEX($V$7:$AL$7,MATCH(TRUE,INDEX($V308:$AW308&lt;&gt;0,),0)),IF(AY308=0,INDEX($AM$7:$AW$7,MATCH(1,$AM308:$AW308,0)),IF(BF308="Multiple strategies","mixed drivers",IF(BF308="Supply chain","multiple supply","multiple silviculture"))))</f>
        <v>site fertility</v>
      </c>
      <c r="BF308" s="2" t="str" cm="1">
        <f t="array" ref="BF308">IF(COUNTIF(AZ308:BB308,"&lt;&gt;0")=1,INDEX($V$4:$AW$4,MATCH(TRUE,INDEX($V308:$AW308&lt;&gt;0,),0)),IF(COUNTIF(AZ308:BB308,"&lt;&gt;0")=0,INDEX($AM$4:$AW$4,MATCH(1,$AM308:$AW308,0)),"Multiple strategies"))</f>
        <v>SilvicultureProd</v>
      </c>
      <c r="BG308" s="194" t="s">
        <v>322</v>
      </c>
      <c r="BH308" s="266" t="s">
        <v>2146</v>
      </c>
      <c r="BI308" s="266" t="s">
        <v>2161</v>
      </c>
      <c r="BJ308" s="195" t="s">
        <v>702</v>
      </c>
      <c r="BK308">
        <v>7.4</v>
      </c>
      <c r="BL308">
        <v>8.8000000000000007</v>
      </c>
      <c r="BM308"/>
      <c r="BN308">
        <f>BL308-BK308</f>
        <v>1.4000000000000004</v>
      </c>
      <c r="BO308">
        <f>BN308</f>
        <v>1.4000000000000004</v>
      </c>
      <c r="BP308" s="149" t="s">
        <v>396</v>
      </c>
      <c r="BQ308" s="266" t="s">
        <v>788</v>
      </c>
      <c r="BR308" s="296" t="s">
        <v>2147</v>
      </c>
      <c r="BS308">
        <f>-4/80</f>
        <v>-0.05</v>
      </c>
      <c r="BT308">
        <f>-5.2/80</f>
        <v>-6.5000000000000002E-2</v>
      </c>
      <c r="BU308" s="144"/>
      <c r="BV308">
        <f>BT308-BS308</f>
        <v>-1.4999999999999999E-2</v>
      </c>
      <c r="BW308"/>
      <c r="BX308">
        <f>BV308</f>
        <v>-1.4999999999999999E-2</v>
      </c>
      <c r="BY308">
        <f>IFERROR(BX308/BO308,"")</f>
        <v>-1.0714285714285711E-2</v>
      </c>
      <c r="BZ308">
        <v>0</v>
      </c>
      <c r="CA308">
        <v>0</v>
      </c>
      <c r="CB308">
        <v>0</v>
      </c>
      <c r="CC308">
        <v>0</v>
      </c>
      <c r="CD308">
        <v>0</v>
      </c>
      <c r="CE308">
        <v>0</v>
      </c>
      <c r="CF308">
        <v>0</v>
      </c>
      <c r="CG308">
        <v>0</v>
      </c>
      <c r="CH308">
        <v>0</v>
      </c>
      <c r="CI308">
        <v>0</v>
      </c>
      <c r="CJ308">
        <v>0</v>
      </c>
      <c r="CK308">
        <v>0</v>
      </c>
      <c r="CL308">
        <v>0</v>
      </c>
      <c r="CM308">
        <v>0</v>
      </c>
      <c r="CN308" t="str">
        <f>IF($BL308&lt;$BK308,"refNeedCorrection","refOK")</f>
        <v>refOK</v>
      </c>
      <c r="CO308">
        <f>IF($CN308="refOK",$BK308,$BL308)</f>
        <v>7.4</v>
      </c>
      <c r="CP308">
        <f>IF($CN308="refOK",$BL308,$BK308)</f>
        <v>8.8000000000000007</v>
      </c>
      <c r="CQ308">
        <f>IF($CN308="refOK",$BO308,-$BO308)</f>
        <v>1.4000000000000004</v>
      </c>
      <c r="CR308">
        <f>IF($CN308="refOK",$BS308,$BT308)*IF($BP308="Emissions positive",-1,1)</f>
        <v>0.05</v>
      </c>
      <c r="CS308">
        <f>IF($CN308="refOK",$BT308,$BS308)*IF($BP308="Emissions positive",-1,1)</f>
        <v>6.5000000000000002E-2</v>
      </c>
      <c r="CT308">
        <f>IF($CN308="refNeedCorrection",-BX308,BX308)*IF($BP308="Emissions positive",-1,1)</f>
        <v>1.4999999999999999E-2</v>
      </c>
      <c r="CU308">
        <f>IFERROR(CT308/CQ308,"")</f>
        <v>1.0714285714285711E-2</v>
      </c>
      <c r="CV308" s="2">
        <f>IFERROR((CS308-CR308)/ABS(CR308),"")</f>
        <v>0.3</v>
      </c>
      <c r="CW308" s="1" t="s">
        <v>1201</v>
      </c>
      <c r="CX308" s="266" t="str">
        <f>IF(OR($CW308="prd",$CW308="std",$CW308="cit"),"loc",IF(OR($CW308="eur",$CW308="reg",$CW308="coy"),"reg",$CW308))</f>
        <v>reg</v>
      </c>
      <c r="CY308" t="s">
        <v>236</v>
      </c>
      <c r="CZ308"/>
      <c r="DA308"/>
      <c r="DB308">
        <v>80</v>
      </c>
      <c r="DC308" t="str">
        <f>IF(DB308=0,"0",IF(AND(DB308&gt;=1,DB308&lt;=30),"1-30",IF(AND(DB308&gt;30,DB308&lt;=70),"31-70",IF(AND(DB308&gt;70,DB308&lt;=100),"71-100",IF(DB308&gt;100,"+100")))))</f>
        <v>71-100</v>
      </c>
      <c r="DD308">
        <v>0</v>
      </c>
      <c r="DE308">
        <v>1</v>
      </c>
      <c r="DF308">
        <v>1</v>
      </c>
      <c r="DG308">
        <v>1</v>
      </c>
      <c r="DH308"/>
      <c r="DI308">
        <f>SUM(DD308:DG308)</f>
        <v>3</v>
      </c>
      <c r="DJ308" t="str">
        <f>IF(DI308=1,INDEX($DD$7:$DG$7,MATCH(1,$DD308:$DG308,0)),"mixedProduct")</f>
        <v>mixedProduct</v>
      </c>
      <c r="DK308">
        <f>IF(DD308=1,DK$7,0)</f>
        <v>0</v>
      </c>
      <c r="DL308" t="str">
        <f>IF(DE308=1,DL$7,0)</f>
        <v>Energy</v>
      </c>
      <c r="DM308" t="str">
        <f>IF(DF308=1,DM$7,0)</f>
        <v>Pulp/Paper</v>
      </c>
      <c r="DN308" t="str">
        <f>IF(DG308=1,DN$7,0)</f>
        <v>Timber</v>
      </c>
      <c r="DO308">
        <v>0</v>
      </c>
      <c r="DP308">
        <v>1</v>
      </c>
      <c r="DQ308" t="s">
        <v>2148</v>
      </c>
      <c r="DR308">
        <v>0</v>
      </c>
      <c r="DS308">
        <v>0</v>
      </c>
      <c r="DT308">
        <f>SUM(DO308:DP308)</f>
        <v>1</v>
      </c>
      <c r="DU308" s="143" t="str">
        <f>IF(DO308=1,"self-calculated DF",IF(DP308=1,"external DF used","explicit C balance"))</f>
        <v>external DF used</v>
      </c>
      <c r="DV308">
        <v>1</v>
      </c>
      <c r="DW308">
        <v>1</v>
      </c>
      <c r="DX308">
        <v>1</v>
      </c>
      <c r="DY308">
        <v>0</v>
      </c>
      <c r="DZ308">
        <v>0</v>
      </c>
      <c r="EA308" s="143">
        <v>0</v>
      </c>
      <c r="EB308">
        <v>1</v>
      </c>
      <c r="EC308">
        <v>1</v>
      </c>
      <c r="ED308">
        <v>0</v>
      </c>
      <c r="EE308">
        <v>0</v>
      </c>
      <c r="EF308">
        <v>1</v>
      </c>
      <c r="EG308">
        <v>0</v>
      </c>
      <c r="EH308">
        <v>0</v>
      </c>
      <c r="EI308" s="2">
        <v>0</v>
      </c>
      <c r="EJ308" s="1"/>
      <c r="EK308" t="str">
        <f>IF(AND(AND(AND(OR($DX308=1,$DW308=1),OR($EC308=1,$EA308=1)),SUM($DV308:$DZ308,$EF308)&gt;=4),SUM($EA308:$EE308)&gt;=2),"Whole sector","")</f>
        <v>Whole sector</v>
      </c>
      <c r="EL308" t="str">
        <f>IF(AND(AND(OR($DX308=1,$DW308=1),AND($EC308=0,$EA308=0)),SUM($DV308:$DZ308,$EF308)&gt;=4),"Ecosystem approach","")</f>
        <v/>
      </c>
      <c r="EM308" s="2" t="str">
        <f>IF(AND(AND(AND($DX308=0,$DW308=0),OR($EC308=1,$EA308=1)),SUM($EB308:$EE308)&gt;=2),"Technology approach","")</f>
        <v/>
      </c>
      <c r="EN308"/>
      <c r="EO308"/>
      <c r="EP308" t="str">
        <f>IF(ISNUMBER(BU308),IF(ABS(BU308-[1]QC_indicators!$B$2)&gt;3*[1]QC_indicators!$C$2,"C ratio",IF(ISNUMBER(BY308),IF(ABS(BY308-[1]QC_indicators!$B$1)&gt;3*[1]QC_indicators!$C$1,"DF","no"))),IF(ISNUMBER(BY308),IF(ABS(BY308-[1]QC_indicators!$B$1)&gt;3*[1]QC_indicators!$C$1,"DF","no")))</f>
        <v>no</v>
      </c>
      <c r="EQ308"/>
      <c r="ER308"/>
      <c r="ES308"/>
      <c r="ET308" s="266" t="s">
        <v>3409</v>
      </c>
      <c r="EU308"/>
    </row>
    <row r="309" spans="1:151" s="139" customFormat="1" ht="15" hidden="1" customHeight="1">
      <c r="A309" s="1" t="s">
        <v>1362</v>
      </c>
      <c r="B309" t="s">
        <v>2137</v>
      </c>
      <c r="C309" t="s">
        <v>2138</v>
      </c>
      <c r="D309" t="s">
        <v>2139</v>
      </c>
      <c r="E309" t="s">
        <v>2140</v>
      </c>
      <c r="F309" t="s">
        <v>2141</v>
      </c>
      <c r="G309" t="s">
        <v>1368</v>
      </c>
      <c r="H309" t="s">
        <v>255</v>
      </c>
      <c r="I309">
        <v>2012</v>
      </c>
      <c r="J309">
        <v>21</v>
      </c>
      <c r="K309" t="s">
        <v>2142</v>
      </c>
      <c r="L309" s="192"/>
      <c r="M309" t="str">
        <f>LEFT($D309,FIND(",",$D309)-1)&amp;"_"&amp;I309&amp;L309</f>
        <v>Pyorala_2012</v>
      </c>
      <c r="N309" t="s">
        <v>223</v>
      </c>
      <c r="O309" s="145" t="s">
        <v>342</v>
      </c>
      <c r="P309" s="193" t="s">
        <v>224</v>
      </c>
      <c r="Q309" s="266" t="s">
        <v>225</v>
      </c>
      <c r="R309" s="271" t="s">
        <v>1156</v>
      </c>
      <c r="S309" s="265" t="s">
        <v>2165</v>
      </c>
      <c r="T309" s="266" t="s">
        <v>2159</v>
      </c>
      <c r="U309" s="266" t="s">
        <v>2160</v>
      </c>
      <c r="V309">
        <v>0</v>
      </c>
      <c r="W309">
        <v>0</v>
      </c>
      <c r="X309">
        <v>0</v>
      </c>
      <c r="Y309">
        <v>0</v>
      </c>
      <c r="Z309">
        <v>0</v>
      </c>
      <c r="AA309">
        <v>0</v>
      </c>
      <c r="AB309">
        <v>0</v>
      </c>
      <c r="AC309">
        <v>1</v>
      </c>
      <c r="AD309">
        <v>0</v>
      </c>
      <c r="AE309">
        <v>0</v>
      </c>
      <c r="AF309">
        <v>0</v>
      </c>
      <c r="AG309">
        <v>0</v>
      </c>
      <c r="AH309">
        <v>0</v>
      </c>
      <c r="AI309">
        <v>0</v>
      </c>
      <c r="AJ309">
        <v>0</v>
      </c>
      <c r="AK309">
        <v>0</v>
      </c>
      <c r="AL309">
        <v>0</v>
      </c>
      <c r="AM309">
        <v>0</v>
      </c>
      <c r="AN309">
        <v>0</v>
      </c>
      <c r="AO309">
        <v>0</v>
      </c>
      <c r="AP309">
        <v>0</v>
      </c>
      <c r="AQ309">
        <v>0</v>
      </c>
      <c r="AR309">
        <v>0</v>
      </c>
      <c r="AS309">
        <v>0</v>
      </c>
      <c r="AT309">
        <v>0</v>
      </c>
      <c r="AU309">
        <v>0</v>
      </c>
      <c r="AV309">
        <v>0</v>
      </c>
      <c r="AW309">
        <v>0</v>
      </c>
      <c r="AX309" s="141">
        <f>COUNTIF(V309:AW309,"&lt;&gt;0")</f>
        <v>1</v>
      </c>
      <c r="AY309" s="141">
        <f>COUNTIF(V309:AL309,"&lt;&gt;0")</f>
        <v>1</v>
      </c>
      <c r="AZ309">
        <f>COUNTIF(V309:AC309,"&lt;&gt;0")</f>
        <v>1</v>
      </c>
      <c r="BA309">
        <f>COUNTIF(AD309:AI309,"&lt;&gt;0")</f>
        <v>0</v>
      </c>
      <c r="BB309">
        <f>COUNTIF(AJ309:AL309,"&lt;&gt;0")</f>
        <v>0</v>
      </c>
      <c r="BC309">
        <f>COUNTIF(AS309:AW309,"&lt;&gt;0")</f>
        <v>0</v>
      </c>
      <c r="BD309">
        <f>COUNTIF(AM309:AR309,"&lt;&gt;0")</f>
        <v>0</v>
      </c>
      <c r="BE309" t="str" cm="1">
        <f t="array" ref="BE309">IF(AY309=1,INDEX($V$7:$AL$7,MATCH(TRUE,INDEX($V309:$AW309&lt;&gt;0,),0)),IF(AY309=0,INDEX($AM$7:$AW$7,MATCH(1,$AM309:$AW309,0)),IF(BF309="Multiple strategies","mixed drivers",IF(BF309="Supply chain","multiple supply","multiple silviculture"))))</f>
        <v>site fertility</v>
      </c>
      <c r="BF309" s="2" t="str" cm="1">
        <f t="array" ref="BF309">IF(COUNTIF(AZ309:BB309,"&lt;&gt;0")=1,INDEX($V$4:$AW$4,MATCH(TRUE,INDEX($V309:$AW309&lt;&gt;0,),0)),IF(COUNTIF(AZ309:BB309,"&lt;&gt;0")=0,INDEX($AM$4:$AW$4,MATCH(1,$AM309:$AW309,0)),"Multiple strategies"))</f>
        <v>SilvicultureProd</v>
      </c>
      <c r="BG309" s="194" t="s">
        <v>322</v>
      </c>
      <c r="BH309" s="266" t="s">
        <v>2146</v>
      </c>
      <c r="BI309" s="266" t="s">
        <v>2161</v>
      </c>
      <c r="BJ309" s="195" t="s">
        <v>702</v>
      </c>
      <c r="BK309">
        <v>6.5</v>
      </c>
      <c r="BL309">
        <v>8.4</v>
      </c>
      <c r="BM309"/>
      <c r="BN309">
        <f>BL309-BK309</f>
        <v>1.9000000000000004</v>
      </c>
      <c r="BO309">
        <f>BN309</f>
        <v>1.9000000000000004</v>
      </c>
      <c r="BP309" s="149" t="s">
        <v>396</v>
      </c>
      <c r="BQ309" s="266" t="s">
        <v>788</v>
      </c>
      <c r="BR309" s="296" t="s">
        <v>2147</v>
      </c>
      <c r="BS309">
        <f>-2.6/80</f>
        <v>-3.2500000000000001E-2</v>
      </c>
      <c r="BT309">
        <f>-3.8/80</f>
        <v>-4.7500000000000001E-2</v>
      </c>
      <c r="BU309" s="144"/>
      <c r="BV309">
        <f>BT309-BS309</f>
        <v>-1.4999999999999999E-2</v>
      </c>
      <c r="BW309"/>
      <c r="BX309">
        <f>BV309</f>
        <v>-1.4999999999999999E-2</v>
      </c>
      <c r="BY309">
        <f>IFERROR(BX309/BO309,"")</f>
        <v>-7.8947368421052617E-3</v>
      </c>
      <c r="BZ309">
        <v>0</v>
      </c>
      <c r="CA309">
        <v>0</v>
      </c>
      <c r="CB309">
        <v>0</v>
      </c>
      <c r="CC309">
        <v>0</v>
      </c>
      <c r="CD309">
        <v>0</v>
      </c>
      <c r="CE309">
        <v>0</v>
      </c>
      <c r="CF309">
        <v>0</v>
      </c>
      <c r="CG309">
        <v>0</v>
      </c>
      <c r="CH309">
        <v>0</v>
      </c>
      <c r="CI309">
        <v>0</v>
      </c>
      <c r="CJ309">
        <v>0</v>
      </c>
      <c r="CK309">
        <v>0</v>
      </c>
      <c r="CL309">
        <v>0</v>
      </c>
      <c r="CM309">
        <v>0</v>
      </c>
      <c r="CN309" t="str">
        <f>IF($BL309&lt;$BK309,"refNeedCorrection","refOK")</f>
        <v>refOK</v>
      </c>
      <c r="CO309">
        <f>IF($CN309="refOK",$BK309,$BL309)</f>
        <v>6.5</v>
      </c>
      <c r="CP309">
        <f>IF($CN309="refOK",$BL309,$BK309)</f>
        <v>8.4</v>
      </c>
      <c r="CQ309">
        <f>IF($CN309="refOK",$BO309,-$BO309)</f>
        <v>1.9000000000000004</v>
      </c>
      <c r="CR309">
        <f>IF($CN309="refOK",$BS309,$BT309)*IF($BP309="Emissions positive",-1,1)</f>
        <v>3.2500000000000001E-2</v>
      </c>
      <c r="CS309">
        <f>IF($CN309="refOK",$BT309,$BS309)*IF($BP309="Emissions positive",-1,1)</f>
        <v>4.7500000000000001E-2</v>
      </c>
      <c r="CT309">
        <f>IF($CN309="refNeedCorrection",-BX309,BX309)*IF($BP309="Emissions positive",-1,1)</f>
        <v>1.4999999999999999E-2</v>
      </c>
      <c r="CU309">
        <f>IFERROR(CT309/CQ309,"")</f>
        <v>7.8947368421052617E-3</v>
      </c>
      <c r="CV309" s="2">
        <f>IFERROR((CS309-CR309)/ABS(CR309),"")</f>
        <v>0.46153846153846151</v>
      </c>
      <c r="CW309" s="1" t="s">
        <v>1201</v>
      </c>
      <c r="CX309" s="266" t="str">
        <f>IF(OR($CW309="prd",$CW309="std",$CW309="cit"),"loc",IF(OR($CW309="eur",$CW309="reg",$CW309="coy"),"reg",$CW309))</f>
        <v>reg</v>
      </c>
      <c r="CY309" t="s">
        <v>236</v>
      </c>
      <c r="CZ309"/>
      <c r="DA309"/>
      <c r="DB309">
        <v>80</v>
      </c>
      <c r="DC309" t="str">
        <f>IF(DB309=0,"0",IF(AND(DB309&gt;=1,DB309&lt;=30),"1-30",IF(AND(DB309&gt;30,DB309&lt;=70),"31-70",IF(AND(DB309&gt;70,DB309&lt;=100),"71-100",IF(DB309&gt;100,"+100")))))</f>
        <v>71-100</v>
      </c>
      <c r="DD309">
        <v>0</v>
      </c>
      <c r="DE309">
        <v>1</v>
      </c>
      <c r="DF309">
        <v>1</v>
      </c>
      <c r="DG309">
        <v>1</v>
      </c>
      <c r="DH309"/>
      <c r="DI309">
        <f>SUM(DD309:DG309)</f>
        <v>3</v>
      </c>
      <c r="DJ309" t="str">
        <f>IF(DI309=1,INDEX($DD$7:$DG$7,MATCH(1,$DD309:$DG309,0)),"mixedProduct")</f>
        <v>mixedProduct</v>
      </c>
      <c r="DK309">
        <f>IF(DD309=1,DK$7,0)</f>
        <v>0</v>
      </c>
      <c r="DL309" t="str">
        <f>IF(DE309=1,DL$7,0)</f>
        <v>Energy</v>
      </c>
      <c r="DM309" t="str">
        <f>IF(DF309=1,DM$7,0)</f>
        <v>Pulp/Paper</v>
      </c>
      <c r="DN309" t="str">
        <f>IF(DG309=1,DN$7,0)</f>
        <v>Timber</v>
      </c>
      <c r="DO309">
        <v>0</v>
      </c>
      <c r="DP309">
        <v>1</v>
      </c>
      <c r="DQ309" t="s">
        <v>2148</v>
      </c>
      <c r="DR309">
        <v>0</v>
      </c>
      <c r="DS309">
        <v>0</v>
      </c>
      <c r="DT309">
        <f>SUM(DO309:DP309)</f>
        <v>1</v>
      </c>
      <c r="DU309" s="143" t="str">
        <f>IF(DO309=1,"self-calculated DF",IF(DP309=1,"external DF used","explicit C balance"))</f>
        <v>external DF used</v>
      </c>
      <c r="DV309">
        <v>1</v>
      </c>
      <c r="DW309">
        <v>1</v>
      </c>
      <c r="DX309">
        <v>1</v>
      </c>
      <c r="DY309">
        <v>0</v>
      </c>
      <c r="DZ309">
        <v>0</v>
      </c>
      <c r="EA309" s="143">
        <v>0</v>
      </c>
      <c r="EB309">
        <v>1</v>
      </c>
      <c r="EC309">
        <v>1</v>
      </c>
      <c r="ED309">
        <v>0</v>
      </c>
      <c r="EE309">
        <v>0</v>
      </c>
      <c r="EF309">
        <v>1</v>
      </c>
      <c r="EG309">
        <v>0</v>
      </c>
      <c r="EH309">
        <v>0</v>
      </c>
      <c r="EI309" s="2">
        <v>0</v>
      </c>
      <c r="EJ309" s="1"/>
      <c r="EK309" t="str">
        <f>IF(AND(AND(AND(OR($DX309=1,$DW309=1),OR($EC309=1,$EA309=1)),SUM($DV309:$DZ309,$EF309)&gt;=4),SUM($EA309:$EE309)&gt;=2),"Whole sector","")</f>
        <v>Whole sector</v>
      </c>
      <c r="EL309" t="str">
        <f>IF(AND(AND(OR($DX309=1,$DW309=1),AND($EC309=0,$EA309=0)),SUM($DV309:$DZ309,$EF309)&gt;=4),"Ecosystem approach","")</f>
        <v/>
      </c>
      <c r="EM309" s="2" t="str">
        <f>IF(AND(AND(AND($DX309=0,$DW309=0),OR($EC309=1,$EA309=1)),SUM($EB309:$EE309)&gt;=2),"Technology approach","")</f>
        <v/>
      </c>
      <c r="EN309"/>
      <c r="EO309"/>
      <c r="EP309" t="str">
        <f>IF(ISNUMBER(BU309),IF(ABS(BU309-[1]QC_indicators!$B$2)&gt;3*[1]QC_indicators!$C$2,"C ratio",IF(ISNUMBER(BY309),IF(ABS(BY309-[1]QC_indicators!$B$1)&gt;3*[1]QC_indicators!$C$1,"DF","no"))),IF(ISNUMBER(BY309),IF(ABS(BY309-[1]QC_indicators!$B$1)&gt;3*[1]QC_indicators!$C$1,"DF","no")))</f>
        <v>no</v>
      </c>
      <c r="EQ309"/>
      <c r="ER309"/>
      <c r="ES309"/>
      <c r="ET309" s="266" t="s">
        <v>3409</v>
      </c>
      <c r="EU309"/>
    </row>
    <row r="310" spans="1:151" s="139" customFormat="1" ht="15" customHeight="1">
      <c r="A310" s="1" t="s">
        <v>1362</v>
      </c>
      <c r="B310" t="s">
        <v>2137</v>
      </c>
      <c r="C310" t="s">
        <v>2138</v>
      </c>
      <c r="D310" t="s">
        <v>2139</v>
      </c>
      <c r="E310" t="s">
        <v>2140</v>
      </c>
      <c r="F310" t="s">
        <v>2141</v>
      </c>
      <c r="G310" t="s">
        <v>1368</v>
      </c>
      <c r="H310" t="s">
        <v>255</v>
      </c>
      <c r="I310">
        <v>2012</v>
      </c>
      <c r="J310">
        <v>21</v>
      </c>
      <c r="K310" t="s">
        <v>2142</v>
      </c>
      <c r="L310" s="192"/>
      <c r="M310" t="str">
        <f>LEFT($D310,FIND(",",$D310)-1)&amp;"_"&amp;I310&amp;L310</f>
        <v>Pyorala_2012</v>
      </c>
      <c r="N310" t="s">
        <v>223</v>
      </c>
      <c r="O310" s="145" t="s">
        <v>342</v>
      </c>
      <c r="P310" s="180" t="s">
        <v>224</v>
      </c>
      <c r="Q310" s="266" t="s">
        <v>2162</v>
      </c>
      <c r="R310" s="271" t="s">
        <v>1156</v>
      </c>
      <c r="S310" s="265" t="s">
        <v>2163</v>
      </c>
      <c r="T310" s="266" t="s">
        <v>2159</v>
      </c>
      <c r="U310" s="266" t="s">
        <v>2160</v>
      </c>
      <c r="V310">
        <v>0</v>
      </c>
      <c r="W310">
        <v>0</v>
      </c>
      <c r="X310">
        <v>0</v>
      </c>
      <c r="Y310">
        <v>0</v>
      </c>
      <c r="Z310">
        <v>0</v>
      </c>
      <c r="AA310">
        <v>0</v>
      </c>
      <c r="AB310">
        <v>0</v>
      </c>
      <c r="AC310">
        <v>1</v>
      </c>
      <c r="AD310">
        <v>0</v>
      </c>
      <c r="AE310">
        <v>0</v>
      </c>
      <c r="AF310">
        <v>0</v>
      </c>
      <c r="AG310">
        <v>0</v>
      </c>
      <c r="AH310">
        <v>0</v>
      </c>
      <c r="AI310">
        <v>0</v>
      </c>
      <c r="AJ310">
        <v>0</v>
      </c>
      <c r="AK310">
        <v>0</v>
      </c>
      <c r="AL310">
        <v>0</v>
      </c>
      <c r="AM310">
        <v>0</v>
      </c>
      <c r="AN310">
        <v>0</v>
      </c>
      <c r="AO310">
        <v>0</v>
      </c>
      <c r="AP310">
        <v>0</v>
      </c>
      <c r="AQ310">
        <v>0</v>
      </c>
      <c r="AR310">
        <v>0</v>
      </c>
      <c r="AS310">
        <v>0</v>
      </c>
      <c r="AT310">
        <v>0</v>
      </c>
      <c r="AU310">
        <v>0</v>
      </c>
      <c r="AV310">
        <v>0</v>
      </c>
      <c r="AW310">
        <v>0</v>
      </c>
      <c r="AX310" s="141">
        <f>COUNTIF(V310:AW310,"&lt;&gt;0")</f>
        <v>1</v>
      </c>
      <c r="AY310" s="141">
        <f>COUNTIF(V310:AL310,"&lt;&gt;0")</f>
        <v>1</v>
      </c>
      <c r="AZ310">
        <f>COUNTIF(V310:AC310,"&lt;&gt;0")</f>
        <v>1</v>
      </c>
      <c r="BA310">
        <f>COUNTIF(AD310:AI310,"&lt;&gt;0")</f>
        <v>0</v>
      </c>
      <c r="BB310">
        <f>COUNTIF(AJ310:AL310,"&lt;&gt;0")</f>
        <v>0</v>
      </c>
      <c r="BC310">
        <f>COUNTIF(AS310:AW310,"&lt;&gt;0")</f>
        <v>0</v>
      </c>
      <c r="BD310">
        <f>COUNTIF(AM310:AR310,"&lt;&gt;0")</f>
        <v>0</v>
      </c>
      <c r="BE310" t="str" cm="1">
        <f t="array" ref="BE310">IF(AY310=1,INDEX($V$7:$AL$7,MATCH(TRUE,INDEX($V310:$AW310&lt;&gt;0,),0)),IF(AY310=0,INDEX($AM$7:$AW$7,MATCH(1,$AM310:$AW310,0)),IF(BF310="Multiple strategies","mixed drivers",IF(BF310="Supply chain","multiple supply","multiple silviculture"))))</f>
        <v>site fertility</v>
      </c>
      <c r="BF310" s="2" t="str" cm="1">
        <f t="array" ref="BF310">IF(COUNTIF(AZ310:BB310,"&lt;&gt;0")=1,INDEX($V$4:$AW$4,MATCH(TRUE,INDEX($V310:$AW310&lt;&gt;0,),0)),IF(COUNTIF(AZ310:BB310,"&lt;&gt;0")=0,INDEX($AM$4:$AW$4,MATCH(1,$AM310:$AW310,0)),"Multiple strategies"))</f>
        <v>SilvicultureProd</v>
      </c>
      <c r="BG310" s="178" t="s">
        <v>322</v>
      </c>
      <c r="BH310" s="266" t="s">
        <v>2146</v>
      </c>
      <c r="BI310" s="266" t="s">
        <v>2161</v>
      </c>
      <c r="BJ310" s="160" t="s">
        <v>702</v>
      </c>
      <c r="BK310">
        <v>8.3000000000000007</v>
      </c>
      <c r="BL310">
        <v>9.1</v>
      </c>
      <c r="BM310"/>
      <c r="BN310">
        <f>BL310-BK310</f>
        <v>0.79999999999999893</v>
      </c>
      <c r="BO310">
        <f>BN310</f>
        <v>0.79999999999999893</v>
      </c>
      <c r="BP310" s="155" t="s">
        <v>233</v>
      </c>
      <c r="BQ310" s="266" t="s">
        <v>788</v>
      </c>
      <c r="BR310" s="272" t="s">
        <v>2147</v>
      </c>
      <c r="BS310" s="266">
        <f>169.6/50</f>
        <v>3.3919999999999999</v>
      </c>
      <c r="BT310" s="266">
        <f>201.5/50</f>
        <v>4.03</v>
      </c>
      <c r="BU310" s="144"/>
      <c r="BV310">
        <f>BT310-BS310</f>
        <v>0.63800000000000034</v>
      </c>
      <c r="BW310"/>
      <c r="BX310">
        <f>BV310</f>
        <v>0.63800000000000034</v>
      </c>
      <c r="BY310">
        <f>IFERROR(BX310/BO310,"")</f>
        <v>0.79750000000000154</v>
      </c>
      <c r="BZ310">
        <v>0</v>
      </c>
      <c r="CA310">
        <v>0</v>
      </c>
      <c r="CB310">
        <v>0</v>
      </c>
      <c r="CC310">
        <v>0</v>
      </c>
      <c r="CD310">
        <v>0</v>
      </c>
      <c r="CE310">
        <v>0</v>
      </c>
      <c r="CF310">
        <v>0</v>
      </c>
      <c r="CG310">
        <v>0</v>
      </c>
      <c r="CH310">
        <v>0</v>
      </c>
      <c r="CI310">
        <v>0</v>
      </c>
      <c r="CJ310">
        <v>0</v>
      </c>
      <c r="CK310">
        <v>0</v>
      </c>
      <c r="CL310">
        <v>0</v>
      </c>
      <c r="CM310">
        <v>0</v>
      </c>
      <c r="CN310" t="str">
        <f>IF($BL310&lt;$BK310,"refNeedCorrection","refOK")</f>
        <v>refOK</v>
      </c>
      <c r="CO310">
        <f>IF($CN310="refOK",$BK310,$BL310)</f>
        <v>8.3000000000000007</v>
      </c>
      <c r="CP310">
        <f>IF($CN310="refOK",$BL310,$BK310)</f>
        <v>9.1</v>
      </c>
      <c r="CQ310">
        <f>IF($CN310="refOK",$BO310,-$BO310)</f>
        <v>0.79999999999999893</v>
      </c>
      <c r="CR310">
        <f>IF($CN310="refOK",$BS310,$BT310)*IF($BP310="Emissions positive",-1,1)</f>
        <v>3.3919999999999999</v>
      </c>
      <c r="CS310">
        <f>IF($CN310="refOK",$BT310,$BS310)*IF($BP310="Emissions positive",-1,1)</f>
        <v>4.03</v>
      </c>
      <c r="CT310">
        <f>IF($CN310="refNeedCorrection",-BX310,BX310)*IF($BP310="Emissions positive",-1,1)</f>
        <v>0.63800000000000034</v>
      </c>
      <c r="CU310">
        <f>IFERROR(CT310/CQ310,"")</f>
        <v>0.79750000000000154</v>
      </c>
      <c r="CV310" s="2">
        <f>IFERROR((CS310-CR310)/ABS(CR310),"")</f>
        <v>0.18808962264150955</v>
      </c>
      <c r="CW310" s="1" t="s">
        <v>1201</v>
      </c>
      <c r="CX310" s="266" t="str">
        <f>IF(OR($CW310="prd",$CW310="std",$CW310="cit"),"loc",IF(OR($CW310="eur",$CW310="reg",$CW310="coy"),"reg",$CW310))</f>
        <v>reg</v>
      </c>
      <c r="CY310" t="s">
        <v>236</v>
      </c>
      <c r="CZ310"/>
      <c r="DA310"/>
      <c r="DB310">
        <v>50</v>
      </c>
      <c r="DC310" t="str">
        <f>IF(DB310=0,"0",IF(AND(DB310&gt;=1,DB310&lt;=30),"1-30",IF(AND(DB310&gt;30,DB310&lt;=70),"31-70",IF(AND(DB310&gt;70,DB310&lt;=100),"71-100",IF(DB310&gt;100,"+100")))))</f>
        <v>31-70</v>
      </c>
      <c r="DD310">
        <v>0</v>
      </c>
      <c r="DE310">
        <v>1</v>
      </c>
      <c r="DF310">
        <v>1</v>
      </c>
      <c r="DG310">
        <v>1</v>
      </c>
      <c r="DH310"/>
      <c r="DI310">
        <f>SUM(DD310:DG310)</f>
        <v>3</v>
      </c>
      <c r="DJ310" t="str">
        <f>IF(DI310=1,INDEX($DD$7:$DG$7,MATCH(1,$DD310:$DG310,0)),"mixedProduct")</f>
        <v>mixedProduct</v>
      </c>
      <c r="DK310">
        <f>IF(DD310=1,DK$7,0)</f>
        <v>0</v>
      </c>
      <c r="DL310" t="str">
        <f>IF(DE310=1,DL$7,0)</f>
        <v>Energy</v>
      </c>
      <c r="DM310" t="str">
        <f>IF(DF310=1,DM$7,0)</f>
        <v>Pulp/Paper</v>
      </c>
      <c r="DN310" t="str">
        <f>IF(DG310=1,DN$7,0)</f>
        <v>Timber</v>
      </c>
      <c r="DO310">
        <v>0</v>
      </c>
      <c r="DP310">
        <v>1</v>
      </c>
      <c r="DQ310" t="s">
        <v>2148</v>
      </c>
      <c r="DR310">
        <v>0</v>
      </c>
      <c r="DS310">
        <v>0</v>
      </c>
      <c r="DT310">
        <f>SUM(DO310:DP310)</f>
        <v>1</v>
      </c>
      <c r="DU310" s="143" t="str">
        <f>IF(DO310=1,"self-calculated DF",IF(DP310=1,"external DF used","explicit C balance"))</f>
        <v>external DF used</v>
      </c>
      <c r="DV310">
        <v>1</v>
      </c>
      <c r="DW310">
        <v>1</v>
      </c>
      <c r="DX310">
        <v>1</v>
      </c>
      <c r="DY310">
        <v>0</v>
      </c>
      <c r="DZ310">
        <v>0</v>
      </c>
      <c r="EA310" s="143">
        <v>0</v>
      </c>
      <c r="EB310">
        <v>0</v>
      </c>
      <c r="EC310">
        <v>0</v>
      </c>
      <c r="ED310">
        <v>0</v>
      </c>
      <c r="EE310">
        <v>0</v>
      </c>
      <c r="EF310">
        <v>1</v>
      </c>
      <c r="EG310">
        <v>0</v>
      </c>
      <c r="EH310">
        <v>0</v>
      </c>
      <c r="EI310" s="2">
        <v>0</v>
      </c>
      <c r="EJ310" s="1"/>
      <c r="EK310" t="str">
        <f>IF(AND(AND(AND(OR($DX310=1,$DW310=1),OR($EC310=1,$EA310=1)),SUM($DV310:$DZ310,$EF310)&gt;=4),SUM($EA310:$EE310)&gt;=2),"Whole sector","")</f>
        <v/>
      </c>
      <c r="EL310" t="str">
        <f>IF(AND(AND(OR($DX310=1,$DW310=1),AND($EC310=0,$EA310=0)),SUM($DV310:$DZ310,$EF310)&gt;=4),"Ecosystem approach","")</f>
        <v>Ecosystem approach</v>
      </c>
      <c r="EM310" s="2" t="str">
        <f>IF(AND(AND(AND($DX310=0,$DW310=0),OR($EC310=1,$EA310=1)),SUM($EB310:$EE310)&gt;=2),"Technology approach","")</f>
        <v/>
      </c>
      <c r="EN310"/>
      <c r="EO310"/>
      <c r="EP310" t="str">
        <f>IF(ISNUMBER(BU310),IF(ABS(BU310-[1]QC_indicators!$B$2)&gt;3*[1]QC_indicators!$C$2,"C ratio",IF(ISNUMBER(BY310),IF(ABS(BY310-[1]QC_indicators!$B$1)&gt;3*[1]QC_indicators!$C$1,"DF","no"))),IF(ISNUMBER(BY310),IF(ABS(BY310-[1]QC_indicators!$B$1)&gt;3*[1]QC_indicators!$C$1,"DF","no")))</f>
        <v>no</v>
      </c>
      <c r="EQ310"/>
      <c r="ER310"/>
      <c r="ES310"/>
      <c r="ET310" s="266" t="s">
        <v>3409</v>
      </c>
      <c r="EU310"/>
    </row>
    <row r="311" spans="1:151" s="139" customFormat="1" ht="15" customHeight="1">
      <c r="A311" s="1" t="s">
        <v>1362</v>
      </c>
      <c r="B311" t="s">
        <v>2137</v>
      </c>
      <c r="C311" t="s">
        <v>2138</v>
      </c>
      <c r="D311" t="s">
        <v>2139</v>
      </c>
      <c r="E311" t="s">
        <v>2140</v>
      </c>
      <c r="F311" t="s">
        <v>2141</v>
      </c>
      <c r="G311" t="s">
        <v>1368</v>
      </c>
      <c r="H311" t="s">
        <v>255</v>
      </c>
      <c r="I311">
        <v>2012</v>
      </c>
      <c r="J311">
        <v>21</v>
      </c>
      <c r="K311" t="s">
        <v>2142</v>
      </c>
      <c r="L311" s="192"/>
      <c r="M311" t="str">
        <f>LEFT($D311,FIND(",",$D311)-1)&amp;"_"&amp;I311&amp;L311</f>
        <v>Pyorala_2012</v>
      </c>
      <c r="N311" t="s">
        <v>223</v>
      </c>
      <c r="O311" s="145" t="s">
        <v>342</v>
      </c>
      <c r="P311" s="180" t="s">
        <v>224</v>
      </c>
      <c r="Q311" s="266" t="s">
        <v>257</v>
      </c>
      <c r="R311" s="271" t="s">
        <v>1156</v>
      </c>
      <c r="S311" s="265" t="s">
        <v>2167</v>
      </c>
      <c r="T311" s="266" t="s">
        <v>2159</v>
      </c>
      <c r="U311" s="266" t="s">
        <v>2160</v>
      </c>
      <c r="V311">
        <v>0</v>
      </c>
      <c r="W311">
        <v>0</v>
      </c>
      <c r="X311">
        <v>0</v>
      </c>
      <c r="Y311">
        <v>0</v>
      </c>
      <c r="Z311">
        <v>0</v>
      </c>
      <c r="AA311">
        <v>0</v>
      </c>
      <c r="AB311">
        <v>0</v>
      </c>
      <c r="AC311">
        <v>1</v>
      </c>
      <c r="AD311">
        <v>0</v>
      </c>
      <c r="AE311">
        <v>0</v>
      </c>
      <c r="AF311">
        <v>0</v>
      </c>
      <c r="AG311">
        <v>0</v>
      </c>
      <c r="AH311">
        <v>0</v>
      </c>
      <c r="AI311">
        <v>0</v>
      </c>
      <c r="AJ311">
        <v>0</v>
      </c>
      <c r="AK311">
        <v>0</v>
      </c>
      <c r="AL311">
        <v>0</v>
      </c>
      <c r="AM311">
        <v>0</v>
      </c>
      <c r="AN311">
        <v>0</v>
      </c>
      <c r="AO311">
        <v>0</v>
      </c>
      <c r="AP311">
        <v>0</v>
      </c>
      <c r="AQ311">
        <v>0</v>
      </c>
      <c r="AR311">
        <v>0</v>
      </c>
      <c r="AS311">
        <v>0</v>
      </c>
      <c r="AT311">
        <v>0</v>
      </c>
      <c r="AU311">
        <v>0</v>
      </c>
      <c r="AV311">
        <v>0</v>
      </c>
      <c r="AW311">
        <v>0</v>
      </c>
      <c r="AX311" s="141">
        <f>COUNTIF(V311:AW311,"&lt;&gt;0")</f>
        <v>1</v>
      </c>
      <c r="AY311" s="141">
        <f>COUNTIF(V311:AL311,"&lt;&gt;0")</f>
        <v>1</v>
      </c>
      <c r="AZ311">
        <f>COUNTIF(V311:AC311,"&lt;&gt;0")</f>
        <v>1</v>
      </c>
      <c r="BA311">
        <f>COUNTIF(AD311:AI311,"&lt;&gt;0")</f>
        <v>0</v>
      </c>
      <c r="BB311">
        <f>COUNTIF(AJ311:AL311,"&lt;&gt;0")</f>
        <v>0</v>
      </c>
      <c r="BC311">
        <f>COUNTIF(AS311:AW311,"&lt;&gt;0")</f>
        <v>0</v>
      </c>
      <c r="BD311">
        <f>COUNTIF(AM311:AR311,"&lt;&gt;0")</f>
        <v>0</v>
      </c>
      <c r="BE311" t="str" cm="1">
        <f t="array" ref="BE311">IF(AY311=1,INDEX($V$7:$AL$7,MATCH(TRUE,INDEX($V311:$AW311&lt;&gt;0,),0)),IF(AY311=0,INDEX($AM$7:$AW$7,MATCH(1,$AM311:$AW311,0)),IF(BF311="Multiple strategies","mixed drivers",IF(BF311="Supply chain","multiple supply","multiple silviculture"))))</f>
        <v>site fertility</v>
      </c>
      <c r="BF311" s="2" t="str" cm="1">
        <f t="array" ref="BF311">IF(COUNTIF(AZ311:BB311,"&lt;&gt;0")=1,INDEX($V$4:$AW$4,MATCH(TRUE,INDEX($V311:$AW311&lt;&gt;0,),0)),IF(COUNTIF(AZ311:BB311,"&lt;&gt;0")=0,INDEX($AM$4:$AW$4,MATCH(1,$AM311:$AW311,0)),"Multiple strategies"))</f>
        <v>SilvicultureProd</v>
      </c>
      <c r="BG311" s="178" t="s">
        <v>322</v>
      </c>
      <c r="BH311" s="266" t="s">
        <v>2146</v>
      </c>
      <c r="BI311" s="266" t="s">
        <v>2161</v>
      </c>
      <c r="BJ311" s="160" t="s">
        <v>702</v>
      </c>
      <c r="BK311">
        <v>7.6</v>
      </c>
      <c r="BL311">
        <v>7.8</v>
      </c>
      <c r="BM311"/>
      <c r="BN311">
        <f>BL311-BK311</f>
        <v>0.20000000000000018</v>
      </c>
      <c r="BO311">
        <f>BN311</f>
        <v>0.20000000000000018</v>
      </c>
      <c r="BP311" s="155" t="s">
        <v>233</v>
      </c>
      <c r="BQ311" s="266" t="s">
        <v>788</v>
      </c>
      <c r="BR311" s="272" t="s">
        <v>2147</v>
      </c>
      <c r="BS311" s="266">
        <f>147.4/50</f>
        <v>2.948</v>
      </c>
      <c r="BT311" s="266">
        <f>155.5/50</f>
        <v>3.11</v>
      </c>
      <c r="BU311" s="144"/>
      <c r="BV311">
        <f>BT311-BS311</f>
        <v>0.16199999999999992</v>
      </c>
      <c r="BW311"/>
      <c r="BX311">
        <f>BV311</f>
        <v>0.16199999999999992</v>
      </c>
      <c r="BY311">
        <f>IFERROR(BX311/BO311,"")</f>
        <v>0.80999999999999894</v>
      </c>
      <c r="BZ311">
        <v>0</v>
      </c>
      <c r="CA311">
        <v>0</v>
      </c>
      <c r="CB311">
        <v>0</v>
      </c>
      <c r="CC311">
        <v>0</v>
      </c>
      <c r="CD311">
        <v>0</v>
      </c>
      <c r="CE311">
        <v>0</v>
      </c>
      <c r="CF311">
        <v>0</v>
      </c>
      <c r="CG311">
        <v>0</v>
      </c>
      <c r="CH311">
        <v>0</v>
      </c>
      <c r="CI311">
        <v>0</v>
      </c>
      <c r="CJ311">
        <v>0</v>
      </c>
      <c r="CK311">
        <v>0</v>
      </c>
      <c r="CL311">
        <v>0</v>
      </c>
      <c r="CM311">
        <v>0</v>
      </c>
      <c r="CN311" t="str">
        <f>IF($BL311&lt;$BK311,"refNeedCorrection","refOK")</f>
        <v>refOK</v>
      </c>
      <c r="CO311">
        <f>IF($CN311="refOK",$BK311,$BL311)</f>
        <v>7.6</v>
      </c>
      <c r="CP311">
        <f>IF($CN311="refOK",$BL311,$BK311)</f>
        <v>7.8</v>
      </c>
      <c r="CQ311">
        <f>IF($CN311="refOK",$BO311,-$BO311)</f>
        <v>0.20000000000000018</v>
      </c>
      <c r="CR311">
        <f>IF($CN311="refOK",$BS311,$BT311)*IF($BP311="Emissions positive",-1,1)</f>
        <v>2.948</v>
      </c>
      <c r="CS311">
        <f>IF($CN311="refOK",$BT311,$BS311)*IF($BP311="Emissions positive",-1,1)</f>
        <v>3.11</v>
      </c>
      <c r="CT311">
        <f>IF($CN311="refNeedCorrection",-BX311,BX311)*IF($BP311="Emissions positive",-1,1)</f>
        <v>0.16199999999999992</v>
      </c>
      <c r="CU311">
        <f>IFERROR(CT311/CQ311,"")</f>
        <v>0.80999999999999894</v>
      </c>
      <c r="CV311" s="2">
        <f>IFERROR((CS311-CR311)/ABS(CR311),"")</f>
        <v>5.4952510176390745E-2</v>
      </c>
      <c r="CW311" s="1" t="s">
        <v>1201</v>
      </c>
      <c r="CX311" s="266" t="str">
        <f>IF(OR($CW311="prd",$CW311="std",$CW311="cit"),"loc",IF(OR($CW311="eur",$CW311="reg",$CW311="coy"),"reg",$CW311))</f>
        <v>reg</v>
      </c>
      <c r="CY311" t="s">
        <v>236</v>
      </c>
      <c r="CZ311"/>
      <c r="DA311"/>
      <c r="DB311">
        <v>50</v>
      </c>
      <c r="DC311" t="str">
        <f>IF(DB311=0,"0",IF(AND(DB311&gt;=1,DB311&lt;=30),"1-30",IF(AND(DB311&gt;30,DB311&lt;=70),"31-70",IF(AND(DB311&gt;70,DB311&lt;=100),"71-100",IF(DB311&gt;100,"+100")))))</f>
        <v>31-70</v>
      </c>
      <c r="DD311">
        <v>0</v>
      </c>
      <c r="DE311">
        <v>1</v>
      </c>
      <c r="DF311">
        <v>1</v>
      </c>
      <c r="DG311">
        <v>1</v>
      </c>
      <c r="DH311"/>
      <c r="DI311">
        <f>SUM(DD311:DG311)</f>
        <v>3</v>
      </c>
      <c r="DJ311" t="str">
        <f>IF(DI311=1,INDEX($DD$7:$DG$7,MATCH(1,$DD311:$DG311,0)),"mixedProduct")</f>
        <v>mixedProduct</v>
      </c>
      <c r="DK311">
        <f>IF(DD311=1,DK$7,0)</f>
        <v>0</v>
      </c>
      <c r="DL311" t="str">
        <f>IF(DE311=1,DL$7,0)</f>
        <v>Energy</v>
      </c>
      <c r="DM311" t="str">
        <f>IF(DF311=1,DM$7,0)</f>
        <v>Pulp/Paper</v>
      </c>
      <c r="DN311" t="str">
        <f>IF(DG311=1,DN$7,0)</f>
        <v>Timber</v>
      </c>
      <c r="DO311">
        <v>0</v>
      </c>
      <c r="DP311">
        <v>1</v>
      </c>
      <c r="DQ311" t="s">
        <v>2148</v>
      </c>
      <c r="DR311">
        <v>0</v>
      </c>
      <c r="DS311">
        <v>0</v>
      </c>
      <c r="DT311">
        <f>SUM(DO311:DP311)</f>
        <v>1</v>
      </c>
      <c r="DU311" s="143" t="str">
        <f>IF(DO311=1,"self-calculated DF",IF(DP311=1,"external DF used","explicit C balance"))</f>
        <v>external DF used</v>
      </c>
      <c r="DV311">
        <v>1</v>
      </c>
      <c r="DW311">
        <v>1</v>
      </c>
      <c r="DX311">
        <v>1</v>
      </c>
      <c r="DY311">
        <v>0</v>
      </c>
      <c r="DZ311">
        <v>0</v>
      </c>
      <c r="EA311" s="143">
        <v>0</v>
      </c>
      <c r="EB311">
        <v>0</v>
      </c>
      <c r="EC311">
        <v>0</v>
      </c>
      <c r="ED311">
        <v>0</v>
      </c>
      <c r="EE311">
        <v>0</v>
      </c>
      <c r="EF311">
        <v>1</v>
      </c>
      <c r="EG311">
        <v>0</v>
      </c>
      <c r="EH311">
        <v>0</v>
      </c>
      <c r="EI311" s="2">
        <v>0</v>
      </c>
      <c r="EJ311" s="1"/>
      <c r="EK311" t="str">
        <f>IF(AND(AND(AND(OR($DX311=1,$DW311=1),OR($EC311=1,$EA311=1)),SUM($DV311:$DZ311,$EF311)&gt;=4),SUM($EA311:$EE311)&gt;=2),"Whole sector","")</f>
        <v/>
      </c>
      <c r="EL311" t="str">
        <f>IF(AND(AND(OR($DX311=1,$DW311=1),AND($EC311=0,$EA311=0)),SUM($DV311:$DZ311,$EF311)&gt;=4),"Ecosystem approach","")</f>
        <v>Ecosystem approach</v>
      </c>
      <c r="EM311" s="2" t="str">
        <f>IF(AND(AND(AND($DX311=0,$DW311=0),OR($EC311=1,$EA311=1)),SUM($EB311:$EE311)&gt;=2),"Technology approach","")</f>
        <v/>
      </c>
      <c r="EN311"/>
      <c r="EO311"/>
      <c r="EP311" t="str">
        <f>IF(ISNUMBER(BU311),IF(ABS(BU311-[1]QC_indicators!$B$2)&gt;3*[1]QC_indicators!$C$2,"C ratio",IF(ISNUMBER(BY311),IF(ABS(BY311-[1]QC_indicators!$B$1)&gt;3*[1]QC_indicators!$C$1,"DF","no"))),IF(ISNUMBER(BY311),IF(ABS(BY311-[1]QC_indicators!$B$1)&gt;3*[1]QC_indicators!$C$1,"DF","no")))</f>
        <v>no</v>
      </c>
      <c r="EQ311"/>
      <c r="ER311"/>
      <c r="ES311"/>
      <c r="ET311" s="266" t="s">
        <v>3409</v>
      </c>
      <c r="EU311"/>
    </row>
    <row r="312" spans="1:151" s="139" customFormat="1" ht="15" hidden="1" customHeight="1">
      <c r="A312" s="1" t="s">
        <v>1047</v>
      </c>
      <c r="B312" t="s">
        <v>1048</v>
      </c>
      <c r="C312" t="s">
        <v>1049</v>
      </c>
      <c r="D312" t="s">
        <v>1050</v>
      </c>
      <c r="E312" t="s">
        <v>1051</v>
      </c>
      <c r="F312" t="s">
        <v>1052</v>
      </c>
      <c r="G312" t="s">
        <v>1053</v>
      </c>
      <c r="H312" t="s">
        <v>255</v>
      </c>
      <c r="I312">
        <v>2014</v>
      </c>
      <c r="J312">
        <v>23</v>
      </c>
      <c r="K312" t="s">
        <v>1054</v>
      </c>
      <c r="L312"/>
      <c r="M312" t="str">
        <f>LEFT($D312,FIND(",",$D312)-1)&amp;"_"&amp;I312&amp;L312</f>
        <v>Pyorala_2014</v>
      </c>
      <c r="N312" t="s">
        <v>223</v>
      </c>
      <c r="O312" s="171" t="s">
        <v>342</v>
      </c>
      <c r="P312" t="s">
        <v>226</v>
      </c>
      <c r="Q312" s="266" t="s">
        <v>390</v>
      </c>
      <c r="R312" s="271" t="s">
        <v>1156</v>
      </c>
      <c r="S312" s="265" t="s">
        <v>96</v>
      </c>
      <c r="T312" s="266" t="s">
        <v>1070</v>
      </c>
      <c r="U312" s="266" t="s">
        <v>1071</v>
      </c>
      <c r="V312">
        <v>0</v>
      </c>
      <c r="W312">
        <v>0</v>
      </c>
      <c r="X312">
        <v>0</v>
      </c>
      <c r="Y312">
        <v>0</v>
      </c>
      <c r="Z312">
        <v>0</v>
      </c>
      <c r="AA312">
        <v>0</v>
      </c>
      <c r="AB312">
        <v>0</v>
      </c>
      <c r="AC312">
        <v>1</v>
      </c>
      <c r="AD312">
        <v>0</v>
      </c>
      <c r="AE312">
        <v>0</v>
      </c>
      <c r="AF312">
        <v>0</v>
      </c>
      <c r="AG312">
        <v>0</v>
      </c>
      <c r="AH312">
        <v>0</v>
      </c>
      <c r="AI312">
        <v>0</v>
      </c>
      <c r="AJ312">
        <v>0</v>
      </c>
      <c r="AK312">
        <v>0</v>
      </c>
      <c r="AL312">
        <v>0</v>
      </c>
      <c r="AM312">
        <v>0</v>
      </c>
      <c r="AN312">
        <v>0</v>
      </c>
      <c r="AO312">
        <v>0</v>
      </c>
      <c r="AP312">
        <v>0</v>
      </c>
      <c r="AQ312">
        <v>0</v>
      </c>
      <c r="AR312">
        <v>0</v>
      </c>
      <c r="AS312">
        <v>0</v>
      </c>
      <c r="AT312">
        <v>0</v>
      </c>
      <c r="AU312">
        <v>0</v>
      </c>
      <c r="AV312">
        <v>0</v>
      </c>
      <c r="AW312">
        <v>0</v>
      </c>
      <c r="AX312" s="141">
        <f>COUNTIF(V312:AW312,"&lt;&gt;0")</f>
        <v>1</v>
      </c>
      <c r="AY312" s="141">
        <f>COUNTIF(V312:AL312,"&lt;&gt;0")</f>
        <v>1</v>
      </c>
      <c r="AZ312">
        <f>COUNTIF(V312:AC312,"&lt;&gt;0")</f>
        <v>1</v>
      </c>
      <c r="BA312">
        <f>COUNTIF(AD312:AI312,"&lt;&gt;0")</f>
        <v>0</v>
      </c>
      <c r="BB312">
        <f>COUNTIF(AJ312:AL312,"&lt;&gt;0")</f>
        <v>0</v>
      </c>
      <c r="BC312">
        <f>COUNTIF(AS312:AW312,"&lt;&gt;0")</f>
        <v>0</v>
      </c>
      <c r="BD312">
        <f>COUNTIF(AM312:AR312,"&lt;&gt;0")</f>
        <v>0</v>
      </c>
      <c r="BE312" t="str" cm="1">
        <f t="array" ref="BE312">IF(AY312=1,INDEX($V$7:$AL$7,MATCH(TRUE,INDEX($V312:$AW312&lt;&gt;0,),0)),IF(AY312=0,INDEX($AM$7:$AW$7,MATCH(1,$AM312:$AW312,0)),IF(BF312="Multiple strategies","mixed drivers",IF(BF312="Supply chain","multiple supply","multiple silviculture"))))</f>
        <v>site fertility</v>
      </c>
      <c r="BF312" s="2" t="str" cm="1">
        <f t="array" ref="BF312">IF(COUNTIF(AZ312:BB312,"&lt;&gt;0")=1,INDEX($V$4:$AW$4,MATCH(TRUE,INDEX($V312:$AW312&lt;&gt;0,),0)),IF(COUNTIF(AZ312:BB312,"&lt;&gt;0")=0,INDEX($AM$4:$AW$4,MATCH(1,$AM312:$AW312,0)),"Multiple strategies"))</f>
        <v>SilvicultureProd</v>
      </c>
      <c r="BG312" s="1" t="s">
        <v>322</v>
      </c>
      <c r="BH312" t="s">
        <v>1058</v>
      </c>
      <c r="BI312" s="266" t="s">
        <v>1059</v>
      </c>
      <c r="BJ312" s="266" t="s">
        <v>1060</v>
      </c>
      <c r="BK312">
        <v>4.95</v>
      </c>
      <c r="BL312">
        <v>5.9</v>
      </c>
      <c r="BM312" t="str">
        <f>IFERROR(BK312/#REF!,"")</f>
        <v/>
      </c>
      <c r="BN312">
        <f>BL312-BK312</f>
        <v>0.95000000000000018</v>
      </c>
      <c r="BO312">
        <f>BN312*t_to_m3</f>
        <v>1.938775510204082</v>
      </c>
      <c r="BP312" t="s">
        <v>396</v>
      </c>
      <c r="BQ312" t="s">
        <v>974</v>
      </c>
      <c r="BR312" t="s">
        <v>1061</v>
      </c>
      <c r="BS312" s="172">
        <v>-392</v>
      </c>
      <c r="BT312" s="172">
        <v>-465</v>
      </c>
      <c r="BU312" s="144"/>
      <c r="BV312">
        <f>BT312-BS312</f>
        <v>-73</v>
      </c>
      <c r="BW312"/>
      <c r="BX312">
        <f>BV312*10^-6*10^4</f>
        <v>-0.73</v>
      </c>
      <c r="BY312">
        <f>IFERROR(BX312/BO312,"")</f>
        <v>-0.3765263157894736</v>
      </c>
      <c r="BZ312">
        <v>0</v>
      </c>
      <c r="CA312">
        <v>0</v>
      </c>
      <c r="CB312">
        <v>0</v>
      </c>
      <c r="CC312">
        <v>0</v>
      </c>
      <c r="CD312">
        <v>0</v>
      </c>
      <c r="CE312">
        <v>0</v>
      </c>
      <c r="CF312">
        <v>0</v>
      </c>
      <c r="CG312">
        <v>0</v>
      </c>
      <c r="CH312">
        <v>0</v>
      </c>
      <c r="CI312">
        <v>0</v>
      </c>
      <c r="CJ312">
        <v>0</v>
      </c>
      <c r="CK312">
        <v>0</v>
      </c>
      <c r="CL312">
        <v>0</v>
      </c>
      <c r="CM312">
        <v>0</v>
      </c>
      <c r="CN312" t="str">
        <f>IF($BL312&lt;$BK312,"refNeedCorrection","refOK")</f>
        <v>refOK</v>
      </c>
      <c r="CO312">
        <f>IF($CN312="refOK",$BK312,$BL312)</f>
        <v>4.95</v>
      </c>
      <c r="CP312">
        <f>IF($CN312="refOK",$BL312,$BK312)</f>
        <v>5.9</v>
      </c>
      <c r="CQ312">
        <f>IF($CN312="refOK",$BO312,-$BO312)</f>
        <v>1.938775510204082</v>
      </c>
      <c r="CR312">
        <f>IF($CN312="refOK",$BS312,$BT312)*IF($BP312="Emissions positive",-1,1)</f>
        <v>392</v>
      </c>
      <c r="CS312">
        <f>IF($CN312="refOK",$BT312,$BS312)*IF($BP312="Emissions positive",-1,1)</f>
        <v>465</v>
      </c>
      <c r="CT312">
        <f>IF($CN312="refNeedCorrection",-BX312,BX312)*IF($BP312="Emissions positive",-1,1)</f>
        <v>0.73</v>
      </c>
      <c r="CU312">
        <f>IFERROR(CT312/CQ312,"")</f>
        <v>0.3765263157894736</v>
      </c>
      <c r="CV312" s="2">
        <f>IFERROR((CS312-CR312)/ABS(CR312),"")</f>
        <v>0.18622448979591838</v>
      </c>
      <c r="CW312" s="1" t="s">
        <v>264</v>
      </c>
      <c r="CX312" s="266" t="str">
        <f>IF(OR($CW312="prd",$CW312="std",$CW312="cit"),"loc",IF(OR($CW312="eur",$CW312="reg",$CW312="coy"),"reg",$CW312))</f>
        <v>loc</v>
      </c>
      <c r="CY312" t="s">
        <v>236</v>
      </c>
      <c r="CZ312"/>
      <c r="DA312"/>
      <c r="DB312">
        <v>80</v>
      </c>
      <c r="DC312" t="str">
        <f>IF(DB312=0,"0",IF(AND(DB312&gt;=1,DB312&lt;=30),"1-30",IF(AND(DB312&gt;30,DB312&lt;=70),"31-70",IF(AND(DB312&gt;70,DB312&lt;=100),"71-100",IF(DB312&gt;100,"+100")))))</f>
        <v>71-100</v>
      </c>
      <c r="DD312">
        <v>0</v>
      </c>
      <c r="DE312">
        <v>1</v>
      </c>
      <c r="DF312">
        <v>0</v>
      </c>
      <c r="DG312">
        <v>1</v>
      </c>
      <c r="DH312"/>
      <c r="DI312">
        <f>SUM(DD312:DG312)</f>
        <v>2</v>
      </c>
      <c r="DJ312" t="str">
        <f>IF(DI312=1,INDEX($DD$7:$DG$7,MATCH(1,$DD312:$DG312,0)),"mixedProduct")</f>
        <v>mixedProduct</v>
      </c>
      <c r="DK312">
        <f>IF(DD312=1,DK$7,0)</f>
        <v>0</v>
      </c>
      <c r="DL312" t="str">
        <f>IF(DE312=1,DL$7,0)</f>
        <v>Energy</v>
      </c>
      <c r="DM312">
        <f>IF(DF312=1,DM$7,0)</f>
        <v>0</v>
      </c>
      <c r="DN312" t="str">
        <f>IF(DG312=1,DN$7,0)</f>
        <v>Timber</v>
      </c>
      <c r="DO312">
        <v>0</v>
      </c>
      <c r="DP312">
        <v>1</v>
      </c>
      <c r="DQ312" t="s">
        <v>1062</v>
      </c>
      <c r="DR312"/>
      <c r="DS312"/>
      <c r="DT312">
        <f>SUM(DO312:DP312)</f>
        <v>1</v>
      </c>
      <c r="DU312" s="143" t="str">
        <f>IF(DO312=1,"self-calculated DF",IF(DP312=1,"external DF used","explicit C balance"))</f>
        <v>external DF used</v>
      </c>
      <c r="DV312">
        <v>1</v>
      </c>
      <c r="DW312">
        <v>1</v>
      </c>
      <c r="DX312">
        <v>1</v>
      </c>
      <c r="DY312" s="143">
        <v>0</v>
      </c>
      <c r="DZ312">
        <v>0</v>
      </c>
      <c r="EA312" s="143">
        <v>0</v>
      </c>
      <c r="EB312">
        <v>1</v>
      </c>
      <c r="EC312">
        <v>1</v>
      </c>
      <c r="ED312" s="143">
        <v>0</v>
      </c>
      <c r="EE312">
        <v>0</v>
      </c>
      <c r="EF312">
        <v>1</v>
      </c>
      <c r="EG312" s="143">
        <v>0</v>
      </c>
      <c r="EH312" s="143">
        <v>0</v>
      </c>
      <c r="EI312" s="2">
        <v>0</v>
      </c>
      <c r="EJ312" s="1"/>
      <c r="EK312" t="str">
        <f>IF(AND(AND(AND(OR($DX312=1,$DW312=1),OR($EC312=1,$EA312=1)),SUM($DV312:$DZ312,$EF312)&gt;=4),SUM($EA312:$EE312)&gt;=2),"Whole sector","")</f>
        <v>Whole sector</v>
      </c>
      <c r="EL312" t="str">
        <f>IF(AND(AND(OR($DX312=1,$DW312=1),AND($EC312=0,$EA312=0)),SUM($DV312:$DZ312,$EF312)&gt;=4),"Ecosystem approach","")</f>
        <v/>
      </c>
      <c r="EM312" s="2" t="str">
        <f>IF(AND(AND(AND($DX312=0,$DW312=0),OR($EC312=1,$EA312=1)),SUM($EB312:$EE312)&gt;=2),"Technology approach","")</f>
        <v/>
      </c>
      <c r="EN312"/>
      <c r="EO312"/>
      <c r="EP312" t="str">
        <f>IF(ISNUMBER(BU312),IF(ABS(BU312-[1]QC_indicators!$B$2)&gt;3*[1]QC_indicators!$C$2,"C ratio",IF(ISNUMBER(BY312),IF(ABS(BY312-[1]QC_indicators!$B$1)&gt;3*[1]QC_indicators!$C$1,"DF","no"))),IF(ISNUMBER(BY312),IF(ABS(BY312-[1]QC_indicators!$B$1)&gt;3*[1]QC_indicators!$C$1,"DF","no")))</f>
        <v>no</v>
      </c>
      <c r="EQ312"/>
      <c r="ER312" s="266" t="s">
        <v>1072</v>
      </c>
      <c r="ES312"/>
      <c r="ET312" s="266" t="s">
        <v>3409</v>
      </c>
      <c r="EU312"/>
    </row>
    <row r="313" spans="1:151" s="139" customFormat="1" ht="15" hidden="1" customHeight="1">
      <c r="A313" s="1" t="s">
        <v>1047</v>
      </c>
      <c r="B313" t="s">
        <v>1048</v>
      </c>
      <c r="C313" t="s">
        <v>1049</v>
      </c>
      <c r="D313" t="s">
        <v>1050</v>
      </c>
      <c r="E313" t="s">
        <v>1051</v>
      </c>
      <c r="F313" t="s">
        <v>1052</v>
      </c>
      <c r="G313" t="s">
        <v>1053</v>
      </c>
      <c r="H313" t="s">
        <v>255</v>
      </c>
      <c r="I313">
        <v>2014</v>
      </c>
      <c r="J313">
        <v>23</v>
      </c>
      <c r="K313" t="s">
        <v>1054</v>
      </c>
      <c r="L313"/>
      <c r="M313" t="str">
        <f>LEFT($D313,FIND(",",$D313)-1)&amp;"_"&amp;I313&amp;L313</f>
        <v>Pyorala_2014</v>
      </c>
      <c r="N313" t="s">
        <v>223</v>
      </c>
      <c r="O313" s="171" t="s">
        <v>342</v>
      </c>
      <c r="P313" t="s">
        <v>226</v>
      </c>
      <c r="Q313" s="266" t="s">
        <v>390</v>
      </c>
      <c r="R313" s="271" t="s">
        <v>1156</v>
      </c>
      <c r="S313" s="265" t="s">
        <v>96</v>
      </c>
      <c r="T313" s="266" t="s">
        <v>1073</v>
      </c>
      <c r="U313" s="266" t="s">
        <v>1074</v>
      </c>
      <c r="V313">
        <v>0</v>
      </c>
      <c r="W313">
        <v>0</v>
      </c>
      <c r="X313">
        <v>0</v>
      </c>
      <c r="Y313">
        <v>0</v>
      </c>
      <c r="Z313">
        <v>0</v>
      </c>
      <c r="AA313">
        <v>0</v>
      </c>
      <c r="AB313">
        <v>0</v>
      </c>
      <c r="AC313">
        <v>1</v>
      </c>
      <c r="AD313">
        <v>0</v>
      </c>
      <c r="AE313">
        <v>0</v>
      </c>
      <c r="AF313">
        <v>0</v>
      </c>
      <c r="AG313">
        <v>0</v>
      </c>
      <c r="AH313">
        <v>0</v>
      </c>
      <c r="AI313">
        <v>0</v>
      </c>
      <c r="AJ313">
        <v>0</v>
      </c>
      <c r="AK313">
        <v>0</v>
      </c>
      <c r="AL313">
        <v>0</v>
      </c>
      <c r="AM313">
        <v>0</v>
      </c>
      <c r="AN313">
        <v>0</v>
      </c>
      <c r="AO313">
        <v>0</v>
      </c>
      <c r="AP313">
        <v>0</v>
      </c>
      <c r="AQ313">
        <v>0</v>
      </c>
      <c r="AR313">
        <v>0</v>
      </c>
      <c r="AS313">
        <v>0</v>
      </c>
      <c r="AT313">
        <v>0</v>
      </c>
      <c r="AU313">
        <v>0</v>
      </c>
      <c r="AV313">
        <v>0</v>
      </c>
      <c r="AW313">
        <v>0</v>
      </c>
      <c r="AX313" s="141">
        <f>COUNTIF(V313:AW313,"&lt;&gt;0")</f>
        <v>1</v>
      </c>
      <c r="AY313" s="141">
        <f>COUNTIF(V313:AL313,"&lt;&gt;0")</f>
        <v>1</v>
      </c>
      <c r="AZ313">
        <f>COUNTIF(V313:AC313,"&lt;&gt;0")</f>
        <v>1</v>
      </c>
      <c r="BA313">
        <f>COUNTIF(AD313:AI313,"&lt;&gt;0")</f>
        <v>0</v>
      </c>
      <c r="BB313">
        <f>COUNTIF(AJ313:AL313,"&lt;&gt;0")</f>
        <v>0</v>
      </c>
      <c r="BC313">
        <f>COUNTIF(AS313:AW313,"&lt;&gt;0")</f>
        <v>0</v>
      </c>
      <c r="BD313">
        <f>COUNTIF(AM313:AR313,"&lt;&gt;0")</f>
        <v>0</v>
      </c>
      <c r="BE313" t="str" cm="1">
        <f t="array" ref="BE313">IF(AY313=1,INDEX($V$7:$AL$7,MATCH(TRUE,INDEX($V313:$AW313&lt;&gt;0,),0)),IF(AY313=0,INDEX($AM$7:$AW$7,MATCH(1,$AM313:$AW313,0)),IF(BF313="Multiple strategies","mixed drivers",IF(BF313="Supply chain","multiple supply","multiple silviculture"))))</f>
        <v>site fertility</v>
      </c>
      <c r="BF313" s="2" t="str" cm="1">
        <f t="array" ref="BF313">IF(COUNTIF(AZ313:BB313,"&lt;&gt;0")=1,INDEX($V$4:$AW$4,MATCH(TRUE,INDEX($V313:$AW313&lt;&gt;0,),0)),IF(COUNTIF(AZ313:BB313,"&lt;&gt;0")=0,INDEX($AM$4:$AW$4,MATCH(1,$AM313:$AW313,0)),"Multiple strategies"))</f>
        <v>SilvicultureProd</v>
      </c>
      <c r="BG313" s="1" t="s">
        <v>322</v>
      </c>
      <c r="BH313" t="s">
        <v>1058</v>
      </c>
      <c r="BI313" s="266" t="s">
        <v>1059</v>
      </c>
      <c r="BJ313" s="266" t="s">
        <v>1060</v>
      </c>
      <c r="BK313">
        <v>5.45</v>
      </c>
      <c r="BL313">
        <v>6.4</v>
      </c>
      <c r="BM313" t="str">
        <f>IFERROR(BK313/#REF!,"")</f>
        <v/>
      </c>
      <c r="BN313">
        <f>BL313-BK313</f>
        <v>0.95000000000000018</v>
      </c>
      <c r="BO313">
        <f>BN313*t_to_m3</f>
        <v>1.938775510204082</v>
      </c>
      <c r="BP313" t="s">
        <v>396</v>
      </c>
      <c r="BQ313" t="s">
        <v>974</v>
      </c>
      <c r="BR313" t="s">
        <v>1061</v>
      </c>
      <c r="BS313" s="172">
        <v>-431</v>
      </c>
      <c r="BT313" s="172">
        <v>-514.5</v>
      </c>
      <c r="BU313" s="144"/>
      <c r="BV313">
        <f>BT313-BS313</f>
        <v>-83.5</v>
      </c>
      <c r="BW313"/>
      <c r="BX313">
        <f>BV313*10^-6*10^4</f>
        <v>-0.83499999999999996</v>
      </c>
      <c r="BY313">
        <f>IFERROR(BX313/BO313,"")</f>
        <v>-0.43068421052631567</v>
      </c>
      <c r="BZ313">
        <v>0</v>
      </c>
      <c r="CA313">
        <v>0</v>
      </c>
      <c r="CB313">
        <v>0</v>
      </c>
      <c r="CC313">
        <v>0</v>
      </c>
      <c r="CD313">
        <v>0</v>
      </c>
      <c r="CE313">
        <v>0</v>
      </c>
      <c r="CF313">
        <v>0</v>
      </c>
      <c r="CG313">
        <v>0</v>
      </c>
      <c r="CH313">
        <v>0</v>
      </c>
      <c r="CI313">
        <v>0</v>
      </c>
      <c r="CJ313">
        <v>0</v>
      </c>
      <c r="CK313">
        <v>0</v>
      </c>
      <c r="CL313">
        <v>0</v>
      </c>
      <c r="CM313">
        <v>0</v>
      </c>
      <c r="CN313" t="str">
        <f>IF($BL313&lt;$BK313,"refNeedCorrection","refOK")</f>
        <v>refOK</v>
      </c>
      <c r="CO313">
        <f>IF($CN313="refOK",$BK313,$BL313)</f>
        <v>5.45</v>
      </c>
      <c r="CP313">
        <f>IF($CN313="refOK",$BL313,$BK313)</f>
        <v>6.4</v>
      </c>
      <c r="CQ313">
        <f>IF($CN313="refOK",$BO313,-$BO313)</f>
        <v>1.938775510204082</v>
      </c>
      <c r="CR313">
        <f>IF($CN313="refOK",$BS313,$BT313)*IF($BP313="Emissions positive",-1,1)</f>
        <v>431</v>
      </c>
      <c r="CS313">
        <f>IF($CN313="refOK",$BT313,$BS313)*IF($BP313="Emissions positive",-1,1)</f>
        <v>514.5</v>
      </c>
      <c r="CT313">
        <f>IF($CN313="refNeedCorrection",-BX313,BX313)*IF($BP313="Emissions positive",-1,1)</f>
        <v>0.83499999999999996</v>
      </c>
      <c r="CU313">
        <f>IFERROR(CT313/CQ313,"")</f>
        <v>0.43068421052631567</v>
      </c>
      <c r="CV313" s="2">
        <f>IFERROR((CS313-CR313)/ABS(CR313),"")</f>
        <v>0.19373549883990721</v>
      </c>
      <c r="CW313" s="1" t="s">
        <v>264</v>
      </c>
      <c r="CX313" s="266" t="str">
        <f>IF(OR($CW313="prd",$CW313="std",$CW313="cit"),"loc",IF(OR($CW313="eur",$CW313="reg",$CW313="coy"),"reg",$CW313))</f>
        <v>loc</v>
      </c>
      <c r="CY313" t="s">
        <v>236</v>
      </c>
      <c r="CZ313"/>
      <c r="DA313"/>
      <c r="DB313">
        <v>80</v>
      </c>
      <c r="DC313" t="str">
        <f>IF(DB313=0,"0",IF(AND(DB313&gt;=1,DB313&lt;=30),"1-30",IF(AND(DB313&gt;30,DB313&lt;=70),"31-70",IF(AND(DB313&gt;70,DB313&lt;=100),"71-100",IF(DB313&gt;100,"+100")))))</f>
        <v>71-100</v>
      </c>
      <c r="DD313">
        <v>0</v>
      </c>
      <c r="DE313">
        <v>1</v>
      </c>
      <c r="DF313">
        <v>0</v>
      </c>
      <c r="DG313">
        <v>1</v>
      </c>
      <c r="DH313"/>
      <c r="DI313">
        <f>SUM(DD313:DG313)</f>
        <v>2</v>
      </c>
      <c r="DJ313" t="str">
        <f>IF(DI313=1,INDEX($DD$7:$DG$7,MATCH(1,$DD313:$DG313,0)),"mixedProduct")</f>
        <v>mixedProduct</v>
      </c>
      <c r="DK313">
        <f>IF(DD313=1,DK$7,0)</f>
        <v>0</v>
      </c>
      <c r="DL313" t="str">
        <f>IF(DE313=1,DL$7,0)</f>
        <v>Energy</v>
      </c>
      <c r="DM313">
        <f>IF(DF313=1,DM$7,0)</f>
        <v>0</v>
      </c>
      <c r="DN313" t="str">
        <f>IF(DG313=1,DN$7,0)</f>
        <v>Timber</v>
      </c>
      <c r="DO313">
        <v>0</v>
      </c>
      <c r="DP313">
        <v>1</v>
      </c>
      <c r="DQ313" t="s">
        <v>1062</v>
      </c>
      <c r="DR313"/>
      <c r="DS313"/>
      <c r="DT313">
        <f>SUM(DO313:DP313)</f>
        <v>1</v>
      </c>
      <c r="DU313" s="143" t="str">
        <f>IF(DO313=1,"self-calculated DF",IF(DP313=1,"external DF used","explicit C balance"))</f>
        <v>external DF used</v>
      </c>
      <c r="DV313">
        <v>1</v>
      </c>
      <c r="DW313">
        <v>1</v>
      </c>
      <c r="DX313">
        <v>1</v>
      </c>
      <c r="DY313" s="143">
        <v>0</v>
      </c>
      <c r="DZ313">
        <v>0</v>
      </c>
      <c r="EA313" s="143">
        <v>0</v>
      </c>
      <c r="EB313">
        <v>1</v>
      </c>
      <c r="EC313">
        <v>1</v>
      </c>
      <c r="ED313" s="143">
        <v>0</v>
      </c>
      <c r="EE313">
        <v>0</v>
      </c>
      <c r="EF313">
        <v>1</v>
      </c>
      <c r="EG313" s="143">
        <v>0</v>
      </c>
      <c r="EH313" s="143">
        <v>0</v>
      </c>
      <c r="EI313" s="2">
        <v>0</v>
      </c>
      <c r="EJ313" s="1"/>
      <c r="EK313" t="str">
        <f>IF(AND(AND(AND(OR($DX313=1,$DW313=1),OR($EC313=1,$EA313=1)),SUM($DV313:$DZ313,$EF313)&gt;=4),SUM($EA313:$EE313)&gt;=2),"Whole sector","")</f>
        <v>Whole sector</v>
      </c>
      <c r="EL313" t="str">
        <f>IF(AND(AND(OR($DX313=1,$DW313=1),AND($EC313=0,$EA313=0)),SUM($DV313:$DZ313,$EF313)&gt;=4),"Ecosystem approach","")</f>
        <v/>
      </c>
      <c r="EM313" s="2" t="str">
        <f>IF(AND(AND(AND($DX313=0,$DW313=0),OR($EC313=1,$EA313=1)),SUM($EB313:$EE313)&gt;=2),"Technology approach","")</f>
        <v/>
      </c>
      <c r="EN313"/>
      <c r="EO313"/>
      <c r="EP313" t="str">
        <f>IF(ISNUMBER(BU313),IF(ABS(BU313-[1]QC_indicators!$B$2)&gt;3*[1]QC_indicators!$C$2,"C ratio",IF(ISNUMBER(BY313),IF(ABS(BY313-[1]QC_indicators!$B$1)&gt;3*[1]QC_indicators!$C$1,"DF","no"))),IF(ISNUMBER(BY313),IF(ABS(BY313-[1]QC_indicators!$B$1)&gt;3*[1]QC_indicators!$C$1,"DF","no")))</f>
        <v>no</v>
      </c>
      <c r="EQ313"/>
      <c r="ER313" s="266" t="s">
        <v>1072</v>
      </c>
      <c r="ES313"/>
      <c r="ET313" s="266" t="s">
        <v>3409</v>
      </c>
      <c r="EU313"/>
    </row>
    <row r="314" spans="1:151" s="139" customFormat="1" ht="15" hidden="1" customHeight="1">
      <c r="A314" s="1" t="s">
        <v>1047</v>
      </c>
      <c r="B314" t="s">
        <v>1048</v>
      </c>
      <c r="C314" t="s">
        <v>1049</v>
      </c>
      <c r="D314" t="s">
        <v>1050</v>
      </c>
      <c r="E314" t="s">
        <v>1051</v>
      </c>
      <c r="F314" t="s">
        <v>1052</v>
      </c>
      <c r="G314" t="s">
        <v>1053</v>
      </c>
      <c r="H314" t="s">
        <v>255</v>
      </c>
      <c r="I314">
        <v>2014</v>
      </c>
      <c r="J314">
        <v>23</v>
      </c>
      <c r="K314" t="s">
        <v>1054</v>
      </c>
      <c r="L314"/>
      <c r="M314" t="str">
        <f>LEFT($D314,FIND(",",$D314)-1)&amp;"_"&amp;I314&amp;L314</f>
        <v>Pyorala_2014</v>
      </c>
      <c r="N314" t="s">
        <v>223</v>
      </c>
      <c r="O314" s="171" t="s">
        <v>342</v>
      </c>
      <c r="P314" t="s">
        <v>226</v>
      </c>
      <c r="Q314" s="266" t="s">
        <v>390</v>
      </c>
      <c r="R314" s="271" t="s">
        <v>1156</v>
      </c>
      <c r="S314" s="265" t="s">
        <v>96</v>
      </c>
      <c r="T314" s="266" t="s">
        <v>1075</v>
      </c>
      <c r="U314" s="266" t="s">
        <v>1076</v>
      </c>
      <c r="V314">
        <v>0</v>
      </c>
      <c r="W314">
        <v>0</v>
      </c>
      <c r="X314">
        <v>0</v>
      </c>
      <c r="Y314">
        <v>0</v>
      </c>
      <c r="Z314">
        <v>0</v>
      </c>
      <c r="AA314">
        <v>0</v>
      </c>
      <c r="AB314">
        <v>0</v>
      </c>
      <c r="AC314">
        <v>1</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s="141">
        <f>COUNTIF(V314:AW314,"&lt;&gt;0")</f>
        <v>1</v>
      </c>
      <c r="AY314" s="141">
        <f>COUNTIF(V314:AL314,"&lt;&gt;0")</f>
        <v>1</v>
      </c>
      <c r="AZ314">
        <f>COUNTIF(V314:AC314,"&lt;&gt;0")</f>
        <v>1</v>
      </c>
      <c r="BA314">
        <f>COUNTIF(AD314:AI314,"&lt;&gt;0")</f>
        <v>0</v>
      </c>
      <c r="BB314">
        <f>COUNTIF(AJ314:AL314,"&lt;&gt;0")</f>
        <v>0</v>
      </c>
      <c r="BC314">
        <f>COUNTIF(AS314:AW314,"&lt;&gt;0")</f>
        <v>0</v>
      </c>
      <c r="BD314">
        <f>COUNTIF(AM314:AR314,"&lt;&gt;0")</f>
        <v>0</v>
      </c>
      <c r="BE314" t="str" cm="1">
        <f t="array" ref="BE314">IF(AY314=1,INDEX($V$7:$AL$7,MATCH(TRUE,INDEX($V314:$AW314&lt;&gt;0,),0)),IF(AY314=0,INDEX($AM$7:$AW$7,MATCH(1,$AM314:$AW314,0)),IF(BF314="Multiple strategies","mixed drivers",IF(BF314="Supply chain","multiple supply","multiple silviculture"))))</f>
        <v>site fertility</v>
      </c>
      <c r="BF314" s="2" t="str" cm="1">
        <f t="array" ref="BF314">IF(COUNTIF(AZ314:BB314,"&lt;&gt;0")=1,INDEX($V$4:$AW$4,MATCH(TRUE,INDEX($V314:$AW314&lt;&gt;0,),0)),IF(COUNTIF(AZ314:BB314,"&lt;&gt;0")=0,INDEX($AM$4:$AW$4,MATCH(1,$AM314:$AW314,0)),"Multiple strategies"))</f>
        <v>SilvicultureProd</v>
      </c>
      <c r="BG314" s="1" t="s">
        <v>322</v>
      </c>
      <c r="BH314" t="s">
        <v>1058</v>
      </c>
      <c r="BI314" s="266" t="s">
        <v>1059</v>
      </c>
      <c r="BJ314" s="266" t="s">
        <v>1060</v>
      </c>
      <c r="BK314">
        <v>5.25</v>
      </c>
      <c r="BL314">
        <v>6.15</v>
      </c>
      <c r="BM314" t="str">
        <f>IFERROR(BK314/#REF!,"")</f>
        <v/>
      </c>
      <c r="BN314">
        <f>BL314-BK314</f>
        <v>0.90000000000000036</v>
      </c>
      <c r="BO314">
        <f>BN314*t_to_m3</f>
        <v>1.8367346938775517</v>
      </c>
      <c r="BP314" t="s">
        <v>396</v>
      </c>
      <c r="BQ314" t="s">
        <v>974</v>
      </c>
      <c r="BR314" t="s">
        <v>1061</v>
      </c>
      <c r="BS314" s="172">
        <v>-446.5</v>
      </c>
      <c r="BT314" s="172">
        <v>-529</v>
      </c>
      <c r="BU314" s="144"/>
      <c r="BV314">
        <f>BT314-BS314</f>
        <v>-82.5</v>
      </c>
      <c r="BW314"/>
      <c r="BX314">
        <f>BV314*10^-6*10^4</f>
        <v>-0.82499999999999996</v>
      </c>
      <c r="BY314">
        <f>IFERROR(BX314/BO314,"")</f>
        <v>-0.44916666666666649</v>
      </c>
      <c r="BZ314">
        <v>0</v>
      </c>
      <c r="CA314">
        <v>0</v>
      </c>
      <c r="CB314">
        <v>0</v>
      </c>
      <c r="CC314">
        <v>0</v>
      </c>
      <c r="CD314">
        <v>0</v>
      </c>
      <c r="CE314">
        <v>0</v>
      </c>
      <c r="CF314">
        <v>0</v>
      </c>
      <c r="CG314">
        <v>0</v>
      </c>
      <c r="CH314">
        <v>0</v>
      </c>
      <c r="CI314">
        <v>0</v>
      </c>
      <c r="CJ314">
        <v>0</v>
      </c>
      <c r="CK314">
        <v>0</v>
      </c>
      <c r="CL314">
        <v>0</v>
      </c>
      <c r="CM314">
        <v>0</v>
      </c>
      <c r="CN314" t="str">
        <f>IF($BL314&lt;$BK314,"refNeedCorrection","refOK")</f>
        <v>refOK</v>
      </c>
      <c r="CO314">
        <f>IF($CN314="refOK",$BK314,$BL314)</f>
        <v>5.25</v>
      </c>
      <c r="CP314">
        <f>IF($CN314="refOK",$BL314,$BK314)</f>
        <v>6.15</v>
      </c>
      <c r="CQ314">
        <f>IF($CN314="refOK",$BO314,-$BO314)</f>
        <v>1.8367346938775517</v>
      </c>
      <c r="CR314">
        <f>IF($CN314="refOK",$BS314,$BT314)*IF($BP314="Emissions positive",-1,1)</f>
        <v>446.5</v>
      </c>
      <c r="CS314">
        <f>IF($CN314="refOK",$BT314,$BS314)*IF($BP314="Emissions positive",-1,1)</f>
        <v>529</v>
      </c>
      <c r="CT314">
        <f>IF($CN314="refNeedCorrection",-BX314,BX314)*IF($BP314="Emissions positive",-1,1)</f>
        <v>0.82499999999999996</v>
      </c>
      <c r="CU314">
        <f>IFERROR(CT314/CQ314,"")</f>
        <v>0.44916666666666649</v>
      </c>
      <c r="CV314" s="2">
        <f>IFERROR((CS314-CR314)/ABS(CR314),"")</f>
        <v>0.18477043673012317</v>
      </c>
      <c r="CW314" s="1" t="s">
        <v>264</v>
      </c>
      <c r="CX314" s="266" t="str">
        <f>IF(OR($CW314="prd",$CW314="std",$CW314="cit"),"loc",IF(OR($CW314="eur",$CW314="reg",$CW314="coy"),"reg",$CW314))</f>
        <v>loc</v>
      </c>
      <c r="CY314" t="s">
        <v>236</v>
      </c>
      <c r="CZ314"/>
      <c r="DA314"/>
      <c r="DB314">
        <v>80</v>
      </c>
      <c r="DC314" t="str">
        <f>IF(DB314=0,"0",IF(AND(DB314&gt;=1,DB314&lt;=30),"1-30",IF(AND(DB314&gt;30,DB314&lt;=70),"31-70",IF(AND(DB314&gt;70,DB314&lt;=100),"71-100",IF(DB314&gt;100,"+100")))))</f>
        <v>71-100</v>
      </c>
      <c r="DD314">
        <v>0</v>
      </c>
      <c r="DE314">
        <v>1</v>
      </c>
      <c r="DF314">
        <v>0</v>
      </c>
      <c r="DG314">
        <v>1</v>
      </c>
      <c r="DH314"/>
      <c r="DI314">
        <f>SUM(DD314:DG314)</f>
        <v>2</v>
      </c>
      <c r="DJ314" t="str">
        <f>IF(DI314=1,INDEX($DD$7:$DG$7,MATCH(1,$DD314:$DG314,0)),"mixedProduct")</f>
        <v>mixedProduct</v>
      </c>
      <c r="DK314">
        <f>IF(DD314=1,DK$7,0)</f>
        <v>0</v>
      </c>
      <c r="DL314" t="str">
        <f>IF(DE314=1,DL$7,0)</f>
        <v>Energy</v>
      </c>
      <c r="DM314">
        <f>IF(DF314=1,DM$7,0)</f>
        <v>0</v>
      </c>
      <c r="DN314" t="str">
        <f>IF(DG314=1,DN$7,0)</f>
        <v>Timber</v>
      </c>
      <c r="DO314">
        <v>0</v>
      </c>
      <c r="DP314">
        <v>1</v>
      </c>
      <c r="DQ314" t="s">
        <v>1062</v>
      </c>
      <c r="DR314"/>
      <c r="DS314"/>
      <c r="DT314">
        <f>SUM(DO314:DP314)</f>
        <v>1</v>
      </c>
      <c r="DU314" s="143" t="str">
        <f>IF(DO314=1,"self-calculated DF",IF(DP314=1,"external DF used","explicit C balance"))</f>
        <v>external DF used</v>
      </c>
      <c r="DV314">
        <v>1</v>
      </c>
      <c r="DW314">
        <v>1</v>
      </c>
      <c r="DX314">
        <v>1</v>
      </c>
      <c r="DY314" s="143">
        <v>0</v>
      </c>
      <c r="DZ314">
        <v>0</v>
      </c>
      <c r="EA314" s="143">
        <v>0</v>
      </c>
      <c r="EB314">
        <v>1</v>
      </c>
      <c r="EC314">
        <v>1</v>
      </c>
      <c r="ED314" s="143">
        <v>0</v>
      </c>
      <c r="EE314">
        <v>0</v>
      </c>
      <c r="EF314">
        <v>1</v>
      </c>
      <c r="EG314" s="143">
        <v>0</v>
      </c>
      <c r="EH314" s="143">
        <v>0</v>
      </c>
      <c r="EI314" s="2">
        <v>0</v>
      </c>
      <c r="EJ314" s="1"/>
      <c r="EK314" t="str">
        <f>IF(AND(AND(AND(OR($DX314=1,$DW314=1),OR($EC314=1,$EA314=1)),SUM($DV314:$DZ314,$EF314)&gt;=4),SUM($EA314:$EE314)&gt;=2),"Whole sector","")</f>
        <v>Whole sector</v>
      </c>
      <c r="EL314" t="str">
        <f>IF(AND(AND(OR($DX314=1,$DW314=1),AND($EC314=0,$EA314=0)),SUM($DV314:$DZ314,$EF314)&gt;=4),"Ecosystem approach","")</f>
        <v/>
      </c>
      <c r="EM314" s="2" t="str">
        <f>IF(AND(AND(AND($DX314=0,$DW314=0),OR($EC314=1,$EA314=1)),SUM($EB314:$EE314)&gt;=2),"Technology approach","")</f>
        <v/>
      </c>
      <c r="EN314"/>
      <c r="EO314"/>
      <c r="EP314" t="str">
        <f>IF(ISNUMBER(BU314),IF(ABS(BU314-[1]QC_indicators!$B$2)&gt;3*[1]QC_indicators!$C$2,"C ratio",IF(ISNUMBER(BY314),IF(ABS(BY314-[1]QC_indicators!$B$1)&gt;3*[1]QC_indicators!$C$1,"DF","no"))),IF(ISNUMBER(BY314),IF(ABS(BY314-[1]QC_indicators!$B$1)&gt;3*[1]QC_indicators!$C$1,"DF","no")))</f>
        <v>no</v>
      </c>
      <c r="EQ314"/>
      <c r="ER314" s="266" t="s">
        <v>1072</v>
      </c>
      <c r="ES314"/>
      <c r="ET314" s="266" t="s">
        <v>3409</v>
      </c>
      <c r="EU314"/>
    </row>
    <row r="315" spans="1:151" s="139" customFormat="1" ht="15" hidden="1" customHeight="1">
      <c r="A315" s="1" t="s">
        <v>1047</v>
      </c>
      <c r="B315" t="s">
        <v>1048</v>
      </c>
      <c r="C315" t="s">
        <v>1049</v>
      </c>
      <c r="D315" t="s">
        <v>1050</v>
      </c>
      <c r="E315" t="s">
        <v>1051</v>
      </c>
      <c r="F315" t="s">
        <v>1052</v>
      </c>
      <c r="G315" t="s">
        <v>1053</v>
      </c>
      <c r="H315" t="s">
        <v>255</v>
      </c>
      <c r="I315">
        <v>2014</v>
      </c>
      <c r="J315">
        <v>23</v>
      </c>
      <c r="K315" t="s">
        <v>1054</v>
      </c>
      <c r="L315"/>
      <c r="M315" t="str">
        <f>LEFT($D315,FIND(",",$D315)-1)&amp;"_"&amp;I315&amp;L315</f>
        <v>Pyorala_2014</v>
      </c>
      <c r="N315" t="s">
        <v>223</v>
      </c>
      <c r="O315" s="171" t="s">
        <v>342</v>
      </c>
      <c r="P315" t="s">
        <v>226</v>
      </c>
      <c r="Q315" s="266" t="s">
        <v>390</v>
      </c>
      <c r="R315" s="271" t="s">
        <v>1156</v>
      </c>
      <c r="S315" s="265" t="s">
        <v>96</v>
      </c>
      <c r="T315" s="266" t="s">
        <v>1077</v>
      </c>
      <c r="U315" s="266" t="s">
        <v>1078</v>
      </c>
      <c r="V315">
        <v>0</v>
      </c>
      <c r="W315">
        <v>0</v>
      </c>
      <c r="X315">
        <v>0</v>
      </c>
      <c r="Y315">
        <v>0</v>
      </c>
      <c r="Z315">
        <v>0</v>
      </c>
      <c r="AA315">
        <v>0</v>
      </c>
      <c r="AB315">
        <v>0</v>
      </c>
      <c r="AC315">
        <v>1</v>
      </c>
      <c r="AD315">
        <v>0</v>
      </c>
      <c r="AE315">
        <v>0</v>
      </c>
      <c r="AF315">
        <v>0</v>
      </c>
      <c r="AG315">
        <v>0</v>
      </c>
      <c r="AH315">
        <v>0</v>
      </c>
      <c r="AI315">
        <v>0</v>
      </c>
      <c r="AJ315">
        <v>0</v>
      </c>
      <c r="AK315">
        <v>0</v>
      </c>
      <c r="AL315">
        <v>0</v>
      </c>
      <c r="AM315">
        <v>0</v>
      </c>
      <c r="AN315">
        <v>0</v>
      </c>
      <c r="AO315">
        <v>0</v>
      </c>
      <c r="AP315">
        <v>0</v>
      </c>
      <c r="AQ315">
        <v>0</v>
      </c>
      <c r="AR315">
        <v>0</v>
      </c>
      <c r="AS315">
        <v>0</v>
      </c>
      <c r="AT315">
        <v>0</v>
      </c>
      <c r="AU315">
        <v>0</v>
      </c>
      <c r="AV315">
        <v>0</v>
      </c>
      <c r="AW315">
        <v>0</v>
      </c>
      <c r="AX315" s="141">
        <f>COUNTIF(V315:AW315,"&lt;&gt;0")</f>
        <v>1</v>
      </c>
      <c r="AY315" s="141">
        <f>COUNTIF(V315:AL315,"&lt;&gt;0")</f>
        <v>1</v>
      </c>
      <c r="AZ315">
        <f>COUNTIF(V315:AC315,"&lt;&gt;0")</f>
        <v>1</v>
      </c>
      <c r="BA315">
        <f>COUNTIF(AD315:AI315,"&lt;&gt;0")</f>
        <v>0</v>
      </c>
      <c r="BB315">
        <f>COUNTIF(AJ315:AL315,"&lt;&gt;0")</f>
        <v>0</v>
      </c>
      <c r="BC315">
        <f>COUNTIF(AS315:AW315,"&lt;&gt;0")</f>
        <v>0</v>
      </c>
      <c r="BD315">
        <f>COUNTIF(AM315:AR315,"&lt;&gt;0")</f>
        <v>0</v>
      </c>
      <c r="BE315" t="str" cm="1">
        <f t="array" ref="BE315">IF(AY315=1,INDEX($V$7:$AL$7,MATCH(TRUE,INDEX($V315:$AW315&lt;&gt;0,),0)),IF(AY315=0,INDEX($AM$7:$AW$7,MATCH(1,$AM315:$AW315,0)),IF(BF315="Multiple strategies","mixed drivers",IF(BF315="Supply chain","multiple supply","multiple silviculture"))))</f>
        <v>site fertility</v>
      </c>
      <c r="BF315" s="2" t="str" cm="1">
        <f t="array" ref="BF315">IF(COUNTIF(AZ315:BB315,"&lt;&gt;0")=1,INDEX($V$4:$AW$4,MATCH(TRUE,INDEX($V315:$AW315&lt;&gt;0,),0)),IF(COUNTIF(AZ315:BB315,"&lt;&gt;0")=0,INDEX($AM$4:$AW$4,MATCH(1,$AM315:$AW315,0)),"Multiple strategies"))</f>
        <v>SilvicultureProd</v>
      </c>
      <c r="BG315" s="1" t="s">
        <v>322</v>
      </c>
      <c r="BH315" t="s">
        <v>1058</v>
      </c>
      <c r="BI315" s="266" t="s">
        <v>1059</v>
      </c>
      <c r="BJ315" s="266" t="s">
        <v>1060</v>
      </c>
      <c r="BK315">
        <v>5.6</v>
      </c>
      <c r="BL315">
        <v>6.4</v>
      </c>
      <c r="BM315" t="str">
        <f>IFERROR(BK315/#REF!,"")</f>
        <v/>
      </c>
      <c r="BN315">
        <f>BL315-BK315</f>
        <v>0.80000000000000071</v>
      </c>
      <c r="BO315">
        <f>BN315*t_to_m3</f>
        <v>1.6326530612244914</v>
      </c>
      <c r="BP315" t="s">
        <v>396</v>
      </c>
      <c r="BQ315" t="s">
        <v>974</v>
      </c>
      <c r="BR315" t="s">
        <v>1061</v>
      </c>
      <c r="BS315" s="172">
        <v>-457</v>
      </c>
      <c r="BT315" s="172">
        <v>-534</v>
      </c>
      <c r="BU315" s="144"/>
      <c r="BV315">
        <f>BT315-BS315</f>
        <v>-77</v>
      </c>
      <c r="BW315"/>
      <c r="BX315">
        <f>BV315*10^-6*10^4</f>
        <v>-0.77</v>
      </c>
      <c r="BY315">
        <f>IFERROR(BX315/BO315,"")</f>
        <v>-0.47162499999999957</v>
      </c>
      <c r="BZ315">
        <v>0</v>
      </c>
      <c r="CA315">
        <v>0</v>
      </c>
      <c r="CB315">
        <v>0</v>
      </c>
      <c r="CC315">
        <v>0</v>
      </c>
      <c r="CD315">
        <v>0</v>
      </c>
      <c r="CE315">
        <v>0</v>
      </c>
      <c r="CF315">
        <v>0</v>
      </c>
      <c r="CG315">
        <v>0</v>
      </c>
      <c r="CH315">
        <v>0</v>
      </c>
      <c r="CI315">
        <v>0</v>
      </c>
      <c r="CJ315">
        <v>0</v>
      </c>
      <c r="CK315">
        <v>0</v>
      </c>
      <c r="CL315">
        <v>0</v>
      </c>
      <c r="CM315">
        <v>0</v>
      </c>
      <c r="CN315" t="str">
        <f>IF($BL315&lt;$BK315,"refNeedCorrection","refOK")</f>
        <v>refOK</v>
      </c>
      <c r="CO315">
        <f>IF($CN315="refOK",$BK315,$BL315)</f>
        <v>5.6</v>
      </c>
      <c r="CP315">
        <f>IF($CN315="refOK",$BL315,$BK315)</f>
        <v>6.4</v>
      </c>
      <c r="CQ315">
        <f>IF($CN315="refOK",$BO315,-$BO315)</f>
        <v>1.6326530612244914</v>
      </c>
      <c r="CR315">
        <f>IF($CN315="refOK",$BS315,$BT315)*IF($BP315="Emissions positive",-1,1)</f>
        <v>457</v>
      </c>
      <c r="CS315">
        <f>IF($CN315="refOK",$BT315,$BS315)*IF($BP315="Emissions positive",-1,1)</f>
        <v>534</v>
      </c>
      <c r="CT315">
        <f>IF($CN315="refNeedCorrection",-BX315,BX315)*IF($BP315="Emissions positive",-1,1)</f>
        <v>0.77</v>
      </c>
      <c r="CU315">
        <f>IFERROR(CT315/CQ315,"")</f>
        <v>0.47162499999999957</v>
      </c>
      <c r="CV315" s="2">
        <f>IFERROR((CS315-CR315)/ABS(CR315),"")</f>
        <v>0.16849015317286653</v>
      </c>
      <c r="CW315" s="1" t="s">
        <v>264</v>
      </c>
      <c r="CX315" s="266" t="str">
        <f>IF(OR($CW315="prd",$CW315="std",$CW315="cit"),"loc",IF(OR($CW315="eur",$CW315="reg",$CW315="coy"),"reg",$CW315))</f>
        <v>loc</v>
      </c>
      <c r="CY315" t="s">
        <v>236</v>
      </c>
      <c r="CZ315"/>
      <c r="DA315"/>
      <c r="DB315">
        <v>80</v>
      </c>
      <c r="DC315" t="str">
        <f>IF(DB315=0,"0",IF(AND(DB315&gt;=1,DB315&lt;=30),"1-30",IF(AND(DB315&gt;30,DB315&lt;=70),"31-70",IF(AND(DB315&gt;70,DB315&lt;=100),"71-100",IF(DB315&gt;100,"+100")))))</f>
        <v>71-100</v>
      </c>
      <c r="DD315">
        <v>0</v>
      </c>
      <c r="DE315">
        <v>1</v>
      </c>
      <c r="DF315">
        <v>0</v>
      </c>
      <c r="DG315">
        <v>1</v>
      </c>
      <c r="DH315"/>
      <c r="DI315">
        <f>SUM(DD315:DG315)</f>
        <v>2</v>
      </c>
      <c r="DJ315" t="str">
        <f>IF(DI315=1,INDEX($DD$7:$DG$7,MATCH(1,$DD315:$DG315,0)),"mixedProduct")</f>
        <v>mixedProduct</v>
      </c>
      <c r="DK315">
        <f>IF(DD315=1,DK$7,0)</f>
        <v>0</v>
      </c>
      <c r="DL315" t="str">
        <f>IF(DE315=1,DL$7,0)</f>
        <v>Energy</v>
      </c>
      <c r="DM315">
        <f>IF(DF315=1,DM$7,0)</f>
        <v>0</v>
      </c>
      <c r="DN315" t="str">
        <f>IF(DG315=1,DN$7,0)</f>
        <v>Timber</v>
      </c>
      <c r="DO315">
        <v>0</v>
      </c>
      <c r="DP315">
        <v>1</v>
      </c>
      <c r="DQ315" t="s">
        <v>1062</v>
      </c>
      <c r="DR315"/>
      <c r="DS315"/>
      <c r="DT315">
        <f>SUM(DO315:DP315)</f>
        <v>1</v>
      </c>
      <c r="DU315" s="143" t="str">
        <f>IF(DO315=1,"self-calculated DF",IF(DP315=1,"external DF used","explicit C balance"))</f>
        <v>external DF used</v>
      </c>
      <c r="DV315">
        <v>1</v>
      </c>
      <c r="DW315">
        <v>1</v>
      </c>
      <c r="DX315">
        <v>1</v>
      </c>
      <c r="DY315" s="143">
        <v>0</v>
      </c>
      <c r="DZ315">
        <v>0</v>
      </c>
      <c r="EA315" s="143">
        <v>0</v>
      </c>
      <c r="EB315">
        <v>1</v>
      </c>
      <c r="EC315">
        <v>1</v>
      </c>
      <c r="ED315" s="143">
        <v>0</v>
      </c>
      <c r="EE315">
        <v>0</v>
      </c>
      <c r="EF315">
        <v>1</v>
      </c>
      <c r="EG315" s="143">
        <v>0</v>
      </c>
      <c r="EH315" s="143">
        <v>0</v>
      </c>
      <c r="EI315" s="2">
        <v>0</v>
      </c>
      <c r="EJ315" s="1"/>
      <c r="EK315" t="str">
        <f>IF(AND(AND(AND(OR($DX315=1,$DW315=1),OR($EC315=1,$EA315=1)),SUM($DV315:$DZ315,$EF315)&gt;=4),SUM($EA315:$EE315)&gt;=2),"Whole sector","")</f>
        <v>Whole sector</v>
      </c>
      <c r="EL315" t="str">
        <f>IF(AND(AND(OR($DX315=1,$DW315=1),AND($EC315=0,$EA315=0)),SUM($DV315:$DZ315,$EF315)&gt;=4),"Ecosystem approach","")</f>
        <v/>
      </c>
      <c r="EM315" s="2" t="str">
        <f>IF(AND(AND(AND($DX315=0,$DW315=0),OR($EC315=1,$EA315=1)),SUM($EB315:$EE315)&gt;=2),"Technology approach","")</f>
        <v/>
      </c>
      <c r="EN315"/>
      <c r="EO315"/>
      <c r="EP315" t="str">
        <f>IF(ISNUMBER(BU315),IF(ABS(BU315-[1]QC_indicators!$B$2)&gt;3*[1]QC_indicators!$C$2,"C ratio",IF(ISNUMBER(BY315),IF(ABS(BY315-[1]QC_indicators!$B$1)&gt;3*[1]QC_indicators!$C$1,"DF","no"))),IF(ISNUMBER(BY315),IF(ABS(BY315-[1]QC_indicators!$B$1)&gt;3*[1]QC_indicators!$C$1,"DF","no")))</f>
        <v>no</v>
      </c>
      <c r="EQ315"/>
      <c r="ER315" s="266" t="s">
        <v>1072</v>
      </c>
      <c r="ES315"/>
      <c r="ET315" s="266" t="s">
        <v>3409</v>
      </c>
      <c r="EU315"/>
    </row>
    <row r="316" spans="1:151" s="139" customFormat="1" ht="15" hidden="1" customHeight="1">
      <c r="A316" s="1" t="s">
        <v>1047</v>
      </c>
      <c r="B316" t="s">
        <v>1048</v>
      </c>
      <c r="C316" t="s">
        <v>1049</v>
      </c>
      <c r="D316" t="s">
        <v>1050</v>
      </c>
      <c r="E316" t="s">
        <v>1051</v>
      </c>
      <c r="F316" t="s">
        <v>1052</v>
      </c>
      <c r="G316" t="s">
        <v>1053</v>
      </c>
      <c r="H316" t="s">
        <v>255</v>
      </c>
      <c r="I316">
        <v>2014</v>
      </c>
      <c r="J316">
        <v>23</v>
      </c>
      <c r="K316" t="s">
        <v>1054</v>
      </c>
      <c r="L316"/>
      <c r="M316" t="str">
        <f>LEFT($D316,FIND(",",$D316)-1)&amp;"_"&amp;I316&amp;L316</f>
        <v>Pyorala_2014</v>
      </c>
      <c r="N316" t="s">
        <v>223</v>
      </c>
      <c r="O316" s="171" t="s">
        <v>342</v>
      </c>
      <c r="P316" t="s">
        <v>226</v>
      </c>
      <c r="Q316" s="266" t="s">
        <v>390</v>
      </c>
      <c r="R316" s="271" t="s">
        <v>1156</v>
      </c>
      <c r="S316" s="265" t="s">
        <v>96</v>
      </c>
      <c r="T316" s="266" t="s">
        <v>1079</v>
      </c>
      <c r="U316" s="266" t="s">
        <v>1080</v>
      </c>
      <c r="V316">
        <v>0</v>
      </c>
      <c r="W316">
        <v>0</v>
      </c>
      <c r="X316">
        <v>0</v>
      </c>
      <c r="Y316">
        <v>0</v>
      </c>
      <c r="Z316">
        <v>0</v>
      </c>
      <c r="AA316">
        <v>0</v>
      </c>
      <c r="AB316">
        <v>0</v>
      </c>
      <c r="AC316">
        <v>1</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s="141">
        <f>COUNTIF(V316:AW316,"&lt;&gt;0")</f>
        <v>1</v>
      </c>
      <c r="AY316" s="141">
        <f>COUNTIF(V316:AL316,"&lt;&gt;0")</f>
        <v>1</v>
      </c>
      <c r="AZ316">
        <f>COUNTIF(V316:AC316,"&lt;&gt;0")</f>
        <v>1</v>
      </c>
      <c r="BA316">
        <f>COUNTIF(AD316:AI316,"&lt;&gt;0")</f>
        <v>0</v>
      </c>
      <c r="BB316">
        <f>COUNTIF(AJ316:AL316,"&lt;&gt;0")</f>
        <v>0</v>
      </c>
      <c r="BC316">
        <f>COUNTIF(AS316:AW316,"&lt;&gt;0")</f>
        <v>0</v>
      </c>
      <c r="BD316">
        <f>COUNTIF(AM316:AR316,"&lt;&gt;0")</f>
        <v>0</v>
      </c>
      <c r="BE316" t="str" cm="1">
        <f t="array" ref="BE316">IF(AY316=1,INDEX($V$7:$AL$7,MATCH(TRUE,INDEX($V316:$AW316&lt;&gt;0,),0)),IF(AY316=0,INDEX($AM$7:$AW$7,MATCH(1,$AM316:$AW316,0)),IF(BF316="Multiple strategies","mixed drivers",IF(BF316="Supply chain","multiple supply","multiple silviculture"))))</f>
        <v>site fertility</v>
      </c>
      <c r="BF316" s="2" t="str" cm="1">
        <f t="array" ref="BF316">IF(COUNTIF(AZ316:BB316,"&lt;&gt;0")=1,INDEX($V$4:$AW$4,MATCH(TRUE,INDEX($V316:$AW316&lt;&gt;0,),0)),IF(COUNTIF(AZ316:BB316,"&lt;&gt;0")=0,INDEX($AM$4:$AW$4,MATCH(1,$AM316:$AW316,0)),"Multiple strategies"))</f>
        <v>SilvicultureProd</v>
      </c>
      <c r="BG316" s="1" t="s">
        <v>322</v>
      </c>
      <c r="BH316" t="s">
        <v>1058</v>
      </c>
      <c r="BI316" s="266" t="s">
        <v>1059</v>
      </c>
      <c r="BJ316" s="266" t="s">
        <v>1060</v>
      </c>
      <c r="BK316">
        <v>5.25</v>
      </c>
      <c r="BL316">
        <v>6.1</v>
      </c>
      <c r="BM316" t="str">
        <f>IFERROR(BK316/#REF!,"")</f>
        <v/>
      </c>
      <c r="BN316">
        <f>BL316-BK316</f>
        <v>0.84999999999999964</v>
      </c>
      <c r="BO316">
        <f>BN316*t_to_m3</f>
        <v>1.7346938775510197</v>
      </c>
      <c r="BP316" t="s">
        <v>396</v>
      </c>
      <c r="BQ316" t="s">
        <v>974</v>
      </c>
      <c r="BR316" t="s">
        <v>1061</v>
      </c>
      <c r="BS316" s="172">
        <v>-389.5</v>
      </c>
      <c r="BT316" s="172">
        <v>-489</v>
      </c>
      <c r="BU316" s="144"/>
      <c r="BV316">
        <f>BT316-BS316</f>
        <v>-99.5</v>
      </c>
      <c r="BW316"/>
      <c r="BX316">
        <f>BV316*10^-6*10^4</f>
        <v>-0.99499999999999988</v>
      </c>
      <c r="BY316">
        <f>IFERROR(BX316/BO316,"")</f>
        <v>-0.57358823529411784</v>
      </c>
      <c r="BZ316">
        <v>0</v>
      </c>
      <c r="CA316">
        <v>0</v>
      </c>
      <c r="CB316">
        <v>0</v>
      </c>
      <c r="CC316">
        <v>0</v>
      </c>
      <c r="CD316">
        <v>0</v>
      </c>
      <c r="CE316">
        <v>0</v>
      </c>
      <c r="CF316">
        <v>0</v>
      </c>
      <c r="CG316">
        <v>0</v>
      </c>
      <c r="CH316">
        <v>0</v>
      </c>
      <c r="CI316">
        <v>0</v>
      </c>
      <c r="CJ316">
        <v>0</v>
      </c>
      <c r="CK316">
        <v>0</v>
      </c>
      <c r="CL316">
        <v>0</v>
      </c>
      <c r="CM316">
        <v>0</v>
      </c>
      <c r="CN316" t="str">
        <f>IF($BL316&lt;$BK316,"refNeedCorrection","refOK")</f>
        <v>refOK</v>
      </c>
      <c r="CO316">
        <f>IF($CN316="refOK",$BK316,$BL316)</f>
        <v>5.25</v>
      </c>
      <c r="CP316">
        <f>IF($CN316="refOK",$BL316,$BK316)</f>
        <v>6.1</v>
      </c>
      <c r="CQ316">
        <f>IF($CN316="refOK",$BO316,-$BO316)</f>
        <v>1.7346938775510197</v>
      </c>
      <c r="CR316">
        <f>IF($CN316="refOK",$BS316,$BT316)*IF($BP316="Emissions positive",-1,1)</f>
        <v>389.5</v>
      </c>
      <c r="CS316">
        <f>IF($CN316="refOK",$BT316,$BS316)*IF($BP316="Emissions positive",-1,1)</f>
        <v>489</v>
      </c>
      <c r="CT316">
        <f>IF($CN316="refNeedCorrection",-BX316,BX316)*IF($BP316="Emissions positive",-1,1)</f>
        <v>0.99499999999999988</v>
      </c>
      <c r="CU316">
        <f>IFERROR(CT316/CQ316,"")</f>
        <v>0.57358823529411784</v>
      </c>
      <c r="CV316" s="2">
        <f>IFERROR((CS316-CR316)/ABS(CR316),"")</f>
        <v>0.25545571245186138</v>
      </c>
      <c r="CW316" s="1" t="s">
        <v>264</v>
      </c>
      <c r="CX316" s="266" t="str">
        <f>IF(OR($CW316="prd",$CW316="std",$CW316="cit"),"loc",IF(OR($CW316="eur",$CW316="reg",$CW316="coy"),"reg",$CW316))</f>
        <v>loc</v>
      </c>
      <c r="CY316" t="s">
        <v>236</v>
      </c>
      <c r="CZ316"/>
      <c r="DA316"/>
      <c r="DB316">
        <v>80</v>
      </c>
      <c r="DC316" t="str">
        <f>IF(DB316=0,"0",IF(AND(DB316&gt;=1,DB316&lt;=30),"1-30",IF(AND(DB316&gt;30,DB316&lt;=70),"31-70",IF(AND(DB316&gt;70,DB316&lt;=100),"71-100",IF(DB316&gt;100,"+100")))))</f>
        <v>71-100</v>
      </c>
      <c r="DD316">
        <v>0</v>
      </c>
      <c r="DE316">
        <v>1</v>
      </c>
      <c r="DF316">
        <v>0</v>
      </c>
      <c r="DG316">
        <v>1</v>
      </c>
      <c r="DH316"/>
      <c r="DI316">
        <f>SUM(DD316:DG316)</f>
        <v>2</v>
      </c>
      <c r="DJ316" t="str">
        <f>IF(DI316=1,INDEX($DD$7:$DG$7,MATCH(1,$DD316:$DG316,0)),"mixedProduct")</f>
        <v>mixedProduct</v>
      </c>
      <c r="DK316">
        <f>IF(DD316=1,DK$7,0)</f>
        <v>0</v>
      </c>
      <c r="DL316" t="str">
        <f>IF(DE316=1,DL$7,0)</f>
        <v>Energy</v>
      </c>
      <c r="DM316">
        <f>IF(DF316=1,DM$7,0)</f>
        <v>0</v>
      </c>
      <c r="DN316" t="str">
        <f>IF(DG316=1,DN$7,0)</f>
        <v>Timber</v>
      </c>
      <c r="DO316">
        <v>0</v>
      </c>
      <c r="DP316">
        <v>1</v>
      </c>
      <c r="DQ316" t="s">
        <v>1062</v>
      </c>
      <c r="DR316"/>
      <c r="DS316"/>
      <c r="DT316">
        <f>SUM(DO316:DP316)</f>
        <v>1</v>
      </c>
      <c r="DU316" s="143" t="str">
        <f>IF(DO316=1,"self-calculated DF",IF(DP316=1,"external DF used","explicit C balance"))</f>
        <v>external DF used</v>
      </c>
      <c r="DV316">
        <v>1</v>
      </c>
      <c r="DW316">
        <v>1</v>
      </c>
      <c r="DX316">
        <v>1</v>
      </c>
      <c r="DY316" s="143">
        <v>0</v>
      </c>
      <c r="DZ316">
        <v>0</v>
      </c>
      <c r="EA316" s="143">
        <v>0</v>
      </c>
      <c r="EB316">
        <v>1</v>
      </c>
      <c r="EC316">
        <v>1</v>
      </c>
      <c r="ED316" s="143">
        <v>0</v>
      </c>
      <c r="EE316">
        <v>0</v>
      </c>
      <c r="EF316">
        <v>1</v>
      </c>
      <c r="EG316" s="143">
        <v>0</v>
      </c>
      <c r="EH316" s="143">
        <v>0</v>
      </c>
      <c r="EI316" s="2">
        <v>0</v>
      </c>
      <c r="EJ316" s="1"/>
      <c r="EK316" t="str">
        <f>IF(AND(AND(AND(OR($DX316=1,$DW316=1),OR($EC316=1,$EA316=1)),SUM($DV316:$DZ316,$EF316)&gt;=4),SUM($EA316:$EE316)&gt;=2),"Whole sector","")</f>
        <v>Whole sector</v>
      </c>
      <c r="EL316" t="str">
        <f>IF(AND(AND(OR($DX316=1,$DW316=1),AND($EC316=0,$EA316=0)),SUM($DV316:$DZ316,$EF316)&gt;=4),"Ecosystem approach","")</f>
        <v/>
      </c>
      <c r="EM316" s="2" t="str">
        <f>IF(AND(AND(AND($DX316=0,$DW316=0),OR($EC316=1,$EA316=1)),SUM($EB316:$EE316)&gt;=2),"Technology approach","")</f>
        <v/>
      </c>
      <c r="EN316"/>
      <c r="EO316"/>
      <c r="EP316" t="str">
        <f>IF(ISNUMBER(BU316),IF(ABS(BU316-[1]QC_indicators!$B$2)&gt;3*[1]QC_indicators!$C$2,"C ratio",IF(ISNUMBER(BY316),IF(ABS(BY316-[1]QC_indicators!$B$1)&gt;3*[1]QC_indicators!$C$1,"DF","no"))),IF(ISNUMBER(BY316),IF(ABS(BY316-[1]QC_indicators!$B$1)&gt;3*[1]QC_indicators!$C$1,"DF","no")))</f>
        <v>no</v>
      </c>
      <c r="EQ316"/>
      <c r="ER316" s="266" t="s">
        <v>1072</v>
      </c>
      <c r="ES316"/>
      <c r="ET316" s="266" t="s">
        <v>3409</v>
      </c>
      <c r="EU316"/>
    </row>
    <row r="317" spans="1:151" s="139" customFormat="1" ht="15" hidden="1" customHeight="1">
      <c r="A317" s="1" t="s">
        <v>1047</v>
      </c>
      <c r="B317" t="s">
        <v>1048</v>
      </c>
      <c r="C317" t="s">
        <v>1049</v>
      </c>
      <c r="D317" t="s">
        <v>1050</v>
      </c>
      <c r="E317" t="s">
        <v>1051</v>
      </c>
      <c r="F317" t="s">
        <v>1052</v>
      </c>
      <c r="G317" t="s">
        <v>1053</v>
      </c>
      <c r="H317" t="s">
        <v>255</v>
      </c>
      <c r="I317">
        <v>2014</v>
      </c>
      <c r="J317">
        <v>23</v>
      </c>
      <c r="K317" t="s">
        <v>1054</v>
      </c>
      <c r="L317"/>
      <c r="M317" t="str">
        <f>LEFT($D317,FIND(",",$D317)-1)&amp;"_"&amp;I317&amp;L317</f>
        <v>Pyorala_2014</v>
      </c>
      <c r="N317" t="s">
        <v>223</v>
      </c>
      <c r="O317" s="171" t="s">
        <v>342</v>
      </c>
      <c r="P317" t="s">
        <v>226</v>
      </c>
      <c r="Q317" s="266" t="s">
        <v>390</v>
      </c>
      <c r="R317" s="271" t="s">
        <v>1156</v>
      </c>
      <c r="S317" s="265" t="s">
        <v>96</v>
      </c>
      <c r="T317" s="266" t="s">
        <v>1081</v>
      </c>
      <c r="U317" s="266" t="s">
        <v>1082</v>
      </c>
      <c r="V317">
        <v>0</v>
      </c>
      <c r="W317">
        <v>0</v>
      </c>
      <c r="X317">
        <v>0</v>
      </c>
      <c r="Y317">
        <v>0</v>
      </c>
      <c r="Z317">
        <v>0</v>
      </c>
      <c r="AA317">
        <v>0</v>
      </c>
      <c r="AB317">
        <v>0</v>
      </c>
      <c r="AC317">
        <v>1</v>
      </c>
      <c r="AD317">
        <v>0</v>
      </c>
      <c r="AE317">
        <v>0</v>
      </c>
      <c r="AF317">
        <v>0</v>
      </c>
      <c r="AG317">
        <v>0</v>
      </c>
      <c r="AH317">
        <v>0</v>
      </c>
      <c r="AI317">
        <v>0</v>
      </c>
      <c r="AJ317">
        <v>0</v>
      </c>
      <c r="AK317">
        <v>0</v>
      </c>
      <c r="AL317">
        <v>0</v>
      </c>
      <c r="AM317">
        <v>0</v>
      </c>
      <c r="AN317">
        <v>0</v>
      </c>
      <c r="AO317">
        <v>0</v>
      </c>
      <c r="AP317">
        <v>0</v>
      </c>
      <c r="AQ317">
        <v>0</v>
      </c>
      <c r="AR317">
        <v>0</v>
      </c>
      <c r="AS317">
        <v>0</v>
      </c>
      <c r="AT317">
        <v>0</v>
      </c>
      <c r="AU317">
        <v>0</v>
      </c>
      <c r="AV317">
        <v>0</v>
      </c>
      <c r="AW317">
        <v>0</v>
      </c>
      <c r="AX317" s="141">
        <f>COUNTIF(V317:AW317,"&lt;&gt;0")</f>
        <v>1</v>
      </c>
      <c r="AY317" s="141">
        <f>COUNTIF(V317:AL317,"&lt;&gt;0")</f>
        <v>1</v>
      </c>
      <c r="AZ317">
        <f>COUNTIF(V317:AC317,"&lt;&gt;0")</f>
        <v>1</v>
      </c>
      <c r="BA317">
        <f>COUNTIF(AD317:AI317,"&lt;&gt;0")</f>
        <v>0</v>
      </c>
      <c r="BB317">
        <f>COUNTIF(AJ317:AL317,"&lt;&gt;0")</f>
        <v>0</v>
      </c>
      <c r="BC317">
        <f>COUNTIF(AS317:AW317,"&lt;&gt;0")</f>
        <v>0</v>
      </c>
      <c r="BD317">
        <f>COUNTIF(AM317:AR317,"&lt;&gt;0")</f>
        <v>0</v>
      </c>
      <c r="BE317" t="str" cm="1">
        <f t="array" ref="BE317">IF(AY317=1,INDEX($V$7:$AL$7,MATCH(TRUE,INDEX($V317:$AW317&lt;&gt;0,),0)),IF(AY317=0,INDEX($AM$7:$AW$7,MATCH(1,$AM317:$AW317,0)),IF(BF317="Multiple strategies","mixed drivers",IF(BF317="Supply chain","multiple supply","multiple silviculture"))))</f>
        <v>site fertility</v>
      </c>
      <c r="BF317" s="2" t="str" cm="1">
        <f t="array" ref="BF317">IF(COUNTIF(AZ317:BB317,"&lt;&gt;0")=1,INDEX($V$4:$AW$4,MATCH(TRUE,INDEX($V317:$AW317&lt;&gt;0,),0)),IF(COUNTIF(AZ317:BB317,"&lt;&gt;0")=0,INDEX($AM$4:$AW$4,MATCH(1,$AM317:$AW317,0)),"Multiple strategies"))</f>
        <v>SilvicultureProd</v>
      </c>
      <c r="BG317" s="1" t="s">
        <v>322</v>
      </c>
      <c r="BH317" t="s">
        <v>1058</v>
      </c>
      <c r="BI317" s="266" t="s">
        <v>1059</v>
      </c>
      <c r="BJ317" s="266" t="s">
        <v>1060</v>
      </c>
      <c r="BK317">
        <v>5.2</v>
      </c>
      <c r="BL317">
        <v>6.1</v>
      </c>
      <c r="BM317" t="str">
        <f>IFERROR(BK317/#REF!,"")</f>
        <v/>
      </c>
      <c r="BN317">
        <f>BL317-BK317</f>
        <v>0.89999999999999947</v>
      </c>
      <c r="BO317">
        <f>BN317*t_to_m3</f>
        <v>1.83673469387755</v>
      </c>
      <c r="BP317" t="s">
        <v>396</v>
      </c>
      <c r="BQ317" s="266" t="s">
        <v>582</v>
      </c>
      <c r="BR317" t="s">
        <v>1061</v>
      </c>
      <c r="BS317" s="172">
        <v>-200.5</v>
      </c>
      <c r="BT317" s="172">
        <v>-460.5</v>
      </c>
      <c r="BU317" s="144"/>
      <c r="BV317">
        <f>BT317-BS317</f>
        <v>-260</v>
      </c>
      <c r="BW317"/>
      <c r="BX317">
        <f>BV317*10^-6*10^4</f>
        <v>-2.5999999999999996</v>
      </c>
      <c r="BY317">
        <f>IFERROR(BX317/BO317,"")</f>
        <v>-1.4155555555555561</v>
      </c>
      <c r="BZ317">
        <v>0</v>
      </c>
      <c r="CA317">
        <v>0</v>
      </c>
      <c r="CB317">
        <v>0</v>
      </c>
      <c r="CC317">
        <v>0</v>
      </c>
      <c r="CD317">
        <v>0</v>
      </c>
      <c r="CE317">
        <v>0</v>
      </c>
      <c r="CF317">
        <v>0</v>
      </c>
      <c r="CG317">
        <v>0</v>
      </c>
      <c r="CH317">
        <v>0</v>
      </c>
      <c r="CI317">
        <v>0</v>
      </c>
      <c r="CJ317">
        <v>0</v>
      </c>
      <c r="CK317">
        <v>0</v>
      </c>
      <c r="CL317">
        <v>0</v>
      </c>
      <c r="CM317">
        <v>0</v>
      </c>
      <c r="CN317" t="str">
        <f>IF($BL317&lt;$BK317,"refNeedCorrection","refOK")</f>
        <v>refOK</v>
      </c>
      <c r="CO317">
        <f>IF($CN317="refOK",$BK317,$BL317)</f>
        <v>5.2</v>
      </c>
      <c r="CP317">
        <f>IF($CN317="refOK",$BL317,$BK317)</f>
        <v>6.1</v>
      </c>
      <c r="CQ317">
        <f>IF($CN317="refOK",$BO317,-$BO317)</f>
        <v>1.83673469387755</v>
      </c>
      <c r="CR317">
        <f>IF($CN317="refOK",$BS317,$BT317)*IF($BP317="Emissions positive",-1,1)</f>
        <v>200.5</v>
      </c>
      <c r="CS317">
        <f>IF($CN317="refOK",$BT317,$BS317)*IF($BP317="Emissions positive",-1,1)</f>
        <v>460.5</v>
      </c>
      <c r="CT317">
        <f>IF($CN317="refNeedCorrection",-BX317,BX317)*IF($BP317="Emissions positive",-1,1)</f>
        <v>2.5999999999999996</v>
      </c>
      <c r="CU317">
        <f>IFERROR(CT317/CQ317,"")</f>
        <v>1.4155555555555561</v>
      </c>
      <c r="CV317" s="2">
        <f>IFERROR((CS317-CR317)/ABS(CR317),"")</f>
        <v>1.2967581047381547</v>
      </c>
      <c r="CW317" s="1" t="s">
        <v>264</v>
      </c>
      <c r="CX317" s="266" t="str">
        <f>IF(OR($CW317="prd",$CW317="std",$CW317="cit"),"loc",IF(OR($CW317="eur",$CW317="reg",$CW317="coy"),"reg",$CW317))</f>
        <v>loc</v>
      </c>
      <c r="CY317" t="s">
        <v>236</v>
      </c>
      <c r="CZ317"/>
      <c r="DA317"/>
      <c r="DB317">
        <v>80</v>
      </c>
      <c r="DC317" t="str">
        <f>IF(DB317=0,"0",IF(AND(DB317&gt;=1,DB317&lt;=30),"1-30",IF(AND(DB317&gt;30,DB317&lt;=70),"31-70",IF(AND(DB317&gt;70,DB317&lt;=100),"71-100",IF(DB317&gt;100,"+100")))))</f>
        <v>71-100</v>
      </c>
      <c r="DD317">
        <v>0</v>
      </c>
      <c r="DE317">
        <v>1</v>
      </c>
      <c r="DF317">
        <v>0</v>
      </c>
      <c r="DG317">
        <v>1</v>
      </c>
      <c r="DH317"/>
      <c r="DI317">
        <f>SUM(DD317:DG317)</f>
        <v>2</v>
      </c>
      <c r="DJ317" t="str">
        <f>IF(DI317=1,INDEX($DD$7:$DG$7,MATCH(1,$DD317:$DG317,0)),"mixedProduct")</f>
        <v>mixedProduct</v>
      </c>
      <c r="DK317">
        <f>IF(DD317=1,DK$7,0)</f>
        <v>0</v>
      </c>
      <c r="DL317" t="str">
        <f>IF(DE317=1,DL$7,0)</f>
        <v>Energy</v>
      </c>
      <c r="DM317">
        <f>IF(DF317=1,DM$7,0)</f>
        <v>0</v>
      </c>
      <c r="DN317" t="str">
        <f>IF(DG317=1,DN$7,0)</f>
        <v>Timber</v>
      </c>
      <c r="DO317">
        <v>0</v>
      </c>
      <c r="DP317">
        <v>1</v>
      </c>
      <c r="DQ317" t="s">
        <v>1062</v>
      </c>
      <c r="DR317"/>
      <c r="DS317"/>
      <c r="DT317">
        <f>SUM(DO317:DP317)</f>
        <v>1</v>
      </c>
      <c r="DU317" s="143" t="str">
        <f>IF(DO317=1,"self-calculated DF",IF(DP317=1,"external DF used","explicit C balance"))</f>
        <v>external DF used</v>
      </c>
      <c r="DV317">
        <v>1</v>
      </c>
      <c r="DW317">
        <v>1</v>
      </c>
      <c r="DX317">
        <v>1</v>
      </c>
      <c r="DY317">
        <v>0</v>
      </c>
      <c r="DZ317">
        <v>0</v>
      </c>
      <c r="EA317" s="143">
        <v>0</v>
      </c>
      <c r="EB317">
        <v>1</v>
      </c>
      <c r="EC317">
        <v>1</v>
      </c>
      <c r="ED317">
        <v>0</v>
      </c>
      <c r="EE317">
        <v>0</v>
      </c>
      <c r="EF317">
        <v>1</v>
      </c>
      <c r="EG317" s="143">
        <v>0</v>
      </c>
      <c r="EH317" s="143">
        <v>0</v>
      </c>
      <c r="EI317" s="2">
        <v>0</v>
      </c>
      <c r="EJ317" s="1"/>
      <c r="EK317" t="str">
        <f>IF(AND(AND(AND(OR($DX317=1,$DW317=1),OR($EC317=1,$EA317=1)),SUM($DV317:$DZ317,$EF317)&gt;=4),SUM($EA317:$EE317)&gt;=2),"Whole sector","")</f>
        <v>Whole sector</v>
      </c>
      <c r="EL317" t="str">
        <f>IF(AND(AND(OR($DX317=1,$DW317=1),AND($EC317=0,$EA317=0)),SUM($DV317:$DZ317,$EF317)&gt;=4),"Ecosystem approach","")</f>
        <v/>
      </c>
      <c r="EM317" s="2" t="str">
        <f>IF(AND(AND(AND($DX317=0,$DW317=0),OR($EC317=1,$EA317=1)),SUM($EB317:$EE317)&gt;=2),"Technology approach","")</f>
        <v/>
      </c>
      <c r="EN317"/>
      <c r="EO317"/>
      <c r="EP317" t="str">
        <f>IF(ISNUMBER(BU317),IF(ABS(BU317-[1]QC_indicators!$B$2)&gt;3*[1]QC_indicators!$C$2,"C ratio",IF(ISNUMBER(BY317),IF(ABS(BY317-[1]QC_indicators!$B$1)&gt;3*[1]QC_indicators!$C$1,"DF","no"))),IF(ISNUMBER(BY317),IF(ABS(BY317-[1]QC_indicators!$B$1)&gt;3*[1]QC_indicators!$C$1,"DF","no")))</f>
        <v>no</v>
      </c>
      <c r="EQ317"/>
      <c r="ER317" s="266" t="s">
        <v>1072</v>
      </c>
      <c r="ES317"/>
      <c r="ET317" s="266" t="s">
        <v>3409</v>
      </c>
      <c r="EU317"/>
    </row>
    <row r="318" spans="1:151" s="139" customFormat="1" ht="15" hidden="1" customHeight="1">
      <c r="A318" s="1" t="s">
        <v>1362</v>
      </c>
      <c r="B318" t="s">
        <v>2137</v>
      </c>
      <c r="C318" t="s">
        <v>2138</v>
      </c>
      <c r="D318" t="s">
        <v>2139</v>
      </c>
      <c r="E318" t="s">
        <v>2140</v>
      </c>
      <c r="F318" t="s">
        <v>2141</v>
      </c>
      <c r="G318" t="s">
        <v>1368</v>
      </c>
      <c r="H318" t="s">
        <v>255</v>
      </c>
      <c r="I318">
        <v>2012</v>
      </c>
      <c r="J318">
        <v>21</v>
      </c>
      <c r="K318" t="s">
        <v>2142</v>
      </c>
      <c r="L318" s="192"/>
      <c r="M318" t="str">
        <f>LEFT($D318,FIND(",",$D318)-1)&amp;"_"&amp;I318&amp;L318</f>
        <v>Pyorala_2012</v>
      </c>
      <c r="N318" t="s">
        <v>223</v>
      </c>
      <c r="O318" s="145" t="s">
        <v>342</v>
      </c>
      <c r="P318" s="180" t="s">
        <v>224</v>
      </c>
      <c r="Q318" s="266" t="s">
        <v>257</v>
      </c>
      <c r="R318" s="271" t="s">
        <v>1156</v>
      </c>
      <c r="S318" s="265" t="s">
        <v>2149</v>
      </c>
      <c r="T318" s="266" t="s">
        <v>2145</v>
      </c>
      <c r="U318" s="266" t="s">
        <v>2150</v>
      </c>
      <c r="V318">
        <v>0</v>
      </c>
      <c r="W318">
        <v>0</v>
      </c>
      <c r="X318">
        <v>0</v>
      </c>
      <c r="Y318">
        <v>1</v>
      </c>
      <c r="Z318">
        <v>0</v>
      </c>
      <c r="AA318">
        <v>0</v>
      </c>
      <c r="AB318">
        <v>0</v>
      </c>
      <c r="AC318">
        <v>0</v>
      </c>
      <c r="AD318">
        <v>0</v>
      </c>
      <c r="AE318">
        <v>0</v>
      </c>
      <c r="AF318">
        <v>0</v>
      </c>
      <c r="AG318">
        <v>0</v>
      </c>
      <c r="AH318">
        <v>0</v>
      </c>
      <c r="AI318">
        <v>0</v>
      </c>
      <c r="AJ318">
        <v>0</v>
      </c>
      <c r="AK318">
        <v>0</v>
      </c>
      <c r="AL318">
        <v>0</v>
      </c>
      <c r="AM318">
        <v>0</v>
      </c>
      <c r="AN318">
        <v>0</v>
      </c>
      <c r="AO318">
        <v>0</v>
      </c>
      <c r="AP318">
        <v>0</v>
      </c>
      <c r="AQ318">
        <v>0</v>
      </c>
      <c r="AR318">
        <v>0</v>
      </c>
      <c r="AS318">
        <v>0</v>
      </c>
      <c r="AT318">
        <v>0</v>
      </c>
      <c r="AU318">
        <v>0</v>
      </c>
      <c r="AV318">
        <v>0</v>
      </c>
      <c r="AW318">
        <v>0</v>
      </c>
      <c r="AX318" s="141">
        <f>COUNTIF(V318:AW318,"&lt;&gt;0")</f>
        <v>1</v>
      </c>
      <c r="AY318" s="141">
        <f>COUNTIF(V318:AL318,"&lt;&gt;0")</f>
        <v>1</v>
      </c>
      <c r="AZ318">
        <f>COUNTIF(V318:AC318,"&lt;&gt;0")</f>
        <v>1</v>
      </c>
      <c r="BA318">
        <f>COUNTIF(AD318:AI318,"&lt;&gt;0")</f>
        <v>0</v>
      </c>
      <c r="BB318">
        <f>COUNTIF(AJ318:AL318,"&lt;&gt;0")</f>
        <v>0</v>
      </c>
      <c r="BC318">
        <f>COUNTIF(AS318:AW318,"&lt;&gt;0")</f>
        <v>0</v>
      </c>
      <c r="BD318">
        <f>COUNTIF(AM318:AR318,"&lt;&gt;0")</f>
        <v>0</v>
      </c>
      <c r="BE318" t="str" cm="1">
        <f t="array" ref="BE318">IF(AY318=1,INDEX($V$7:$AL$7,MATCH(TRUE,INDEX($V318:$AW318&lt;&gt;0,),0)),IF(AY318=0,INDEX($AM$7:$AW$7,MATCH(1,$AM318:$AW318,0)),IF(BF318="Multiple strategies","mixed drivers",IF(BF318="Supply chain","multiple supply","multiple silviculture"))))</f>
        <v xml:space="preserve">cutting intensity </v>
      </c>
      <c r="BF318" s="2" t="str" cm="1">
        <f t="array" ref="BF318">IF(COUNTIF(AZ318:BB318,"&lt;&gt;0")=1,INDEX($V$4:$AW$4,MATCH(TRUE,INDEX($V318:$AW318&lt;&gt;0,),0)),IF(COUNTIF(AZ318:BB318,"&lt;&gt;0")=0,INDEX($AM$4:$AW$4,MATCH(1,$AM318:$AW318,0)),"Multiple strategies"))</f>
        <v>SilvicultureRemov</v>
      </c>
      <c r="BG318" s="178" t="s">
        <v>322</v>
      </c>
      <c r="BH318" s="266" t="s">
        <v>2146</v>
      </c>
      <c r="BI318" s="266" t="s">
        <v>703</v>
      </c>
      <c r="BJ318" s="160" t="s">
        <v>702</v>
      </c>
      <c r="BK318">
        <v>7.6</v>
      </c>
      <c r="BL318">
        <v>7.9</v>
      </c>
      <c r="BM318"/>
      <c r="BN318">
        <f>BL318-BK318</f>
        <v>0.30000000000000071</v>
      </c>
      <c r="BO318">
        <f>BN318</f>
        <v>0.30000000000000071</v>
      </c>
      <c r="BP318" s="155" t="s">
        <v>396</v>
      </c>
      <c r="BQ318" s="266" t="s">
        <v>785</v>
      </c>
      <c r="BR318" s="155" t="s">
        <v>280</v>
      </c>
      <c r="BS318">
        <v>0.6</v>
      </c>
      <c r="BT318">
        <v>0.4</v>
      </c>
      <c r="BU318" s="144"/>
      <c r="BV318">
        <f>BT318-BS318</f>
        <v>-0.19999999999999996</v>
      </c>
      <c r="BW318"/>
      <c r="BX318">
        <f>BV318</f>
        <v>-0.19999999999999996</v>
      </c>
      <c r="BY318">
        <f>IFERROR(BX318/BO318,"")</f>
        <v>-0.66666666666666496</v>
      </c>
      <c r="BZ318">
        <v>0</v>
      </c>
      <c r="CA318">
        <v>0</v>
      </c>
      <c r="CB318">
        <v>0</v>
      </c>
      <c r="CC318">
        <v>0</v>
      </c>
      <c r="CD318">
        <v>0</v>
      </c>
      <c r="CE318">
        <v>0</v>
      </c>
      <c r="CF318">
        <v>0</v>
      </c>
      <c r="CG318">
        <v>0</v>
      </c>
      <c r="CH318">
        <v>0</v>
      </c>
      <c r="CI318">
        <v>0</v>
      </c>
      <c r="CJ318">
        <v>0</v>
      </c>
      <c r="CK318">
        <v>0</v>
      </c>
      <c r="CL318">
        <v>0</v>
      </c>
      <c r="CM318">
        <v>0</v>
      </c>
      <c r="CN318" t="str">
        <f>IF($BL318&lt;$BK318,"refNeedCorrection","refOK")</f>
        <v>refOK</v>
      </c>
      <c r="CO318">
        <f>IF($CN318="refOK",$BK318,$BL318)</f>
        <v>7.6</v>
      </c>
      <c r="CP318">
        <f>IF($CN318="refOK",$BL318,$BK318)</f>
        <v>7.9</v>
      </c>
      <c r="CQ318">
        <f>IF($CN318="refOK",$BO318,-$BO318)</f>
        <v>0.30000000000000071</v>
      </c>
      <c r="CR318">
        <f>IF($CN318="refOK",$BS318,$BT318)*IF($BP318="Emissions positive",-1,1)</f>
        <v>-0.6</v>
      </c>
      <c r="CS318">
        <f>IF($CN318="refOK",$BT318,$BS318)*IF($BP318="Emissions positive",-1,1)</f>
        <v>-0.4</v>
      </c>
      <c r="CT318">
        <f>IF($CN318="refNeedCorrection",-BX318,BX318)*IF($BP318="Emissions positive",-1,1)</f>
        <v>0.19999999999999996</v>
      </c>
      <c r="CU318">
        <f>IFERROR(CT318/CQ318,"")</f>
        <v>0.66666666666666496</v>
      </c>
      <c r="CV318" s="2">
        <f>IFERROR((CS318-CR318)/ABS(CR318),"")</f>
        <v>0.33333333333333326</v>
      </c>
      <c r="CW318" s="1" t="s">
        <v>1201</v>
      </c>
      <c r="CX318" s="266" t="str">
        <f>IF(OR($CW318="prd",$CW318="std",$CW318="cit"),"loc",IF(OR($CW318="eur",$CW318="reg",$CW318="coy"),"reg",$CW318))</f>
        <v>reg</v>
      </c>
      <c r="CY318" t="s">
        <v>236</v>
      </c>
      <c r="CZ318"/>
      <c r="DA318"/>
      <c r="DB318">
        <v>50</v>
      </c>
      <c r="DC318" t="str">
        <f>IF(DB318=0,"0",IF(AND(DB318&gt;=1,DB318&lt;=30),"1-30",IF(AND(DB318&gt;30,DB318&lt;=70),"31-70",IF(AND(DB318&gt;70,DB318&lt;=100),"71-100",IF(DB318&gt;100,"+100")))))</f>
        <v>31-70</v>
      </c>
      <c r="DD318">
        <v>0</v>
      </c>
      <c r="DE318">
        <v>1</v>
      </c>
      <c r="DF318">
        <v>1</v>
      </c>
      <c r="DG318">
        <v>1</v>
      </c>
      <c r="DH318"/>
      <c r="DI318">
        <f>SUM(DD318:DG318)</f>
        <v>3</v>
      </c>
      <c r="DJ318" t="str">
        <f>IF(DI318=1,INDEX($DD$7:$DG$7,MATCH(1,$DD318:$DG318,0)),"mixedProduct")</f>
        <v>mixedProduct</v>
      </c>
      <c r="DK318">
        <f>IF(DD318=1,DK$7,0)</f>
        <v>0</v>
      </c>
      <c r="DL318" t="str">
        <f>IF(DE318=1,DL$7,0)</f>
        <v>Energy</v>
      </c>
      <c r="DM318" t="str">
        <f>IF(DF318=1,DM$7,0)</f>
        <v>Pulp/Paper</v>
      </c>
      <c r="DN318" t="str">
        <f>IF(DG318=1,DN$7,0)</f>
        <v>Timber</v>
      </c>
      <c r="DO318">
        <v>0</v>
      </c>
      <c r="DP318">
        <v>1</v>
      </c>
      <c r="DQ318" t="s">
        <v>2148</v>
      </c>
      <c r="DR318">
        <v>0</v>
      </c>
      <c r="DS318">
        <v>0</v>
      </c>
      <c r="DT318">
        <f>SUM(DO318:DP318)</f>
        <v>1</v>
      </c>
      <c r="DU318" s="143" t="str">
        <f>IF(DO318=1,"self-calculated DF",IF(DP318=1,"external DF used","explicit C balance"))</f>
        <v>external DF used</v>
      </c>
      <c r="DV318">
        <v>1</v>
      </c>
      <c r="DW318">
        <v>1</v>
      </c>
      <c r="DX318">
        <v>1</v>
      </c>
      <c r="DY318">
        <v>0</v>
      </c>
      <c r="DZ318">
        <v>1</v>
      </c>
      <c r="EA318">
        <v>0</v>
      </c>
      <c r="EB318">
        <v>1</v>
      </c>
      <c r="EC318">
        <v>1</v>
      </c>
      <c r="ED318">
        <v>0</v>
      </c>
      <c r="EE318">
        <v>0</v>
      </c>
      <c r="EF318">
        <v>1</v>
      </c>
      <c r="EG318">
        <v>0</v>
      </c>
      <c r="EH318">
        <v>0</v>
      </c>
      <c r="EI318" s="2">
        <v>0</v>
      </c>
      <c r="EJ318" s="1"/>
      <c r="EK318" t="str">
        <f>IF(AND(AND(AND(OR($DX318=1,$DW318=1),OR($EC318=1,$EA318=1)),SUM($DV318:$DZ318,$EF318)&gt;=4),SUM($EA318:$EE318)&gt;=2),"Whole sector","")</f>
        <v>Whole sector</v>
      </c>
      <c r="EL318" t="str">
        <f>IF(AND(AND(OR($DX318=1,$DW318=1),AND($EC318=0,$EA318=0)),SUM($DV318:$DZ318,$EF318)&gt;=4),"Ecosystem approach","")</f>
        <v/>
      </c>
      <c r="EM318" s="2" t="str">
        <f>IF(AND(AND(AND($DX318=0,$DW318=0),OR($EC318=1,$EA318=1)),SUM($EB318:$EE318)&gt;=2),"Technology approach","")</f>
        <v/>
      </c>
      <c r="EN318"/>
      <c r="EO318"/>
      <c r="EP318" t="str">
        <f>IF(ISNUMBER(BU318),IF(ABS(BU318-[1]QC_indicators!$B$2)&gt;3*[1]QC_indicators!$C$2,"C ratio",IF(ISNUMBER(BY318),IF(ABS(BY318-[1]QC_indicators!$B$1)&gt;3*[1]QC_indicators!$C$1,"DF","no"))),IF(ISNUMBER(BY318),IF(ABS(BY318-[1]QC_indicators!$B$1)&gt;3*[1]QC_indicators!$C$1,"DF","no")))</f>
        <v>no</v>
      </c>
      <c r="EQ318"/>
      <c r="ER318"/>
      <c r="ES318"/>
      <c r="ET318" s="266" t="s">
        <v>3409</v>
      </c>
      <c r="EU318"/>
    </row>
    <row r="319" spans="1:151" s="139" customFormat="1" ht="15" hidden="1" customHeight="1">
      <c r="A319" s="1" t="s">
        <v>1362</v>
      </c>
      <c r="B319" t="s">
        <v>2137</v>
      </c>
      <c r="C319" t="s">
        <v>2138</v>
      </c>
      <c r="D319" t="s">
        <v>2139</v>
      </c>
      <c r="E319" t="s">
        <v>2140</v>
      </c>
      <c r="F319" t="s">
        <v>2141</v>
      </c>
      <c r="G319" t="s">
        <v>1368</v>
      </c>
      <c r="H319" t="s">
        <v>255</v>
      </c>
      <c r="I319">
        <v>2012</v>
      </c>
      <c r="J319">
        <v>21</v>
      </c>
      <c r="K319" t="s">
        <v>2142</v>
      </c>
      <c r="L319" s="192"/>
      <c r="M319" t="str">
        <f>LEFT($D319,FIND(",",$D319)-1)&amp;"_"&amp;I319&amp;L319</f>
        <v>Pyorala_2012</v>
      </c>
      <c r="N319" t="s">
        <v>223</v>
      </c>
      <c r="O319" s="145" t="s">
        <v>342</v>
      </c>
      <c r="P319" s="193" t="s">
        <v>224</v>
      </c>
      <c r="Q319" s="266" t="s">
        <v>257</v>
      </c>
      <c r="R319" s="271" t="s">
        <v>1156</v>
      </c>
      <c r="S319" s="265" t="s">
        <v>2151</v>
      </c>
      <c r="T319" s="266" t="s">
        <v>2145</v>
      </c>
      <c r="U319" s="266" t="s">
        <v>2150</v>
      </c>
      <c r="V319">
        <v>0</v>
      </c>
      <c r="W319">
        <v>0</v>
      </c>
      <c r="X319">
        <v>0</v>
      </c>
      <c r="Y319">
        <v>1</v>
      </c>
      <c r="Z319">
        <v>0</v>
      </c>
      <c r="AA319">
        <v>0</v>
      </c>
      <c r="AB319">
        <v>0</v>
      </c>
      <c r="AC319">
        <v>0</v>
      </c>
      <c r="AD319">
        <v>0</v>
      </c>
      <c r="AE319">
        <v>0</v>
      </c>
      <c r="AF319">
        <v>0</v>
      </c>
      <c r="AG319">
        <v>0</v>
      </c>
      <c r="AH319">
        <v>0</v>
      </c>
      <c r="AI319">
        <v>0</v>
      </c>
      <c r="AJ319">
        <v>0</v>
      </c>
      <c r="AK319">
        <v>0</v>
      </c>
      <c r="AL319">
        <v>0</v>
      </c>
      <c r="AM319">
        <v>0</v>
      </c>
      <c r="AN319">
        <v>0</v>
      </c>
      <c r="AO319">
        <v>0</v>
      </c>
      <c r="AP319">
        <v>0</v>
      </c>
      <c r="AQ319">
        <v>0</v>
      </c>
      <c r="AR319">
        <v>0</v>
      </c>
      <c r="AS319">
        <v>0</v>
      </c>
      <c r="AT319">
        <v>0</v>
      </c>
      <c r="AU319">
        <v>0</v>
      </c>
      <c r="AV319">
        <v>0</v>
      </c>
      <c r="AW319">
        <v>0</v>
      </c>
      <c r="AX319" s="141">
        <f>COUNTIF(V319:AW319,"&lt;&gt;0")</f>
        <v>1</v>
      </c>
      <c r="AY319" s="141">
        <f>COUNTIF(V319:AL319,"&lt;&gt;0")</f>
        <v>1</v>
      </c>
      <c r="AZ319">
        <f>COUNTIF(V319:AC319,"&lt;&gt;0")</f>
        <v>1</v>
      </c>
      <c r="BA319">
        <f>COUNTIF(AD319:AI319,"&lt;&gt;0")</f>
        <v>0</v>
      </c>
      <c r="BB319">
        <f>COUNTIF(AJ319:AL319,"&lt;&gt;0")</f>
        <v>0</v>
      </c>
      <c r="BC319">
        <f>COUNTIF(AS319:AW319,"&lt;&gt;0")</f>
        <v>0</v>
      </c>
      <c r="BD319">
        <f>COUNTIF(AM319:AR319,"&lt;&gt;0")</f>
        <v>0</v>
      </c>
      <c r="BE319" t="str" cm="1">
        <f t="array" ref="BE319">IF(AY319=1,INDEX($V$7:$AL$7,MATCH(TRUE,INDEX($V319:$AW319&lt;&gt;0,),0)),IF(AY319=0,INDEX($AM$7:$AW$7,MATCH(1,$AM319:$AW319,0)),IF(BF319="Multiple strategies","mixed drivers",IF(BF319="Supply chain","multiple supply","multiple silviculture"))))</f>
        <v xml:space="preserve">cutting intensity </v>
      </c>
      <c r="BF319" s="2" t="str" cm="1">
        <f t="array" ref="BF319">IF(COUNTIF(AZ319:BB319,"&lt;&gt;0")=1,INDEX($V$4:$AW$4,MATCH(TRUE,INDEX($V319:$AW319&lt;&gt;0,),0)),IF(COUNTIF(AZ319:BB319,"&lt;&gt;0")=0,INDEX($AM$4:$AW$4,MATCH(1,$AM319:$AW319,0)),"Multiple strategies"))</f>
        <v>SilvicultureRemov</v>
      </c>
      <c r="BG319" s="194" t="s">
        <v>322</v>
      </c>
      <c r="BH319" s="266" t="s">
        <v>2146</v>
      </c>
      <c r="BI319" s="266" t="s">
        <v>703</v>
      </c>
      <c r="BJ319" s="195" t="s">
        <v>702</v>
      </c>
      <c r="BK319">
        <v>7.8</v>
      </c>
      <c r="BL319">
        <v>9</v>
      </c>
      <c r="BM319"/>
      <c r="BN319">
        <f>BL319-BK319</f>
        <v>1.2000000000000002</v>
      </c>
      <c r="BO319">
        <f>BN319</f>
        <v>1.2000000000000002</v>
      </c>
      <c r="BP319" s="149" t="s">
        <v>396</v>
      </c>
      <c r="BQ319" s="266" t="s">
        <v>785</v>
      </c>
      <c r="BR319" s="149" t="s">
        <v>280</v>
      </c>
      <c r="BS319">
        <v>0.6</v>
      </c>
      <c r="BT319">
        <v>0.3</v>
      </c>
      <c r="BU319" s="144"/>
      <c r="BV319">
        <f>BT319-BS319</f>
        <v>-0.3</v>
      </c>
      <c r="BW319"/>
      <c r="BX319">
        <f>BV319</f>
        <v>-0.3</v>
      </c>
      <c r="BY319">
        <f>IFERROR(BX319/BO319,"")</f>
        <v>-0.24999999999999994</v>
      </c>
      <c r="BZ319">
        <v>0</v>
      </c>
      <c r="CA319">
        <v>0</v>
      </c>
      <c r="CB319">
        <v>0</v>
      </c>
      <c r="CC319">
        <v>0</v>
      </c>
      <c r="CD319">
        <v>0</v>
      </c>
      <c r="CE319">
        <v>0</v>
      </c>
      <c r="CF319">
        <v>0</v>
      </c>
      <c r="CG319">
        <v>0</v>
      </c>
      <c r="CH319">
        <v>0</v>
      </c>
      <c r="CI319">
        <v>0</v>
      </c>
      <c r="CJ319">
        <v>0</v>
      </c>
      <c r="CK319">
        <v>0</v>
      </c>
      <c r="CL319">
        <v>0</v>
      </c>
      <c r="CM319">
        <v>0</v>
      </c>
      <c r="CN319" t="str">
        <f>IF($BL319&lt;$BK319,"refNeedCorrection","refOK")</f>
        <v>refOK</v>
      </c>
      <c r="CO319">
        <f>IF($CN319="refOK",$BK319,$BL319)</f>
        <v>7.8</v>
      </c>
      <c r="CP319">
        <f>IF($CN319="refOK",$BL319,$BK319)</f>
        <v>9</v>
      </c>
      <c r="CQ319">
        <f>IF($CN319="refOK",$BO319,-$BO319)</f>
        <v>1.2000000000000002</v>
      </c>
      <c r="CR319">
        <f>IF($CN319="refOK",$BS319,$BT319)*IF($BP319="Emissions positive",-1,1)</f>
        <v>-0.6</v>
      </c>
      <c r="CS319">
        <f>IF($CN319="refOK",$BT319,$BS319)*IF($BP319="Emissions positive",-1,1)</f>
        <v>-0.3</v>
      </c>
      <c r="CT319">
        <f>IF($CN319="refNeedCorrection",-BX319,BX319)*IF($BP319="Emissions positive",-1,1)</f>
        <v>0.3</v>
      </c>
      <c r="CU319">
        <f>IFERROR(CT319/CQ319,"")</f>
        <v>0.24999999999999994</v>
      </c>
      <c r="CV319" s="2">
        <f>IFERROR((CS319-CR319)/ABS(CR319),"")</f>
        <v>0.5</v>
      </c>
      <c r="CW319" s="1" t="s">
        <v>1201</v>
      </c>
      <c r="CX319" s="266" t="str">
        <f>IF(OR($CW319="prd",$CW319="std",$CW319="cit"),"loc",IF(OR($CW319="eur",$CW319="reg",$CW319="coy"),"reg",$CW319))</f>
        <v>reg</v>
      </c>
      <c r="CY319" t="s">
        <v>236</v>
      </c>
      <c r="CZ319"/>
      <c r="DA319"/>
      <c r="DB319">
        <v>50</v>
      </c>
      <c r="DC319" t="str">
        <f>IF(DB319=0,"0",IF(AND(DB319&gt;=1,DB319&lt;=30),"1-30",IF(AND(DB319&gt;30,DB319&lt;=70),"31-70",IF(AND(DB319&gt;70,DB319&lt;=100),"71-100",IF(DB319&gt;100,"+100")))))</f>
        <v>31-70</v>
      </c>
      <c r="DD319">
        <v>0</v>
      </c>
      <c r="DE319">
        <v>1</v>
      </c>
      <c r="DF319">
        <v>1</v>
      </c>
      <c r="DG319">
        <v>1</v>
      </c>
      <c r="DH319"/>
      <c r="DI319">
        <f>SUM(DD319:DG319)</f>
        <v>3</v>
      </c>
      <c r="DJ319" t="str">
        <f>IF(DI319=1,INDEX($DD$7:$DG$7,MATCH(1,$DD319:$DG319,0)),"mixedProduct")</f>
        <v>mixedProduct</v>
      </c>
      <c r="DK319">
        <f>IF(DD319=1,DK$7,0)</f>
        <v>0</v>
      </c>
      <c r="DL319" t="str">
        <f>IF(DE319=1,DL$7,0)</f>
        <v>Energy</v>
      </c>
      <c r="DM319" t="str">
        <f>IF(DF319=1,DM$7,0)</f>
        <v>Pulp/Paper</v>
      </c>
      <c r="DN319" t="str">
        <f>IF(DG319=1,DN$7,0)</f>
        <v>Timber</v>
      </c>
      <c r="DO319">
        <v>0</v>
      </c>
      <c r="DP319">
        <v>1</v>
      </c>
      <c r="DQ319" t="s">
        <v>2148</v>
      </c>
      <c r="DR319">
        <v>0</v>
      </c>
      <c r="DS319">
        <v>0</v>
      </c>
      <c r="DT319">
        <f>SUM(DO319:DP319)</f>
        <v>1</v>
      </c>
      <c r="DU319" s="143" t="str">
        <f>IF(DO319=1,"self-calculated DF",IF(DP319=1,"external DF used","explicit C balance"))</f>
        <v>external DF used</v>
      </c>
      <c r="DV319">
        <v>1</v>
      </c>
      <c r="DW319">
        <v>1</v>
      </c>
      <c r="DX319">
        <v>1</v>
      </c>
      <c r="DY319">
        <v>0</v>
      </c>
      <c r="DZ319">
        <v>1</v>
      </c>
      <c r="EA319">
        <v>0</v>
      </c>
      <c r="EB319">
        <v>1</v>
      </c>
      <c r="EC319">
        <v>1</v>
      </c>
      <c r="ED319">
        <v>0</v>
      </c>
      <c r="EE319">
        <v>0</v>
      </c>
      <c r="EF319">
        <v>1</v>
      </c>
      <c r="EG319">
        <v>0</v>
      </c>
      <c r="EH319">
        <v>0</v>
      </c>
      <c r="EI319" s="2">
        <v>0</v>
      </c>
      <c r="EJ319" s="1"/>
      <c r="EK319" t="str">
        <f>IF(AND(AND(AND(OR($DX319=1,$DW319=1),OR($EC319=1,$EA319=1)),SUM($DV319:$DZ319,$EF319)&gt;=4),SUM($EA319:$EE319)&gt;=2),"Whole sector","")</f>
        <v>Whole sector</v>
      </c>
      <c r="EL319" t="str">
        <f>IF(AND(AND(OR($DX319=1,$DW319=1),AND($EC319=0,$EA319=0)),SUM($DV319:$DZ319,$EF319)&gt;=4),"Ecosystem approach","")</f>
        <v/>
      </c>
      <c r="EM319" s="2" t="str">
        <f>IF(AND(AND(AND($DX319=0,$DW319=0),OR($EC319=1,$EA319=1)),SUM($EB319:$EE319)&gt;=2),"Technology approach","")</f>
        <v/>
      </c>
      <c r="EN319"/>
      <c r="EO319"/>
      <c r="EP319" t="str">
        <f>IF(ISNUMBER(BU319),IF(ABS(BU319-[1]QC_indicators!$B$2)&gt;3*[1]QC_indicators!$C$2,"C ratio",IF(ISNUMBER(BY319),IF(ABS(BY319-[1]QC_indicators!$B$1)&gt;3*[1]QC_indicators!$C$1,"DF","no"))),IF(ISNUMBER(BY319),IF(ABS(BY319-[1]QC_indicators!$B$1)&gt;3*[1]QC_indicators!$C$1,"DF","no")))</f>
        <v>no</v>
      </c>
      <c r="EQ319"/>
      <c r="ER319"/>
      <c r="ES319"/>
      <c r="ET319" s="266" t="s">
        <v>3409</v>
      </c>
      <c r="EU319"/>
    </row>
    <row r="320" spans="1:151" s="139" customFormat="1" ht="15" hidden="1" customHeight="1">
      <c r="A320" s="1" t="s">
        <v>1362</v>
      </c>
      <c r="B320" t="s">
        <v>2137</v>
      </c>
      <c r="C320" t="s">
        <v>2138</v>
      </c>
      <c r="D320" t="s">
        <v>2139</v>
      </c>
      <c r="E320" t="s">
        <v>2140</v>
      </c>
      <c r="F320" t="s">
        <v>2141</v>
      </c>
      <c r="G320" t="s">
        <v>1368</v>
      </c>
      <c r="H320" t="s">
        <v>255</v>
      </c>
      <c r="I320">
        <v>2012</v>
      </c>
      <c r="J320">
        <v>21</v>
      </c>
      <c r="K320" t="s">
        <v>2142</v>
      </c>
      <c r="L320" s="192"/>
      <c r="M320" t="str">
        <f>LEFT($D320,FIND(",",$D320)-1)&amp;"_"&amp;I320&amp;L320</f>
        <v>Pyorala_2012</v>
      </c>
      <c r="N320" t="s">
        <v>223</v>
      </c>
      <c r="O320" s="145" t="s">
        <v>342</v>
      </c>
      <c r="P320" s="180" t="s">
        <v>224</v>
      </c>
      <c r="Q320" s="266" t="s">
        <v>257</v>
      </c>
      <c r="R320" s="271" t="s">
        <v>1156</v>
      </c>
      <c r="S320" s="265" t="s">
        <v>2149</v>
      </c>
      <c r="T320" s="266" t="s">
        <v>2144</v>
      </c>
      <c r="U320" s="266" t="s">
        <v>2145</v>
      </c>
      <c r="V320">
        <v>0</v>
      </c>
      <c r="W320">
        <v>0</v>
      </c>
      <c r="X320">
        <v>0</v>
      </c>
      <c r="Y320">
        <v>1</v>
      </c>
      <c r="Z320">
        <v>0</v>
      </c>
      <c r="AA320">
        <v>0</v>
      </c>
      <c r="AB320">
        <v>0</v>
      </c>
      <c r="AC320">
        <v>0</v>
      </c>
      <c r="AD320">
        <v>0</v>
      </c>
      <c r="AE320">
        <v>0</v>
      </c>
      <c r="AF320">
        <v>0</v>
      </c>
      <c r="AG320">
        <v>0</v>
      </c>
      <c r="AH320">
        <v>0</v>
      </c>
      <c r="AI320">
        <v>0</v>
      </c>
      <c r="AJ320">
        <v>0</v>
      </c>
      <c r="AK320">
        <v>0</v>
      </c>
      <c r="AL320">
        <v>0</v>
      </c>
      <c r="AM320">
        <v>0</v>
      </c>
      <c r="AN320">
        <v>0</v>
      </c>
      <c r="AO320">
        <v>0</v>
      </c>
      <c r="AP320">
        <v>0</v>
      </c>
      <c r="AQ320">
        <v>0</v>
      </c>
      <c r="AR320">
        <v>0</v>
      </c>
      <c r="AS320">
        <v>0</v>
      </c>
      <c r="AT320">
        <v>0</v>
      </c>
      <c r="AU320">
        <v>0</v>
      </c>
      <c r="AV320">
        <v>0</v>
      </c>
      <c r="AW320">
        <v>0</v>
      </c>
      <c r="AX320" s="141">
        <f>COUNTIF(V320:AW320,"&lt;&gt;0")</f>
        <v>1</v>
      </c>
      <c r="AY320" s="141">
        <f>COUNTIF(V320:AL320,"&lt;&gt;0")</f>
        <v>1</v>
      </c>
      <c r="AZ320">
        <f>COUNTIF(V320:AC320,"&lt;&gt;0")</f>
        <v>1</v>
      </c>
      <c r="BA320">
        <f>COUNTIF(AD320:AI320,"&lt;&gt;0")</f>
        <v>0</v>
      </c>
      <c r="BB320">
        <f>COUNTIF(AJ320:AL320,"&lt;&gt;0")</f>
        <v>0</v>
      </c>
      <c r="BC320">
        <f>COUNTIF(AS320:AW320,"&lt;&gt;0")</f>
        <v>0</v>
      </c>
      <c r="BD320">
        <f>COUNTIF(AM320:AR320,"&lt;&gt;0")</f>
        <v>0</v>
      </c>
      <c r="BE320" t="str" cm="1">
        <f t="array" ref="BE320">IF(AY320=1,INDEX($V$7:$AL$7,MATCH(TRUE,INDEX($V320:$AW320&lt;&gt;0,),0)),IF(AY320=0,INDEX($AM$7:$AW$7,MATCH(1,$AM320:$AW320,0)),IF(BF320="Multiple strategies","mixed drivers",IF(BF320="Supply chain","multiple supply","multiple silviculture"))))</f>
        <v xml:space="preserve">cutting intensity </v>
      </c>
      <c r="BF320" s="2" t="str" cm="1">
        <f t="array" ref="BF320">IF(COUNTIF(AZ320:BB320,"&lt;&gt;0")=1,INDEX($V$4:$AW$4,MATCH(TRUE,INDEX($V320:$AW320&lt;&gt;0,),0)),IF(COUNTIF(AZ320:BB320,"&lt;&gt;0")=0,INDEX($AM$4:$AW$4,MATCH(1,$AM320:$AW320,0)),"Multiple strategies"))</f>
        <v>SilvicultureRemov</v>
      </c>
      <c r="BG320" s="178" t="s">
        <v>322</v>
      </c>
      <c r="BH320" s="266" t="s">
        <v>2146</v>
      </c>
      <c r="BI320" s="266" t="s">
        <v>703</v>
      </c>
      <c r="BJ320" s="160" t="s">
        <v>702</v>
      </c>
      <c r="BK320">
        <v>7.3</v>
      </c>
      <c r="BL320">
        <v>7.6</v>
      </c>
      <c r="BM320"/>
      <c r="BN320">
        <f>BL320-BK320</f>
        <v>0.29999999999999982</v>
      </c>
      <c r="BO320">
        <f>BN320</f>
        <v>0.29999999999999982</v>
      </c>
      <c r="BP320" s="155" t="s">
        <v>396</v>
      </c>
      <c r="BQ320" s="266" t="s">
        <v>785</v>
      </c>
      <c r="BR320" s="155" t="s">
        <v>280</v>
      </c>
      <c r="BS320">
        <v>0.6</v>
      </c>
      <c r="BT320">
        <v>0.6</v>
      </c>
      <c r="BU320" s="144"/>
      <c r="BV320">
        <f>BT320-BS320</f>
        <v>0</v>
      </c>
      <c r="BW320"/>
      <c r="BX320">
        <f>BV320</f>
        <v>0</v>
      </c>
      <c r="BY320">
        <f>IFERROR(BX320/BO320,"")</f>
        <v>0</v>
      </c>
      <c r="BZ320">
        <v>0</v>
      </c>
      <c r="CA320">
        <v>0</v>
      </c>
      <c r="CB320">
        <v>0</v>
      </c>
      <c r="CC320">
        <v>0</v>
      </c>
      <c r="CD320">
        <v>0</v>
      </c>
      <c r="CE320">
        <v>0</v>
      </c>
      <c r="CF320">
        <v>0</v>
      </c>
      <c r="CG320">
        <v>0</v>
      </c>
      <c r="CH320">
        <v>0</v>
      </c>
      <c r="CI320">
        <v>0</v>
      </c>
      <c r="CJ320">
        <v>0</v>
      </c>
      <c r="CK320">
        <v>0</v>
      </c>
      <c r="CL320">
        <v>0</v>
      </c>
      <c r="CM320">
        <v>0</v>
      </c>
      <c r="CN320" t="str">
        <f>IF($BL320&lt;$BK320,"refNeedCorrection","refOK")</f>
        <v>refOK</v>
      </c>
      <c r="CO320">
        <f>IF($CN320="refOK",$BK320,$BL320)</f>
        <v>7.3</v>
      </c>
      <c r="CP320">
        <f>IF($CN320="refOK",$BL320,$BK320)</f>
        <v>7.6</v>
      </c>
      <c r="CQ320">
        <f>IF($CN320="refOK",$BO320,-$BO320)</f>
        <v>0.29999999999999982</v>
      </c>
      <c r="CR320">
        <f>IF($CN320="refOK",$BS320,$BT320)*IF($BP320="Emissions positive",-1,1)</f>
        <v>-0.6</v>
      </c>
      <c r="CS320">
        <f>IF($CN320="refOK",$BT320,$BS320)*IF($BP320="Emissions positive",-1,1)</f>
        <v>-0.6</v>
      </c>
      <c r="CT320">
        <f>IF($CN320="refNeedCorrection",-BX320,BX320)*IF($BP320="Emissions positive",-1,1)</f>
        <v>0</v>
      </c>
      <c r="CU320">
        <f>IFERROR(CT320/CQ320,"")</f>
        <v>0</v>
      </c>
      <c r="CV320" s="2">
        <f>IFERROR((CS320-CR320)/ABS(CR320),"")</f>
        <v>0</v>
      </c>
      <c r="CW320" s="1" t="s">
        <v>1201</v>
      </c>
      <c r="CX320" s="266" t="str">
        <f>IF(OR($CW320="prd",$CW320="std",$CW320="cit"),"loc",IF(OR($CW320="eur",$CW320="reg",$CW320="coy"),"reg",$CW320))</f>
        <v>reg</v>
      </c>
      <c r="CY320" t="s">
        <v>236</v>
      </c>
      <c r="CZ320"/>
      <c r="DA320"/>
      <c r="DB320">
        <v>50</v>
      </c>
      <c r="DC320" t="str">
        <f>IF(DB320=0,"0",IF(AND(DB320&gt;=1,DB320&lt;=30),"1-30",IF(AND(DB320&gt;30,DB320&lt;=70),"31-70",IF(AND(DB320&gt;70,DB320&lt;=100),"71-100",IF(DB320&gt;100,"+100")))))</f>
        <v>31-70</v>
      </c>
      <c r="DD320">
        <v>0</v>
      </c>
      <c r="DE320">
        <v>1</v>
      </c>
      <c r="DF320">
        <v>1</v>
      </c>
      <c r="DG320">
        <v>1</v>
      </c>
      <c r="DH320"/>
      <c r="DI320">
        <f>SUM(DD320:DG320)</f>
        <v>3</v>
      </c>
      <c r="DJ320" t="str">
        <f>IF(DI320=1,INDEX($DD$7:$DG$7,MATCH(1,$DD320:$DG320,0)),"mixedProduct")</f>
        <v>mixedProduct</v>
      </c>
      <c r="DK320">
        <f>IF(DD320=1,DK$7,0)</f>
        <v>0</v>
      </c>
      <c r="DL320" t="str">
        <f>IF(DE320=1,DL$7,0)</f>
        <v>Energy</v>
      </c>
      <c r="DM320" t="str">
        <f>IF(DF320=1,DM$7,0)</f>
        <v>Pulp/Paper</v>
      </c>
      <c r="DN320" t="str">
        <f>IF(DG320=1,DN$7,0)</f>
        <v>Timber</v>
      </c>
      <c r="DO320">
        <v>0</v>
      </c>
      <c r="DP320">
        <v>1</v>
      </c>
      <c r="DQ320" t="s">
        <v>2148</v>
      </c>
      <c r="DR320">
        <v>0</v>
      </c>
      <c r="DS320">
        <v>0</v>
      </c>
      <c r="DT320">
        <f>SUM(DO320:DP320)</f>
        <v>1</v>
      </c>
      <c r="DU320" s="143" t="str">
        <f>IF(DO320=1,"self-calculated DF",IF(DP320=1,"external DF used","explicit C balance"))</f>
        <v>external DF used</v>
      </c>
      <c r="DV320">
        <v>1</v>
      </c>
      <c r="DW320">
        <v>1</v>
      </c>
      <c r="DX320">
        <v>1</v>
      </c>
      <c r="DY320">
        <v>0</v>
      </c>
      <c r="DZ320">
        <v>1</v>
      </c>
      <c r="EA320">
        <v>0</v>
      </c>
      <c r="EB320">
        <v>1</v>
      </c>
      <c r="EC320">
        <v>1</v>
      </c>
      <c r="ED320">
        <v>0</v>
      </c>
      <c r="EE320">
        <v>0</v>
      </c>
      <c r="EF320">
        <v>1</v>
      </c>
      <c r="EG320">
        <v>0</v>
      </c>
      <c r="EH320">
        <v>0</v>
      </c>
      <c r="EI320" s="2">
        <v>0</v>
      </c>
      <c r="EJ320" s="1"/>
      <c r="EK320" t="str">
        <f>IF(AND(AND(AND(OR($DX320=1,$DW320=1),OR($EC320=1,$EA320=1)),SUM($DV320:$DZ320,$EF320)&gt;=4),SUM($EA320:$EE320)&gt;=2),"Whole sector","")</f>
        <v>Whole sector</v>
      </c>
      <c r="EL320" t="str">
        <f>IF(AND(AND(OR($DX320=1,$DW320=1),AND($EC320=0,$EA320=0)),SUM($DV320:$DZ320,$EF320)&gt;=4),"Ecosystem approach","")</f>
        <v/>
      </c>
      <c r="EM320" s="2" t="str">
        <f>IF(AND(AND(AND($DX320=0,$DW320=0),OR($EC320=1,$EA320=1)),SUM($EB320:$EE320)&gt;=2),"Technology approach","")</f>
        <v/>
      </c>
      <c r="EN320"/>
      <c r="EO320"/>
      <c r="EP320" t="str">
        <f>IF(ISNUMBER(BU320),IF(ABS(BU320-[1]QC_indicators!$B$2)&gt;3*[1]QC_indicators!$C$2,"C ratio",IF(ISNUMBER(BY320),IF(ABS(BY320-[1]QC_indicators!$B$1)&gt;3*[1]QC_indicators!$C$1,"DF","no"))),IF(ISNUMBER(BY320),IF(ABS(BY320-[1]QC_indicators!$B$1)&gt;3*[1]QC_indicators!$C$1,"DF","no")))</f>
        <v>no</v>
      </c>
      <c r="EQ320"/>
      <c r="ER320"/>
      <c r="ES320"/>
      <c r="ET320" s="266" t="s">
        <v>3409</v>
      </c>
      <c r="EU320"/>
    </row>
    <row r="321" spans="1:151" s="139" customFormat="1" ht="15" hidden="1" customHeight="1">
      <c r="A321" s="1" t="s">
        <v>1362</v>
      </c>
      <c r="B321" t="s">
        <v>2137</v>
      </c>
      <c r="C321" t="s">
        <v>2138</v>
      </c>
      <c r="D321" t="s">
        <v>2139</v>
      </c>
      <c r="E321" t="s">
        <v>2140</v>
      </c>
      <c r="F321" t="s">
        <v>2141</v>
      </c>
      <c r="G321" t="s">
        <v>1368</v>
      </c>
      <c r="H321" t="s">
        <v>255</v>
      </c>
      <c r="I321">
        <v>2012</v>
      </c>
      <c r="J321">
        <v>21</v>
      </c>
      <c r="K321" t="s">
        <v>2142</v>
      </c>
      <c r="L321" s="192"/>
      <c r="M321" t="str">
        <f>LEFT($D321,FIND(",",$D321)-1)&amp;"_"&amp;I321&amp;L321</f>
        <v>Pyorala_2012</v>
      </c>
      <c r="N321" t="s">
        <v>223</v>
      </c>
      <c r="O321" s="145" t="s">
        <v>342</v>
      </c>
      <c r="P321" s="180" t="s">
        <v>224</v>
      </c>
      <c r="Q321" s="266" t="s">
        <v>257</v>
      </c>
      <c r="R321" s="271" t="s">
        <v>1156</v>
      </c>
      <c r="S321" s="265" t="s">
        <v>2151</v>
      </c>
      <c r="T321" s="266" t="s">
        <v>2145</v>
      </c>
      <c r="U321" s="266" t="s">
        <v>2144</v>
      </c>
      <c r="V321">
        <v>0</v>
      </c>
      <c r="W321">
        <v>0</v>
      </c>
      <c r="X321">
        <v>0</v>
      </c>
      <c r="Y321">
        <v>1</v>
      </c>
      <c r="Z321">
        <v>0</v>
      </c>
      <c r="AA321">
        <v>0</v>
      </c>
      <c r="AB321">
        <v>0</v>
      </c>
      <c r="AC321">
        <v>0</v>
      </c>
      <c r="AD321">
        <v>0</v>
      </c>
      <c r="AE321">
        <v>0</v>
      </c>
      <c r="AF321">
        <v>0</v>
      </c>
      <c r="AG321">
        <v>0</v>
      </c>
      <c r="AH321">
        <v>0</v>
      </c>
      <c r="AI321">
        <v>0</v>
      </c>
      <c r="AJ321">
        <v>0</v>
      </c>
      <c r="AK321">
        <v>0</v>
      </c>
      <c r="AL321">
        <v>0</v>
      </c>
      <c r="AM321">
        <v>0</v>
      </c>
      <c r="AN321">
        <v>0</v>
      </c>
      <c r="AO321">
        <v>0</v>
      </c>
      <c r="AP321">
        <v>0</v>
      </c>
      <c r="AQ321">
        <v>0</v>
      </c>
      <c r="AR321">
        <v>0</v>
      </c>
      <c r="AS321">
        <v>0</v>
      </c>
      <c r="AT321">
        <v>0</v>
      </c>
      <c r="AU321">
        <v>0</v>
      </c>
      <c r="AV321">
        <v>0</v>
      </c>
      <c r="AW321">
        <v>0</v>
      </c>
      <c r="AX321" s="141">
        <f>COUNTIF(V321:AW321,"&lt;&gt;0")</f>
        <v>1</v>
      </c>
      <c r="AY321" s="141">
        <f>COUNTIF(V321:AL321,"&lt;&gt;0")</f>
        <v>1</v>
      </c>
      <c r="AZ321">
        <f>COUNTIF(V321:AC321,"&lt;&gt;0")</f>
        <v>1</v>
      </c>
      <c r="BA321">
        <f>COUNTIF(AD321:AI321,"&lt;&gt;0")</f>
        <v>0</v>
      </c>
      <c r="BB321">
        <f>COUNTIF(AJ321:AL321,"&lt;&gt;0")</f>
        <v>0</v>
      </c>
      <c r="BC321">
        <f>COUNTIF(AS321:AW321,"&lt;&gt;0")</f>
        <v>0</v>
      </c>
      <c r="BD321">
        <f>COUNTIF(AM321:AR321,"&lt;&gt;0")</f>
        <v>0</v>
      </c>
      <c r="BE321" t="str" cm="1">
        <f t="array" ref="BE321">IF(AY321=1,INDEX($V$7:$AL$7,MATCH(TRUE,INDEX($V321:$AW321&lt;&gt;0,),0)),IF(AY321=0,INDEX($AM$7:$AW$7,MATCH(1,$AM321:$AW321,0)),IF(BF321="Multiple strategies","mixed drivers",IF(BF321="Supply chain","multiple supply","multiple silviculture"))))</f>
        <v xml:space="preserve">cutting intensity </v>
      </c>
      <c r="BF321" s="2" t="str" cm="1">
        <f t="array" ref="BF321">IF(COUNTIF(AZ321:BB321,"&lt;&gt;0")=1,INDEX($V$4:$AW$4,MATCH(TRUE,INDEX($V321:$AW321&lt;&gt;0,),0)),IF(COUNTIF(AZ321:BB321,"&lt;&gt;0")=0,INDEX($AM$4:$AW$4,MATCH(1,$AM321:$AW321,0)),"Multiple strategies"))</f>
        <v>SilvicultureRemov</v>
      </c>
      <c r="BG321" s="178" t="s">
        <v>322</v>
      </c>
      <c r="BH321" s="266" t="s">
        <v>2146</v>
      </c>
      <c r="BI321" s="266" t="s">
        <v>427</v>
      </c>
      <c r="BJ321" s="160" t="s">
        <v>702</v>
      </c>
      <c r="BK321">
        <v>7.8</v>
      </c>
      <c r="BL321">
        <v>8.6999999999999993</v>
      </c>
      <c r="BM321"/>
      <c r="BN321">
        <f>BL321-BK321</f>
        <v>0.89999999999999947</v>
      </c>
      <c r="BO321">
        <f>BN321</f>
        <v>0.89999999999999947</v>
      </c>
      <c r="BP321" s="155" t="s">
        <v>396</v>
      </c>
      <c r="BQ321" s="266" t="s">
        <v>785</v>
      </c>
      <c r="BR321" s="155" t="s">
        <v>280</v>
      </c>
      <c r="BS321">
        <v>0.6</v>
      </c>
      <c r="BT321">
        <v>0.6</v>
      </c>
      <c r="BU321" s="144"/>
      <c r="BV321">
        <f>BT321-BS321</f>
        <v>0</v>
      </c>
      <c r="BW321"/>
      <c r="BX321">
        <f>BV321</f>
        <v>0</v>
      </c>
      <c r="BY321">
        <f>IFERROR(BX321/BO321,"")</f>
        <v>0</v>
      </c>
      <c r="BZ321">
        <v>0</v>
      </c>
      <c r="CA321">
        <v>0</v>
      </c>
      <c r="CB321">
        <v>0</v>
      </c>
      <c r="CC321">
        <v>0</v>
      </c>
      <c r="CD321">
        <v>0</v>
      </c>
      <c r="CE321">
        <v>0</v>
      </c>
      <c r="CF321">
        <v>0</v>
      </c>
      <c r="CG321">
        <v>0</v>
      </c>
      <c r="CH321">
        <v>0</v>
      </c>
      <c r="CI321">
        <v>0</v>
      </c>
      <c r="CJ321">
        <v>0</v>
      </c>
      <c r="CK321">
        <v>0</v>
      </c>
      <c r="CL321">
        <v>0</v>
      </c>
      <c r="CM321">
        <v>0</v>
      </c>
      <c r="CN321" t="str">
        <f>IF($BL321&lt;$BK321,"refNeedCorrection","refOK")</f>
        <v>refOK</v>
      </c>
      <c r="CO321">
        <f>IF($CN321="refOK",$BK321,$BL321)</f>
        <v>7.8</v>
      </c>
      <c r="CP321">
        <f>IF($CN321="refOK",$BL321,$BK321)</f>
        <v>8.6999999999999993</v>
      </c>
      <c r="CQ321">
        <f>IF($CN321="refOK",$BO321,-$BO321)</f>
        <v>0.89999999999999947</v>
      </c>
      <c r="CR321">
        <f>IF($CN321="refOK",$BS321,$BT321)*IF($BP321="Emissions positive",-1,1)</f>
        <v>-0.6</v>
      </c>
      <c r="CS321">
        <f>IF($CN321="refOK",$BT321,$BS321)*IF($BP321="Emissions positive",-1,1)</f>
        <v>-0.6</v>
      </c>
      <c r="CT321">
        <f>IF($CN321="refNeedCorrection",-BX321,BX321)*IF($BP321="Emissions positive",-1,1)</f>
        <v>0</v>
      </c>
      <c r="CU321">
        <f>IFERROR(CT321/CQ321,"")</f>
        <v>0</v>
      </c>
      <c r="CV321" s="2">
        <f>IFERROR((CS321-CR321)/ABS(CR321),"")</f>
        <v>0</v>
      </c>
      <c r="CW321" s="1" t="s">
        <v>1201</v>
      </c>
      <c r="CX321" s="266" t="str">
        <f>IF(OR($CW321="prd",$CW321="std",$CW321="cit"),"loc",IF(OR($CW321="eur",$CW321="reg",$CW321="coy"),"reg",$CW321))</f>
        <v>reg</v>
      </c>
      <c r="CY321" t="s">
        <v>236</v>
      </c>
      <c r="CZ321"/>
      <c r="DA321"/>
      <c r="DB321">
        <v>50</v>
      </c>
      <c r="DC321" t="str">
        <f>IF(DB321=0,"0",IF(AND(DB321&gt;=1,DB321&lt;=30),"1-30",IF(AND(DB321&gt;30,DB321&lt;=70),"31-70",IF(AND(DB321&gt;70,DB321&lt;=100),"71-100",IF(DB321&gt;100,"+100")))))</f>
        <v>31-70</v>
      </c>
      <c r="DD321">
        <v>0</v>
      </c>
      <c r="DE321">
        <v>1</v>
      </c>
      <c r="DF321">
        <v>1</v>
      </c>
      <c r="DG321">
        <v>1</v>
      </c>
      <c r="DH321"/>
      <c r="DI321">
        <f>SUM(DD321:DG321)</f>
        <v>3</v>
      </c>
      <c r="DJ321" t="str">
        <f>IF(DI321=1,INDEX($DD$7:$DG$7,MATCH(1,$DD321:$DG321,0)),"mixedProduct")</f>
        <v>mixedProduct</v>
      </c>
      <c r="DK321">
        <f>IF(DD321=1,DK$7,0)</f>
        <v>0</v>
      </c>
      <c r="DL321" t="str">
        <f>IF(DE321=1,DL$7,0)</f>
        <v>Energy</v>
      </c>
      <c r="DM321" t="str">
        <f>IF(DF321=1,DM$7,0)</f>
        <v>Pulp/Paper</v>
      </c>
      <c r="DN321" t="str">
        <f>IF(DG321=1,DN$7,0)</f>
        <v>Timber</v>
      </c>
      <c r="DO321">
        <v>0</v>
      </c>
      <c r="DP321">
        <v>1</v>
      </c>
      <c r="DQ321" t="s">
        <v>2148</v>
      </c>
      <c r="DR321">
        <v>0</v>
      </c>
      <c r="DS321">
        <v>0</v>
      </c>
      <c r="DT321">
        <f>SUM(DO321:DP321)</f>
        <v>1</v>
      </c>
      <c r="DU321" s="143" t="str">
        <f>IF(DO321=1,"self-calculated DF",IF(DP321=1,"external DF used","explicit C balance"))</f>
        <v>external DF used</v>
      </c>
      <c r="DV321">
        <v>1</v>
      </c>
      <c r="DW321">
        <v>1</v>
      </c>
      <c r="DX321">
        <v>1</v>
      </c>
      <c r="DY321">
        <v>0</v>
      </c>
      <c r="DZ321">
        <v>1</v>
      </c>
      <c r="EA321">
        <v>0</v>
      </c>
      <c r="EB321">
        <v>1</v>
      </c>
      <c r="EC321">
        <v>1</v>
      </c>
      <c r="ED321">
        <v>0</v>
      </c>
      <c r="EE321">
        <v>0</v>
      </c>
      <c r="EF321">
        <v>1</v>
      </c>
      <c r="EG321">
        <v>0</v>
      </c>
      <c r="EH321">
        <v>0</v>
      </c>
      <c r="EI321" s="2">
        <v>0</v>
      </c>
      <c r="EJ321" s="1"/>
      <c r="EK321" t="str">
        <f>IF(AND(AND(AND(OR($DX321=1,$DW321=1),OR($EC321=1,$EA321=1)),SUM($DV321:$DZ321,$EF321)&gt;=4),SUM($EA321:$EE321)&gt;=2),"Whole sector","")</f>
        <v>Whole sector</v>
      </c>
      <c r="EL321" t="str">
        <f>IF(AND(AND(OR($DX321=1,$DW321=1),AND($EC321=0,$EA321=0)),SUM($DV321:$DZ321,$EF321)&gt;=4),"Ecosystem approach","")</f>
        <v/>
      </c>
      <c r="EM321" s="2" t="str">
        <f>IF(AND(AND(AND($DX321=0,$DW321=0),OR($EC321=1,$EA321=1)),SUM($EB321:$EE321)&gt;=2),"Technology approach","")</f>
        <v/>
      </c>
      <c r="EN321"/>
      <c r="EO321"/>
      <c r="EP321" t="str">
        <f>IF(ISNUMBER(BU321),IF(ABS(BU321-[1]QC_indicators!$B$2)&gt;3*[1]QC_indicators!$C$2,"C ratio",IF(ISNUMBER(BY321),IF(ABS(BY321-[1]QC_indicators!$B$1)&gt;3*[1]QC_indicators!$C$1,"DF","no"))),IF(ISNUMBER(BY321),IF(ABS(BY321-[1]QC_indicators!$B$1)&gt;3*[1]QC_indicators!$C$1,"DF","no")))</f>
        <v>no</v>
      </c>
      <c r="EQ321"/>
      <c r="ER321"/>
      <c r="ES321"/>
      <c r="ET321" s="266" t="s">
        <v>3409</v>
      </c>
      <c r="EU321"/>
    </row>
    <row r="322" spans="1:151" s="139" customFormat="1" ht="15" hidden="1" customHeight="1">
      <c r="A322" s="1" t="s">
        <v>1362</v>
      </c>
      <c r="B322" t="s">
        <v>2137</v>
      </c>
      <c r="C322" t="s">
        <v>2138</v>
      </c>
      <c r="D322" t="s">
        <v>2139</v>
      </c>
      <c r="E322" t="s">
        <v>2140</v>
      </c>
      <c r="F322" t="s">
        <v>2141</v>
      </c>
      <c r="G322" t="s">
        <v>1368</v>
      </c>
      <c r="H322" t="s">
        <v>255</v>
      </c>
      <c r="I322">
        <v>2012</v>
      </c>
      <c r="J322">
        <v>21</v>
      </c>
      <c r="K322" t="s">
        <v>2142</v>
      </c>
      <c r="L322" s="192"/>
      <c r="M322" t="str">
        <f>LEFT($D322,FIND(",",$D322)-1)&amp;"_"&amp;I322&amp;L322</f>
        <v>Pyorala_2012</v>
      </c>
      <c r="N322" t="s">
        <v>223</v>
      </c>
      <c r="O322" s="145" t="s">
        <v>342</v>
      </c>
      <c r="P322" s="180" t="s">
        <v>224</v>
      </c>
      <c r="Q322" s="266" t="s">
        <v>257</v>
      </c>
      <c r="R322" s="271" t="s">
        <v>1156</v>
      </c>
      <c r="S322" s="265" t="s">
        <v>2155</v>
      </c>
      <c r="T322" s="266" t="s">
        <v>2145</v>
      </c>
      <c r="U322" s="266" t="s">
        <v>2154</v>
      </c>
      <c r="V322">
        <v>0</v>
      </c>
      <c r="W322">
        <v>0</v>
      </c>
      <c r="X322">
        <v>0</v>
      </c>
      <c r="Y322">
        <v>0</v>
      </c>
      <c r="Z322">
        <v>0</v>
      </c>
      <c r="AA322">
        <v>0</v>
      </c>
      <c r="AB322">
        <v>1</v>
      </c>
      <c r="AC322">
        <v>0</v>
      </c>
      <c r="AD322">
        <v>0</v>
      </c>
      <c r="AE322">
        <v>0</v>
      </c>
      <c r="AF322">
        <v>0</v>
      </c>
      <c r="AG322">
        <v>0</v>
      </c>
      <c r="AH322">
        <v>0</v>
      </c>
      <c r="AI322">
        <v>0</v>
      </c>
      <c r="AJ322">
        <v>0</v>
      </c>
      <c r="AK322">
        <v>0</v>
      </c>
      <c r="AL322">
        <v>0</v>
      </c>
      <c r="AM322">
        <v>0</v>
      </c>
      <c r="AN322">
        <v>0</v>
      </c>
      <c r="AO322">
        <v>0</v>
      </c>
      <c r="AP322">
        <v>0</v>
      </c>
      <c r="AQ322">
        <v>0</v>
      </c>
      <c r="AR322">
        <v>0</v>
      </c>
      <c r="AS322">
        <v>0</v>
      </c>
      <c r="AT322">
        <v>0</v>
      </c>
      <c r="AU322">
        <v>0</v>
      </c>
      <c r="AV322">
        <v>0</v>
      </c>
      <c r="AW322">
        <v>0</v>
      </c>
      <c r="AX322" s="141">
        <f>COUNTIF(V322:AW322,"&lt;&gt;0")</f>
        <v>1</v>
      </c>
      <c r="AY322" s="141">
        <f>COUNTIF(V322:AL322,"&lt;&gt;0")</f>
        <v>1</v>
      </c>
      <c r="AZ322">
        <f>COUNTIF(V322:AC322,"&lt;&gt;0")</f>
        <v>1</v>
      </c>
      <c r="BA322">
        <f>COUNTIF(AD322:AI322,"&lt;&gt;0")</f>
        <v>0</v>
      </c>
      <c r="BB322">
        <f>COUNTIF(AJ322:AL322,"&lt;&gt;0")</f>
        <v>0</v>
      </c>
      <c r="BC322">
        <f>COUNTIF(AS322:AW322,"&lt;&gt;0")</f>
        <v>0</v>
      </c>
      <c r="BD322">
        <f>COUNTIF(AM322:AR322,"&lt;&gt;0")</f>
        <v>0</v>
      </c>
      <c r="BE322" t="str" cm="1">
        <f t="array" ref="BE322">IF(AY322=1,INDEX($V$7:$AL$7,MATCH(TRUE,INDEX($V322:$AW322&lt;&gt;0,),0)),IF(AY322=0,INDEX($AM$7:$AW$7,MATCH(1,$AM322:$AW322,0)),IF(BF322="Multiple strategies","mixed drivers",IF(BF322="Supply chain","multiple supply","multiple silviculture"))))</f>
        <v>fertilisation</v>
      </c>
      <c r="BF322" s="2" t="str" cm="1">
        <f t="array" ref="BF322">IF(COUNTIF(AZ322:BB322,"&lt;&gt;0")=1,INDEX($V$4:$AW$4,MATCH(TRUE,INDEX($V322:$AW322&lt;&gt;0,),0)),IF(COUNTIF(AZ322:BB322,"&lt;&gt;0")=0,INDEX($AM$4:$AW$4,MATCH(1,$AM322:$AW322,0)),"Multiple strategies"))</f>
        <v>SilvicultureProd</v>
      </c>
      <c r="BG322" s="178" t="s">
        <v>322</v>
      </c>
      <c r="BH322" s="266" t="s">
        <v>2146</v>
      </c>
      <c r="BI322" s="266" t="s">
        <v>703</v>
      </c>
      <c r="BJ322" s="160" t="s">
        <v>702</v>
      </c>
      <c r="BK322">
        <v>7.6</v>
      </c>
      <c r="BL322">
        <v>7.9</v>
      </c>
      <c r="BM322"/>
      <c r="BN322">
        <f>BL322-BK322</f>
        <v>0.30000000000000071</v>
      </c>
      <c r="BO322">
        <f>BN322</f>
        <v>0.30000000000000071</v>
      </c>
      <c r="BP322" s="155" t="s">
        <v>396</v>
      </c>
      <c r="BQ322" s="266" t="s">
        <v>785</v>
      </c>
      <c r="BR322" s="155" t="s">
        <v>280</v>
      </c>
      <c r="BS322">
        <v>0.6</v>
      </c>
      <c r="BT322">
        <v>0.6</v>
      </c>
      <c r="BU322" s="144"/>
      <c r="BV322">
        <f>BT322-BS322</f>
        <v>0</v>
      </c>
      <c r="BW322"/>
      <c r="BX322">
        <f>BV322</f>
        <v>0</v>
      </c>
      <c r="BY322">
        <f>IFERROR(BX322/BO322,"")</f>
        <v>0</v>
      </c>
      <c r="BZ322">
        <v>0</v>
      </c>
      <c r="CA322">
        <v>0</v>
      </c>
      <c r="CB322">
        <v>0</v>
      </c>
      <c r="CC322">
        <v>0</v>
      </c>
      <c r="CD322">
        <v>0</v>
      </c>
      <c r="CE322">
        <v>0</v>
      </c>
      <c r="CF322">
        <v>0</v>
      </c>
      <c r="CG322">
        <v>0</v>
      </c>
      <c r="CH322">
        <v>0</v>
      </c>
      <c r="CI322">
        <v>0</v>
      </c>
      <c r="CJ322">
        <v>0</v>
      </c>
      <c r="CK322">
        <v>0</v>
      </c>
      <c r="CL322">
        <v>0</v>
      </c>
      <c r="CM322">
        <v>0</v>
      </c>
      <c r="CN322" t="str">
        <f>IF($BL322&lt;$BK322,"refNeedCorrection","refOK")</f>
        <v>refOK</v>
      </c>
      <c r="CO322">
        <f>IF($CN322="refOK",$BK322,$BL322)</f>
        <v>7.6</v>
      </c>
      <c r="CP322">
        <f>IF($CN322="refOK",$BL322,$BK322)</f>
        <v>7.9</v>
      </c>
      <c r="CQ322">
        <f>IF($CN322="refOK",$BO322,-$BO322)</f>
        <v>0.30000000000000071</v>
      </c>
      <c r="CR322">
        <f>IF($CN322="refOK",$BS322,$BT322)*IF($BP322="Emissions positive",-1,1)</f>
        <v>-0.6</v>
      </c>
      <c r="CS322">
        <f>IF($CN322="refOK",$BT322,$BS322)*IF($BP322="Emissions positive",-1,1)</f>
        <v>-0.6</v>
      </c>
      <c r="CT322">
        <f>IF($CN322="refNeedCorrection",-BX322,BX322)*IF($BP322="Emissions positive",-1,1)</f>
        <v>0</v>
      </c>
      <c r="CU322">
        <f>IFERROR(CT322/CQ322,"")</f>
        <v>0</v>
      </c>
      <c r="CV322" s="2">
        <f>IFERROR((CS322-CR322)/ABS(CR322),"")</f>
        <v>0</v>
      </c>
      <c r="CW322" s="1" t="s">
        <v>1201</v>
      </c>
      <c r="CX322" s="266" t="str">
        <f>IF(OR($CW322="prd",$CW322="std",$CW322="cit"),"loc",IF(OR($CW322="eur",$CW322="reg",$CW322="coy"),"reg",$CW322))</f>
        <v>reg</v>
      </c>
      <c r="CY322" t="s">
        <v>236</v>
      </c>
      <c r="CZ322"/>
      <c r="DA322"/>
      <c r="DB322">
        <v>50</v>
      </c>
      <c r="DC322" t="str">
        <f>IF(DB322=0,"0",IF(AND(DB322&gt;=1,DB322&lt;=30),"1-30",IF(AND(DB322&gt;30,DB322&lt;=70),"31-70",IF(AND(DB322&gt;70,DB322&lt;=100),"71-100",IF(DB322&gt;100,"+100")))))</f>
        <v>31-70</v>
      </c>
      <c r="DD322">
        <v>0</v>
      </c>
      <c r="DE322">
        <v>1</v>
      </c>
      <c r="DF322">
        <v>1</v>
      </c>
      <c r="DG322">
        <v>1</v>
      </c>
      <c r="DH322"/>
      <c r="DI322">
        <f>SUM(DD322:DG322)</f>
        <v>3</v>
      </c>
      <c r="DJ322" t="str">
        <f>IF(DI322=1,INDEX($DD$7:$DG$7,MATCH(1,$DD322:$DG322,0)),"mixedProduct")</f>
        <v>mixedProduct</v>
      </c>
      <c r="DK322">
        <f>IF(DD322=1,DK$7,0)</f>
        <v>0</v>
      </c>
      <c r="DL322" t="str">
        <f>IF(DE322=1,DL$7,0)</f>
        <v>Energy</v>
      </c>
      <c r="DM322" t="str">
        <f>IF(DF322=1,DM$7,0)</f>
        <v>Pulp/Paper</v>
      </c>
      <c r="DN322" t="str">
        <f>IF(DG322=1,DN$7,0)</f>
        <v>Timber</v>
      </c>
      <c r="DO322">
        <v>0</v>
      </c>
      <c r="DP322">
        <v>1</v>
      </c>
      <c r="DQ322" t="s">
        <v>2148</v>
      </c>
      <c r="DR322">
        <v>0</v>
      </c>
      <c r="DS322">
        <v>0</v>
      </c>
      <c r="DT322">
        <f>SUM(DO322:DP322)</f>
        <v>1</v>
      </c>
      <c r="DU322" s="143" t="str">
        <f>IF(DO322=1,"self-calculated DF",IF(DP322=1,"external DF used","explicit C balance"))</f>
        <v>external DF used</v>
      </c>
      <c r="DV322">
        <v>1</v>
      </c>
      <c r="DW322">
        <v>1</v>
      </c>
      <c r="DX322">
        <v>1</v>
      </c>
      <c r="DY322">
        <v>0</v>
      </c>
      <c r="DZ322">
        <v>1</v>
      </c>
      <c r="EA322">
        <v>0</v>
      </c>
      <c r="EB322">
        <v>1</v>
      </c>
      <c r="EC322">
        <v>1</v>
      </c>
      <c r="ED322">
        <v>0</v>
      </c>
      <c r="EE322">
        <v>0</v>
      </c>
      <c r="EF322">
        <v>1</v>
      </c>
      <c r="EG322">
        <v>0</v>
      </c>
      <c r="EH322">
        <v>0</v>
      </c>
      <c r="EI322" s="2">
        <v>0</v>
      </c>
      <c r="EJ322" s="1"/>
      <c r="EK322" t="str">
        <f>IF(AND(AND(AND(OR($DX322=1,$DW322=1),OR($EC322=1,$EA322=1)),SUM($DV322:$DZ322,$EF322)&gt;=4),SUM($EA322:$EE322)&gt;=2),"Whole sector","")</f>
        <v>Whole sector</v>
      </c>
      <c r="EL322" t="str">
        <f>IF(AND(AND(OR($DX322=1,$DW322=1),AND($EC322=0,$EA322=0)),SUM($DV322:$DZ322,$EF322)&gt;=4),"Ecosystem approach","")</f>
        <v/>
      </c>
      <c r="EM322" s="2" t="str">
        <f>IF(AND(AND(AND($DX322=0,$DW322=0),OR($EC322=1,$EA322=1)),SUM($EB322:$EE322)&gt;=2),"Technology approach","")</f>
        <v/>
      </c>
      <c r="EN322"/>
      <c r="EO322"/>
      <c r="EP322" t="str">
        <f>IF(ISNUMBER(BU322),IF(ABS(BU322-[1]QC_indicators!$B$2)&gt;3*[1]QC_indicators!$C$2,"C ratio",IF(ISNUMBER(BY322),IF(ABS(BY322-[1]QC_indicators!$B$1)&gt;3*[1]QC_indicators!$C$1,"DF","no"))),IF(ISNUMBER(BY322),IF(ABS(BY322-[1]QC_indicators!$B$1)&gt;3*[1]QC_indicators!$C$1,"DF","no")))</f>
        <v>no</v>
      </c>
      <c r="EQ322"/>
      <c r="ER322"/>
      <c r="ES322"/>
      <c r="ET322" s="266" t="s">
        <v>3409</v>
      </c>
      <c r="EU322"/>
    </row>
    <row r="323" spans="1:151" s="139" customFormat="1" ht="15" hidden="1" customHeight="1">
      <c r="A323" s="1" t="s">
        <v>1362</v>
      </c>
      <c r="B323" t="s">
        <v>2137</v>
      </c>
      <c r="C323" t="s">
        <v>2138</v>
      </c>
      <c r="D323" t="s">
        <v>2139</v>
      </c>
      <c r="E323" t="s">
        <v>2140</v>
      </c>
      <c r="F323" t="s">
        <v>2141</v>
      </c>
      <c r="G323" t="s">
        <v>1368</v>
      </c>
      <c r="H323" t="s">
        <v>255</v>
      </c>
      <c r="I323">
        <v>2012</v>
      </c>
      <c r="J323">
        <v>21</v>
      </c>
      <c r="K323" t="s">
        <v>2142</v>
      </c>
      <c r="L323" s="192"/>
      <c r="M323" t="str">
        <f>LEFT($D323,FIND(",",$D323)-1)&amp;"_"&amp;I323&amp;L323</f>
        <v>Pyorala_2012</v>
      </c>
      <c r="N323" t="s">
        <v>223</v>
      </c>
      <c r="O323" s="145" t="s">
        <v>342</v>
      </c>
      <c r="P323" s="180" t="s">
        <v>224</v>
      </c>
      <c r="Q323" s="266" t="s">
        <v>257</v>
      </c>
      <c r="R323" s="271" t="s">
        <v>1156</v>
      </c>
      <c r="S323" s="265" t="s">
        <v>2156</v>
      </c>
      <c r="T323" s="266" t="s">
        <v>2145</v>
      </c>
      <c r="U323" s="266" t="s">
        <v>2154</v>
      </c>
      <c r="V323">
        <v>0</v>
      </c>
      <c r="W323">
        <v>0</v>
      </c>
      <c r="X323">
        <v>0</v>
      </c>
      <c r="Y323">
        <v>0</v>
      </c>
      <c r="Z323">
        <v>0</v>
      </c>
      <c r="AA323">
        <v>0</v>
      </c>
      <c r="AB323">
        <v>1</v>
      </c>
      <c r="AC323">
        <v>0</v>
      </c>
      <c r="AD323">
        <v>0</v>
      </c>
      <c r="AE323">
        <v>0</v>
      </c>
      <c r="AF323">
        <v>0</v>
      </c>
      <c r="AG323">
        <v>0</v>
      </c>
      <c r="AH323">
        <v>0</v>
      </c>
      <c r="AI323">
        <v>0</v>
      </c>
      <c r="AJ323">
        <v>0</v>
      </c>
      <c r="AK323">
        <v>0</v>
      </c>
      <c r="AL323">
        <v>0</v>
      </c>
      <c r="AM323">
        <v>0</v>
      </c>
      <c r="AN323">
        <v>0</v>
      </c>
      <c r="AO323">
        <v>0</v>
      </c>
      <c r="AP323">
        <v>0</v>
      </c>
      <c r="AQ323">
        <v>0</v>
      </c>
      <c r="AR323">
        <v>0</v>
      </c>
      <c r="AS323">
        <v>0</v>
      </c>
      <c r="AT323">
        <v>0</v>
      </c>
      <c r="AU323">
        <v>0</v>
      </c>
      <c r="AV323">
        <v>0</v>
      </c>
      <c r="AW323">
        <v>0</v>
      </c>
      <c r="AX323" s="141">
        <f>COUNTIF(V323:AW323,"&lt;&gt;0")</f>
        <v>1</v>
      </c>
      <c r="AY323" s="141">
        <f>COUNTIF(V323:AL323,"&lt;&gt;0")</f>
        <v>1</v>
      </c>
      <c r="AZ323">
        <f>COUNTIF(V323:AC323,"&lt;&gt;0")</f>
        <v>1</v>
      </c>
      <c r="BA323">
        <f>COUNTIF(AD323:AI323,"&lt;&gt;0")</f>
        <v>0</v>
      </c>
      <c r="BB323">
        <f>COUNTIF(AJ323:AL323,"&lt;&gt;0")</f>
        <v>0</v>
      </c>
      <c r="BC323">
        <f>COUNTIF(AS323:AW323,"&lt;&gt;0")</f>
        <v>0</v>
      </c>
      <c r="BD323">
        <f>COUNTIF(AM323:AR323,"&lt;&gt;0")</f>
        <v>0</v>
      </c>
      <c r="BE323" t="str" cm="1">
        <f t="array" ref="BE323">IF(AY323=1,INDEX($V$7:$AL$7,MATCH(TRUE,INDEX($V323:$AW323&lt;&gt;0,),0)),IF(AY323=0,INDEX($AM$7:$AW$7,MATCH(1,$AM323:$AW323,0)),IF(BF323="Multiple strategies","mixed drivers",IF(BF323="Supply chain","multiple supply","multiple silviculture"))))</f>
        <v>fertilisation</v>
      </c>
      <c r="BF323" s="2" t="str" cm="1">
        <f t="array" ref="BF323">IF(COUNTIF(AZ323:BB323,"&lt;&gt;0")=1,INDEX($V$4:$AW$4,MATCH(TRUE,INDEX($V323:$AW323&lt;&gt;0,),0)),IF(COUNTIF(AZ323:BB323,"&lt;&gt;0")=0,INDEX($AM$4:$AW$4,MATCH(1,$AM323:$AW323,0)),"Multiple strategies"))</f>
        <v>SilvicultureProd</v>
      </c>
      <c r="BG323" s="178" t="s">
        <v>322</v>
      </c>
      <c r="BH323" s="266" t="s">
        <v>2146</v>
      </c>
      <c r="BI323" s="266" t="s">
        <v>427</v>
      </c>
      <c r="BJ323" s="160" t="s">
        <v>702</v>
      </c>
      <c r="BK323">
        <v>7.8</v>
      </c>
      <c r="BL323">
        <v>10.6</v>
      </c>
      <c r="BM323"/>
      <c r="BN323">
        <f>BL323-BK323</f>
        <v>2.8</v>
      </c>
      <c r="BO323">
        <f>BN323</f>
        <v>2.8</v>
      </c>
      <c r="BP323" s="155" t="s">
        <v>396</v>
      </c>
      <c r="BQ323" s="266" t="s">
        <v>785</v>
      </c>
      <c r="BR323" s="155" t="s">
        <v>280</v>
      </c>
      <c r="BS323">
        <v>0.6</v>
      </c>
      <c r="BT323">
        <v>0.7</v>
      </c>
      <c r="BU323" s="144"/>
      <c r="BV323">
        <f>BT323-BS323</f>
        <v>9.9999999999999978E-2</v>
      </c>
      <c r="BW323"/>
      <c r="BX323">
        <f>BV323</f>
        <v>9.9999999999999978E-2</v>
      </c>
      <c r="BY323">
        <f>IFERROR(BX323/BO323,"")</f>
        <v>3.5714285714285705E-2</v>
      </c>
      <c r="BZ323">
        <v>0</v>
      </c>
      <c r="CA323">
        <v>0</v>
      </c>
      <c r="CB323">
        <v>0</v>
      </c>
      <c r="CC323">
        <v>0</v>
      </c>
      <c r="CD323">
        <v>0</v>
      </c>
      <c r="CE323">
        <v>0</v>
      </c>
      <c r="CF323">
        <v>0</v>
      </c>
      <c r="CG323">
        <v>0</v>
      </c>
      <c r="CH323">
        <v>0</v>
      </c>
      <c r="CI323">
        <v>0</v>
      </c>
      <c r="CJ323">
        <v>0</v>
      </c>
      <c r="CK323">
        <v>0</v>
      </c>
      <c r="CL323">
        <v>0</v>
      </c>
      <c r="CM323">
        <v>0</v>
      </c>
      <c r="CN323" t="str">
        <f>IF($BL323&lt;$BK323,"refNeedCorrection","refOK")</f>
        <v>refOK</v>
      </c>
      <c r="CO323">
        <f>IF($CN323="refOK",$BK323,$BL323)</f>
        <v>7.8</v>
      </c>
      <c r="CP323">
        <f>IF($CN323="refOK",$BL323,$BK323)</f>
        <v>10.6</v>
      </c>
      <c r="CQ323">
        <f>IF($CN323="refOK",$BO323,-$BO323)</f>
        <v>2.8</v>
      </c>
      <c r="CR323">
        <f>IF($CN323="refOK",$BS323,$BT323)*IF($BP323="Emissions positive",-1,1)</f>
        <v>-0.6</v>
      </c>
      <c r="CS323">
        <f>IF($CN323="refOK",$BT323,$BS323)*IF($BP323="Emissions positive",-1,1)</f>
        <v>-0.7</v>
      </c>
      <c r="CT323">
        <f>IF($CN323="refNeedCorrection",-BX323,BX323)*IF($BP323="Emissions positive",-1,1)</f>
        <v>-9.9999999999999978E-2</v>
      </c>
      <c r="CU323">
        <f>IFERROR(CT323/CQ323,"")</f>
        <v>-3.5714285714285705E-2</v>
      </c>
      <c r="CV323" s="2">
        <f>IFERROR((CS323-CR323)/ABS(CR323),"")</f>
        <v>-0.16666666666666663</v>
      </c>
      <c r="CW323" s="1" t="s">
        <v>1201</v>
      </c>
      <c r="CX323" s="266" t="str">
        <f>IF(OR($CW323="prd",$CW323="std",$CW323="cit"),"loc",IF(OR($CW323="eur",$CW323="reg",$CW323="coy"),"reg",$CW323))</f>
        <v>reg</v>
      </c>
      <c r="CY323" t="s">
        <v>236</v>
      </c>
      <c r="CZ323"/>
      <c r="DA323"/>
      <c r="DB323">
        <v>50</v>
      </c>
      <c r="DC323" t="str">
        <f>IF(DB323=0,"0",IF(AND(DB323&gt;=1,DB323&lt;=30),"1-30",IF(AND(DB323&gt;30,DB323&lt;=70),"31-70",IF(AND(DB323&gt;70,DB323&lt;=100),"71-100",IF(DB323&gt;100,"+100")))))</f>
        <v>31-70</v>
      </c>
      <c r="DD323">
        <v>0</v>
      </c>
      <c r="DE323">
        <v>1</v>
      </c>
      <c r="DF323">
        <v>1</v>
      </c>
      <c r="DG323">
        <v>1</v>
      </c>
      <c r="DH323"/>
      <c r="DI323">
        <f>SUM(DD323:DG323)</f>
        <v>3</v>
      </c>
      <c r="DJ323" t="str">
        <f>IF(DI323=1,INDEX($DD$7:$DG$7,MATCH(1,$DD323:$DG323,0)),"mixedProduct")</f>
        <v>mixedProduct</v>
      </c>
      <c r="DK323">
        <f>IF(DD323=1,DK$7,0)</f>
        <v>0</v>
      </c>
      <c r="DL323" t="str">
        <f>IF(DE323=1,DL$7,0)</f>
        <v>Energy</v>
      </c>
      <c r="DM323" t="str">
        <f>IF(DF323=1,DM$7,0)</f>
        <v>Pulp/Paper</v>
      </c>
      <c r="DN323" t="str">
        <f>IF(DG323=1,DN$7,0)</f>
        <v>Timber</v>
      </c>
      <c r="DO323">
        <v>0</v>
      </c>
      <c r="DP323">
        <v>1</v>
      </c>
      <c r="DQ323" t="s">
        <v>2148</v>
      </c>
      <c r="DR323">
        <v>0</v>
      </c>
      <c r="DS323">
        <v>0</v>
      </c>
      <c r="DT323">
        <f>SUM(DO323:DP323)</f>
        <v>1</v>
      </c>
      <c r="DU323" s="143" t="str">
        <f>IF(DO323=1,"self-calculated DF",IF(DP323=1,"external DF used","explicit C balance"))</f>
        <v>external DF used</v>
      </c>
      <c r="DV323">
        <v>1</v>
      </c>
      <c r="DW323">
        <v>1</v>
      </c>
      <c r="DX323">
        <v>1</v>
      </c>
      <c r="DY323">
        <v>0</v>
      </c>
      <c r="DZ323">
        <v>1</v>
      </c>
      <c r="EA323">
        <v>0</v>
      </c>
      <c r="EB323">
        <v>1</v>
      </c>
      <c r="EC323">
        <v>1</v>
      </c>
      <c r="ED323">
        <v>0</v>
      </c>
      <c r="EE323">
        <v>0</v>
      </c>
      <c r="EF323">
        <v>1</v>
      </c>
      <c r="EG323">
        <v>0</v>
      </c>
      <c r="EH323">
        <v>0</v>
      </c>
      <c r="EI323" s="2">
        <v>0</v>
      </c>
      <c r="EJ323" s="1"/>
      <c r="EK323" t="str">
        <f>IF(AND(AND(AND(OR($DX323=1,$DW323=1),OR($EC323=1,$EA323=1)),SUM($DV323:$DZ323,$EF323)&gt;=4),SUM($EA323:$EE323)&gt;=2),"Whole sector","")</f>
        <v>Whole sector</v>
      </c>
      <c r="EL323" t="str">
        <f>IF(AND(AND(OR($DX323=1,$DW323=1),AND($EC323=0,$EA323=0)),SUM($DV323:$DZ323,$EF323)&gt;=4),"Ecosystem approach","")</f>
        <v/>
      </c>
      <c r="EM323" s="2" t="str">
        <f>IF(AND(AND(AND($DX323=0,$DW323=0),OR($EC323=1,$EA323=1)),SUM($EB323:$EE323)&gt;=2),"Technology approach","")</f>
        <v/>
      </c>
      <c r="EN323"/>
      <c r="EO323"/>
      <c r="EP323" t="str">
        <f>IF(ISNUMBER(BU323),IF(ABS(BU323-[1]QC_indicators!$B$2)&gt;3*[1]QC_indicators!$C$2,"C ratio",IF(ISNUMBER(BY323),IF(ABS(BY323-[1]QC_indicators!$B$1)&gt;3*[1]QC_indicators!$C$1,"DF","no"))),IF(ISNUMBER(BY323),IF(ABS(BY323-[1]QC_indicators!$B$1)&gt;3*[1]QC_indicators!$C$1,"DF","no")))</f>
        <v>no</v>
      </c>
      <c r="EQ323"/>
      <c r="ER323"/>
      <c r="ES323"/>
      <c r="ET323" s="266" t="s">
        <v>3409</v>
      </c>
      <c r="EU323"/>
    </row>
    <row r="324" spans="1:151" s="139" customFormat="1" ht="15" hidden="1" customHeight="1">
      <c r="A324" s="1" t="s">
        <v>1362</v>
      </c>
      <c r="B324" t="s">
        <v>2137</v>
      </c>
      <c r="C324" t="s">
        <v>2138</v>
      </c>
      <c r="D324" t="s">
        <v>2139</v>
      </c>
      <c r="E324" t="s">
        <v>2140</v>
      </c>
      <c r="F324" t="s">
        <v>2141</v>
      </c>
      <c r="G324" t="s">
        <v>1368</v>
      </c>
      <c r="H324" t="s">
        <v>255</v>
      </c>
      <c r="I324">
        <v>2012</v>
      </c>
      <c r="J324">
        <v>21</v>
      </c>
      <c r="K324" t="s">
        <v>2142</v>
      </c>
      <c r="L324" s="192"/>
      <c r="M324" t="str">
        <f>LEFT($D324,FIND(",",$D324)-1)&amp;"_"&amp;I324&amp;L324</f>
        <v>Pyorala_2012</v>
      </c>
      <c r="N324" t="s">
        <v>223</v>
      </c>
      <c r="O324" s="145" t="s">
        <v>342</v>
      </c>
      <c r="P324" s="180" t="s">
        <v>224</v>
      </c>
      <c r="Q324" s="266" t="s">
        <v>2166</v>
      </c>
      <c r="R324" s="271" t="s">
        <v>1156</v>
      </c>
      <c r="S324" s="265" t="s">
        <v>2167</v>
      </c>
      <c r="T324" s="266" t="s">
        <v>2159</v>
      </c>
      <c r="U324" s="266" t="s">
        <v>2160</v>
      </c>
      <c r="V324">
        <v>0</v>
      </c>
      <c r="W324">
        <v>0</v>
      </c>
      <c r="X324">
        <v>0</v>
      </c>
      <c r="Y324">
        <v>0</v>
      </c>
      <c r="Z324">
        <v>0</v>
      </c>
      <c r="AA324">
        <v>0</v>
      </c>
      <c r="AB324">
        <v>0</v>
      </c>
      <c r="AC324">
        <v>1</v>
      </c>
      <c r="AD324">
        <v>0</v>
      </c>
      <c r="AE324">
        <v>0</v>
      </c>
      <c r="AF324">
        <v>0</v>
      </c>
      <c r="AG324">
        <v>0</v>
      </c>
      <c r="AH324">
        <v>0</v>
      </c>
      <c r="AI324">
        <v>0</v>
      </c>
      <c r="AJ324">
        <v>0</v>
      </c>
      <c r="AK324">
        <v>0</v>
      </c>
      <c r="AL324">
        <v>0</v>
      </c>
      <c r="AM324">
        <v>0</v>
      </c>
      <c r="AN324">
        <v>0</v>
      </c>
      <c r="AO324">
        <v>0</v>
      </c>
      <c r="AP324">
        <v>0</v>
      </c>
      <c r="AQ324">
        <v>0</v>
      </c>
      <c r="AR324">
        <v>0</v>
      </c>
      <c r="AS324">
        <v>0</v>
      </c>
      <c r="AT324">
        <v>0</v>
      </c>
      <c r="AU324">
        <v>0</v>
      </c>
      <c r="AV324">
        <v>0</v>
      </c>
      <c r="AW324">
        <v>0</v>
      </c>
      <c r="AX324" s="141">
        <f>COUNTIF(V324:AW324,"&lt;&gt;0")</f>
        <v>1</v>
      </c>
      <c r="AY324" s="141">
        <f>COUNTIF(V324:AL324,"&lt;&gt;0")</f>
        <v>1</v>
      </c>
      <c r="AZ324">
        <f>COUNTIF(V324:AC324,"&lt;&gt;0")</f>
        <v>1</v>
      </c>
      <c r="BA324">
        <f>COUNTIF(AD324:AI324,"&lt;&gt;0")</f>
        <v>0</v>
      </c>
      <c r="BB324">
        <f>COUNTIF(AJ324:AL324,"&lt;&gt;0")</f>
        <v>0</v>
      </c>
      <c r="BC324">
        <f>COUNTIF(AS324:AW324,"&lt;&gt;0")</f>
        <v>0</v>
      </c>
      <c r="BD324">
        <f>COUNTIF(AM324:AR324,"&lt;&gt;0")</f>
        <v>0</v>
      </c>
      <c r="BE324" t="str" cm="1">
        <f t="array" ref="BE324">IF(AY324=1,INDEX($V$7:$AL$7,MATCH(TRUE,INDEX($V324:$AW324&lt;&gt;0,),0)),IF(AY324=0,INDEX($AM$7:$AW$7,MATCH(1,$AM324:$AW324,0)),IF(BF324="Multiple strategies","mixed drivers",IF(BF324="Supply chain","multiple supply","multiple silviculture"))))</f>
        <v>site fertility</v>
      </c>
      <c r="BF324" s="2" t="str" cm="1">
        <f t="array" ref="BF324">IF(COUNTIF(AZ324:BB324,"&lt;&gt;0")=1,INDEX($V$4:$AW$4,MATCH(TRUE,INDEX($V324:$AW324&lt;&gt;0,),0)),IF(COUNTIF(AZ324:BB324,"&lt;&gt;0")=0,INDEX($AM$4:$AW$4,MATCH(1,$AM324:$AW324,0)),"Multiple strategies"))</f>
        <v>SilvicultureProd</v>
      </c>
      <c r="BG324" s="178" t="s">
        <v>322</v>
      </c>
      <c r="BH324" s="266" t="s">
        <v>2146</v>
      </c>
      <c r="BI324" s="266" t="s">
        <v>2161</v>
      </c>
      <c r="BJ324" s="160" t="s">
        <v>702</v>
      </c>
      <c r="BK324">
        <v>7.6</v>
      </c>
      <c r="BL324">
        <v>7.8</v>
      </c>
      <c r="BM324"/>
      <c r="BN324">
        <f>BL324-BK324</f>
        <v>0.20000000000000018</v>
      </c>
      <c r="BO324">
        <f>BN324</f>
        <v>0.20000000000000018</v>
      </c>
      <c r="BP324" s="155" t="s">
        <v>396</v>
      </c>
      <c r="BQ324" s="266" t="s">
        <v>785</v>
      </c>
      <c r="BR324" s="155" t="s">
        <v>280</v>
      </c>
      <c r="BS324">
        <v>0.6</v>
      </c>
      <c r="BT324">
        <v>0.6</v>
      </c>
      <c r="BU324" s="144"/>
      <c r="BV324">
        <f>BT324-BS324</f>
        <v>0</v>
      </c>
      <c r="BW324"/>
      <c r="BX324">
        <f>BV324</f>
        <v>0</v>
      </c>
      <c r="BY324">
        <f>IFERROR(BX324/BO324,"")</f>
        <v>0</v>
      </c>
      <c r="BZ324">
        <v>0</v>
      </c>
      <c r="CA324">
        <v>0</v>
      </c>
      <c r="CB324">
        <v>0</v>
      </c>
      <c r="CC324">
        <v>0</v>
      </c>
      <c r="CD324">
        <v>0</v>
      </c>
      <c r="CE324">
        <v>0</v>
      </c>
      <c r="CF324">
        <v>0</v>
      </c>
      <c r="CG324">
        <v>0</v>
      </c>
      <c r="CH324">
        <v>0</v>
      </c>
      <c r="CI324">
        <v>0</v>
      </c>
      <c r="CJ324">
        <v>0</v>
      </c>
      <c r="CK324">
        <v>0</v>
      </c>
      <c r="CL324">
        <v>0</v>
      </c>
      <c r="CM324">
        <v>0</v>
      </c>
      <c r="CN324" t="str">
        <f>IF($BL324&lt;$BK324,"refNeedCorrection","refOK")</f>
        <v>refOK</v>
      </c>
      <c r="CO324">
        <f>IF($CN324="refOK",$BK324,$BL324)</f>
        <v>7.6</v>
      </c>
      <c r="CP324">
        <f>IF($CN324="refOK",$BL324,$BK324)</f>
        <v>7.8</v>
      </c>
      <c r="CQ324">
        <f>IF($CN324="refOK",$BO324,-$BO324)</f>
        <v>0.20000000000000018</v>
      </c>
      <c r="CR324">
        <f>IF($CN324="refOK",$BS324,$BT324)*IF($BP324="Emissions positive",-1,1)</f>
        <v>-0.6</v>
      </c>
      <c r="CS324">
        <f>IF($CN324="refOK",$BT324,$BS324)*IF($BP324="Emissions positive",-1,1)</f>
        <v>-0.6</v>
      </c>
      <c r="CT324">
        <f>IF($CN324="refNeedCorrection",-BX324,BX324)*IF($BP324="Emissions positive",-1,1)</f>
        <v>0</v>
      </c>
      <c r="CU324">
        <f>IFERROR(CT324/CQ324,"")</f>
        <v>0</v>
      </c>
      <c r="CV324" s="2">
        <f>IFERROR((CS324-CR324)/ABS(CR324),"")</f>
        <v>0</v>
      </c>
      <c r="CW324" s="1" t="s">
        <v>1201</v>
      </c>
      <c r="CX324" s="266" t="str">
        <f>IF(OR($CW324="prd",$CW324="std",$CW324="cit"),"loc",IF(OR($CW324="eur",$CW324="reg",$CW324="coy"),"reg",$CW324))</f>
        <v>reg</v>
      </c>
      <c r="CY324" t="s">
        <v>236</v>
      </c>
      <c r="CZ324"/>
      <c r="DA324"/>
      <c r="DB324">
        <v>50</v>
      </c>
      <c r="DC324" t="str">
        <f>IF(DB324=0,"0",IF(AND(DB324&gt;=1,DB324&lt;=30),"1-30",IF(AND(DB324&gt;30,DB324&lt;=70),"31-70",IF(AND(DB324&gt;70,DB324&lt;=100),"71-100",IF(DB324&gt;100,"+100")))))</f>
        <v>31-70</v>
      </c>
      <c r="DD324">
        <v>0</v>
      </c>
      <c r="DE324">
        <v>1</v>
      </c>
      <c r="DF324">
        <v>1</v>
      </c>
      <c r="DG324">
        <v>1</v>
      </c>
      <c r="DH324"/>
      <c r="DI324">
        <f>SUM(DD324:DG324)</f>
        <v>3</v>
      </c>
      <c r="DJ324" t="str">
        <f>IF(DI324=1,INDEX($DD$7:$DG$7,MATCH(1,$DD324:$DG324,0)),"mixedProduct")</f>
        <v>mixedProduct</v>
      </c>
      <c r="DK324">
        <f>IF(DD324=1,DK$7,0)</f>
        <v>0</v>
      </c>
      <c r="DL324" t="str">
        <f>IF(DE324=1,DL$7,0)</f>
        <v>Energy</v>
      </c>
      <c r="DM324" t="str">
        <f>IF(DF324=1,DM$7,0)</f>
        <v>Pulp/Paper</v>
      </c>
      <c r="DN324" t="str">
        <f>IF(DG324=1,DN$7,0)</f>
        <v>Timber</v>
      </c>
      <c r="DO324">
        <v>0</v>
      </c>
      <c r="DP324">
        <v>1</v>
      </c>
      <c r="DQ324" t="s">
        <v>2148</v>
      </c>
      <c r="DR324">
        <v>0</v>
      </c>
      <c r="DS324">
        <v>0</v>
      </c>
      <c r="DT324">
        <f>SUM(DO324:DP324)</f>
        <v>1</v>
      </c>
      <c r="DU324" s="143" t="str">
        <f>IF(DO324=1,"self-calculated DF",IF(DP324=1,"external DF used","explicit C balance"))</f>
        <v>external DF used</v>
      </c>
      <c r="DV324">
        <v>1</v>
      </c>
      <c r="DW324">
        <v>1</v>
      </c>
      <c r="DX324">
        <v>1</v>
      </c>
      <c r="DY324">
        <v>0</v>
      </c>
      <c r="DZ324">
        <v>1</v>
      </c>
      <c r="EA324">
        <v>0</v>
      </c>
      <c r="EB324">
        <v>1</v>
      </c>
      <c r="EC324">
        <v>1</v>
      </c>
      <c r="ED324">
        <v>0</v>
      </c>
      <c r="EE324">
        <v>0</v>
      </c>
      <c r="EF324">
        <v>1</v>
      </c>
      <c r="EG324">
        <v>0</v>
      </c>
      <c r="EH324">
        <v>0</v>
      </c>
      <c r="EI324" s="2">
        <v>0</v>
      </c>
      <c r="EJ324" s="1"/>
      <c r="EK324" t="str">
        <f>IF(AND(AND(AND(OR($DX324=1,$DW324=1),OR($EC324=1,$EA324=1)),SUM($DV324:$DZ324,$EF324)&gt;=4),SUM($EA324:$EE324)&gt;=2),"Whole sector","")</f>
        <v>Whole sector</v>
      </c>
      <c r="EL324" t="str">
        <f>IF(AND(AND(OR($DX324=1,$DW324=1),AND($EC324=0,$EA324=0)),SUM($DV324:$DZ324,$EF324)&gt;=4),"Ecosystem approach","")</f>
        <v/>
      </c>
      <c r="EM324" s="2" t="str">
        <f>IF(AND(AND(AND($DX324=0,$DW324=0),OR($EC324=1,$EA324=1)),SUM($EB324:$EE324)&gt;=2),"Technology approach","")</f>
        <v/>
      </c>
      <c r="EN324"/>
      <c r="EO324"/>
      <c r="EP324" t="str">
        <f>IF(ISNUMBER(BU324),IF(ABS(BU324-[1]QC_indicators!$B$2)&gt;3*[1]QC_indicators!$C$2,"C ratio",IF(ISNUMBER(BY324),IF(ABS(BY324-[1]QC_indicators!$B$1)&gt;3*[1]QC_indicators!$C$1,"DF","no"))),IF(ISNUMBER(BY324),IF(ABS(BY324-[1]QC_indicators!$B$1)&gt;3*[1]QC_indicators!$C$1,"DF","no")))</f>
        <v>no</v>
      </c>
      <c r="EQ324"/>
      <c r="ER324"/>
      <c r="ES324"/>
      <c r="ET324" s="266" t="s">
        <v>3409</v>
      </c>
      <c r="EU324"/>
    </row>
    <row r="325" spans="1:151" s="139" customFormat="1" ht="15" hidden="1" customHeight="1">
      <c r="A325" s="1" t="s">
        <v>1362</v>
      </c>
      <c r="B325" t="s">
        <v>2137</v>
      </c>
      <c r="C325" t="s">
        <v>2138</v>
      </c>
      <c r="D325" t="s">
        <v>2139</v>
      </c>
      <c r="E325" t="s">
        <v>2140</v>
      </c>
      <c r="F325" t="s">
        <v>2141</v>
      </c>
      <c r="G325" t="s">
        <v>1368</v>
      </c>
      <c r="H325" t="s">
        <v>255</v>
      </c>
      <c r="I325">
        <v>2012</v>
      </c>
      <c r="J325">
        <v>21</v>
      </c>
      <c r="K325" t="s">
        <v>2142</v>
      </c>
      <c r="L325" s="192"/>
      <c r="M325" t="str">
        <f>LEFT($D325,FIND(",",$D325)-1)&amp;"_"&amp;I325&amp;L325</f>
        <v>Pyorala_2012</v>
      </c>
      <c r="N325" t="s">
        <v>223</v>
      </c>
      <c r="O325" s="145" t="s">
        <v>342</v>
      </c>
      <c r="P325" s="180" t="s">
        <v>224</v>
      </c>
      <c r="Q325" s="266" t="s">
        <v>2166</v>
      </c>
      <c r="R325" s="271" t="s">
        <v>1156</v>
      </c>
      <c r="S325" s="265" t="s">
        <v>2163</v>
      </c>
      <c r="T325" s="266" t="s">
        <v>2159</v>
      </c>
      <c r="U325" s="266" t="s">
        <v>2160</v>
      </c>
      <c r="V325">
        <v>0</v>
      </c>
      <c r="W325">
        <v>0</v>
      </c>
      <c r="X325">
        <v>0</v>
      </c>
      <c r="Y325">
        <v>0</v>
      </c>
      <c r="Z325">
        <v>0</v>
      </c>
      <c r="AA325">
        <v>0</v>
      </c>
      <c r="AB325">
        <v>0</v>
      </c>
      <c r="AC325">
        <v>1</v>
      </c>
      <c r="AD325">
        <v>0</v>
      </c>
      <c r="AE325">
        <v>0</v>
      </c>
      <c r="AF325">
        <v>0</v>
      </c>
      <c r="AG325">
        <v>0</v>
      </c>
      <c r="AH325">
        <v>0</v>
      </c>
      <c r="AI325">
        <v>0</v>
      </c>
      <c r="AJ325">
        <v>0</v>
      </c>
      <c r="AK325">
        <v>0</v>
      </c>
      <c r="AL325">
        <v>0</v>
      </c>
      <c r="AM325">
        <v>0</v>
      </c>
      <c r="AN325">
        <v>0</v>
      </c>
      <c r="AO325">
        <v>0</v>
      </c>
      <c r="AP325">
        <v>0</v>
      </c>
      <c r="AQ325">
        <v>0</v>
      </c>
      <c r="AR325">
        <v>0</v>
      </c>
      <c r="AS325">
        <v>0</v>
      </c>
      <c r="AT325">
        <v>0</v>
      </c>
      <c r="AU325">
        <v>0</v>
      </c>
      <c r="AV325">
        <v>0</v>
      </c>
      <c r="AW325">
        <v>0</v>
      </c>
      <c r="AX325" s="141">
        <f>COUNTIF(V325:AW325,"&lt;&gt;0")</f>
        <v>1</v>
      </c>
      <c r="AY325" s="141">
        <f>COUNTIF(V325:AL325,"&lt;&gt;0")</f>
        <v>1</v>
      </c>
      <c r="AZ325">
        <f>COUNTIF(V325:AC325,"&lt;&gt;0")</f>
        <v>1</v>
      </c>
      <c r="BA325">
        <f>COUNTIF(AD325:AI325,"&lt;&gt;0")</f>
        <v>0</v>
      </c>
      <c r="BB325">
        <f>COUNTIF(AJ325:AL325,"&lt;&gt;0")</f>
        <v>0</v>
      </c>
      <c r="BC325">
        <f>COUNTIF(AS325:AW325,"&lt;&gt;0")</f>
        <v>0</v>
      </c>
      <c r="BD325">
        <f>COUNTIF(AM325:AR325,"&lt;&gt;0")</f>
        <v>0</v>
      </c>
      <c r="BE325" t="str" cm="1">
        <f t="array" ref="BE325">IF(AY325=1,INDEX($V$7:$AL$7,MATCH(TRUE,INDEX($V325:$AW325&lt;&gt;0,),0)),IF(AY325=0,INDEX($AM$7:$AW$7,MATCH(1,$AM325:$AW325,0)),IF(BF325="Multiple strategies","mixed drivers",IF(BF325="Supply chain","multiple supply","multiple silviculture"))))</f>
        <v>site fertility</v>
      </c>
      <c r="BF325" s="2" t="str" cm="1">
        <f t="array" ref="BF325">IF(COUNTIF(AZ325:BB325,"&lt;&gt;0")=1,INDEX($V$4:$AW$4,MATCH(TRUE,INDEX($V325:$AW325&lt;&gt;0,),0)),IF(COUNTIF(AZ325:BB325,"&lt;&gt;0")=0,INDEX($AM$4:$AW$4,MATCH(1,$AM325:$AW325,0)),"Multiple strategies"))</f>
        <v>SilvicultureProd</v>
      </c>
      <c r="BG325" s="178" t="s">
        <v>322</v>
      </c>
      <c r="BH325" s="266" t="s">
        <v>2146</v>
      </c>
      <c r="BI325" s="266" t="s">
        <v>2161</v>
      </c>
      <c r="BJ325" s="160" t="s">
        <v>702</v>
      </c>
      <c r="BK325">
        <v>8.3000000000000007</v>
      </c>
      <c r="BL325">
        <v>9.1</v>
      </c>
      <c r="BM325"/>
      <c r="BN325">
        <f>BL325-BK325</f>
        <v>0.79999999999999893</v>
      </c>
      <c r="BO325">
        <f>BN325</f>
        <v>0.79999999999999893</v>
      </c>
      <c r="BP325" s="155" t="s">
        <v>396</v>
      </c>
      <c r="BQ325" s="266" t="s">
        <v>785</v>
      </c>
      <c r="BR325" s="155" t="s">
        <v>280</v>
      </c>
      <c r="BS325">
        <v>0.6</v>
      </c>
      <c r="BT325">
        <v>0.6</v>
      </c>
      <c r="BU325" s="144"/>
      <c r="BV325">
        <f>BT325-BS325</f>
        <v>0</v>
      </c>
      <c r="BW325"/>
      <c r="BX325">
        <f>BV325</f>
        <v>0</v>
      </c>
      <c r="BY325">
        <f>IFERROR(BX325/BO325,"")</f>
        <v>0</v>
      </c>
      <c r="BZ325">
        <v>0</v>
      </c>
      <c r="CA325">
        <v>0</v>
      </c>
      <c r="CB325">
        <v>0</v>
      </c>
      <c r="CC325">
        <v>0</v>
      </c>
      <c r="CD325">
        <v>0</v>
      </c>
      <c r="CE325">
        <v>0</v>
      </c>
      <c r="CF325">
        <v>0</v>
      </c>
      <c r="CG325">
        <v>0</v>
      </c>
      <c r="CH325">
        <v>0</v>
      </c>
      <c r="CI325">
        <v>0</v>
      </c>
      <c r="CJ325">
        <v>0</v>
      </c>
      <c r="CK325">
        <v>0</v>
      </c>
      <c r="CL325">
        <v>0</v>
      </c>
      <c r="CM325">
        <v>0</v>
      </c>
      <c r="CN325" t="str">
        <f>IF($BL325&lt;$BK325,"refNeedCorrection","refOK")</f>
        <v>refOK</v>
      </c>
      <c r="CO325">
        <f>IF($CN325="refOK",$BK325,$BL325)</f>
        <v>8.3000000000000007</v>
      </c>
      <c r="CP325">
        <f>IF($CN325="refOK",$BL325,$BK325)</f>
        <v>9.1</v>
      </c>
      <c r="CQ325">
        <f>IF($CN325="refOK",$BO325,-$BO325)</f>
        <v>0.79999999999999893</v>
      </c>
      <c r="CR325">
        <f>IF($CN325="refOK",$BS325,$BT325)*IF($BP325="Emissions positive",-1,1)</f>
        <v>-0.6</v>
      </c>
      <c r="CS325">
        <f>IF($CN325="refOK",$BT325,$BS325)*IF($BP325="Emissions positive",-1,1)</f>
        <v>-0.6</v>
      </c>
      <c r="CT325">
        <f>IF($CN325="refNeedCorrection",-BX325,BX325)*IF($BP325="Emissions positive",-1,1)</f>
        <v>0</v>
      </c>
      <c r="CU325">
        <f>IFERROR(CT325/CQ325,"")</f>
        <v>0</v>
      </c>
      <c r="CV325" s="2">
        <f>IFERROR((CS325-CR325)/ABS(CR325),"")</f>
        <v>0</v>
      </c>
      <c r="CW325" s="1" t="s">
        <v>1201</v>
      </c>
      <c r="CX325" s="266" t="str">
        <f>IF(OR($CW325="prd",$CW325="std",$CW325="cit"),"loc",IF(OR($CW325="eur",$CW325="reg",$CW325="coy"),"reg",$CW325))</f>
        <v>reg</v>
      </c>
      <c r="CY325" t="s">
        <v>236</v>
      </c>
      <c r="CZ325"/>
      <c r="DA325"/>
      <c r="DB325">
        <v>50</v>
      </c>
      <c r="DC325" t="str">
        <f>IF(DB325=0,"0",IF(AND(DB325&gt;=1,DB325&lt;=30),"1-30",IF(AND(DB325&gt;30,DB325&lt;=70),"31-70",IF(AND(DB325&gt;70,DB325&lt;=100),"71-100",IF(DB325&gt;100,"+100")))))</f>
        <v>31-70</v>
      </c>
      <c r="DD325">
        <v>0</v>
      </c>
      <c r="DE325">
        <v>1</v>
      </c>
      <c r="DF325">
        <v>1</v>
      </c>
      <c r="DG325">
        <v>1</v>
      </c>
      <c r="DH325"/>
      <c r="DI325">
        <f>SUM(DD325:DG325)</f>
        <v>3</v>
      </c>
      <c r="DJ325" t="str">
        <f>IF(DI325=1,INDEX($DD$7:$DG$7,MATCH(1,$DD325:$DG325,0)),"mixedProduct")</f>
        <v>mixedProduct</v>
      </c>
      <c r="DK325">
        <f>IF(DD325=1,DK$7,0)</f>
        <v>0</v>
      </c>
      <c r="DL325" t="str">
        <f>IF(DE325=1,DL$7,0)</f>
        <v>Energy</v>
      </c>
      <c r="DM325" t="str">
        <f>IF(DF325=1,DM$7,0)</f>
        <v>Pulp/Paper</v>
      </c>
      <c r="DN325" t="str">
        <f>IF(DG325=1,DN$7,0)</f>
        <v>Timber</v>
      </c>
      <c r="DO325">
        <v>0</v>
      </c>
      <c r="DP325">
        <v>1</v>
      </c>
      <c r="DQ325" t="s">
        <v>2148</v>
      </c>
      <c r="DR325">
        <v>0</v>
      </c>
      <c r="DS325">
        <v>0</v>
      </c>
      <c r="DT325">
        <f>SUM(DO325:DP325)</f>
        <v>1</v>
      </c>
      <c r="DU325" s="143" t="str">
        <f>IF(DO325=1,"self-calculated DF",IF(DP325=1,"external DF used","explicit C balance"))</f>
        <v>external DF used</v>
      </c>
      <c r="DV325">
        <v>1</v>
      </c>
      <c r="DW325">
        <v>1</v>
      </c>
      <c r="DX325">
        <v>1</v>
      </c>
      <c r="DY325">
        <v>0</v>
      </c>
      <c r="DZ325">
        <v>1</v>
      </c>
      <c r="EA325">
        <v>0</v>
      </c>
      <c r="EB325">
        <v>1</v>
      </c>
      <c r="EC325">
        <v>1</v>
      </c>
      <c r="ED325">
        <v>0</v>
      </c>
      <c r="EE325">
        <v>0</v>
      </c>
      <c r="EF325">
        <v>1</v>
      </c>
      <c r="EG325">
        <v>0</v>
      </c>
      <c r="EH325">
        <v>0</v>
      </c>
      <c r="EI325" s="2">
        <v>0</v>
      </c>
      <c r="EJ325" s="1"/>
      <c r="EK325" t="str">
        <f>IF(AND(AND(AND(OR($DX325=1,$DW325=1),OR($EC325=1,$EA325=1)),SUM($DV325:$DZ325,$EF325)&gt;=4),SUM($EA325:$EE325)&gt;=2),"Whole sector","")</f>
        <v>Whole sector</v>
      </c>
      <c r="EL325" t="str">
        <f>IF(AND(AND(OR($DX325=1,$DW325=1),AND($EC325=0,$EA325=0)),SUM($DV325:$DZ325,$EF325)&gt;=4),"Ecosystem approach","")</f>
        <v/>
      </c>
      <c r="EM325" s="2" t="str">
        <f>IF(AND(AND(AND($DX325=0,$DW325=0),OR($EC325=1,$EA325=1)),SUM($EB325:$EE325)&gt;=2),"Technology approach","")</f>
        <v/>
      </c>
      <c r="EN325"/>
      <c r="EO325"/>
      <c r="EP325" t="str">
        <f>IF(ISNUMBER(BU325),IF(ABS(BU325-[1]QC_indicators!$B$2)&gt;3*[1]QC_indicators!$C$2,"C ratio",IF(ISNUMBER(BY325),IF(ABS(BY325-[1]QC_indicators!$B$1)&gt;3*[1]QC_indicators!$C$1,"DF","no"))),IF(ISNUMBER(BY325),IF(ABS(BY325-[1]QC_indicators!$B$1)&gt;3*[1]QC_indicators!$C$1,"DF","no")))</f>
        <v>no</v>
      </c>
      <c r="EQ325"/>
      <c r="ER325"/>
      <c r="ES325"/>
      <c r="ET325" s="266" t="s">
        <v>3409</v>
      </c>
      <c r="EU325"/>
    </row>
    <row r="326" spans="1:151" s="139" customFormat="1" ht="15" hidden="1" customHeight="1">
      <c r="A326" s="1" t="s">
        <v>1623</v>
      </c>
      <c r="B326" t="s">
        <v>1624</v>
      </c>
      <c r="C326" t="s">
        <v>1625</v>
      </c>
      <c r="D326" t="s">
        <v>1626</v>
      </c>
      <c r="E326" t="s">
        <v>1627</v>
      </c>
      <c r="F326" t="s">
        <v>1628</v>
      </c>
      <c r="G326" t="s">
        <v>1629</v>
      </c>
      <c r="H326" t="s">
        <v>1630</v>
      </c>
      <c r="I326">
        <v>2003</v>
      </c>
      <c r="J326">
        <v>9</v>
      </c>
      <c r="K326" t="s">
        <v>1631</v>
      </c>
      <c r="L326"/>
      <c r="M326" t="str">
        <f>LEFT($D326,FIND(",",$D326)-1)&amp;"_"&amp;I326&amp;L326</f>
        <v>Graham_2003</v>
      </c>
      <c r="N326" t="s">
        <v>223</v>
      </c>
      <c r="O326" s="181" t="s">
        <v>226</v>
      </c>
      <c r="P326"/>
      <c r="Q326" s="266" t="s">
        <v>257</v>
      </c>
      <c r="R326" s="271" t="s">
        <v>1156</v>
      </c>
      <c r="S326" s="1" t="s">
        <v>1632</v>
      </c>
      <c r="T326" t="s">
        <v>1633</v>
      </c>
      <c r="U326" t="s">
        <v>1634</v>
      </c>
      <c r="V326">
        <v>1</v>
      </c>
      <c r="W326">
        <v>0</v>
      </c>
      <c r="X326">
        <v>0</v>
      </c>
      <c r="Y326">
        <v>0</v>
      </c>
      <c r="Z326">
        <v>0</v>
      </c>
      <c r="AA326">
        <v>0</v>
      </c>
      <c r="AB326">
        <v>0</v>
      </c>
      <c r="AC326">
        <v>0</v>
      </c>
      <c r="AD326">
        <v>0</v>
      </c>
      <c r="AE326">
        <v>0</v>
      </c>
      <c r="AF326">
        <v>0</v>
      </c>
      <c r="AG326">
        <v>0</v>
      </c>
      <c r="AH326">
        <v>0</v>
      </c>
      <c r="AI326">
        <v>0</v>
      </c>
      <c r="AJ326">
        <v>0</v>
      </c>
      <c r="AK326">
        <v>0</v>
      </c>
      <c r="AL326">
        <v>0</v>
      </c>
      <c r="AM326">
        <v>0</v>
      </c>
      <c r="AN326">
        <v>0</v>
      </c>
      <c r="AO326">
        <v>0</v>
      </c>
      <c r="AP326">
        <v>0</v>
      </c>
      <c r="AQ326">
        <v>0</v>
      </c>
      <c r="AR326">
        <v>0</v>
      </c>
      <c r="AS326">
        <v>0</v>
      </c>
      <c r="AT326">
        <v>0</v>
      </c>
      <c r="AU326">
        <v>0</v>
      </c>
      <c r="AV326">
        <v>0</v>
      </c>
      <c r="AW326">
        <v>0</v>
      </c>
      <c r="AX326" s="141">
        <f>COUNTIF(V326:AW326,"&lt;&gt;0")</f>
        <v>1</v>
      </c>
      <c r="AY326" s="141">
        <f>COUNTIF(V326:AL326,"&lt;&gt;0")</f>
        <v>1</v>
      </c>
      <c r="AZ326">
        <f>COUNTIF(V326:AC326,"&lt;&gt;0")</f>
        <v>1</v>
      </c>
      <c r="BA326">
        <f>COUNTIF(AD326:AI326,"&lt;&gt;0")</f>
        <v>0</v>
      </c>
      <c r="BB326">
        <f>COUNTIF(AJ326:AL326,"&lt;&gt;0")</f>
        <v>0</v>
      </c>
      <c r="BC326">
        <f>COUNTIF(AS326:AW326,"&lt;&gt;0")</f>
        <v>0</v>
      </c>
      <c r="BD326">
        <f>COUNTIF(AM326:AR326,"&lt;&gt;0")</f>
        <v>0</v>
      </c>
      <c r="BE326" t="str" cm="1">
        <f t="array" ref="BE326">IF(AY326=1,INDEX($V$7:$AL$7,MATCH(TRUE,INDEX($V326:$AW326&lt;&gt;0,),0)),IF(AY326=0,INDEX($AM$7:$AW$7,MATCH(1,$AM326:$AW326,0)),IF(BF326="Multiple strategies","mixed drivers",IF(BF326="Supply chain","multiple supply","multiple silviculture"))))</f>
        <v>area subject to harvest</v>
      </c>
      <c r="BF326" s="2" t="str" cm="1">
        <f t="array" ref="BF326">IF(COUNTIF(AZ326:BB326,"&lt;&gt;0")=1,INDEX($V$4:$AW$4,MATCH(TRUE,INDEX($V326:$AW326&lt;&gt;0,),0)),IF(COUNTIF(AZ326:BB326,"&lt;&gt;0")=0,INDEX($AM$4:$AW$4,MATCH(1,$AM326:$AW326,0)),"Multiple strategies"))</f>
        <v>SilvicultureRemov</v>
      </c>
      <c r="BG326" s="1" t="s">
        <v>230</v>
      </c>
      <c r="BH326" t="s">
        <v>3408</v>
      </c>
      <c r="BI326"/>
      <c r="BJ326" t="s">
        <v>499</v>
      </c>
      <c r="BK326"/>
      <c r="BL326"/>
      <c r="BM326"/>
      <c r="BN326">
        <v>967000</v>
      </c>
      <c r="BO326">
        <f>BN326</f>
        <v>967000</v>
      </c>
      <c r="BP326" t="s">
        <v>233</v>
      </c>
      <c r="BQ326"/>
      <c r="BR326" t="s">
        <v>1635</v>
      </c>
      <c r="BS326"/>
      <c r="BT326"/>
      <c r="BU326" s="144" t="str">
        <f>IFERROR(BT326/BS326,"")</f>
        <v/>
      </c>
      <c r="BV326"/>
      <c r="BW326"/>
      <c r="BX326">
        <v>349000</v>
      </c>
      <c r="BY326">
        <f>IFERROR(BX326/BO326,"")</f>
        <v>0.36091003102378488</v>
      </c>
      <c r="BZ326">
        <v>0</v>
      </c>
      <c r="CA326">
        <v>0</v>
      </c>
      <c r="CB326">
        <v>0</v>
      </c>
      <c r="CC326">
        <v>0</v>
      </c>
      <c r="CD326">
        <v>0</v>
      </c>
      <c r="CE326">
        <v>0</v>
      </c>
      <c r="CF326">
        <v>0</v>
      </c>
      <c r="CG326">
        <v>0</v>
      </c>
      <c r="CH326">
        <v>0</v>
      </c>
      <c r="CI326">
        <v>0</v>
      </c>
      <c r="CJ326">
        <v>0</v>
      </c>
      <c r="CK326">
        <v>0</v>
      </c>
      <c r="CL326">
        <v>0</v>
      </c>
      <c r="CM326">
        <v>1</v>
      </c>
      <c r="CN326" t="str">
        <f>IF(BL326&lt;BK326,"refNeedCorrection","refOK")</f>
        <v>refOK</v>
      </c>
      <c r="CO326"/>
      <c r="CP326"/>
      <c r="CQ326">
        <f>IF($CN326="refNeedCorrection",-BO326,BO326)</f>
        <v>967000</v>
      </c>
      <c r="CR326">
        <f>IF($CN326="refOK",$BS326,$BT326)*IF($BP326="Emissions positive",-1,1)</f>
        <v>0</v>
      </c>
      <c r="CS326">
        <f>IF($CN326="refOK",$BT326,$BS326)*IF($BP326="Emissions positive",-1,1)</f>
        <v>0</v>
      </c>
      <c r="CT326">
        <f>IF($CN326="refNeedCorrection",-BX326,BX326)*IF($BP326="Emissions positive",-1,1)</f>
        <v>349000</v>
      </c>
      <c r="CU326">
        <f>IFERROR(CT326/CQ326,"")</f>
        <v>0.36091003102378488</v>
      </c>
      <c r="CV326" s="2" t="str">
        <f>IFERROR((CS326-CR326)/ABS(CR326),"")</f>
        <v/>
      </c>
      <c r="CW326" s="1" t="s">
        <v>1201</v>
      </c>
      <c r="CX326" s="266" t="str">
        <f>IF(OR($CW326="prd",$CW326="std",$CW326="cit"),"loc",IF(OR($CW326="eur",$CW326="reg",$CW326="coy"),"reg",$CW326))</f>
        <v>reg</v>
      </c>
      <c r="CY326" t="s">
        <v>541</v>
      </c>
      <c r="CZ326">
        <v>2008</v>
      </c>
      <c r="DA326">
        <f>CZ326+DB326</f>
        <v>2044</v>
      </c>
      <c r="DB326">
        <v>36</v>
      </c>
      <c r="DC326" t="str">
        <f>IF(DB326=0,"0",IF(AND(DB326&gt;=1,DB326&lt;=30),"1-30",IF(AND(DB326&gt;30,DB326&lt;=70),"31-70",IF(AND(DB326&gt;70,DB326&lt;=100),"71-100",IF(DB326&gt;100,"+100")))))</f>
        <v>31-70</v>
      </c>
      <c r="DD326">
        <v>0</v>
      </c>
      <c r="DE326">
        <v>1</v>
      </c>
      <c r="DF326">
        <v>0</v>
      </c>
      <c r="DG326">
        <v>0</v>
      </c>
      <c r="DH326"/>
      <c r="DI326">
        <f>SUM(DD326:DG326)</f>
        <v>1</v>
      </c>
      <c r="DJ326" t="str">
        <f>IF(DI326=1,INDEX($DD$7:$DG$7,MATCH(1,$DD326:$DG326,0)),"mixedProduct")</f>
        <v>EnergyInput</v>
      </c>
      <c r="DK326">
        <f>IF(DD326=1,DK$7,0)</f>
        <v>0</v>
      </c>
      <c r="DL326" t="str">
        <f>IF(DE326=1,DL$7,0)</f>
        <v>Energy</v>
      </c>
      <c r="DM326">
        <f>IF(DF326=1,DM$7,0)</f>
        <v>0</v>
      </c>
      <c r="DN326">
        <f>IF(DG326=1,DN$7,0)</f>
        <v>0</v>
      </c>
      <c r="DO326">
        <v>0</v>
      </c>
      <c r="DP326">
        <v>1</v>
      </c>
      <c r="DQ326" t="s">
        <v>1636</v>
      </c>
      <c r="DR326">
        <v>0</v>
      </c>
      <c r="DS326">
        <v>0</v>
      </c>
      <c r="DT326">
        <f>SUM(DO326:DP326)</f>
        <v>1</v>
      </c>
      <c r="DU326" s="143" t="str">
        <f>IF(DO326=1,"self-calculated DF",IF(DP326=1,"external DF used","explicit C balance"))</f>
        <v>external DF used</v>
      </c>
      <c r="DV326">
        <v>1</v>
      </c>
      <c r="DW326">
        <v>0</v>
      </c>
      <c r="DX326">
        <v>1</v>
      </c>
      <c r="DY326">
        <v>0</v>
      </c>
      <c r="DZ326">
        <v>0</v>
      </c>
      <c r="EA326">
        <v>1</v>
      </c>
      <c r="EB326">
        <v>1</v>
      </c>
      <c r="EC326">
        <v>0</v>
      </c>
      <c r="ED326">
        <v>0</v>
      </c>
      <c r="EE326">
        <v>0</v>
      </c>
      <c r="EF326">
        <v>0</v>
      </c>
      <c r="EG326">
        <v>0</v>
      </c>
      <c r="EH326">
        <v>0</v>
      </c>
      <c r="EI326" s="2">
        <v>0</v>
      </c>
      <c r="EJ326" s="1"/>
      <c r="EK326" t="str">
        <f>IF(AND(AND(AND(OR($DX326=1,$DW326=1),OR($EC326=1,$EA326=1)),SUM($DV326:$DZ326,$EF326)&gt;=4),SUM($EA326:$EE326)&gt;=2),"Whole sector","")</f>
        <v/>
      </c>
      <c r="EL326" t="str">
        <f>IF(AND(AND(OR($DX326=1,$DW326=1),AND($EC326=0,$EA326=0)),SUM($DV326:$DZ326,$EF326)&gt;=4),"Ecosystem approach","")</f>
        <v/>
      </c>
      <c r="EM326" s="2" t="str">
        <f>IF(AND(AND(AND($DX326=0,$DW326=0),OR($EC326=1,$EA326=1)),SUM($EB326:$EE326)&gt;=2),"Technology approach","")</f>
        <v/>
      </c>
      <c r="EN326"/>
      <c r="EO326"/>
      <c r="EP326" t="str">
        <f>IF(ISNUMBER(BU326),IF(ABS(BU326-[1]QC_indicators!$B$2)&gt;3*[1]QC_indicators!$C$2,"C ratio",IF(ISNUMBER(BY326),IF(ABS(BY326-[1]QC_indicators!$B$1)&gt;3*[1]QC_indicators!$C$1,"DF","no"))),IF(ISNUMBER(BY326),IF(ABS(BY326-[1]QC_indicators!$B$1)&gt;3*[1]QC_indicators!$C$1,"DF","no")))</f>
        <v>no</v>
      </c>
      <c r="EQ326" t="s">
        <v>1166</v>
      </c>
      <c r="ER326" t="s">
        <v>1637</v>
      </c>
      <c r="ES326"/>
      <c r="ET326" s="266" t="s">
        <v>3409</v>
      </c>
      <c r="EU326"/>
    </row>
    <row r="327" spans="1:151" s="139" customFormat="1" ht="15" customHeight="1">
      <c r="A327" s="1" t="s">
        <v>1362</v>
      </c>
      <c r="B327" t="s">
        <v>1363</v>
      </c>
      <c r="C327" t="s">
        <v>1364</v>
      </c>
      <c r="D327" t="s">
        <v>1365</v>
      </c>
      <c r="E327" t="s">
        <v>1366</v>
      </c>
      <c r="F327" t="s">
        <v>1367</v>
      </c>
      <c r="G327" t="s">
        <v>1368</v>
      </c>
      <c r="H327" t="s">
        <v>255</v>
      </c>
      <c r="I327">
        <v>2012</v>
      </c>
      <c r="J327">
        <v>27</v>
      </c>
      <c r="K327" t="s">
        <v>1369</v>
      </c>
      <c r="L327"/>
      <c r="M327" t="str">
        <f>LEFT($D327,FIND(",",$D327)-1)&amp;"_"&amp;I327&amp;L327</f>
        <v>Colombo_2012</v>
      </c>
      <c r="N327" t="s">
        <v>223</v>
      </c>
      <c r="O327" s="145" t="s">
        <v>224</v>
      </c>
      <c r="P327"/>
      <c r="Q327" t="s">
        <v>257</v>
      </c>
      <c r="R327" s="271" t="s">
        <v>275</v>
      </c>
      <c r="S327" s="1" t="s">
        <v>1370</v>
      </c>
      <c r="T327" t="s">
        <v>1371</v>
      </c>
      <c r="U327" t="s">
        <v>1376</v>
      </c>
      <c r="V327">
        <v>1</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0</v>
      </c>
      <c r="AX327" s="141">
        <f>COUNTIF(V327:AW327,"&lt;&gt;0")</f>
        <v>1</v>
      </c>
      <c r="AY327" s="141">
        <f>COUNTIF(V327:AL327,"&lt;&gt;0")</f>
        <v>1</v>
      </c>
      <c r="AZ327">
        <f>COUNTIF(V327:AC327,"&lt;&gt;0")</f>
        <v>1</v>
      </c>
      <c r="BA327">
        <f>COUNTIF(AD327:AI327,"&lt;&gt;0")</f>
        <v>0</v>
      </c>
      <c r="BB327">
        <f>COUNTIF(AJ327:AL327,"&lt;&gt;0")</f>
        <v>0</v>
      </c>
      <c r="BC327">
        <f>COUNTIF(AS327:AW327,"&lt;&gt;0")</f>
        <v>0</v>
      </c>
      <c r="BD327">
        <f>COUNTIF(AM327:AR327,"&lt;&gt;0")</f>
        <v>0</v>
      </c>
      <c r="BE327" t="str">
        <f t="array" ref="BE327">IF(AY327=1,INDEX($V$7:$AL$7,MATCH(TRUE,INDEX($V327:$AW327&lt;&gt;0,),0)),IF(AY327=0,INDEX($AM$7:$AW$7,MATCH(1,$AM327:$AW327,0)),IF(BF327="Multiple strategies","mixed drivers",IF(BF327="Supply chain","multiple supply","multiple silviculture"))))</f>
        <v>area subject to harvest</v>
      </c>
      <c r="BF327" s="2" t="str" cm="1">
        <f t="array" ref="BF327">IF(COUNTIF(AZ327:BB327,"&lt;&gt;0")=1,INDEX($V$4:$AW$4,MATCH(TRUE,INDEX($V327:$AW327&lt;&gt;0,),0)),IF(COUNTIF(AZ327:BB327,"&lt;&gt;0")=0,INDEX($AM$4:$AW$4,MATCH(1,$AM327:$AW327,0)),"Multiple strategies"))</f>
        <v>SilvicultureRemov</v>
      </c>
      <c r="BG327" s="1" t="s">
        <v>230</v>
      </c>
      <c r="BH327" t="s">
        <v>1373</v>
      </c>
      <c r="BI327" s="266" t="s">
        <v>3178</v>
      </c>
      <c r="BJ327" t="s">
        <v>1374</v>
      </c>
      <c r="BK327">
        <v>0</v>
      </c>
      <c r="BL327">
        <f>27+42</f>
        <v>69</v>
      </c>
      <c r="BM327"/>
      <c r="BN327">
        <f>BL327-BK327</f>
        <v>69</v>
      </c>
      <c r="BO327">
        <f>BN327*10^6*tC_to_m3</f>
        <v>299609205.3842814</v>
      </c>
      <c r="BP327" s="143" t="s">
        <v>233</v>
      </c>
      <c r="BQ327" s="143" t="s">
        <v>691</v>
      </c>
      <c r="BR327" t="s">
        <v>1374</v>
      </c>
      <c r="BS327">
        <v>590.28571428571399</v>
      </c>
      <c r="BT327">
        <v>587.80952380952294</v>
      </c>
      <c r="BU327" s="144">
        <f>IFERROR(BT327/BS327,"")</f>
        <v>0.99580509841884379</v>
      </c>
      <c r="BV327">
        <f>BT327-BS327</f>
        <v>-2.47619047619105</v>
      </c>
      <c r="BW327"/>
      <c r="BX327">
        <f>BV327*10^6*C_to_CO2</f>
        <v>-9087619.0476211533</v>
      </c>
      <c r="BY327">
        <f>IFERROR(BX327/BO327,"")</f>
        <v>-3.0331574879234078E-2</v>
      </c>
      <c r="BZ327">
        <v>0</v>
      </c>
      <c r="CA327">
        <v>0</v>
      </c>
      <c r="CB327">
        <v>0</v>
      </c>
      <c r="CC327">
        <v>0</v>
      </c>
      <c r="CD327">
        <v>0</v>
      </c>
      <c r="CE327">
        <v>0</v>
      </c>
      <c r="CF327">
        <v>0</v>
      </c>
      <c r="CG327">
        <v>0</v>
      </c>
      <c r="CH327">
        <v>0</v>
      </c>
      <c r="CI327">
        <v>0</v>
      </c>
      <c r="CJ327">
        <v>0</v>
      </c>
      <c r="CK327">
        <v>0</v>
      </c>
      <c r="CL327">
        <v>0</v>
      </c>
      <c r="CM327">
        <v>0</v>
      </c>
      <c r="CN327" t="str">
        <f>IF($BL327&lt;$BK327,"refNeedCorrection","refOK")</f>
        <v>refOK</v>
      </c>
      <c r="CO327">
        <f>IF($CN327="refOK",$BK327,$BL327)</f>
        <v>0</v>
      </c>
      <c r="CP327">
        <f>IF($CN327="refOK",$BL327,$BK327)</f>
        <v>69</v>
      </c>
      <c r="CQ327">
        <f>IF($CN327="refOK",$BO327,-$BO327)</f>
        <v>299609205.3842814</v>
      </c>
      <c r="CR327">
        <f>IF($CN327="refOK",$BS327,$BT327)*IF($BP327="Emissions positive",-1,1)</f>
        <v>590.28571428571399</v>
      </c>
      <c r="CS327">
        <f>IF($CN327="refOK",$BT327,$BS327)*IF($BP327="Emissions positive",-1,1)</f>
        <v>587.80952380952294</v>
      </c>
      <c r="CT327">
        <f>IF($CN327="refNeedCorrection",-BX327,BX327)*IF($BP327="Emissions positive",-1,1)</f>
        <v>-9087619.0476211533</v>
      </c>
      <c r="CU327">
        <f>IFERROR(CT327/CQ327,"")</f>
        <v>-3.0331574879234078E-2</v>
      </c>
      <c r="CV327" s="2">
        <f>IFERROR((CS327-CR327)/ABS(CR327),"")</f>
        <v>-4.1949015811561857E-3</v>
      </c>
      <c r="CW327" s="1" t="s">
        <v>1201</v>
      </c>
      <c r="CX327" t="str">
        <f>IF(OR($CW327="prd",$CW327="std",$CW327="cit"),"loc",IF(OR($CW327="eur",$CW327="reg",$CW327="coy"),"reg",$CW327))</f>
        <v>reg</v>
      </c>
      <c r="CY327" t="s">
        <v>541</v>
      </c>
      <c r="CZ327">
        <v>2010</v>
      </c>
      <c r="DA327">
        <v>2110</v>
      </c>
      <c r="DB327">
        <f>DA327-CZ327</f>
        <v>100</v>
      </c>
      <c r="DC327" t="str">
        <f>IF(DB327=0,"0",IF(AND(DB327&gt;=1,DB327&lt;=30),"1-30",IF(AND(DB327&gt;30,DB327&lt;=70),"31-70",IF(AND(DB327&gt;70,DB327&lt;=100),"71-100",IF(DB327&gt;100,"+100")))))</f>
        <v>71-100</v>
      </c>
      <c r="DD327">
        <v>0</v>
      </c>
      <c r="DE327">
        <v>1</v>
      </c>
      <c r="DF327">
        <v>1</v>
      </c>
      <c r="DG327">
        <v>1</v>
      </c>
      <c r="DH327"/>
      <c r="DI327">
        <f>SUM(DD327:DG327)</f>
        <v>3</v>
      </c>
      <c r="DJ327" t="str">
        <f>IF(DI327=1,INDEX($DD$7:$DG$7,MATCH(1,$DD327:$DG327,0)),"mixedProduct")</f>
        <v>mixedProduct</v>
      </c>
      <c r="DK327">
        <f>IF(DD327=1,DK$7,0)</f>
        <v>0</v>
      </c>
      <c r="DL327" t="str">
        <f>IF(DE327=1,DL$7,0)</f>
        <v>Energy</v>
      </c>
      <c r="DM327" t="str">
        <f>IF(DF327=1,DM$7,0)</f>
        <v>Pulp/Paper</v>
      </c>
      <c r="DN327" t="str">
        <f>IF(DG327=1,DN$7,0)</f>
        <v>Timber</v>
      </c>
      <c r="DO327">
        <v>0</v>
      </c>
      <c r="DP327">
        <v>0</v>
      </c>
      <c r="DQ327">
        <v>0</v>
      </c>
      <c r="DR327">
        <v>0</v>
      </c>
      <c r="DS327">
        <v>0</v>
      </c>
      <c r="DT327">
        <f>SUM(DO327:DP327)</f>
        <v>0</v>
      </c>
      <c r="DU327" s="143" t="str">
        <f>IF(DO327=1,"self-calculated DF",IF(DP327=1,"external DF used","explicit C balance"))</f>
        <v>explicit C balance</v>
      </c>
      <c r="DV327">
        <v>1</v>
      </c>
      <c r="DW327">
        <v>1</v>
      </c>
      <c r="DX327">
        <v>1</v>
      </c>
      <c r="DY327">
        <v>1</v>
      </c>
      <c r="DZ327">
        <v>0</v>
      </c>
      <c r="EA327" s="143">
        <v>0</v>
      </c>
      <c r="EB327">
        <v>0</v>
      </c>
      <c r="EC327">
        <v>0</v>
      </c>
      <c r="ED327">
        <v>0</v>
      </c>
      <c r="EE327">
        <v>0</v>
      </c>
      <c r="EF327">
        <v>1</v>
      </c>
      <c r="EG327">
        <v>0</v>
      </c>
      <c r="EH327">
        <v>0</v>
      </c>
      <c r="EI327" s="2">
        <v>0</v>
      </c>
      <c r="EJ327" s="1"/>
      <c r="EK327" t="str">
        <f>IF(AND(AND(AND(OR($DX327=1,$DW327=1),OR($EC327=1,$EA327=1)),SUM($DV327:$DZ327,$EF327)&gt;=4),SUM($EA327:$EE327)&gt;=2),"Whole sector","")</f>
        <v/>
      </c>
      <c r="EL327" t="str">
        <f>IF(AND(AND(OR($DX327=1,$DW327=1),AND($EC327=0,$EA327=0)),SUM($DV327:$DZ327,$EF327)&gt;=4),"Ecosystem approach","")</f>
        <v>Ecosystem approach</v>
      </c>
      <c r="EM327" s="2" t="str">
        <f>IF(AND(AND(AND($DX327=0,$DW327=0),OR($EC327=1,$EA327=1)),SUM($EB327:$EE327)&gt;=2),"Technology approach","")</f>
        <v/>
      </c>
      <c r="EN327"/>
      <c r="EO327"/>
      <c r="EP327" t="str">
        <f>IF(ISNUMBER(BU327),IF(ABS(BU327-[3]QC_indicators!$B$2)&gt;3*[3]QC_indicators!$C$2,"C ratio",IF(ISNUMBER(BY327),IF(ABS(BY327-[3]QC_indicators!$B$1)&gt;3*[3]QC_indicators!$C$1,"DF","no"))),IF(ISNUMBER(BY327),IF(ABS(BY327-[3]QC_indicators!$B$1)&gt;3*[3]QC_indicators!$C$1,"DF","no")))</f>
        <v>no</v>
      </c>
      <c r="EQ327"/>
      <c r="ER327" t="s">
        <v>1375</v>
      </c>
      <c r="ES327"/>
      <c r="ET327" s="266" t="s">
        <v>3266</v>
      </c>
      <c r="EU327"/>
    </row>
    <row r="328" spans="1:151" s="139" customFormat="1" ht="15" customHeight="1">
      <c r="A328" s="1" t="s">
        <v>1362</v>
      </c>
      <c r="B328" t="s">
        <v>1363</v>
      </c>
      <c r="C328" t="s">
        <v>1364</v>
      </c>
      <c r="D328" t="s">
        <v>1365</v>
      </c>
      <c r="E328" t="s">
        <v>1366</v>
      </c>
      <c r="F328" t="s">
        <v>1367</v>
      </c>
      <c r="G328" t="s">
        <v>1368</v>
      </c>
      <c r="H328" t="s">
        <v>255</v>
      </c>
      <c r="I328">
        <v>2012</v>
      </c>
      <c r="J328">
        <v>27</v>
      </c>
      <c r="K328" t="s">
        <v>1369</v>
      </c>
      <c r="L328"/>
      <c r="M328" t="str">
        <f>LEFT($D328,FIND(",",$D328)-1)&amp;"_"&amp;I328&amp;L328</f>
        <v>Colombo_2012</v>
      </c>
      <c r="N328" t="s">
        <v>223</v>
      </c>
      <c r="O328" s="145" t="s">
        <v>224</v>
      </c>
      <c r="P328"/>
      <c r="Q328" t="s">
        <v>257</v>
      </c>
      <c r="R328" s="271" t="s">
        <v>275</v>
      </c>
      <c r="S328" s="1" t="s">
        <v>1370</v>
      </c>
      <c r="T328" t="s">
        <v>1371</v>
      </c>
      <c r="U328" t="s">
        <v>1372</v>
      </c>
      <c r="V328">
        <v>1</v>
      </c>
      <c r="W328">
        <v>0</v>
      </c>
      <c r="X328">
        <v>0</v>
      </c>
      <c r="Y328">
        <v>0</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s="141">
        <f>COUNTIF(V328:AW328,"&lt;&gt;0")</f>
        <v>1</v>
      </c>
      <c r="AY328" s="141">
        <f>COUNTIF(V328:AL328,"&lt;&gt;0")</f>
        <v>1</v>
      </c>
      <c r="AZ328">
        <f>COUNTIF(V328:AC328,"&lt;&gt;0")</f>
        <v>1</v>
      </c>
      <c r="BA328">
        <f>COUNTIF(AD328:AI328,"&lt;&gt;0")</f>
        <v>0</v>
      </c>
      <c r="BB328">
        <f>COUNTIF(AJ328:AL328,"&lt;&gt;0")</f>
        <v>0</v>
      </c>
      <c r="BC328">
        <f>COUNTIF(AS328:AW328,"&lt;&gt;0")</f>
        <v>0</v>
      </c>
      <c r="BD328">
        <f>COUNTIF(AM328:AR328,"&lt;&gt;0")</f>
        <v>0</v>
      </c>
      <c r="BE328" t="str">
        <f t="array" ref="BE328">IF(AY328=1,INDEX($V$7:$AL$7,MATCH(TRUE,INDEX($V328:$AW328&lt;&gt;0,),0)),IF(AY328=0,INDEX($AM$7:$AW$7,MATCH(1,$AM328:$AW328,0)),IF(BF328="Multiple strategies","mixed drivers",IF(BF328="Supply chain","multiple supply","multiple silviculture"))))</f>
        <v>area subject to harvest</v>
      </c>
      <c r="BF328" s="2" t="str" cm="1">
        <f t="array" ref="BF328">IF(COUNTIF(AZ328:BB328,"&lt;&gt;0")=1,INDEX($V$4:$AW$4,MATCH(TRUE,INDEX($V328:$AW328&lt;&gt;0,),0)),IF(COUNTIF(AZ328:BB328,"&lt;&gt;0")=0,INDEX($AM$4:$AW$4,MATCH(1,$AM328:$AW328,0)),"Multiple strategies"))</f>
        <v>SilvicultureRemov</v>
      </c>
      <c r="BG328" s="1" t="s">
        <v>230</v>
      </c>
      <c r="BH328" t="s">
        <v>1373</v>
      </c>
      <c r="BI328" s="266" t="s">
        <v>3178</v>
      </c>
      <c r="BJ328" t="s">
        <v>1374</v>
      </c>
      <c r="BK328">
        <v>0</v>
      </c>
      <c r="BL328">
        <v>38</v>
      </c>
      <c r="BM328"/>
      <c r="BN328">
        <f>BL328-BK328</f>
        <v>38</v>
      </c>
      <c r="BO328">
        <f>BN328*10^6*tC_to_m3</f>
        <v>165002171.08119845</v>
      </c>
      <c r="BP328" s="143" t="s">
        <v>233</v>
      </c>
      <c r="BQ328" s="143" t="s">
        <v>691</v>
      </c>
      <c r="BR328" t="s">
        <v>1374</v>
      </c>
      <c r="BS328">
        <v>590.28571428571399</v>
      </c>
      <c r="BT328">
        <v>594.28571428571399</v>
      </c>
      <c r="BU328" s="144">
        <f>IFERROR(BT328/BS328,"")</f>
        <v>1.0067763794772506</v>
      </c>
      <c r="BV328">
        <f>BT328-BS328</f>
        <v>4</v>
      </c>
      <c r="BW328"/>
      <c r="BX328">
        <f>BV328*10^6*C_to_CO2</f>
        <v>14680000</v>
      </c>
      <c r="BY328">
        <f>IFERROR(BX328/BO328,"")</f>
        <v>8.896852631578947E-2</v>
      </c>
      <c r="BZ328">
        <v>0</v>
      </c>
      <c r="CA328">
        <v>0</v>
      </c>
      <c r="CB328">
        <v>0</v>
      </c>
      <c r="CC328">
        <v>0</v>
      </c>
      <c r="CD328">
        <v>0</v>
      </c>
      <c r="CE328">
        <v>0</v>
      </c>
      <c r="CF328">
        <v>0</v>
      </c>
      <c r="CG328">
        <v>0</v>
      </c>
      <c r="CH328">
        <v>0</v>
      </c>
      <c r="CI328">
        <v>0</v>
      </c>
      <c r="CJ328">
        <v>0</v>
      </c>
      <c r="CK328">
        <v>0</v>
      </c>
      <c r="CL328">
        <v>0</v>
      </c>
      <c r="CM328">
        <v>0</v>
      </c>
      <c r="CN328" t="str">
        <f>IF($BL328&lt;$BK328,"refNeedCorrection","refOK")</f>
        <v>refOK</v>
      </c>
      <c r="CO328">
        <f>IF($CN328="refOK",$BK328,$BL328)</f>
        <v>0</v>
      </c>
      <c r="CP328">
        <f>IF($CN328="refOK",$BL328,$BK328)</f>
        <v>38</v>
      </c>
      <c r="CQ328">
        <f>IF($CN328="refOK",$BO328,-$BO328)</f>
        <v>165002171.08119845</v>
      </c>
      <c r="CR328">
        <f>IF($CN328="refOK",$BS328,$BT328)*IF($BP328="Emissions positive",-1,1)</f>
        <v>590.28571428571399</v>
      </c>
      <c r="CS328">
        <f>IF($CN328="refOK",$BT328,$BS328)*IF($BP328="Emissions positive",-1,1)</f>
        <v>594.28571428571399</v>
      </c>
      <c r="CT328">
        <f>IF($CN328="refNeedCorrection",-BX328,BX328)*IF($BP328="Emissions positive",-1,1)</f>
        <v>14680000</v>
      </c>
      <c r="CU328">
        <f>IFERROR(CT328/CQ328,"")</f>
        <v>8.896852631578947E-2</v>
      </c>
      <c r="CV328" s="2">
        <f>IFERROR((CS328-CR328)/ABS(CR328),"")</f>
        <v>6.7763794772507293E-3</v>
      </c>
      <c r="CW328" s="1" t="s">
        <v>1201</v>
      </c>
      <c r="CX328" t="str">
        <f>IF(OR($CW328="prd",$CW328="std",$CW328="cit"),"loc",IF(OR($CW328="eur",$CW328="reg",$CW328="coy"),"reg",$CW328))</f>
        <v>reg</v>
      </c>
      <c r="CY328" t="s">
        <v>541</v>
      </c>
      <c r="CZ328">
        <v>2010</v>
      </c>
      <c r="DA328">
        <v>2110</v>
      </c>
      <c r="DB328">
        <f>DA328-CZ328</f>
        <v>100</v>
      </c>
      <c r="DC328" t="str">
        <f>IF(DB328=0,"0",IF(AND(DB328&gt;=1,DB328&lt;=30),"1-30",IF(AND(DB328&gt;30,DB328&lt;=70),"31-70",IF(AND(DB328&gt;70,DB328&lt;=100),"71-100",IF(DB328&gt;100,"+100")))))</f>
        <v>71-100</v>
      </c>
      <c r="DD328">
        <v>0</v>
      </c>
      <c r="DE328">
        <v>1</v>
      </c>
      <c r="DF328">
        <v>1</v>
      </c>
      <c r="DG328">
        <v>1</v>
      </c>
      <c r="DH328"/>
      <c r="DI328">
        <f>SUM(DD328:DG328)</f>
        <v>3</v>
      </c>
      <c r="DJ328" t="str">
        <f>IF(DI328=1,INDEX($DD$7:$DG$7,MATCH(1,$DD328:$DG328,0)),"mixedProduct")</f>
        <v>mixedProduct</v>
      </c>
      <c r="DK328">
        <f>IF(DD328=1,DK$7,0)</f>
        <v>0</v>
      </c>
      <c r="DL328" t="str">
        <f>IF(DE328=1,DL$7,0)</f>
        <v>Energy</v>
      </c>
      <c r="DM328" t="str">
        <f>IF(DF328=1,DM$7,0)</f>
        <v>Pulp/Paper</v>
      </c>
      <c r="DN328" t="str">
        <f>IF(DG328=1,DN$7,0)</f>
        <v>Timber</v>
      </c>
      <c r="DO328">
        <v>0</v>
      </c>
      <c r="DP328">
        <v>0</v>
      </c>
      <c r="DQ328">
        <v>0</v>
      </c>
      <c r="DR328">
        <v>0</v>
      </c>
      <c r="DS328">
        <v>0</v>
      </c>
      <c r="DT328">
        <f>SUM(DO328:DP328)</f>
        <v>0</v>
      </c>
      <c r="DU328" s="143" t="str">
        <f>IF(DO328=1,"self-calculated DF",IF(DP328=1,"external DF used","explicit C balance"))</f>
        <v>explicit C balance</v>
      </c>
      <c r="DV328">
        <v>1</v>
      </c>
      <c r="DW328">
        <v>1</v>
      </c>
      <c r="DX328">
        <v>1</v>
      </c>
      <c r="DY328">
        <v>1</v>
      </c>
      <c r="DZ328">
        <v>0</v>
      </c>
      <c r="EA328" s="143">
        <v>0</v>
      </c>
      <c r="EB328">
        <v>0</v>
      </c>
      <c r="EC328">
        <v>0</v>
      </c>
      <c r="ED328">
        <v>0</v>
      </c>
      <c r="EE328">
        <v>0</v>
      </c>
      <c r="EF328">
        <v>1</v>
      </c>
      <c r="EG328">
        <v>0</v>
      </c>
      <c r="EH328">
        <v>0</v>
      </c>
      <c r="EI328" s="2">
        <v>0</v>
      </c>
      <c r="EJ328" s="1"/>
      <c r="EK328" t="str">
        <f>IF(AND(AND(AND(OR($DX328=1,$DW328=1),OR($EC328=1,$EA328=1)),SUM($DV328:$DZ328,$EF328)&gt;=4),SUM($EA328:$EE328)&gt;=2),"Whole sector","")</f>
        <v/>
      </c>
      <c r="EL328" t="str">
        <f>IF(AND(AND(OR($DX328=1,$DW328=1),AND($EC328=0,$EA328=0)),SUM($DV328:$DZ328,$EF328)&gt;=4),"Ecosystem approach","")</f>
        <v>Ecosystem approach</v>
      </c>
      <c r="EM328" s="2" t="str">
        <f>IF(AND(AND(AND($DX328=0,$DW328=0),OR($EC328=1,$EA328=1)),SUM($EB328:$EE328)&gt;=2),"Technology approach","")</f>
        <v/>
      </c>
      <c r="EN328"/>
      <c r="EO328"/>
      <c r="EP328" t="str">
        <f>IF(ISNUMBER(BU328),IF(ABS(BU328-[3]QC_indicators!$B$2)&gt;3*[3]QC_indicators!$C$2,"C ratio",IF(ISNUMBER(BY328),IF(ABS(BY328-[3]QC_indicators!$B$1)&gt;3*[3]QC_indicators!$C$1,"DF","no"))),IF(ISNUMBER(BY328),IF(ABS(BY328-[3]QC_indicators!$B$1)&gt;3*[3]QC_indicators!$C$1,"DF","no")))</f>
        <v>no</v>
      </c>
      <c r="EQ328"/>
      <c r="ER328" t="s">
        <v>1375</v>
      </c>
      <c r="ES328"/>
      <c r="ET328" s="266" t="s">
        <v>3266</v>
      </c>
      <c r="EU328"/>
    </row>
    <row r="329" spans="1:151" s="139" customFormat="1" ht="15" customHeight="1">
      <c r="A329" s="1" t="s">
        <v>1362</v>
      </c>
      <c r="B329" t="s">
        <v>1363</v>
      </c>
      <c r="C329" t="s">
        <v>1364</v>
      </c>
      <c r="D329" t="s">
        <v>1365</v>
      </c>
      <c r="E329" t="s">
        <v>1366</v>
      </c>
      <c r="F329" t="s">
        <v>1367</v>
      </c>
      <c r="G329" t="s">
        <v>1368</v>
      </c>
      <c r="H329" t="s">
        <v>255</v>
      </c>
      <c r="I329">
        <v>2012</v>
      </c>
      <c r="J329">
        <v>27</v>
      </c>
      <c r="K329" t="s">
        <v>1369</v>
      </c>
      <c r="L329"/>
      <c r="M329" t="str">
        <f>LEFT($D329,FIND(",",$D329)-1)&amp;"_"&amp;I329&amp;L329</f>
        <v>Colombo_2012</v>
      </c>
      <c r="N329" t="s">
        <v>223</v>
      </c>
      <c r="O329" s="145" t="s">
        <v>224</v>
      </c>
      <c r="P329"/>
      <c r="Q329" t="s">
        <v>257</v>
      </c>
      <c r="R329" s="271" t="s">
        <v>275</v>
      </c>
      <c r="S329" s="1" t="s">
        <v>1370</v>
      </c>
      <c r="T329" t="s">
        <v>1371</v>
      </c>
      <c r="U329" t="s">
        <v>1372</v>
      </c>
      <c r="V329">
        <v>1</v>
      </c>
      <c r="W329">
        <v>0</v>
      </c>
      <c r="X329">
        <v>0</v>
      </c>
      <c r="Y329">
        <v>0</v>
      </c>
      <c r="Z329">
        <v>0</v>
      </c>
      <c r="AA329">
        <v>0</v>
      </c>
      <c r="AB329">
        <v>0</v>
      </c>
      <c r="AC329">
        <v>0</v>
      </c>
      <c r="AD329">
        <v>0</v>
      </c>
      <c r="AE329">
        <v>0</v>
      </c>
      <c r="AF329">
        <v>0</v>
      </c>
      <c r="AG329">
        <v>0</v>
      </c>
      <c r="AH329">
        <v>0</v>
      </c>
      <c r="AI329">
        <v>0</v>
      </c>
      <c r="AJ329">
        <v>0</v>
      </c>
      <c r="AK329">
        <v>0</v>
      </c>
      <c r="AL329">
        <v>0</v>
      </c>
      <c r="AM329">
        <v>0</v>
      </c>
      <c r="AN329">
        <v>0</v>
      </c>
      <c r="AO329">
        <v>0</v>
      </c>
      <c r="AP329">
        <v>0</v>
      </c>
      <c r="AQ329">
        <v>0</v>
      </c>
      <c r="AR329">
        <v>0</v>
      </c>
      <c r="AS329">
        <v>0</v>
      </c>
      <c r="AT329">
        <v>0</v>
      </c>
      <c r="AU329">
        <v>0</v>
      </c>
      <c r="AV329">
        <v>0</v>
      </c>
      <c r="AW329">
        <v>0</v>
      </c>
      <c r="AX329" s="141">
        <f>COUNTIF(V329:AW329,"&lt;&gt;0")</f>
        <v>1</v>
      </c>
      <c r="AY329" s="141">
        <f>COUNTIF(V329:AL329,"&lt;&gt;0")</f>
        <v>1</v>
      </c>
      <c r="AZ329">
        <f>COUNTIF(V329:AC329,"&lt;&gt;0")</f>
        <v>1</v>
      </c>
      <c r="BA329">
        <f>COUNTIF(AD329:AI329,"&lt;&gt;0")</f>
        <v>0</v>
      </c>
      <c r="BB329">
        <f>COUNTIF(AJ329:AL329,"&lt;&gt;0")</f>
        <v>0</v>
      </c>
      <c r="BC329">
        <f>COUNTIF(AS329:AW329,"&lt;&gt;0")</f>
        <v>0</v>
      </c>
      <c r="BD329">
        <f>COUNTIF(AM329:AR329,"&lt;&gt;0")</f>
        <v>0</v>
      </c>
      <c r="BE329" t="str">
        <f t="array" ref="BE329">IF(AY329=1,INDEX($V$7:$AL$7,MATCH(TRUE,INDEX($V329:$AW329&lt;&gt;0,),0)),IF(AY329=0,INDEX($AM$7:$AW$7,MATCH(1,$AM329:$AW329,0)),IF(BF329="Multiple strategies","mixed drivers",IF(BF329="Supply chain","multiple supply","multiple silviculture"))))</f>
        <v>area subject to harvest</v>
      </c>
      <c r="BF329" s="2" t="str" cm="1">
        <f t="array" ref="BF329">IF(COUNTIF(AZ329:BB329,"&lt;&gt;0")=1,INDEX($V$4:$AW$4,MATCH(TRUE,INDEX($V329:$AW329&lt;&gt;0,),0)),IF(COUNTIF(AZ329:BB329,"&lt;&gt;0")=0,INDEX($AM$4:$AW$4,MATCH(1,$AM329:$AW329,0)),"Multiple strategies"))</f>
        <v>SilvicultureRemov</v>
      </c>
      <c r="BG329" s="1" t="s">
        <v>230</v>
      </c>
      <c r="BH329" t="s">
        <v>1373</v>
      </c>
      <c r="BI329" s="266" t="s">
        <v>3178</v>
      </c>
      <c r="BJ329" t="s">
        <v>1374</v>
      </c>
      <c r="BK329">
        <v>0</v>
      </c>
      <c r="BL329">
        <v>16</v>
      </c>
      <c r="BM329"/>
      <c r="BN329">
        <f>BL329-BK329</f>
        <v>16</v>
      </c>
      <c r="BO329">
        <f>BN329*10^6*tC_to_m3</f>
        <v>69474598.349978298</v>
      </c>
      <c r="BP329" s="143" t="s">
        <v>233</v>
      </c>
      <c r="BQ329" s="143" t="s">
        <v>691</v>
      </c>
      <c r="BR329" t="s">
        <v>1374</v>
      </c>
      <c r="BS329">
        <v>592.19047619047603</v>
      </c>
      <c r="BT329">
        <v>569.33333333333303</v>
      </c>
      <c r="BU329" s="144">
        <f>IFERROR(BT329/BS329,"")</f>
        <v>0.96140238018655488</v>
      </c>
      <c r="BV329">
        <f>BT329-BS329</f>
        <v>-22.857142857143003</v>
      </c>
      <c r="BW329"/>
      <c r="BX329">
        <f>BV329*10^6*C_to_CO2</f>
        <v>-83885714.28571482</v>
      </c>
      <c r="BY329">
        <f>IFERROR(BX329/BO329,"")</f>
        <v>-1.2074300000000076</v>
      </c>
      <c r="BZ329">
        <v>0</v>
      </c>
      <c r="CA329">
        <v>0</v>
      </c>
      <c r="CB329">
        <v>0</v>
      </c>
      <c r="CC329">
        <v>0</v>
      </c>
      <c r="CD329">
        <v>0</v>
      </c>
      <c r="CE329">
        <v>0</v>
      </c>
      <c r="CF329">
        <v>0</v>
      </c>
      <c r="CG329">
        <v>0</v>
      </c>
      <c r="CH329">
        <v>0</v>
      </c>
      <c r="CI329">
        <v>0</v>
      </c>
      <c r="CJ329">
        <v>0</v>
      </c>
      <c r="CK329">
        <v>0</v>
      </c>
      <c r="CL329">
        <v>0</v>
      </c>
      <c r="CM329">
        <v>0</v>
      </c>
      <c r="CN329" t="str">
        <f>IF($BL329&lt;$BK329,"refNeedCorrection","refOK")</f>
        <v>refOK</v>
      </c>
      <c r="CO329">
        <f>IF($CN329="refOK",$BK329,$BL329)</f>
        <v>0</v>
      </c>
      <c r="CP329">
        <f>IF($CN329="refOK",$BL329,$BK329)</f>
        <v>16</v>
      </c>
      <c r="CQ329">
        <f>IF($CN329="refOK",$BO329,-$BO329)</f>
        <v>69474598.349978298</v>
      </c>
      <c r="CR329">
        <f>IF($CN329="refOK",$BS329,$BT329)*IF($BP329="Emissions positive",-1,1)</f>
        <v>592.19047619047603</v>
      </c>
      <c r="CS329">
        <f>IF($CN329="refOK",$BT329,$BS329)*IF($BP329="Emissions positive",-1,1)</f>
        <v>569.33333333333303</v>
      </c>
      <c r="CT329">
        <f>IF($CN329="refNeedCorrection",-BX329,BX329)*IF($BP329="Emissions positive",-1,1)</f>
        <v>-83885714.28571482</v>
      </c>
      <c r="CU329">
        <f>IFERROR(CT329/CQ329,"")</f>
        <v>-1.2074300000000076</v>
      </c>
      <c r="CV329" s="2">
        <f>IFERROR((CS329-CR329)/ABS(CR329),"")</f>
        <v>-3.8597619813445096E-2</v>
      </c>
      <c r="CW329" s="1" t="s">
        <v>1201</v>
      </c>
      <c r="CX329" t="str">
        <f>IF(OR($CW329="prd",$CW329="std",$CW329="cit"),"loc",IF(OR($CW329="eur",$CW329="reg",$CW329="coy"),"reg",$CW329))</f>
        <v>reg</v>
      </c>
      <c r="CY329" t="s">
        <v>541</v>
      </c>
      <c r="CZ329">
        <v>2010</v>
      </c>
      <c r="DA329">
        <v>2050</v>
      </c>
      <c r="DB329">
        <f>DA329-CZ329</f>
        <v>40</v>
      </c>
      <c r="DC329" t="str">
        <f>IF(DB329=0,"0",IF(AND(DB329&gt;=1,DB329&lt;=30),"1-30",IF(AND(DB329&gt;30,DB329&lt;=70),"31-70",IF(AND(DB329&gt;70,DB329&lt;=100),"71-100",IF(DB329&gt;100,"+100")))))</f>
        <v>31-70</v>
      </c>
      <c r="DD329">
        <v>0</v>
      </c>
      <c r="DE329">
        <v>1</v>
      </c>
      <c r="DF329">
        <v>1</v>
      </c>
      <c r="DG329">
        <v>1</v>
      </c>
      <c r="DH329"/>
      <c r="DI329">
        <f>SUM(DD329:DG329)</f>
        <v>3</v>
      </c>
      <c r="DJ329" t="str">
        <f>IF(DI329=1,INDEX($DD$7:$DG$7,MATCH(1,$DD329:$DG329,0)),"mixedProduct")</f>
        <v>mixedProduct</v>
      </c>
      <c r="DK329">
        <f>IF(DD329=1,DK$7,0)</f>
        <v>0</v>
      </c>
      <c r="DL329" t="str">
        <f>IF(DE329=1,DL$7,0)</f>
        <v>Energy</v>
      </c>
      <c r="DM329" t="str">
        <f>IF(DF329=1,DM$7,0)</f>
        <v>Pulp/Paper</v>
      </c>
      <c r="DN329" t="str">
        <f>IF(DG329=1,DN$7,0)</f>
        <v>Timber</v>
      </c>
      <c r="DO329">
        <v>0</v>
      </c>
      <c r="DP329">
        <v>0</v>
      </c>
      <c r="DQ329">
        <v>0</v>
      </c>
      <c r="DR329">
        <v>0</v>
      </c>
      <c r="DS329">
        <v>0</v>
      </c>
      <c r="DT329">
        <f>SUM(DO329:DP329)</f>
        <v>0</v>
      </c>
      <c r="DU329" s="143" t="str">
        <f>IF(DO329=1,"self-calculated DF",IF(DP329=1,"external DF used","explicit C balance"))</f>
        <v>explicit C balance</v>
      </c>
      <c r="DV329">
        <v>1</v>
      </c>
      <c r="DW329">
        <v>1</v>
      </c>
      <c r="DX329">
        <v>1</v>
      </c>
      <c r="DY329">
        <v>1</v>
      </c>
      <c r="DZ329">
        <v>0</v>
      </c>
      <c r="EA329" s="143">
        <v>0</v>
      </c>
      <c r="EB329">
        <v>0</v>
      </c>
      <c r="EC329">
        <v>0</v>
      </c>
      <c r="ED329">
        <v>0</v>
      </c>
      <c r="EE329">
        <v>0</v>
      </c>
      <c r="EF329">
        <v>1</v>
      </c>
      <c r="EG329">
        <v>0</v>
      </c>
      <c r="EH329">
        <v>0</v>
      </c>
      <c r="EI329" s="2">
        <v>0</v>
      </c>
      <c r="EJ329" s="1"/>
      <c r="EK329" t="str">
        <f>IF(AND(AND(AND(OR($DX329=1,$DW329=1),OR($EC329=1,$EA329=1)),SUM($DV329:$DZ329,$EF329)&gt;=4),SUM($EA329:$EE329)&gt;=2),"Whole sector","")</f>
        <v/>
      </c>
      <c r="EL329" t="str">
        <f>IF(AND(AND(OR($DX329=1,$DW329=1),AND($EC329=0,$EA329=0)),SUM($DV329:$DZ329,$EF329)&gt;=4),"Ecosystem approach","")</f>
        <v>Ecosystem approach</v>
      </c>
      <c r="EM329" s="2" t="str">
        <f>IF(AND(AND(AND($DX329=0,$DW329=0),OR($EC329=1,$EA329=1)),SUM($EB329:$EE329)&gt;=2),"Technology approach","")</f>
        <v/>
      </c>
      <c r="EN329"/>
      <c r="EO329"/>
      <c r="EP329" t="str">
        <f>IF(ISNUMBER(BU329),IF(ABS(BU329-[3]QC_indicators!$B$2)&gt;3*[3]QC_indicators!$C$2,"C ratio",IF(ISNUMBER(BY329),IF(ABS(BY329-[3]QC_indicators!$B$1)&gt;3*[3]QC_indicators!$C$1,"DF","no"))),IF(ISNUMBER(BY329),IF(ABS(BY329-[3]QC_indicators!$B$1)&gt;3*[3]QC_indicators!$C$1,"DF","no")))</f>
        <v>no</v>
      </c>
      <c r="EQ329"/>
      <c r="ER329" t="s">
        <v>1375</v>
      </c>
      <c r="ES329"/>
      <c r="ET329" s="266" t="s">
        <v>3266</v>
      </c>
      <c r="EU329"/>
    </row>
    <row r="330" spans="1:151" s="139" customFormat="1" ht="15" customHeight="1">
      <c r="A330" s="1" t="s">
        <v>1362</v>
      </c>
      <c r="B330" t="s">
        <v>1363</v>
      </c>
      <c r="C330" t="s">
        <v>1364</v>
      </c>
      <c r="D330" t="s">
        <v>1365</v>
      </c>
      <c r="E330" t="s">
        <v>1366</v>
      </c>
      <c r="F330" t="s">
        <v>1367</v>
      </c>
      <c r="G330" t="s">
        <v>1368</v>
      </c>
      <c r="H330" t="s">
        <v>255</v>
      </c>
      <c r="I330">
        <v>2012</v>
      </c>
      <c r="J330">
        <v>27</v>
      </c>
      <c r="K330" t="s">
        <v>1369</v>
      </c>
      <c r="L330"/>
      <c r="M330" t="str">
        <f>LEFT($D330,FIND(",",$D330)-1)&amp;"_"&amp;I330&amp;L330</f>
        <v>Colombo_2012</v>
      </c>
      <c r="N330" t="s">
        <v>223</v>
      </c>
      <c r="O330" s="145" t="s">
        <v>224</v>
      </c>
      <c r="P330"/>
      <c r="Q330" t="s">
        <v>257</v>
      </c>
      <c r="R330" s="271" t="s">
        <v>275</v>
      </c>
      <c r="S330" s="1" t="s">
        <v>1370</v>
      </c>
      <c r="T330" t="s">
        <v>1371</v>
      </c>
      <c r="U330" t="s">
        <v>1376</v>
      </c>
      <c r="V330">
        <v>1</v>
      </c>
      <c r="W330">
        <v>0</v>
      </c>
      <c r="X330">
        <v>0</v>
      </c>
      <c r="Y330">
        <v>0</v>
      </c>
      <c r="Z330">
        <v>0</v>
      </c>
      <c r="AA330">
        <v>0</v>
      </c>
      <c r="AB330">
        <v>0</v>
      </c>
      <c r="AC330">
        <v>0</v>
      </c>
      <c r="AD330">
        <v>0</v>
      </c>
      <c r="AE330">
        <v>0</v>
      </c>
      <c r="AF330">
        <v>0</v>
      </c>
      <c r="AG330">
        <v>0</v>
      </c>
      <c r="AH330">
        <v>0</v>
      </c>
      <c r="AI330">
        <v>0</v>
      </c>
      <c r="AJ330">
        <v>0</v>
      </c>
      <c r="AK330">
        <v>0</v>
      </c>
      <c r="AL330">
        <v>0</v>
      </c>
      <c r="AM330">
        <v>0</v>
      </c>
      <c r="AN330">
        <v>0</v>
      </c>
      <c r="AO330">
        <v>0</v>
      </c>
      <c r="AP330">
        <v>0</v>
      </c>
      <c r="AQ330">
        <v>0</v>
      </c>
      <c r="AR330">
        <v>0</v>
      </c>
      <c r="AS330">
        <v>0</v>
      </c>
      <c r="AT330">
        <v>0</v>
      </c>
      <c r="AU330">
        <v>0</v>
      </c>
      <c r="AV330">
        <v>0</v>
      </c>
      <c r="AW330">
        <v>0</v>
      </c>
      <c r="AX330" s="141">
        <f>COUNTIF(V330:AW330,"&lt;&gt;0")</f>
        <v>1</v>
      </c>
      <c r="AY330" s="141">
        <f>COUNTIF(V330:AL330,"&lt;&gt;0")</f>
        <v>1</v>
      </c>
      <c r="AZ330">
        <f>COUNTIF(V330:AC330,"&lt;&gt;0")</f>
        <v>1</v>
      </c>
      <c r="BA330">
        <f>COUNTIF(AD330:AI330,"&lt;&gt;0")</f>
        <v>0</v>
      </c>
      <c r="BB330">
        <f>COUNTIF(AJ330:AL330,"&lt;&gt;0")</f>
        <v>0</v>
      </c>
      <c r="BC330">
        <f>COUNTIF(AS330:AW330,"&lt;&gt;0")</f>
        <v>0</v>
      </c>
      <c r="BD330">
        <f>COUNTIF(AM330:AR330,"&lt;&gt;0")</f>
        <v>0</v>
      </c>
      <c r="BE330" t="str">
        <f t="array" ref="BE330">IF(AY330=1,INDEX($V$7:$AL$7,MATCH(TRUE,INDEX($V330:$AW330&lt;&gt;0,),0)),IF(AY330=0,INDEX($AM$7:$AW$7,MATCH(1,$AM330:$AW330,0)),IF(BF330="Multiple strategies","mixed drivers",IF(BF330="Supply chain","multiple supply","multiple silviculture"))))</f>
        <v>area subject to harvest</v>
      </c>
      <c r="BF330" s="2" t="str" cm="1">
        <f t="array" ref="BF330">IF(COUNTIF(AZ330:BB330,"&lt;&gt;0")=1,INDEX($V$4:$AW$4,MATCH(TRUE,INDEX($V330:$AW330&lt;&gt;0,),0)),IF(COUNTIF(AZ330:BB330,"&lt;&gt;0")=0,INDEX($AM$4:$AW$4,MATCH(1,$AM330:$AW330,0)),"Multiple strategies"))</f>
        <v>SilvicultureRemov</v>
      </c>
      <c r="BG330" s="1" t="s">
        <v>230</v>
      </c>
      <c r="BH330" t="s">
        <v>1373</v>
      </c>
      <c r="BI330" s="266" t="s">
        <v>3178</v>
      </c>
      <c r="BJ330" t="s">
        <v>1374</v>
      </c>
      <c r="BK330">
        <v>0</v>
      </c>
      <c r="BL330">
        <v>31</v>
      </c>
      <c r="BM330"/>
      <c r="BN330">
        <f>BL330-BK330</f>
        <v>31</v>
      </c>
      <c r="BO330">
        <f>BN330*10^6*tC_to_m3</f>
        <v>134607034.30308294</v>
      </c>
      <c r="BP330" s="143" t="s">
        <v>233</v>
      </c>
      <c r="BQ330" s="143" t="s">
        <v>691</v>
      </c>
      <c r="BR330" t="s">
        <v>1374</v>
      </c>
      <c r="BS330">
        <v>592.19047619047603</v>
      </c>
      <c r="BT330">
        <v>557.142857142857</v>
      </c>
      <c r="BU330" s="144">
        <f>IFERROR(BT330/BS330,"")</f>
        <v>0.94081698295271787</v>
      </c>
      <c r="BV330">
        <f>BT330-BS330</f>
        <v>-35.047619047619037</v>
      </c>
      <c r="BW330"/>
      <c r="BX330">
        <f>BV330*10^6*C_to_CO2</f>
        <v>-128624761.90476187</v>
      </c>
      <c r="BY330">
        <f>IFERROR(BX330/BO330,"")</f>
        <v>-0.95555750537634376</v>
      </c>
      <c r="BZ330">
        <v>0</v>
      </c>
      <c r="CA330">
        <v>0</v>
      </c>
      <c r="CB330">
        <v>0</v>
      </c>
      <c r="CC330">
        <v>0</v>
      </c>
      <c r="CD330">
        <v>0</v>
      </c>
      <c r="CE330">
        <v>0</v>
      </c>
      <c r="CF330">
        <v>0</v>
      </c>
      <c r="CG330">
        <v>0</v>
      </c>
      <c r="CH330">
        <v>0</v>
      </c>
      <c r="CI330">
        <v>0</v>
      </c>
      <c r="CJ330">
        <v>0</v>
      </c>
      <c r="CK330">
        <v>0</v>
      </c>
      <c r="CL330">
        <v>0</v>
      </c>
      <c r="CM330">
        <v>0</v>
      </c>
      <c r="CN330" t="str">
        <f>IF($BL330&lt;$BK330,"refNeedCorrection","refOK")</f>
        <v>refOK</v>
      </c>
      <c r="CO330">
        <f>IF($CN330="refOK",$BK330,$BL330)</f>
        <v>0</v>
      </c>
      <c r="CP330">
        <f>IF($CN330="refOK",$BL330,$BK330)</f>
        <v>31</v>
      </c>
      <c r="CQ330">
        <f>IF($CN330="refOK",$BO330,-$BO330)</f>
        <v>134607034.30308294</v>
      </c>
      <c r="CR330">
        <f>IF($CN330="refOK",$BS330,$BT330)*IF($BP330="Emissions positive",-1,1)</f>
        <v>592.19047619047603</v>
      </c>
      <c r="CS330">
        <f>IF($CN330="refOK",$BT330,$BS330)*IF($BP330="Emissions positive",-1,1)</f>
        <v>557.142857142857</v>
      </c>
      <c r="CT330">
        <f>IF($CN330="refNeedCorrection",-BX330,BX330)*IF($BP330="Emissions positive",-1,1)</f>
        <v>-128624761.90476187</v>
      </c>
      <c r="CU330">
        <f>IFERROR(CT330/CQ330,"")</f>
        <v>-0.95555750537634376</v>
      </c>
      <c r="CV330" s="2">
        <f>IFERROR((CS330-CR330)/ABS(CR330),"")</f>
        <v>-5.9183017047282079E-2</v>
      </c>
      <c r="CW330" s="1" t="s">
        <v>1201</v>
      </c>
      <c r="CX330" t="str">
        <f>IF(OR($CW330="prd",$CW330="std",$CW330="cit"),"loc",IF(OR($CW330="eur",$CW330="reg",$CW330="coy"),"reg",$CW330))</f>
        <v>reg</v>
      </c>
      <c r="CY330" t="s">
        <v>541</v>
      </c>
      <c r="CZ330">
        <v>2010</v>
      </c>
      <c r="DA330">
        <v>2050</v>
      </c>
      <c r="DB330">
        <f>DA330-CZ330</f>
        <v>40</v>
      </c>
      <c r="DC330" t="str">
        <f>IF(DB330=0,"0",IF(AND(DB330&gt;=1,DB330&lt;=30),"1-30",IF(AND(DB330&gt;30,DB330&lt;=70),"31-70",IF(AND(DB330&gt;70,DB330&lt;=100),"71-100",IF(DB330&gt;100,"+100")))))</f>
        <v>31-70</v>
      </c>
      <c r="DD330">
        <v>0</v>
      </c>
      <c r="DE330">
        <v>1</v>
      </c>
      <c r="DF330">
        <v>1</v>
      </c>
      <c r="DG330">
        <v>1</v>
      </c>
      <c r="DH330"/>
      <c r="DI330">
        <f>SUM(DD330:DG330)</f>
        <v>3</v>
      </c>
      <c r="DJ330" t="str">
        <f>IF(DI330=1,INDEX($DD$7:$DG$7,MATCH(1,$DD330:$DG330,0)),"mixedProduct")</f>
        <v>mixedProduct</v>
      </c>
      <c r="DK330">
        <f>IF(DD330=1,DK$7,0)</f>
        <v>0</v>
      </c>
      <c r="DL330" t="str">
        <f>IF(DE330=1,DL$7,0)</f>
        <v>Energy</v>
      </c>
      <c r="DM330" t="str">
        <f>IF(DF330=1,DM$7,0)</f>
        <v>Pulp/Paper</v>
      </c>
      <c r="DN330" t="str">
        <f>IF(DG330=1,DN$7,0)</f>
        <v>Timber</v>
      </c>
      <c r="DO330">
        <v>0</v>
      </c>
      <c r="DP330">
        <v>0</v>
      </c>
      <c r="DQ330">
        <v>0</v>
      </c>
      <c r="DR330">
        <v>0</v>
      </c>
      <c r="DS330">
        <v>0</v>
      </c>
      <c r="DT330">
        <f>SUM(DO330:DP330)</f>
        <v>0</v>
      </c>
      <c r="DU330" s="143" t="str">
        <f>IF(DO330=1,"self-calculated DF",IF(DP330=1,"external DF used","explicit C balance"))</f>
        <v>explicit C balance</v>
      </c>
      <c r="DV330">
        <v>1</v>
      </c>
      <c r="DW330">
        <v>1</v>
      </c>
      <c r="DX330">
        <v>1</v>
      </c>
      <c r="DY330">
        <v>1</v>
      </c>
      <c r="DZ330">
        <v>0</v>
      </c>
      <c r="EA330" s="143">
        <v>0</v>
      </c>
      <c r="EB330">
        <v>0</v>
      </c>
      <c r="EC330">
        <v>0</v>
      </c>
      <c r="ED330">
        <v>0</v>
      </c>
      <c r="EE330">
        <v>0</v>
      </c>
      <c r="EF330">
        <v>1</v>
      </c>
      <c r="EG330">
        <v>0</v>
      </c>
      <c r="EH330">
        <v>0</v>
      </c>
      <c r="EI330" s="2">
        <v>0</v>
      </c>
      <c r="EJ330" s="1"/>
      <c r="EK330" t="str">
        <f>IF(AND(AND(AND(OR($DX330=1,$DW330=1),OR($EC330=1,$EA330=1)),SUM($DV330:$DZ330,$EF330)&gt;=4),SUM($EA330:$EE330)&gt;=2),"Whole sector","")</f>
        <v/>
      </c>
      <c r="EL330" t="str">
        <f>IF(AND(AND(OR($DX330=1,$DW330=1),AND($EC330=0,$EA330=0)),SUM($DV330:$DZ330,$EF330)&gt;=4),"Ecosystem approach","")</f>
        <v>Ecosystem approach</v>
      </c>
      <c r="EM330" s="2" t="str">
        <f>IF(AND(AND(AND($DX330=0,$DW330=0),OR($EC330=1,$EA330=1)),SUM($EB330:$EE330)&gt;=2),"Technology approach","")</f>
        <v/>
      </c>
      <c r="EN330"/>
      <c r="EO330"/>
      <c r="EP330" t="str">
        <f>IF(ISNUMBER(BU330),IF(ABS(BU330-[3]QC_indicators!$B$2)&gt;3*[3]QC_indicators!$C$2,"C ratio",IF(ISNUMBER(BY330),IF(ABS(BY330-[3]QC_indicators!$B$1)&gt;3*[3]QC_indicators!$C$1,"DF","no"))),IF(ISNUMBER(BY330),IF(ABS(BY330-[3]QC_indicators!$B$1)&gt;3*[3]QC_indicators!$C$1,"DF","no")))</f>
        <v>no</v>
      </c>
      <c r="EQ330"/>
      <c r="ER330" t="s">
        <v>1375</v>
      </c>
      <c r="ES330"/>
      <c r="ET330" s="266" t="s">
        <v>3266</v>
      </c>
      <c r="EU330"/>
    </row>
    <row r="331" spans="1:151" s="139" customFormat="1" ht="15" customHeight="1">
      <c r="A331" s="1" t="s">
        <v>2116</v>
      </c>
      <c r="B331" t="s">
        <v>545</v>
      </c>
      <c r="C331" t="s">
        <v>2279</v>
      </c>
      <c r="D331" t="s">
        <v>2280</v>
      </c>
      <c r="E331" t="s">
        <v>2281</v>
      </c>
      <c r="F331" t="s">
        <v>2282</v>
      </c>
      <c r="G331" t="s">
        <v>2117</v>
      </c>
      <c r="H331" t="s">
        <v>255</v>
      </c>
      <c r="I331">
        <v>2014</v>
      </c>
      <c r="J331">
        <v>96</v>
      </c>
      <c r="K331" t="s">
        <v>2283</v>
      </c>
      <c r="L331"/>
      <c r="M331" t="str">
        <f>LEFT($D331,FIND(",",$D331)-1)&amp;"_"&amp;I331&amp;L331</f>
        <v>Smyth_2014</v>
      </c>
      <c r="N331" t="s">
        <v>223</v>
      </c>
      <c r="O331" s="145" t="s">
        <v>342</v>
      </c>
      <c r="P331"/>
      <c r="Q331" t="s">
        <v>257</v>
      </c>
      <c r="R331" s="264" t="s">
        <v>224</v>
      </c>
      <c r="S331" s="1" t="s">
        <v>2294</v>
      </c>
      <c r="T331" t="s">
        <v>1157</v>
      </c>
      <c r="U331" t="s">
        <v>2295</v>
      </c>
      <c r="V331">
        <v>0</v>
      </c>
      <c r="W331">
        <v>0</v>
      </c>
      <c r="X331">
        <v>0</v>
      </c>
      <c r="Y331">
        <v>1</v>
      </c>
      <c r="Z331">
        <v>0</v>
      </c>
      <c r="AA331">
        <v>0</v>
      </c>
      <c r="AB331">
        <v>0</v>
      </c>
      <c r="AC331">
        <v>0</v>
      </c>
      <c r="AD331">
        <v>0</v>
      </c>
      <c r="AE331">
        <v>0</v>
      </c>
      <c r="AF331">
        <v>0</v>
      </c>
      <c r="AG331">
        <v>0</v>
      </c>
      <c r="AH331">
        <v>0</v>
      </c>
      <c r="AI331">
        <v>0</v>
      </c>
      <c r="AJ331">
        <v>2</v>
      </c>
      <c r="AK331">
        <v>0</v>
      </c>
      <c r="AL331">
        <v>0</v>
      </c>
      <c r="AM331">
        <v>0</v>
      </c>
      <c r="AN331">
        <v>0</v>
      </c>
      <c r="AO331">
        <v>0</v>
      </c>
      <c r="AP331">
        <v>0</v>
      </c>
      <c r="AQ331">
        <v>0</v>
      </c>
      <c r="AR331">
        <v>0</v>
      </c>
      <c r="AS331">
        <v>0</v>
      </c>
      <c r="AT331">
        <v>0</v>
      </c>
      <c r="AU331">
        <v>0</v>
      </c>
      <c r="AV331">
        <v>0</v>
      </c>
      <c r="AW331">
        <v>0</v>
      </c>
      <c r="AX331" s="141">
        <f>COUNTIF(V331:AW331,"&lt;&gt;0")</f>
        <v>2</v>
      </c>
      <c r="AY331" s="141">
        <f>COUNTIF(V331:AL331,"&lt;&gt;0")</f>
        <v>2</v>
      </c>
      <c r="AZ331">
        <f>COUNTIF(V331:AC331,"&lt;&gt;0")</f>
        <v>1</v>
      </c>
      <c r="BA331">
        <f>COUNTIF(AD331:AI331,"&lt;&gt;0")</f>
        <v>0</v>
      </c>
      <c r="BB331">
        <f>COUNTIF(AJ331:AL331,"&lt;&gt;0")</f>
        <v>1</v>
      </c>
      <c r="BC331">
        <f>COUNTIF(AS331:AW331,"&lt;&gt;0")</f>
        <v>0</v>
      </c>
      <c r="BD331">
        <f>COUNTIF(AM331:AR331,"&lt;&gt;0")</f>
        <v>0</v>
      </c>
      <c r="BE331" t="str">
        <f t="array" ref="BE331">IF(AY331=1,INDEX($V$7:$AL$7,MATCH(TRUE,INDEX($V331:$AW331&lt;&gt;0,),0)),IF(AY331=0,INDEX($AM$7:$AW$7,MATCH(1,$AM331:$AW331,0)),IF(BF331="Multiple strategies","mixed drivers",IF(BF331="Supply chain","multiple supply","multiple silviculture"))))</f>
        <v>mixed drivers</v>
      </c>
      <c r="BF331" s="2" t="str">
        <f t="array" ref="BF331">IF(COUNTIF(AZ331:BB331,"&lt;&gt;0")=1,INDEX($V$4:$AW$4,MATCH(TRUE,INDEX($V331:$AW331&lt;&gt;0,),0)),IF(COUNTIF(AZ331:BB331,"&lt;&gt;0")=0,INDEX($AM$4:$AW$4,MATCH(1,$AM331:$AW331,0)),"Multiple strategies"))</f>
        <v>Multiple strategies</v>
      </c>
      <c r="BG331" s="1" t="s">
        <v>322</v>
      </c>
      <c r="BH331" t="s">
        <v>2296</v>
      </c>
      <c r="BI331" s="266" t="s">
        <v>1038</v>
      </c>
      <c r="BJ331" t="s">
        <v>2290</v>
      </c>
      <c r="BK331">
        <v>0</v>
      </c>
      <c r="BL331">
        <v>9.9</v>
      </c>
      <c r="BM331"/>
      <c r="BN331">
        <f>BL331-BK331</f>
        <v>9.9</v>
      </c>
      <c r="BO331">
        <f>BN331*10^6*tC_to_m3</f>
        <v>42987407.729049072</v>
      </c>
      <c r="BP331" t="s">
        <v>233</v>
      </c>
      <c r="BQ331" s="269" t="s">
        <v>3245</v>
      </c>
      <c r="BR331" s="266" t="s">
        <v>3246</v>
      </c>
      <c r="BS331"/>
      <c r="BT331"/>
      <c r="BU331" s="144"/>
      <c r="BV331">
        <f>22.34/35</f>
        <v>0.63828571428571423</v>
      </c>
      <c r="BW331"/>
      <c r="BX331">
        <f>BV331*10^6</f>
        <v>638285.7142857142</v>
      </c>
      <c r="BY331">
        <f>IFERROR(BX331/BO331,"")</f>
        <v>1.4848202020202017E-2</v>
      </c>
      <c r="BZ331">
        <v>0</v>
      </c>
      <c r="CA331">
        <v>1</v>
      </c>
      <c r="CB331">
        <v>1</v>
      </c>
      <c r="CC331">
        <v>1</v>
      </c>
      <c r="CD331">
        <v>0</v>
      </c>
      <c r="CE331">
        <v>0</v>
      </c>
      <c r="CF331">
        <v>0</v>
      </c>
      <c r="CG331">
        <v>0</v>
      </c>
      <c r="CH331">
        <v>0</v>
      </c>
      <c r="CI331">
        <v>0</v>
      </c>
      <c r="CJ331">
        <v>0</v>
      </c>
      <c r="CK331">
        <v>0</v>
      </c>
      <c r="CL331">
        <v>0</v>
      </c>
      <c r="CM331">
        <v>0</v>
      </c>
      <c r="CN331" t="str">
        <f>IF($BL331&lt;$BK331,"refNeedCorrection","refOK")</f>
        <v>refOK</v>
      </c>
      <c r="CO331">
        <f>IF($CN331="refOK",$BK331,$BL331)</f>
        <v>0</v>
      </c>
      <c r="CP331">
        <f>IF($CN331="refOK",$BL331,$BK331)</f>
        <v>9.9</v>
      </c>
      <c r="CQ331">
        <f>IF($CN331="refOK",$BO331,-$BO331)</f>
        <v>42987407.729049072</v>
      </c>
      <c r="CR331">
        <f>IF($CN331="refOK",$BS331,$BT331)*IF($BP331="Emissions positive",-1,1)</f>
        <v>0</v>
      </c>
      <c r="CS331">
        <f>IF($CN331="refOK",$BT331,$BS331)*IF($BP331="Emissions positive",-1,1)</f>
        <v>0</v>
      </c>
      <c r="CT331">
        <f>IF($CN331="refNeedCorrection",-BX331,BX331)*IF($BP331="Emissions positive",-1,1)</f>
        <v>638285.7142857142</v>
      </c>
      <c r="CU331">
        <f>IFERROR(CT331/CQ331,"")</f>
        <v>1.4848202020202017E-2</v>
      </c>
      <c r="CV331" s="2" t="str">
        <f>IFERROR((CS331-CR331)/ABS(CR331),"")</f>
        <v/>
      </c>
      <c r="CW331" s="1" t="s">
        <v>1205</v>
      </c>
      <c r="CX331" t="str">
        <f>IF(OR($CW331="prd",$CW331="std",$CW331="cit"),"loc",IF(OR($CW331="eur",$CW331="reg",$CW331="coy"),"reg",$CW331))</f>
        <v>reg</v>
      </c>
      <c r="CY331" t="s">
        <v>541</v>
      </c>
      <c r="CZ331">
        <v>2015</v>
      </c>
      <c r="DA331">
        <v>2050</v>
      </c>
      <c r="DB331">
        <v>35</v>
      </c>
      <c r="DC331" t="str">
        <f>IF(DB331=0,"0",IF(AND(DB331&gt;=1,DB331&lt;=30),"1-30",IF(AND(DB331&gt;30,DB331&lt;=70),"31-70",IF(AND(DB331&gt;70,DB331&lt;=100),"71-100",IF(DB331&gt;100,"+100")))))</f>
        <v>31-70</v>
      </c>
      <c r="DD331">
        <v>0</v>
      </c>
      <c r="DE331">
        <v>1</v>
      </c>
      <c r="DF331">
        <v>1</v>
      </c>
      <c r="DG331">
        <v>1</v>
      </c>
      <c r="DH331"/>
      <c r="DI331">
        <f>SUM(DD331:DG331)</f>
        <v>3</v>
      </c>
      <c r="DJ331" t="str">
        <f>IF(DI331=1,INDEX($DD$7:$DG$7,MATCH(1,$DD331:$DG331,0)),"mixedProduct")</f>
        <v>mixedProduct</v>
      </c>
      <c r="DK331">
        <f>IF(DD331=1,DK$7,0)</f>
        <v>0</v>
      </c>
      <c r="DL331" t="str">
        <f>IF(DE331=1,DL$7,0)</f>
        <v>Energy</v>
      </c>
      <c r="DM331" t="str">
        <f>IF(DF331=1,DM$7,0)</f>
        <v>Pulp/Paper</v>
      </c>
      <c r="DN331" t="str">
        <f>IF(DG331=1,DN$7,0)</f>
        <v>Timber</v>
      </c>
      <c r="DO331">
        <v>0</v>
      </c>
      <c r="DP331">
        <v>0</v>
      </c>
      <c r="DQ331"/>
      <c r="DR331">
        <v>0</v>
      </c>
      <c r="DS331">
        <v>0</v>
      </c>
      <c r="DT331">
        <f>SUM(DO331:DP331)</f>
        <v>0</v>
      </c>
      <c r="DU331" s="143" t="str">
        <f>IF(DO331=1,"self-calculated DF",IF(DP331=1,"external DF used","explicit C balance"))</f>
        <v>explicit C balance</v>
      </c>
      <c r="DV331">
        <v>1</v>
      </c>
      <c r="DW331">
        <v>1</v>
      </c>
      <c r="DX331">
        <v>1</v>
      </c>
      <c r="DY331">
        <v>1</v>
      </c>
      <c r="DZ331">
        <v>1</v>
      </c>
      <c r="EA331">
        <v>0</v>
      </c>
      <c r="EB331">
        <v>0</v>
      </c>
      <c r="EC331">
        <v>0</v>
      </c>
      <c r="ED331">
        <v>0</v>
      </c>
      <c r="EE331">
        <v>0</v>
      </c>
      <c r="EF331">
        <v>1</v>
      </c>
      <c r="EG331">
        <v>0</v>
      </c>
      <c r="EH331">
        <v>0</v>
      </c>
      <c r="EI331" s="2">
        <v>0</v>
      </c>
      <c r="EJ331" s="1"/>
      <c r="EK331" t="str">
        <f>IF(AND(AND(AND(OR($DX331=1,$DW331=1),OR($EC331=1,$EA331=1)),SUM($DV331:$DZ331,$EF331)&gt;=4),SUM($EA331:$EE331)&gt;=2),"Whole sector","")</f>
        <v/>
      </c>
      <c r="EL331" t="str">
        <f>IF(AND(AND(OR($DX331=1,$DW331=1),AND($EC331=0,$EA331=0)),SUM($DV331:$DZ331,$EF331)&gt;=4),"Ecosystem approach","")</f>
        <v>Ecosystem approach</v>
      </c>
      <c r="EM331" s="2" t="str">
        <f>IF(AND(AND(AND($DX331=0,$DW331=0),OR($EC331=1,$EA331=1)),SUM($EB331:$EE331)&gt;=2),"Technology approach","")</f>
        <v/>
      </c>
      <c r="EN331"/>
      <c r="EO331"/>
      <c r="EP331" t="str">
        <f>IF(ISNUMBER(BU331),IF(ABS(BU331-[2]QC_indicators!$B$2)&gt;3*[2]QC_indicators!$C$2,"C ratio",IF(ISNUMBER(BY331),IF(ABS(BY331-[2]QC_indicators!$B$1)&gt;3*[2]QC_indicators!$C$1,"DF","no"))),IF(ISNUMBER(BY331),IF(ABS(BY331-[2]QC_indicators!$B$1)&gt;3*[2]QC_indicators!$C$1,"DF","no")))</f>
        <v>no</v>
      </c>
      <c r="EQ331"/>
      <c r="ER331"/>
      <c r="ES331"/>
      <c r="ET331" s="270" t="s">
        <v>3244</v>
      </c>
      <c r="EU331"/>
    </row>
    <row r="332" spans="1:151" s="139" customFormat="1" ht="15" customHeight="1">
      <c r="A332" s="1" t="s">
        <v>2116</v>
      </c>
      <c r="B332" t="s">
        <v>545</v>
      </c>
      <c r="C332" t="s">
        <v>2279</v>
      </c>
      <c r="D332" t="s">
        <v>2280</v>
      </c>
      <c r="E332" t="s">
        <v>2281</v>
      </c>
      <c r="F332" t="s">
        <v>2282</v>
      </c>
      <c r="G332" t="s">
        <v>2117</v>
      </c>
      <c r="H332" t="s">
        <v>255</v>
      </c>
      <c r="I332">
        <v>2014</v>
      </c>
      <c r="J332">
        <v>96</v>
      </c>
      <c r="K332" t="s">
        <v>2283</v>
      </c>
      <c r="L332"/>
      <c r="M332" t="str">
        <f>LEFT($D332,FIND(",",$D332)-1)&amp;"_"&amp;I332&amp;L332</f>
        <v>Smyth_2014</v>
      </c>
      <c r="N332" t="s">
        <v>223</v>
      </c>
      <c r="O332" s="145" t="s">
        <v>342</v>
      </c>
      <c r="P332"/>
      <c r="Q332" t="s">
        <v>257</v>
      </c>
      <c r="R332" s="264" t="s">
        <v>224</v>
      </c>
      <c r="S332" s="1" t="s">
        <v>2294</v>
      </c>
      <c r="T332" t="s">
        <v>1157</v>
      </c>
      <c r="U332" t="s">
        <v>2295</v>
      </c>
      <c r="V332">
        <v>0</v>
      </c>
      <c r="W332">
        <v>0</v>
      </c>
      <c r="X332">
        <v>0</v>
      </c>
      <c r="Y332">
        <v>1</v>
      </c>
      <c r="Z332">
        <v>0</v>
      </c>
      <c r="AA332">
        <v>0</v>
      </c>
      <c r="AB332">
        <v>0</v>
      </c>
      <c r="AC332">
        <v>0</v>
      </c>
      <c r="AD332">
        <v>0</v>
      </c>
      <c r="AE332">
        <v>0</v>
      </c>
      <c r="AF332">
        <v>0</v>
      </c>
      <c r="AG332">
        <v>0</v>
      </c>
      <c r="AH332">
        <v>0</v>
      </c>
      <c r="AI332">
        <v>0</v>
      </c>
      <c r="AJ332">
        <v>2</v>
      </c>
      <c r="AK332">
        <v>0</v>
      </c>
      <c r="AL332">
        <v>0</v>
      </c>
      <c r="AM332">
        <v>0</v>
      </c>
      <c r="AN332">
        <v>0</v>
      </c>
      <c r="AO332">
        <v>0</v>
      </c>
      <c r="AP332">
        <v>0</v>
      </c>
      <c r="AQ332">
        <v>0</v>
      </c>
      <c r="AR332">
        <v>0</v>
      </c>
      <c r="AS332">
        <v>0</v>
      </c>
      <c r="AT332">
        <v>0</v>
      </c>
      <c r="AU332">
        <v>0</v>
      </c>
      <c r="AV332">
        <v>0</v>
      </c>
      <c r="AW332">
        <v>0</v>
      </c>
      <c r="AX332" s="141">
        <f>COUNTIF(V332:AW332,"&lt;&gt;0")</f>
        <v>2</v>
      </c>
      <c r="AY332" s="141">
        <f>COUNTIF(V332:AL332,"&lt;&gt;0")</f>
        <v>2</v>
      </c>
      <c r="AZ332">
        <f>COUNTIF(V332:AC332,"&lt;&gt;0")</f>
        <v>1</v>
      </c>
      <c r="BA332">
        <f>COUNTIF(AD332:AI332,"&lt;&gt;0")</f>
        <v>0</v>
      </c>
      <c r="BB332">
        <f>COUNTIF(AJ332:AL332,"&lt;&gt;0")</f>
        <v>1</v>
      </c>
      <c r="BC332">
        <f>COUNTIF(AS332:AW332,"&lt;&gt;0")</f>
        <v>0</v>
      </c>
      <c r="BD332">
        <f>COUNTIF(AM332:AR332,"&lt;&gt;0")</f>
        <v>0</v>
      </c>
      <c r="BE332" t="str">
        <f t="array" ref="BE332">IF(AY332=1,INDEX($V$7:$AL$7,MATCH(TRUE,INDEX($V332:$AW332&lt;&gt;0,),0)),IF(AY332=0,INDEX($AM$7:$AW$7,MATCH(1,$AM332:$AW332,0)),IF(BF332="Multiple strategies","mixed drivers",IF(BF332="Supply chain","multiple supply","multiple silviculture"))))</f>
        <v>mixed drivers</v>
      </c>
      <c r="BF332" s="2" t="str">
        <f t="array" ref="BF332">IF(COUNTIF(AZ332:BB332,"&lt;&gt;0")=1,INDEX($V$4:$AW$4,MATCH(TRUE,INDEX($V332:$AW332&lt;&gt;0,),0)),IF(COUNTIF(AZ332:BB332,"&lt;&gt;0")=0,INDEX($AM$4:$AW$4,MATCH(1,$AM332:$AW332,0)),"Multiple strategies"))</f>
        <v>Multiple strategies</v>
      </c>
      <c r="BG332" s="1" t="s">
        <v>322</v>
      </c>
      <c r="BH332" t="s">
        <v>2296</v>
      </c>
      <c r="BI332" s="266" t="s">
        <v>1038</v>
      </c>
      <c r="BJ332" t="s">
        <v>2290</v>
      </c>
      <c r="BK332">
        <v>0</v>
      </c>
      <c r="BL332">
        <v>9.9</v>
      </c>
      <c r="BM332"/>
      <c r="BN332">
        <f>BL332-BK332</f>
        <v>9.9</v>
      </c>
      <c r="BO332">
        <f>BN332*10^6*tC_to_m3</f>
        <v>42987407.729049072</v>
      </c>
      <c r="BP332" t="s">
        <v>233</v>
      </c>
      <c r="BQ332" s="269" t="s">
        <v>3245</v>
      </c>
      <c r="BR332" s="266" t="s">
        <v>3246</v>
      </c>
      <c r="BS332"/>
      <c r="BT332"/>
      <c r="BU332" s="144"/>
      <c r="BV332">
        <f>1341/35</f>
        <v>38.314285714285717</v>
      </c>
      <c r="BW332"/>
      <c r="BX332">
        <f>BV332*10^6</f>
        <v>38314285.714285716</v>
      </c>
      <c r="BY332">
        <f>IFERROR(BX332/BO332,"")</f>
        <v>0.89129090909090902</v>
      </c>
      <c r="BZ332">
        <v>0</v>
      </c>
      <c r="CA332">
        <v>1</v>
      </c>
      <c r="CB332">
        <v>1</v>
      </c>
      <c r="CC332">
        <v>1</v>
      </c>
      <c r="CD332">
        <v>0</v>
      </c>
      <c r="CE332">
        <v>0</v>
      </c>
      <c r="CF332">
        <v>0</v>
      </c>
      <c r="CG332">
        <v>0</v>
      </c>
      <c r="CH332">
        <v>0</v>
      </c>
      <c r="CI332">
        <v>0</v>
      </c>
      <c r="CJ332">
        <v>0</v>
      </c>
      <c r="CK332">
        <v>0</v>
      </c>
      <c r="CL332">
        <v>0</v>
      </c>
      <c r="CM332">
        <v>0</v>
      </c>
      <c r="CN332" t="str">
        <f>IF($BL332&lt;$BK332,"refNeedCorrection","refOK")</f>
        <v>refOK</v>
      </c>
      <c r="CO332">
        <f>IF($CN332="refOK",$BK332,$BL332)</f>
        <v>0</v>
      </c>
      <c r="CP332">
        <f>IF($CN332="refOK",$BL332,$BK332)</f>
        <v>9.9</v>
      </c>
      <c r="CQ332">
        <f>IF($CN332="refOK",$BO332,-$BO332)</f>
        <v>42987407.729049072</v>
      </c>
      <c r="CR332">
        <f>IF($CN332="refOK",$BS332,$BT332)*IF($BP332="Emissions positive",-1,1)</f>
        <v>0</v>
      </c>
      <c r="CS332">
        <f>IF($CN332="refOK",$BT332,$BS332)*IF($BP332="Emissions positive",-1,1)</f>
        <v>0</v>
      </c>
      <c r="CT332">
        <f>IF($CN332="refNeedCorrection",-BX332,BX332)*IF($BP332="Emissions positive",-1,1)</f>
        <v>38314285.714285716</v>
      </c>
      <c r="CU332">
        <f>IFERROR(CT332/CQ332,"")</f>
        <v>0.89129090909090902</v>
      </c>
      <c r="CV332" s="2" t="str">
        <f>IFERROR((CS332-CR332)/ABS(CR332),"")</f>
        <v/>
      </c>
      <c r="CW332" s="1" t="s">
        <v>1205</v>
      </c>
      <c r="CX332" t="str">
        <f>IF(OR($CW332="prd",$CW332="std",$CW332="cit"),"loc",IF(OR($CW332="eur",$CW332="reg",$CW332="coy"),"reg",$CW332))</f>
        <v>reg</v>
      </c>
      <c r="CY332" t="s">
        <v>541</v>
      </c>
      <c r="CZ332">
        <v>2015</v>
      </c>
      <c r="DA332">
        <v>2050</v>
      </c>
      <c r="DB332">
        <v>35</v>
      </c>
      <c r="DC332" t="str">
        <f>IF(DB332=0,"0",IF(AND(DB332&gt;=1,DB332&lt;=30),"1-30",IF(AND(DB332&gt;30,DB332&lt;=70),"31-70",IF(AND(DB332&gt;70,DB332&lt;=100),"71-100",IF(DB332&gt;100,"+100")))))</f>
        <v>31-70</v>
      </c>
      <c r="DD332">
        <v>0</v>
      </c>
      <c r="DE332">
        <v>1</v>
      </c>
      <c r="DF332">
        <v>1</v>
      </c>
      <c r="DG332">
        <v>1</v>
      </c>
      <c r="DH332"/>
      <c r="DI332">
        <f>SUM(DD332:DG332)</f>
        <v>3</v>
      </c>
      <c r="DJ332" t="str">
        <f>IF(DI332=1,INDEX($DD$7:$DG$7,MATCH(1,$DD332:$DG332,0)),"mixedProduct")</f>
        <v>mixedProduct</v>
      </c>
      <c r="DK332">
        <f>IF(DD332=1,DK$7,0)</f>
        <v>0</v>
      </c>
      <c r="DL332" t="str">
        <f>IF(DE332=1,DL$7,0)</f>
        <v>Energy</v>
      </c>
      <c r="DM332" t="str">
        <f>IF(DF332=1,DM$7,0)</f>
        <v>Pulp/Paper</v>
      </c>
      <c r="DN332" t="str">
        <f>IF(DG332=1,DN$7,0)</f>
        <v>Timber</v>
      </c>
      <c r="DO332">
        <v>0</v>
      </c>
      <c r="DP332">
        <v>0</v>
      </c>
      <c r="DQ332"/>
      <c r="DR332">
        <v>0</v>
      </c>
      <c r="DS332">
        <v>0</v>
      </c>
      <c r="DT332">
        <f>SUM(DO332:DP332)</f>
        <v>0</v>
      </c>
      <c r="DU332" s="143" t="str">
        <f>IF(DO332=1,"self-calculated DF",IF(DP332=1,"external DF used","explicit C balance"))</f>
        <v>explicit C balance</v>
      </c>
      <c r="DV332">
        <v>1</v>
      </c>
      <c r="DW332">
        <v>1</v>
      </c>
      <c r="DX332">
        <v>1</v>
      </c>
      <c r="DY332">
        <v>0</v>
      </c>
      <c r="DZ332">
        <v>0</v>
      </c>
      <c r="EA332">
        <v>0</v>
      </c>
      <c r="EB332">
        <v>0</v>
      </c>
      <c r="EC332">
        <v>0</v>
      </c>
      <c r="ED332">
        <v>0</v>
      </c>
      <c r="EE332">
        <v>0</v>
      </c>
      <c r="EF332">
        <v>1</v>
      </c>
      <c r="EG332">
        <v>0</v>
      </c>
      <c r="EH332">
        <v>0</v>
      </c>
      <c r="EI332" s="2">
        <v>0</v>
      </c>
      <c r="EJ332" s="1"/>
      <c r="EK332" t="str">
        <f>IF(AND(AND(AND(OR($DX332=1,$DW332=1),OR($EC332=1,$EA332=1)),SUM($DV332:$DZ332,$EF332)&gt;=4),SUM($EA332:$EE332)&gt;=2),"Whole sector","")</f>
        <v/>
      </c>
      <c r="EL332" t="str">
        <f>IF(AND(AND(OR($DX332=1,$DW332=1),AND($EC332=0,$EA332=0)),SUM($DV332:$DZ332,$EF332)&gt;=4),"Ecosystem approach","")</f>
        <v>Ecosystem approach</v>
      </c>
      <c r="EM332" s="2" t="str">
        <f>IF(AND(AND(AND($DX332=0,$DW332=0),OR($EC332=1,$EA332=1)),SUM($EB332:$EE332)&gt;=2),"Technology approach","")</f>
        <v/>
      </c>
      <c r="EN332"/>
      <c r="EO332"/>
      <c r="EP332" t="str">
        <f>IF(ISNUMBER(BU332),IF(ABS(BU332-[2]QC_indicators!$B$2)&gt;3*[2]QC_indicators!$C$2,"C ratio",IF(ISNUMBER(BY332),IF(ABS(BY332-[2]QC_indicators!$B$1)&gt;3*[2]QC_indicators!$C$1,"DF","no"))),IF(ISNUMBER(BY332),IF(ABS(BY332-[2]QC_indicators!$B$1)&gt;3*[2]QC_indicators!$C$1,"DF","no")))</f>
        <v>no</v>
      </c>
      <c r="EQ332"/>
      <c r="ER332"/>
      <c r="ES332"/>
      <c r="ET332" s="270" t="s">
        <v>3244</v>
      </c>
      <c r="EU332"/>
    </row>
    <row r="333" spans="1:151" s="139" customFormat="1" ht="15" customHeight="1">
      <c r="A333" s="1" t="s">
        <v>2116</v>
      </c>
      <c r="B333" t="s">
        <v>545</v>
      </c>
      <c r="C333" t="s">
        <v>2279</v>
      </c>
      <c r="D333" t="s">
        <v>2280</v>
      </c>
      <c r="E333" t="s">
        <v>2281</v>
      </c>
      <c r="F333" t="s">
        <v>2282</v>
      </c>
      <c r="G333" t="s">
        <v>2117</v>
      </c>
      <c r="H333" t="s">
        <v>255</v>
      </c>
      <c r="I333">
        <v>2014</v>
      </c>
      <c r="J333">
        <v>96</v>
      </c>
      <c r="K333" t="s">
        <v>2283</v>
      </c>
      <c r="L333"/>
      <c r="M333" t="str">
        <f>LEFT($D333,FIND(",",$D333)-1)&amp;"_"&amp;I333&amp;L333</f>
        <v>Smyth_2014</v>
      </c>
      <c r="N333" t="s">
        <v>223</v>
      </c>
      <c r="O333" s="145" t="s">
        <v>342</v>
      </c>
      <c r="P333"/>
      <c r="Q333" t="s">
        <v>257</v>
      </c>
      <c r="R333" s="264" t="s">
        <v>224</v>
      </c>
      <c r="S333" s="1" t="s">
        <v>2292</v>
      </c>
      <c r="T333" t="s">
        <v>1157</v>
      </c>
      <c r="U333" s="266" t="s">
        <v>2288</v>
      </c>
      <c r="V333">
        <v>0</v>
      </c>
      <c r="W333">
        <v>0</v>
      </c>
      <c r="X333">
        <v>0</v>
      </c>
      <c r="Y333">
        <v>1</v>
      </c>
      <c r="Z333">
        <v>0</v>
      </c>
      <c r="AA333">
        <v>0</v>
      </c>
      <c r="AB333">
        <v>0</v>
      </c>
      <c r="AC333">
        <v>0</v>
      </c>
      <c r="AD333">
        <v>0</v>
      </c>
      <c r="AE333">
        <v>0</v>
      </c>
      <c r="AF333">
        <v>0</v>
      </c>
      <c r="AG333">
        <v>0</v>
      </c>
      <c r="AH333">
        <v>0</v>
      </c>
      <c r="AI333">
        <v>0</v>
      </c>
      <c r="AJ333">
        <v>0</v>
      </c>
      <c r="AK333">
        <v>0</v>
      </c>
      <c r="AL333">
        <v>0</v>
      </c>
      <c r="AM333">
        <v>0</v>
      </c>
      <c r="AN333">
        <v>0</v>
      </c>
      <c r="AO333">
        <v>0</v>
      </c>
      <c r="AP333">
        <v>0</v>
      </c>
      <c r="AQ333">
        <v>0</v>
      </c>
      <c r="AR333">
        <v>0</v>
      </c>
      <c r="AS333">
        <v>0</v>
      </c>
      <c r="AT333">
        <v>0</v>
      </c>
      <c r="AU333">
        <v>0</v>
      </c>
      <c r="AV333">
        <v>0</v>
      </c>
      <c r="AW333">
        <v>0</v>
      </c>
      <c r="AX333" s="141">
        <f>COUNTIF(V333:AW333,"&lt;&gt;0")</f>
        <v>1</v>
      </c>
      <c r="AY333" s="141">
        <f>COUNTIF(V333:AL333,"&lt;&gt;0")</f>
        <v>1</v>
      </c>
      <c r="AZ333">
        <f>COUNTIF(V333:AC333,"&lt;&gt;0")</f>
        <v>1</v>
      </c>
      <c r="BA333">
        <f>COUNTIF(AD333:AI333,"&lt;&gt;0")</f>
        <v>0</v>
      </c>
      <c r="BB333">
        <f>COUNTIF(AJ333:AL333,"&lt;&gt;0")</f>
        <v>0</v>
      </c>
      <c r="BC333">
        <f>COUNTIF(AS333:AW333,"&lt;&gt;0")</f>
        <v>0</v>
      </c>
      <c r="BD333">
        <f>COUNTIF(AM333:AR333,"&lt;&gt;0")</f>
        <v>0</v>
      </c>
      <c r="BE333" t="str">
        <f t="array" ref="BE333">IF(AY333=1,INDEX($V$7:$AL$7,MATCH(TRUE,INDEX($V333:$AW333&lt;&gt;0,),0)),IF(AY333=0,INDEX($AM$7:$AW$7,MATCH(1,$AM333:$AW333,0)),IF(BF333="Multiple strategies","mixed drivers",IF(BF333="Supply chain","multiple supply","multiple silviculture"))))</f>
        <v xml:space="preserve">cutting intensity </v>
      </c>
      <c r="BF333" s="2" t="str" cm="1">
        <f t="array" ref="BF333">IF(COUNTIF(AZ333:BB333,"&lt;&gt;0")=1,INDEX($V$4:$AW$4,MATCH(TRUE,INDEX($V333:$AW333&lt;&gt;0,),0)),IF(COUNTIF(AZ333:BB333,"&lt;&gt;0")=0,INDEX($AM$4:$AW$4,MATCH(1,$AM333:$AW333,0)),"Multiple strategies"))</f>
        <v>SilvicultureRemov</v>
      </c>
      <c r="BG333" s="1" t="s">
        <v>322</v>
      </c>
      <c r="BH333" t="s">
        <v>2289</v>
      </c>
      <c r="BI333" t="s">
        <v>1038</v>
      </c>
      <c r="BJ333" t="s">
        <v>2290</v>
      </c>
      <c r="BK333">
        <v>0</v>
      </c>
      <c r="BL333">
        <v>2.9000000000000001E-2</v>
      </c>
      <c r="BM333"/>
      <c r="BN333">
        <f>BL333-BK333</f>
        <v>2.9000000000000001E-2</v>
      </c>
      <c r="BO333">
        <f>BN333*10^6*tC_to_m3</f>
        <v>125922.70950933566</v>
      </c>
      <c r="BP333" t="s">
        <v>233</v>
      </c>
      <c r="BQ333" s="269" t="s">
        <v>785</v>
      </c>
      <c r="BR333" s="266" t="s">
        <v>3246</v>
      </c>
      <c r="BS333"/>
      <c r="BT333"/>
      <c r="BU333" s="144"/>
      <c r="BV333">
        <f>-41.7/35</f>
        <v>-1.1914285714285715</v>
      </c>
      <c r="BW333"/>
      <c r="BX333">
        <f>BV333*10^6</f>
        <v>-1191428.5714285716</v>
      </c>
      <c r="BY333">
        <f>IFERROR(BX333/BO333,"")</f>
        <v>-9.4615862068965519</v>
      </c>
      <c r="BZ333">
        <v>0</v>
      </c>
      <c r="CA333">
        <v>1</v>
      </c>
      <c r="CB333">
        <v>1</v>
      </c>
      <c r="CC333">
        <v>1</v>
      </c>
      <c r="CD333">
        <v>0</v>
      </c>
      <c r="CE333">
        <v>0</v>
      </c>
      <c r="CF333">
        <v>0</v>
      </c>
      <c r="CG333">
        <v>0</v>
      </c>
      <c r="CH333">
        <v>0</v>
      </c>
      <c r="CI333">
        <v>0</v>
      </c>
      <c r="CJ333">
        <v>0</v>
      </c>
      <c r="CK333">
        <v>0</v>
      </c>
      <c r="CL333">
        <v>0</v>
      </c>
      <c r="CM333">
        <v>0</v>
      </c>
      <c r="CN333" t="str">
        <f>IF($BL333&lt;$BK333,"refNeedCorrection","refOK")</f>
        <v>refOK</v>
      </c>
      <c r="CO333">
        <f>IF($CN333="refOK",$BK333,$BL333)</f>
        <v>0</v>
      </c>
      <c r="CP333">
        <f>IF($CN333="refOK",$BL333,$BK333)</f>
        <v>2.9000000000000001E-2</v>
      </c>
      <c r="CQ333">
        <f>IF($CN333="refOK",$BO333,-$BO333)</f>
        <v>125922.70950933566</v>
      </c>
      <c r="CR333">
        <f>IF($CN333="refOK",$BS333,$BT333)*IF($BP333="Emissions positive",-1,1)</f>
        <v>0</v>
      </c>
      <c r="CS333">
        <f>IF($CN333="refOK",$BT333,$BS333)*IF($BP333="Emissions positive",-1,1)</f>
        <v>0</v>
      </c>
      <c r="CT333">
        <f>IF($CN333="refNeedCorrection",-BX333,BX333)*IF($BP333="Emissions positive",-1,1)</f>
        <v>-1191428.5714285716</v>
      </c>
      <c r="CU333">
        <f>IFERROR(CT333/CQ333,"")</f>
        <v>-9.4615862068965519</v>
      </c>
      <c r="CV333" s="2" t="str">
        <f>IFERROR((CS333-CR333)/ABS(CR333),"")</f>
        <v/>
      </c>
      <c r="CW333" s="1" t="s">
        <v>1205</v>
      </c>
      <c r="CX333" t="str">
        <f>IF(OR($CW333="prd",$CW333="std",$CW333="cit"),"loc",IF(OR($CW333="eur",$CW333="reg",$CW333="coy"),"reg",$CW333))</f>
        <v>reg</v>
      </c>
      <c r="CY333" t="s">
        <v>541</v>
      </c>
      <c r="CZ333">
        <v>2015</v>
      </c>
      <c r="DA333">
        <v>2050</v>
      </c>
      <c r="DB333">
        <v>35</v>
      </c>
      <c r="DC333" t="str">
        <f>IF(DB333=0,"0",IF(AND(DB333&gt;=1,DB333&lt;=30),"1-30",IF(AND(DB333&gt;30,DB333&lt;=70),"31-70",IF(AND(DB333&gt;70,DB333&lt;=100),"71-100",IF(DB333&gt;100,"+100")))))</f>
        <v>31-70</v>
      </c>
      <c r="DD333">
        <v>0</v>
      </c>
      <c r="DE333">
        <v>1</v>
      </c>
      <c r="DF333">
        <v>1</v>
      </c>
      <c r="DG333">
        <v>1</v>
      </c>
      <c r="DH333"/>
      <c r="DI333">
        <f>SUM(DD333:DG333)</f>
        <v>3</v>
      </c>
      <c r="DJ333" t="str">
        <f>IF(DI333=1,INDEX($DD$7:$DG$7,MATCH(1,$DD333:$DG333,0)),"mixedProduct")</f>
        <v>mixedProduct</v>
      </c>
      <c r="DK333">
        <f>IF(DD333=1,DK$7,0)</f>
        <v>0</v>
      </c>
      <c r="DL333" t="str">
        <f>IF(DE333=1,DL$7,0)</f>
        <v>Energy</v>
      </c>
      <c r="DM333" t="str">
        <f>IF(DF333=1,DM$7,0)</f>
        <v>Pulp/Paper</v>
      </c>
      <c r="DN333" t="str">
        <f>IF(DG333=1,DN$7,0)</f>
        <v>Timber</v>
      </c>
      <c r="DO333">
        <v>0</v>
      </c>
      <c r="DP333">
        <v>0</v>
      </c>
      <c r="DQ333"/>
      <c r="DR333">
        <v>0</v>
      </c>
      <c r="DS333">
        <v>0</v>
      </c>
      <c r="DT333">
        <f>SUM(DO333:DP333)</f>
        <v>0</v>
      </c>
      <c r="DU333" s="143" t="str">
        <f>IF(DO333=1,"self-calculated DF",IF(DP333=1,"external DF used","explicit C balance"))</f>
        <v>explicit C balance</v>
      </c>
      <c r="DV333">
        <v>1</v>
      </c>
      <c r="DW333">
        <v>1</v>
      </c>
      <c r="DX333">
        <v>1</v>
      </c>
      <c r="DY333">
        <v>1</v>
      </c>
      <c r="DZ333">
        <v>1</v>
      </c>
      <c r="EA333">
        <v>0</v>
      </c>
      <c r="EB333">
        <v>0</v>
      </c>
      <c r="EC333">
        <v>0</v>
      </c>
      <c r="ED333">
        <v>0</v>
      </c>
      <c r="EE333">
        <v>0</v>
      </c>
      <c r="EF333">
        <v>1</v>
      </c>
      <c r="EG333">
        <v>0</v>
      </c>
      <c r="EH333">
        <v>0</v>
      </c>
      <c r="EI333" s="2">
        <v>0</v>
      </c>
      <c r="EJ333" s="1"/>
      <c r="EK333" t="str">
        <f>IF(AND(AND(AND(OR($DX333=1,$DW333=1),OR($EC333=1,$EA333=1)),SUM($DV333:$DZ333,$EF333)&gt;=4),SUM($EA333:$EE333)&gt;=2),"Whole sector","")</f>
        <v/>
      </c>
      <c r="EL333" t="str">
        <f>IF(AND(AND(OR($DX333=1,$DW333=1),AND($EC333=0,$EA333=0)),SUM($DV333:$DZ333,$EF333)&gt;=4),"Ecosystem approach","")</f>
        <v>Ecosystem approach</v>
      </c>
      <c r="EM333" s="2" t="str">
        <f>IF(AND(AND(AND($DX333=0,$DW333=0),OR($EC333=1,$EA333=1)),SUM($EB333:$EE333)&gt;=2),"Technology approach","")</f>
        <v/>
      </c>
      <c r="EN333"/>
      <c r="EO333"/>
      <c r="EP333" t="str">
        <f>IF(ISNUMBER(BU333),IF(ABS(BU333-[2]QC_indicators!$B$2)&gt;3*[2]QC_indicators!$C$2,"C ratio",IF(ISNUMBER(BY333),IF(ABS(BY333-[2]QC_indicators!$B$1)&gt;3*[2]QC_indicators!$C$1,"DF","no"))),IF(ISNUMBER(BY333),IF(ABS(BY333-[2]QC_indicators!$B$1)&gt;3*[2]QC_indicators!$C$1,"DF","no")))</f>
        <v>no</v>
      </c>
      <c r="EQ333"/>
      <c r="ER333"/>
      <c r="ES333"/>
      <c r="ET333" s="270" t="s">
        <v>3244</v>
      </c>
      <c r="EU333"/>
    </row>
    <row r="334" spans="1:151" s="139" customFormat="1" ht="15" hidden="1" customHeight="1">
      <c r="A334" s="1" t="s">
        <v>1362</v>
      </c>
      <c r="B334" t="s">
        <v>2137</v>
      </c>
      <c r="C334" t="s">
        <v>2138</v>
      </c>
      <c r="D334" t="s">
        <v>2139</v>
      </c>
      <c r="E334" t="s">
        <v>2140</v>
      </c>
      <c r="F334" t="s">
        <v>2141</v>
      </c>
      <c r="G334" t="s">
        <v>1368</v>
      </c>
      <c r="H334" t="s">
        <v>255</v>
      </c>
      <c r="I334">
        <v>2012</v>
      </c>
      <c r="J334">
        <v>21</v>
      </c>
      <c r="K334" t="s">
        <v>2142</v>
      </c>
      <c r="L334" s="192"/>
      <c r="M334" t="str">
        <f>LEFT($D334,FIND(",",$D334)-1)&amp;"_"&amp;I334&amp;L334</f>
        <v>Pyorala_2012</v>
      </c>
      <c r="N334" t="s">
        <v>223</v>
      </c>
      <c r="O334" s="145" t="s">
        <v>342</v>
      </c>
      <c r="P334" s="180" t="s">
        <v>224</v>
      </c>
      <c r="Q334" s="266" t="s">
        <v>257</v>
      </c>
      <c r="R334" s="271" t="s">
        <v>1156</v>
      </c>
      <c r="S334" s="265" t="s">
        <v>2149</v>
      </c>
      <c r="T334" s="266" t="s">
        <v>2145</v>
      </c>
      <c r="U334" s="266" t="s">
        <v>2150</v>
      </c>
      <c r="V334">
        <v>0</v>
      </c>
      <c r="W334">
        <v>0</v>
      </c>
      <c r="X334">
        <v>0</v>
      </c>
      <c r="Y334">
        <v>1</v>
      </c>
      <c r="Z334">
        <v>0</v>
      </c>
      <c r="AA334">
        <v>0</v>
      </c>
      <c r="AB334">
        <v>0</v>
      </c>
      <c r="AC334">
        <v>0</v>
      </c>
      <c r="AD334">
        <v>0</v>
      </c>
      <c r="AE334">
        <v>0</v>
      </c>
      <c r="AF334">
        <v>0</v>
      </c>
      <c r="AG334">
        <v>0</v>
      </c>
      <c r="AH334">
        <v>0</v>
      </c>
      <c r="AI334">
        <v>0</v>
      </c>
      <c r="AJ334">
        <v>0</v>
      </c>
      <c r="AK334">
        <v>0</v>
      </c>
      <c r="AL334">
        <v>0</v>
      </c>
      <c r="AM334">
        <v>0</v>
      </c>
      <c r="AN334">
        <v>0</v>
      </c>
      <c r="AO334">
        <v>0</v>
      </c>
      <c r="AP334">
        <v>0</v>
      </c>
      <c r="AQ334">
        <v>0</v>
      </c>
      <c r="AR334">
        <v>0</v>
      </c>
      <c r="AS334">
        <v>0</v>
      </c>
      <c r="AT334">
        <v>0</v>
      </c>
      <c r="AU334">
        <v>0</v>
      </c>
      <c r="AV334">
        <v>0</v>
      </c>
      <c r="AW334">
        <v>0</v>
      </c>
      <c r="AX334" s="141">
        <f>COUNTIF(V334:AW334,"&lt;&gt;0")</f>
        <v>1</v>
      </c>
      <c r="AY334" s="141">
        <f>COUNTIF(V334:AL334,"&lt;&gt;0")</f>
        <v>1</v>
      </c>
      <c r="AZ334">
        <f>COUNTIF(V334:AC334,"&lt;&gt;0")</f>
        <v>1</v>
      </c>
      <c r="BA334">
        <f>COUNTIF(AD334:AI334,"&lt;&gt;0")</f>
        <v>0</v>
      </c>
      <c r="BB334">
        <f>COUNTIF(AJ334:AL334,"&lt;&gt;0")</f>
        <v>0</v>
      </c>
      <c r="BC334">
        <f>COUNTIF(AS334:AW334,"&lt;&gt;0")</f>
        <v>0</v>
      </c>
      <c r="BD334">
        <f>COUNTIF(AM334:AR334,"&lt;&gt;0")</f>
        <v>0</v>
      </c>
      <c r="BE334" t="str" cm="1">
        <f t="array" ref="BE334">IF(AY334=1,INDEX($V$7:$AL$7,MATCH(TRUE,INDEX($V334:$AW334&lt;&gt;0,),0)),IF(AY334=0,INDEX($AM$7:$AW$7,MATCH(1,$AM334:$AW334,0)),IF(BF334="Multiple strategies","mixed drivers",IF(BF334="Supply chain","multiple supply","multiple silviculture"))))</f>
        <v xml:space="preserve">cutting intensity </v>
      </c>
      <c r="BF334" s="2" t="str" cm="1">
        <f t="array" ref="BF334">IF(COUNTIF(AZ334:BB334,"&lt;&gt;0")=1,INDEX($V$4:$AW$4,MATCH(TRUE,INDEX($V334:$AW334&lt;&gt;0,),0)),IF(COUNTIF(AZ334:BB334,"&lt;&gt;0")=0,INDEX($AM$4:$AW$4,MATCH(1,$AM334:$AW334,0)),"Multiple strategies"))</f>
        <v>SilvicultureRemov</v>
      </c>
      <c r="BG334" s="178" t="s">
        <v>322</v>
      </c>
      <c r="BH334" s="266" t="s">
        <v>2146</v>
      </c>
      <c r="BI334" s="266" t="s">
        <v>703</v>
      </c>
      <c r="BJ334" s="160" t="s">
        <v>702</v>
      </c>
      <c r="BK334">
        <v>7.6</v>
      </c>
      <c r="BL334">
        <v>7.9</v>
      </c>
      <c r="BM334"/>
      <c r="BN334">
        <f>BL334-BK334</f>
        <v>0.30000000000000071</v>
      </c>
      <c r="BO334">
        <f>BN334</f>
        <v>0.30000000000000071</v>
      </c>
      <c r="BP334" s="155" t="s">
        <v>396</v>
      </c>
      <c r="BQ334" s="266" t="s">
        <v>788</v>
      </c>
      <c r="BR334" s="272" t="s">
        <v>2147</v>
      </c>
      <c r="BS334">
        <f>-4.1/50</f>
        <v>-8.199999999999999E-2</v>
      </c>
      <c r="BT334">
        <f>-5.46/50</f>
        <v>-0.10920000000000001</v>
      </c>
      <c r="BU334" s="144"/>
      <c r="BV334">
        <f>BT334-BS334</f>
        <v>-2.7200000000000016E-2</v>
      </c>
      <c r="BW334"/>
      <c r="BX334">
        <f>BV334</f>
        <v>-2.7200000000000016E-2</v>
      </c>
      <c r="BY334">
        <f>IFERROR(BX334/BO334,"")</f>
        <v>-9.0666666666666507E-2</v>
      </c>
      <c r="BZ334">
        <v>0</v>
      </c>
      <c r="CA334">
        <v>0</v>
      </c>
      <c r="CB334">
        <v>0</v>
      </c>
      <c r="CC334">
        <v>0</v>
      </c>
      <c r="CD334">
        <v>0</v>
      </c>
      <c r="CE334">
        <v>0</v>
      </c>
      <c r="CF334">
        <v>0</v>
      </c>
      <c r="CG334">
        <v>0</v>
      </c>
      <c r="CH334">
        <v>0</v>
      </c>
      <c r="CI334">
        <v>0</v>
      </c>
      <c r="CJ334">
        <v>0</v>
      </c>
      <c r="CK334">
        <v>0</v>
      </c>
      <c r="CL334">
        <v>0</v>
      </c>
      <c r="CM334">
        <v>0</v>
      </c>
      <c r="CN334" t="str">
        <f>IF($BL334&lt;$BK334,"refNeedCorrection","refOK")</f>
        <v>refOK</v>
      </c>
      <c r="CO334">
        <f>IF($CN334="refOK",$BK334,$BL334)</f>
        <v>7.6</v>
      </c>
      <c r="CP334">
        <f>IF($CN334="refOK",$BL334,$BK334)</f>
        <v>7.9</v>
      </c>
      <c r="CQ334">
        <f>IF($CN334="refOK",$BO334,-$BO334)</f>
        <v>0.30000000000000071</v>
      </c>
      <c r="CR334">
        <f>IF($CN334="refOK",$BS334,$BT334)*IF($BP334="Emissions positive",-1,1)</f>
        <v>8.199999999999999E-2</v>
      </c>
      <c r="CS334">
        <f>IF($CN334="refOK",$BT334,$BS334)*IF($BP334="Emissions positive",-1,1)</f>
        <v>0.10920000000000001</v>
      </c>
      <c r="CT334">
        <f>IF($CN334="refNeedCorrection",-BX334,BX334)*IF($BP334="Emissions positive",-1,1)</f>
        <v>2.7200000000000016E-2</v>
      </c>
      <c r="CU334">
        <f>IFERROR(CT334/CQ334,"")</f>
        <v>9.0666666666666507E-2</v>
      </c>
      <c r="CV334" s="2">
        <f>IFERROR((CS334-CR334)/ABS(CR334),"")</f>
        <v>0.33170731707317097</v>
      </c>
      <c r="CW334" s="1" t="s">
        <v>1201</v>
      </c>
      <c r="CX334" s="266" t="str">
        <f>IF(OR($CW334="prd",$CW334="std",$CW334="cit"),"loc",IF(OR($CW334="eur",$CW334="reg",$CW334="coy"),"reg",$CW334))</f>
        <v>reg</v>
      </c>
      <c r="CY334" t="s">
        <v>236</v>
      </c>
      <c r="CZ334"/>
      <c r="DA334"/>
      <c r="DB334">
        <v>50</v>
      </c>
      <c r="DC334" t="str">
        <f>IF(DB334=0,"0",IF(AND(DB334&gt;=1,DB334&lt;=30),"1-30",IF(AND(DB334&gt;30,DB334&lt;=70),"31-70",IF(AND(DB334&gt;70,DB334&lt;=100),"71-100",IF(DB334&gt;100,"+100")))))</f>
        <v>31-70</v>
      </c>
      <c r="DD334">
        <v>0</v>
      </c>
      <c r="DE334">
        <v>1</v>
      </c>
      <c r="DF334">
        <v>1</v>
      </c>
      <c r="DG334">
        <v>1</v>
      </c>
      <c r="DH334"/>
      <c r="DI334">
        <f>SUM(DD334:DG334)</f>
        <v>3</v>
      </c>
      <c r="DJ334" t="str">
        <f>IF(DI334=1,INDEX($DD$7:$DG$7,MATCH(1,$DD334:$DG334,0)),"mixedProduct")</f>
        <v>mixedProduct</v>
      </c>
      <c r="DK334">
        <f>IF(DD334=1,DK$7,0)</f>
        <v>0</v>
      </c>
      <c r="DL334" t="str">
        <f>IF(DE334=1,DL$7,0)</f>
        <v>Energy</v>
      </c>
      <c r="DM334" t="str">
        <f>IF(DF334=1,DM$7,0)</f>
        <v>Pulp/Paper</v>
      </c>
      <c r="DN334" t="str">
        <f>IF(DG334=1,DN$7,0)</f>
        <v>Timber</v>
      </c>
      <c r="DO334">
        <v>0</v>
      </c>
      <c r="DP334">
        <v>1</v>
      </c>
      <c r="DQ334" t="s">
        <v>2148</v>
      </c>
      <c r="DR334">
        <v>0</v>
      </c>
      <c r="DS334">
        <v>0</v>
      </c>
      <c r="DT334">
        <f>SUM(DO334:DP334)</f>
        <v>1</v>
      </c>
      <c r="DU334" s="143" t="str">
        <f>IF(DO334=1,"self-calculated DF",IF(DP334=1,"external DF used","explicit C balance"))</f>
        <v>external DF used</v>
      </c>
      <c r="DV334">
        <v>1</v>
      </c>
      <c r="DW334">
        <v>1</v>
      </c>
      <c r="DX334">
        <v>1</v>
      </c>
      <c r="DY334">
        <v>0</v>
      </c>
      <c r="DZ334">
        <v>0</v>
      </c>
      <c r="EA334" s="143">
        <v>0</v>
      </c>
      <c r="EB334">
        <v>1</v>
      </c>
      <c r="EC334">
        <v>1</v>
      </c>
      <c r="ED334">
        <v>0</v>
      </c>
      <c r="EE334">
        <v>0</v>
      </c>
      <c r="EF334">
        <v>1</v>
      </c>
      <c r="EG334">
        <v>0</v>
      </c>
      <c r="EH334">
        <v>0</v>
      </c>
      <c r="EI334" s="2">
        <v>0</v>
      </c>
      <c r="EJ334" s="1"/>
      <c r="EK334" t="str">
        <f>IF(AND(AND(AND(OR($DX334=1,$DW334=1),OR($EC334=1,$EA334=1)),SUM($DV334:$DZ334,$EF334)&gt;=4),SUM($EA334:$EE334)&gt;=2),"Whole sector","")</f>
        <v>Whole sector</v>
      </c>
      <c r="EL334" t="str">
        <f>IF(AND(AND(OR($DX334=1,$DW334=1),AND($EC334=0,$EA334=0)),SUM($DV334:$DZ334,$EF334)&gt;=4),"Ecosystem approach","")</f>
        <v/>
      </c>
      <c r="EM334" s="2" t="str">
        <f>IF(AND(AND(AND($DX334=0,$DW334=0),OR($EC334=1,$EA334=1)),SUM($EB334:$EE334)&gt;=2),"Technology approach","")</f>
        <v/>
      </c>
      <c r="EN334"/>
      <c r="EO334"/>
      <c r="EP334" t="str">
        <f>IF(ISNUMBER(BU334),IF(ABS(BU334-[1]QC_indicators!$B$2)&gt;3*[1]QC_indicators!$C$2,"C ratio",IF(ISNUMBER(BY334),IF(ABS(BY334-[1]QC_indicators!$B$1)&gt;3*[1]QC_indicators!$C$1,"DF","no"))),IF(ISNUMBER(BY334),IF(ABS(BY334-[1]QC_indicators!$B$1)&gt;3*[1]QC_indicators!$C$1,"DF","no")))</f>
        <v>no</v>
      </c>
      <c r="EQ334"/>
      <c r="ER334"/>
      <c r="ES334"/>
      <c r="ET334" s="266" t="s">
        <v>3409</v>
      </c>
      <c r="EU334"/>
    </row>
    <row r="335" spans="1:151" s="139" customFormat="1" ht="15" hidden="1" customHeight="1">
      <c r="A335" s="1" t="s">
        <v>1362</v>
      </c>
      <c r="B335" t="s">
        <v>2137</v>
      </c>
      <c r="C335" t="s">
        <v>2138</v>
      </c>
      <c r="D335" t="s">
        <v>2139</v>
      </c>
      <c r="E335" t="s">
        <v>2140</v>
      </c>
      <c r="F335" t="s">
        <v>2141</v>
      </c>
      <c r="G335" t="s">
        <v>1368</v>
      </c>
      <c r="H335" t="s">
        <v>255</v>
      </c>
      <c r="I335">
        <v>2012</v>
      </c>
      <c r="J335">
        <v>21</v>
      </c>
      <c r="K335" t="s">
        <v>2142</v>
      </c>
      <c r="L335" s="192"/>
      <c r="M335" t="str">
        <f>LEFT($D335,FIND(",",$D335)-1)&amp;"_"&amp;I335&amp;L335</f>
        <v>Pyorala_2012</v>
      </c>
      <c r="N335" t="s">
        <v>223</v>
      </c>
      <c r="O335" s="145" t="s">
        <v>342</v>
      </c>
      <c r="P335" s="180" t="s">
        <v>224</v>
      </c>
      <c r="Q335" s="266" t="s">
        <v>257</v>
      </c>
      <c r="R335" s="271" t="s">
        <v>1156</v>
      </c>
      <c r="S335" s="265" t="s">
        <v>2151</v>
      </c>
      <c r="T335" s="266" t="s">
        <v>2145</v>
      </c>
      <c r="U335" s="266" t="s">
        <v>2150</v>
      </c>
      <c r="V335">
        <v>0</v>
      </c>
      <c r="W335">
        <v>0</v>
      </c>
      <c r="X335">
        <v>0</v>
      </c>
      <c r="Y335">
        <v>1</v>
      </c>
      <c r="Z335">
        <v>0</v>
      </c>
      <c r="AA335">
        <v>0</v>
      </c>
      <c r="AB335">
        <v>0</v>
      </c>
      <c r="AC335">
        <v>0</v>
      </c>
      <c r="AD335">
        <v>0</v>
      </c>
      <c r="AE335">
        <v>0</v>
      </c>
      <c r="AF335">
        <v>0</v>
      </c>
      <c r="AG335">
        <v>0</v>
      </c>
      <c r="AH335">
        <v>0</v>
      </c>
      <c r="AI335">
        <v>0</v>
      </c>
      <c r="AJ335">
        <v>0</v>
      </c>
      <c r="AK335">
        <v>0</v>
      </c>
      <c r="AL335">
        <v>0</v>
      </c>
      <c r="AM335">
        <v>0</v>
      </c>
      <c r="AN335">
        <v>0</v>
      </c>
      <c r="AO335">
        <v>0</v>
      </c>
      <c r="AP335">
        <v>0</v>
      </c>
      <c r="AQ335">
        <v>0</v>
      </c>
      <c r="AR335">
        <v>0</v>
      </c>
      <c r="AS335">
        <v>0</v>
      </c>
      <c r="AT335">
        <v>0</v>
      </c>
      <c r="AU335">
        <v>0</v>
      </c>
      <c r="AV335">
        <v>0</v>
      </c>
      <c r="AW335">
        <v>0</v>
      </c>
      <c r="AX335" s="141">
        <f>COUNTIF(V335:AW335,"&lt;&gt;0")</f>
        <v>1</v>
      </c>
      <c r="AY335" s="141">
        <f>COUNTIF(V335:AL335,"&lt;&gt;0")</f>
        <v>1</v>
      </c>
      <c r="AZ335">
        <f>COUNTIF(V335:AC335,"&lt;&gt;0")</f>
        <v>1</v>
      </c>
      <c r="BA335">
        <f>COUNTIF(AD335:AI335,"&lt;&gt;0")</f>
        <v>0</v>
      </c>
      <c r="BB335">
        <f>COUNTIF(AJ335:AL335,"&lt;&gt;0")</f>
        <v>0</v>
      </c>
      <c r="BC335">
        <f>COUNTIF(AS335:AW335,"&lt;&gt;0")</f>
        <v>0</v>
      </c>
      <c r="BD335">
        <f>COUNTIF(AM335:AR335,"&lt;&gt;0")</f>
        <v>0</v>
      </c>
      <c r="BE335" t="str" cm="1">
        <f t="array" ref="BE335">IF(AY335=1,INDEX($V$7:$AL$7,MATCH(TRUE,INDEX($V335:$AW335&lt;&gt;0,),0)),IF(AY335=0,INDEX($AM$7:$AW$7,MATCH(1,$AM335:$AW335,0)),IF(BF335="Multiple strategies","mixed drivers",IF(BF335="Supply chain","multiple supply","multiple silviculture"))))</f>
        <v xml:space="preserve">cutting intensity </v>
      </c>
      <c r="BF335" s="2" t="str" cm="1">
        <f t="array" ref="BF335">IF(COUNTIF(AZ335:BB335,"&lt;&gt;0")=1,INDEX($V$4:$AW$4,MATCH(TRUE,INDEX($V335:$AW335&lt;&gt;0,),0)),IF(COUNTIF(AZ335:BB335,"&lt;&gt;0")=0,INDEX($AM$4:$AW$4,MATCH(1,$AM335:$AW335,0)),"Multiple strategies"))</f>
        <v>SilvicultureRemov</v>
      </c>
      <c r="BG335" s="178" t="s">
        <v>322</v>
      </c>
      <c r="BH335" s="266" t="s">
        <v>2146</v>
      </c>
      <c r="BI335" s="266" t="s">
        <v>703</v>
      </c>
      <c r="BJ335" s="160" t="s">
        <v>702</v>
      </c>
      <c r="BK335">
        <v>7.8</v>
      </c>
      <c r="BL335">
        <v>9</v>
      </c>
      <c r="BM335"/>
      <c r="BN335">
        <f>BL335-BK335</f>
        <v>1.2000000000000002</v>
      </c>
      <c r="BO335">
        <f>BN335</f>
        <v>1.2000000000000002</v>
      </c>
      <c r="BP335" s="155" t="s">
        <v>396</v>
      </c>
      <c r="BQ335" s="266" t="s">
        <v>788</v>
      </c>
      <c r="BR335" s="272" t="s">
        <v>2147</v>
      </c>
      <c r="BS335">
        <f>-3.5/50</f>
        <v>-7.0000000000000007E-2</v>
      </c>
      <c r="BT335">
        <f>-6.6/50</f>
        <v>-0.13200000000000001</v>
      </c>
      <c r="BU335" s="144"/>
      <c r="BV335">
        <f>BT335-BS335</f>
        <v>-6.2E-2</v>
      </c>
      <c r="BW335"/>
      <c r="BX335">
        <f>BV335</f>
        <v>-6.2E-2</v>
      </c>
      <c r="BY335">
        <f>IFERROR(BX335/BO335,"")</f>
        <v>-5.1666666666666659E-2</v>
      </c>
      <c r="BZ335">
        <v>0</v>
      </c>
      <c r="CA335">
        <v>0</v>
      </c>
      <c r="CB335">
        <v>0</v>
      </c>
      <c r="CC335">
        <v>0</v>
      </c>
      <c r="CD335">
        <v>0</v>
      </c>
      <c r="CE335">
        <v>0</v>
      </c>
      <c r="CF335">
        <v>0</v>
      </c>
      <c r="CG335">
        <v>0</v>
      </c>
      <c r="CH335">
        <v>0</v>
      </c>
      <c r="CI335">
        <v>0</v>
      </c>
      <c r="CJ335">
        <v>0</v>
      </c>
      <c r="CK335">
        <v>0</v>
      </c>
      <c r="CL335">
        <v>0</v>
      </c>
      <c r="CM335">
        <v>0</v>
      </c>
      <c r="CN335" t="str">
        <f>IF($BL335&lt;$BK335,"refNeedCorrection","refOK")</f>
        <v>refOK</v>
      </c>
      <c r="CO335">
        <f>IF($CN335="refOK",$BK335,$BL335)</f>
        <v>7.8</v>
      </c>
      <c r="CP335">
        <f>IF($CN335="refOK",$BL335,$BK335)</f>
        <v>9</v>
      </c>
      <c r="CQ335">
        <f>IF($CN335="refOK",$BO335,-$BO335)</f>
        <v>1.2000000000000002</v>
      </c>
      <c r="CR335">
        <f>IF($CN335="refOK",$BS335,$BT335)*IF($BP335="Emissions positive",-1,1)</f>
        <v>7.0000000000000007E-2</v>
      </c>
      <c r="CS335">
        <f>IF($CN335="refOK",$BT335,$BS335)*IF($BP335="Emissions positive",-1,1)</f>
        <v>0.13200000000000001</v>
      </c>
      <c r="CT335">
        <f>IF($CN335="refNeedCorrection",-BX335,BX335)*IF($BP335="Emissions positive",-1,1)</f>
        <v>6.2E-2</v>
      </c>
      <c r="CU335">
        <f>IFERROR(CT335/CQ335,"")</f>
        <v>5.1666666666666659E-2</v>
      </c>
      <c r="CV335" s="2">
        <f>IFERROR((CS335-CR335)/ABS(CR335),"")</f>
        <v>0.88571428571428568</v>
      </c>
      <c r="CW335" s="1" t="s">
        <v>1201</v>
      </c>
      <c r="CX335" s="266" t="str">
        <f>IF(OR($CW335="prd",$CW335="std",$CW335="cit"),"loc",IF(OR($CW335="eur",$CW335="reg",$CW335="coy"),"reg",$CW335))</f>
        <v>reg</v>
      </c>
      <c r="CY335" t="s">
        <v>236</v>
      </c>
      <c r="CZ335"/>
      <c r="DA335"/>
      <c r="DB335">
        <v>50</v>
      </c>
      <c r="DC335" t="str">
        <f>IF(DB335=0,"0",IF(AND(DB335&gt;=1,DB335&lt;=30),"1-30",IF(AND(DB335&gt;30,DB335&lt;=70),"31-70",IF(AND(DB335&gt;70,DB335&lt;=100),"71-100",IF(DB335&gt;100,"+100")))))</f>
        <v>31-70</v>
      </c>
      <c r="DD335">
        <v>0</v>
      </c>
      <c r="DE335">
        <v>1</v>
      </c>
      <c r="DF335">
        <v>1</v>
      </c>
      <c r="DG335">
        <v>1</v>
      </c>
      <c r="DH335"/>
      <c r="DI335">
        <f>SUM(DD335:DG335)</f>
        <v>3</v>
      </c>
      <c r="DJ335" t="str">
        <f>IF(DI335=1,INDEX($DD$7:$DG$7,MATCH(1,$DD335:$DG335,0)),"mixedProduct")</f>
        <v>mixedProduct</v>
      </c>
      <c r="DK335">
        <f>IF(DD335=1,DK$7,0)</f>
        <v>0</v>
      </c>
      <c r="DL335" t="str">
        <f>IF(DE335=1,DL$7,0)</f>
        <v>Energy</v>
      </c>
      <c r="DM335" t="str">
        <f>IF(DF335=1,DM$7,0)</f>
        <v>Pulp/Paper</v>
      </c>
      <c r="DN335" t="str">
        <f>IF(DG335=1,DN$7,0)</f>
        <v>Timber</v>
      </c>
      <c r="DO335">
        <v>0</v>
      </c>
      <c r="DP335">
        <v>1</v>
      </c>
      <c r="DQ335" t="s">
        <v>2148</v>
      </c>
      <c r="DR335">
        <v>0</v>
      </c>
      <c r="DS335">
        <v>0</v>
      </c>
      <c r="DT335">
        <f>SUM(DO335:DP335)</f>
        <v>1</v>
      </c>
      <c r="DU335" s="143" t="str">
        <f>IF(DO335=1,"self-calculated DF",IF(DP335=1,"external DF used","explicit C balance"))</f>
        <v>external DF used</v>
      </c>
      <c r="DV335">
        <v>1</v>
      </c>
      <c r="DW335">
        <v>1</v>
      </c>
      <c r="DX335">
        <v>1</v>
      </c>
      <c r="DY335">
        <v>0</v>
      </c>
      <c r="DZ335">
        <v>0</v>
      </c>
      <c r="EA335" s="143">
        <v>0</v>
      </c>
      <c r="EB335">
        <v>1</v>
      </c>
      <c r="EC335">
        <v>1</v>
      </c>
      <c r="ED335">
        <v>0</v>
      </c>
      <c r="EE335">
        <v>0</v>
      </c>
      <c r="EF335">
        <v>1</v>
      </c>
      <c r="EG335">
        <v>0</v>
      </c>
      <c r="EH335">
        <v>0</v>
      </c>
      <c r="EI335" s="2">
        <v>0</v>
      </c>
      <c r="EJ335" s="1"/>
      <c r="EK335" t="str">
        <f>IF(AND(AND(AND(OR($DX335=1,$DW335=1),OR($EC335=1,$EA335=1)),SUM($DV335:$DZ335,$EF335)&gt;=4),SUM($EA335:$EE335)&gt;=2),"Whole sector","")</f>
        <v>Whole sector</v>
      </c>
      <c r="EL335" t="str">
        <f>IF(AND(AND(OR($DX335=1,$DW335=1),AND($EC335=0,$EA335=0)),SUM($DV335:$DZ335,$EF335)&gt;=4),"Ecosystem approach","")</f>
        <v/>
      </c>
      <c r="EM335" s="2" t="str">
        <f>IF(AND(AND(AND($DX335=0,$DW335=0),OR($EC335=1,$EA335=1)),SUM($EB335:$EE335)&gt;=2),"Technology approach","")</f>
        <v/>
      </c>
      <c r="EN335"/>
      <c r="EO335"/>
      <c r="EP335" t="str">
        <f>IF(ISNUMBER(BU335),IF(ABS(BU335-[1]QC_indicators!$B$2)&gt;3*[1]QC_indicators!$C$2,"C ratio",IF(ISNUMBER(BY335),IF(ABS(BY335-[1]QC_indicators!$B$1)&gt;3*[1]QC_indicators!$C$1,"DF","no"))),IF(ISNUMBER(BY335),IF(ABS(BY335-[1]QC_indicators!$B$1)&gt;3*[1]QC_indicators!$C$1,"DF","no")))</f>
        <v>no</v>
      </c>
      <c r="EQ335"/>
      <c r="ER335"/>
      <c r="ES335"/>
      <c r="ET335" s="266" t="s">
        <v>3409</v>
      </c>
      <c r="EU335"/>
    </row>
    <row r="336" spans="1:151" s="139" customFormat="1" ht="15" hidden="1" customHeight="1">
      <c r="A336" s="1" t="s">
        <v>1362</v>
      </c>
      <c r="B336" t="s">
        <v>2137</v>
      </c>
      <c r="C336" t="s">
        <v>2138</v>
      </c>
      <c r="D336" t="s">
        <v>2139</v>
      </c>
      <c r="E336" t="s">
        <v>2140</v>
      </c>
      <c r="F336" t="s">
        <v>2141</v>
      </c>
      <c r="G336" t="s">
        <v>1368</v>
      </c>
      <c r="H336" t="s">
        <v>255</v>
      </c>
      <c r="I336">
        <v>2012</v>
      </c>
      <c r="J336">
        <v>21</v>
      </c>
      <c r="K336" t="s">
        <v>2142</v>
      </c>
      <c r="L336" s="192"/>
      <c r="M336" t="str">
        <f>LEFT($D336,FIND(",",$D336)-1)&amp;"_"&amp;I336&amp;L336</f>
        <v>Pyorala_2012</v>
      </c>
      <c r="N336" t="s">
        <v>223</v>
      </c>
      <c r="O336" s="145" t="s">
        <v>342</v>
      </c>
      <c r="P336" s="180" t="s">
        <v>224</v>
      </c>
      <c r="Q336" s="266" t="s">
        <v>257</v>
      </c>
      <c r="R336" s="271" t="s">
        <v>1156</v>
      </c>
      <c r="S336" s="265" t="s">
        <v>2151</v>
      </c>
      <c r="T336" s="266" t="s">
        <v>2145</v>
      </c>
      <c r="U336" s="266" t="s">
        <v>2144</v>
      </c>
      <c r="V336">
        <v>0</v>
      </c>
      <c r="W336">
        <v>0</v>
      </c>
      <c r="X336">
        <v>0</v>
      </c>
      <c r="Y336">
        <v>1</v>
      </c>
      <c r="Z336">
        <v>0</v>
      </c>
      <c r="AA336">
        <v>0</v>
      </c>
      <c r="AB336">
        <v>0</v>
      </c>
      <c r="AC336">
        <v>0</v>
      </c>
      <c r="AD336">
        <v>0</v>
      </c>
      <c r="AE336">
        <v>0</v>
      </c>
      <c r="AF336">
        <v>0</v>
      </c>
      <c r="AG336">
        <v>0</v>
      </c>
      <c r="AH336">
        <v>0</v>
      </c>
      <c r="AI336">
        <v>0</v>
      </c>
      <c r="AJ336">
        <v>0</v>
      </c>
      <c r="AK336">
        <v>0</v>
      </c>
      <c r="AL336">
        <v>0</v>
      </c>
      <c r="AM336">
        <v>0</v>
      </c>
      <c r="AN336">
        <v>0</v>
      </c>
      <c r="AO336">
        <v>0</v>
      </c>
      <c r="AP336">
        <v>0</v>
      </c>
      <c r="AQ336">
        <v>0</v>
      </c>
      <c r="AR336">
        <v>0</v>
      </c>
      <c r="AS336">
        <v>0</v>
      </c>
      <c r="AT336">
        <v>0</v>
      </c>
      <c r="AU336">
        <v>0</v>
      </c>
      <c r="AV336">
        <v>0</v>
      </c>
      <c r="AW336">
        <v>0</v>
      </c>
      <c r="AX336" s="141">
        <f>COUNTIF(V336:AW336,"&lt;&gt;0")</f>
        <v>1</v>
      </c>
      <c r="AY336" s="141">
        <f>COUNTIF(V336:AL336,"&lt;&gt;0")</f>
        <v>1</v>
      </c>
      <c r="AZ336">
        <f>COUNTIF(V336:AC336,"&lt;&gt;0")</f>
        <v>1</v>
      </c>
      <c r="BA336">
        <f>COUNTIF(AD336:AI336,"&lt;&gt;0")</f>
        <v>0</v>
      </c>
      <c r="BB336">
        <f>COUNTIF(AJ336:AL336,"&lt;&gt;0")</f>
        <v>0</v>
      </c>
      <c r="BC336">
        <f>COUNTIF(AS336:AW336,"&lt;&gt;0")</f>
        <v>0</v>
      </c>
      <c r="BD336">
        <f>COUNTIF(AM336:AR336,"&lt;&gt;0")</f>
        <v>0</v>
      </c>
      <c r="BE336" t="str" cm="1">
        <f t="array" ref="BE336">IF(AY336=1,INDEX($V$7:$AL$7,MATCH(TRUE,INDEX($V336:$AW336&lt;&gt;0,),0)),IF(AY336=0,INDEX($AM$7:$AW$7,MATCH(1,$AM336:$AW336,0)),IF(BF336="Multiple strategies","mixed drivers",IF(BF336="Supply chain","multiple supply","multiple silviculture"))))</f>
        <v xml:space="preserve">cutting intensity </v>
      </c>
      <c r="BF336" s="2" t="str" cm="1">
        <f t="array" ref="BF336">IF(COUNTIF(AZ336:BB336,"&lt;&gt;0")=1,INDEX($V$4:$AW$4,MATCH(TRUE,INDEX($V336:$AW336&lt;&gt;0,),0)),IF(COUNTIF(AZ336:BB336,"&lt;&gt;0")=0,INDEX($AM$4:$AW$4,MATCH(1,$AM336:$AW336,0)),"Multiple strategies"))</f>
        <v>SilvicultureRemov</v>
      </c>
      <c r="BG336" s="178" t="s">
        <v>322</v>
      </c>
      <c r="BH336" s="266" t="s">
        <v>2146</v>
      </c>
      <c r="BI336" s="266" t="s">
        <v>427</v>
      </c>
      <c r="BJ336" s="160" t="s">
        <v>702</v>
      </c>
      <c r="BK336">
        <v>7.8</v>
      </c>
      <c r="BL336">
        <v>8.6999999999999993</v>
      </c>
      <c r="BM336"/>
      <c r="BN336">
        <f>BL336-BK336</f>
        <v>0.89999999999999947</v>
      </c>
      <c r="BO336">
        <f>BN336</f>
        <v>0.89999999999999947</v>
      </c>
      <c r="BP336" s="155" t="s">
        <v>396</v>
      </c>
      <c r="BQ336" s="266" t="s">
        <v>788</v>
      </c>
      <c r="BR336" s="272" t="s">
        <v>2147</v>
      </c>
      <c r="BS336">
        <f>-3.5/50</f>
        <v>-7.0000000000000007E-2</v>
      </c>
      <c r="BT336">
        <f>-5.2/50</f>
        <v>-0.10400000000000001</v>
      </c>
      <c r="BU336" s="144"/>
      <c r="BV336">
        <f>BT336-BS336</f>
        <v>-3.4000000000000002E-2</v>
      </c>
      <c r="BW336"/>
      <c r="BX336">
        <f>BV336</f>
        <v>-3.4000000000000002E-2</v>
      </c>
      <c r="BY336">
        <f>IFERROR(BX336/BO336,"")</f>
        <v>-3.7777777777777806E-2</v>
      </c>
      <c r="BZ336">
        <v>0</v>
      </c>
      <c r="CA336">
        <v>0</v>
      </c>
      <c r="CB336">
        <v>0</v>
      </c>
      <c r="CC336">
        <v>0</v>
      </c>
      <c r="CD336">
        <v>0</v>
      </c>
      <c r="CE336">
        <v>0</v>
      </c>
      <c r="CF336">
        <v>0</v>
      </c>
      <c r="CG336">
        <v>0</v>
      </c>
      <c r="CH336">
        <v>0</v>
      </c>
      <c r="CI336">
        <v>0</v>
      </c>
      <c r="CJ336">
        <v>0</v>
      </c>
      <c r="CK336">
        <v>0</v>
      </c>
      <c r="CL336">
        <v>0</v>
      </c>
      <c r="CM336">
        <v>0</v>
      </c>
      <c r="CN336" t="str">
        <f>IF($BL336&lt;$BK336,"refNeedCorrection","refOK")</f>
        <v>refOK</v>
      </c>
      <c r="CO336">
        <f>IF($CN336="refOK",$BK336,$BL336)</f>
        <v>7.8</v>
      </c>
      <c r="CP336">
        <f>IF($CN336="refOK",$BL336,$BK336)</f>
        <v>8.6999999999999993</v>
      </c>
      <c r="CQ336">
        <f>IF($CN336="refOK",$BO336,-$BO336)</f>
        <v>0.89999999999999947</v>
      </c>
      <c r="CR336">
        <f>IF($CN336="refOK",$BS336,$BT336)*IF($BP336="Emissions positive",-1,1)</f>
        <v>7.0000000000000007E-2</v>
      </c>
      <c r="CS336">
        <f>IF($CN336="refOK",$BT336,$BS336)*IF($BP336="Emissions positive",-1,1)</f>
        <v>0.10400000000000001</v>
      </c>
      <c r="CT336">
        <f>IF($CN336="refNeedCorrection",-BX336,BX336)*IF($BP336="Emissions positive",-1,1)</f>
        <v>3.4000000000000002E-2</v>
      </c>
      <c r="CU336">
        <f>IFERROR(CT336/CQ336,"")</f>
        <v>3.7777777777777806E-2</v>
      </c>
      <c r="CV336" s="2">
        <f>IFERROR((CS336-CR336)/ABS(CR336),"")</f>
        <v>0.48571428571428571</v>
      </c>
      <c r="CW336" s="1" t="s">
        <v>1201</v>
      </c>
      <c r="CX336" s="266" t="str">
        <f>IF(OR($CW336="prd",$CW336="std",$CW336="cit"),"loc",IF(OR($CW336="eur",$CW336="reg",$CW336="coy"),"reg",$CW336))</f>
        <v>reg</v>
      </c>
      <c r="CY336" t="s">
        <v>236</v>
      </c>
      <c r="CZ336"/>
      <c r="DA336"/>
      <c r="DB336">
        <v>50</v>
      </c>
      <c r="DC336" t="str">
        <f>IF(DB336=0,"0",IF(AND(DB336&gt;=1,DB336&lt;=30),"1-30",IF(AND(DB336&gt;30,DB336&lt;=70),"31-70",IF(AND(DB336&gt;70,DB336&lt;=100),"71-100",IF(DB336&gt;100,"+100")))))</f>
        <v>31-70</v>
      </c>
      <c r="DD336">
        <v>0</v>
      </c>
      <c r="DE336">
        <v>1</v>
      </c>
      <c r="DF336">
        <v>1</v>
      </c>
      <c r="DG336">
        <v>1</v>
      </c>
      <c r="DH336"/>
      <c r="DI336">
        <f>SUM(DD336:DG336)</f>
        <v>3</v>
      </c>
      <c r="DJ336" t="str">
        <f>IF(DI336=1,INDEX($DD$7:$DG$7,MATCH(1,$DD336:$DG336,0)),"mixedProduct")</f>
        <v>mixedProduct</v>
      </c>
      <c r="DK336">
        <f>IF(DD336=1,DK$7,0)</f>
        <v>0</v>
      </c>
      <c r="DL336" t="str">
        <f>IF(DE336=1,DL$7,0)</f>
        <v>Energy</v>
      </c>
      <c r="DM336" t="str">
        <f>IF(DF336=1,DM$7,0)</f>
        <v>Pulp/Paper</v>
      </c>
      <c r="DN336" t="str">
        <f>IF(DG336=1,DN$7,0)</f>
        <v>Timber</v>
      </c>
      <c r="DO336">
        <v>0</v>
      </c>
      <c r="DP336">
        <v>1</v>
      </c>
      <c r="DQ336" t="s">
        <v>2148</v>
      </c>
      <c r="DR336">
        <v>0</v>
      </c>
      <c r="DS336">
        <v>0</v>
      </c>
      <c r="DT336">
        <f>SUM(DO336:DP336)</f>
        <v>1</v>
      </c>
      <c r="DU336" s="143" t="str">
        <f>IF(DO336=1,"self-calculated DF",IF(DP336=1,"external DF used","explicit C balance"))</f>
        <v>external DF used</v>
      </c>
      <c r="DV336">
        <v>1</v>
      </c>
      <c r="DW336">
        <v>1</v>
      </c>
      <c r="DX336">
        <v>1</v>
      </c>
      <c r="DY336">
        <v>0</v>
      </c>
      <c r="DZ336">
        <v>0</v>
      </c>
      <c r="EA336" s="143">
        <v>0</v>
      </c>
      <c r="EB336">
        <v>1</v>
      </c>
      <c r="EC336">
        <v>1</v>
      </c>
      <c r="ED336">
        <v>0</v>
      </c>
      <c r="EE336">
        <v>0</v>
      </c>
      <c r="EF336">
        <v>1</v>
      </c>
      <c r="EG336">
        <v>0</v>
      </c>
      <c r="EH336">
        <v>0</v>
      </c>
      <c r="EI336" s="2">
        <v>0</v>
      </c>
      <c r="EJ336" s="1"/>
      <c r="EK336" t="str">
        <f>IF(AND(AND(AND(OR($DX336=1,$DW336=1),OR($EC336=1,$EA336=1)),SUM($DV336:$DZ336,$EF336)&gt;=4),SUM($EA336:$EE336)&gt;=2),"Whole sector","")</f>
        <v>Whole sector</v>
      </c>
      <c r="EL336" t="str">
        <f>IF(AND(AND(OR($DX336=1,$DW336=1),AND($EC336=0,$EA336=0)),SUM($DV336:$DZ336,$EF336)&gt;=4),"Ecosystem approach","")</f>
        <v/>
      </c>
      <c r="EM336" s="2" t="str">
        <f>IF(AND(AND(AND($DX336=0,$DW336=0),OR($EC336=1,$EA336=1)),SUM($EB336:$EE336)&gt;=2),"Technology approach","")</f>
        <v/>
      </c>
      <c r="EN336"/>
      <c r="EO336"/>
      <c r="EP336" t="str">
        <f>IF(ISNUMBER(BU336),IF(ABS(BU336-[1]QC_indicators!$B$2)&gt;3*[1]QC_indicators!$C$2,"C ratio",IF(ISNUMBER(BY336),IF(ABS(BY336-[1]QC_indicators!$B$1)&gt;3*[1]QC_indicators!$C$1,"DF","no"))),IF(ISNUMBER(BY336),IF(ABS(BY336-[1]QC_indicators!$B$1)&gt;3*[1]QC_indicators!$C$1,"DF","no")))</f>
        <v>no</v>
      </c>
      <c r="EQ336"/>
      <c r="ER336"/>
      <c r="ES336"/>
      <c r="ET336" s="266" t="s">
        <v>3409</v>
      </c>
      <c r="EU336"/>
    </row>
    <row r="337" spans="1:151" s="139" customFormat="1" ht="15" hidden="1" customHeight="1">
      <c r="A337" s="1" t="s">
        <v>1362</v>
      </c>
      <c r="B337" t="s">
        <v>2137</v>
      </c>
      <c r="C337" t="s">
        <v>2138</v>
      </c>
      <c r="D337" t="s">
        <v>2139</v>
      </c>
      <c r="E337" t="s">
        <v>2140</v>
      </c>
      <c r="F337" t="s">
        <v>2141</v>
      </c>
      <c r="G337" t="s">
        <v>1368</v>
      </c>
      <c r="H337" t="s">
        <v>255</v>
      </c>
      <c r="I337">
        <v>2012</v>
      </c>
      <c r="J337">
        <v>21</v>
      </c>
      <c r="K337" t="s">
        <v>2142</v>
      </c>
      <c r="L337" s="192"/>
      <c r="M337" t="str">
        <f>LEFT($D337,FIND(",",$D337)-1)&amp;"_"&amp;I337&amp;L337</f>
        <v>Pyorala_2012</v>
      </c>
      <c r="N337" t="s">
        <v>223</v>
      </c>
      <c r="O337" s="145" t="s">
        <v>342</v>
      </c>
      <c r="P337" s="180" t="s">
        <v>224</v>
      </c>
      <c r="Q337" s="266" t="s">
        <v>257</v>
      </c>
      <c r="R337" s="271" t="s">
        <v>1156</v>
      </c>
      <c r="S337" s="265" t="s">
        <v>2149</v>
      </c>
      <c r="T337" s="266" t="s">
        <v>2144</v>
      </c>
      <c r="U337" s="266" t="s">
        <v>2145</v>
      </c>
      <c r="V337">
        <v>0</v>
      </c>
      <c r="W337">
        <v>0</v>
      </c>
      <c r="X337">
        <v>0</v>
      </c>
      <c r="Y337">
        <v>1</v>
      </c>
      <c r="Z337">
        <v>0</v>
      </c>
      <c r="AA337">
        <v>0</v>
      </c>
      <c r="AB337">
        <v>0</v>
      </c>
      <c r="AC337">
        <v>0</v>
      </c>
      <c r="AD337">
        <v>0</v>
      </c>
      <c r="AE337">
        <v>0</v>
      </c>
      <c r="AF337">
        <v>0</v>
      </c>
      <c r="AG337">
        <v>0</v>
      </c>
      <c r="AH337">
        <v>0</v>
      </c>
      <c r="AI337">
        <v>0</v>
      </c>
      <c r="AJ337">
        <v>0</v>
      </c>
      <c r="AK337">
        <v>0</v>
      </c>
      <c r="AL337">
        <v>0</v>
      </c>
      <c r="AM337">
        <v>0</v>
      </c>
      <c r="AN337">
        <v>0</v>
      </c>
      <c r="AO337">
        <v>0</v>
      </c>
      <c r="AP337">
        <v>0</v>
      </c>
      <c r="AQ337">
        <v>0</v>
      </c>
      <c r="AR337">
        <v>0</v>
      </c>
      <c r="AS337">
        <v>0</v>
      </c>
      <c r="AT337">
        <v>0</v>
      </c>
      <c r="AU337">
        <v>0</v>
      </c>
      <c r="AV337">
        <v>0</v>
      </c>
      <c r="AW337">
        <v>0</v>
      </c>
      <c r="AX337" s="141">
        <f>COUNTIF(V337:AW337,"&lt;&gt;0")</f>
        <v>1</v>
      </c>
      <c r="AY337" s="141">
        <f>COUNTIF(V337:AL337,"&lt;&gt;0")</f>
        <v>1</v>
      </c>
      <c r="AZ337">
        <f>COUNTIF(V337:AC337,"&lt;&gt;0")</f>
        <v>1</v>
      </c>
      <c r="BA337">
        <f>COUNTIF(AD337:AI337,"&lt;&gt;0")</f>
        <v>0</v>
      </c>
      <c r="BB337">
        <f>COUNTIF(AJ337:AL337,"&lt;&gt;0")</f>
        <v>0</v>
      </c>
      <c r="BC337">
        <f>COUNTIF(AS337:AW337,"&lt;&gt;0")</f>
        <v>0</v>
      </c>
      <c r="BD337">
        <f>COUNTIF(AM337:AR337,"&lt;&gt;0")</f>
        <v>0</v>
      </c>
      <c r="BE337" t="str" cm="1">
        <f t="array" ref="BE337">IF(AY337=1,INDEX($V$7:$AL$7,MATCH(TRUE,INDEX($V337:$AW337&lt;&gt;0,),0)),IF(AY337=0,INDEX($AM$7:$AW$7,MATCH(1,$AM337:$AW337,0)),IF(BF337="Multiple strategies","mixed drivers",IF(BF337="Supply chain","multiple supply","multiple silviculture"))))</f>
        <v xml:space="preserve">cutting intensity </v>
      </c>
      <c r="BF337" s="2" t="str" cm="1">
        <f t="array" ref="BF337">IF(COUNTIF(AZ337:BB337,"&lt;&gt;0")=1,INDEX($V$4:$AW$4,MATCH(TRUE,INDEX($V337:$AW337&lt;&gt;0,),0)),IF(COUNTIF(AZ337:BB337,"&lt;&gt;0")=0,INDEX($AM$4:$AW$4,MATCH(1,$AM337:$AW337,0)),"Multiple strategies"))</f>
        <v>SilvicultureRemov</v>
      </c>
      <c r="BG337" s="178" t="s">
        <v>322</v>
      </c>
      <c r="BH337" s="266" t="s">
        <v>2146</v>
      </c>
      <c r="BI337" s="266" t="s">
        <v>703</v>
      </c>
      <c r="BJ337" s="160" t="s">
        <v>702</v>
      </c>
      <c r="BK337">
        <v>7.3</v>
      </c>
      <c r="BL337">
        <v>7.6</v>
      </c>
      <c r="BM337"/>
      <c r="BN337">
        <f>BL337-BK337</f>
        <v>0.29999999999999982</v>
      </c>
      <c r="BO337">
        <f>BN337</f>
        <v>0.29999999999999982</v>
      </c>
      <c r="BP337" s="155" t="s">
        <v>396</v>
      </c>
      <c r="BQ337" s="266" t="s">
        <v>788</v>
      </c>
      <c r="BR337" s="272" t="s">
        <v>2147</v>
      </c>
      <c r="BS337">
        <f>-4.3/50</f>
        <v>-8.5999999999999993E-2</v>
      </c>
      <c r="BT337">
        <f>-4.1/50</f>
        <v>-8.199999999999999E-2</v>
      </c>
      <c r="BU337" s="144"/>
      <c r="BV337">
        <f>BT337-BS337</f>
        <v>4.0000000000000036E-3</v>
      </c>
      <c r="BW337"/>
      <c r="BX337">
        <f>BV337</f>
        <v>4.0000000000000036E-3</v>
      </c>
      <c r="BY337">
        <f>IFERROR(BX337/BO337,"")</f>
        <v>1.3333333333333353E-2</v>
      </c>
      <c r="BZ337">
        <v>0</v>
      </c>
      <c r="CA337">
        <v>0</v>
      </c>
      <c r="CB337">
        <v>0</v>
      </c>
      <c r="CC337">
        <v>0</v>
      </c>
      <c r="CD337">
        <v>0</v>
      </c>
      <c r="CE337">
        <v>0</v>
      </c>
      <c r="CF337">
        <v>0</v>
      </c>
      <c r="CG337">
        <v>0</v>
      </c>
      <c r="CH337">
        <v>0</v>
      </c>
      <c r="CI337">
        <v>0</v>
      </c>
      <c r="CJ337">
        <v>0</v>
      </c>
      <c r="CK337">
        <v>0</v>
      </c>
      <c r="CL337">
        <v>0</v>
      </c>
      <c r="CM337">
        <v>0</v>
      </c>
      <c r="CN337" t="str">
        <f>IF($BL337&lt;$BK337,"refNeedCorrection","refOK")</f>
        <v>refOK</v>
      </c>
      <c r="CO337">
        <f>IF($CN337="refOK",$BK337,$BL337)</f>
        <v>7.3</v>
      </c>
      <c r="CP337">
        <f>IF($CN337="refOK",$BL337,$BK337)</f>
        <v>7.6</v>
      </c>
      <c r="CQ337">
        <f>IF($CN337="refOK",$BO337,-$BO337)</f>
        <v>0.29999999999999982</v>
      </c>
      <c r="CR337">
        <f>IF($CN337="refOK",$BS337,$BT337)*IF($BP337="Emissions positive",-1,1)</f>
        <v>8.5999999999999993E-2</v>
      </c>
      <c r="CS337">
        <f>IF($CN337="refOK",$BT337,$BS337)*IF($BP337="Emissions positive",-1,1)</f>
        <v>8.199999999999999E-2</v>
      </c>
      <c r="CT337">
        <f>IF($CN337="refNeedCorrection",-BX337,BX337)*IF($BP337="Emissions positive",-1,1)</f>
        <v>-4.0000000000000036E-3</v>
      </c>
      <c r="CU337">
        <f>IFERROR(CT337/CQ337,"")</f>
        <v>-1.3333333333333353E-2</v>
      </c>
      <c r="CV337" s="2">
        <f>IFERROR((CS337-CR337)/ABS(CR337),"")</f>
        <v>-4.6511627906976792E-2</v>
      </c>
      <c r="CW337" s="1" t="s">
        <v>1201</v>
      </c>
      <c r="CX337" s="266" t="str">
        <f>IF(OR($CW337="prd",$CW337="std",$CW337="cit"),"loc",IF(OR($CW337="eur",$CW337="reg",$CW337="coy"),"reg",$CW337))</f>
        <v>reg</v>
      </c>
      <c r="CY337" t="s">
        <v>236</v>
      </c>
      <c r="CZ337"/>
      <c r="DA337"/>
      <c r="DB337">
        <v>50</v>
      </c>
      <c r="DC337" t="str">
        <f>IF(DB337=0,"0",IF(AND(DB337&gt;=1,DB337&lt;=30),"1-30",IF(AND(DB337&gt;30,DB337&lt;=70),"31-70",IF(AND(DB337&gt;70,DB337&lt;=100),"71-100",IF(DB337&gt;100,"+100")))))</f>
        <v>31-70</v>
      </c>
      <c r="DD337">
        <v>0</v>
      </c>
      <c r="DE337">
        <v>1</v>
      </c>
      <c r="DF337">
        <v>1</v>
      </c>
      <c r="DG337">
        <v>1</v>
      </c>
      <c r="DH337"/>
      <c r="DI337">
        <f>SUM(DD337:DG337)</f>
        <v>3</v>
      </c>
      <c r="DJ337" t="str">
        <f>IF(DI337=1,INDEX($DD$7:$DG$7,MATCH(1,$DD337:$DG337,0)),"mixedProduct")</f>
        <v>mixedProduct</v>
      </c>
      <c r="DK337">
        <f>IF(DD337=1,DK$7,0)</f>
        <v>0</v>
      </c>
      <c r="DL337" t="str">
        <f>IF(DE337=1,DL$7,0)</f>
        <v>Energy</v>
      </c>
      <c r="DM337" t="str">
        <f>IF(DF337=1,DM$7,0)</f>
        <v>Pulp/Paper</v>
      </c>
      <c r="DN337" t="str">
        <f>IF(DG337=1,DN$7,0)</f>
        <v>Timber</v>
      </c>
      <c r="DO337">
        <v>0</v>
      </c>
      <c r="DP337">
        <v>1</v>
      </c>
      <c r="DQ337" t="s">
        <v>2148</v>
      </c>
      <c r="DR337">
        <v>0</v>
      </c>
      <c r="DS337">
        <v>0</v>
      </c>
      <c r="DT337">
        <f>SUM(DO337:DP337)</f>
        <v>1</v>
      </c>
      <c r="DU337" s="143" t="str">
        <f>IF(DO337=1,"self-calculated DF",IF(DP337=1,"external DF used","explicit C balance"))</f>
        <v>external DF used</v>
      </c>
      <c r="DV337">
        <v>1</v>
      </c>
      <c r="DW337">
        <v>1</v>
      </c>
      <c r="DX337">
        <v>1</v>
      </c>
      <c r="DY337">
        <v>0</v>
      </c>
      <c r="DZ337">
        <v>0</v>
      </c>
      <c r="EA337" s="143">
        <v>0</v>
      </c>
      <c r="EB337">
        <v>1</v>
      </c>
      <c r="EC337">
        <v>1</v>
      </c>
      <c r="ED337">
        <v>0</v>
      </c>
      <c r="EE337">
        <v>0</v>
      </c>
      <c r="EF337">
        <v>1</v>
      </c>
      <c r="EG337">
        <v>0</v>
      </c>
      <c r="EH337">
        <v>0</v>
      </c>
      <c r="EI337" s="2">
        <v>0</v>
      </c>
      <c r="EJ337" s="1"/>
      <c r="EK337" t="str">
        <f>IF(AND(AND(AND(OR($DX337=1,$DW337=1),OR($EC337=1,$EA337=1)),SUM($DV337:$DZ337,$EF337)&gt;=4),SUM($EA337:$EE337)&gt;=2),"Whole sector","")</f>
        <v>Whole sector</v>
      </c>
      <c r="EL337" t="str">
        <f>IF(AND(AND(OR($DX337=1,$DW337=1),AND($EC337=0,$EA337=0)),SUM($DV337:$DZ337,$EF337)&gt;=4),"Ecosystem approach","")</f>
        <v/>
      </c>
      <c r="EM337" s="2" t="str">
        <f>IF(AND(AND(AND($DX337=0,$DW337=0),OR($EC337=1,$EA337=1)),SUM($EB337:$EE337)&gt;=2),"Technology approach","")</f>
        <v/>
      </c>
      <c r="EN337"/>
      <c r="EO337"/>
      <c r="EP337" t="str">
        <f>IF(ISNUMBER(BU337),IF(ABS(BU337-[1]QC_indicators!$B$2)&gt;3*[1]QC_indicators!$C$2,"C ratio",IF(ISNUMBER(BY337),IF(ABS(BY337-[1]QC_indicators!$B$1)&gt;3*[1]QC_indicators!$C$1,"DF","no"))),IF(ISNUMBER(BY337),IF(ABS(BY337-[1]QC_indicators!$B$1)&gt;3*[1]QC_indicators!$C$1,"DF","no")))</f>
        <v>no</v>
      </c>
      <c r="EQ337"/>
      <c r="ER337"/>
      <c r="ES337"/>
      <c r="ET337" s="266" t="s">
        <v>3409</v>
      </c>
      <c r="EU337"/>
    </row>
    <row r="338" spans="1:151" s="139" customFormat="1" ht="15" customHeight="1">
      <c r="A338" s="1" t="s">
        <v>2116</v>
      </c>
      <c r="B338" t="s">
        <v>545</v>
      </c>
      <c r="C338" t="s">
        <v>2279</v>
      </c>
      <c r="D338" t="s">
        <v>2280</v>
      </c>
      <c r="E338" t="s">
        <v>2281</v>
      </c>
      <c r="F338" t="s">
        <v>2282</v>
      </c>
      <c r="G338" t="s">
        <v>2117</v>
      </c>
      <c r="H338" t="s">
        <v>255</v>
      </c>
      <c r="I338">
        <v>2014</v>
      </c>
      <c r="J338">
        <v>96</v>
      </c>
      <c r="K338" t="s">
        <v>2283</v>
      </c>
      <c r="L338"/>
      <c r="M338" t="str">
        <f>LEFT($D338,FIND(",",$D338)-1)&amp;"_"&amp;I338&amp;L338</f>
        <v>Smyth_2014</v>
      </c>
      <c r="N338" t="s">
        <v>223</v>
      </c>
      <c r="O338" s="145" t="s">
        <v>342</v>
      </c>
      <c r="P338"/>
      <c r="Q338" t="s">
        <v>257</v>
      </c>
      <c r="R338" s="264" t="s">
        <v>224</v>
      </c>
      <c r="S338" s="1" t="s">
        <v>2297</v>
      </c>
      <c r="T338" t="s">
        <v>2298</v>
      </c>
      <c r="U338" t="s">
        <v>1157</v>
      </c>
      <c r="V338">
        <v>1</v>
      </c>
      <c r="W338">
        <v>0</v>
      </c>
      <c r="X338">
        <v>0</v>
      </c>
      <c r="Y338">
        <v>2</v>
      </c>
      <c r="Z338">
        <v>0</v>
      </c>
      <c r="AA338">
        <v>0</v>
      </c>
      <c r="AB338">
        <v>0</v>
      </c>
      <c r="AC338">
        <v>0</v>
      </c>
      <c r="AD338">
        <v>0</v>
      </c>
      <c r="AE338">
        <v>0</v>
      </c>
      <c r="AF338">
        <v>0</v>
      </c>
      <c r="AG338">
        <v>0</v>
      </c>
      <c r="AH338">
        <v>0</v>
      </c>
      <c r="AI338">
        <v>0</v>
      </c>
      <c r="AJ338">
        <v>0</v>
      </c>
      <c r="AK338">
        <v>0</v>
      </c>
      <c r="AL338">
        <v>0</v>
      </c>
      <c r="AM338">
        <v>0</v>
      </c>
      <c r="AN338">
        <v>0</v>
      </c>
      <c r="AO338">
        <v>0</v>
      </c>
      <c r="AP338">
        <v>0</v>
      </c>
      <c r="AQ338">
        <v>0</v>
      </c>
      <c r="AR338">
        <v>0</v>
      </c>
      <c r="AS338">
        <v>0</v>
      </c>
      <c r="AT338">
        <v>0</v>
      </c>
      <c r="AU338">
        <v>0</v>
      </c>
      <c r="AV338">
        <v>0</v>
      </c>
      <c r="AW338">
        <v>0</v>
      </c>
      <c r="AX338" s="141">
        <f>COUNTIF(V338:AW338,"&lt;&gt;0")</f>
        <v>2</v>
      </c>
      <c r="AY338" s="141">
        <f>COUNTIF(V338:AL338,"&lt;&gt;0")</f>
        <v>2</v>
      </c>
      <c r="AZ338">
        <f>COUNTIF(V338:AC338,"&lt;&gt;0")</f>
        <v>2</v>
      </c>
      <c r="BA338">
        <f>COUNTIF(AD338:AI338,"&lt;&gt;0")</f>
        <v>0</v>
      </c>
      <c r="BB338">
        <f>COUNTIF(AJ338:AL338,"&lt;&gt;0")</f>
        <v>0</v>
      </c>
      <c r="BC338">
        <f>COUNTIF(AS338:AW338,"&lt;&gt;0")</f>
        <v>0</v>
      </c>
      <c r="BD338">
        <f>COUNTIF(AM338:AR338,"&lt;&gt;0")</f>
        <v>0</v>
      </c>
      <c r="BE338" t="str">
        <f t="array" ref="BE338">IF(AY338=1,INDEX($V$7:$AL$7,MATCH(TRUE,INDEX($V338:$AW338&lt;&gt;0,),0)),IF(AY338=0,INDEX($AM$7:$AW$7,MATCH(1,$AM338:$AW338,0)),IF(BF338="Multiple strategies","mixed drivers",IF(BF338="Supply chain","multiple supply","multiple silviculture"))))</f>
        <v>multiple silviculture</v>
      </c>
      <c r="BF338" s="2" t="str" cm="1">
        <f t="array" ref="BF338">IF(COUNTIF(AZ338:BB338,"&lt;&gt;0")=1,INDEX($V$4:$AW$4,MATCH(TRUE,INDEX($V338:$AW338&lt;&gt;0,),0)),IF(COUNTIF(AZ338:BB338,"&lt;&gt;0")=0,INDEX($AM$4:$AW$4,MATCH(1,$AM338:$AW338,0)),"Multiple strategies"))</f>
        <v>SilvicultureRemov</v>
      </c>
      <c r="BG338" s="1" t="s">
        <v>322</v>
      </c>
      <c r="BH338" t="s">
        <v>2299</v>
      </c>
      <c r="BI338" t="s">
        <v>1038</v>
      </c>
      <c r="BJ338" t="s">
        <v>2290</v>
      </c>
      <c r="BK338">
        <v>-1.41</v>
      </c>
      <c r="BL338">
        <v>0</v>
      </c>
      <c r="BM338"/>
      <c r="BN338">
        <f>BL338-BK338</f>
        <v>1.41</v>
      </c>
      <c r="BO338">
        <f>BN338*10^6*tC_to_m3</f>
        <v>6122448.9795918372</v>
      </c>
      <c r="BP338" t="s">
        <v>233</v>
      </c>
      <c r="BQ338" s="269" t="s">
        <v>785</v>
      </c>
      <c r="BR338" s="266" t="s">
        <v>3246</v>
      </c>
      <c r="BS338"/>
      <c r="BT338"/>
      <c r="BU338" s="144"/>
      <c r="BV338">
        <f>-264.42/35</f>
        <v>-7.5548571428571432</v>
      </c>
      <c r="BW338"/>
      <c r="BX338">
        <f>BV338*10^6</f>
        <v>-7554857.1428571427</v>
      </c>
      <c r="BY338">
        <f>IFERROR(BX338/BO338,"")</f>
        <v>-1.2339599999999999</v>
      </c>
      <c r="BZ338">
        <v>0</v>
      </c>
      <c r="CA338">
        <v>1</v>
      </c>
      <c r="CB338">
        <v>1</v>
      </c>
      <c r="CC338">
        <v>1</v>
      </c>
      <c r="CD338">
        <v>0</v>
      </c>
      <c r="CE338">
        <v>0</v>
      </c>
      <c r="CF338">
        <v>0</v>
      </c>
      <c r="CG338">
        <v>0</v>
      </c>
      <c r="CH338">
        <v>0</v>
      </c>
      <c r="CI338">
        <v>0</v>
      </c>
      <c r="CJ338">
        <v>0</v>
      </c>
      <c r="CK338">
        <v>0</v>
      </c>
      <c r="CL338">
        <v>0</v>
      </c>
      <c r="CM338">
        <v>0</v>
      </c>
      <c r="CN338" t="str">
        <f>IF(BL338&lt;BK338,"refNeedCorrection","refOK")</f>
        <v>refOK</v>
      </c>
      <c r="CO338">
        <f>IF($CN338="refOK",$BK338,$BL338)</f>
        <v>-1.41</v>
      </c>
      <c r="CP338">
        <f>IF($CN338="refOK",$BL338,$BK338)</f>
        <v>0</v>
      </c>
      <c r="CQ338">
        <f>IF($CN338="refOK",$BO338,-$BO338)</f>
        <v>6122448.9795918372</v>
      </c>
      <c r="CR338">
        <f>IF($CN338="refOK",$BS338,$BT338)*IF($BP338="Emissions positive",-1,1)</f>
        <v>0</v>
      </c>
      <c r="CS338">
        <f>IF($CN338="refOK",$BT338,$BS338)*IF($BP338="Emissions positive",-1,1)</f>
        <v>0</v>
      </c>
      <c r="CT338">
        <f>IF($CN338="refNeedCorrection",-BX338,BX338)*IF($BP338="Emissions positive",-1,1)</f>
        <v>-7554857.1428571427</v>
      </c>
      <c r="CU338">
        <f>IFERROR(CT338/CQ338,"")</f>
        <v>-1.2339599999999999</v>
      </c>
      <c r="CV338" s="2" t="str">
        <f>IFERROR((CS338-CR338)/ABS(CR338),"")</f>
        <v/>
      </c>
      <c r="CW338" s="1" t="s">
        <v>1205</v>
      </c>
      <c r="CX338" t="str">
        <f>IF(OR($CW338="prd",$CW338="std",$CW338="cit"),"loc",IF(OR($CW338="eur",$CW338="reg",$CW338="coy"),"reg",$CW338))</f>
        <v>reg</v>
      </c>
      <c r="CY338" t="s">
        <v>541</v>
      </c>
      <c r="CZ338">
        <v>2015</v>
      </c>
      <c r="DA338">
        <v>2050</v>
      </c>
      <c r="DB338">
        <v>35</v>
      </c>
      <c r="DC338" t="str">
        <f>IF(DB338=0,"0",IF(AND(DB338&gt;=1,DB338&lt;=30),"1-30",IF(AND(DB338&gt;30,DB338&lt;=70),"31-70",IF(AND(DB338&gt;70,DB338&lt;=100),"71-100",IF(DB338&gt;100,"+100")))))</f>
        <v>31-70</v>
      </c>
      <c r="DD338">
        <v>0</v>
      </c>
      <c r="DE338">
        <v>1</v>
      </c>
      <c r="DF338">
        <v>1</v>
      </c>
      <c r="DG338">
        <v>1</v>
      </c>
      <c r="DH338"/>
      <c r="DI338">
        <f>SUM(DD338:DG338)</f>
        <v>3</v>
      </c>
      <c r="DJ338" t="str">
        <f>IF(DI338=1,INDEX($DD$7:$DG$7,MATCH(1,$DD338:$DG338,0)),"mixedProduct")</f>
        <v>mixedProduct</v>
      </c>
      <c r="DK338">
        <f>IF(DD338=1,DK$7,0)</f>
        <v>0</v>
      </c>
      <c r="DL338" t="str">
        <f>IF(DE338=1,DL$7,0)</f>
        <v>Energy</v>
      </c>
      <c r="DM338" t="str">
        <f>IF(DF338=1,DM$7,0)</f>
        <v>Pulp/Paper</v>
      </c>
      <c r="DN338" t="str">
        <f>IF(DG338=1,DN$7,0)</f>
        <v>Timber</v>
      </c>
      <c r="DO338">
        <v>0</v>
      </c>
      <c r="DP338">
        <v>0</v>
      </c>
      <c r="DQ338"/>
      <c r="DR338">
        <v>0</v>
      </c>
      <c r="DS338">
        <v>0</v>
      </c>
      <c r="DT338">
        <f>SUM(DO338:DP338)</f>
        <v>0</v>
      </c>
      <c r="DU338" s="143" t="str">
        <f>IF(DO338=1,"self-calculated DF",IF(DP338=1,"external DF used","explicit C balance"))</f>
        <v>explicit C balance</v>
      </c>
      <c r="DV338">
        <v>1</v>
      </c>
      <c r="DW338">
        <v>1</v>
      </c>
      <c r="DX338">
        <v>1</v>
      </c>
      <c r="DY338">
        <v>1</v>
      </c>
      <c r="DZ338">
        <v>1</v>
      </c>
      <c r="EA338">
        <v>0</v>
      </c>
      <c r="EB338">
        <v>0</v>
      </c>
      <c r="EC338">
        <v>0</v>
      </c>
      <c r="ED338">
        <v>0</v>
      </c>
      <c r="EE338">
        <v>0</v>
      </c>
      <c r="EF338">
        <v>1</v>
      </c>
      <c r="EG338">
        <v>0</v>
      </c>
      <c r="EH338">
        <v>0</v>
      </c>
      <c r="EI338" s="2">
        <v>0</v>
      </c>
      <c r="EJ338" s="1"/>
      <c r="EK338" t="str">
        <f>IF(AND(AND(AND(OR($DX338=1,$DW338=1),OR($EC338=1,$EA338=1)),SUM($DV338:$DZ338,$EF338)&gt;=4),SUM($EA338:$EE338)&gt;=2),"Whole sector","")</f>
        <v/>
      </c>
      <c r="EL338" t="str">
        <f>IF(AND(AND(OR($DX338=1,$DW338=1),AND($EC338=0,$EA338=0)),SUM($DV338:$DZ338,$EF338)&gt;=4),"Ecosystem approach","")</f>
        <v>Ecosystem approach</v>
      </c>
      <c r="EM338" s="2" t="str">
        <f>IF(AND(AND(AND($DX338=0,$DW338=0),OR($EC338=1,$EA338=1)),SUM($EB338:$EE338)&gt;=2),"Technology approach","")</f>
        <v/>
      </c>
      <c r="EN338" t="s">
        <v>2300</v>
      </c>
      <c r="EO338"/>
      <c r="EP338" t="str">
        <f>IF(ISNUMBER(BU338),IF(ABS(BU338-[2]QC_indicators!$B$2)&gt;3*[2]QC_indicators!$C$2,"C ratio",IF(ISNUMBER(BY338),IF(ABS(BY338-[2]QC_indicators!$B$1)&gt;3*[2]QC_indicators!$C$1,"DF","no"))),IF(ISNUMBER(BY338),IF(ABS(BY338-[2]QC_indicators!$B$1)&gt;3*[2]QC_indicators!$C$1,"DF","no")))</f>
        <v>no</v>
      </c>
      <c r="EQ338"/>
      <c r="ER338" t="s">
        <v>2301</v>
      </c>
      <c r="ES338"/>
      <c r="ET338" s="270" t="s">
        <v>3244</v>
      </c>
      <c r="EU338"/>
    </row>
    <row r="339" spans="1:151" s="139" customFormat="1" ht="15" customHeight="1">
      <c r="A339" s="1" t="s">
        <v>2116</v>
      </c>
      <c r="B339" t="s">
        <v>545</v>
      </c>
      <c r="C339" t="s">
        <v>2279</v>
      </c>
      <c r="D339" t="s">
        <v>2280</v>
      </c>
      <c r="E339" t="s">
        <v>2281</v>
      </c>
      <c r="F339" t="s">
        <v>2282</v>
      </c>
      <c r="G339" t="s">
        <v>2117</v>
      </c>
      <c r="H339" t="s">
        <v>255</v>
      </c>
      <c r="I339">
        <v>2014</v>
      </c>
      <c r="J339">
        <v>96</v>
      </c>
      <c r="K339" t="s">
        <v>2283</v>
      </c>
      <c r="L339"/>
      <c r="M339" t="str">
        <f>LEFT($D339,FIND(",",$D339)-1)&amp;"_"&amp;I339&amp;L339</f>
        <v>Smyth_2014</v>
      </c>
      <c r="N339" t="s">
        <v>223</v>
      </c>
      <c r="O339" s="145" t="s">
        <v>342</v>
      </c>
      <c r="P339"/>
      <c r="Q339" t="s">
        <v>257</v>
      </c>
      <c r="R339" s="264" t="s">
        <v>224</v>
      </c>
      <c r="S339" s="1" t="s">
        <v>2304</v>
      </c>
      <c r="T339" t="s">
        <v>1157</v>
      </c>
      <c r="U339" t="s">
        <v>2305</v>
      </c>
      <c r="V339">
        <v>0</v>
      </c>
      <c r="W339">
        <v>0</v>
      </c>
      <c r="X339">
        <v>0</v>
      </c>
      <c r="Y339">
        <v>1</v>
      </c>
      <c r="Z339">
        <v>0</v>
      </c>
      <c r="AA339">
        <v>0</v>
      </c>
      <c r="AB339">
        <v>0</v>
      </c>
      <c r="AC339">
        <v>0</v>
      </c>
      <c r="AD339">
        <v>0</v>
      </c>
      <c r="AE339">
        <v>0</v>
      </c>
      <c r="AF339">
        <v>0</v>
      </c>
      <c r="AG339">
        <v>0</v>
      </c>
      <c r="AH339">
        <v>0</v>
      </c>
      <c r="AI339">
        <v>0</v>
      </c>
      <c r="AJ339">
        <v>0</v>
      </c>
      <c r="AK339">
        <v>0</v>
      </c>
      <c r="AL339">
        <v>0</v>
      </c>
      <c r="AM339">
        <v>0</v>
      </c>
      <c r="AN339">
        <v>0</v>
      </c>
      <c r="AO339">
        <v>0</v>
      </c>
      <c r="AP339">
        <v>0</v>
      </c>
      <c r="AQ339">
        <v>0</v>
      </c>
      <c r="AR339">
        <v>0</v>
      </c>
      <c r="AS339">
        <v>0</v>
      </c>
      <c r="AT339">
        <v>0</v>
      </c>
      <c r="AU339">
        <v>0</v>
      </c>
      <c r="AV339">
        <v>0</v>
      </c>
      <c r="AW339">
        <v>0</v>
      </c>
      <c r="AX339" s="141">
        <f>COUNTIF(V339:AW339,"&lt;&gt;0")</f>
        <v>1</v>
      </c>
      <c r="AY339" s="141">
        <f>COUNTIF(V339:AL339,"&lt;&gt;0")</f>
        <v>1</v>
      </c>
      <c r="AZ339">
        <f>COUNTIF(V339:AC339,"&lt;&gt;0")</f>
        <v>1</v>
      </c>
      <c r="BA339">
        <f>COUNTIF(AD339:AI339,"&lt;&gt;0")</f>
        <v>0</v>
      </c>
      <c r="BB339">
        <f>COUNTIF(AJ339:AL339,"&lt;&gt;0")</f>
        <v>0</v>
      </c>
      <c r="BC339">
        <f>COUNTIF(AS339:AW339,"&lt;&gt;0")</f>
        <v>0</v>
      </c>
      <c r="BD339">
        <f>COUNTIF(AM339:AR339,"&lt;&gt;0")</f>
        <v>0</v>
      </c>
      <c r="BE339" t="str">
        <f t="array" ref="BE339">IF(AY339=1,INDEX($V$7:$AL$7,MATCH(TRUE,INDEX($V339:$AW339&lt;&gt;0,),0)),IF(AY339=0,INDEX($AM$7:$AW$7,MATCH(1,$AM339:$AW339,0)),IF(BF339="Multiple strategies","mixed drivers",IF(BF339="Supply chain","multiple supply","multiple silviculture"))))</f>
        <v xml:space="preserve">cutting intensity </v>
      </c>
      <c r="BF339" s="2" t="str" cm="1">
        <f t="array" ref="BF339">IF(COUNTIF(AZ339:BB339,"&lt;&gt;0")=1,INDEX($V$4:$AW$4,MATCH(TRUE,INDEX($V339:$AW339&lt;&gt;0,),0)),IF(COUNTIF(AZ339:BB339,"&lt;&gt;0")=0,INDEX($AM$4:$AW$4,MATCH(1,$AM339:$AW339,0)),"Multiple strategies"))</f>
        <v>SilvicultureRemov</v>
      </c>
      <c r="BG339" s="1" t="s">
        <v>322</v>
      </c>
      <c r="BH339" t="s">
        <v>2289</v>
      </c>
      <c r="BI339" t="s">
        <v>1038</v>
      </c>
      <c r="BJ339" t="s">
        <v>2290</v>
      </c>
      <c r="BK339">
        <v>0</v>
      </c>
      <c r="BL339">
        <v>1.42</v>
      </c>
      <c r="BM339"/>
      <c r="BN339">
        <f>BL339-BK339</f>
        <v>1.42</v>
      </c>
      <c r="BO339">
        <f>BN339*10^6*tC_to_m3</f>
        <v>6165870.6035605734</v>
      </c>
      <c r="BP339" t="s">
        <v>233</v>
      </c>
      <c r="BQ339" s="269" t="s">
        <v>785</v>
      </c>
      <c r="BR339" s="266" t="s">
        <v>3246</v>
      </c>
      <c r="BS339"/>
      <c r="BT339"/>
      <c r="BU339" s="144"/>
      <c r="BV339">
        <f>-399.62/35</f>
        <v>-11.417714285714286</v>
      </c>
      <c r="BW339"/>
      <c r="BX339">
        <f>BV339*10^6</f>
        <v>-11417714.285714285</v>
      </c>
      <c r="BY339">
        <f>IFERROR(BX339/BO339,"")</f>
        <v>-1.8517602816901406</v>
      </c>
      <c r="BZ339">
        <v>0</v>
      </c>
      <c r="CA339">
        <v>1</v>
      </c>
      <c r="CB339">
        <v>1</v>
      </c>
      <c r="CC339">
        <v>1</v>
      </c>
      <c r="CD339">
        <v>0</v>
      </c>
      <c r="CE339">
        <v>0</v>
      </c>
      <c r="CF339">
        <v>0</v>
      </c>
      <c r="CG339">
        <v>0</v>
      </c>
      <c r="CH339">
        <v>0</v>
      </c>
      <c r="CI339">
        <v>0</v>
      </c>
      <c r="CJ339">
        <v>0</v>
      </c>
      <c r="CK339">
        <v>0</v>
      </c>
      <c r="CL339">
        <v>0</v>
      </c>
      <c r="CM339">
        <v>0</v>
      </c>
      <c r="CN339" t="str">
        <f>IF($BL339&lt;$BK339,"refNeedCorrection","refOK")</f>
        <v>refOK</v>
      </c>
      <c r="CO339">
        <f>IF($CN339="refOK",$BK339,$BL339)</f>
        <v>0</v>
      </c>
      <c r="CP339">
        <f>IF($CN339="refOK",$BL339,$BK339)</f>
        <v>1.42</v>
      </c>
      <c r="CQ339">
        <f>IF($CN339="refOK",$BO339,-$BO339)</f>
        <v>6165870.6035605734</v>
      </c>
      <c r="CR339">
        <f>IF($CN339="refOK",$BS339,$BT339)*IF($BP339="Emissions positive",-1,1)</f>
        <v>0</v>
      </c>
      <c r="CS339">
        <f>IF($CN339="refOK",$BT339,$BS339)*IF($BP339="Emissions positive",-1,1)</f>
        <v>0</v>
      </c>
      <c r="CT339">
        <f>IF($CN339="refNeedCorrection",-BX339,BX339)*IF($BP339="Emissions positive",-1,1)</f>
        <v>-11417714.285714285</v>
      </c>
      <c r="CU339">
        <f>IFERROR(CT339/CQ339,"")</f>
        <v>-1.8517602816901406</v>
      </c>
      <c r="CV339" s="2" t="str">
        <f>IFERROR((CS339-CR339)/ABS(CR339),"")</f>
        <v/>
      </c>
      <c r="CW339" s="1" t="s">
        <v>1205</v>
      </c>
      <c r="CX339" t="str">
        <f>IF(OR($CW339="prd",$CW339="std",$CW339="cit"),"loc",IF(OR($CW339="eur",$CW339="reg",$CW339="coy"),"reg",$CW339))</f>
        <v>reg</v>
      </c>
      <c r="CY339" t="s">
        <v>541</v>
      </c>
      <c r="CZ339">
        <v>2015</v>
      </c>
      <c r="DA339">
        <v>2050</v>
      </c>
      <c r="DB339">
        <v>35</v>
      </c>
      <c r="DC339" t="str">
        <f>IF(DB339=0,"0",IF(AND(DB339&gt;=1,DB339&lt;=30),"1-30",IF(AND(DB339&gt;30,DB339&lt;=70),"31-70",IF(AND(DB339&gt;70,DB339&lt;=100),"71-100",IF(DB339&gt;100,"+100")))))</f>
        <v>31-70</v>
      </c>
      <c r="DD339">
        <v>0</v>
      </c>
      <c r="DE339">
        <v>1</v>
      </c>
      <c r="DF339">
        <v>1</v>
      </c>
      <c r="DG339">
        <v>1</v>
      </c>
      <c r="DH339"/>
      <c r="DI339">
        <f>SUM(DD339:DG339)</f>
        <v>3</v>
      </c>
      <c r="DJ339" t="str">
        <f>IF(DI339=1,INDEX($DD$7:$DG$7,MATCH(1,$DD339:$DG339,0)),"mixedProduct")</f>
        <v>mixedProduct</v>
      </c>
      <c r="DK339">
        <f>IF(DD339=1,DK$7,0)</f>
        <v>0</v>
      </c>
      <c r="DL339" t="str">
        <f>IF(DE339=1,DL$7,0)</f>
        <v>Energy</v>
      </c>
      <c r="DM339" t="str">
        <f>IF(DF339=1,DM$7,0)</f>
        <v>Pulp/Paper</v>
      </c>
      <c r="DN339" t="str">
        <f>IF(DG339=1,DN$7,0)</f>
        <v>Timber</v>
      </c>
      <c r="DO339">
        <v>0</v>
      </c>
      <c r="DP339">
        <v>0</v>
      </c>
      <c r="DQ339"/>
      <c r="DR339">
        <v>0</v>
      </c>
      <c r="DS339">
        <v>0</v>
      </c>
      <c r="DT339">
        <f>SUM(DO339:DP339)</f>
        <v>0</v>
      </c>
      <c r="DU339" s="143" t="str">
        <f>IF(DO339=1,"self-calculated DF",IF(DP339=1,"external DF used","explicit C balance"))</f>
        <v>explicit C balance</v>
      </c>
      <c r="DV339">
        <v>1</v>
      </c>
      <c r="DW339">
        <v>1</v>
      </c>
      <c r="DX339">
        <v>1</v>
      </c>
      <c r="DY339">
        <v>1</v>
      </c>
      <c r="DZ339">
        <v>1</v>
      </c>
      <c r="EA339">
        <v>0</v>
      </c>
      <c r="EB339">
        <v>0</v>
      </c>
      <c r="EC339">
        <v>0</v>
      </c>
      <c r="ED339">
        <v>0</v>
      </c>
      <c r="EE339">
        <v>0</v>
      </c>
      <c r="EF339">
        <v>1</v>
      </c>
      <c r="EG339">
        <v>0</v>
      </c>
      <c r="EH339">
        <v>0</v>
      </c>
      <c r="EI339" s="2">
        <v>0</v>
      </c>
      <c r="EJ339" s="1"/>
      <c r="EK339" t="str">
        <f>IF(AND(AND(AND(OR($DX339=1,$DW339=1),OR($EC339=1,$EA339=1)),SUM($DV339:$DZ339,$EF339)&gt;=4),SUM($EA339:$EE339)&gt;=2),"Whole sector","")</f>
        <v/>
      </c>
      <c r="EL339" t="str">
        <f>IF(AND(AND(OR($DX339=1,$DW339=1),AND($EC339=0,$EA339=0)),SUM($DV339:$DZ339,$EF339)&gt;=4),"Ecosystem approach","")</f>
        <v>Ecosystem approach</v>
      </c>
      <c r="EM339" s="2" t="str">
        <f>IF(AND(AND(AND($DX339=0,$DW339=0),OR($EC339=1,$EA339=1)),SUM($EB339:$EE339)&gt;=2),"Technology approach","")</f>
        <v/>
      </c>
      <c r="EN339"/>
      <c r="EO339"/>
      <c r="EP339" t="str">
        <f>IF(ISNUMBER(BU339),IF(ABS(BU339-[2]QC_indicators!$B$2)&gt;3*[2]QC_indicators!$C$2,"C ratio",IF(ISNUMBER(BY339),IF(ABS(BY339-[2]QC_indicators!$B$1)&gt;3*[2]QC_indicators!$C$1,"DF","no"))),IF(ISNUMBER(BY339),IF(ABS(BY339-[2]QC_indicators!$B$1)&gt;3*[2]QC_indicators!$C$1,"DF","no")))</f>
        <v>no</v>
      </c>
      <c r="EQ339"/>
      <c r="ER339"/>
      <c r="ES339"/>
      <c r="ET339" s="270" t="s">
        <v>3244</v>
      </c>
      <c r="EU339"/>
    </row>
    <row r="340" spans="1:151" s="139" customFormat="1" ht="15" customHeight="1">
      <c r="A340" s="1" t="s">
        <v>2116</v>
      </c>
      <c r="B340" t="s">
        <v>545</v>
      </c>
      <c r="C340" t="s">
        <v>2279</v>
      </c>
      <c r="D340" t="s">
        <v>2280</v>
      </c>
      <c r="E340" t="s">
        <v>2281</v>
      </c>
      <c r="F340" t="s">
        <v>2282</v>
      </c>
      <c r="G340" t="s">
        <v>2117</v>
      </c>
      <c r="H340" t="s">
        <v>255</v>
      </c>
      <c r="I340">
        <v>2014</v>
      </c>
      <c r="J340">
        <v>96</v>
      </c>
      <c r="K340" t="s">
        <v>2283</v>
      </c>
      <c r="L340"/>
      <c r="M340" t="str">
        <f>LEFT($D340,FIND(",",$D340)-1)&amp;"_"&amp;I340&amp;L340</f>
        <v>Smyth_2014</v>
      </c>
      <c r="N340" t="s">
        <v>223</v>
      </c>
      <c r="O340" s="145" t="s">
        <v>342</v>
      </c>
      <c r="P340"/>
      <c r="Q340" t="s">
        <v>257</v>
      </c>
      <c r="R340" s="264" t="s">
        <v>224</v>
      </c>
      <c r="S340" s="1" t="s">
        <v>2287</v>
      </c>
      <c r="T340" t="s">
        <v>1157</v>
      </c>
      <c r="U340" s="266" t="s">
        <v>2293</v>
      </c>
      <c r="V340">
        <v>0</v>
      </c>
      <c r="W340">
        <v>0</v>
      </c>
      <c r="X340">
        <v>0</v>
      </c>
      <c r="Y340">
        <v>1</v>
      </c>
      <c r="Z340">
        <v>0</v>
      </c>
      <c r="AA340">
        <v>0</v>
      </c>
      <c r="AB340">
        <v>0</v>
      </c>
      <c r="AC340">
        <v>0</v>
      </c>
      <c r="AD340">
        <v>0</v>
      </c>
      <c r="AE340">
        <v>0</v>
      </c>
      <c r="AF340">
        <v>0</v>
      </c>
      <c r="AG340">
        <v>0</v>
      </c>
      <c r="AH340">
        <v>0</v>
      </c>
      <c r="AI340">
        <v>0</v>
      </c>
      <c r="AJ340">
        <v>0</v>
      </c>
      <c r="AK340">
        <v>0</v>
      </c>
      <c r="AL340">
        <v>0</v>
      </c>
      <c r="AM340">
        <v>0</v>
      </c>
      <c r="AN340">
        <v>0</v>
      </c>
      <c r="AO340">
        <v>0</v>
      </c>
      <c r="AP340">
        <v>0</v>
      </c>
      <c r="AQ340">
        <v>0</v>
      </c>
      <c r="AR340">
        <v>0</v>
      </c>
      <c r="AS340">
        <v>0</v>
      </c>
      <c r="AT340">
        <v>0</v>
      </c>
      <c r="AU340">
        <v>0</v>
      </c>
      <c r="AV340">
        <v>0</v>
      </c>
      <c r="AW340">
        <v>0</v>
      </c>
      <c r="AX340" s="141">
        <f>COUNTIF(V340:AW340,"&lt;&gt;0")</f>
        <v>1</v>
      </c>
      <c r="AY340" s="141">
        <f>COUNTIF(V340:AL340,"&lt;&gt;0")</f>
        <v>1</v>
      </c>
      <c r="AZ340">
        <f>COUNTIF(V340:AC340,"&lt;&gt;0")</f>
        <v>1</v>
      </c>
      <c r="BA340">
        <f>COUNTIF(AD340:AI340,"&lt;&gt;0")</f>
        <v>0</v>
      </c>
      <c r="BB340">
        <f>COUNTIF(AJ340:AL340,"&lt;&gt;0")</f>
        <v>0</v>
      </c>
      <c r="BC340">
        <f>COUNTIF(AS340:AW340,"&lt;&gt;0")</f>
        <v>0</v>
      </c>
      <c r="BD340">
        <f>COUNTIF(AM340:AR340,"&lt;&gt;0")</f>
        <v>0</v>
      </c>
      <c r="BE340" t="str">
        <f t="array" ref="BE340">IF(AY340=1,INDEX($V$7:$AL$7,MATCH(TRUE,INDEX($V340:$AW340&lt;&gt;0,),0)),IF(AY340=0,INDEX($AM$7:$AW$7,MATCH(1,$AM340:$AW340,0)),IF(BF340="Multiple strategies","mixed drivers",IF(BF340="Supply chain","multiple supply","multiple silviculture"))))</f>
        <v xml:space="preserve">cutting intensity </v>
      </c>
      <c r="BF340" s="2" t="str" cm="1">
        <f t="array" ref="BF340">IF(COUNTIF(AZ340:BB340,"&lt;&gt;0")=1,INDEX($V$4:$AW$4,MATCH(TRUE,INDEX($V340:$AW340&lt;&gt;0,),0)),IF(COUNTIF(AZ340:BB340,"&lt;&gt;0")=0,INDEX($AM$4:$AW$4,MATCH(1,$AM340:$AW340,0)),"Multiple strategies"))</f>
        <v>SilvicultureRemov</v>
      </c>
      <c r="BG340" s="1" t="s">
        <v>322</v>
      </c>
      <c r="BH340" t="s">
        <v>2289</v>
      </c>
      <c r="BI340" t="s">
        <v>1038</v>
      </c>
      <c r="BJ340" t="s">
        <v>2290</v>
      </c>
      <c r="BK340">
        <v>0</v>
      </c>
      <c r="BL340">
        <v>0.62</v>
      </c>
      <c r="BM340"/>
      <c r="BN340">
        <f>BL340-BK340</f>
        <v>0.62</v>
      </c>
      <c r="BO340">
        <f>BN340*10^6*tC_to_m3</f>
        <v>2692140.6860616589</v>
      </c>
      <c r="BP340" t="s">
        <v>233</v>
      </c>
      <c r="BQ340" s="269" t="s">
        <v>785</v>
      </c>
      <c r="BR340" s="266" t="s">
        <v>3246</v>
      </c>
      <c r="BS340"/>
      <c r="BT340"/>
      <c r="BU340" s="144"/>
      <c r="BV340">
        <f>-203.9994/35</f>
        <v>-5.8285542857142856</v>
      </c>
      <c r="BW340"/>
      <c r="BX340">
        <f>BV340*10^6</f>
        <v>-5828554.2857142854</v>
      </c>
      <c r="BY340">
        <f>IFERROR(BX340/BO340,"")</f>
        <v>-2.1650258903225805</v>
      </c>
      <c r="BZ340">
        <v>0</v>
      </c>
      <c r="CA340">
        <v>1</v>
      </c>
      <c r="CB340">
        <v>1</v>
      </c>
      <c r="CC340">
        <v>1</v>
      </c>
      <c r="CD340">
        <v>0</v>
      </c>
      <c r="CE340">
        <v>0</v>
      </c>
      <c r="CF340">
        <v>0</v>
      </c>
      <c r="CG340">
        <v>0</v>
      </c>
      <c r="CH340">
        <v>0</v>
      </c>
      <c r="CI340">
        <v>0</v>
      </c>
      <c r="CJ340">
        <v>0</v>
      </c>
      <c r="CK340">
        <v>0</v>
      </c>
      <c r="CL340">
        <v>0</v>
      </c>
      <c r="CM340">
        <v>0</v>
      </c>
      <c r="CN340" t="str">
        <f>IF($BL340&lt;$BK340,"refNeedCorrection","refOK")</f>
        <v>refOK</v>
      </c>
      <c r="CO340">
        <f>IF($CN340="refOK",$BK340,$BL340)</f>
        <v>0</v>
      </c>
      <c r="CP340">
        <f>IF($CN340="refOK",$BL340,$BK340)</f>
        <v>0.62</v>
      </c>
      <c r="CQ340">
        <f>IF($CN340="refOK",$BO340,-$BO340)</f>
        <v>2692140.6860616589</v>
      </c>
      <c r="CR340">
        <f>IF($CN340="refOK",$BS340,$BT340)*IF($BP340="Emissions positive",-1,1)</f>
        <v>0</v>
      </c>
      <c r="CS340">
        <f>IF($CN340="refOK",$BT340,$BS340)*IF($BP340="Emissions positive",-1,1)</f>
        <v>0</v>
      </c>
      <c r="CT340">
        <f>IF($CN340="refNeedCorrection",-BX340,BX340)*IF($BP340="Emissions positive",-1,1)</f>
        <v>-5828554.2857142854</v>
      </c>
      <c r="CU340">
        <f>IFERROR(CT340/CQ340,"")</f>
        <v>-2.1650258903225805</v>
      </c>
      <c r="CV340" s="2" t="str">
        <f>IFERROR((CS340-CR340)/ABS(CR340),"")</f>
        <v/>
      </c>
      <c r="CW340" s="1" t="s">
        <v>1205</v>
      </c>
      <c r="CX340" t="str">
        <f>IF(OR($CW340="prd",$CW340="std",$CW340="cit"),"loc",IF(OR($CW340="eur",$CW340="reg",$CW340="coy"),"reg",$CW340))</f>
        <v>reg</v>
      </c>
      <c r="CY340" t="s">
        <v>541</v>
      </c>
      <c r="CZ340">
        <v>2015</v>
      </c>
      <c r="DA340">
        <v>2050</v>
      </c>
      <c r="DB340">
        <v>35</v>
      </c>
      <c r="DC340" t="str">
        <f>IF(DB340=0,"0",IF(AND(DB340&gt;=1,DB340&lt;=30),"1-30",IF(AND(DB340&gt;30,DB340&lt;=70),"31-70",IF(AND(DB340&gt;70,DB340&lt;=100),"71-100",IF(DB340&gt;100,"+100")))))</f>
        <v>31-70</v>
      </c>
      <c r="DD340">
        <v>0</v>
      </c>
      <c r="DE340">
        <v>1</v>
      </c>
      <c r="DF340">
        <v>1</v>
      </c>
      <c r="DG340">
        <v>1</v>
      </c>
      <c r="DH340"/>
      <c r="DI340">
        <f>SUM(DD340:DG340)</f>
        <v>3</v>
      </c>
      <c r="DJ340" t="str">
        <f>IF(DI340=1,INDEX($DD$7:$DG$7,MATCH(1,$DD340:$DG340,0)),"mixedProduct")</f>
        <v>mixedProduct</v>
      </c>
      <c r="DK340">
        <f>IF(DD340=1,DK$7,0)</f>
        <v>0</v>
      </c>
      <c r="DL340" t="str">
        <f>IF(DE340=1,DL$7,0)</f>
        <v>Energy</v>
      </c>
      <c r="DM340" t="str">
        <f>IF(DF340=1,DM$7,0)</f>
        <v>Pulp/Paper</v>
      </c>
      <c r="DN340" t="str">
        <f>IF(DG340=1,DN$7,0)</f>
        <v>Timber</v>
      </c>
      <c r="DO340">
        <v>0</v>
      </c>
      <c r="DP340">
        <v>0</v>
      </c>
      <c r="DQ340"/>
      <c r="DR340">
        <v>0</v>
      </c>
      <c r="DS340">
        <v>0</v>
      </c>
      <c r="DT340">
        <f>SUM(DO340:DP340)</f>
        <v>0</v>
      </c>
      <c r="DU340" s="143" t="str">
        <f>IF(DO340=1,"self-calculated DF",IF(DP340=1,"external DF used","explicit C balance"))</f>
        <v>explicit C balance</v>
      </c>
      <c r="DV340">
        <v>1</v>
      </c>
      <c r="DW340">
        <v>1</v>
      </c>
      <c r="DX340">
        <v>1</v>
      </c>
      <c r="DY340">
        <v>1</v>
      </c>
      <c r="DZ340">
        <v>1</v>
      </c>
      <c r="EA340">
        <v>0</v>
      </c>
      <c r="EB340">
        <v>0</v>
      </c>
      <c r="EC340">
        <v>0</v>
      </c>
      <c r="ED340">
        <v>0</v>
      </c>
      <c r="EE340">
        <v>0</v>
      </c>
      <c r="EF340">
        <v>1</v>
      </c>
      <c r="EG340">
        <v>0</v>
      </c>
      <c r="EH340">
        <v>0</v>
      </c>
      <c r="EI340" s="2">
        <v>0</v>
      </c>
      <c r="EJ340" s="1"/>
      <c r="EK340" t="str">
        <f>IF(AND(AND(AND(OR($DX340=1,$DW340=1),OR($EC340=1,$EA340=1)),SUM($DV340:$DZ340,$EF340)&gt;=4),SUM($EA340:$EE340)&gt;=2),"Whole sector","")</f>
        <v/>
      </c>
      <c r="EL340" t="str">
        <f>IF(AND(AND(OR($DX340=1,$DW340=1),AND($EC340=0,$EA340=0)),SUM($DV340:$DZ340,$EF340)&gt;=4),"Ecosystem approach","")</f>
        <v>Ecosystem approach</v>
      </c>
      <c r="EM340" s="2" t="str">
        <f>IF(AND(AND(AND($DX340=0,$DW340=0),OR($EC340=1,$EA340=1)),SUM($EB340:$EE340)&gt;=2),"Technology approach","")</f>
        <v/>
      </c>
      <c r="EN340"/>
      <c r="EO340"/>
      <c r="EP340" t="str">
        <f>IF(ISNUMBER(BU340),IF(ABS(BU340-[2]QC_indicators!$B$2)&gt;3*[2]QC_indicators!$C$2,"C ratio",IF(ISNUMBER(BY340),IF(ABS(BY340-[2]QC_indicators!$B$1)&gt;3*[2]QC_indicators!$C$1,"DF","no"))),IF(ISNUMBER(BY340),IF(ABS(BY340-[2]QC_indicators!$B$1)&gt;3*[2]QC_indicators!$C$1,"DF","no")))</f>
        <v>no</v>
      </c>
      <c r="EQ340"/>
      <c r="ER340" t="s">
        <v>2291</v>
      </c>
      <c r="ES340"/>
      <c r="ET340" s="270" t="s">
        <v>3244</v>
      </c>
      <c r="EU340"/>
    </row>
    <row r="341" spans="1:151" s="139" customFormat="1" ht="15" hidden="1" customHeight="1">
      <c r="A341" s="1" t="s">
        <v>1362</v>
      </c>
      <c r="B341" t="s">
        <v>2137</v>
      </c>
      <c r="C341" t="s">
        <v>2138</v>
      </c>
      <c r="D341" t="s">
        <v>2139</v>
      </c>
      <c r="E341" t="s">
        <v>2140</v>
      </c>
      <c r="F341" t="s">
        <v>2141</v>
      </c>
      <c r="G341" t="s">
        <v>1368</v>
      </c>
      <c r="H341" t="s">
        <v>255</v>
      </c>
      <c r="I341">
        <v>2012</v>
      </c>
      <c r="J341">
        <v>21</v>
      </c>
      <c r="K341" t="s">
        <v>2142</v>
      </c>
      <c r="L341" s="192"/>
      <c r="M341" t="str">
        <f>LEFT($D341,FIND(",",$D341)-1)&amp;"_"&amp;I341&amp;L341</f>
        <v>Pyorala_2012</v>
      </c>
      <c r="N341" t="s">
        <v>223</v>
      </c>
      <c r="O341" s="145" t="s">
        <v>342</v>
      </c>
      <c r="P341" s="180" t="s">
        <v>224</v>
      </c>
      <c r="Q341" s="266" t="s">
        <v>257</v>
      </c>
      <c r="R341" s="271" t="s">
        <v>1156</v>
      </c>
      <c r="S341" s="265" t="s">
        <v>2155</v>
      </c>
      <c r="T341" s="266" t="s">
        <v>2145</v>
      </c>
      <c r="U341" s="266" t="s">
        <v>2154</v>
      </c>
      <c r="V341">
        <v>0</v>
      </c>
      <c r="W341">
        <v>0</v>
      </c>
      <c r="X341">
        <v>0</v>
      </c>
      <c r="Y341">
        <v>0</v>
      </c>
      <c r="Z341">
        <v>0</v>
      </c>
      <c r="AA341">
        <v>0</v>
      </c>
      <c r="AB341">
        <v>1</v>
      </c>
      <c r="AC341">
        <v>0</v>
      </c>
      <c r="AD341">
        <v>0</v>
      </c>
      <c r="AE341">
        <v>0</v>
      </c>
      <c r="AF341">
        <v>0</v>
      </c>
      <c r="AG341">
        <v>0</v>
      </c>
      <c r="AH341">
        <v>0</v>
      </c>
      <c r="AI341">
        <v>0</v>
      </c>
      <c r="AJ341">
        <v>0</v>
      </c>
      <c r="AK341">
        <v>0</v>
      </c>
      <c r="AL341">
        <v>0</v>
      </c>
      <c r="AM341">
        <v>0</v>
      </c>
      <c r="AN341">
        <v>0</v>
      </c>
      <c r="AO341">
        <v>0</v>
      </c>
      <c r="AP341">
        <v>0</v>
      </c>
      <c r="AQ341">
        <v>0</v>
      </c>
      <c r="AR341">
        <v>0</v>
      </c>
      <c r="AS341">
        <v>0</v>
      </c>
      <c r="AT341">
        <v>0</v>
      </c>
      <c r="AU341">
        <v>0</v>
      </c>
      <c r="AV341">
        <v>0</v>
      </c>
      <c r="AW341">
        <v>0</v>
      </c>
      <c r="AX341" s="141">
        <f>COUNTIF(V341:AW341,"&lt;&gt;0")</f>
        <v>1</v>
      </c>
      <c r="AY341" s="141">
        <f>COUNTIF(V341:AL341,"&lt;&gt;0")</f>
        <v>1</v>
      </c>
      <c r="AZ341">
        <f>COUNTIF(V341:AC341,"&lt;&gt;0")</f>
        <v>1</v>
      </c>
      <c r="BA341">
        <f>COUNTIF(AD341:AI341,"&lt;&gt;0")</f>
        <v>0</v>
      </c>
      <c r="BB341">
        <f>COUNTIF(AJ341:AL341,"&lt;&gt;0")</f>
        <v>0</v>
      </c>
      <c r="BC341">
        <f>COUNTIF(AS341:AW341,"&lt;&gt;0")</f>
        <v>0</v>
      </c>
      <c r="BD341">
        <f>COUNTIF(AM341:AR341,"&lt;&gt;0")</f>
        <v>0</v>
      </c>
      <c r="BE341" t="str" cm="1">
        <f t="array" ref="BE341">IF(AY341=1,INDEX($V$7:$AL$7,MATCH(TRUE,INDEX($V341:$AW341&lt;&gt;0,),0)),IF(AY341=0,INDEX($AM$7:$AW$7,MATCH(1,$AM341:$AW341,0)),IF(BF341="Multiple strategies","mixed drivers",IF(BF341="Supply chain","multiple supply","multiple silviculture"))))</f>
        <v>fertilisation</v>
      </c>
      <c r="BF341" s="2" t="str" cm="1">
        <f t="array" ref="BF341">IF(COUNTIF(AZ341:BB341,"&lt;&gt;0")=1,INDEX($V$4:$AW$4,MATCH(TRUE,INDEX($V341:$AW341&lt;&gt;0,),0)),IF(COUNTIF(AZ341:BB341,"&lt;&gt;0")=0,INDEX($AM$4:$AW$4,MATCH(1,$AM341:$AW341,0)),"Multiple strategies"))</f>
        <v>SilvicultureProd</v>
      </c>
      <c r="BG341" s="178" t="s">
        <v>322</v>
      </c>
      <c r="BH341" s="266" t="s">
        <v>2146</v>
      </c>
      <c r="BI341" s="266" t="s">
        <v>703</v>
      </c>
      <c r="BJ341" s="160" t="s">
        <v>702</v>
      </c>
      <c r="BK341">
        <v>7.6</v>
      </c>
      <c r="BL341">
        <v>7.9</v>
      </c>
      <c r="BM341"/>
      <c r="BN341">
        <f>BL341-BK341</f>
        <v>0.30000000000000071</v>
      </c>
      <c r="BO341">
        <f>BN341</f>
        <v>0.30000000000000071</v>
      </c>
      <c r="BP341" s="155" t="s">
        <v>396</v>
      </c>
      <c r="BQ341" s="266" t="s">
        <v>788</v>
      </c>
      <c r="BR341" s="272" t="s">
        <v>2147</v>
      </c>
      <c r="BS341">
        <f>-4.1/50</f>
        <v>-8.199999999999999E-2</v>
      </c>
      <c r="BT341">
        <f>-4.4/50</f>
        <v>-8.8000000000000009E-2</v>
      </c>
      <c r="BU341" s="144"/>
      <c r="BV341">
        <f>BT341-BS341</f>
        <v>-6.0000000000000192E-3</v>
      </c>
      <c r="BW341"/>
      <c r="BX341">
        <f>BV341</f>
        <v>-6.0000000000000192E-3</v>
      </c>
      <c r="BY341">
        <f>IFERROR(BX341/BO341,"")</f>
        <v>-2.0000000000000018E-2</v>
      </c>
      <c r="BZ341">
        <v>0</v>
      </c>
      <c r="CA341">
        <v>0</v>
      </c>
      <c r="CB341">
        <v>0</v>
      </c>
      <c r="CC341">
        <v>0</v>
      </c>
      <c r="CD341">
        <v>0</v>
      </c>
      <c r="CE341">
        <v>0</v>
      </c>
      <c r="CF341">
        <v>0</v>
      </c>
      <c r="CG341">
        <v>0</v>
      </c>
      <c r="CH341">
        <v>0</v>
      </c>
      <c r="CI341">
        <v>0</v>
      </c>
      <c r="CJ341">
        <v>0</v>
      </c>
      <c r="CK341">
        <v>0</v>
      </c>
      <c r="CL341">
        <v>0</v>
      </c>
      <c r="CM341">
        <v>0</v>
      </c>
      <c r="CN341" t="str">
        <f>IF($BL341&lt;$BK341,"refNeedCorrection","refOK")</f>
        <v>refOK</v>
      </c>
      <c r="CO341">
        <f>IF($CN341="refOK",$BK341,$BL341)</f>
        <v>7.6</v>
      </c>
      <c r="CP341">
        <f>IF($CN341="refOK",$BL341,$BK341)</f>
        <v>7.9</v>
      </c>
      <c r="CQ341">
        <f>IF($CN341="refOK",$BO341,-$BO341)</f>
        <v>0.30000000000000071</v>
      </c>
      <c r="CR341">
        <f>IF($CN341="refOK",$BS341,$BT341)*IF($BP341="Emissions positive",-1,1)</f>
        <v>8.199999999999999E-2</v>
      </c>
      <c r="CS341">
        <f>IF($CN341="refOK",$BT341,$BS341)*IF($BP341="Emissions positive",-1,1)</f>
        <v>8.8000000000000009E-2</v>
      </c>
      <c r="CT341">
        <f>IF($CN341="refNeedCorrection",-BX341,BX341)*IF($BP341="Emissions positive",-1,1)</f>
        <v>6.0000000000000192E-3</v>
      </c>
      <c r="CU341">
        <f>IFERROR(CT341/CQ341,"")</f>
        <v>2.0000000000000018E-2</v>
      </c>
      <c r="CV341" s="2">
        <f>IFERROR((CS341-CR341)/ABS(CR341),"")</f>
        <v>7.3170731707317319E-2</v>
      </c>
      <c r="CW341" s="1" t="s">
        <v>1201</v>
      </c>
      <c r="CX341" s="266" t="str">
        <f>IF(OR($CW341="prd",$CW341="std",$CW341="cit"),"loc",IF(OR($CW341="eur",$CW341="reg",$CW341="coy"),"reg",$CW341))</f>
        <v>reg</v>
      </c>
      <c r="CY341" t="s">
        <v>236</v>
      </c>
      <c r="CZ341"/>
      <c r="DA341"/>
      <c r="DB341">
        <v>50</v>
      </c>
      <c r="DC341" t="str">
        <f>IF(DB341=0,"0",IF(AND(DB341&gt;=1,DB341&lt;=30),"1-30",IF(AND(DB341&gt;30,DB341&lt;=70),"31-70",IF(AND(DB341&gt;70,DB341&lt;=100),"71-100",IF(DB341&gt;100,"+100")))))</f>
        <v>31-70</v>
      </c>
      <c r="DD341">
        <v>0</v>
      </c>
      <c r="DE341">
        <v>1</v>
      </c>
      <c r="DF341">
        <v>1</v>
      </c>
      <c r="DG341">
        <v>1</v>
      </c>
      <c r="DH341"/>
      <c r="DI341">
        <f>SUM(DD341:DG341)</f>
        <v>3</v>
      </c>
      <c r="DJ341" t="str">
        <f>IF(DI341=1,INDEX($DD$7:$DG$7,MATCH(1,$DD341:$DG341,0)),"mixedProduct")</f>
        <v>mixedProduct</v>
      </c>
      <c r="DK341">
        <f>IF(DD341=1,DK$7,0)</f>
        <v>0</v>
      </c>
      <c r="DL341" t="str">
        <f>IF(DE341=1,DL$7,0)</f>
        <v>Energy</v>
      </c>
      <c r="DM341" t="str">
        <f>IF(DF341=1,DM$7,0)</f>
        <v>Pulp/Paper</v>
      </c>
      <c r="DN341" t="str">
        <f>IF(DG341=1,DN$7,0)</f>
        <v>Timber</v>
      </c>
      <c r="DO341">
        <v>0</v>
      </c>
      <c r="DP341">
        <v>1</v>
      </c>
      <c r="DQ341" t="s">
        <v>2148</v>
      </c>
      <c r="DR341">
        <v>0</v>
      </c>
      <c r="DS341">
        <v>0</v>
      </c>
      <c r="DT341">
        <f>SUM(DO341:DP341)</f>
        <v>1</v>
      </c>
      <c r="DU341" s="143" t="str">
        <f>IF(DO341=1,"self-calculated DF",IF(DP341=1,"external DF used","explicit C balance"))</f>
        <v>external DF used</v>
      </c>
      <c r="DV341">
        <v>1</v>
      </c>
      <c r="DW341">
        <v>1</v>
      </c>
      <c r="DX341">
        <v>1</v>
      </c>
      <c r="DY341">
        <v>0</v>
      </c>
      <c r="DZ341">
        <v>0</v>
      </c>
      <c r="EA341" s="143">
        <v>0</v>
      </c>
      <c r="EB341">
        <v>1</v>
      </c>
      <c r="EC341">
        <v>1</v>
      </c>
      <c r="ED341">
        <v>0</v>
      </c>
      <c r="EE341">
        <v>0</v>
      </c>
      <c r="EF341">
        <v>1</v>
      </c>
      <c r="EG341">
        <v>0</v>
      </c>
      <c r="EH341">
        <v>0</v>
      </c>
      <c r="EI341" s="2">
        <v>0</v>
      </c>
      <c r="EJ341" s="1"/>
      <c r="EK341" t="str">
        <f>IF(AND(AND(AND(OR($DX341=1,$DW341=1),OR($EC341=1,$EA341=1)),SUM($DV341:$DZ341,$EF341)&gt;=4),SUM($EA341:$EE341)&gt;=2),"Whole sector","")</f>
        <v>Whole sector</v>
      </c>
      <c r="EL341" t="str">
        <f>IF(AND(AND(OR($DX341=1,$DW341=1),AND($EC341=0,$EA341=0)),SUM($DV341:$DZ341,$EF341)&gt;=4),"Ecosystem approach","")</f>
        <v/>
      </c>
      <c r="EM341" s="2" t="str">
        <f>IF(AND(AND(AND($DX341=0,$DW341=0),OR($EC341=1,$EA341=1)),SUM($EB341:$EE341)&gt;=2),"Technology approach","")</f>
        <v/>
      </c>
      <c r="EN341"/>
      <c r="EO341"/>
      <c r="EP341" t="str">
        <f>IF(ISNUMBER(BU341),IF(ABS(BU341-[1]QC_indicators!$B$2)&gt;3*[1]QC_indicators!$C$2,"C ratio",IF(ISNUMBER(BY341),IF(ABS(BY341-[1]QC_indicators!$B$1)&gt;3*[1]QC_indicators!$C$1,"DF","no"))),IF(ISNUMBER(BY341),IF(ABS(BY341-[1]QC_indicators!$B$1)&gt;3*[1]QC_indicators!$C$1,"DF","no")))</f>
        <v>no</v>
      </c>
      <c r="EQ341"/>
      <c r="ER341"/>
      <c r="ES341"/>
      <c r="ET341" s="266" t="s">
        <v>3409</v>
      </c>
      <c r="EU341"/>
    </row>
    <row r="342" spans="1:151" s="139" customFormat="1" ht="15" hidden="1" customHeight="1">
      <c r="A342" s="1" t="s">
        <v>1362</v>
      </c>
      <c r="B342" t="s">
        <v>2137</v>
      </c>
      <c r="C342" t="s">
        <v>2138</v>
      </c>
      <c r="D342" t="s">
        <v>2139</v>
      </c>
      <c r="E342" t="s">
        <v>2140</v>
      </c>
      <c r="F342" t="s">
        <v>2141</v>
      </c>
      <c r="G342" t="s">
        <v>1368</v>
      </c>
      <c r="H342" t="s">
        <v>255</v>
      </c>
      <c r="I342">
        <v>2012</v>
      </c>
      <c r="J342">
        <v>21</v>
      </c>
      <c r="K342" t="s">
        <v>2142</v>
      </c>
      <c r="L342" s="192"/>
      <c r="M342" t="str">
        <f>LEFT($D342,FIND(",",$D342)-1)&amp;"_"&amp;I342&amp;L342</f>
        <v>Pyorala_2012</v>
      </c>
      <c r="N342" t="s">
        <v>223</v>
      </c>
      <c r="O342" s="145" t="s">
        <v>342</v>
      </c>
      <c r="P342" s="180" t="s">
        <v>224</v>
      </c>
      <c r="Q342" s="266" t="s">
        <v>257</v>
      </c>
      <c r="R342" s="271" t="s">
        <v>1156</v>
      </c>
      <c r="S342" s="265" t="s">
        <v>2156</v>
      </c>
      <c r="T342" s="266" t="s">
        <v>2145</v>
      </c>
      <c r="U342" s="266" t="s">
        <v>2154</v>
      </c>
      <c r="V342">
        <v>0</v>
      </c>
      <c r="W342">
        <v>0</v>
      </c>
      <c r="X342">
        <v>0</v>
      </c>
      <c r="Y342">
        <v>0</v>
      </c>
      <c r="Z342">
        <v>0</v>
      </c>
      <c r="AA342">
        <v>0</v>
      </c>
      <c r="AB342">
        <v>1</v>
      </c>
      <c r="AC342">
        <v>0</v>
      </c>
      <c r="AD342">
        <v>0</v>
      </c>
      <c r="AE342">
        <v>0</v>
      </c>
      <c r="AF342">
        <v>0</v>
      </c>
      <c r="AG342">
        <v>0</v>
      </c>
      <c r="AH342">
        <v>0</v>
      </c>
      <c r="AI342">
        <v>0</v>
      </c>
      <c r="AJ342">
        <v>0</v>
      </c>
      <c r="AK342">
        <v>0</v>
      </c>
      <c r="AL342">
        <v>0</v>
      </c>
      <c r="AM342">
        <v>0</v>
      </c>
      <c r="AN342">
        <v>0</v>
      </c>
      <c r="AO342">
        <v>0</v>
      </c>
      <c r="AP342">
        <v>0</v>
      </c>
      <c r="AQ342">
        <v>0</v>
      </c>
      <c r="AR342">
        <v>0</v>
      </c>
      <c r="AS342">
        <v>0</v>
      </c>
      <c r="AT342">
        <v>0</v>
      </c>
      <c r="AU342">
        <v>0</v>
      </c>
      <c r="AV342">
        <v>0</v>
      </c>
      <c r="AW342">
        <v>0</v>
      </c>
      <c r="AX342" s="141">
        <f>COUNTIF(V342:AW342,"&lt;&gt;0")</f>
        <v>1</v>
      </c>
      <c r="AY342" s="141">
        <f>COUNTIF(V342:AL342,"&lt;&gt;0")</f>
        <v>1</v>
      </c>
      <c r="AZ342">
        <f>COUNTIF(V342:AC342,"&lt;&gt;0")</f>
        <v>1</v>
      </c>
      <c r="BA342">
        <f>COUNTIF(AD342:AI342,"&lt;&gt;0")</f>
        <v>0</v>
      </c>
      <c r="BB342">
        <f>COUNTIF(AJ342:AL342,"&lt;&gt;0")</f>
        <v>0</v>
      </c>
      <c r="BC342">
        <f>COUNTIF(AS342:AW342,"&lt;&gt;0")</f>
        <v>0</v>
      </c>
      <c r="BD342">
        <f>COUNTIF(AM342:AR342,"&lt;&gt;0")</f>
        <v>0</v>
      </c>
      <c r="BE342" t="str" cm="1">
        <f t="array" ref="BE342">IF(AY342=1,INDEX($V$7:$AL$7,MATCH(TRUE,INDEX($V342:$AW342&lt;&gt;0,),0)),IF(AY342=0,INDEX($AM$7:$AW$7,MATCH(1,$AM342:$AW342,0)),IF(BF342="Multiple strategies","mixed drivers",IF(BF342="Supply chain","multiple supply","multiple silviculture"))))</f>
        <v>fertilisation</v>
      </c>
      <c r="BF342" s="2" t="str" cm="1">
        <f t="array" ref="BF342">IF(COUNTIF(AZ342:BB342,"&lt;&gt;0")=1,INDEX($V$4:$AW$4,MATCH(TRUE,INDEX($V342:$AW342&lt;&gt;0,),0)),IF(COUNTIF(AZ342:BB342,"&lt;&gt;0")=0,INDEX($AM$4:$AW$4,MATCH(1,$AM342:$AW342,0)),"Multiple strategies"))</f>
        <v>SilvicultureProd</v>
      </c>
      <c r="BG342" s="178" t="s">
        <v>322</v>
      </c>
      <c r="BH342" s="266" t="s">
        <v>2146</v>
      </c>
      <c r="BI342" s="266" t="s">
        <v>427</v>
      </c>
      <c r="BJ342" s="160" t="s">
        <v>702</v>
      </c>
      <c r="BK342">
        <v>7.8</v>
      </c>
      <c r="BL342">
        <v>10.6</v>
      </c>
      <c r="BM342"/>
      <c r="BN342">
        <f>BL342-BK342</f>
        <v>2.8</v>
      </c>
      <c r="BO342">
        <f>BN342</f>
        <v>2.8</v>
      </c>
      <c r="BP342" s="155" t="s">
        <v>396</v>
      </c>
      <c r="BQ342" s="266" t="s">
        <v>788</v>
      </c>
      <c r="BR342" s="272" t="s">
        <v>2147</v>
      </c>
      <c r="BS342">
        <f>-3.5/50</f>
        <v>-7.0000000000000007E-2</v>
      </c>
      <c r="BT342">
        <f>-5.1/50</f>
        <v>-0.10199999999999999</v>
      </c>
      <c r="BU342" s="144"/>
      <c r="BV342">
        <f>BT342-BS342</f>
        <v>-3.1999999999999987E-2</v>
      </c>
      <c r="BW342"/>
      <c r="BX342">
        <f>BV342</f>
        <v>-3.1999999999999987E-2</v>
      </c>
      <c r="BY342">
        <f>IFERROR(BX342/BO342,"")</f>
        <v>-1.1428571428571425E-2</v>
      </c>
      <c r="BZ342">
        <v>0</v>
      </c>
      <c r="CA342">
        <v>0</v>
      </c>
      <c r="CB342">
        <v>0</v>
      </c>
      <c r="CC342">
        <v>0</v>
      </c>
      <c r="CD342">
        <v>0</v>
      </c>
      <c r="CE342">
        <v>0</v>
      </c>
      <c r="CF342">
        <v>0</v>
      </c>
      <c r="CG342">
        <v>0</v>
      </c>
      <c r="CH342">
        <v>0</v>
      </c>
      <c r="CI342">
        <v>0</v>
      </c>
      <c r="CJ342">
        <v>0</v>
      </c>
      <c r="CK342">
        <v>0</v>
      </c>
      <c r="CL342">
        <v>0</v>
      </c>
      <c r="CM342">
        <v>0</v>
      </c>
      <c r="CN342" t="str">
        <f>IF($BL342&lt;$BK342,"refNeedCorrection","refOK")</f>
        <v>refOK</v>
      </c>
      <c r="CO342">
        <f>IF($CN342="refOK",$BK342,$BL342)</f>
        <v>7.8</v>
      </c>
      <c r="CP342">
        <f>IF($CN342="refOK",$BL342,$BK342)</f>
        <v>10.6</v>
      </c>
      <c r="CQ342">
        <f>IF($CN342="refOK",$BO342,-$BO342)</f>
        <v>2.8</v>
      </c>
      <c r="CR342">
        <f>IF($CN342="refOK",$BS342,$BT342)*IF($BP342="Emissions positive",-1,1)</f>
        <v>7.0000000000000007E-2</v>
      </c>
      <c r="CS342">
        <f>IF($CN342="refOK",$BT342,$BS342)*IF($BP342="Emissions positive",-1,1)</f>
        <v>0.10199999999999999</v>
      </c>
      <c r="CT342">
        <f>IF($CN342="refNeedCorrection",-BX342,BX342)*IF($BP342="Emissions positive",-1,1)</f>
        <v>3.1999999999999987E-2</v>
      </c>
      <c r="CU342">
        <f>IFERROR(CT342/CQ342,"")</f>
        <v>1.1428571428571425E-2</v>
      </c>
      <c r="CV342" s="2">
        <f>IFERROR((CS342-CR342)/ABS(CR342),"")</f>
        <v>0.45714285714285691</v>
      </c>
      <c r="CW342" s="1" t="s">
        <v>1201</v>
      </c>
      <c r="CX342" s="266" t="str">
        <f>IF(OR($CW342="prd",$CW342="std",$CW342="cit"),"loc",IF(OR($CW342="eur",$CW342="reg",$CW342="coy"),"reg",$CW342))</f>
        <v>reg</v>
      </c>
      <c r="CY342" t="s">
        <v>236</v>
      </c>
      <c r="CZ342"/>
      <c r="DA342"/>
      <c r="DB342">
        <v>50</v>
      </c>
      <c r="DC342" t="str">
        <f>IF(DB342=0,"0",IF(AND(DB342&gt;=1,DB342&lt;=30),"1-30",IF(AND(DB342&gt;30,DB342&lt;=70),"31-70",IF(AND(DB342&gt;70,DB342&lt;=100),"71-100",IF(DB342&gt;100,"+100")))))</f>
        <v>31-70</v>
      </c>
      <c r="DD342">
        <v>0</v>
      </c>
      <c r="DE342">
        <v>1</v>
      </c>
      <c r="DF342">
        <v>1</v>
      </c>
      <c r="DG342">
        <v>1</v>
      </c>
      <c r="DH342"/>
      <c r="DI342">
        <f>SUM(DD342:DG342)</f>
        <v>3</v>
      </c>
      <c r="DJ342" t="str">
        <f>IF(DI342=1,INDEX($DD$7:$DG$7,MATCH(1,$DD342:$DG342,0)),"mixedProduct")</f>
        <v>mixedProduct</v>
      </c>
      <c r="DK342">
        <f>IF(DD342=1,DK$7,0)</f>
        <v>0</v>
      </c>
      <c r="DL342" t="str">
        <f>IF(DE342=1,DL$7,0)</f>
        <v>Energy</v>
      </c>
      <c r="DM342" t="str">
        <f>IF(DF342=1,DM$7,0)</f>
        <v>Pulp/Paper</v>
      </c>
      <c r="DN342" t="str">
        <f>IF(DG342=1,DN$7,0)</f>
        <v>Timber</v>
      </c>
      <c r="DO342">
        <v>0</v>
      </c>
      <c r="DP342">
        <v>1</v>
      </c>
      <c r="DQ342" t="s">
        <v>2148</v>
      </c>
      <c r="DR342">
        <v>0</v>
      </c>
      <c r="DS342">
        <v>0</v>
      </c>
      <c r="DT342">
        <f>SUM(DO342:DP342)</f>
        <v>1</v>
      </c>
      <c r="DU342" s="143" t="str">
        <f>IF(DO342=1,"self-calculated DF",IF(DP342=1,"external DF used","explicit C balance"))</f>
        <v>external DF used</v>
      </c>
      <c r="DV342">
        <v>1</v>
      </c>
      <c r="DW342">
        <v>1</v>
      </c>
      <c r="DX342">
        <v>1</v>
      </c>
      <c r="DY342">
        <v>0</v>
      </c>
      <c r="DZ342">
        <v>0</v>
      </c>
      <c r="EA342" s="143">
        <v>0</v>
      </c>
      <c r="EB342">
        <v>1</v>
      </c>
      <c r="EC342">
        <v>1</v>
      </c>
      <c r="ED342">
        <v>0</v>
      </c>
      <c r="EE342">
        <v>0</v>
      </c>
      <c r="EF342">
        <v>1</v>
      </c>
      <c r="EG342">
        <v>0</v>
      </c>
      <c r="EH342">
        <v>0</v>
      </c>
      <c r="EI342" s="2">
        <v>0</v>
      </c>
      <c r="EJ342" s="1"/>
      <c r="EK342" t="str">
        <f>IF(AND(AND(AND(OR($DX342=1,$DW342=1),OR($EC342=1,$EA342=1)),SUM($DV342:$DZ342,$EF342)&gt;=4),SUM($EA342:$EE342)&gt;=2),"Whole sector","")</f>
        <v>Whole sector</v>
      </c>
      <c r="EL342" t="str">
        <f>IF(AND(AND(OR($DX342=1,$DW342=1),AND($EC342=0,$EA342=0)),SUM($DV342:$DZ342,$EF342)&gt;=4),"Ecosystem approach","")</f>
        <v/>
      </c>
      <c r="EM342" s="2" t="str">
        <f>IF(AND(AND(AND($DX342=0,$DW342=0),OR($EC342=1,$EA342=1)),SUM($EB342:$EE342)&gt;=2),"Technology approach","")</f>
        <v/>
      </c>
      <c r="EN342"/>
      <c r="EO342"/>
      <c r="EP342" t="str">
        <f>IF(ISNUMBER(BU342),IF(ABS(BU342-[1]QC_indicators!$B$2)&gt;3*[1]QC_indicators!$C$2,"C ratio",IF(ISNUMBER(BY342),IF(ABS(BY342-[1]QC_indicators!$B$1)&gt;3*[1]QC_indicators!$C$1,"DF","no"))),IF(ISNUMBER(BY342),IF(ABS(BY342-[1]QC_indicators!$B$1)&gt;3*[1]QC_indicators!$C$1,"DF","no")))</f>
        <v>no</v>
      </c>
      <c r="EQ342"/>
      <c r="ER342"/>
      <c r="ES342"/>
      <c r="ET342" s="266" t="s">
        <v>3409</v>
      </c>
      <c r="EU342"/>
    </row>
    <row r="343" spans="1:151" s="139" customFormat="1" ht="15" customHeight="1">
      <c r="A343" s="1" t="s">
        <v>2116</v>
      </c>
      <c r="B343" t="s">
        <v>545</v>
      </c>
      <c r="C343" t="s">
        <v>2279</v>
      </c>
      <c r="D343" t="s">
        <v>2280</v>
      </c>
      <c r="E343" t="s">
        <v>2281</v>
      </c>
      <c r="F343" t="s">
        <v>2282</v>
      </c>
      <c r="G343" t="s">
        <v>2117</v>
      </c>
      <c r="H343" t="s">
        <v>255</v>
      </c>
      <c r="I343">
        <v>2014</v>
      </c>
      <c r="J343">
        <v>96</v>
      </c>
      <c r="K343" t="s">
        <v>2283</v>
      </c>
      <c r="L343"/>
      <c r="M343" t="str">
        <f>LEFT($D343,FIND(",",$D343)-1)&amp;"_"&amp;I343&amp;L343</f>
        <v>Smyth_2014</v>
      </c>
      <c r="N343" t="s">
        <v>223</v>
      </c>
      <c r="O343" s="145" t="s">
        <v>342</v>
      </c>
      <c r="P343"/>
      <c r="Q343" t="s">
        <v>257</v>
      </c>
      <c r="R343" s="264" t="s">
        <v>224</v>
      </c>
      <c r="S343" s="1" t="s">
        <v>2292</v>
      </c>
      <c r="T343" t="s">
        <v>1157</v>
      </c>
      <c r="U343" s="266" t="s">
        <v>2288</v>
      </c>
      <c r="V343">
        <v>0</v>
      </c>
      <c r="W343">
        <v>0</v>
      </c>
      <c r="X343">
        <v>0</v>
      </c>
      <c r="Y343">
        <v>1</v>
      </c>
      <c r="Z343">
        <v>0</v>
      </c>
      <c r="AA343">
        <v>0</v>
      </c>
      <c r="AB343">
        <v>0</v>
      </c>
      <c r="AC343">
        <v>0</v>
      </c>
      <c r="AD343">
        <v>0</v>
      </c>
      <c r="AE343">
        <v>0</v>
      </c>
      <c r="AF343">
        <v>0</v>
      </c>
      <c r="AG343">
        <v>0</v>
      </c>
      <c r="AH343">
        <v>0</v>
      </c>
      <c r="AI343">
        <v>0</v>
      </c>
      <c r="AJ343">
        <v>0</v>
      </c>
      <c r="AK343">
        <v>0</v>
      </c>
      <c r="AL343">
        <v>0</v>
      </c>
      <c r="AM343">
        <v>0</v>
      </c>
      <c r="AN343">
        <v>0</v>
      </c>
      <c r="AO343">
        <v>0</v>
      </c>
      <c r="AP343">
        <v>0</v>
      </c>
      <c r="AQ343">
        <v>0</v>
      </c>
      <c r="AR343">
        <v>0</v>
      </c>
      <c r="AS343">
        <v>0</v>
      </c>
      <c r="AT343">
        <v>0</v>
      </c>
      <c r="AU343">
        <v>0</v>
      </c>
      <c r="AV343">
        <v>0</v>
      </c>
      <c r="AW343">
        <v>0</v>
      </c>
      <c r="AX343" s="141">
        <f>COUNTIF(V343:AW343,"&lt;&gt;0")</f>
        <v>1</v>
      </c>
      <c r="AY343" s="141">
        <f>COUNTIF(V343:AL343,"&lt;&gt;0")</f>
        <v>1</v>
      </c>
      <c r="AZ343">
        <f>COUNTIF(V343:AC343,"&lt;&gt;0")</f>
        <v>1</v>
      </c>
      <c r="BA343">
        <f>COUNTIF(AD343:AI343,"&lt;&gt;0")</f>
        <v>0</v>
      </c>
      <c r="BB343">
        <f>COUNTIF(AJ343:AL343,"&lt;&gt;0")</f>
        <v>0</v>
      </c>
      <c r="BC343">
        <f>COUNTIF(AS343:AW343,"&lt;&gt;0")</f>
        <v>0</v>
      </c>
      <c r="BD343">
        <f>COUNTIF(AM343:AR343,"&lt;&gt;0")</f>
        <v>0</v>
      </c>
      <c r="BE343" t="str">
        <f t="array" ref="BE343">IF(AY343=1,INDEX($V$7:$AL$7,MATCH(TRUE,INDEX($V343:$AW343&lt;&gt;0,),0)),IF(AY343=0,INDEX($AM$7:$AW$7,MATCH(1,$AM343:$AW343,0)),IF(BF343="Multiple strategies","mixed drivers",IF(BF343="Supply chain","multiple supply","multiple silviculture"))))</f>
        <v xml:space="preserve">cutting intensity </v>
      </c>
      <c r="BF343" s="2" t="str" cm="1">
        <f t="array" ref="BF343">IF(COUNTIF(AZ343:BB343,"&lt;&gt;0")=1,INDEX($V$4:$AW$4,MATCH(TRUE,INDEX($V343:$AW343&lt;&gt;0,),0)),IF(COUNTIF(AZ343:BB343,"&lt;&gt;0")=0,INDEX($AM$4:$AW$4,MATCH(1,$AM343:$AW343,0)),"Multiple strategies"))</f>
        <v>SilvicultureRemov</v>
      </c>
      <c r="BG343" s="1" t="s">
        <v>322</v>
      </c>
      <c r="BH343" t="s">
        <v>2289</v>
      </c>
      <c r="BI343" t="s">
        <v>1038</v>
      </c>
      <c r="BJ343" t="s">
        <v>2290</v>
      </c>
      <c r="BK343">
        <v>0</v>
      </c>
      <c r="BL343">
        <v>2.9000000000000001E-2</v>
      </c>
      <c r="BM343"/>
      <c r="BN343">
        <f>BL343-BK343</f>
        <v>2.9000000000000001E-2</v>
      </c>
      <c r="BO343">
        <f>BN343*10^6*tC_to_m3</f>
        <v>125922.70950933566</v>
      </c>
      <c r="BP343" t="s">
        <v>233</v>
      </c>
      <c r="BQ343" s="269" t="s">
        <v>785</v>
      </c>
      <c r="BR343" s="266" t="s">
        <v>3246</v>
      </c>
      <c r="BS343"/>
      <c r="BT343"/>
      <c r="BU343" s="144"/>
      <c r="BV343">
        <f>-22.7/35</f>
        <v>-0.64857142857142858</v>
      </c>
      <c r="BW343"/>
      <c r="BX343">
        <f>BV343*10^6</f>
        <v>-648571.42857142852</v>
      </c>
      <c r="BY343">
        <f>IFERROR(BX343/BO343,"")</f>
        <v>-5.1505517241379302</v>
      </c>
      <c r="BZ343">
        <v>0</v>
      </c>
      <c r="CA343">
        <v>1</v>
      </c>
      <c r="CB343">
        <v>1</v>
      </c>
      <c r="CC343">
        <v>1</v>
      </c>
      <c r="CD343">
        <v>0</v>
      </c>
      <c r="CE343">
        <v>0</v>
      </c>
      <c r="CF343">
        <v>0</v>
      </c>
      <c r="CG343">
        <v>0</v>
      </c>
      <c r="CH343">
        <v>0</v>
      </c>
      <c r="CI343">
        <v>0</v>
      </c>
      <c r="CJ343">
        <v>0</v>
      </c>
      <c r="CK343">
        <v>0</v>
      </c>
      <c r="CL343">
        <v>0</v>
      </c>
      <c r="CM343">
        <v>0</v>
      </c>
      <c r="CN343" t="str">
        <f>IF($BL343&lt;$BK343,"refNeedCorrection","refOK")</f>
        <v>refOK</v>
      </c>
      <c r="CO343">
        <f>IF($CN343="refOK",$BK343,$BL343)</f>
        <v>0</v>
      </c>
      <c r="CP343">
        <f>IF($CN343="refOK",$BL343,$BK343)</f>
        <v>2.9000000000000001E-2</v>
      </c>
      <c r="CQ343">
        <f>IF($CN343="refOK",$BO343,-$BO343)</f>
        <v>125922.70950933566</v>
      </c>
      <c r="CR343">
        <f>IF($CN343="refOK",$BS343,$BT343)*IF($BP343="Emissions positive",-1,1)</f>
        <v>0</v>
      </c>
      <c r="CS343">
        <f>IF($CN343="refOK",$BT343,$BS343)*IF($BP343="Emissions positive",-1,1)</f>
        <v>0</v>
      </c>
      <c r="CT343">
        <f>IF($CN343="refNeedCorrection",-BX343,BX343)*IF($BP343="Emissions positive",-1,1)</f>
        <v>-648571.42857142852</v>
      </c>
      <c r="CU343">
        <f>IFERROR(CT343/CQ343,"")</f>
        <v>-5.1505517241379302</v>
      </c>
      <c r="CV343" s="2" t="str">
        <f>IFERROR((CS343-CR343)/ABS(CR343),"")</f>
        <v/>
      </c>
      <c r="CW343" s="1" t="s">
        <v>1205</v>
      </c>
      <c r="CX343" t="str">
        <f>IF(OR($CW343="prd",$CW343="std",$CW343="cit"),"loc",IF(OR($CW343="eur",$CW343="reg",$CW343="coy"),"reg",$CW343))</f>
        <v>reg</v>
      </c>
      <c r="CY343" t="s">
        <v>541</v>
      </c>
      <c r="CZ343">
        <v>2015</v>
      </c>
      <c r="DA343">
        <v>2050</v>
      </c>
      <c r="DB343">
        <v>35</v>
      </c>
      <c r="DC343" t="str">
        <f>IF(DB343=0,"0",IF(AND(DB343&gt;=1,DB343&lt;=30),"1-30",IF(AND(DB343&gt;30,DB343&lt;=70),"31-70",IF(AND(DB343&gt;70,DB343&lt;=100),"71-100",IF(DB343&gt;100,"+100")))))</f>
        <v>31-70</v>
      </c>
      <c r="DD343">
        <v>0</v>
      </c>
      <c r="DE343">
        <v>1</v>
      </c>
      <c r="DF343">
        <v>1</v>
      </c>
      <c r="DG343">
        <v>1</v>
      </c>
      <c r="DH343"/>
      <c r="DI343">
        <f>SUM(DD343:DG343)</f>
        <v>3</v>
      </c>
      <c r="DJ343" t="str">
        <f>IF(DI343=1,INDEX($DD$7:$DG$7,MATCH(1,$DD343:$DG343,0)),"mixedProduct")</f>
        <v>mixedProduct</v>
      </c>
      <c r="DK343">
        <f>IF(DD343=1,DK$7,0)</f>
        <v>0</v>
      </c>
      <c r="DL343" t="str">
        <f>IF(DE343=1,DL$7,0)</f>
        <v>Energy</v>
      </c>
      <c r="DM343" t="str">
        <f>IF(DF343=1,DM$7,0)</f>
        <v>Pulp/Paper</v>
      </c>
      <c r="DN343" t="str">
        <f>IF(DG343=1,DN$7,0)</f>
        <v>Timber</v>
      </c>
      <c r="DO343">
        <v>0</v>
      </c>
      <c r="DP343">
        <v>0</v>
      </c>
      <c r="DQ343"/>
      <c r="DR343">
        <v>0</v>
      </c>
      <c r="DS343">
        <v>0</v>
      </c>
      <c r="DT343">
        <f>SUM(DO343:DP343)</f>
        <v>0</v>
      </c>
      <c r="DU343" s="143" t="str">
        <f>IF(DO343=1,"self-calculated DF",IF(DP343=1,"external DF used","explicit C balance"))</f>
        <v>explicit C balance</v>
      </c>
      <c r="DV343">
        <v>1</v>
      </c>
      <c r="DW343">
        <v>1</v>
      </c>
      <c r="DX343">
        <v>1</v>
      </c>
      <c r="DY343">
        <v>0</v>
      </c>
      <c r="DZ343">
        <v>0</v>
      </c>
      <c r="EA343">
        <v>0</v>
      </c>
      <c r="EB343">
        <v>0</v>
      </c>
      <c r="EC343">
        <v>0</v>
      </c>
      <c r="ED343">
        <v>0</v>
      </c>
      <c r="EE343">
        <v>0</v>
      </c>
      <c r="EF343">
        <v>1</v>
      </c>
      <c r="EG343">
        <v>0</v>
      </c>
      <c r="EH343">
        <v>0</v>
      </c>
      <c r="EI343" s="2">
        <v>0</v>
      </c>
      <c r="EJ343" s="1"/>
      <c r="EK343" t="str">
        <f>IF(AND(AND(AND(OR($DX343=1,$DW343=1),OR($EC343=1,$EA343=1)),SUM($DV343:$DZ343,$EF343)&gt;=4),SUM($EA343:$EE343)&gt;=2),"Whole sector","")</f>
        <v/>
      </c>
      <c r="EL343" t="str">
        <f>IF(AND(AND(OR($DX343=1,$DW343=1),AND($EC343=0,$EA343=0)),SUM($DV343:$DZ343,$EF343)&gt;=4),"Ecosystem approach","")</f>
        <v>Ecosystem approach</v>
      </c>
      <c r="EM343" s="2" t="str">
        <f>IF(AND(AND(AND($DX343=0,$DW343=0),OR($EC343=1,$EA343=1)),SUM($EB343:$EE343)&gt;=2),"Technology approach","")</f>
        <v/>
      </c>
      <c r="EN343"/>
      <c r="EO343"/>
      <c r="EP343" t="str">
        <f>IF(ISNUMBER(BU343),IF(ABS(BU343-[2]QC_indicators!$B$2)&gt;3*[2]QC_indicators!$C$2,"C ratio",IF(ISNUMBER(BY343),IF(ABS(BY343-[2]QC_indicators!$B$1)&gt;3*[2]QC_indicators!$C$1,"DF","no"))),IF(ISNUMBER(BY343),IF(ABS(BY343-[2]QC_indicators!$B$1)&gt;3*[2]QC_indicators!$C$1,"DF","no")))</f>
        <v>no</v>
      </c>
      <c r="EQ343"/>
      <c r="ER343"/>
      <c r="ES343"/>
      <c r="ET343" s="270" t="s">
        <v>3244</v>
      </c>
      <c r="EU343"/>
    </row>
    <row r="344" spans="1:151" s="139" customFormat="1" ht="15" customHeight="1">
      <c r="A344" s="1" t="s">
        <v>2116</v>
      </c>
      <c r="B344" t="s">
        <v>545</v>
      </c>
      <c r="C344" t="s">
        <v>2279</v>
      </c>
      <c r="D344" t="s">
        <v>2280</v>
      </c>
      <c r="E344" t="s">
        <v>2281</v>
      </c>
      <c r="F344" t="s">
        <v>2282</v>
      </c>
      <c r="G344" t="s">
        <v>2117</v>
      </c>
      <c r="H344" t="s">
        <v>255</v>
      </c>
      <c r="I344">
        <v>2014</v>
      </c>
      <c r="J344">
        <v>96</v>
      </c>
      <c r="K344" t="s">
        <v>2283</v>
      </c>
      <c r="L344"/>
      <c r="M344" t="str">
        <f>LEFT($D344,FIND(",",$D344)-1)&amp;"_"&amp;I344&amp;L344</f>
        <v>Smyth_2014</v>
      </c>
      <c r="N344" t="s">
        <v>223</v>
      </c>
      <c r="O344" s="145" t="s">
        <v>342</v>
      </c>
      <c r="P344"/>
      <c r="Q344" t="s">
        <v>257</v>
      </c>
      <c r="R344" s="264" t="s">
        <v>224</v>
      </c>
      <c r="S344" s="1" t="s">
        <v>2297</v>
      </c>
      <c r="T344" t="s">
        <v>2298</v>
      </c>
      <c r="U344" t="s">
        <v>1157</v>
      </c>
      <c r="V344">
        <v>1</v>
      </c>
      <c r="W344">
        <v>0</v>
      </c>
      <c r="X344">
        <v>0</v>
      </c>
      <c r="Y344">
        <v>2</v>
      </c>
      <c r="Z344">
        <v>0</v>
      </c>
      <c r="AA344">
        <v>0</v>
      </c>
      <c r="AB344">
        <v>0</v>
      </c>
      <c r="AC344">
        <v>0</v>
      </c>
      <c r="AD344">
        <v>0</v>
      </c>
      <c r="AE344">
        <v>0</v>
      </c>
      <c r="AF344">
        <v>0</v>
      </c>
      <c r="AG344">
        <v>0</v>
      </c>
      <c r="AH344">
        <v>0</v>
      </c>
      <c r="AI344">
        <v>0</v>
      </c>
      <c r="AJ344">
        <v>0</v>
      </c>
      <c r="AK344">
        <v>0</v>
      </c>
      <c r="AL344">
        <v>0</v>
      </c>
      <c r="AM344">
        <v>0</v>
      </c>
      <c r="AN344">
        <v>0</v>
      </c>
      <c r="AO344">
        <v>0</v>
      </c>
      <c r="AP344">
        <v>0</v>
      </c>
      <c r="AQ344">
        <v>0</v>
      </c>
      <c r="AR344">
        <v>0</v>
      </c>
      <c r="AS344">
        <v>0</v>
      </c>
      <c r="AT344">
        <v>0</v>
      </c>
      <c r="AU344">
        <v>0</v>
      </c>
      <c r="AV344">
        <v>0</v>
      </c>
      <c r="AW344">
        <v>0</v>
      </c>
      <c r="AX344" s="141">
        <f>COUNTIF(V344:AW344,"&lt;&gt;0")</f>
        <v>2</v>
      </c>
      <c r="AY344" s="141">
        <f>COUNTIF(V344:AL344,"&lt;&gt;0")</f>
        <v>2</v>
      </c>
      <c r="AZ344">
        <f>COUNTIF(V344:AC344,"&lt;&gt;0")</f>
        <v>2</v>
      </c>
      <c r="BA344">
        <f>COUNTIF(AD344:AI344,"&lt;&gt;0")</f>
        <v>0</v>
      </c>
      <c r="BB344">
        <f>COUNTIF(AJ344:AL344,"&lt;&gt;0")</f>
        <v>0</v>
      </c>
      <c r="BC344">
        <f>COUNTIF(AS344:AW344,"&lt;&gt;0")</f>
        <v>0</v>
      </c>
      <c r="BD344">
        <f>COUNTIF(AM344:AR344,"&lt;&gt;0")</f>
        <v>0</v>
      </c>
      <c r="BE344" t="str">
        <f t="array" ref="BE344">IF(AY344=1,INDEX($V$7:$AL$7,MATCH(TRUE,INDEX($V344:$AW344&lt;&gt;0,),0)),IF(AY344=0,INDEX($AM$7:$AW$7,MATCH(1,$AM344:$AW344,0)),IF(BF344="Multiple strategies","mixed drivers",IF(BF344="Supply chain","multiple supply","multiple silviculture"))))</f>
        <v>multiple silviculture</v>
      </c>
      <c r="BF344" s="2" t="str" cm="1">
        <f t="array" ref="BF344">IF(COUNTIF(AZ344:BB344,"&lt;&gt;0")=1,INDEX($V$4:$AW$4,MATCH(TRUE,INDEX($V344:$AW344&lt;&gt;0,),0)),IF(COUNTIF(AZ344:BB344,"&lt;&gt;0")=0,INDEX($AM$4:$AW$4,MATCH(1,$AM344:$AW344,0)),"Multiple strategies"))</f>
        <v>SilvicultureRemov</v>
      </c>
      <c r="BG344" s="1" t="s">
        <v>322</v>
      </c>
      <c r="BH344" t="s">
        <v>2299</v>
      </c>
      <c r="BI344" t="s">
        <v>1038</v>
      </c>
      <c r="BJ344" t="s">
        <v>2290</v>
      </c>
      <c r="BK344">
        <v>-1.41</v>
      </c>
      <c r="BL344">
        <v>0</v>
      </c>
      <c r="BM344"/>
      <c r="BN344">
        <f>BL344-BK344</f>
        <v>1.41</v>
      </c>
      <c r="BO344">
        <f>BN344*10^6*tC_to_m3</f>
        <v>6122448.9795918372</v>
      </c>
      <c r="BP344" t="s">
        <v>233</v>
      </c>
      <c r="BQ344" s="269" t="s">
        <v>785</v>
      </c>
      <c r="BR344" s="266" t="s">
        <v>3246</v>
      </c>
      <c r="BS344"/>
      <c r="BT344"/>
      <c r="BU344" s="144"/>
      <c r="BV344">
        <f>-136/35</f>
        <v>-3.8857142857142857</v>
      </c>
      <c r="BW344"/>
      <c r="BX344">
        <f>BV344*10^6</f>
        <v>-3885714.2857142854</v>
      </c>
      <c r="BY344">
        <f>IFERROR(BX344/BO344,"")</f>
        <v>-0.6346666666666666</v>
      </c>
      <c r="BZ344">
        <v>0</v>
      </c>
      <c r="CA344">
        <v>1</v>
      </c>
      <c r="CB344">
        <v>1</v>
      </c>
      <c r="CC344">
        <v>1</v>
      </c>
      <c r="CD344">
        <v>0</v>
      </c>
      <c r="CE344">
        <v>0</v>
      </c>
      <c r="CF344">
        <v>0</v>
      </c>
      <c r="CG344">
        <v>0</v>
      </c>
      <c r="CH344">
        <v>0</v>
      </c>
      <c r="CI344">
        <v>0</v>
      </c>
      <c r="CJ344">
        <v>0</v>
      </c>
      <c r="CK344">
        <v>0</v>
      </c>
      <c r="CL344">
        <v>0</v>
      </c>
      <c r="CM344">
        <v>0</v>
      </c>
      <c r="CN344" t="str">
        <f>IF(BL344&lt;BK344,"refNeedCorrection","refOK")</f>
        <v>refOK</v>
      </c>
      <c r="CO344">
        <f>IF($CN344="refOK",$BK344,$BL344)</f>
        <v>-1.41</v>
      </c>
      <c r="CP344">
        <f>IF($CN344="refOK",$BL344,$BK344)</f>
        <v>0</v>
      </c>
      <c r="CQ344">
        <f>IF($CN344="refOK",$BO344,-$BO344)</f>
        <v>6122448.9795918372</v>
      </c>
      <c r="CR344">
        <f>IF($CN344="refOK",$BS344,$BT344)*IF($BP344="Emissions positive",-1,1)</f>
        <v>0</v>
      </c>
      <c r="CS344">
        <f>IF($CN344="refOK",$BT344,$BS344)*IF($BP344="Emissions positive",-1,1)</f>
        <v>0</v>
      </c>
      <c r="CT344">
        <f>IF($CN344="refNeedCorrection",-BX344,BX344)*IF($BP344="Emissions positive",-1,1)</f>
        <v>-3885714.2857142854</v>
      </c>
      <c r="CU344">
        <f>IFERROR(CT344/CQ344,"")</f>
        <v>-0.6346666666666666</v>
      </c>
      <c r="CV344" s="2" t="str">
        <f>IFERROR((CS344-CR344)/ABS(CR344),"")</f>
        <v/>
      </c>
      <c r="CW344" s="1" t="s">
        <v>1205</v>
      </c>
      <c r="CX344" t="str">
        <f>IF(OR($CW344="prd",$CW344="std",$CW344="cit"),"loc",IF(OR($CW344="eur",$CW344="reg",$CW344="coy"),"reg",$CW344))</f>
        <v>reg</v>
      </c>
      <c r="CY344" t="s">
        <v>541</v>
      </c>
      <c r="CZ344">
        <v>2015</v>
      </c>
      <c r="DA344">
        <v>2050</v>
      </c>
      <c r="DB344">
        <v>35</v>
      </c>
      <c r="DC344" t="str">
        <f>IF(DB344=0,"0",IF(AND(DB344&gt;=1,DB344&lt;=30),"1-30",IF(AND(DB344&gt;30,DB344&lt;=70),"31-70",IF(AND(DB344&gt;70,DB344&lt;=100),"71-100",IF(DB344&gt;100,"+100")))))</f>
        <v>31-70</v>
      </c>
      <c r="DD344">
        <v>0</v>
      </c>
      <c r="DE344">
        <v>1</v>
      </c>
      <c r="DF344">
        <v>1</v>
      </c>
      <c r="DG344">
        <v>1</v>
      </c>
      <c r="DH344"/>
      <c r="DI344">
        <f>SUM(DD344:DG344)</f>
        <v>3</v>
      </c>
      <c r="DJ344" t="str">
        <f>IF(DI344=1,INDEX($DD$7:$DG$7,MATCH(1,$DD344:$DG344,0)),"mixedProduct")</f>
        <v>mixedProduct</v>
      </c>
      <c r="DK344">
        <f>IF(DD344=1,DK$7,0)</f>
        <v>0</v>
      </c>
      <c r="DL344" t="str">
        <f>IF(DE344=1,DL$7,0)</f>
        <v>Energy</v>
      </c>
      <c r="DM344" t="str">
        <f>IF(DF344=1,DM$7,0)</f>
        <v>Pulp/Paper</v>
      </c>
      <c r="DN344" t="str">
        <f>IF(DG344=1,DN$7,0)</f>
        <v>Timber</v>
      </c>
      <c r="DO344">
        <v>0</v>
      </c>
      <c r="DP344">
        <v>0</v>
      </c>
      <c r="DQ344"/>
      <c r="DR344">
        <v>0</v>
      </c>
      <c r="DS344">
        <v>0</v>
      </c>
      <c r="DT344">
        <f>SUM(DO344:DP344)</f>
        <v>0</v>
      </c>
      <c r="DU344" s="143" t="str">
        <f>IF(DO344=1,"self-calculated DF",IF(DP344=1,"external DF used","explicit C balance"))</f>
        <v>explicit C balance</v>
      </c>
      <c r="DV344">
        <v>1</v>
      </c>
      <c r="DW344">
        <v>1</v>
      </c>
      <c r="DX344">
        <v>1</v>
      </c>
      <c r="DY344">
        <v>0</v>
      </c>
      <c r="DZ344">
        <v>0</v>
      </c>
      <c r="EA344">
        <v>0</v>
      </c>
      <c r="EB344">
        <v>0</v>
      </c>
      <c r="EC344">
        <v>0</v>
      </c>
      <c r="ED344">
        <v>0</v>
      </c>
      <c r="EE344">
        <v>0</v>
      </c>
      <c r="EF344">
        <v>1</v>
      </c>
      <c r="EG344">
        <v>0</v>
      </c>
      <c r="EH344">
        <v>0</v>
      </c>
      <c r="EI344" s="2">
        <v>0</v>
      </c>
      <c r="EJ344" s="1"/>
      <c r="EK344" t="str">
        <f>IF(AND(AND(AND(OR($DX344=1,$DW344=1),OR($EC344=1,$EA344=1)),SUM($DV344:$DZ344,$EF344)&gt;=4),SUM($EA344:$EE344)&gt;=2),"Whole sector","")</f>
        <v/>
      </c>
      <c r="EL344" t="str">
        <f>IF(AND(AND(OR($DX344=1,$DW344=1),AND($EC344=0,$EA344=0)),SUM($DV344:$DZ344,$EF344)&gt;=4),"Ecosystem approach","")</f>
        <v>Ecosystem approach</v>
      </c>
      <c r="EM344" s="2" t="str">
        <f>IF(AND(AND(AND($DX344=0,$DW344=0),OR($EC344=1,$EA344=1)),SUM($EB344:$EE344)&gt;=2),"Technology approach","")</f>
        <v/>
      </c>
      <c r="EN344" t="s">
        <v>2300</v>
      </c>
      <c r="EO344"/>
      <c r="EP344" t="str">
        <f>IF(ISNUMBER(BU344),IF(ABS(BU344-[2]QC_indicators!$B$2)&gt;3*[2]QC_indicators!$C$2,"C ratio",IF(ISNUMBER(BY344),IF(ABS(BY344-[2]QC_indicators!$B$1)&gt;3*[2]QC_indicators!$C$1,"DF","no"))),IF(ISNUMBER(BY344),IF(ABS(BY344-[2]QC_indicators!$B$1)&gt;3*[2]QC_indicators!$C$1,"DF","no")))</f>
        <v>no</v>
      </c>
      <c r="EQ344"/>
      <c r="ER344" t="s">
        <v>2301</v>
      </c>
      <c r="ES344"/>
      <c r="ET344" s="270" t="s">
        <v>3244</v>
      </c>
      <c r="EU344"/>
    </row>
    <row r="345" spans="1:151" s="139" customFormat="1" ht="15" hidden="1" customHeight="1">
      <c r="A345" s="1" t="s">
        <v>1362</v>
      </c>
      <c r="B345" t="s">
        <v>2137</v>
      </c>
      <c r="C345" t="s">
        <v>2138</v>
      </c>
      <c r="D345" t="s">
        <v>2139</v>
      </c>
      <c r="E345" t="s">
        <v>2140</v>
      </c>
      <c r="F345" t="s">
        <v>2141</v>
      </c>
      <c r="G345" t="s">
        <v>1368</v>
      </c>
      <c r="H345" t="s">
        <v>255</v>
      </c>
      <c r="I345">
        <v>2012</v>
      </c>
      <c r="J345">
        <v>21</v>
      </c>
      <c r="K345" t="s">
        <v>2142</v>
      </c>
      <c r="L345" s="192"/>
      <c r="M345" t="str">
        <f>LEFT($D345,FIND(",",$D345)-1)&amp;"_"&amp;I345&amp;L345</f>
        <v>Pyorala_2012</v>
      </c>
      <c r="N345" t="s">
        <v>223</v>
      </c>
      <c r="O345" s="145" t="s">
        <v>342</v>
      </c>
      <c r="P345" s="180" t="s">
        <v>224</v>
      </c>
      <c r="Q345" s="266" t="s">
        <v>2162</v>
      </c>
      <c r="R345" s="271" t="s">
        <v>1156</v>
      </c>
      <c r="S345" s="265" t="s">
        <v>2163</v>
      </c>
      <c r="T345" s="266" t="s">
        <v>2159</v>
      </c>
      <c r="U345" s="266" t="s">
        <v>2160</v>
      </c>
      <c r="V345">
        <v>0</v>
      </c>
      <c r="W345">
        <v>0</v>
      </c>
      <c r="X345">
        <v>0</v>
      </c>
      <c r="Y345">
        <v>0</v>
      </c>
      <c r="Z345">
        <v>0</v>
      </c>
      <c r="AA345">
        <v>0</v>
      </c>
      <c r="AB345">
        <v>0</v>
      </c>
      <c r="AC345">
        <v>1</v>
      </c>
      <c r="AD345">
        <v>0</v>
      </c>
      <c r="AE345">
        <v>0</v>
      </c>
      <c r="AF345">
        <v>0</v>
      </c>
      <c r="AG345">
        <v>0</v>
      </c>
      <c r="AH345">
        <v>0</v>
      </c>
      <c r="AI345">
        <v>0</v>
      </c>
      <c r="AJ345">
        <v>0</v>
      </c>
      <c r="AK345">
        <v>0</v>
      </c>
      <c r="AL345">
        <v>0</v>
      </c>
      <c r="AM345">
        <v>0</v>
      </c>
      <c r="AN345">
        <v>0</v>
      </c>
      <c r="AO345">
        <v>0</v>
      </c>
      <c r="AP345">
        <v>0</v>
      </c>
      <c r="AQ345">
        <v>0</v>
      </c>
      <c r="AR345">
        <v>0</v>
      </c>
      <c r="AS345">
        <v>0</v>
      </c>
      <c r="AT345">
        <v>0</v>
      </c>
      <c r="AU345">
        <v>0</v>
      </c>
      <c r="AV345">
        <v>0</v>
      </c>
      <c r="AW345">
        <v>0</v>
      </c>
      <c r="AX345" s="141">
        <f>COUNTIF(V345:AW345,"&lt;&gt;0")</f>
        <v>1</v>
      </c>
      <c r="AY345" s="141">
        <f>COUNTIF(V345:AL345,"&lt;&gt;0")</f>
        <v>1</v>
      </c>
      <c r="AZ345">
        <f>COUNTIF(V345:AC345,"&lt;&gt;0")</f>
        <v>1</v>
      </c>
      <c r="BA345">
        <f>COUNTIF(AD345:AI345,"&lt;&gt;0")</f>
        <v>0</v>
      </c>
      <c r="BB345">
        <f>COUNTIF(AJ345:AL345,"&lt;&gt;0")</f>
        <v>0</v>
      </c>
      <c r="BC345">
        <f>COUNTIF(AS345:AW345,"&lt;&gt;0")</f>
        <v>0</v>
      </c>
      <c r="BD345">
        <f>COUNTIF(AM345:AR345,"&lt;&gt;0")</f>
        <v>0</v>
      </c>
      <c r="BE345" t="str" cm="1">
        <f t="array" ref="BE345">IF(AY345=1,INDEX($V$7:$AL$7,MATCH(TRUE,INDEX($V345:$AW345&lt;&gt;0,),0)),IF(AY345=0,INDEX($AM$7:$AW$7,MATCH(1,$AM345:$AW345,0)),IF(BF345="Multiple strategies","mixed drivers",IF(BF345="Supply chain","multiple supply","multiple silviculture"))))</f>
        <v>site fertility</v>
      </c>
      <c r="BF345" s="2" t="str" cm="1">
        <f t="array" ref="BF345">IF(COUNTIF(AZ345:BB345,"&lt;&gt;0")=1,INDEX($V$4:$AW$4,MATCH(TRUE,INDEX($V345:$AW345&lt;&gt;0,),0)),IF(COUNTIF(AZ345:BB345,"&lt;&gt;0")=0,INDEX($AM$4:$AW$4,MATCH(1,$AM345:$AW345,0)),"Multiple strategies"))</f>
        <v>SilvicultureProd</v>
      </c>
      <c r="BG345" s="178" t="s">
        <v>322</v>
      </c>
      <c r="BH345" s="266" t="s">
        <v>2146</v>
      </c>
      <c r="BI345" s="266" t="s">
        <v>2161</v>
      </c>
      <c r="BJ345" s="160" t="s">
        <v>702</v>
      </c>
      <c r="BK345">
        <v>8.3000000000000007</v>
      </c>
      <c r="BL345">
        <v>9.1</v>
      </c>
      <c r="BM345"/>
      <c r="BN345">
        <f>BL345-BK345</f>
        <v>0.79999999999999893</v>
      </c>
      <c r="BO345">
        <f>BN345</f>
        <v>0.79999999999999893</v>
      </c>
      <c r="BP345" s="155" t="s">
        <v>396</v>
      </c>
      <c r="BQ345" s="266" t="s">
        <v>788</v>
      </c>
      <c r="BR345" s="272" t="s">
        <v>2147</v>
      </c>
      <c r="BS345">
        <f>-5.1/50</f>
        <v>-0.10199999999999999</v>
      </c>
      <c r="BT345">
        <f>-5.7/50</f>
        <v>-0.114</v>
      </c>
      <c r="BU345" s="144"/>
      <c r="BV345">
        <f>BT345-BS345</f>
        <v>-1.2000000000000011E-2</v>
      </c>
      <c r="BW345"/>
      <c r="BX345">
        <f>BV345</f>
        <v>-1.2000000000000011E-2</v>
      </c>
      <c r="BY345">
        <f>IFERROR(BX345/BO345,"")</f>
        <v>-1.5000000000000034E-2</v>
      </c>
      <c r="BZ345">
        <v>0</v>
      </c>
      <c r="CA345">
        <v>0</v>
      </c>
      <c r="CB345">
        <v>0</v>
      </c>
      <c r="CC345">
        <v>0</v>
      </c>
      <c r="CD345">
        <v>0</v>
      </c>
      <c r="CE345">
        <v>0</v>
      </c>
      <c r="CF345">
        <v>0</v>
      </c>
      <c r="CG345">
        <v>0</v>
      </c>
      <c r="CH345">
        <v>0</v>
      </c>
      <c r="CI345">
        <v>0</v>
      </c>
      <c r="CJ345">
        <v>0</v>
      </c>
      <c r="CK345">
        <v>0</v>
      </c>
      <c r="CL345">
        <v>0</v>
      </c>
      <c r="CM345">
        <v>0</v>
      </c>
      <c r="CN345" t="str">
        <f>IF($BL345&lt;$BK345,"refNeedCorrection","refOK")</f>
        <v>refOK</v>
      </c>
      <c r="CO345">
        <f>IF($CN345="refOK",$BK345,$BL345)</f>
        <v>8.3000000000000007</v>
      </c>
      <c r="CP345">
        <f>IF($CN345="refOK",$BL345,$BK345)</f>
        <v>9.1</v>
      </c>
      <c r="CQ345">
        <f>IF($CN345="refOK",$BO345,-$BO345)</f>
        <v>0.79999999999999893</v>
      </c>
      <c r="CR345">
        <f>IF($CN345="refOK",$BS345,$BT345)*IF($BP345="Emissions positive",-1,1)</f>
        <v>0.10199999999999999</v>
      </c>
      <c r="CS345">
        <f>IF($CN345="refOK",$BT345,$BS345)*IF($BP345="Emissions positive",-1,1)</f>
        <v>0.114</v>
      </c>
      <c r="CT345">
        <f>IF($CN345="refNeedCorrection",-BX345,BX345)*IF($BP345="Emissions positive",-1,1)</f>
        <v>1.2000000000000011E-2</v>
      </c>
      <c r="CU345">
        <f>IFERROR(CT345/CQ345,"")</f>
        <v>1.5000000000000034E-2</v>
      </c>
      <c r="CV345" s="2">
        <f>IFERROR((CS345-CR345)/ABS(CR345),"")</f>
        <v>0.11764705882352952</v>
      </c>
      <c r="CW345" s="1" t="s">
        <v>1201</v>
      </c>
      <c r="CX345" s="266" t="str">
        <f>IF(OR($CW345="prd",$CW345="std",$CW345="cit"),"loc",IF(OR($CW345="eur",$CW345="reg",$CW345="coy"),"reg",$CW345))</f>
        <v>reg</v>
      </c>
      <c r="CY345" t="s">
        <v>236</v>
      </c>
      <c r="CZ345"/>
      <c r="DA345"/>
      <c r="DB345">
        <v>50</v>
      </c>
      <c r="DC345" t="str">
        <f>IF(DB345=0,"0",IF(AND(DB345&gt;=1,DB345&lt;=30),"1-30",IF(AND(DB345&gt;30,DB345&lt;=70),"31-70",IF(AND(DB345&gt;70,DB345&lt;=100),"71-100",IF(DB345&gt;100,"+100")))))</f>
        <v>31-70</v>
      </c>
      <c r="DD345">
        <v>0</v>
      </c>
      <c r="DE345">
        <v>1</v>
      </c>
      <c r="DF345">
        <v>1</v>
      </c>
      <c r="DG345">
        <v>1</v>
      </c>
      <c r="DH345"/>
      <c r="DI345">
        <f>SUM(DD345:DG345)</f>
        <v>3</v>
      </c>
      <c r="DJ345" t="str">
        <f>IF(DI345=1,INDEX($DD$7:$DG$7,MATCH(1,$DD345:$DG345,0)),"mixedProduct")</f>
        <v>mixedProduct</v>
      </c>
      <c r="DK345">
        <f>IF(DD345=1,DK$7,0)</f>
        <v>0</v>
      </c>
      <c r="DL345" t="str">
        <f>IF(DE345=1,DL$7,0)</f>
        <v>Energy</v>
      </c>
      <c r="DM345" t="str">
        <f>IF(DF345=1,DM$7,0)</f>
        <v>Pulp/Paper</v>
      </c>
      <c r="DN345" t="str">
        <f>IF(DG345=1,DN$7,0)</f>
        <v>Timber</v>
      </c>
      <c r="DO345">
        <v>0</v>
      </c>
      <c r="DP345">
        <v>1</v>
      </c>
      <c r="DQ345" t="s">
        <v>2148</v>
      </c>
      <c r="DR345">
        <v>0</v>
      </c>
      <c r="DS345">
        <v>0</v>
      </c>
      <c r="DT345">
        <f>SUM(DO345:DP345)</f>
        <v>1</v>
      </c>
      <c r="DU345" s="143" t="str">
        <f>IF(DO345=1,"self-calculated DF",IF(DP345=1,"external DF used","explicit C balance"))</f>
        <v>external DF used</v>
      </c>
      <c r="DV345">
        <v>1</v>
      </c>
      <c r="DW345">
        <v>1</v>
      </c>
      <c r="DX345">
        <v>1</v>
      </c>
      <c r="DY345">
        <v>0</v>
      </c>
      <c r="DZ345">
        <v>0</v>
      </c>
      <c r="EA345" s="143">
        <v>0</v>
      </c>
      <c r="EB345">
        <v>1</v>
      </c>
      <c r="EC345">
        <v>1</v>
      </c>
      <c r="ED345">
        <v>0</v>
      </c>
      <c r="EE345">
        <v>0</v>
      </c>
      <c r="EF345">
        <v>1</v>
      </c>
      <c r="EG345">
        <v>0</v>
      </c>
      <c r="EH345">
        <v>0</v>
      </c>
      <c r="EI345" s="2">
        <v>0</v>
      </c>
      <c r="EJ345" s="1"/>
      <c r="EK345" t="str">
        <f>IF(AND(AND(AND(OR($DX345=1,$DW345=1),OR($EC345=1,$EA345=1)),SUM($DV345:$DZ345,$EF345)&gt;=4),SUM($EA345:$EE345)&gt;=2),"Whole sector","")</f>
        <v>Whole sector</v>
      </c>
      <c r="EL345" t="str">
        <f>IF(AND(AND(OR($DX345=1,$DW345=1),AND($EC345=0,$EA345=0)),SUM($DV345:$DZ345,$EF345)&gt;=4),"Ecosystem approach","")</f>
        <v/>
      </c>
      <c r="EM345" s="2" t="str">
        <f>IF(AND(AND(AND($DX345=0,$DW345=0),OR($EC345=1,$EA345=1)),SUM($EB345:$EE345)&gt;=2),"Technology approach","")</f>
        <v/>
      </c>
      <c r="EN345"/>
      <c r="EO345"/>
      <c r="EP345" t="str">
        <f>IF(ISNUMBER(BU345),IF(ABS(BU345-[1]QC_indicators!$B$2)&gt;3*[1]QC_indicators!$C$2,"C ratio",IF(ISNUMBER(BY345),IF(ABS(BY345-[1]QC_indicators!$B$1)&gt;3*[1]QC_indicators!$C$1,"DF","no"))),IF(ISNUMBER(BY345),IF(ABS(BY345-[1]QC_indicators!$B$1)&gt;3*[1]QC_indicators!$C$1,"DF","no")))</f>
        <v>no</v>
      </c>
      <c r="EQ345"/>
      <c r="ER345"/>
      <c r="ES345"/>
      <c r="ET345" s="266" t="s">
        <v>3409</v>
      </c>
      <c r="EU345"/>
    </row>
    <row r="346" spans="1:151" s="139" customFormat="1" ht="15" hidden="1" customHeight="1">
      <c r="A346" s="1" t="s">
        <v>1362</v>
      </c>
      <c r="B346" t="s">
        <v>2137</v>
      </c>
      <c r="C346" t="s">
        <v>2138</v>
      </c>
      <c r="D346" t="s">
        <v>2139</v>
      </c>
      <c r="E346" t="s">
        <v>2140</v>
      </c>
      <c r="F346" t="s">
        <v>2141</v>
      </c>
      <c r="G346" t="s">
        <v>1368</v>
      </c>
      <c r="H346" t="s">
        <v>255</v>
      </c>
      <c r="I346">
        <v>2012</v>
      </c>
      <c r="J346">
        <v>21</v>
      </c>
      <c r="K346" t="s">
        <v>2142</v>
      </c>
      <c r="L346" s="192"/>
      <c r="M346" t="str">
        <f>LEFT($D346,FIND(",",$D346)-1)&amp;"_"&amp;I346&amp;L346</f>
        <v>Pyorala_2012</v>
      </c>
      <c r="N346" t="s">
        <v>223</v>
      </c>
      <c r="O346" s="145" t="s">
        <v>342</v>
      </c>
      <c r="P346" s="180" t="s">
        <v>224</v>
      </c>
      <c r="Q346" s="266" t="s">
        <v>257</v>
      </c>
      <c r="R346" s="271" t="s">
        <v>1156</v>
      </c>
      <c r="S346" s="265" t="s">
        <v>2167</v>
      </c>
      <c r="T346" s="266" t="s">
        <v>2159</v>
      </c>
      <c r="U346" s="266" t="s">
        <v>2160</v>
      </c>
      <c r="V346">
        <v>0</v>
      </c>
      <c r="W346">
        <v>0</v>
      </c>
      <c r="X346">
        <v>0</v>
      </c>
      <c r="Y346">
        <v>0</v>
      </c>
      <c r="Z346">
        <v>0</v>
      </c>
      <c r="AA346">
        <v>0</v>
      </c>
      <c r="AB346">
        <v>0</v>
      </c>
      <c r="AC346">
        <v>1</v>
      </c>
      <c r="AD346">
        <v>0</v>
      </c>
      <c r="AE346">
        <v>0</v>
      </c>
      <c r="AF346">
        <v>0</v>
      </c>
      <c r="AG346">
        <v>0</v>
      </c>
      <c r="AH346">
        <v>0</v>
      </c>
      <c r="AI346">
        <v>0</v>
      </c>
      <c r="AJ346">
        <v>0</v>
      </c>
      <c r="AK346">
        <v>0</v>
      </c>
      <c r="AL346">
        <v>0</v>
      </c>
      <c r="AM346">
        <v>0</v>
      </c>
      <c r="AN346">
        <v>0</v>
      </c>
      <c r="AO346">
        <v>0</v>
      </c>
      <c r="AP346">
        <v>0</v>
      </c>
      <c r="AQ346">
        <v>0</v>
      </c>
      <c r="AR346">
        <v>0</v>
      </c>
      <c r="AS346">
        <v>0</v>
      </c>
      <c r="AT346">
        <v>0</v>
      </c>
      <c r="AU346">
        <v>0</v>
      </c>
      <c r="AV346">
        <v>0</v>
      </c>
      <c r="AW346">
        <v>0</v>
      </c>
      <c r="AX346" s="141">
        <f>COUNTIF(V346:AW346,"&lt;&gt;0")</f>
        <v>1</v>
      </c>
      <c r="AY346" s="141">
        <f>COUNTIF(V346:AL346,"&lt;&gt;0")</f>
        <v>1</v>
      </c>
      <c r="AZ346">
        <f>COUNTIF(V346:AC346,"&lt;&gt;0")</f>
        <v>1</v>
      </c>
      <c r="BA346">
        <f>COUNTIF(AD346:AI346,"&lt;&gt;0")</f>
        <v>0</v>
      </c>
      <c r="BB346">
        <f>COUNTIF(AJ346:AL346,"&lt;&gt;0")</f>
        <v>0</v>
      </c>
      <c r="BC346">
        <f>COUNTIF(AS346:AW346,"&lt;&gt;0")</f>
        <v>0</v>
      </c>
      <c r="BD346">
        <f>COUNTIF(AM346:AR346,"&lt;&gt;0")</f>
        <v>0</v>
      </c>
      <c r="BE346" t="str" cm="1">
        <f t="array" ref="BE346">IF(AY346=1,INDEX($V$7:$AL$7,MATCH(TRUE,INDEX($V346:$AW346&lt;&gt;0,),0)),IF(AY346=0,INDEX($AM$7:$AW$7,MATCH(1,$AM346:$AW346,0)),IF(BF346="Multiple strategies","mixed drivers",IF(BF346="Supply chain","multiple supply","multiple silviculture"))))</f>
        <v>site fertility</v>
      </c>
      <c r="BF346" s="2" t="str" cm="1">
        <f t="array" ref="BF346">IF(COUNTIF(AZ346:BB346,"&lt;&gt;0")=1,INDEX($V$4:$AW$4,MATCH(TRUE,INDEX($V346:$AW346&lt;&gt;0,),0)),IF(COUNTIF(AZ346:BB346,"&lt;&gt;0")=0,INDEX($AM$4:$AW$4,MATCH(1,$AM346:$AW346,0)),"Multiple strategies"))</f>
        <v>SilvicultureProd</v>
      </c>
      <c r="BG346" s="178" t="s">
        <v>322</v>
      </c>
      <c r="BH346" s="266" t="s">
        <v>2146</v>
      </c>
      <c r="BI346" s="266" t="s">
        <v>2161</v>
      </c>
      <c r="BJ346" s="160" t="s">
        <v>702</v>
      </c>
      <c r="BK346">
        <v>7.6</v>
      </c>
      <c r="BL346">
        <v>7.8</v>
      </c>
      <c r="BM346"/>
      <c r="BN346">
        <f>BL346-BK346</f>
        <v>0.20000000000000018</v>
      </c>
      <c r="BO346">
        <f>BN346</f>
        <v>0.20000000000000018</v>
      </c>
      <c r="BP346" s="155" t="s">
        <v>396</v>
      </c>
      <c r="BQ346" s="266" t="s">
        <v>788</v>
      </c>
      <c r="BR346" s="272" t="s">
        <v>2147</v>
      </c>
      <c r="BS346">
        <f>-4.1/50</f>
        <v>-8.199999999999999E-2</v>
      </c>
      <c r="BT346">
        <f>-3.5/50</f>
        <v>-7.0000000000000007E-2</v>
      </c>
      <c r="BU346" s="144"/>
      <c r="BV346">
        <f>BT346-BS346</f>
        <v>1.1999999999999983E-2</v>
      </c>
      <c r="BW346"/>
      <c r="BX346">
        <f>BV346</f>
        <v>1.1999999999999983E-2</v>
      </c>
      <c r="BY346">
        <f>IFERROR(BX346/BO346,"")</f>
        <v>5.9999999999999859E-2</v>
      </c>
      <c r="BZ346">
        <v>0</v>
      </c>
      <c r="CA346">
        <v>0</v>
      </c>
      <c r="CB346">
        <v>0</v>
      </c>
      <c r="CC346">
        <v>0</v>
      </c>
      <c r="CD346">
        <v>0</v>
      </c>
      <c r="CE346">
        <v>0</v>
      </c>
      <c r="CF346">
        <v>0</v>
      </c>
      <c r="CG346">
        <v>0</v>
      </c>
      <c r="CH346">
        <v>0</v>
      </c>
      <c r="CI346">
        <v>0</v>
      </c>
      <c r="CJ346">
        <v>0</v>
      </c>
      <c r="CK346">
        <v>0</v>
      </c>
      <c r="CL346">
        <v>0</v>
      </c>
      <c r="CM346">
        <v>0</v>
      </c>
      <c r="CN346" t="str">
        <f>IF($BL346&lt;$BK346,"refNeedCorrection","refOK")</f>
        <v>refOK</v>
      </c>
      <c r="CO346">
        <f>IF($CN346="refOK",$BK346,$BL346)</f>
        <v>7.6</v>
      </c>
      <c r="CP346">
        <f>IF($CN346="refOK",$BL346,$BK346)</f>
        <v>7.8</v>
      </c>
      <c r="CQ346">
        <f>IF($CN346="refOK",$BO346,-$BO346)</f>
        <v>0.20000000000000018</v>
      </c>
      <c r="CR346">
        <f>IF($CN346="refOK",$BS346,$BT346)*IF($BP346="Emissions positive",-1,1)</f>
        <v>8.199999999999999E-2</v>
      </c>
      <c r="CS346">
        <f>IF($CN346="refOK",$BT346,$BS346)*IF($BP346="Emissions positive",-1,1)</f>
        <v>7.0000000000000007E-2</v>
      </c>
      <c r="CT346">
        <f>IF($CN346="refNeedCorrection",-BX346,BX346)*IF($BP346="Emissions positive",-1,1)</f>
        <v>-1.1999999999999983E-2</v>
      </c>
      <c r="CU346">
        <f>IFERROR(CT346/CQ346,"")</f>
        <v>-5.9999999999999859E-2</v>
      </c>
      <c r="CV346" s="2">
        <f>IFERROR((CS346-CR346)/ABS(CR346),"")</f>
        <v>-0.14634146341463394</v>
      </c>
      <c r="CW346" s="1" t="s">
        <v>1201</v>
      </c>
      <c r="CX346" s="266" t="str">
        <f>IF(OR($CW346="prd",$CW346="std",$CW346="cit"),"loc",IF(OR($CW346="eur",$CW346="reg",$CW346="coy"),"reg",$CW346))</f>
        <v>reg</v>
      </c>
      <c r="CY346" t="s">
        <v>236</v>
      </c>
      <c r="CZ346"/>
      <c r="DA346"/>
      <c r="DB346">
        <v>50</v>
      </c>
      <c r="DC346" t="str">
        <f>IF(DB346=0,"0",IF(AND(DB346&gt;=1,DB346&lt;=30),"1-30",IF(AND(DB346&gt;30,DB346&lt;=70),"31-70",IF(AND(DB346&gt;70,DB346&lt;=100),"71-100",IF(DB346&gt;100,"+100")))))</f>
        <v>31-70</v>
      </c>
      <c r="DD346">
        <v>0</v>
      </c>
      <c r="DE346">
        <v>1</v>
      </c>
      <c r="DF346">
        <v>1</v>
      </c>
      <c r="DG346">
        <v>1</v>
      </c>
      <c r="DH346"/>
      <c r="DI346">
        <f>SUM(DD346:DG346)</f>
        <v>3</v>
      </c>
      <c r="DJ346" t="str">
        <f>IF(DI346=1,INDEX($DD$7:$DG$7,MATCH(1,$DD346:$DG346,0)),"mixedProduct")</f>
        <v>mixedProduct</v>
      </c>
      <c r="DK346">
        <f>IF(DD346=1,DK$7,0)</f>
        <v>0</v>
      </c>
      <c r="DL346" t="str">
        <f>IF(DE346=1,DL$7,0)</f>
        <v>Energy</v>
      </c>
      <c r="DM346" t="str">
        <f>IF(DF346=1,DM$7,0)</f>
        <v>Pulp/Paper</v>
      </c>
      <c r="DN346" t="str">
        <f>IF(DG346=1,DN$7,0)</f>
        <v>Timber</v>
      </c>
      <c r="DO346">
        <v>0</v>
      </c>
      <c r="DP346">
        <v>1</v>
      </c>
      <c r="DQ346" t="s">
        <v>2148</v>
      </c>
      <c r="DR346">
        <v>0</v>
      </c>
      <c r="DS346">
        <v>0</v>
      </c>
      <c r="DT346">
        <f>SUM(DO346:DP346)</f>
        <v>1</v>
      </c>
      <c r="DU346" s="143" t="str">
        <f>IF(DO346=1,"self-calculated DF",IF(DP346=1,"external DF used","explicit C balance"))</f>
        <v>external DF used</v>
      </c>
      <c r="DV346">
        <v>1</v>
      </c>
      <c r="DW346">
        <v>1</v>
      </c>
      <c r="DX346">
        <v>1</v>
      </c>
      <c r="DY346">
        <v>0</v>
      </c>
      <c r="DZ346">
        <v>0</v>
      </c>
      <c r="EA346" s="143">
        <v>0</v>
      </c>
      <c r="EB346">
        <v>1</v>
      </c>
      <c r="EC346">
        <v>1</v>
      </c>
      <c r="ED346">
        <v>0</v>
      </c>
      <c r="EE346">
        <v>0</v>
      </c>
      <c r="EF346">
        <v>1</v>
      </c>
      <c r="EG346">
        <v>0</v>
      </c>
      <c r="EH346">
        <v>0</v>
      </c>
      <c r="EI346" s="2">
        <v>0</v>
      </c>
      <c r="EJ346" s="1"/>
      <c r="EK346" t="str">
        <f>IF(AND(AND(AND(OR($DX346=1,$DW346=1),OR($EC346=1,$EA346=1)),SUM($DV346:$DZ346,$EF346)&gt;=4),SUM($EA346:$EE346)&gt;=2),"Whole sector","")</f>
        <v>Whole sector</v>
      </c>
      <c r="EL346" t="str">
        <f>IF(AND(AND(OR($DX346=1,$DW346=1),AND($EC346=0,$EA346=0)),SUM($DV346:$DZ346,$EF346)&gt;=4),"Ecosystem approach","")</f>
        <v/>
      </c>
      <c r="EM346" s="2" t="str">
        <f>IF(AND(AND(AND($DX346=0,$DW346=0),OR($EC346=1,$EA346=1)),SUM($EB346:$EE346)&gt;=2),"Technology approach","")</f>
        <v/>
      </c>
      <c r="EN346"/>
      <c r="EO346"/>
      <c r="EP346" t="str">
        <f>IF(ISNUMBER(BU346),IF(ABS(BU346-[1]QC_indicators!$B$2)&gt;3*[1]QC_indicators!$C$2,"C ratio",IF(ISNUMBER(BY346),IF(ABS(BY346-[1]QC_indicators!$B$1)&gt;3*[1]QC_indicators!$C$1,"DF","no"))),IF(ISNUMBER(BY346),IF(ABS(BY346-[1]QC_indicators!$B$1)&gt;3*[1]QC_indicators!$C$1,"DF","no")))</f>
        <v>no</v>
      </c>
      <c r="EQ346"/>
      <c r="ER346"/>
      <c r="ES346"/>
      <c r="ET346" s="266" t="s">
        <v>3409</v>
      </c>
      <c r="EU346"/>
    </row>
    <row r="347" spans="1:151" s="139" customFormat="1" ht="15" customHeight="1">
      <c r="A347" s="1" t="s">
        <v>2116</v>
      </c>
      <c r="B347" t="s">
        <v>545</v>
      </c>
      <c r="C347" t="s">
        <v>2279</v>
      </c>
      <c r="D347" t="s">
        <v>2280</v>
      </c>
      <c r="E347" t="s">
        <v>2281</v>
      </c>
      <c r="F347" t="s">
        <v>2282</v>
      </c>
      <c r="G347" t="s">
        <v>2117</v>
      </c>
      <c r="H347" t="s">
        <v>255</v>
      </c>
      <c r="I347">
        <v>2014</v>
      </c>
      <c r="J347">
        <v>96</v>
      </c>
      <c r="K347" t="s">
        <v>2283</v>
      </c>
      <c r="L347"/>
      <c r="M347" t="str">
        <f>LEFT($D347,FIND(",",$D347)-1)&amp;"_"&amp;I347&amp;L347</f>
        <v>Smyth_2014</v>
      </c>
      <c r="N347" t="s">
        <v>223</v>
      </c>
      <c r="O347" s="145" t="s">
        <v>342</v>
      </c>
      <c r="P347"/>
      <c r="Q347" t="s">
        <v>257</v>
      </c>
      <c r="R347" s="264" t="s">
        <v>224</v>
      </c>
      <c r="S347" s="1" t="s">
        <v>2304</v>
      </c>
      <c r="T347" t="s">
        <v>1157</v>
      </c>
      <c r="U347" t="s">
        <v>2305</v>
      </c>
      <c r="V347">
        <v>0</v>
      </c>
      <c r="W347">
        <v>0</v>
      </c>
      <c r="X347">
        <v>0</v>
      </c>
      <c r="Y347">
        <v>1</v>
      </c>
      <c r="Z347">
        <v>0</v>
      </c>
      <c r="AA347">
        <v>0</v>
      </c>
      <c r="AB347">
        <v>0</v>
      </c>
      <c r="AC347">
        <v>0</v>
      </c>
      <c r="AD347">
        <v>0</v>
      </c>
      <c r="AE347">
        <v>0</v>
      </c>
      <c r="AF347">
        <v>0</v>
      </c>
      <c r="AG347">
        <v>0</v>
      </c>
      <c r="AH347">
        <v>0</v>
      </c>
      <c r="AI347">
        <v>0</v>
      </c>
      <c r="AJ347">
        <v>0</v>
      </c>
      <c r="AK347">
        <v>0</v>
      </c>
      <c r="AL347">
        <v>0</v>
      </c>
      <c r="AM347">
        <v>0</v>
      </c>
      <c r="AN347">
        <v>0</v>
      </c>
      <c r="AO347">
        <v>0</v>
      </c>
      <c r="AP347">
        <v>0</v>
      </c>
      <c r="AQ347">
        <v>0</v>
      </c>
      <c r="AR347">
        <v>0</v>
      </c>
      <c r="AS347">
        <v>0</v>
      </c>
      <c r="AT347">
        <v>0</v>
      </c>
      <c r="AU347">
        <v>0</v>
      </c>
      <c r="AV347">
        <v>0</v>
      </c>
      <c r="AW347">
        <v>0</v>
      </c>
      <c r="AX347" s="141">
        <f>COUNTIF(V347:AW347,"&lt;&gt;0")</f>
        <v>1</v>
      </c>
      <c r="AY347" s="141">
        <f>COUNTIF(V347:AL347,"&lt;&gt;0")</f>
        <v>1</v>
      </c>
      <c r="AZ347">
        <f>COUNTIF(V347:AC347,"&lt;&gt;0")</f>
        <v>1</v>
      </c>
      <c r="BA347">
        <f>COUNTIF(AD347:AI347,"&lt;&gt;0")</f>
        <v>0</v>
      </c>
      <c r="BB347">
        <f>COUNTIF(AJ347:AL347,"&lt;&gt;0")</f>
        <v>0</v>
      </c>
      <c r="BC347">
        <f>COUNTIF(AS347:AW347,"&lt;&gt;0")</f>
        <v>0</v>
      </c>
      <c r="BD347">
        <f>COUNTIF(AM347:AR347,"&lt;&gt;0")</f>
        <v>0</v>
      </c>
      <c r="BE347" t="str">
        <f t="array" ref="BE347">IF(AY347=1,INDEX($V$7:$AL$7,MATCH(TRUE,INDEX($V347:$AW347&lt;&gt;0,),0)),IF(AY347=0,INDEX($AM$7:$AW$7,MATCH(1,$AM347:$AW347,0)),IF(BF347="Multiple strategies","mixed drivers",IF(BF347="Supply chain","multiple supply","multiple silviculture"))))</f>
        <v xml:space="preserve">cutting intensity </v>
      </c>
      <c r="BF347" s="2" t="str" cm="1">
        <f t="array" ref="BF347">IF(COUNTIF(AZ347:BB347,"&lt;&gt;0")=1,INDEX($V$4:$AW$4,MATCH(TRUE,INDEX($V347:$AW347&lt;&gt;0,),0)),IF(COUNTIF(AZ347:BB347,"&lt;&gt;0")=0,INDEX($AM$4:$AW$4,MATCH(1,$AM347:$AW347,0)),"Multiple strategies"))</f>
        <v>SilvicultureRemov</v>
      </c>
      <c r="BG347" s="1" t="s">
        <v>322</v>
      </c>
      <c r="BH347" t="s">
        <v>2289</v>
      </c>
      <c r="BI347" t="s">
        <v>1038</v>
      </c>
      <c r="BJ347" t="s">
        <v>2290</v>
      </c>
      <c r="BK347">
        <v>0</v>
      </c>
      <c r="BL347">
        <v>1.42</v>
      </c>
      <c r="BM347"/>
      <c r="BN347">
        <f>BL347-BK347</f>
        <v>1.42</v>
      </c>
      <c r="BO347">
        <f>BN347*10^6*tC_to_m3</f>
        <v>6165870.6035605734</v>
      </c>
      <c r="BP347" t="s">
        <v>233</v>
      </c>
      <c r="BQ347" s="269" t="s">
        <v>785</v>
      </c>
      <c r="BR347" s="266" t="s">
        <v>3246</v>
      </c>
      <c r="BS347"/>
      <c r="BT347"/>
      <c r="BU347" s="144"/>
      <c r="BV347">
        <f>-194.9/35</f>
        <v>-5.5685714285714285</v>
      </c>
      <c r="BW347"/>
      <c r="BX347">
        <f>BV347*10^6</f>
        <v>-5568571.4285714282</v>
      </c>
      <c r="BY347">
        <f>IFERROR(BX347/BO347,"")</f>
        <v>-0.90312816901408444</v>
      </c>
      <c r="BZ347">
        <v>0</v>
      </c>
      <c r="CA347">
        <v>1</v>
      </c>
      <c r="CB347">
        <v>1</v>
      </c>
      <c r="CC347">
        <v>1</v>
      </c>
      <c r="CD347">
        <v>0</v>
      </c>
      <c r="CE347">
        <v>0</v>
      </c>
      <c r="CF347">
        <v>0</v>
      </c>
      <c r="CG347">
        <v>0</v>
      </c>
      <c r="CH347">
        <v>0</v>
      </c>
      <c r="CI347">
        <v>0</v>
      </c>
      <c r="CJ347">
        <v>0</v>
      </c>
      <c r="CK347">
        <v>0</v>
      </c>
      <c r="CL347">
        <v>0</v>
      </c>
      <c r="CM347">
        <v>0</v>
      </c>
      <c r="CN347" t="str">
        <f>IF($BL347&lt;$BK347,"refNeedCorrection","refOK")</f>
        <v>refOK</v>
      </c>
      <c r="CO347">
        <f>IF($CN347="refOK",$BK347,$BL347)</f>
        <v>0</v>
      </c>
      <c r="CP347">
        <f>IF($CN347="refOK",$BL347,$BK347)</f>
        <v>1.42</v>
      </c>
      <c r="CQ347">
        <f>IF($CN347="refOK",$BO347,-$BO347)</f>
        <v>6165870.6035605734</v>
      </c>
      <c r="CR347">
        <f>IF($CN347="refOK",$BS347,$BT347)*IF($BP347="Emissions positive",-1,1)</f>
        <v>0</v>
      </c>
      <c r="CS347">
        <f>IF($CN347="refOK",$BT347,$BS347)*IF($BP347="Emissions positive",-1,1)</f>
        <v>0</v>
      </c>
      <c r="CT347">
        <f>IF($CN347="refNeedCorrection",-BX347,BX347)*IF($BP347="Emissions positive",-1,1)</f>
        <v>-5568571.4285714282</v>
      </c>
      <c r="CU347">
        <f>IFERROR(CT347/CQ347,"")</f>
        <v>-0.90312816901408444</v>
      </c>
      <c r="CV347" s="2" t="str">
        <f>IFERROR((CS347-CR347)/ABS(CR347),"")</f>
        <v/>
      </c>
      <c r="CW347" s="1" t="s">
        <v>1205</v>
      </c>
      <c r="CX347" t="str">
        <f>IF(OR($CW347="prd",$CW347="std",$CW347="cit"),"loc",IF(OR($CW347="eur",$CW347="reg",$CW347="coy"),"reg",$CW347))</f>
        <v>reg</v>
      </c>
      <c r="CY347" t="s">
        <v>541</v>
      </c>
      <c r="CZ347">
        <v>2015</v>
      </c>
      <c r="DA347">
        <v>2050</v>
      </c>
      <c r="DB347">
        <v>35</v>
      </c>
      <c r="DC347" t="str">
        <f>IF(DB347=0,"0",IF(AND(DB347&gt;=1,DB347&lt;=30),"1-30",IF(AND(DB347&gt;30,DB347&lt;=70),"31-70",IF(AND(DB347&gt;70,DB347&lt;=100),"71-100",IF(DB347&gt;100,"+100")))))</f>
        <v>31-70</v>
      </c>
      <c r="DD347">
        <v>0</v>
      </c>
      <c r="DE347">
        <v>1</v>
      </c>
      <c r="DF347">
        <v>1</v>
      </c>
      <c r="DG347">
        <v>1</v>
      </c>
      <c r="DH347"/>
      <c r="DI347">
        <f>SUM(DD347:DG347)</f>
        <v>3</v>
      </c>
      <c r="DJ347" t="str">
        <f>IF(DI347=1,INDEX($DD$7:$DG$7,MATCH(1,$DD347:$DG347,0)),"mixedProduct")</f>
        <v>mixedProduct</v>
      </c>
      <c r="DK347">
        <f>IF(DD347=1,DK$7,0)</f>
        <v>0</v>
      </c>
      <c r="DL347" t="str">
        <f>IF(DE347=1,DL$7,0)</f>
        <v>Energy</v>
      </c>
      <c r="DM347" t="str">
        <f>IF(DF347=1,DM$7,0)</f>
        <v>Pulp/Paper</v>
      </c>
      <c r="DN347" t="str">
        <f>IF(DG347=1,DN$7,0)</f>
        <v>Timber</v>
      </c>
      <c r="DO347">
        <v>0</v>
      </c>
      <c r="DP347">
        <v>0</v>
      </c>
      <c r="DQ347"/>
      <c r="DR347">
        <v>0</v>
      </c>
      <c r="DS347">
        <v>0</v>
      </c>
      <c r="DT347">
        <f>SUM(DO347:DP347)</f>
        <v>0</v>
      </c>
      <c r="DU347" s="143" t="str">
        <f>IF(DO347=1,"self-calculated DF",IF(DP347=1,"external DF used","explicit C balance"))</f>
        <v>explicit C balance</v>
      </c>
      <c r="DV347">
        <v>1</v>
      </c>
      <c r="DW347">
        <v>1</v>
      </c>
      <c r="DX347">
        <v>1</v>
      </c>
      <c r="DY347">
        <v>0</v>
      </c>
      <c r="DZ347">
        <v>0</v>
      </c>
      <c r="EA347">
        <v>0</v>
      </c>
      <c r="EB347">
        <v>0</v>
      </c>
      <c r="EC347">
        <v>0</v>
      </c>
      <c r="ED347">
        <v>0</v>
      </c>
      <c r="EE347">
        <v>0</v>
      </c>
      <c r="EF347">
        <v>1</v>
      </c>
      <c r="EG347">
        <v>0</v>
      </c>
      <c r="EH347">
        <v>0</v>
      </c>
      <c r="EI347" s="2">
        <v>0</v>
      </c>
      <c r="EJ347" s="1"/>
      <c r="EK347" t="str">
        <f>IF(AND(AND(AND(OR($DX347=1,$DW347=1),OR($EC347=1,$EA347=1)),SUM($DV347:$DZ347,$EF347)&gt;=4),SUM($EA347:$EE347)&gt;=2),"Whole sector","")</f>
        <v/>
      </c>
      <c r="EL347" t="str">
        <f>IF(AND(AND(OR($DX347=1,$DW347=1),AND($EC347=0,$EA347=0)),SUM($DV347:$DZ347,$EF347)&gt;=4),"Ecosystem approach","")</f>
        <v>Ecosystem approach</v>
      </c>
      <c r="EM347" s="2" t="str">
        <f>IF(AND(AND(AND($DX347=0,$DW347=0),OR($EC347=1,$EA347=1)),SUM($EB347:$EE347)&gt;=2),"Technology approach","")</f>
        <v/>
      </c>
      <c r="EN347"/>
      <c r="EO347"/>
      <c r="EP347" t="str">
        <f>IF(ISNUMBER(BU347),IF(ABS(BU347-[2]QC_indicators!$B$2)&gt;3*[2]QC_indicators!$C$2,"C ratio",IF(ISNUMBER(BY347),IF(ABS(BY347-[2]QC_indicators!$B$1)&gt;3*[2]QC_indicators!$C$1,"DF","no"))),IF(ISNUMBER(BY347),IF(ABS(BY347-[2]QC_indicators!$B$1)&gt;3*[2]QC_indicators!$C$1,"DF","no")))</f>
        <v>no</v>
      </c>
      <c r="EQ347"/>
      <c r="ER347"/>
      <c r="ES347"/>
      <c r="ET347" s="270" t="s">
        <v>3244</v>
      </c>
      <c r="EU347"/>
    </row>
    <row r="348" spans="1:151" s="139" customFormat="1" ht="15" customHeight="1">
      <c r="A348" s="1" t="s">
        <v>2116</v>
      </c>
      <c r="B348" t="s">
        <v>545</v>
      </c>
      <c r="C348" t="s">
        <v>2279</v>
      </c>
      <c r="D348" t="s">
        <v>2280</v>
      </c>
      <c r="E348" t="s">
        <v>2281</v>
      </c>
      <c r="F348" t="s">
        <v>2282</v>
      </c>
      <c r="G348" t="s">
        <v>2117</v>
      </c>
      <c r="H348" t="s">
        <v>255</v>
      </c>
      <c r="I348">
        <v>2014</v>
      </c>
      <c r="J348">
        <v>96</v>
      </c>
      <c r="K348" t="s">
        <v>2283</v>
      </c>
      <c r="L348"/>
      <c r="M348" t="str">
        <f>LEFT($D348,FIND(",",$D348)-1)&amp;"_"&amp;I348&amp;L348</f>
        <v>Smyth_2014</v>
      </c>
      <c r="N348" t="s">
        <v>223</v>
      </c>
      <c r="O348" s="145" t="s">
        <v>342</v>
      </c>
      <c r="P348"/>
      <c r="Q348" t="s">
        <v>257</v>
      </c>
      <c r="R348" s="264" t="s">
        <v>224</v>
      </c>
      <c r="S348" s="1" t="s">
        <v>2287</v>
      </c>
      <c r="T348" t="s">
        <v>1157</v>
      </c>
      <c r="U348" s="266" t="s">
        <v>2293</v>
      </c>
      <c r="V348">
        <v>0</v>
      </c>
      <c r="W348">
        <v>0</v>
      </c>
      <c r="X348">
        <v>0</v>
      </c>
      <c r="Y348">
        <v>1</v>
      </c>
      <c r="Z348">
        <v>0</v>
      </c>
      <c r="AA348">
        <v>0</v>
      </c>
      <c r="AB348">
        <v>0</v>
      </c>
      <c r="AC348">
        <v>0</v>
      </c>
      <c r="AD348">
        <v>0</v>
      </c>
      <c r="AE348">
        <v>0</v>
      </c>
      <c r="AF348">
        <v>0</v>
      </c>
      <c r="AG348">
        <v>0</v>
      </c>
      <c r="AH348">
        <v>0</v>
      </c>
      <c r="AI348">
        <v>0</v>
      </c>
      <c r="AJ348">
        <v>0</v>
      </c>
      <c r="AK348">
        <v>0</v>
      </c>
      <c r="AL348">
        <v>0</v>
      </c>
      <c r="AM348">
        <v>0</v>
      </c>
      <c r="AN348">
        <v>0</v>
      </c>
      <c r="AO348">
        <v>0</v>
      </c>
      <c r="AP348">
        <v>0</v>
      </c>
      <c r="AQ348">
        <v>0</v>
      </c>
      <c r="AR348">
        <v>0</v>
      </c>
      <c r="AS348">
        <v>0</v>
      </c>
      <c r="AT348">
        <v>0</v>
      </c>
      <c r="AU348">
        <v>0</v>
      </c>
      <c r="AV348">
        <v>0</v>
      </c>
      <c r="AW348">
        <v>0</v>
      </c>
      <c r="AX348" s="141">
        <f>COUNTIF(V348:AW348,"&lt;&gt;0")</f>
        <v>1</v>
      </c>
      <c r="AY348" s="141">
        <f>COUNTIF(V348:AL348,"&lt;&gt;0")</f>
        <v>1</v>
      </c>
      <c r="AZ348">
        <f>COUNTIF(V348:AC348,"&lt;&gt;0")</f>
        <v>1</v>
      </c>
      <c r="BA348">
        <f>COUNTIF(AD348:AI348,"&lt;&gt;0")</f>
        <v>0</v>
      </c>
      <c r="BB348">
        <f>COUNTIF(AJ348:AL348,"&lt;&gt;0")</f>
        <v>0</v>
      </c>
      <c r="BC348">
        <f>COUNTIF(AS348:AW348,"&lt;&gt;0")</f>
        <v>0</v>
      </c>
      <c r="BD348">
        <f>COUNTIF(AM348:AR348,"&lt;&gt;0")</f>
        <v>0</v>
      </c>
      <c r="BE348" t="str">
        <f t="array" ref="BE348">IF(AY348=1,INDEX($V$7:$AL$7,MATCH(TRUE,INDEX($V348:$AW348&lt;&gt;0,),0)),IF(AY348=0,INDEX($AM$7:$AW$7,MATCH(1,$AM348:$AW348,0)),IF(BF348="Multiple strategies","mixed drivers",IF(BF348="Supply chain","multiple supply","multiple silviculture"))))</f>
        <v xml:space="preserve">cutting intensity </v>
      </c>
      <c r="BF348" s="2" t="str" cm="1">
        <f t="array" ref="BF348">IF(COUNTIF(AZ348:BB348,"&lt;&gt;0")=1,INDEX($V$4:$AW$4,MATCH(TRUE,INDEX($V348:$AW348&lt;&gt;0,),0)),IF(COUNTIF(AZ348:BB348,"&lt;&gt;0")=0,INDEX($AM$4:$AW$4,MATCH(1,$AM348:$AW348,0)),"Multiple strategies"))</f>
        <v>SilvicultureRemov</v>
      </c>
      <c r="BG348" s="1" t="s">
        <v>322</v>
      </c>
      <c r="BH348" t="s">
        <v>2289</v>
      </c>
      <c r="BI348" t="s">
        <v>1038</v>
      </c>
      <c r="BJ348" t="s">
        <v>2290</v>
      </c>
      <c r="BK348">
        <v>0</v>
      </c>
      <c r="BL348">
        <v>0.62</v>
      </c>
      <c r="BM348"/>
      <c r="BN348">
        <f>BL348-BK348</f>
        <v>0.62</v>
      </c>
      <c r="BO348">
        <f>BN348*10^6*tC_to_m3</f>
        <v>2692140.6860616589</v>
      </c>
      <c r="BP348" t="s">
        <v>233</v>
      </c>
      <c r="BQ348" s="269" t="s">
        <v>785</v>
      </c>
      <c r="BR348" s="266" t="s">
        <v>3246</v>
      </c>
      <c r="BS348"/>
      <c r="BT348"/>
      <c r="BU348" s="144"/>
      <c r="BV348">
        <f>-108.8/35</f>
        <v>-3.1085714285714285</v>
      </c>
      <c r="BW348"/>
      <c r="BX348">
        <f>BV348*10^6</f>
        <v>-3108571.4285714286</v>
      </c>
      <c r="BY348">
        <f>IFERROR(BX348/BO348,"")</f>
        <v>-1.1546838709677418</v>
      </c>
      <c r="BZ348">
        <v>0</v>
      </c>
      <c r="CA348">
        <v>1</v>
      </c>
      <c r="CB348">
        <v>1</v>
      </c>
      <c r="CC348">
        <v>1</v>
      </c>
      <c r="CD348">
        <v>0</v>
      </c>
      <c r="CE348">
        <v>0</v>
      </c>
      <c r="CF348">
        <v>0</v>
      </c>
      <c r="CG348">
        <v>0</v>
      </c>
      <c r="CH348">
        <v>0</v>
      </c>
      <c r="CI348">
        <v>0</v>
      </c>
      <c r="CJ348">
        <v>0</v>
      </c>
      <c r="CK348">
        <v>0</v>
      </c>
      <c r="CL348">
        <v>0</v>
      </c>
      <c r="CM348">
        <v>0</v>
      </c>
      <c r="CN348" t="str">
        <f>IF($BL348&lt;$BK348,"refNeedCorrection","refOK")</f>
        <v>refOK</v>
      </c>
      <c r="CO348">
        <f>IF($CN348="refOK",$BK348,$BL348)</f>
        <v>0</v>
      </c>
      <c r="CP348">
        <f>IF($CN348="refOK",$BL348,$BK348)</f>
        <v>0.62</v>
      </c>
      <c r="CQ348">
        <f>IF($CN348="refOK",$BO348,-$BO348)</f>
        <v>2692140.6860616589</v>
      </c>
      <c r="CR348">
        <f>IF($CN348="refOK",$BS348,$BT348)*IF($BP348="Emissions positive",-1,1)</f>
        <v>0</v>
      </c>
      <c r="CS348">
        <f>IF($CN348="refOK",$BT348,$BS348)*IF($BP348="Emissions positive",-1,1)</f>
        <v>0</v>
      </c>
      <c r="CT348">
        <f>IF($CN348="refNeedCorrection",-BX348,BX348)*IF($BP348="Emissions positive",-1,1)</f>
        <v>-3108571.4285714286</v>
      </c>
      <c r="CU348">
        <f>IFERROR(CT348/CQ348,"")</f>
        <v>-1.1546838709677418</v>
      </c>
      <c r="CV348" s="2" t="str">
        <f>IFERROR((CS348-CR348)/ABS(CR348),"")</f>
        <v/>
      </c>
      <c r="CW348" s="1" t="s">
        <v>1205</v>
      </c>
      <c r="CX348" t="str">
        <f>IF(OR($CW348="prd",$CW348="std",$CW348="cit"),"loc",IF(OR($CW348="eur",$CW348="reg",$CW348="coy"),"reg",$CW348))</f>
        <v>reg</v>
      </c>
      <c r="CY348" t="s">
        <v>541</v>
      </c>
      <c r="CZ348">
        <v>2015</v>
      </c>
      <c r="DA348">
        <v>2050</v>
      </c>
      <c r="DB348">
        <v>35</v>
      </c>
      <c r="DC348" t="str">
        <f>IF(DB348=0,"0",IF(AND(DB348&gt;=1,DB348&lt;=30),"1-30",IF(AND(DB348&gt;30,DB348&lt;=70),"31-70",IF(AND(DB348&gt;70,DB348&lt;=100),"71-100",IF(DB348&gt;100,"+100")))))</f>
        <v>31-70</v>
      </c>
      <c r="DD348">
        <v>0</v>
      </c>
      <c r="DE348">
        <v>1</v>
      </c>
      <c r="DF348">
        <v>1</v>
      </c>
      <c r="DG348">
        <v>1</v>
      </c>
      <c r="DH348"/>
      <c r="DI348">
        <f>SUM(DD348:DG348)</f>
        <v>3</v>
      </c>
      <c r="DJ348" t="str">
        <f>IF(DI348=1,INDEX($DD$7:$DG$7,MATCH(1,$DD348:$DG348,0)),"mixedProduct")</f>
        <v>mixedProduct</v>
      </c>
      <c r="DK348">
        <f>IF(DD348=1,DK$7,0)</f>
        <v>0</v>
      </c>
      <c r="DL348" t="str">
        <f>IF(DE348=1,DL$7,0)</f>
        <v>Energy</v>
      </c>
      <c r="DM348" t="str">
        <f>IF(DF348=1,DM$7,0)</f>
        <v>Pulp/Paper</v>
      </c>
      <c r="DN348" t="str">
        <f>IF(DG348=1,DN$7,0)</f>
        <v>Timber</v>
      </c>
      <c r="DO348">
        <v>0</v>
      </c>
      <c r="DP348">
        <v>0</v>
      </c>
      <c r="DQ348"/>
      <c r="DR348">
        <v>0</v>
      </c>
      <c r="DS348">
        <v>0</v>
      </c>
      <c r="DT348">
        <f>SUM(DO348:DP348)</f>
        <v>0</v>
      </c>
      <c r="DU348" s="143" t="str">
        <f>IF(DO348=1,"self-calculated DF",IF(DP348=1,"external DF used","explicit C balance"))</f>
        <v>explicit C balance</v>
      </c>
      <c r="DV348">
        <v>1</v>
      </c>
      <c r="DW348">
        <v>1</v>
      </c>
      <c r="DX348">
        <v>1</v>
      </c>
      <c r="DY348">
        <v>0</v>
      </c>
      <c r="DZ348">
        <v>0</v>
      </c>
      <c r="EA348">
        <v>0</v>
      </c>
      <c r="EB348">
        <v>0</v>
      </c>
      <c r="EC348">
        <v>0</v>
      </c>
      <c r="ED348">
        <v>0</v>
      </c>
      <c r="EE348">
        <v>0</v>
      </c>
      <c r="EF348">
        <v>1</v>
      </c>
      <c r="EG348">
        <v>0</v>
      </c>
      <c r="EH348">
        <v>0</v>
      </c>
      <c r="EI348" s="2">
        <v>0</v>
      </c>
      <c r="EJ348" s="1"/>
      <c r="EK348" t="str">
        <f>IF(AND(AND(AND(OR($DX348=1,$DW348=1),OR($EC348=1,$EA348=1)),SUM($DV348:$DZ348,$EF348)&gt;=4),SUM($EA348:$EE348)&gt;=2),"Whole sector","")</f>
        <v/>
      </c>
      <c r="EL348" t="str">
        <f>IF(AND(AND(OR($DX348=1,$DW348=1),AND($EC348=0,$EA348=0)),SUM($DV348:$DZ348,$EF348)&gt;=4),"Ecosystem approach","")</f>
        <v>Ecosystem approach</v>
      </c>
      <c r="EM348" s="2" t="str">
        <f>IF(AND(AND(AND($DX348=0,$DW348=0),OR($EC348=1,$EA348=1)),SUM($EB348:$EE348)&gt;=2),"Technology approach","")</f>
        <v/>
      </c>
      <c r="EN348"/>
      <c r="EO348"/>
      <c r="EP348" t="str">
        <f>IF(ISNUMBER(BU348),IF(ABS(BU348-[2]QC_indicators!$B$2)&gt;3*[2]QC_indicators!$C$2,"C ratio",IF(ISNUMBER(BY348),IF(ABS(BY348-[2]QC_indicators!$B$1)&gt;3*[2]QC_indicators!$C$1,"DF","no"))),IF(ISNUMBER(BY348),IF(ABS(BY348-[2]QC_indicators!$B$1)&gt;3*[2]QC_indicators!$C$1,"DF","no")))</f>
        <v>no</v>
      </c>
      <c r="EQ348"/>
      <c r="ER348" t="s">
        <v>2291</v>
      </c>
      <c r="ES348"/>
      <c r="ET348" s="270" t="s">
        <v>3244</v>
      </c>
      <c r="EU348"/>
    </row>
    <row r="349" spans="1:151" s="139" customFormat="1" ht="15" hidden="1" customHeight="1">
      <c r="A349" s="1" t="s">
        <v>1047</v>
      </c>
      <c r="B349" t="s">
        <v>1048</v>
      </c>
      <c r="C349" t="s">
        <v>1049</v>
      </c>
      <c r="D349" t="s">
        <v>1050</v>
      </c>
      <c r="E349" t="s">
        <v>1051</v>
      </c>
      <c r="F349" t="s">
        <v>1052</v>
      </c>
      <c r="G349" t="s">
        <v>1053</v>
      </c>
      <c r="H349" t="s">
        <v>255</v>
      </c>
      <c r="I349">
        <v>2014</v>
      </c>
      <c r="J349">
        <v>23</v>
      </c>
      <c r="K349" t="s">
        <v>1054</v>
      </c>
      <c r="L349"/>
      <c r="M349" t="str">
        <f>LEFT($D349,FIND(",",$D349)-1)&amp;"_"&amp;I349&amp;L349</f>
        <v>Pyorala_2014</v>
      </c>
      <c r="N349" t="s">
        <v>223</v>
      </c>
      <c r="O349" s="171" t="s">
        <v>342</v>
      </c>
      <c r="P349" t="s">
        <v>226</v>
      </c>
      <c r="Q349" s="266" t="s">
        <v>390</v>
      </c>
      <c r="R349" s="271" t="s">
        <v>1156</v>
      </c>
      <c r="S349" s="1" t="s">
        <v>1055</v>
      </c>
      <c r="T349" s="266" t="s">
        <v>1056</v>
      </c>
      <c r="U349" s="266" t="s">
        <v>1057</v>
      </c>
      <c r="V349">
        <v>0</v>
      </c>
      <c r="W349">
        <v>0</v>
      </c>
      <c r="X349">
        <v>0</v>
      </c>
      <c r="Y349">
        <v>1</v>
      </c>
      <c r="Z349">
        <v>0</v>
      </c>
      <c r="AA349">
        <v>0</v>
      </c>
      <c r="AB349">
        <v>0</v>
      </c>
      <c r="AC349">
        <v>0</v>
      </c>
      <c r="AD349">
        <v>0</v>
      </c>
      <c r="AE349">
        <v>0</v>
      </c>
      <c r="AF349">
        <v>0</v>
      </c>
      <c r="AG349">
        <v>0</v>
      </c>
      <c r="AH349">
        <v>0</v>
      </c>
      <c r="AI349">
        <v>0</v>
      </c>
      <c r="AJ349">
        <v>0</v>
      </c>
      <c r="AK349">
        <v>0</v>
      </c>
      <c r="AL349">
        <v>0</v>
      </c>
      <c r="AM349">
        <v>0</v>
      </c>
      <c r="AN349">
        <v>0</v>
      </c>
      <c r="AO349">
        <v>0</v>
      </c>
      <c r="AP349">
        <v>0</v>
      </c>
      <c r="AQ349">
        <v>0</v>
      </c>
      <c r="AR349">
        <v>0</v>
      </c>
      <c r="AS349">
        <v>0</v>
      </c>
      <c r="AT349">
        <v>0</v>
      </c>
      <c r="AU349">
        <v>0</v>
      </c>
      <c r="AV349">
        <v>0</v>
      </c>
      <c r="AW349">
        <v>0</v>
      </c>
      <c r="AX349" s="141">
        <f>COUNTIF(V349:AW349,"&lt;&gt;0")</f>
        <v>1</v>
      </c>
      <c r="AY349" s="141">
        <f>COUNTIF(V349:AL349,"&lt;&gt;0")</f>
        <v>1</v>
      </c>
      <c r="AZ349">
        <f>COUNTIF(V349:AC349,"&lt;&gt;0")</f>
        <v>1</v>
      </c>
      <c r="BA349">
        <f>COUNTIF(AD349:AI349,"&lt;&gt;0")</f>
        <v>0</v>
      </c>
      <c r="BB349">
        <f>COUNTIF(AJ349:AL349,"&lt;&gt;0")</f>
        <v>0</v>
      </c>
      <c r="BC349">
        <f>COUNTIF(AS349:AW349,"&lt;&gt;0")</f>
        <v>0</v>
      </c>
      <c r="BD349">
        <f>COUNTIF(AM349:AR349,"&lt;&gt;0")</f>
        <v>0</v>
      </c>
      <c r="BE349" t="str" cm="1">
        <f t="array" ref="BE349">IF(AY349=1,INDEX($V$7:$AL$7,MATCH(TRUE,INDEX($V349:$AW349&lt;&gt;0,),0)),IF(AY349=0,INDEX($AM$7:$AW$7,MATCH(1,$AM349:$AW349,0)),IF(BF349="Multiple strategies","mixed drivers",IF(BF349="Supply chain","multiple supply","multiple silviculture"))))</f>
        <v xml:space="preserve">cutting intensity </v>
      </c>
      <c r="BF349" s="2" t="str" cm="1">
        <f t="array" ref="BF349">IF(COUNTIF(AZ349:BB349,"&lt;&gt;0")=1,INDEX($V$4:$AW$4,MATCH(TRUE,INDEX($V349:$AW349&lt;&gt;0,),0)),IF(COUNTIF(AZ349:BB349,"&lt;&gt;0")=0,INDEX($AM$4:$AW$4,MATCH(1,$AM349:$AW349,0)),"Multiple strategies"))</f>
        <v>SilvicultureRemov</v>
      </c>
      <c r="BG349" s="1" t="s">
        <v>322</v>
      </c>
      <c r="BH349" t="s">
        <v>1058</v>
      </c>
      <c r="BI349" s="266" t="s">
        <v>1059</v>
      </c>
      <c r="BJ349" s="266" t="s">
        <v>1060</v>
      </c>
      <c r="BK349">
        <v>3.45</v>
      </c>
      <c r="BL349">
        <v>3.5</v>
      </c>
      <c r="BM349">
        <f>IFERROR(BL349/BK349,"")</f>
        <v>1.0144927536231882</v>
      </c>
      <c r="BN349">
        <f>BL349-BK349</f>
        <v>4.9999999999999822E-2</v>
      </c>
      <c r="BO349">
        <f>BN349*t_to_m3</f>
        <v>0.10204081632653025</v>
      </c>
      <c r="BP349" t="s">
        <v>396</v>
      </c>
      <c r="BQ349" t="s">
        <v>974</v>
      </c>
      <c r="BR349" t="s">
        <v>1061</v>
      </c>
      <c r="BS349" s="172">
        <v>-129</v>
      </c>
      <c r="BT349" s="172">
        <v>-19.5</v>
      </c>
      <c r="BU349" s="144"/>
      <c r="BV349">
        <f>BT349-BS349</f>
        <v>109.5</v>
      </c>
      <c r="BW349"/>
      <c r="BX349">
        <f>BV349*10^-6*10^4</f>
        <v>1.095</v>
      </c>
      <c r="BY349">
        <f>IFERROR(BX349/BO349,"")</f>
        <v>10.731000000000037</v>
      </c>
      <c r="BZ349">
        <v>0</v>
      </c>
      <c r="CA349">
        <v>0</v>
      </c>
      <c r="CB349">
        <v>0</v>
      </c>
      <c r="CC349">
        <v>0</v>
      </c>
      <c r="CD349">
        <v>0</v>
      </c>
      <c r="CE349">
        <v>0</v>
      </c>
      <c r="CF349">
        <v>0</v>
      </c>
      <c r="CG349">
        <v>0</v>
      </c>
      <c r="CH349">
        <v>0</v>
      </c>
      <c r="CI349">
        <v>0</v>
      </c>
      <c r="CJ349">
        <v>0</v>
      </c>
      <c r="CK349">
        <v>0</v>
      </c>
      <c r="CL349">
        <v>0</v>
      </c>
      <c r="CM349">
        <v>0</v>
      </c>
      <c r="CN349" t="str">
        <f>IF($BL349&lt;$BK349,"refNeedCorrection","refOK")</f>
        <v>refOK</v>
      </c>
      <c r="CO349">
        <f>IF($CN349="refOK",$BK349,$BL349)</f>
        <v>3.45</v>
      </c>
      <c r="CP349">
        <f>IF($CN349="refOK",$BL349,$BK349)</f>
        <v>3.5</v>
      </c>
      <c r="CQ349">
        <f>IF($CN349="refOK",$BO349,-$BO349)</f>
        <v>0.10204081632653025</v>
      </c>
      <c r="CR349">
        <f>IF($CN349="refOK",$BS349,$BT349)*IF($BP349="Emissions positive",-1,1)</f>
        <v>129</v>
      </c>
      <c r="CS349">
        <f>IF($CN349="refOK",$BT349,$BS349)*IF($BP349="Emissions positive",-1,1)</f>
        <v>19.5</v>
      </c>
      <c r="CT349">
        <f>IF($CN349="refNeedCorrection",-BX349,BX349)*IF($BP349="Emissions positive",-1,1)</f>
        <v>-1.095</v>
      </c>
      <c r="CU349">
        <f>IFERROR(CT349/CQ349,"")</f>
        <v>-10.731000000000037</v>
      </c>
      <c r="CV349" s="2">
        <f>IFERROR((CS349-CR349)/ABS(CR349),"")</f>
        <v>-0.84883720930232553</v>
      </c>
      <c r="CW349" s="1" t="s">
        <v>264</v>
      </c>
      <c r="CX349" s="266" t="str">
        <f>IF(OR($CW349="prd",$CW349="std",$CW349="cit"),"loc",IF(OR($CW349="eur",$CW349="reg",$CW349="coy"),"reg",$CW349))</f>
        <v>loc</v>
      </c>
      <c r="CY349" t="s">
        <v>236</v>
      </c>
      <c r="CZ349"/>
      <c r="DA349"/>
      <c r="DB349">
        <v>50</v>
      </c>
      <c r="DC349" t="str">
        <f>IF(DB349=0,"0",IF(AND(DB349&gt;=1,DB349&lt;=30),"1-30",IF(AND(DB349&gt;30,DB349&lt;=70),"31-70",IF(AND(DB349&gt;70,DB349&lt;=100),"71-100",IF(DB349&gt;100,"+100")))))</f>
        <v>31-70</v>
      </c>
      <c r="DD349">
        <v>0</v>
      </c>
      <c r="DE349">
        <v>1</v>
      </c>
      <c r="DF349">
        <v>0</v>
      </c>
      <c r="DG349">
        <v>1</v>
      </c>
      <c r="DH349"/>
      <c r="DI349">
        <f>SUM(DD349:DG349)</f>
        <v>2</v>
      </c>
      <c r="DJ349" t="str">
        <f>IF(DI349=1,INDEX($DD$7:$DG$7,MATCH(1,$DD349:$DG349,0)),"mixedProduct")</f>
        <v>mixedProduct</v>
      </c>
      <c r="DK349">
        <f>IF(DD349=1,DK$7,0)</f>
        <v>0</v>
      </c>
      <c r="DL349" t="str">
        <f>IF(DE349=1,DL$7,0)</f>
        <v>Energy</v>
      </c>
      <c r="DM349">
        <f>IF(DF349=1,DM$7,0)</f>
        <v>0</v>
      </c>
      <c r="DN349" t="str">
        <f>IF(DG349=1,DN$7,0)</f>
        <v>Timber</v>
      </c>
      <c r="DO349">
        <v>0</v>
      </c>
      <c r="DP349">
        <v>1</v>
      </c>
      <c r="DQ349" t="s">
        <v>1062</v>
      </c>
      <c r="DR349"/>
      <c r="DS349"/>
      <c r="DT349">
        <f>SUM(DO349:DP349)</f>
        <v>1</v>
      </c>
      <c r="DU349" s="143" t="str">
        <f>IF(DO349=1,"self-calculated DF",IF(DP349=1,"external DF used","explicit C balance"))</f>
        <v>external DF used</v>
      </c>
      <c r="DV349">
        <v>1</v>
      </c>
      <c r="DW349">
        <v>1</v>
      </c>
      <c r="DX349">
        <v>1</v>
      </c>
      <c r="DY349">
        <v>0</v>
      </c>
      <c r="DZ349">
        <v>0</v>
      </c>
      <c r="EA349" s="143">
        <v>0</v>
      </c>
      <c r="EB349">
        <v>1</v>
      </c>
      <c r="EC349">
        <v>1</v>
      </c>
      <c r="ED349">
        <v>0</v>
      </c>
      <c r="EE349">
        <v>0</v>
      </c>
      <c r="EF349">
        <v>1</v>
      </c>
      <c r="EG349">
        <v>0</v>
      </c>
      <c r="EH349">
        <v>0</v>
      </c>
      <c r="EI349" s="2">
        <v>0</v>
      </c>
      <c r="EJ349" s="1"/>
      <c r="EK349" t="str">
        <f>IF(AND(AND(AND(OR($DX349=1,$DW349=1),OR($EC349=1,$EA349=1)),SUM($DV349:$DZ349,$EF349)&gt;=4),SUM($EA349:$EE349)&gt;=2),"Whole sector","")</f>
        <v>Whole sector</v>
      </c>
      <c r="EL349" t="str">
        <f>IF(AND(AND(OR($DX349=1,$DW349=1),AND($EC349=0,$EA349=0)),SUM($DV349:$DZ349,$EF349)&gt;=4),"Ecosystem approach","")</f>
        <v/>
      </c>
      <c r="EM349" s="2" t="str">
        <f>IF(AND(AND(AND($DX349=0,$DW349=0),OR($EC349=1,$EA349=1)),SUM($EB349:$EE349)&gt;=2),"Technology approach","")</f>
        <v/>
      </c>
      <c r="EN349"/>
      <c r="EO349"/>
      <c r="EP349" t="str">
        <f>IF(ISNUMBER(BU349),IF(ABS(BU349-[1]QC_indicators!$B$2)&gt;3*[1]QC_indicators!$C$2,"C ratio",IF(ISNUMBER(BY349),IF(ABS(BY349-[1]QC_indicators!$B$1)&gt;3*[1]QC_indicators!$C$1,"DF","no"))),IF(ISNUMBER(BY349),IF(ABS(BY349-[1]QC_indicators!$B$1)&gt;3*[1]QC_indicators!$C$1,"DF","no")))</f>
        <v>DF</v>
      </c>
      <c r="EQ349"/>
      <c r="ER349" s="266" t="s">
        <v>1063</v>
      </c>
      <c r="ES349"/>
      <c r="ET349" s="266" t="s">
        <v>3409</v>
      </c>
      <c r="EU349"/>
    </row>
    <row r="350" spans="1:151" s="139" customFormat="1" ht="15" hidden="1" customHeight="1">
      <c r="A350" s="1" t="s">
        <v>1047</v>
      </c>
      <c r="B350" t="s">
        <v>1048</v>
      </c>
      <c r="C350" t="s">
        <v>1049</v>
      </c>
      <c r="D350" t="s">
        <v>1050</v>
      </c>
      <c r="E350" t="s">
        <v>1051</v>
      </c>
      <c r="F350" t="s">
        <v>1052</v>
      </c>
      <c r="G350" t="s">
        <v>1053</v>
      </c>
      <c r="H350" t="s">
        <v>255</v>
      </c>
      <c r="I350">
        <v>2014</v>
      </c>
      <c r="J350">
        <v>23</v>
      </c>
      <c r="K350" t="s">
        <v>1054</v>
      </c>
      <c r="L350"/>
      <c r="M350" t="str">
        <f>LEFT($D350,FIND(",",$D350)-1)&amp;"_"&amp;I350&amp;L350</f>
        <v>Pyorala_2014</v>
      </c>
      <c r="N350" t="s">
        <v>223</v>
      </c>
      <c r="O350" s="171" t="s">
        <v>342</v>
      </c>
      <c r="P350" t="s">
        <v>226</v>
      </c>
      <c r="Q350" s="266" t="s">
        <v>390</v>
      </c>
      <c r="R350" s="271" t="s">
        <v>1156</v>
      </c>
      <c r="S350" s="1" t="s">
        <v>1055</v>
      </c>
      <c r="T350" s="266" t="s">
        <v>1064</v>
      </c>
      <c r="U350" s="266" t="s">
        <v>1057</v>
      </c>
      <c r="V350">
        <v>0</v>
      </c>
      <c r="W350">
        <v>0</v>
      </c>
      <c r="X350">
        <v>0</v>
      </c>
      <c r="Y350">
        <v>1</v>
      </c>
      <c r="Z350">
        <v>0</v>
      </c>
      <c r="AA350">
        <v>0</v>
      </c>
      <c r="AB350">
        <v>0</v>
      </c>
      <c r="AC350">
        <v>0</v>
      </c>
      <c r="AD350">
        <v>0</v>
      </c>
      <c r="AE350">
        <v>0</v>
      </c>
      <c r="AF350">
        <v>0</v>
      </c>
      <c r="AG350">
        <v>0</v>
      </c>
      <c r="AH350">
        <v>0</v>
      </c>
      <c r="AI350">
        <v>0</v>
      </c>
      <c r="AJ350">
        <v>0</v>
      </c>
      <c r="AK350">
        <v>0</v>
      </c>
      <c r="AL350">
        <v>0</v>
      </c>
      <c r="AM350">
        <v>0</v>
      </c>
      <c r="AN350">
        <v>0</v>
      </c>
      <c r="AO350">
        <v>0</v>
      </c>
      <c r="AP350">
        <v>0</v>
      </c>
      <c r="AQ350">
        <v>0</v>
      </c>
      <c r="AR350">
        <v>0</v>
      </c>
      <c r="AS350">
        <v>0</v>
      </c>
      <c r="AT350">
        <v>0</v>
      </c>
      <c r="AU350">
        <v>0</v>
      </c>
      <c r="AV350">
        <v>0</v>
      </c>
      <c r="AW350">
        <v>0</v>
      </c>
      <c r="AX350" s="141">
        <f>COUNTIF(V350:AW350,"&lt;&gt;0")</f>
        <v>1</v>
      </c>
      <c r="AY350" s="141">
        <f>COUNTIF(V350:AL350,"&lt;&gt;0")</f>
        <v>1</v>
      </c>
      <c r="AZ350">
        <f>COUNTIF(V350:AC350,"&lt;&gt;0")</f>
        <v>1</v>
      </c>
      <c r="BA350">
        <f>COUNTIF(AD350:AI350,"&lt;&gt;0")</f>
        <v>0</v>
      </c>
      <c r="BB350">
        <f>COUNTIF(AJ350:AL350,"&lt;&gt;0")</f>
        <v>0</v>
      </c>
      <c r="BC350">
        <f>COUNTIF(AS350:AW350,"&lt;&gt;0")</f>
        <v>0</v>
      </c>
      <c r="BD350">
        <f>COUNTIF(AM350:AR350,"&lt;&gt;0")</f>
        <v>0</v>
      </c>
      <c r="BE350" t="str" cm="1">
        <f t="array" ref="BE350">IF(AY350=1,INDEX($V$7:$AL$7,MATCH(TRUE,INDEX($V350:$AW350&lt;&gt;0,),0)),IF(AY350=0,INDEX($AM$7:$AW$7,MATCH(1,$AM350:$AW350,0)),IF(BF350="Multiple strategies","mixed drivers",IF(BF350="Supply chain","multiple supply","multiple silviculture"))))</f>
        <v xml:space="preserve">cutting intensity </v>
      </c>
      <c r="BF350" s="2" t="str" cm="1">
        <f t="array" ref="BF350">IF(COUNTIF(AZ350:BB350,"&lt;&gt;0")=1,INDEX($V$4:$AW$4,MATCH(TRUE,INDEX($V350:$AW350&lt;&gt;0,),0)),IF(COUNTIF(AZ350:BB350,"&lt;&gt;0")=0,INDEX($AM$4:$AW$4,MATCH(1,$AM350:$AW350,0)),"Multiple strategies"))</f>
        <v>SilvicultureRemov</v>
      </c>
      <c r="BG350" s="1" t="s">
        <v>322</v>
      </c>
      <c r="BH350" t="s">
        <v>1058</v>
      </c>
      <c r="BI350" s="266" t="s">
        <v>1059</v>
      </c>
      <c r="BJ350" s="266" t="s">
        <v>1060</v>
      </c>
      <c r="BK350">
        <v>3.3</v>
      </c>
      <c r="BL350">
        <v>3.5</v>
      </c>
      <c r="BM350">
        <f>IFERROR(BL350/BK350,"")</f>
        <v>1.0606060606060606</v>
      </c>
      <c r="BN350">
        <f>BL350-BK350</f>
        <v>0.20000000000000018</v>
      </c>
      <c r="BO350">
        <f>BN350*t_to_m3</f>
        <v>0.40816326530612285</v>
      </c>
      <c r="BP350" t="s">
        <v>396</v>
      </c>
      <c r="BQ350" t="s">
        <v>974</v>
      </c>
      <c r="BR350" t="s">
        <v>1061</v>
      </c>
      <c r="BS350" s="172">
        <v>-171</v>
      </c>
      <c r="BT350" s="172">
        <v>-19.5</v>
      </c>
      <c r="BU350" s="144"/>
      <c r="BV350">
        <f>BT350-BS350</f>
        <v>151.5</v>
      </c>
      <c r="BW350"/>
      <c r="BX350">
        <f>BV350*10^-6*10^4</f>
        <v>1.5149999999999999</v>
      </c>
      <c r="BY350">
        <f>IFERROR(BX350/BO350,"")</f>
        <v>3.7117499999999963</v>
      </c>
      <c r="BZ350">
        <v>0</v>
      </c>
      <c r="CA350">
        <v>0</v>
      </c>
      <c r="CB350">
        <v>0</v>
      </c>
      <c r="CC350">
        <v>0</v>
      </c>
      <c r="CD350">
        <v>0</v>
      </c>
      <c r="CE350">
        <v>0</v>
      </c>
      <c r="CF350">
        <v>0</v>
      </c>
      <c r="CG350">
        <v>0</v>
      </c>
      <c r="CH350">
        <v>0</v>
      </c>
      <c r="CI350">
        <v>0</v>
      </c>
      <c r="CJ350">
        <v>0</v>
      </c>
      <c r="CK350">
        <v>0</v>
      </c>
      <c r="CL350">
        <v>0</v>
      </c>
      <c r="CM350">
        <v>0</v>
      </c>
      <c r="CN350" t="str">
        <f>IF($BL350&lt;$BK350,"refNeedCorrection","refOK")</f>
        <v>refOK</v>
      </c>
      <c r="CO350">
        <f>IF($CN350="refOK",$BK350,$BL350)</f>
        <v>3.3</v>
      </c>
      <c r="CP350">
        <f>IF($CN350="refOK",$BL350,$BK350)</f>
        <v>3.5</v>
      </c>
      <c r="CQ350">
        <f>IF($CN350="refOK",$BO350,-$BO350)</f>
        <v>0.40816326530612285</v>
      </c>
      <c r="CR350">
        <f>IF($CN350="refOK",$BS350,$BT350)*IF($BP350="Emissions positive",-1,1)</f>
        <v>171</v>
      </c>
      <c r="CS350">
        <f>IF($CN350="refOK",$BT350,$BS350)*IF($BP350="Emissions positive",-1,1)</f>
        <v>19.5</v>
      </c>
      <c r="CT350">
        <f>IF($CN350="refNeedCorrection",-BX350,BX350)*IF($BP350="Emissions positive",-1,1)</f>
        <v>-1.5149999999999999</v>
      </c>
      <c r="CU350">
        <f>IFERROR(CT350/CQ350,"")</f>
        <v>-3.7117499999999963</v>
      </c>
      <c r="CV350" s="2">
        <f>IFERROR((CS350-CR350)/ABS(CR350),"")</f>
        <v>-0.88596491228070173</v>
      </c>
      <c r="CW350" s="1" t="s">
        <v>264</v>
      </c>
      <c r="CX350" s="266" t="str">
        <f>IF(OR($CW350="prd",$CW350="std",$CW350="cit"),"loc",IF(OR($CW350="eur",$CW350="reg",$CW350="coy"),"reg",$CW350))</f>
        <v>loc</v>
      </c>
      <c r="CY350" t="s">
        <v>236</v>
      </c>
      <c r="CZ350"/>
      <c r="DA350"/>
      <c r="DB350">
        <v>50</v>
      </c>
      <c r="DC350" t="str">
        <f>IF(DB350=0,"0",IF(AND(DB350&gt;=1,DB350&lt;=30),"1-30",IF(AND(DB350&gt;30,DB350&lt;=70),"31-70",IF(AND(DB350&gt;70,DB350&lt;=100),"71-100",IF(DB350&gt;100,"+100")))))</f>
        <v>31-70</v>
      </c>
      <c r="DD350">
        <v>0</v>
      </c>
      <c r="DE350">
        <v>1</v>
      </c>
      <c r="DF350">
        <v>0</v>
      </c>
      <c r="DG350">
        <v>1</v>
      </c>
      <c r="DH350"/>
      <c r="DI350">
        <f>SUM(DD350:DG350)</f>
        <v>2</v>
      </c>
      <c r="DJ350" t="str">
        <f>IF(DI350=1,INDEX($DD$7:$DG$7,MATCH(1,$DD350:$DG350,0)),"mixedProduct")</f>
        <v>mixedProduct</v>
      </c>
      <c r="DK350">
        <f>IF(DD350=1,DK$7,0)</f>
        <v>0</v>
      </c>
      <c r="DL350" t="str">
        <f>IF(DE350=1,DL$7,0)</f>
        <v>Energy</v>
      </c>
      <c r="DM350">
        <f>IF(DF350=1,DM$7,0)</f>
        <v>0</v>
      </c>
      <c r="DN350" t="str">
        <f>IF(DG350=1,DN$7,0)</f>
        <v>Timber</v>
      </c>
      <c r="DO350">
        <v>0</v>
      </c>
      <c r="DP350">
        <v>1</v>
      </c>
      <c r="DQ350" t="s">
        <v>1062</v>
      </c>
      <c r="DR350"/>
      <c r="DS350"/>
      <c r="DT350">
        <f>SUM(DO350:DP350)</f>
        <v>1</v>
      </c>
      <c r="DU350" s="143" t="str">
        <f>IF(DO350=1,"self-calculated DF",IF(DP350=1,"external DF used","explicit C balance"))</f>
        <v>external DF used</v>
      </c>
      <c r="DV350">
        <v>1</v>
      </c>
      <c r="DW350">
        <v>1</v>
      </c>
      <c r="DX350">
        <v>1</v>
      </c>
      <c r="DY350">
        <v>0</v>
      </c>
      <c r="DZ350">
        <v>0</v>
      </c>
      <c r="EA350" s="143">
        <v>0</v>
      </c>
      <c r="EB350">
        <v>1</v>
      </c>
      <c r="EC350">
        <v>1</v>
      </c>
      <c r="ED350">
        <v>0</v>
      </c>
      <c r="EE350">
        <v>0</v>
      </c>
      <c r="EF350">
        <v>1</v>
      </c>
      <c r="EG350">
        <v>0</v>
      </c>
      <c r="EH350">
        <v>0</v>
      </c>
      <c r="EI350" s="2">
        <v>0</v>
      </c>
      <c r="EJ350" s="1"/>
      <c r="EK350" t="str">
        <f>IF(AND(AND(AND(OR($DX350=1,$DW350=1),OR($EC350=1,$EA350=1)),SUM($DV350:$DZ350,$EF350)&gt;=4),SUM($EA350:$EE350)&gt;=2),"Whole sector","")</f>
        <v>Whole sector</v>
      </c>
      <c r="EL350" t="str">
        <f>IF(AND(AND(OR($DX350=1,$DW350=1),AND($EC350=0,$EA350=0)),SUM($DV350:$DZ350,$EF350)&gt;=4),"Ecosystem approach","")</f>
        <v/>
      </c>
      <c r="EM350" s="2" t="str">
        <f>IF(AND(AND(AND($DX350=0,$DW350=0),OR($EC350=1,$EA350=1)),SUM($EB350:$EE350)&gt;=2),"Technology approach","")</f>
        <v/>
      </c>
      <c r="EN350" s="266" t="s">
        <v>1065</v>
      </c>
      <c r="EO350"/>
      <c r="EP350" t="str">
        <f>IF(ISNUMBER(BU350),IF(ABS(BU350-[1]QC_indicators!$B$2)&gt;3*[1]QC_indicators!$C$2,"C ratio",IF(ISNUMBER(BY350),IF(ABS(BY350-[1]QC_indicators!$B$1)&gt;3*[1]QC_indicators!$C$1,"DF","no"))),IF(ISNUMBER(BY350),IF(ABS(BY350-[1]QC_indicators!$B$1)&gt;3*[1]QC_indicators!$C$1,"DF","no")))</f>
        <v>no</v>
      </c>
      <c r="EQ350"/>
      <c r="ER350" s="266" t="s">
        <v>1063</v>
      </c>
      <c r="ES350"/>
      <c r="ET350" s="266" t="s">
        <v>3409</v>
      </c>
      <c r="EU350"/>
    </row>
    <row r="351" spans="1:151" s="139" customFormat="1" ht="15" hidden="1" customHeight="1">
      <c r="A351" s="1" t="s">
        <v>1047</v>
      </c>
      <c r="B351" t="s">
        <v>1048</v>
      </c>
      <c r="C351" t="s">
        <v>1049</v>
      </c>
      <c r="D351" t="s">
        <v>1050</v>
      </c>
      <c r="E351" t="s">
        <v>1051</v>
      </c>
      <c r="F351" t="s">
        <v>1052</v>
      </c>
      <c r="G351" t="s">
        <v>1053</v>
      </c>
      <c r="H351" t="s">
        <v>255</v>
      </c>
      <c r="I351">
        <v>2014</v>
      </c>
      <c r="J351">
        <v>23</v>
      </c>
      <c r="K351" t="s">
        <v>1054</v>
      </c>
      <c r="L351"/>
      <c r="M351" t="str">
        <f>LEFT($D351,FIND(",",$D351)-1)&amp;"_"&amp;I351&amp;L351</f>
        <v>Pyorala_2014</v>
      </c>
      <c r="N351" t="s">
        <v>223</v>
      </c>
      <c r="O351" s="171" t="s">
        <v>342</v>
      </c>
      <c r="P351" t="s">
        <v>226</v>
      </c>
      <c r="Q351" s="266" t="s">
        <v>390</v>
      </c>
      <c r="R351" s="271" t="s">
        <v>1156</v>
      </c>
      <c r="S351" s="1" t="s">
        <v>1055</v>
      </c>
      <c r="T351" s="266" t="s">
        <v>1066</v>
      </c>
      <c r="U351" s="266" t="s">
        <v>1067</v>
      </c>
      <c r="V351">
        <v>0</v>
      </c>
      <c r="W351">
        <v>0</v>
      </c>
      <c r="X351">
        <v>0</v>
      </c>
      <c r="Y351">
        <v>1</v>
      </c>
      <c r="Z351">
        <v>0</v>
      </c>
      <c r="AA351">
        <v>0</v>
      </c>
      <c r="AB351">
        <v>0</v>
      </c>
      <c r="AC351">
        <v>0</v>
      </c>
      <c r="AD351">
        <v>0</v>
      </c>
      <c r="AE351">
        <v>0</v>
      </c>
      <c r="AF351">
        <v>0</v>
      </c>
      <c r="AG351">
        <v>0</v>
      </c>
      <c r="AH351">
        <v>0</v>
      </c>
      <c r="AI351">
        <v>0</v>
      </c>
      <c r="AJ351">
        <v>0</v>
      </c>
      <c r="AK351">
        <v>0</v>
      </c>
      <c r="AL351">
        <v>0</v>
      </c>
      <c r="AM351">
        <v>0</v>
      </c>
      <c r="AN351">
        <v>0</v>
      </c>
      <c r="AO351">
        <v>0</v>
      </c>
      <c r="AP351">
        <v>0</v>
      </c>
      <c r="AQ351">
        <v>0</v>
      </c>
      <c r="AR351">
        <v>0</v>
      </c>
      <c r="AS351">
        <v>0</v>
      </c>
      <c r="AT351">
        <v>0</v>
      </c>
      <c r="AU351">
        <v>0</v>
      </c>
      <c r="AV351">
        <v>0</v>
      </c>
      <c r="AW351">
        <v>0</v>
      </c>
      <c r="AX351" s="141">
        <f>COUNTIF(V351:AW351,"&lt;&gt;0")</f>
        <v>1</v>
      </c>
      <c r="AY351" s="141">
        <f>COUNTIF(V351:AL351,"&lt;&gt;0")</f>
        <v>1</v>
      </c>
      <c r="AZ351">
        <f>COUNTIF(V351:AC351,"&lt;&gt;0")</f>
        <v>1</v>
      </c>
      <c r="BA351">
        <f>COUNTIF(AD351:AI351,"&lt;&gt;0")</f>
        <v>0</v>
      </c>
      <c r="BB351">
        <f>COUNTIF(AJ351:AL351,"&lt;&gt;0")</f>
        <v>0</v>
      </c>
      <c r="BC351">
        <f>COUNTIF(AS351:AW351,"&lt;&gt;0")</f>
        <v>0</v>
      </c>
      <c r="BD351">
        <f>COUNTIF(AM351:AR351,"&lt;&gt;0")</f>
        <v>0</v>
      </c>
      <c r="BE351" t="str" cm="1">
        <f t="array" ref="BE351">IF(AY351=1,INDEX($V$7:$AL$7,MATCH(TRUE,INDEX($V351:$AW351&lt;&gt;0,),0)),IF(AY351=0,INDEX($AM$7:$AW$7,MATCH(1,$AM351:$AW351,0)),IF(BF351="Multiple strategies","mixed drivers",IF(BF351="Supply chain","multiple supply","multiple silviculture"))))</f>
        <v xml:space="preserve">cutting intensity </v>
      </c>
      <c r="BF351" s="2" t="str" cm="1">
        <f t="array" ref="BF351">IF(COUNTIF(AZ351:BB351,"&lt;&gt;0")=1,INDEX($V$4:$AW$4,MATCH(TRUE,INDEX($V351:$AW351&lt;&gt;0,),0)),IF(COUNTIF(AZ351:BB351,"&lt;&gt;0")=0,INDEX($AM$4:$AW$4,MATCH(1,$AM351:$AW351,0)),"Multiple strategies"))</f>
        <v>SilvicultureRemov</v>
      </c>
      <c r="BG351" s="1" t="s">
        <v>322</v>
      </c>
      <c r="BH351" t="s">
        <v>1058</v>
      </c>
      <c r="BI351" s="266" t="s">
        <v>1059</v>
      </c>
      <c r="BJ351" s="266" t="s">
        <v>1060</v>
      </c>
      <c r="BK351">
        <v>3.65</v>
      </c>
      <c r="BL351">
        <v>3.8</v>
      </c>
      <c r="BM351">
        <f>IFERROR(BL351/BK351,"")</f>
        <v>1.0410958904109588</v>
      </c>
      <c r="BN351">
        <f>BL351-BK351</f>
        <v>0.14999999999999991</v>
      </c>
      <c r="BO351">
        <f>BN351*t_to_m3</f>
        <v>0.30612244897959168</v>
      </c>
      <c r="BP351" t="s">
        <v>396</v>
      </c>
      <c r="BQ351" t="s">
        <v>974</v>
      </c>
      <c r="BR351" t="s">
        <v>1061</v>
      </c>
      <c r="BS351" s="172">
        <v>-236.5</v>
      </c>
      <c r="BT351" s="172">
        <v>-189</v>
      </c>
      <c r="BU351" s="144"/>
      <c r="BV351">
        <f>BT351-BS351</f>
        <v>47.5</v>
      </c>
      <c r="BW351"/>
      <c r="BX351">
        <f>BV351*10^-6*10^4</f>
        <v>0.47499999999999998</v>
      </c>
      <c r="BY351">
        <f>IFERROR(BX351/BO351,"")</f>
        <v>1.5516666666666674</v>
      </c>
      <c r="BZ351">
        <v>0</v>
      </c>
      <c r="CA351">
        <v>0</v>
      </c>
      <c r="CB351">
        <v>0</v>
      </c>
      <c r="CC351">
        <v>0</v>
      </c>
      <c r="CD351">
        <v>0</v>
      </c>
      <c r="CE351">
        <v>0</v>
      </c>
      <c r="CF351">
        <v>0</v>
      </c>
      <c r="CG351">
        <v>0</v>
      </c>
      <c r="CH351">
        <v>0</v>
      </c>
      <c r="CI351">
        <v>0</v>
      </c>
      <c r="CJ351">
        <v>0</v>
      </c>
      <c r="CK351">
        <v>0</v>
      </c>
      <c r="CL351">
        <v>0</v>
      </c>
      <c r="CM351">
        <v>0</v>
      </c>
      <c r="CN351" t="str">
        <f>IF($BL351&lt;$BK351,"refNeedCorrection","refOK")</f>
        <v>refOK</v>
      </c>
      <c r="CO351">
        <f>IF($CN351="refOK",$BK351,$BL351)</f>
        <v>3.65</v>
      </c>
      <c r="CP351">
        <f>IF($CN351="refOK",$BL351,$BK351)</f>
        <v>3.8</v>
      </c>
      <c r="CQ351">
        <f>IF($CN351="refOK",$BO351,-$BO351)</f>
        <v>0.30612244897959168</v>
      </c>
      <c r="CR351">
        <f>IF($CN351="refOK",$BS351,$BT351)*IF($BP351="Emissions positive",-1,1)</f>
        <v>236.5</v>
      </c>
      <c r="CS351">
        <f>IF($CN351="refOK",$BT351,$BS351)*IF($BP351="Emissions positive",-1,1)</f>
        <v>189</v>
      </c>
      <c r="CT351">
        <f>IF($CN351="refNeedCorrection",-BX351,BX351)*IF($BP351="Emissions positive",-1,1)</f>
        <v>-0.47499999999999998</v>
      </c>
      <c r="CU351">
        <f>IFERROR(CT351/CQ351,"")</f>
        <v>-1.5516666666666674</v>
      </c>
      <c r="CV351" s="2">
        <f>IFERROR((CS351-CR351)/ABS(CR351),"")</f>
        <v>-0.20084566596194503</v>
      </c>
      <c r="CW351" s="1" t="s">
        <v>264</v>
      </c>
      <c r="CX351" s="266" t="str">
        <f>IF(OR($CW351="prd",$CW351="std",$CW351="cit"),"loc",IF(OR($CW351="eur",$CW351="reg",$CW351="coy"),"reg",$CW351))</f>
        <v>loc</v>
      </c>
      <c r="CY351" t="s">
        <v>236</v>
      </c>
      <c r="CZ351"/>
      <c r="DA351"/>
      <c r="DB351">
        <v>50</v>
      </c>
      <c r="DC351" t="str">
        <f>IF(DB351=0,"0",IF(AND(DB351&gt;=1,DB351&lt;=30),"1-30",IF(AND(DB351&gt;30,DB351&lt;=70),"31-70",IF(AND(DB351&gt;70,DB351&lt;=100),"71-100",IF(DB351&gt;100,"+100")))))</f>
        <v>31-70</v>
      </c>
      <c r="DD351">
        <v>0</v>
      </c>
      <c r="DE351">
        <v>1</v>
      </c>
      <c r="DF351">
        <v>0</v>
      </c>
      <c r="DG351">
        <v>1</v>
      </c>
      <c r="DH351"/>
      <c r="DI351">
        <f>SUM(DD351:DG351)</f>
        <v>2</v>
      </c>
      <c r="DJ351" t="str">
        <f>IF(DI351=1,INDEX($DD$7:$DG$7,MATCH(1,$DD351:$DG351,0)),"mixedProduct")</f>
        <v>mixedProduct</v>
      </c>
      <c r="DK351">
        <f>IF(DD351=1,DK$7,0)</f>
        <v>0</v>
      </c>
      <c r="DL351" t="str">
        <f>IF(DE351=1,DL$7,0)</f>
        <v>Energy</v>
      </c>
      <c r="DM351">
        <f>IF(DF351=1,DM$7,0)</f>
        <v>0</v>
      </c>
      <c r="DN351" t="str">
        <f>IF(DG351=1,DN$7,0)</f>
        <v>Timber</v>
      </c>
      <c r="DO351">
        <v>0</v>
      </c>
      <c r="DP351">
        <v>1</v>
      </c>
      <c r="DQ351" t="s">
        <v>1062</v>
      </c>
      <c r="DR351"/>
      <c r="DS351"/>
      <c r="DT351">
        <f>SUM(DO351:DP351)</f>
        <v>1</v>
      </c>
      <c r="DU351" s="143" t="str">
        <f>IF(DO351=1,"self-calculated DF",IF(DP351=1,"external DF used","explicit C balance"))</f>
        <v>external DF used</v>
      </c>
      <c r="DV351">
        <v>1</v>
      </c>
      <c r="DW351">
        <v>1</v>
      </c>
      <c r="DX351">
        <v>1</v>
      </c>
      <c r="DY351">
        <v>0</v>
      </c>
      <c r="DZ351">
        <v>0</v>
      </c>
      <c r="EA351" s="143">
        <v>0</v>
      </c>
      <c r="EB351">
        <v>1</v>
      </c>
      <c r="EC351">
        <v>1</v>
      </c>
      <c r="ED351">
        <v>0</v>
      </c>
      <c r="EE351">
        <v>0</v>
      </c>
      <c r="EF351">
        <v>1</v>
      </c>
      <c r="EG351">
        <v>0</v>
      </c>
      <c r="EH351">
        <v>0</v>
      </c>
      <c r="EI351" s="2">
        <v>0</v>
      </c>
      <c r="EJ351" s="1"/>
      <c r="EK351" t="str">
        <f>IF(AND(AND(AND(OR($DX351=1,$DW351=1),OR($EC351=1,$EA351=1)),SUM($DV351:$DZ351,$EF351)&gt;=4),SUM($EA351:$EE351)&gt;=2),"Whole sector","")</f>
        <v>Whole sector</v>
      </c>
      <c r="EL351" t="str">
        <f>IF(AND(AND(OR($DX351=1,$DW351=1),AND($EC351=0,$EA351=0)),SUM($DV351:$DZ351,$EF351)&gt;=4),"Ecosystem approach","")</f>
        <v/>
      </c>
      <c r="EM351" s="2" t="str">
        <f>IF(AND(AND(AND($DX351=0,$DW351=0),OR($EC351=1,$EA351=1)),SUM($EB351:$EE351)&gt;=2),"Technology approach","")</f>
        <v/>
      </c>
      <c r="EN351"/>
      <c r="EO351"/>
      <c r="EP351" t="str">
        <f>IF(ISNUMBER(BU351),IF(ABS(BU351-[1]QC_indicators!$B$2)&gt;3*[1]QC_indicators!$C$2,"C ratio",IF(ISNUMBER(BY351),IF(ABS(BY351-[1]QC_indicators!$B$1)&gt;3*[1]QC_indicators!$C$1,"DF","no"))),IF(ISNUMBER(BY351),IF(ABS(BY351-[1]QC_indicators!$B$1)&gt;3*[1]QC_indicators!$C$1,"DF","no")))</f>
        <v>no</v>
      </c>
      <c r="EQ351"/>
      <c r="ER351" s="266" t="s">
        <v>1063</v>
      </c>
      <c r="ES351"/>
      <c r="ET351" s="266" t="s">
        <v>3409</v>
      </c>
      <c r="EU351"/>
    </row>
    <row r="352" spans="1:151" s="139" customFormat="1" ht="15" hidden="1" customHeight="1">
      <c r="A352" s="1" t="s">
        <v>1047</v>
      </c>
      <c r="B352" t="s">
        <v>1048</v>
      </c>
      <c r="C352" t="s">
        <v>1049</v>
      </c>
      <c r="D352" t="s">
        <v>1050</v>
      </c>
      <c r="E352" t="s">
        <v>1051</v>
      </c>
      <c r="F352" t="s">
        <v>1052</v>
      </c>
      <c r="G352" t="s">
        <v>1053</v>
      </c>
      <c r="H352" t="s">
        <v>255</v>
      </c>
      <c r="I352">
        <v>2014</v>
      </c>
      <c r="J352">
        <v>23</v>
      </c>
      <c r="K352" t="s">
        <v>1054</v>
      </c>
      <c r="L352"/>
      <c r="M352" t="str">
        <f>LEFT($D352,FIND(",",$D352)-1)&amp;"_"&amp;I352&amp;L352</f>
        <v>Pyorala_2014</v>
      </c>
      <c r="N352" t="s">
        <v>223</v>
      </c>
      <c r="O352" s="171" t="s">
        <v>342</v>
      </c>
      <c r="P352" t="s">
        <v>226</v>
      </c>
      <c r="Q352" s="266" t="s">
        <v>390</v>
      </c>
      <c r="R352" s="271" t="s">
        <v>1156</v>
      </c>
      <c r="S352" s="1" t="s">
        <v>1055</v>
      </c>
      <c r="T352" t="s">
        <v>1068</v>
      </c>
      <c r="U352" t="s">
        <v>1067</v>
      </c>
      <c r="V352">
        <v>0</v>
      </c>
      <c r="W352">
        <v>0</v>
      </c>
      <c r="X352">
        <v>0</v>
      </c>
      <c r="Y352">
        <v>1</v>
      </c>
      <c r="Z352">
        <v>0</v>
      </c>
      <c r="AA352">
        <v>0</v>
      </c>
      <c r="AB352">
        <v>0</v>
      </c>
      <c r="AC352">
        <v>0</v>
      </c>
      <c r="AD352">
        <v>0</v>
      </c>
      <c r="AE352">
        <v>0</v>
      </c>
      <c r="AF352">
        <v>0</v>
      </c>
      <c r="AG352">
        <v>0</v>
      </c>
      <c r="AH352">
        <v>0</v>
      </c>
      <c r="AI352">
        <v>0</v>
      </c>
      <c r="AJ352">
        <v>0</v>
      </c>
      <c r="AK352">
        <v>0</v>
      </c>
      <c r="AL352">
        <v>0</v>
      </c>
      <c r="AM352">
        <v>0</v>
      </c>
      <c r="AN352">
        <v>0</v>
      </c>
      <c r="AO352">
        <v>0</v>
      </c>
      <c r="AP352">
        <v>0</v>
      </c>
      <c r="AQ352">
        <v>0</v>
      </c>
      <c r="AR352">
        <v>0</v>
      </c>
      <c r="AS352">
        <v>0</v>
      </c>
      <c r="AT352">
        <v>0</v>
      </c>
      <c r="AU352">
        <v>0</v>
      </c>
      <c r="AV352">
        <v>0</v>
      </c>
      <c r="AW352">
        <v>0</v>
      </c>
      <c r="AX352" s="141">
        <f>COUNTIF(V352:AW352,"&lt;&gt;0")</f>
        <v>1</v>
      </c>
      <c r="AY352" s="141">
        <f>COUNTIF(V352:AL352,"&lt;&gt;0")</f>
        <v>1</v>
      </c>
      <c r="AZ352">
        <f>COUNTIF(V352:AC352,"&lt;&gt;0")</f>
        <v>1</v>
      </c>
      <c r="BA352">
        <f>COUNTIF(AD352:AI352,"&lt;&gt;0")</f>
        <v>0</v>
      </c>
      <c r="BB352">
        <f>COUNTIF(AJ352:AL352,"&lt;&gt;0")</f>
        <v>0</v>
      </c>
      <c r="BC352">
        <f>COUNTIF(AS352:AW352,"&lt;&gt;0")</f>
        <v>0</v>
      </c>
      <c r="BD352">
        <f>COUNTIF(AM352:AR352,"&lt;&gt;0")</f>
        <v>0</v>
      </c>
      <c r="BE352" t="str" cm="1">
        <f t="array" ref="BE352">IF(AY352=1,INDEX($V$7:$AL$7,MATCH(TRUE,INDEX($V352:$AW352&lt;&gt;0,),0)),IF(AY352=0,INDEX($AM$7:$AW$7,MATCH(1,$AM352:$AW352,0)),IF(BF352="Multiple strategies","mixed drivers",IF(BF352="Supply chain","multiple supply","multiple silviculture"))))</f>
        <v xml:space="preserve">cutting intensity </v>
      </c>
      <c r="BF352" s="2" t="str" cm="1">
        <f t="array" ref="BF352">IF(COUNTIF(AZ352:BB352,"&lt;&gt;0")=1,INDEX($V$4:$AW$4,MATCH(TRUE,INDEX($V352:$AW352&lt;&gt;0,),0)),IF(COUNTIF(AZ352:BB352,"&lt;&gt;0")=0,INDEX($AM$4:$AW$4,MATCH(1,$AM352:$AW352,0)),"Multiple strategies"))</f>
        <v>SilvicultureRemov</v>
      </c>
      <c r="BG352" s="1" t="s">
        <v>322</v>
      </c>
      <c r="BH352" t="s">
        <v>1058</v>
      </c>
      <c r="BI352" s="266" t="s">
        <v>1059</v>
      </c>
      <c r="BJ352" s="266" t="s">
        <v>1060</v>
      </c>
      <c r="BK352">
        <v>3.75</v>
      </c>
      <c r="BL352">
        <v>3.8</v>
      </c>
      <c r="BM352">
        <f>IFERROR(BL352/BK352,"")</f>
        <v>1.0133333333333332</v>
      </c>
      <c r="BN352">
        <f>BL352-BK352</f>
        <v>4.9999999999999822E-2</v>
      </c>
      <c r="BO352">
        <f>BN352*t_to_m3</f>
        <v>0.10204081632653025</v>
      </c>
      <c r="BP352" t="s">
        <v>396</v>
      </c>
      <c r="BQ352" t="s">
        <v>974</v>
      </c>
      <c r="BR352" t="s">
        <v>1061</v>
      </c>
      <c r="BS352" s="172">
        <v>-183</v>
      </c>
      <c r="BT352" s="172">
        <v>-189</v>
      </c>
      <c r="BU352" s="144"/>
      <c r="BV352">
        <f>BT352-BS352</f>
        <v>-6</v>
      </c>
      <c r="BW352"/>
      <c r="BX352">
        <f>BV352*10^-6*10^4</f>
        <v>-6.0000000000000005E-2</v>
      </c>
      <c r="BY352">
        <f>IFERROR(BX352/BO352,"")</f>
        <v>-0.58800000000000208</v>
      </c>
      <c r="BZ352">
        <v>0</v>
      </c>
      <c r="CA352">
        <v>0</v>
      </c>
      <c r="CB352">
        <v>0</v>
      </c>
      <c r="CC352">
        <v>0</v>
      </c>
      <c r="CD352">
        <v>0</v>
      </c>
      <c r="CE352">
        <v>0</v>
      </c>
      <c r="CF352">
        <v>0</v>
      </c>
      <c r="CG352">
        <v>0</v>
      </c>
      <c r="CH352">
        <v>0</v>
      </c>
      <c r="CI352">
        <v>0</v>
      </c>
      <c r="CJ352">
        <v>0</v>
      </c>
      <c r="CK352">
        <v>0</v>
      </c>
      <c r="CL352">
        <v>0</v>
      </c>
      <c r="CM352">
        <v>0</v>
      </c>
      <c r="CN352" t="str">
        <f>IF($BL352&lt;$BK352,"refNeedCorrection","refOK")</f>
        <v>refOK</v>
      </c>
      <c r="CO352">
        <f>IF($CN352="refOK",$BK352,$BL352)</f>
        <v>3.75</v>
      </c>
      <c r="CP352">
        <f>IF($CN352="refOK",$BL352,$BK352)</f>
        <v>3.8</v>
      </c>
      <c r="CQ352">
        <f>IF($CN352="refOK",$BO352,-$BO352)</f>
        <v>0.10204081632653025</v>
      </c>
      <c r="CR352">
        <f>IF($CN352="refOK",$BS352,$BT352)*IF($BP352="Emissions positive",-1,1)</f>
        <v>183</v>
      </c>
      <c r="CS352">
        <f>IF($CN352="refOK",$BT352,$BS352)*IF($BP352="Emissions positive",-1,1)</f>
        <v>189</v>
      </c>
      <c r="CT352">
        <f>IF($CN352="refNeedCorrection",-BX352,BX352)*IF($BP352="Emissions positive",-1,1)</f>
        <v>6.0000000000000005E-2</v>
      </c>
      <c r="CU352">
        <f>IFERROR(CT352/CQ352,"")</f>
        <v>0.58800000000000208</v>
      </c>
      <c r="CV352" s="2">
        <f>IFERROR((CS352-CR352)/ABS(CR352),"")</f>
        <v>3.2786885245901641E-2</v>
      </c>
      <c r="CW352" s="1" t="s">
        <v>264</v>
      </c>
      <c r="CX352" s="266" t="str">
        <f>IF(OR($CW352="prd",$CW352="std",$CW352="cit"),"loc",IF(OR($CW352="eur",$CW352="reg",$CW352="coy"),"reg",$CW352))</f>
        <v>loc</v>
      </c>
      <c r="CY352" t="s">
        <v>236</v>
      </c>
      <c r="CZ352"/>
      <c r="DA352"/>
      <c r="DB352">
        <v>50</v>
      </c>
      <c r="DC352" t="str">
        <f>IF(DB352=0,"0",IF(AND(DB352&gt;=1,DB352&lt;=30),"1-30",IF(AND(DB352&gt;30,DB352&lt;=70),"31-70",IF(AND(DB352&gt;70,DB352&lt;=100),"71-100",IF(DB352&gt;100,"+100")))))</f>
        <v>31-70</v>
      </c>
      <c r="DD352">
        <v>0</v>
      </c>
      <c r="DE352">
        <v>1</v>
      </c>
      <c r="DF352">
        <v>0</v>
      </c>
      <c r="DG352">
        <v>1</v>
      </c>
      <c r="DH352"/>
      <c r="DI352">
        <f>SUM(DD352:DG352)</f>
        <v>2</v>
      </c>
      <c r="DJ352" t="str">
        <f>IF(DI352=1,INDEX($DD$7:$DG$7,MATCH(1,$DD352:$DG352,0)),"mixedProduct")</f>
        <v>mixedProduct</v>
      </c>
      <c r="DK352">
        <f>IF(DD352=1,DK$7,0)</f>
        <v>0</v>
      </c>
      <c r="DL352" t="str">
        <f>IF(DE352=1,DL$7,0)</f>
        <v>Energy</v>
      </c>
      <c r="DM352">
        <f>IF(DF352=1,DM$7,0)</f>
        <v>0</v>
      </c>
      <c r="DN352" t="str">
        <f>IF(DG352=1,DN$7,0)</f>
        <v>Timber</v>
      </c>
      <c r="DO352">
        <v>0</v>
      </c>
      <c r="DP352">
        <v>1</v>
      </c>
      <c r="DQ352" t="s">
        <v>1062</v>
      </c>
      <c r="DR352"/>
      <c r="DS352"/>
      <c r="DT352">
        <f>SUM(DO352:DP352)</f>
        <v>1</v>
      </c>
      <c r="DU352" s="143" t="str">
        <f>IF(DO352=1,"self-calculated DF",IF(DP352=1,"external DF used","explicit C balance"))</f>
        <v>external DF used</v>
      </c>
      <c r="DV352">
        <v>1</v>
      </c>
      <c r="DW352">
        <v>1</v>
      </c>
      <c r="DX352">
        <v>1</v>
      </c>
      <c r="DY352">
        <v>0</v>
      </c>
      <c r="DZ352">
        <v>0</v>
      </c>
      <c r="EA352" s="143">
        <v>0</v>
      </c>
      <c r="EB352">
        <v>1</v>
      </c>
      <c r="EC352">
        <v>1</v>
      </c>
      <c r="ED352">
        <v>0</v>
      </c>
      <c r="EE352">
        <v>0</v>
      </c>
      <c r="EF352">
        <v>1</v>
      </c>
      <c r="EG352">
        <v>0</v>
      </c>
      <c r="EH352">
        <v>0</v>
      </c>
      <c r="EI352" s="2">
        <v>0</v>
      </c>
      <c r="EJ352" s="1"/>
      <c r="EK352" t="str">
        <f>IF(AND(AND(AND(OR($DX352=1,$DW352=1),OR($EC352=1,$EA352=1)),SUM($DV352:$DZ352,$EF352)&gt;=4),SUM($EA352:$EE352)&gt;=2),"Whole sector","")</f>
        <v>Whole sector</v>
      </c>
      <c r="EL352" t="str">
        <f>IF(AND(AND(OR($DX352=1,$DW352=1),AND($EC352=0,$EA352=0)),SUM($DV352:$DZ352,$EF352)&gt;=4),"Ecosystem approach","")</f>
        <v/>
      </c>
      <c r="EM352" s="2" t="str">
        <f>IF(AND(AND(AND($DX352=0,$DW352=0),OR($EC352=1,$EA352=1)),SUM($EB352:$EE352)&gt;=2),"Technology approach","")</f>
        <v/>
      </c>
      <c r="EN352"/>
      <c r="EO352"/>
      <c r="EP352" t="str">
        <f>IF(ISNUMBER(BU352),IF(ABS(BU352-[1]QC_indicators!$B$2)&gt;3*[1]QC_indicators!$C$2,"C ratio",IF(ISNUMBER(BY352),IF(ABS(BY352-[1]QC_indicators!$B$1)&gt;3*[1]QC_indicators!$C$1,"DF","no"))),IF(ISNUMBER(BY352),IF(ABS(BY352-[1]QC_indicators!$B$1)&gt;3*[1]QC_indicators!$C$1,"DF","no")))</f>
        <v>no</v>
      </c>
      <c r="EQ352"/>
      <c r="ER352" s="266" t="s">
        <v>1063</v>
      </c>
      <c r="ES352"/>
      <c r="ET352" s="266" t="s">
        <v>3409</v>
      </c>
      <c r="EU352"/>
    </row>
    <row r="353" spans="1:151" s="139" customFormat="1" ht="15" hidden="1" customHeight="1">
      <c r="A353" s="1" t="s">
        <v>1047</v>
      </c>
      <c r="B353" t="s">
        <v>1048</v>
      </c>
      <c r="C353" t="s">
        <v>1049</v>
      </c>
      <c r="D353" t="s">
        <v>1050</v>
      </c>
      <c r="E353" t="s">
        <v>1051</v>
      </c>
      <c r="F353" t="s">
        <v>1052</v>
      </c>
      <c r="G353" t="s">
        <v>1053</v>
      </c>
      <c r="H353" t="s">
        <v>255</v>
      </c>
      <c r="I353">
        <v>2014</v>
      </c>
      <c r="J353">
        <v>23</v>
      </c>
      <c r="K353" t="s">
        <v>1054</v>
      </c>
      <c r="L353"/>
      <c r="M353" t="str">
        <f>LEFT($D353,FIND(",",$D353)-1)&amp;"_"&amp;I353&amp;L353</f>
        <v>Pyorala_2014</v>
      </c>
      <c r="N353" t="s">
        <v>223</v>
      </c>
      <c r="O353" s="171" t="s">
        <v>342</v>
      </c>
      <c r="P353" t="s">
        <v>226</v>
      </c>
      <c r="Q353" s="266" t="s">
        <v>390</v>
      </c>
      <c r="R353" s="271" t="s">
        <v>1156</v>
      </c>
      <c r="S353" s="1" t="s">
        <v>1069</v>
      </c>
      <c r="T353" t="s">
        <v>1057</v>
      </c>
      <c r="U353" t="s">
        <v>1067</v>
      </c>
      <c r="V353">
        <v>0</v>
      </c>
      <c r="W353">
        <v>0</v>
      </c>
      <c r="X353">
        <v>0</v>
      </c>
      <c r="Y353">
        <v>0</v>
      </c>
      <c r="Z353">
        <v>0</v>
      </c>
      <c r="AA353">
        <v>0</v>
      </c>
      <c r="AB353">
        <v>1</v>
      </c>
      <c r="AC353">
        <v>0</v>
      </c>
      <c r="AD353">
        <v>0</v>
      </c>
      <c r="AE353">
        <v>0</v>
      </c>
      <c r="AF353">
        <v>0</v>
      </c>
      <c r="AG353">
        <v>0</v>
      </c>
      <c r="AH353">
        <v>0</v>
      </c>
      <c r="AI353">
        <v>0</v>
      </c>
      <c r="AJ353">
        <v>0</v>
      </c>
      <c r="AK353">
        <v>0</v>
      </c>
      <c r="AL353">
        <v>0</v>
      </c>
      <c r="AM353">
        <v>0</v>
      </c>
      <c r="AN353">
        <v>0</v>
      </c>
      <c r="AO353">
        <v>0</v>
      </c>
      <c r="AP353">
        <v>0</v>
      </c>
      <c r="AQ353">
        <v>0</v>
      </c>
      <c r="AR353">
        <v>0</v>
      </c>
      <c r="AS353">
        <v>0</v>
      </c>
      <c r="AT353">
        <v>0</v>
      </c>
      <c r="AU353">
        <v>0</v>
      </c>
      <c r="AV353">
        <v>0</v>
      </c>
      <c r="AW353">
        <v>0</v>
      </c>
      <c r="AX353" s="141">
        <f>COUNTIF(V353:AW353,"&lt;&gt;0")</f>
        <v>1</v>
      </c>
      <c r="AY353" s="141">
        <f>COUNTIF(V353:AL353,"&lt;&gt;0")</f>
        <v>1</v>
      </c>
      <c r="AZ353">
        <f>COUNTIF(V353:AC353,"&lt;&gt;0")</f>
        <v>1</v>
      </c>
      <c r="BA353">
        <f>COUNTIF(AD353:AI353,"&lt;&gt;0")</f>
        <v>0</v>
      </c>
      <c r="BB353">
        <f>COUNTIF(AJ353:AL353,"&lt;&gt;0")</f>
        <v>0</v>
      </c>
      <c r="BC353">
        <f>COUNTIF(AS353:AW353,"&lt;&gt;0")</f>
        <v>0</v>
      </c>
      <c r="BD353">
        <f>COUNTIF(AM353:AR353,"&lt;&gt;0")</f>
        <v>0</v>
      </c>
      <c r="BE353" t="str" cm="1">
        <f t="array" ref="BE353">IF(AY353=1,INDEX($V$7:$AL$7,MATCH(TRUE,INDEX($V353:$AW353&lt;&gt;0,),0)),IF(AY353=0,INDEX($AM$7:$AW$7,MATCH(1,$AM353:$AW353,0)),IF(BF353="Multiple strategies","mixed drivers",IF(BF353="Supply chain","multiple supply","multiple silviculture"))))</f>
        <v>fertilisation</v>
      </c>
      <c r="BF353" s="2" t="str" cm="1">
        <f t="array" ref="BF353">IF(COUNTIF(AZ353:BB353,"&lt;&gt;0")=1,INDEX($V$4:$AW$4,MATCH(TRUE,INDEX($V353:$AW353&lt;&gt;0,),0)),IF(COUNTIF(AZ353:BB353,"&lt;&gt;0")=0,INDEX($AM$4:$AW$4,MATCH(1,$AM353:$AW353,0)),"Multiple strategies"))</f>
        <v>SilvicultureProd</v>
      </c>
      <c r="BG353" s="1" t="s">
        <v>322</v>
      </c>
      <c r="BH353" t="s">
        <v>1058</v>
      </c>
      <c r="BI353" s="266" t="s">
        <v>1059</v>
      </c>
      <c r="BJ353" s="266" t="s">
        <v>1060</v>
      </c>
      <c r="BK353">
        <v>3.5</v>
      </c>
      <c r="BL353">
        <v>3.8</v>
      </c>
      <c r="BM353">
        <f>IFERROR(BL353/BK353,"")</f>
        <v>1.0857142857142856</v>
      </c>
      <c r="BN353">
        <f>BL353-BK353</f>
        <v>0.29999999999999982</v>
      </c>
      <c r="BO353">
        <f>BN353*t_to_m3</f>
        <v>0.61224489795918335</v>
      </c>
      <c r="BP353" t="s">
        <v>396</v>
      </c>
      <c r="BQ353" t="s">
        <v>974</v>
      </c>
      <c r="BR353" t="s">
        <v>1061</v>
      </c>
      <c r="BS353" s="172">
        <v>-19.5</v>
      </c>
      <c r="BT353" s="172">
        <v>-189</v>
      </c>
      <c r="BU353" s="144"/>
      <c r="BV353">
        <f>BT353-BS353</f>
        <v>-169.5</v>
      </c>
      <c r="BW353"/>
      <c r="BX353">
        <f>BV353*10^-6*10^4</f>
        <v>-1.6950000000000001</v>
      </c>
      <c r="BY353">
        <f>IFERROR(BX353/BO353,"")</f>
        <v>-2.7685000000000017</v>
      </c>
      <c r="BZ353">
        <v>0</v>
      </c>
      <c r="CA353">
        <v>0</v>
      </c>
      <c r="CB353">
        <v>0</v>
      </c>
      <c r="CC353">
        <v>0</v>
      </c>
      <c r="CD353">
        <v>0</v>
      </c>
      <c r="CE353">
        <v>0</v>
      </c>
      <c r="CF353">
        <v>0</v>
      </c>
      <c r="CG353">
        <v>0</v>
      </c>
      <c r="CH353">
        <v>0</v>
      </c>
      <c r="CI353">
        <v>0</v>
      </c>
      <c r="CJ353">
        <v>0</v>
      </c>
      <c r="CK353">
        <v>0</v>
      </c>
      <c r="CL353">
        <v>0</v>
      </c>
      <c r="CM353">
        <v>0</v>
      </c>
      <c r="CN353" t="str">
        <f>IF($BL353&lt;$BK353,"refNeedCorrection","refOK")</f>
        <v>refOK</v>
      </c>
      <c r="CO353">
        <f>IF($CN353="refOK",$BK353,$BL353)</f>
        <v>3.5</v>
      </c>
      <c r="CP353">
        <f>IF($CN353="refOK",$BL353,$BK353)</f>
        <v>3.8</v>
      </c>
      <c r="CQ353">
        <f>IF($CN353="refOK",$BO353,-$BO353)</f>
        <v>0.61224489795918335</v>
      </c>
      <c r="CR353">
        <f>IF($CN353="refOK",$BS353,$BT353)*IF($BP353="Emissions positive",-1,1)</f>
        <v>19.5</v>
      </c>
      <c r="CS353">
        <f>IF($CN353="refOK",$BT353,$BS353)*IF($BP353="Emissions positive",-1,1)</f>
        <v>189</v>
      </c>
      <c r="CT353">
        <f>IF($CN353="refNeedCorrection",-BX353,BX353)*IF($BP353="Emissions positive",-1,1)</f>
        <v>1.6950000000000001</v>
      </c>
      <c r="CU353">
        <f>IFERROR(CT353/CQ353,"")</f>
        <v>2.7685000000000017</v>
      </c>
      <c r="CV353" s="2">
        <f>IFERROR((CS353-CR353)/ABS(CR353),"")</f>
        <v>8.6923076923076916</v>
      </c>
      <c r="CW353" s="1" t="s">
        <v>264</v>
      </c>
      <c r="CX353" s="266" t="str">
        <f>IF(OR($CW353="prd",$CW353="std",$CW353="cit"),"loc",IF(OR($CW353="eur",$CW353="reg",$CW353="coy"),"reg",$CW353))</f>
        <v>loc</v>
      </c>
      <c r="CY353" t="s">
        <v>236</v>
      </c>
      <c r="CZ353"/>
      <c r="DA353"/>
      <c r="DB353">
        <v>50</v>
      </c>
      <c r="DC353" t="str">
        <f>IF(DB353=0,"0",IF(AND(DB353&gt;=1,DB353&lt;=30),"1-30",IF(AND(DB353&gt;30,DB353&lt;=70),"31-70",IF(AND(DB353&gt;70,DB353&lt;=100),"71-100",IF(DB353&gt;100,"+100")))))</f>
        <v>31-70</v>
      </c>
      <c r="DD353">
        <v>0</v>
      </c>
      <c r="DE353">
        <v>1</v>
      </c>
      <c r="DF353">
        <v>0</v>
      </c>
      <c r="DG353">
        <v>1</v>
      </c>
      <c r="DH353"/>
      <c r="DI353">
        <f>SUM(DD353:DG353)</f>
        <v>2</v>
      </c>
      <c r="DJ353" t="str">
        <f>IF(DI353=1,INDEX($DD$7:$DG$7,MATCH(1,$DD353:$DG353,0)),"mixedProduct")</f>
        <v>mixedProduct</v>
      </c>
      <c r="DK353">
        <f>IF(DD353=1,DK$7,0)</f>
        <v>0</v>
      </c>
      <c r="DL353" t="str">
        <f>IF(DE353=1,DL$7,0)</f>
        <v>Energy</v>
      </c>
      <c r="DM353">
        <f>IF(DF353=1,DM$7,0)</f>
        <v>0</v>
      </c>
      <c r="DN353" t="str">
        <f>IF(DG353=1,DN$7,0)</f>
        <v>Timber</v>
      </c>
      <c r="DO353">
        <v>0</v>
      </c>
      <c r="DP353">
        <v>1</v>
      </c>
      <c r="DQ353" t="s">
        <v>1062</v>
      </c>
      <c r="DR353"/>
      <c r="DS353"/>
      <c r="DT353">
        <f>SUM(DO353:DP353)</f>
        <v>1</v>
      </c>
      <c r="DU353" s="143" t="str">
        <f>IF(DO353=1,"self-calculated DF",IF(DP353=1,"external DF used","explicit C balance"))</f>
        <v>external DF used</v>
      </c>
      <c r="DV353">
        <v>1</v>
      </c>
      <c r="DW353">
        <v>1</v>
      </c>
      <c r="DX353">
        <v>1</v>
      </c>
      <c r="DY353">
        <v>0</v>
      </c>
      <c r="DZ353">
        <v>0</v>
      </c>
      <c r="EA353" s="143">
        <v>0</v>
      </c>
      <c r="EB353">
        <v>1</v>
      </c>
      <c r="EC353">
        <v>1</v>
      </c>
      <c r="ED353">
        <v>0</v>
      </c>
      <c r="EE353">
        <v>0</v>
      </c>
      <c r="EF353">
        <v>1</v>
      </c>
      <c r="EG353">
        <v>0</v>
      </c>
      <c r="EH353">
        <v>0</v>
      </c>
      <c r="EI353" s="2">
        <v>0</v>
      </c>
      <c r="EJ353" s="1"/>
      <c r="EK353" t="str">
        <f>IF(AND(AND(AND(OR($DX353=1,$DW353=1),OR($EC353=1,$EA353=1)),SUM($DV353:$DZ353,$EF353)&gt;=4),SUM($EA353:$EE353)&gt;=2),"Whole sector","")</f>
        <v>Whole sector</v>
      </c>
      <c r="EL353" t="str">
        <f>IF(AND(AND(OR($DX353=1,$DW353=1),AND($EC353=0,$EA353=0)),SUM($DV353:$DZ353,$EF353)&gt;=4),"Ecosystem approach","")</f>
        <v/>
      </c>
      <c r="EM353" s="2" t="str">
        <f>IF(AND(AND(AND($DX353=0,$DW353=0),OR($EC353=1,$EA353=1)),SUM($EB353:$EE353)&gt;=2),"Technology approach","")</f>
        <v/>
      </c>
      <c r="EN353"/>
      <c r="EO353"/>
      <c r="EP353" t="str">
        <f>IF(ISNUMBER(BU353),IF(ABS(BU353-[1]QC_indicators!$B$2)&gt;3*[1]QC_indicators!$C$2,"C ratio",IF(ISNUMBER(BY353),IF(ABS(BY353-[1]QC_indicators!$B$1)&gt;3*[1]QC_indicators!$C$1,"DF","no"))),IF(ISNUMBER(BY353),IF(ABS(BY353-[1]QC_indicators!$B$1)&gt;3*[1]QC_indicators!$C$1,"DF","no")))</f>
        <v>no</v>
      </c>
      <c r="EQ353"/>
      <c r="ER353" s="266" t="s">
        <v>1063</v>
      </c>
      <c r="ES353"/>
      <c r="ET353" s="266" t="s">
        <v>3409</v>
      </c>
      <c r="EU353"/>
    </row>
    <row r="354" spans="1:151" s="139" customFormat="1" ht="15" hidden="1" customHeight="1">
      <c r="A354" s="1" t="s">
        <v>1047</v>
      </c>
      <c r="B354" t="s">
        <v>1048</v>
      </c>
      <c r="C354" t="s">
        <v>1049</v>
      </c>
      <c r="D354" t="s">
        <v>1050</v>
      </c>
      <c r="E354" t="s">
        <v>1051</v>
      </c>
      <c r="F354" t="s">
        <v>1052</v>
      </c>
      <c r="G354" t="s">
        <v>1053</v>
      </c>
      <c r="H354" t="s">
        <v>255</v>
      </c>
      <c r="I354">
        <v>2014</v>
      </c>
      <c r="J354">
        <v>23</v>
      </c>
      <c r="K354" t="s">
        <v>1054</v>
      </c>
      <c r="L354"/>
      <c r="M354" t="str">
        <f>LEFT($D354,FIND(",",$D354)-1)&amp;"_"&amp;I354&amp;L354</f>
        <v>Pyorala_2014</v>
      </c>
      <c r="N354" t="s">
        <v>223</v>
      </c>
      <c r="O354" s="171" t="s">
        <v>342</v>
      </c>
      <c r="P354" t="s">
        <v>226</v>
      </c>
      <c r="Q354" s="266" t="s">
        <v>390</v>
      </c>
      <c r="R354" s="271" t="s">
        <v>1156</v>
      </c>
      <c r="S354" s="1" t="s">
        <v>1069</v>
      </c>
      <c r="T354" t="s">
        <v>1064</v>
      </c>
      <c r="U354" t="s">
        <v>1066</v>
      </c>
      <c r="V354">
        <v>0</v>
      </c>
      <c r="W354">
        <v>0</v>
      </c>
      <c r="X354">
        <v>0</v>
      </c>
      <c r="Y354">
        <v>0</v>
      </c>
      <c r="Z354">
        <v>0</v>
      </c>
      <c r="AA354">
        <v>0</v>
      </c>
      <c r="AB354">
        <v>1</v>
      </c>
      <c r="AC354">
        <v>0</v>
      </c>
      <c r="AD354">
        <v>0</v>
      </c>
      <c r="AE354">
        <v>0</v>
      </c>
      <c r="AF354">
        <v>0</v>
      </c>
      <c r="AG354">
        <v>0</v>
      </c>
      <c r="AH354">
        <v>0</v>
      </c>
      <c r="AI354">
        <v>0</v>
      </c>
      <c r="AJ354">
        <v>0</v>
      </c>
      <c r="AK354">
        <v>0</v>
      </c>
      <c r="AL354">
        <v>0</v>
      </c>
      <c r="AM354">
        <v>0</v>
      </c>
      <c r="AN354">
        <v>0</v>
      </c>
      <c r="AO354">
        <v>0</v>
      </c>
      <c r="AP354">
        <v>0</v>
      </c>
      <c r="AQ354">
        <v>0</v>
      </c>
      <c r="AR354">
        <v>0</v>
      </c>
      <c r="AS354">
        <v>0</v>
      </c>
      <c r="AT354">
        <v>0</v>
      </c>
      <c r="AU354">
        <v>0</v>
      </c>
      <c r="AV354">
        <v>0</v>
      </c>
      <c r="AW354">
        <v>0</v>
      </c>
      <c r="AX354" s="141">
        <f>COUNTIF(V354:AW354,"&lt;&gt;0")</f>
        <v>1</v>
      </c>
      <c r="AY354" s="141">
        <f>COUNTIF(V354:AL354,"&lt;&gt;0")</f>
        <v>1</v>
      </c>
      <c r="AZ354">
        <f>COUNTIF(V354:AC354,"&lt;&gt;0")</f>
        <v>1</v>
      </c>
      <c r="BA354">
        <f>COUNTIF(AD354:AI354,"&lt;&gt;0")</f>
        <v>0</v>
      </c>
      <c r="BB354">
        <f>COUNTIF(AJ354:AL354,"&lt;&gt;0")</f>
        <v>0</v>
      </c>
      <c r="BC354">
        <f>COUNTIF(AS354:AW354,"&lt;&gt;0")</f>
        <v>0</v>
      </c>
      <c r="BD354">
        <f>COUNTIF(AM354:AR354,"&lt;&gt;0")</f>
        <v>0</v>
      </c>
      <c r="BE354" t="str" cm="1">
        <f t="array" ref="BE354">IF(AY354=1,INDEX($V$7:$AL$7,MATCH(TRUE,INDEX($V354:$AW354&lt;&gt;0,),0)),IF(AY354=0,INDEX($AM$7:$AW$7,MATCH(1,$AM354:$AW354,0)),IF(BF354="Multiple strategies","mixed drivers",IF(BF354="Supply chain","multiple supply","multiple silviculture"))))</f>
        <v>fertilisation</v>
      </c>
      <c r="BF354" s="2" t="str" cm="1">
        <f t="array" ref="BF354">IF(COUNTIF(AZ354:BB354,"&lt;&gt;0")=1,INDEX($V$4:$AW$4,MATCH(TRUE,INDEX($V354:$AW354&lt;&gt;0,),0)),IF(COUNTIF(AZ354:BB354,"&lt;&gt;0")=0,INDEX($AM$4:$AW$4,MATCH(1,$AM354:$AW354,0)),"Multiple strategies"))</f>
        <v>SilvicultureProd</v>
      </c>
      <c r="BG354" s="1" t="s">
        <v>322</v>
      </c>
      <c r="BH354" t="s">
        <v>1058</v>
      </c>
      <c r="BI354" s="266" t="s">
        <v>1059</v>
      </c>
      <c r="BJ354" s="266" t="s">
        <v>1060</v>
      </c>
      <c r="BK354">
        <v>3.3</v>
      </c>
      <c r="BL354">
        <v>3.65</v>
      </c>
      <c r="BM354">
        <f>IFERROR(BL354/BK354,"")</f>
        <v>1.1060606060606062</v>
      </c>
      <c r="BN354">
        <f>BL354-BK354</f>
        <v>0.35000000000000009</v>
      </c>
      <c r="BO354">
        <f>BN354*t_to_m3</f>
        <v>0.71428571428571452</v>
      </c>
      <c r="BP354" t="s">
        <v>396</v>
      </c>
      <c r="BQ354" t="s">
        <v>974</v>
      </c>
      <c r="BR354" t="s">
        <v>1061</v>
      </c>
      <c r="BS354" s="172">
        <v>-171</v>
      </c>
      <c r="BT354" s="172">
        <v>-236.5</v>
      </c>
      <c r="BU354" s="144"/>
      <c r="BV354">
        <f>BT354-BS354</f>
        <v>-65.5</v>
      </c>
      <c r="BW354"/>
      <c r="BX354">
        <f>BV354*10^-6*10^4</f>
        <v>-0.65499999999999992</v>
      </c>
      <c r="BY354">
        <f>IFERROR(BX354/BO354,"")</f>
        <v>-0.91699999999999959</v>
      </c>
      <c r="BZ354">
        <v>0</v>
      </c>
      <c r="CA354">
        <v>0</v>
      </c>
      <c r="CB354">
        <v>0</v>
      </c>
      <c r="CC354">
        <v>0</v>
      </c>
      <c r="CD354">
        <v>0</v>
      </c>
      <c r="CE354">
        <v>0</v>
      </c>
      <c r="CF354">
        <v>0</v>
      </c>
      <c r="CG354">
        <v>0</v>
      </c>
      <c r="CH354">
        <v>0</v>
      </c>
      <c r="CI354">
        <v>0</v>
      </c>
      <c r="CJ354">
        <v>0</v>
      </c>
      <c r="CK354">
        <v>0</v>
      </c>
      <c r="CL354">
        <v>0</v>
      </c>
      <c r="CM354">
        <v>0</v>
      </c>
      <c r="CN354" t="str">
        <f>IF($BL354&lt;$BK354,"refNeedCorrection","refOK")</f>
        <v>refOK</v>
      </c>
      <c r="CO354">
        <f>IF($CN354="refOK",$BK354,$BL354)</f>
        <v>3.3</v>
      </c>
      <c r="CP354">
        <f>IF($CN354="refOK",$BL354,$BK354)</f>
        <v>3.65</v>
      </c>
      <c r="CQ354">
        <f>IF($CN354="refOK",$BO354,-$BO354)</f>
        <v>0.71428571428571452</v>
      </c>
      <c r="CR354">
        <f>IF($CN354="refOK",$BS354,$BT354)*IF($BP354="Emissions positive",-1,1)</f>
        <v>171</v>
      </c>
      <c r="CS354">
        <f>IF($CN354="refOK",$BT354,$BS354)*IF($BP354="Emissions positive",-1,1)</f>
        <v>236.5</v>
      </c>
      <c r="CT354">
        <f>IF($CN354="refNeedCorrection",-BX354,BX354)*IF($BP354="Emissions positive",-1,1)</f>
        <v>0.65499999999999992</v>
      </c>
      <c r="CU354">
        <f>IFERROR(CT354/CQ354,"")</f>
        <v>0.91699999999999959</v>
      </c>
      <c r="CV354" s="2">
        <f>IFERROR((CS354-CR354)/ABS(CR354),"")</f>
        <v>0.38304093567251463</v>
      </c>
      <c r="CW354" s="1" t="s">
        <v>264</v>
      </c>
      <c r="CX354" s="266" t="str">
        <f>IF(OR($CW354="prd",$CW354="std",$CW354="cit"),"loc",IF(OR($CW354="eur",$CW354="reg",$CW354="coy"),"reg",$CW354))</f>
        <v>loc</v>
      </c>
      <c r="CY354" t="s">
        <v>236</v>
      </c>
      <c r="CZ354"/>
      <c r="DA354"/>
      <c r="DB354">
        <v>50</v>
      </c>
      <c r="DC354" t="str">
        <f>IF(DB354=0,"0",IF(AND(DB354&gt;=1,DB354&lt;=30),"1-30",IF(AND(DB354&gt;30,DB354&lt;=70),"31-70",IF(AND(DB354&gt;70,DB354&lt;=100),"71-100",IF(DB354&gt;100,"+100")))))</f>
        <v>31-70</v>
      </c>
      <c r="DD354">
        <v>0</v>
      </c>
      <c r="DE354">
        <v>1</v>
      </c>
      <c r="DF354">
        <v>0</v>
      </c>
      <c r="DG354">
        <v>1</v>
      </c>
      <c r="DH354"/>
      <c r="DI354">
        <f>SUM(DD354:DG354)</f>
        <v>2</v>
      </c>
      <c r="DJ354" t="str">
        <f>IF(DI354=1,INDEX($DD$7:$DG$7,MATCH(1,$DD354:$DG354,0)),"mixedProduct")</f>
        <v>mixedProduct</v>
      </c>
      <c r="DK354">
        <f>IF(DD354=1,DK$7,0)</f>
        <v>0</v>
      </c>
      <c r="DL354" t="str">
        <f>IF(DE354=1,DL$7,0)</f>
        <v>Energy</v>
      </c>
      <c r="DM354">
        <f>IF(DF354=1,DM$7,0)</f>
        <v>0</v>
      </c>
      <c r="DN354" t="str">
        <f>IF(DG354=1,DN$7,0)</f>
        <v>Timber</v>
      </c>
      <c r="DO354">
        <v>0</v>
      </c>
      <c r="DP354">
        <v>1</v>
      </c>
      <c r="DQ354" t="s">
        <v>1062</v>
      </c>
      <c r="DR354"/>
      <c r="DS354"/>
      <c r="DT354">
        <f>SUM(DO354:DP354)</f>
        <v>1</v>
      </c>
      <c r="DU354" s="143" t="str">
        <f>IF(DO354=1,"self-calculated DF",IF(DP354=1,"external DF used","explicit C balance"))</f>
        <v>external DF used</v>
      </c>
      <c r="DV354">
        <v>1</v>
      </c>
      <c r="DW354">
        <v>1</v>
      </c>
      <c r="DX354">
        <v>1</v>
      </c>
      <c r="DY354" s="143">
        <v>0</v>
      </c>
      <c r="DZ354">
        <v>0</v>
      </c>
      <c r="EA354" s="143">
        <v>0</v>
      </c>
      <c r="EB354">
        <v>1</v>
      </c>
      <c r="EC354">
        <v>1</v>
      </c>
      <c r="ED354" s="143">
        <v>0</v>
      </c>
      <c r="EE354">
        <v>0</v>
      </c>
      <c r="EF354">
        <v>1</v>
      </c>
      <c r="EG354">
        <v>0</v>
      </c>
      <c r="EH354">
        <v>0</v>
      </c>
      <c r="EI354" s="2">
        <v>0</v>
      </c>
      <c r="EJ354" s="1"/>
      <c r="EK354" t="str">
        <f>IF(AND(AND(AND(OR($DX354=1,$DW354=1),OR($EC354=1,$EA354=1)),SUM($DV354:$DZ354,$EF354)&gt;=4),SUM($EA354:$EE354)&gt;=2),"Whole sector","")</f>
        <v>Whole sector</v>
      </c>
      <c r="EL354" t="str">
        <f>IF(AND(AND(OR($DX354=1,$DW354=1),AND($EC354=0,$EA354=0)),SUM($DV354:$DZ354,$EF354)&gt;=4),"Ecosystem approach","")</f>
        <v/>
      </c>
      <c r="EM354" s="2" t="str">
        <f>IF(AND(AND(AND($DX354=0,$DW354=0),OR($EC354=1,$EA354=1)),SUM($EB354:$EE354)&gt;=2),"Technology approach","")</f>
        <v/>
      </c>
      <c r="EN354"/>
      <c r="EO354"/>
      <c r="EP354" t="str">
        <f>IF(ISNUMBER(BU354),IF(ABS(BU354-[1]QC_indicators!$B$2)&gt;3*[1]QC_indicators!$C$2,"C ratio",IF(ISNUMBER(BY354),IF(ABS(BY354-[1]QC_indicators!$B$1)&gt;3*[1]QC_indicators!$C$1,"DF","no"))),IF(ISNUMBER(BY354),IF(ABS(BY354-[1]QC_indicators!$B$1)&gt;3*[1]QC_indicators!$C$1,"DF","no")))</f>
        <v>no</v>
      </c>
      <c r="EQ354"/>
      <c r="ER354" s="266" t="s">
        <v>1063</v>
      </c>
      <c r="ES354"/>
      <c r="ET354" s="266" t="s">
        <v>3409</v>
      </c>
      <c r="EU354"/>
    </row>
    <row r="355" spans="1:151" s="139" customFormat="1" ht="15" hidden="1" customHeight="1">
      <c r="A355" s="1" t="s">
        <v>1047</v>
      </c>
      <c r="B355" t="s">
        <v>1048</v>
      </c>
      <c r="C355" t="s">
        <v>1049</v>
      </c>
      <c r="D355" t="s">
        <v>1050</v>
      </c>
      <c r="E355" t="s">
        <v>1051</v>
      </c>
      <c r="F355" t="s">
        <v>1052</v>
      </c>
      <c r="G355" t="s">
        <v>1053</v>
      </c>
      <c r="H355" t="s">
        <v>255</v>
      </c>
      <c r="I355">
        <v>2014</v>
      </c>
      <c r="J355">
        <v>23</v>
      </c>
      <c r="K355" t="s">
        <v>1054</v>
      </c>
      <c r="L355"/>
      <c r="M355" t="str">
        <f>LEFT($D355,FIND(",",$D355)-1)&amp;"_"&amp;I355&amp;L355</f>
        <v>Pyorala_2014</v>
      </c>
      <c r="N355" t="s">
        <v>223</v>
      </c>
      <c r="O355" s="171" t="s">
        <v>342</v>
      </c>
      <c r="P355" t="s">
        <v>226</v>
      </c>
      <c r="Q355" s="266" t="s">
        <v>390</v>
      </c>
      <c r="R355" s="271" t="s">
        <v>1156</v>
      </c>
      <c r="S355" s="1" t="s">
        <v>1069</v>
      </c>
      <c r="T355" t="s">
        <v>1056</v>
      </c>
      <c r="U355" t="s">
        <v>1068</v>
      </c>
      <c r="V355">
        <v>0</v>
      </c>
      <c r="W355">
        <v>0</v>
      </c>
      <c r="X355">
        <v>0</v>
      </c>
      <c r="Y355">
        <v>0</v>
      </c>
      <c r="Z355">
        <v>0</v>
      </c>
      <c r="AA355">
        <v>0</v>
      </c>
      <c r="AB355">
        <v>1</v>
      </c>
      <c r="AC355">
        <v>0</v>
      </c>
      <c r="AD355">
        <v>0</v>
      </c>
      <c r="AE355">
        <v>0</v>
      </c>
      <c r="AF355">
        <v>0</v>
      </c>
      <c r="AG355">
        <v>0</v>
      </c>
      <c r="AH355">
        <v>0</v>
      </c>
      <c r="AI355">
        <v>0</v>
      </c>
      <c r="AJ355">
        <v>0</v>
      </c>
      <c r="AK355">
        <v>0</v>
      </c>
      <c r="AL355">
        <v>0</v>
      </c>
      <c r="AM355">
        <v>0</v>
      </c>
      <c r="AN355">
        <v>0</v>
      </c>
      <c r="AO355">
        <v>0</v>
      </c>
      <c r="AP355">
        <v>0</v>
      </c>
      <c r="AQ355">
        <v>0</v>
      </c>
      <c r="AR355">
        <v>0</v>
      </c>
      <c r="AS355">
        <v>0</v>
      </c>
      <c r="AT355">
        <v>0</v>
      </c>
      <c r="AU355">
        <v>0</v>
      </c>
      <c r="AV355">
        <v>0</v>
      </c>
      <c r="AW355">
        <v>0</v>
      </c>
      <c r="AX355" s="141">
        <f>COUNTIF(V355:AW355,"&lt;&gt;0")</f>
        <v>1</v>
      </c>
      <c r="AY355" s="141">
        <f>COUNTIF(V355:AL355,"&lt;&gt;0")</f>
        <v>1</v>
      </c>
      <c r="AZ355">
        <f>COUNTIF(V355:AC355,"&lt;&gt;0")</f>
        <v>1</v>
      </c>
      <c r="BA355">
        <f>COUNTIF(AD355:AI355,"&lt;&gt;0")</f>
        <v>0</v>
      </c>
      <c r="BB355">
        <f>COUNTIF(AJ355:AL355,"&lt;&gt;0")</f>
        <v>0</v>
      </c>
      <c r="BC355">
        <f>COUNTIF(AS355:AW355,"&lt;&gt;0")</f>
        <v>0</v>
      </c>
      <c r="BD355">
        <f>COUNTIF(AM355:AR355,"&lt;&gt;0")</f>
        <v>0</v>
      </c>
      <c r="BE355" t="str" cm="1">
        <f t="array" ref="BE355">IF(AY355=1,INDEX($V$7:$AL$7,MATCH(TRUE,INDEX($V355:$AW355&lt;&gt;0,),0)),IF(AY355=0,INDEX($AM$7:$AW$7,MATCH(1,$AM355:$AW355,0)),IF(BF355="Multiple strategies","mixed drivers",IF(BF355="Supply chain","multiple supply","multiple silviculture"))))</f>
        <v>fertilisation</v>
      </c>
      <c r="BF355" s="2" t="str" cm="1">
        <f t="array" ref="BF355">IF(COUNTIF(AZ355:BB355,"&lt;&gt;0")=1,INDEX($V$4:$AW$4,MATCH(TRUE,INDEX($V355:$AW355&lt;&gt;0,),0)),IF(COUNTIF(AZ355:BB355,"&lt;&gt;0")=0,INDEX($AM$4:$AW$4,MATCH(1,$AM355:$AW355,0)),"Multiple strategies"))</f>
        <v>SilvicultureProd</v>
      </c>
      <c r="BG355" s="1" t="s">
        <v>322</v>
      </c>
      <c r="BH355" t="s">
        <v>1058</v>
      </c>
      <c r="BI355" s="266" t="s">
        <v>1059</v>
      </c>
      <c r="BJ355" s="266" t="s">
        <v>1060</v>
      </c>
      <c r="BK355">
        <v>3.45</v>
      </c>
      <c r="BL355">
        <v>3.75</v>
      </c>
      <c r="BM355">
        <f>IFERROR(BL355/BK355,"")</f>
        <v>1.0869565217391304</v>
      </c>
      <c r="BN355">
        <f>BL355-BK355</f>
        <v>0.29999999999999982</v>
      </c>
      <c r="BO355">
        <f>BN355*t_to_m3</f>
        <v>0.61224489795918335</v>
      </c>
      <c r="BP355" t="s">
        <v>396</v>
      </c>
      <c r="BQ355" t="s">
        <v>974</v>
      </c>
      <c r="BR355" t="s">
        <v>1061</v>
      </c>
      <c r="BS355" s="172">
        <v>-129</v>
      </c>
      <c r="BT355" s="172">
        <v>-183</v>
      </c>
      <c r="BU355" s="144"/>
      <c r="BV355">
        <f>BT355-BS355</f>
        <v>-54</v>
      </c>
      <c r="BW355"/>
      <c r="BX355">
        <f>BV355*10^-6*10^4</f>
        <v>-0.53999999999999992</v>
      </c>
      <c r="BY355">
        <f>IFERROR(BX355/BO355,"")</f>
        <v>-0.88200000000000034</v>
      </c>
      <c r="BZ355">
        <v>0</v>
      </c>
      <c r="CA355">
        <v>0</v>
      </c>
      <c r="CB355">
        <v>0</v>
      </c>
      <c r="CC355">
        <v>0</v>
      </c>
      <c r="CD355">
        <v>0</v>
      </c>
      <c r="CE355">
        <v>0</v>
      </c>
      <c r="CF355">
        <v>0</v>
      </c>
      <c r="CG355">
        <v>0</v>
      </c>
      <c r="CH355">
        <v>0</v>
      </c>
      <c r="CI355">
        <v>0</v>
      </c>
      <c r="CJ355">
        <v>0</v>
      </c>
      <c r="CK355">
        <v>0</v>
      </c>
      <c r="CL355">
        <v>0</v>
      </c>
      <c r="CM355">
        <v>0</v>
      </c>
      <c r="CN355" t="str">
        <f>IF($BL355&lt;$BK355,"refNeedCorrection","refOK")</f>
        <v>refOK</v>
      </c>
      <c r="CO355">
        <f>IF($CN355="refOK",$BK355,$BL355)</f>
        <v>3.45</v>
      </c>
      <c r="CP355">
        <f>IF($CN355="refOK",$BL355,$BK355)</f>
        <v>3.75</v>
      </c>
      <c r="CQ355">
        <f>IF($CN355="refOK",$BO355,-$BO355)</f>
        <v>0.61224489795918335</v>
      </c>
      <c r="CR355">
        <f>IF($CN355="refOK",$BS355,$BT355)*IF($BP355="Emissions positive",-1,1)</f>
        <v>129</v>
      </c>
      <c r="CS355">
        <f>IF($CN355="refOK",$BT355,$BS355)*IF($BP355="Emissions positive",-1,1)</f>
        <v>183</v>
      </c>
      <c r="CT355">
        <f>IF($CN355="refNeedCorrection",-BX355,BX355)*IF($BP355="Emissions positive",-1,1)</f>
        <v>0.53999999999999992</v>
      </c>
      <c r="CU355">
        <f>IFERROR(CT355/CQ355,"")</f>
        <v>0.88200000000000034</v>
      </c>
      <c r="CV355" s="2">
        <f>IFERROR((CS355-CR355)/ABS(CR355),"")</f>
        <v>0.41860465116279072</v>
      </c>
      <c r="CW355" s="1" t="s">
        <v>264</v>
      </c>
      <c r="CX355" s="266" t="str">
        <f>IF(OR($CW355="prd",$CW355="std",$CW355="cit"),"loc",IF(OR($CW355="eur",$CW355="reg",$CW355="coy"),"reg",$CW355))</f>
        <v>loc</v>
      </c>
      <c r="CY355" t="s">
        <v>236</v>
      </c>
      <c r="CZ355"/>
      <c r="DA355"/>
      <c r="DB355">
        <v>50</v>
      </c>
      <c r="DC355" t="str">
        <f>IF(DB355=0,"0",IF(AND(DB355&gt;=1,DB355&lt;=30),"1-30",IF(AND(DB355&gt;30,DB355&lt;=70),"31-70",IF(AND(DB355&gt;70,DB355&lt;=100),"71-100",IF(DB355&gt;100,"+100")))))</f>
        <v>31-70</v>
      </c>
      <c r="DD355">
        <v>0</v>
      </c>
      <c r="DE355">
        <v>1</v>
      </c>
      <c r="DF355">
        <v>0</v>
      </c>
      <c r="DG355">
        <v>1</v>
      </c>
      <c r="DH355"/>
      <c r="DI355">
        <f>SUM(DD355:DG355)</f>
        <v>2</v>
      </c>
      <c r="DJ355" t="str">
        <f>IF(DI355=1,INDEX($DD$7:$DG$7,MATCH(1,$DD355:$DG355,0)),"mixedProduct")</f>
        <v>mixedProduct</v>
      </c>
      <c r="DK355">
        <f>IF(DD355=1,DK$7,0)</f>
        <v>0</v>
      </c>
      <c r="DL355" t="str">
        <f>IF(DE355=1,DL$7,0)</f>
        <v>Energy</v>
      </c>
      <c r="DM355">
        <f>IF(DF355=1,DM$7,0)</f>
        <v>0</v>
      </c>
      <c r="DN355" t="str">
        <f>IF(DG355=1,DN$7,0)</f>
        <v>Timber</v>
      </c>
      <c r="DO355">
        <v>0</v>
      </c>
      <c r="DP355">
        <v>1</v>
      </c>
      <c r="DQ355" t="s">
        <v>1062</v>
      </c>
      <c r="DR355"/>
      <c r="DS355"/>
      <c r="DT355">
        <f>SUM(DO355:DP355)</f>
        <v>1</v>
      </c>
      <c r="DU355" s="143" t="str">
        <f>IF(DO355=1,"self-calculated DF",IF(DP355=1,"external DF used","explicit C balance"))</f>
        <v>external DF used</v>
      </c>
      <c r="DV355">
        <v>1</v>
      </c>
      <c r="DW355">
        <v>1</v>
      </c>
      <c r="DX355">
        <v>1</v>
      </c>
      <c r="DY355" s="143">
        <v>0</v>
      </c>
      <c r="DZ355">
        <v>0</v>
      </c>
      <c r="EA355" s="143">
        <v>0</v>
      </c>
      <c r="EB355">
        <v>1</v>
      </c>
      <c r="EC355">
        <v>1</v>
      </c>
      <c r="ED355" s="143">
        <v>0</v>
      </c>
      <c r="EE355">
        <v>0</v>
      </c>
      <c r="EF355">
        <v>1</v>
      </c>
      <c r="EG355">
        <v>0</v>
      </c>
      <c r="EH355">
        <v>0</v>
      </c>
      <c r="EI355" s="2">
        <v>0</v>
      </c>
      <c r="EJ355" s="1"/>
      <c r="EK355" t="str">
        <f>IF(AND(AND(AND(OR($DX355=1,$DW355=1),OR($EC355=1,$EA355=1)),SUM($DV355:$DZ355,$EF355)&gt;=4),SUM($EA355:$EE355)&gt;=2),"Whole sector","")</f>
        <v>Whole sector</v>
      </c>
      <c r="EL355" t="str">
        <f>IF(AND(AND(OR($DX355=1,$DW355=1),AND($EC355=0,$EA355=0)),SUM($DV355:$DZ355,$EF355)&gt;=4),"Ecosystem approach","")</f>
        <v/>
      </c>
      <c r="EM355" s="2" t="str">
        <f>IF(AND(AND(AND($DX355=0,$DW355=0),OR($EC355=1,$EA355=1)),SUM($EB355:$EE355)&gt;=2),"Technology approach","")</f>
        <v/>
      </c>
      <c r="EN355"/>
      <c r="EO355"/>
      <c r="EP355" t="str">
        <f>IF(ISNUMBER(BU355),IF(ABS(BU355-[1]QC_indicators!$B$2)&gt;3*[1]QC_indicators!$C$2,"C ratio",IF(ISNUMBER(BY355),IF(ABS(BY355-[1]QC_indicators!$B$1)&gt;3*[1]QC_indicators!$C$1,"DF","no"))),IF(ISNUMBER(BY355),IF(ABS(BY355-[1]QC_indicators!$B$1)&gt;3*[1]QC_indicators!$C$1,"DF","no")))</f>
        <v>no</v>
      </c>
      <c r="EQ355"/>
      <c r="ER355" s="266" t="s">
        <v>1063</v>
      </c>
      <c r="ES355"/>
      <c r="ET355" s="266" t="s">
        <v>3409</v>
      </c>
      <c r="EU355"/>
    </row>
    <row r="356" spans="1:151" s="139" customFormat="1" ht="15" hidden="1" customHeight="1">
      <c r="A356" s="174" t="s">
        <v>1288</v>
      </c>
      <c r="B356" s="141" t="s">
        <v>1289</v>
      </c>
      <c r="C356" s="141" t="s">
        <v>1290</v>
      </c>
      <c r="D356" s="141" t="s">
        <v>1291</v>
      </c>
      <c r="E356" s="141" t="s">
        <v>1292</v>
      </c>
      <c r="F356" s="141" t="s">
        <v>1293</v>
      </c>
      <c r="G356" s="141" t="s">
        <v>1294</v>
      </c>
      <c r="H356" s="141"/>
      <c r="I356" s="141">
        <v>2019</v>
      </c>
      <c r="J356" s="141"/>
      <c r="K356" s="141" t="s">
        <v>1295</v>
      </c>
      <c r="L356" s="141"/>
      <c r="M356" t="str">
        <f>LEFT($D356,FIND(",",$D356)-1)&amp;"_"&amp;I356&amp;L356</f>
        <v>Bosch_2019</v>
      </c>
      <c r="N356" t="s">
        <v>223</v>
      </c>
      <c r="O356" s="175" t="s">
        <v>226</v>
      </c>
      <c r="P356" s="141" t="s">
        <v>224</v>
      </c>
      <c r="Q356" s="266" t="s">
        <v>225</v>
      </c>
      <c r="R356" s="271" t="s">
        <v>1156</v>
      </c>
      <c r="S356" s="174" t="s">
        <v>1296</v>
      </c>
      <c r="T356" s="141" t="s">
        <v>1297</v>
      </c>
      <c r="U356" s="141" t="s">
        <v>1298</v>
      </c>
      <c r="V356" s="141">
        <v>1</v>
      </c>
      <c r="W356" s="141">
        <v>0</v>
      </c>
      <c r="X356" s="141">
        <v>0</v>
      </c>
      <c r="Y356" s="141">
        <v>0</v>
      </c>
      <c r="Z356" s="141">
        <v>0</v>
      </c>
      <c r="AA356" s="141">
        <v>0</v>
      </c>
      <c r="AB356" s="141">
        <v>0</v>
      </c>
      <c r="AC356" s="141">
        <v>0</v>
      </c>
      <c r="AD356" s="141">
        <v>0</v>
      </c>
      <c r="AE356" s="141">
        <v>0</v>
      </c>
      <c r="AF356" s="141">
        <v>0</v>
      </c>
      <c r="AG356" s="141">
        <v>0</v>
      </c>
      <c r="AH356" s="141">
        <v>0</v>
      </c>
      <c r="AI356" s="141">
        <v>0</v>
      </c>
      <c r="AJ356" s="141">
        <v>0</v>
      </c>
      <c r="AK356" s="141">
        <v>0</v>
      </c>
      <c r="AL356" s="141">
        <v>0</v>
      </c>
      <c r="AM356" s="141">
        <v>0</v>
      </c>
      <c r="AN356" s="141">
        <v>0</v>
      </c>
      <c r="AO356" s="141">
        <v>0</v>
      </c>
      <c r="AP356" s="141">
        <v>0</v>
      </c>
      <c r="AQ356" s="141">
        <v>0</v>
      </c>
      <c r="AR356" s="141">
        <v>0</v>
      </c>
      <c r="AS356" s="141">
        <v>0</v>
      </c>
      <c r="AT356" s="141">
        <v>0</v>
      </c>
      <c r="AU356" s="141">
        <v>0</v>
      </c>
      <c r="AV356" s="141">
        <v>0</v>
      </c>
      <c r="AW356" s="141">
        <v>0</v>
      </c>
      <c r="AX356" s="141">
        <f>COUNTIF(V356:AW356,"&lt;&gt;0")</f>
        <v>1</v>
      </c>
      <c r="AY356" s="141">
        <f>COUNTIF(V356:AL356,"&lt;&gt;0")</f>
        <v>1</v>
      </c>
      <c r="AZ356">
        <f>COUNTIF(V356:AC356,"&lt;&gt;0")</f>
        <v>1</v>
      </c>
      <c r="BA356">
        <f>COUNTIF(AD356:AI356,"&lt;&gt;0")</f>
        <v>0</v>
      </c>
      <c r="BB356">
        <f>COUNTIF(AJ356:AL356,"&lt;&gt;0")</f>
        <v>0</v>
      </c>
      <c r="BC356">
        <f>COUNTIF(AS356:AW356,"&lt;&gt;0")</f>
        <v>0</v>
      </c>
      <c r="BD356">
        <f>COUNTIF(AM356:AR356,"&lt;&gt;0")</f>
        <v>0</v>
      </c>
      <c r="BE356" t="str" cm="1">
        <f t="array" ref="BE356">IF(AY356=1,INDEX($V$7:$AL$7,MATCH(TRUE,INDEX($V356:$AW356&lt;&gt;0,),0)),IF(AY356=0,INDEX($AM$7:$AW$7,MATCH(1,$AM356:$AW356,0)),IF(BF356="Multiple strategies","mixed drivers",IF(BF356="Supply chain","multiple supply","multiple silviculture"))))</f>
        <v>area subject to harvest</v>
      </c>
      <c r="BF356" s="2" t="str" cm="1">
        <f t="array" ref="BF356">IF(COUNTIF(AZ356:BB356,"&lt;&gt;0")=1,INDEX($V$4:$AW$4,MATCH(TRUE,INDEX($V356:$AW356&lt;&gt;0,),0)),IF(COUNTIF(AZ356:BB356,"&lt;&gt;0")=0,INDEX($AM$4:$AW$4,MATCH(1,$AM356:$AW356,0)),"Multiple strategies"))</f>
        <v>SilvicultureRemov</v>
      </c>
      <c r="BG356" s="173" t="s">
        <v>322</v>
      </c>
      <c r="BH356" s="141" t="s">
        <v>1299</v>
      </c>
      <c r="BI356" s="141" t="s">
        <v>1300</v>
      </c>
      <c r="BJ356" s="163" t="s">
        <v>1301</v>
      </c>
      <c r="BK356" s="158">
        <v>2159</v>
      </c>
      <c r="BL356" s="163">
        <v>2405</v>
      </c>
      <c r="BM356" s="266">
        <f>BL356/BK356</f>
        <v>1.1139416396479851</v>
      </c>
      <c r="BN356">
        <f>BL356-BK356</f>
        <v>246</v>
      </c>
      <c r="BO356" s="158">
        <f>BN356*10^6</f>
        <v>246000000</v>
      </c>
      <c r="BP356" s="266" t="s">
        <v>396</v>
      </c>
      <c r="BQ356" s="153" t="s">
        <v>788</v>
      </c>
      <c r="BR356" s="151" t="s">
        <v>1302</v>
      </c>
      <c r="BS356" s="141"/>
      <c r="BT356" s="163"/>
      <c r="BU356" s="144" t="str">
        <f>IFERROR(BT356/BS356,"")</f>
        <v/>
      </c>
      <c r="BV356" s="176">
        <v>-65</v>
      </c>
      <c r="BW356"/>
      <c r="BX356">
        <f>BV356*10^6</f>
        <v>-65000000</v>
      </c>
      <c r="BY356">
        <f>IFERROR(BX356/BO356,"")</f>
        <v>-0.26422764227642276</v>
      </c>
      <c r="BZ356" s="141">
        <v>0</v>
      </c>
      <c r="CA356" s="141">
        <v>0</v>
      </c>
      <c r="CB356" s="141">
        <v>0</v>
      </c>
      <c r="CC356" s="141">
        <v>0</v>
      </c>
      <c r="CD356" s="141">
        <v>0</v>
      </c>
      <c r="CE356" s="141">
        <v>0</v>
      </c>
      <c r="CF356" s="141">
        <v>0</v>
      </c>
      <c r="CG356" s="141">
        <v>0</v>
      </c>
      <c r="CH356" s="141">
        <v>0</v>
      </c>
      <c r="CI356" s="141">
        <v>0</v>
      </c>
      <c r="CJ356" s="141">
        <v>0</v>
      </c>
      <c r="CK356" s="141">
        <v>0</v>
      </c>
      <c r="CL356" s="141">
        <v>0</v>
      </c>
      <c r="CM356" s="141">
        <v>1</v>
      </c>
      <c r="CN356" t="str">
        <f>IF(BL356&lt;BK356,"refNeedCorrection","refOK")</f>
        <v>refOK</v>
      </c>
      <c r="CO356">
        <f>IF($CN356="refOK",$BK356,$BL356)</f>
        <v>2159</v>
      </c>
      <c r="CP356">
        <f>IF($CN356="refOK",$BL356,$BK356)</f>
        <v>2405</v>
      </c>
      <c r="CQ356">
        <f>IF($CN356="refOK",$BO356,-$BO356)</f>
        <v>246000000</v>
      </c>
      <c r="CR356">
        <f>IF($CN356="refOK",$BS356,$BT356)*IF($BP356="Emissions positive",-1,1)</f>
        <v>0</v>
      </c>
      <c r="CS356">
        <f>IF($CN356="refOK",$BT356,$BS356)*IF($BP356="Emissions positive",-1,1)</f>
        <v>0</v>
      </c>
      <c r="CT356">
        <f>IF($CN356="refNeedCorrection",-BX356,BX356)*IF($BP356="Emissions positive",-1,1)</f>
        <v>65000000</v>
      </c>
      <c r="CU356">
        <f>IFERROR(CT356/CQ356,"")</f>
        <v>0.26422764227642276</v>
      </c>
      <c r="CV356" s="2" t="str">
        <f>IFERROR((CS356-CR356)/ABS(CR356),"")</f>
        <v/>
      </c>
      <c r="CW356" s="174" t="s">
        <v>1205</v>
      </c>
      <c r="CX356" s="266" t="str">
        <f>IF(OR($CW356="prd",$CW356="std",$CW356="cit"),"loc",IF(OR($CW356="eur",$CW356="reg",$CW356="coy"),"reg",$CW356))</f>
        <v>reg</v>
      </c>
      <c r="CY356" s="141" t="s">
        <v>1303</v>
      </c>
      <c r="CZ356" s="141">
        <v>2016</v>
      </c>
      <c r="DA356" s="163">
        <v>2046</v>
      </c>
      <c r="DB356" s="163">
        <v>30</v>
      </c>
      <c r="DC356" t="str">
        <f>IF(DB356=0,"0",IF(AND(DB356&gt;=1,DB356&lt;=30),"1-30",IF(AND(DB356&gt;30,DB356&lt;=70),"31-70",IF(AND(DB356&gt;70,DB356&lt;=100),"71-100",IF(DB356&gt;100,"+100")))))</f>
        <v>1-30</v>
      </c>
      <c r="DD356" s="141">
        <v>1</v>
      </c>
      <c r="DE356" s="141">
        <v>1</v>
      </c>
      <c r="DF356" s="141">
        <v>0</v>
      </c>
      <c r="DG356" s="141">
        <v>1</v>
      </c>
      <c r="DH356"/>
      <c r="DI356">
        <f>SUM(DD356:DG356)</f>
        <v>3</v>
      </c>
      <c r="DJ356" t="str">
        <f>IF(DI356=1,INDEX($DD$7:$DG$7,MATCH(1,$DD356:$DG356,0)),"mixedProduct")</f>
        <v>mixedProduct</v>
      </c>
      <c r="DK356" t="str">
        <f>IF(DD356=1,DK$7,0)</f>
        <v>Upstream</v>
      </c>
      <c r="DL356" t="str">
        <f>IF(DE356=1,DL$7,0)</f>
        <v>Energy</v>
      </c>
      <c r="DM356">
        <f>IF(DF356=1,DM$7,0)</f>
        <v>0</v>
      </c>
      <c r="DN356" t="str">
        <f>IF(DG356=1,DN$7,0)</f>
        <v>Timber</v>
      </c>
      <c r="DO356" s="163">
        <v>0</v>
      </c>
      <c r="DP356" s="141">
        <v>1</v>
      </c>
      <c r="DQ356" s="163" t="s">
        <v>1307</v>
      </c>
      <c r="DR356" s="163" t="s">
        <v>1308</v>
      </c>
      <c r="DS356" s="163">
        <v>0</v>
      </c>
      <c r="DT356">
        <f>SUM(DO356:DP356)</f>
        <v>1</v>
      </c>
      <c r="DU356" s="143" t="str">
        <f>IF(DO356=1,"self-calculated DF",IF(DP356=1,"external DF used","explicit C balance"))</f>
        <v>external DF used</v>
      </c>
      <c r="DV356" s="163">
        <v>1</v>
      </c>
      <c r="DW356" s="141">
        <v>1</v>
      </c>
      <c r="DX356" s="163">
        <v>1</v>
      </c>
      <c r="DY356" s="163">
        <v>1</v>
      </c>
      <c r="DZ356" s="141">
        <v>1</v>
      </c>
      <c r="EA356" s="141">
        <v>1</v>
      </c>
      <c r="EB356" s="143">
        <v>0</v>
      </c>
      <c r="EC356" s="141">
        <v>0</v>
      </c>
      <c r="ED356" s="143">
        <v>0</v>
      </c>
      <c r="EE356" s="143">
        <v>0</v>
      </c>
      <c r="EF356" s="141">
        <v>1</v>
      </c>
      <c r="EG356" s="163">
        <v>0</v>
      </c>
      <c r="EH356" s="141">
        <v>0</v>
      </c>
      <c r="EI356" s="177">
        <v>0</v>
      </c>
      <c r="EJ356" s="1"/>
      <c r="EK356" t="str">
        <f>IF(AND(AND(AND(OR($DX356=1,$DW356=1),OR($EC356=1,$EA356=1)),SUM($DV356:$DZ356,$EF356)&gt;=4),SUM($EA356:$EE356)&gt;=2),"Whole sector","")</f>
        <v/>
      </c>
      <c r="EL356" t="str">
        <f>IF(AND(AND(OR($DX356=1,$DW356=1),AND($EC356=0,$EA356=0)),SUM($DV356:$DZ356,$EF356)&gt;=4),"Ecosystem approach","")</f>
        <v/>
      </c>
      <c r="EM356" s="2" t="str">
        <f>IF(AND(AND(AND($DX356=0,$DW356=0),OR($EC356=1,$EA356=1)),SUM($EB356:$EE356)&gt;=2),"Technology approach","")</f>
        <v/>
      </c>
      <c r="EN356" s="141"/>
      <c r="EO356"/>
      <c r="EP356" t="str">
        <f>IF(ISNUMBER(BU356),IF(ABS(BU356-[1]QC_indicators!$B$2)&gt;3*[1]QC_indicators!$C$2,"C ratio",IF(ISNUMBER(BY356),IF(ABS(BY356-[1]QC_indicators!$B$1)&gt;3*[1]QC_indicators!$C$1,"DF","no"))),IF(ISNUMBER(BY356),IF(ABS(BY356-[1]QC_indicators!$B$1)&gt;3*[1]QC_indicators!$C$1,"DF","no")))</f>
        <v>no</v>
      </c>
      <c r="EQ356"/>
      <c r="ER356" s="296" t="s">
        <v>1304</v>
      </c>
      <c r="ES356"/>
      <c r="ET356" s="266" t="s">
        <v>3409</v>
      </c>
      <c r="EU356"/>
    </row>
    <row r="357" spans="1:151" s="139" customFormat="1" ht="15" hidden="1" customHeight="1">
      <c r="A357" s="174" t="s">
        <v>1288</v>
      </c>
      <c r="B357" s="141" t="s">
        <v>1289</v>
      </c>
      <c r="C357" s="141" t="s">
        <v>1290</v>
      </c>
      <c r="D357" s="141" t="s">
        <v>1291</v>
      </c>
      <c r="E357" s="141" t="s">
        <v>1292</v>
      </c>
      <c r="F357" s="141" t="s">
        <v>1293</v>
      </c>
      <c r="G357" s="141" t="s">
        <v>1294</v>
      </c>
      <c r="H357" s="141"/>
      <c r="I357" s="141">
        <v>2019</v>
      </c>
      <c r="J357" s="141"/>
      <c r="K357" s="141" t="s">
        <v>1295</v>
      </c>
      <c r="L357" s="141"/>
      <c r="M357" t="str">
        <f>LEFT($D357,FIND(",",$D357)-1)&amp;"_"&amp;I357&amp;L357</f>
        <v>Bosch_2019</v>
      </c>
      <c r="N357" t="s">
        <v>223</v>
      </c>
      <c r="O357" s="175" t="s">
        <v>226</v>
      </c>
      <c r="P357" s="141" t="s">
        <v>224</v>
      </c>
      <c r="Q357" s="266" t="s">
        <v>225</v>
      </c>
      <c r="R357" s="271" t="s">
        <v>1156</v>
      </c>
      <c r="S357" s="174" t="s">
        <v>1305</v>
      </c>
      <c r="T357" s="141" t="s">
        <v>1306</v>
      </c>
      <c r="U357" s="141" t="s">
        <v>1298</v>
      </c>
      <c r="V357" s="141">
        <v>1</v>
      </c>
      <c r="W357" s="141">
        <v>0</v>
      </c>
      <c r="X357" s="141">
        <v>0</v>
      </c>
      <c r="Y357" s="141">
        <v>0</v>
      </c>
      <c r="Z357" s="141">
        <v>0</v>
      </c>
      <c r="AA357" s="141">
        <v>0</v>
      </c>
      <c r="AB357" s="141">
        <v>0</v>
      </c>
      <c r="AC357" s="141">
        <v>0</v>
      </c>
      <c r="AD357" s="141">
        <v>0</v>
      </c>
      <c r="AE357" s="141">
        <v>0</v>
      </c>
      <c r="AF357" s="141">
        <v>0</v>
      </c>
      <c r="AG357" s="141">
        <v>0</v>
      </c>
      <c r="AH357" s="141">
        <v>0</v>
      </c>
      <c r="AI357" s="141">
        <v>0</v>
      </c>
      <c r="AJ357" s="141">
        <v>0</v>
      </c>
      <c r="AK357" s="141">
        <v>0</v>
      </c>
      <c r="AL357" s="141">
        <v>0</v>
      </c>
      <c r="AM357" s="141">
        <v>0</v>
      </c>
      <c r="AN357" s="141">
        <v>0</v>
      </c>
      <c r="AO357" s="141">
        <v>0</v>
      </c>
      <c r="AP357" s="141">
        <v>0</v>
      </c>
      <c r="AQ357" s="141">
        <v>0</v>
      </c>
      <c r="AR357" s="141">
        <v>0</v>
      </c>
      <c r="AS357" s="141">
        <v>0</v>
      </c>
      <c r="AT357" s="141">
        <v>0</v>
      </c>
      <c r="AU357" s="141">
        <v>0</v>
      </c>
      <c r="AV357" s="141">
        <v>0</v>
      </c>
      <c r="AW357" s="141">
        <v>0</v>
      </c>
      <c r="AX357" s="141">
        <f>COUNTIF(V357:AW357,"&lt;&gt;0")</f>
        <v>1</v>
      </c>
      <c r="AY357" s="141">
        <f>COUNTIF(V357:AL357,"&lt;&gt;0")</f>
        <v>1</v>
      </c>
      <c r="AZ357">
        <f>COUNTIF(V357:AC357,"&lt;&gt;0")</f>
        <v>1</v>
      </c>
      <c r="BA357">
        <f>COUNTIF(AD357:AI357,"&lt;&gt;0")</f>
        <v>0</v>
      </c>
      <c r="BB357">
        <f>COUNTIF(AJ357:AL357,"&lt;&gt;0")</f>
        <v>0</v>
      </c>
      <c r="BC357">
        <f>COUNTIF(AS357:AW357,"&lt;&gt;0")</f>
        <v>0</v>
      </c>
      <c r="BD357">
        <f>COUNTIF(AM357:AR357,"&lt;&gt;0")</f>
        <v>0</v>
      </c>
      <c r="BE357" t="str" cm="1">
        <f t="array" ref="BE357">IF(AY357=1,INDEX($V$7:$AL$7,MATCH(TRUE,INDEX($V357:$AW357&lt;&gt;0,),0)),IF(AY357=0,INDEX($AM$7:$AW$7,MATCH(1,$AM357:$AW357,0)),IF(BF357="Multiple strategies","mixed drivers",IF(BF357="Supply chain","multiple supply","multiple silviculture"))))</f>
        <v>area subject to harvest</v>
      </c>
      <c r="BF357" s="2" t="str" cm="1">
        <f t="array" ref="BF357">IF(COUNTIF(AZ357:BB357,"&lt;&gt;0")=1,INDEX($V$4:$AW$4,MATCH(TRUE,INDEX($V357:$AW357&lt;&gt;0,),0)),IF(COUNTIF(AZ357:BB357,"&lt;&gt;0")=0,INDEX($AM$4:$AW$4,MATCH(1,$AM357:$AW357,0)),"Multiple strategies"))</f>
        <v>SilvicultureRemov</v>
      </c>
      <c r="BG357" s="173" t="s">
        <v>322</v>
      </c>
      <c r="BH357" s="141" t="s">
        <v>1299</v>
      </c>
      <c r="BI357" s="141" t="s">
        <v>1300</v>
      </c>
      <c r="BJ357" s="163" t="s">
        <v>1301</v>
      </c>
      <c r="BK357" s="176">
        <v>2330</v>
      </c>
      <c r="BL357" s="163">
        <v>2405</v>
      </c>
      <c r="BM357" s="266">
        <f>BL357/BK357</f>
        <v>1.0321888412017168</v>
      </c>
      <c r="BN357">
        <f>BL357-BK357</f>
        <v>75</v>
      </c>
      <c r="BO357" s="158">
        <f>BN357*10^6</f>
        <v>75000000</v>
      </c>
      <c r="BP357" s="266" t="s">
        <v>396</v>
      </c>
      <c r="BQ357" s="153" t="s">
        <v>430</v>
      </c>
      <c r="BR357" s="151" t="s">
        <v>1302</v>
      </c>
      <c r="BS357" s="141"/>
      <c r="BT357" s="163"/>
      <c r="BU357" s="144" t="str">
        <f>IFERROR(BT357/BS357,"")</f>
        <v/>
      </c>
      <c r="BV357" s="176">
        <v>-19</v>
      </c>
      <c r="BW357"/>
      <c r="BX357">
        <f>BV357*10^6</f>
        <v>-19000000</v>
      </c>
      <c r="BY357">
        <f>IFERROR(BX357/BO357,"")</f>
        <v>-0.25333333333333335</v>
      </c>
      <c r="BZ357" s="141">
        <v>0</v>
      </c>
      <c r="CA357" s="141">
        <v>0</v>
      </c>
      <c r="CB357" s="141">
        <v>0</v>
      </c>
      <c r="CC357" s="141">
        <v>0</v>
      </c>
      <c r="CD357" s="141">
        <v>0</v>
      </c>
      <c r="CE357" s="141">
        <v>0</v>
      </c>
      <c r="CF357" s="141">
        <v>0</v>
      </c>
      <c r="CG357" s="141">
        <v>0</v>
      </c>
      <c r="CH357" s="141">
        <v>0</v>
      </c>
      <c r="CI357" s="141">
        <v>0</v>
      </c>
      <c r="CJ357" s="141">
        <v>0</v>
      </c>
      <c r="CK357" s="141">
        <v>0</v>
      </c>
      <c r="CL357" s="141">
        <v>0</v>
      </c>
      <c r="CM357" s="141">
        <v>1</v>
      </c>
      <c r="CN357" t="str">
        <f>IF(BL357&lt;BK357,"refNeedCorrection","refOK")</f>
        <v>refOK</v>
      </c>
      <c r="CO357">
        <f>IF($CN357="refOK",$BK357,$BL357)</f>
        <v>2330</v>
      </c>
      <c r="CP357">
        <f>IF($CN357="refOK",$BL357,$BK357)</f>
        <v>2405</v>
      </c>
      <c r="CQ357">
        <f>IF($CN357="refOK",$BO357,-$BO357)</f>
        <v>75000000</v>
      </c>
      <c r="CR357">
        <f>IF($CN357="refOK",$BS357,$BT357)*IF($BP357="Emissions positive",-1,1)</f>
        <v>0</v>
      </c>
      <c r="CS357">
        <f>IF($CN357="refOK",$BT357,$BS357)*IF($BP357="Emissions positive",-1,1)</f>
        <v>0</v>
      </c>
      <c r="CT357">
        <f>IF($CN357="refNeedCorrection",-BX357,BX357)*IF($BP357="Emissions positive",-1,1)</f>
        <v>19000000</v>
      </c>
      <c r="CU357">
        <f>IFERROR(CT357/CQ357,"")</f>
        <v>0.25333333333333335</v>
      </c>
      <c r="CV357" s="2" t="str">
        <f>IFERROR((CS357-CR357)/ABS(CR357),"")</f>
        <v/>
      </c>
      <c r="CW357" s="174" t="s">
        <v>1205</v>
      </c>
      <c r="CX357" s="266" t="str">
        <f>IF(OR($CW357="prd",$CW357="std",$CW357="cit"),"loc",IF(OR($CW357="eur",$CW357="reg",$CW357="coy"),"reg",$CW357))</f>
        <v>reg</v>
      </c>
      <c r="CY357" s="141" t="s">
        <v>1303</v>
      </c>
      <c r="CZ357" s="141">
        <v>2016</v>
      </c>
      <c r="DA357" s="163">
        <v>2046</v>
      </c>
      <c r="DB357" s="163">
        <v>30</v>
      </c>
      <c r="DC357" t="str">
        <f>IF(DB357=0,"0",IF(AND(DB357&gt;=1,DB357&lt;=30),"1-30",IF(AND(DB357&gt;30,DB357&lt;=70),"31-70",IF(AND(DB357&gt;70,DB357&lt;=100),"71-100",IF(DB357&gt;100,"+100")))))</f>
        <v>1-30</v>
      </c>
      <c r="DD357" s="141">
        <v>1</v>
      </c>
      <c r="DE357" s="141">
        <v>1</v>
      </c>
      <c r="DF357" s="141">
        <v>0</v>
      </c>
      <c r="DG357" s="141">
        <v>1</v>
      </c>
      <c r="DH357"/>
      <c r="DI357">
        <f>SUM(DD357:DG357)</f>
        <v>3</v>
      </c>
      <c r="DJ357" t="str">
        <f>IF(DI357=1,INDEX($DD$7:$DG$7,MATCH(1,$DD357:$DG357,0)),"mixedProduct")</f>
        <v>mixedProduct</v>
      </c>
      <c r="DK357" t="str">
        <f>IF(DD357=1,DK$7,0)</f>
        <v>Upstream</v>
      </c>
      <c r="DL357" t="str">
        <f>IF(DE357=1,DL$7,0)</f>
        <v>Energy</v>
      </c>
      <c r="DM357">
        <f>IF(DF357=1,DM$7,0)</f>
        <v>0</v>
      </c>
      <c r="DN357" t="str">
        <f>IF(DG357=1,DN$7,0)</f>
        <v>Timber</v>
      </c>
      <c r="DO357" s="163">
        <v>0</v>
      </c>
      <c r="DP357" s="141">
        <v>1</v>
      </c>
      <c r="DQ357" s="163" t="s">
        <v>1307</v>
      </c>
      <c r="DR357" s="163" t="s">
        <v>1308</v>
      </c>
      <c r="DS357" s="163">
        <v>0</v>
      </c>
      <c r="DT357">
        <f>SUM(DO357:DP357)</f>
        <v>1</v>
      </c>
      <c r="DU357" s="143" t="str">
        <f>IF(DO357=1,"self-calculated DF",IF(DP357=1,"external DF used","explicit C balance"))</f>
        <v>external DF used</v>
      </c>
      <c r="DV357" s="163">
        <v>1</v>
      </c>
      <c r="DW357" s="141">
        <v>1</v>
      </c>
      <c r="DX357" s="163">
        <v>1</v>
      </c>
      <c r="DY357" s="163">
        <v>1</v>
      </c>
      <c r="DZ357" s="141">
        <v>1</v>
      </c>
      <c r="EA357" s="141">
        <v>1</v>
      </c>
      <c r="EB357" s="143">
        <v>0</v>
      </c>
      <c r="EC357" s="141">
        <v>0</v>
      </c>
      <c r="ED357" s="143">
        <v>0</v>
      </c>
      <c r="EE357" s="143">
        <v>0</v>
      </c>
      <c r="EF357" s="141">
        <v>1</v>
      </c>
      <c r="EG357" s="163">
        <v>0</v>
      </c>
      <c r="EH357" s="141">
        <v>0</v>
      </c>
      <c r="EI357" s="177">
        <v>0</v>
      </c>
      <c r="EJ357" s="1"/>
      <c r="EK357" t="str">
        <f>IF(AND(AND(AND(OR($DX357=1,$DW357=1),OR($EC357=1,$EA357=1)),SUM($DV357:$DZ357,$EF357)&gt;=4),SUM($EA357:$EE357)&gt;=2),"Whole sector","")</f>
        <v/>
      </c>
      <c r="EL357" t="str">
        <f>IF(AND(AND(OR($DX357=1,$DW357=1),AND($EC357=0,$EA357=0)),SUM($DV357:$DZ357,$EF357)&gt;=4),"Ecosystem approach","")</f>
        <v/>
      </c>
      <c r="EM357" s="2" t="str">
        <f>IF(AND(AND(AND($DX357=0,$DW357=0),OR($EC357=1,$EA357=1)),SUM($EB357:$EE357)&gt;=2),"Technology approach","")</f>
        <v/>
      </c>
      <c r="EN357" s="141"/>
      <c r="EO357"/>
      <c r="EP357" t="str">
        <f>IF(ISNUMBER(BU357),IF(ABS(BU357-[1]QC_indicators!$B$2)&gt;3*[1]QC_indicators!$C$2,"C ratio",IF(ISNUMBER(BY357),IF(ABS(BY357-[1]QC_indicators!$B$1)&gt;3*[1]QC_indicators!$C$1,"DF","no"))),IF(ISNUMBER(BY357),IF(ABS(BY357-[1]QC_indicators!$B$1)&gt;3*[1]QC_indicators!$C$1,"DF","no")))</f>
        <v>no</v>
      </c>
      <c r="EQ357"/>
      <c r="ER357" s="296" t="s">
        <v>1304</v>
      </c>
      <c r="ES357"/>
      <c r="ET357" s="266" t="s">
        <v>3409</v>
      </c>
      <c r="EU357"/>
    </row>
    <row r="358" spans="1:151" s="139" customFormat="1" ht="15" hidden="1" customHeight="1">
      <c r="A358" s="174" t="s">
        <v>1288</v>
      </c>
      <c r="B358" s="141" t="s">
        <v>1289</v>
      </c>
      <c r="C358" s="141" t="s">
        <v>1290</v>
      </c>
      <c r="D358" s="141" t="s">
        <v>1291</v>
      </c>
      <c r="E358" s="141" t="s">
        <v>1292</v>
      </c>
      <c r="F358" s="141" t="s">
        <v>1293</v>
      </c>
      <c r="G358" s="141" t="s">
        <v>1294</v>
      </c>
      <c r="H358" s="141"/>
      <c r="I358" s="141">
        <v>2019</v>
      </c>
      <c r="J358" s="141"/>
      <c r="K358" s="141" t="s">
        <v>1295</v>
      </c>
      <c r="L358" s="141"/>
      <c r="M358" t="str">
        <f>LEFT($D358,FIND(",",$D358)-1)&amp;"_"&amp;I358&amp;L358</f>
        <v>Bosch_2019</v>
      </c>
      <c r="N358" t="s">
        <v>223</v>
      </c>
      <c r="O358" s="175" t="s">
        <v>226</v>
      </c>
      <c r="P358" s="141" t="s">
        <v>224</v>
      </c>
      <c r="Q358" s="266" t="s">
        <v>225</v>
      </c>
      <c r="R358" s="271" t="s">
        <v>1156</v>
      </c>
      <c r="S358" s="174" t="s">
        <v>1309</v>
      </c>
      <c r="T358" s="141" t="s">
        <v>1310</v>
      </c>
      <c r="U358" s="141" t="s">
        <v>1298</v>
      </c>
      <c r="V358" s="141">
        <v>0</v>
      </c>
      <c r="W358" s="141">
        <v>0</v>
      </c>
      <c r="X358" s="141">
        <v>1</v>
      </c>
      <c r="Y358" s="141">
        <v>0</v>
      </c>
      <c r="Z358" s="141">
        <v>0</v>
      </c>
      <c r="AA358" s="141">
        <v>0</v>
      </c>
      <c r="AB358" s="141">
        <v>0</v>
      </c>
      <c r="AC358" s="141">
        <v>0</v>
      </c>
      <c r="AD358" s="141">
        <v>0</v>
      </c>
      <c r="AE358" s="141">
        <v>0</v>
      </c>
      <c r="AF358" s="141">
        <v>0</v>
      </c>
      <c r="AG358" s="141">
        <v>0</v>
      </c>
      <c r="AH358" s="141">
        <v>0</v>
      </c>
      <c r="AI358" s="141">
        <v>0</v>
      </c>
      <c r="AJ358" s="141">
        <v>0</v>
      </c>
      <c r="AK358" s="141">
        <v>0</v>
      </c>
      <c r="AL358" s="141">
        <v>0</v>
      </c>
      <c r="AM358" s="141">
        <v>0</v>
      </c>
      <c r="AN358" s="141">
        <v>0</v>
      </c>
      <c r="AO358" s="141">
        <v>0</v>
      </c>
      <c r="AP358" s="141">
        <v>0</v>
      </c>
      <c r="AQ358" s="141">
        <v>0</v>
      </c>
      <c r="AR358" s="141">
        <v>0</v>
      </c>
      <c r="AS358" s="141">
        <v>0</v>
      </c>
      <c r="AT358" s="141">
        <v>0</v>
      </c>
      <c r="AU358" s="141">
        <v>0</v>
      </c>
      <c r="AV358" s="141">
        <v>0</v>
      </c>
      <c r="AW358" s="141">
        <v>0</v>
      </c>
      <c r="AX358" s="141">
        <f>COUNTIF(V358:AW358,"&lt;&gt;0")</f>
        <v>1</v>
      </c>
      <c r="AY358" s="141">
        <f>COUNTIF(V358:AL358,"&lt;&gt;0")</f>
        <v>1</v>
      </c>
      <c r="AZ358">
        <f>COUNTIF(V358:AC358,"&lt;&gt;0")</f>
        <v>1</v>
      </c>
      <c r="BA358">
        <f>COUNTIF(AD358:AI358,"&lt;&gt;0")</f>
        <v>0</v>
      </c>
      <c r="BB358">
        <f>COUNTIF(AJ358:AL358,"&lt;&gt;0")</f>
        <v>0</v>
      </c>
      <c r="BC358">
        <f>COUNTIF(AS358:AW358,"&lt;&gt;0")</f>
        <v>0</v>
      </c>
      <c r="BD358">
        <f>COUNTIF(AM358:AR358,"&lt;&gt;0")</f>
        <v>0</v>
      </c>
      <c r="BE358" t="str" cm="1">
        <f t="array" ref="BE358">IF(AY358=1,INDEX($V$7:$AL$7,MATCH(TRUE,INDEX($V358:$AW358&lt;&gt;0,),0)),IF(AY358=0,INDEX($AM$7:$AW$7,MATCH(1,$AM358:$AW358,0)),IF(BF358="Multiple strategies","mixed drivers",IF(BF358="Supply chain","multiple supply","multiple silviculture"))))</f>
        <v>rotation length</v>
      </c>
      <c r="BF358" s="2" t="str" cm="1">
        <f t="array" ref="BF358">IF(COUNTIF(AZ358:BB358,"&lt;&gt;0")=1,INDEX($V$4:$AW$4,MATCH(TRUE,INDEX($V358:$AW358&lt;&gt;0,),0)),IF(COUNTIF(AZ358:BB358,"&lt;&gt;0")=0,INDEX($AM$4:$AW$4,MATCH(1,$AM358:$AW358,0)),"Multiple strategies"))</f>
        <v>SilvicultureRemov</v>
      </c>
      <c r="BG358" s="173" t="s">
        <v>322</v>
      </c>
      <c r="BH358" s="141" t="s">
        <v>1299</v>
      </c>
      <c r="BI358" s="141" t="s">
        <v>1300</v>
      </c>
      <c r="BJ358" s="163" t="s">
        <v>1301</v>
      </c>
      <c r="BK358" s="176">
        <v>2167</v>
      </c>
      <c r="BL358" s="163">
        <v>2405</v>
      </c>
      <c r="BM358" s="163">
        <f>BL358/BK358</f>
        <v>1.1098292570373789</v>
      </c>
      <c r="BN358">
        <f>BL358-BK358</f>
        <v>238</v>
      </c>
      <c r="BO358" s="158">
        <f>BN358*10^6</f>
        <v>238000000</v>
      </c>
      <c r="BP358" s="266" t="s">
        <v>396</v>
      </c>
      <c r="BQ358" s="266" t="s">
        <v>703</v>
      </c>
      <c r="BR358" s="151" t="s">
        <v>1302</v>
      </c>
      <c r="BS358" s="163"/>
      <c r="BT358" s="141"/>
      <c r="BU358" s="144"/>
      <c r="BV358" s="176">
        <v>-0.5</v>
      </c>
      <c r="BW358"/>
      <c r="BX358">
        <f>BV358*10^6</f>
        <v>-500000</v>
      </c>
      <c r="BY358">
        <f>IFERROR(BX358/BO358,"")</f>
        <v>-2.1008403361344537E-3</v>
      </c>
      <c r="BZ358" s="141">
        <v>0</v>
      </c>
      <c r="CA358" s="141">
        <v>0</v>
      </c>
      <c r="CB358" s="141">
        <v>0</v>
      </c>
      <c r="CC358" s="141">
        <v>0</v>
      </c>
      <c r="CD358" s="141">
        <v>0</v>
      </c>
      <c r="CE358" s="141">
        <v>0</v>
      </c>
      <c r="CF358" s="141">
        <v>0</v>
      </c>
      <c r="CG358" s="141">
        <v>0</v>
      </c>
      <c r="CH358" s="141">
        <v>0</v>
      </c>
      <c r="CI358" s="141">
        <v>0</v>
      </c>
      <c r="CJ358" s="141">
        <v>0</v>
      </c>
      <c r="CK358" s="141">
        <v>0</v>
      </c>
      <c r="CL358" s="141">
        <v>0</v>
      </c>
      <c r="CM358" s="141">
        <v>1</v>
      </c>
      <c r="CN358" t="str">
        <f>IF(BL358&lt;BK358,"refNeedCorrection","refOK")</f>
        <v>refOK</v>
      </c>
      <c r="CO358">
        <f>IF($CN358="refOK",$BK358,$BL358)</f>
        <v>2167</v>
      </c>
      <c r="CP358">
        <f>IF($CN358="refOK",$BL358,$BK358)</f>
        <v>2405</v>
      </c>
      <c r="CQ358">
        <f>IF($CN358="refOK",$BO358,-$BO358)</f>
        <v>238000000</v>
      </c>
      <c r="CR358">
        <f>IF($CN358="refOK",$BS358,$BT358)*IF($BP358="Emissions positive",-1,1)</f>
        <v>0</v>
      </c>
      <c r="CS358">
        <f>IF($CN358="refOK",$BT358,$BS358)*IF($BP358="Emissions positive",-1,1)</f>
        <v>0</v>
      </c>
      <c r="CT358">
        <f>IF($CN358="refNeedCorrection",-BX358,BX358)*IF($BP358="Emissions positive",-1,1)</f>
        <v>500000</v>
      </c>
      <c r="CU358">
        <f>IFERROR(CT358/CQ358,"")</f>
        <v>2.1008403361344537E-3</v>
      </c>
      <c r="CV358" s="2" t="str">
        <f>IFERROR((CS358-CR358)/ABS(CR358),"")</f>
        <v/>
      </c>
      <c r="CW358" s="174" t="s">
        <v>1205</v>
      </c>
      <c r="CX358" s="266" t="str">
        <f>IF(OR($CW358="prd",$CW358="std",$CW358="cit"),"loc",IF(OR($CW358="eur",$CW358="reg",$CW358="coy"),"reg",$CW358))</f>
        <v>reg</v>
      </c>
      <c r="CY358" s="141" t="s">
        <v>1303</v>
      </c>
      <c r="CZ358" s="141">
        <v>2016</v>
      </c>
      <c r="DA358" s="163">
        <v>2046</v>
      </c>
      <c r="DB358" s="163">
        <v>30</v>
      </c>
      <c r="DC358" t="str">
        <f>IF(DB358=0,"0",IF(AND(DB358&gt;=1,DB358&lt;=30),"1-30",IF(AND(DB358&gt;30,DB358&lt;=70),"31-70",IF(AND(DB358&gt;70,DB358&lt;=100),"71-100",IF(DB358&gt;100,"+100")))))</f>
        <v>1-30</v>
      </c>
      <c r="DD358" s="141">
        <v>1</v>
      </c>
      <c r="DE358" s="141">
        <v>1</v>
      </c>
      <c r="DF358" s="141">
        <v>0</v>
      </c>
      <c r="DG358" s="141">
        <v>1</v>
      </c>
      <c r="DH358"/>
      <c r="DI358">
        <f>SUM(DD358:DG358)</f>
        <v>3</v>
      </c>
      <c r="DJ358" t="str">
        <f>IF(DI358=1,INDEX($DD$7:$DG$7,MATCH(1,$DD358:$DG358,0)),"mixedProduct")</f>
        <v>mixedProduct</v>
      </c>
      <c r="DK358" t="str">
        <f>IF(DD358=1,DK$7,0)</f>
        <v>Upstream</v>
      </c>
      <c r="DL358" t="str">
        <f>IF(DE358=1,DL$7,0)</f>
        <v>Energy</v>
      </c>
      <c r="DM358">
        <f>IF(DF358=1,DM$7,0)</f>
        <v>0</v>
      </c>
      <c r="DN358" t="str">
        <f>IF(DG358=1,DN$7,0)</f>
        <v>Timber</v>
      </c>
      <c r="DO358" s="163">
        <v>0</v>
      </c>
      <c r="DP358" s="141">
        <v>1</v>
      </c>
      <c r="DQ358" s="163" t="s">
        <v>1307</v>
      </c>
      <c r="DR358" s="163" t="s">
        <v>1308</v>
      </c>
      <c r="DS358" s="163">
        <v>0</v>
      </c>
      <c r="DT358">
        <f>SUM(DO358:DP358)</f>
        <v>1</v>
      </c>
      <c r="DU358" s="143" t="str">
        <f>IF(DO358=1,"self-calculated DF",IF(DP358=1,"external DF used","explicit C balance"))</f>
        <v>external DF used</v>
      </c>
      <c r="DV358" s="163">
        <v>1</v>
      </c>
      <c r="DW358" s="141">
        <v>1</v>
      </c>
      <c r="DX358" s="163">
        <v>1</v>
      </c>
      <c r="DY358" s="163">
        <v>1</v>
      </c>
      <c r="DZ358" s="141">
        <v>1</v>
      </c>
      <c r="EA358" s="141">
        <v>1</v>
      </c>
      <c r="EB358" s="143">
        <v>0</v>
      </c>
      <c r="EC358" s="141">
        <v>0</v>
      </c>
      <c r="ED358" s="143">
        <v>0</v>
      </c>
      <c r="EE358" s="143">
        <v>0</v>
      </c>
      <c r="EF358" s="141">
        <v>1</v>
      </c>
      <c r="EG358" s="163">
        <v>0</v>
      </c>
      <c r="EH358" s="141">
        <v>0</v>
      </c>
      <c r="EI358" s="177">
        <v>0</v>
      </c>
      <c r="EJ358" s="1"/>
      <c r="EK358" t="str">
        <f>IF(AND(AND(AND(OR($DX358=1,$DW358=1),OR($EC358=1,$EA358=1)),SUM($DV358:$DZ358,$EF358)&gt;=4),SUM($EA358:$EE358)&gt;=2),"Whole sector","")</f>
        <v/>
      </c>
      <c r="EL358" t="str">
        <f>IF(AND(AND(OR($DX358=1,$DW358=1),AND($EC358=0,$EA358=0)),SUM($DV358:$DZ358,$EF358)&gt;=4),"Ecosystem approach","")</f>
        <v/>
      </c>
      <c r="EM358" s="2" t="str">
        <f>IF(AND(AND(AND($DX358=0,$DW358=0),OR($EC358=1,$EA358=1)),SUM($EB358:$EE358)&gt;=2),"Technology approach","")</f>
        <v/>
      </c>
      <c r="EN358" s="141"/>
      <c r="EO358"/>
      <c r="EP358" t="str">
        <f>IF(ISNUMBER(BU358),IF(ABS(BU358-[1]QC_indicators!$B$2)&gt;3*[1]QC_indicators!$C$2,"C ratio",IF(ISNUMBER(BY358),IF(ABS(BY358-[1]QC_indicators!$B$1)&gt;3*[1]QC_indicators!$C$1,"DF","no"))),IF(ISNUMBER(BY358),IF(ABS(BY358-[1]QC_indicators!$B$1)&gt;3*[1]QC_indicators!$C$1,"DF","no")))</f>
        <v>no</v>
      </c>
      <c r="EQ358"/>
      <c r="ER358" s="296" t="s">
        <v>1304</v>
      </c>
      <c r="ES358"/>
      <c r="ET358" s="266" t="s">
        <v>3409</v>
      </c>
      <c r="EU358"/>
    </row>
    <row r="359" spans="1:151" s="139" customFormat="1" ht="15" hidden="1" customHeight="1">
      <c r="A359" s="174" t="s">
        <v>1288</v>
      </c>
      <c r="B359" s="141" t="s">
        <v>1289</v>
      </c>
      <c r="C359" s="141" t="s">
        <v>1290</v>
      </c>
      <c r="D359" s="141" t="s">
        <v>1291</v>
      </c>
      <c r="E359" s="141" t="s">
        <v>1292</v>
      </c>
      <c r="F359" s="141" t="s">
        <v>1293</v>
      </c>
      <c r="G359" s="141" t="s">
        <v>1294</v>
      </c>
      <c r="H359" s="141"/>
      <c r="I359" s="141">
        <v>2019</v>
      </c>
      <c r="J359" s="141"/>
      <c r="K359" s="141" t="s">
        <v>1295</v>
      </c>
      <c r="L359" s="141"/>
      <c r="M359" t="str">
        <f>LEFT($D359,FIND(",",$D359)-1)&amp;"_"&amp;I359&amp;L359</f>
        <v>Bosch_2019</v>
      </c>
      <c r="N359" t="s">
        <v>223</v>
      </c>
      <c r="O359" s="175" t="s">
        <v>226</v>
      </c>
      <c r="P359" s="141" t="s">
        <v>224</v>
      </c>
      <c r="Q359" s="266" t="s">
        <v>225</v>
      </c>
      <c r="R359" s="271" t="s">
        <v>1156</v>
      </c>
      <c r="S359" s="174" t="s">
        <v>1311</v>
      </c>
      <c r="T359" s="141" t="s">
        <v>1298</v>
      </c>
      <c r="U359" s="141" t="s">
        <v>1312</v>
      </c>
      <c r="V359" s="141">
        <v>0</v>
      </c>
      <c r="W359" s="141">
        <v>0</v>
      </c>
      <c r="X359" s="141">
        <v>1</v>
      </c>
      <c r="Y359" s="141">
        <v>0</v>
      </c>
      <c r="Z359" s="141">
        <v>0</v>
      </c>
      <c r="AA359" s="141">
        <v>0</v>
      </c>
      <c r="AB359" s="141">
        <v>0</v>
      </c>
      <c r="AC359" s="141">
        <v>0</v>
      </c>
      <c r="AD359" s="141">
        <v>0</v>
      </c>
      <c r="AE359" s="141">
        <v>0</v>
      </c>
      <c r="AF359" s="141">
        <v>0</v>
      </c>
      <c r="AG359" s="141">
        <v>0</v>
      </c>
      <c r="AH359" s="141">
        <v>0</v>
      </c>
      <c r="AI359" s="141">
        <v>0</v>
      </c>
      <c r="AJ359" s="141">
        <v>0</v>
      </c>
      <c r="AK359" s="141">
        <v>0</v>
      </c>
      <c r="AL359" s="141">
        <v>0</v>
      </c>
      <c r="AM359" s="141">
        <v>0</v>
      </c>
      <c r="AN359" s="141">
        <v>0</v>
      </c>
      <c r="AO359" s="141">
        <v>0</v>
      </c>
      <c r="AP359" s="141">
        <v>0</v>
      </c>
      <c r="AQ359" s="141">
        <v>0</v>
      </c>
      <c r="AR359" s="141">
        <v>0</v>
      </c>
      <c r="AS359" s="141">
        <v>0</v>
      </c>
      <c r="AT359" s="141">
        <v>0</v>
      </c>
      <c r="AU359" s="141">
        <v>0</v>
      </c>
      <c r="AV359" s="141">
        <v>0</v>
      </c>
      <c r="AW359" s="141">
        <v>0</v>
      </c>
      <c r="AX359" s="141">
        <f>COUNTIF(V359:AW359,"&lt;&gt;0")</f>
        <v>1</v>
      </c>
      <c r="AY359" s="141">
        <f>COUNTIF(V359:AL359,"&lt;&gt;0")</f>
        <v>1</v>
      </c>
      <c r="AZ359">
        <f>COUNTIF(V359:AC359,"&lt;&gt;0")</f>
        <v>1</v>
      </c>
      <c r="BA359">
        <f>COUNTIF(AD359:AI359,"&lt;&gt;0")</f>
        <v>0</v>
      </c>
      <c r="BB359">
        <f>COUNTIF(AJ359:AL359,"&lt;&gt;0")</f>
        <v>0</v>
      </c>
      <c r="BC359">
        <f>COUNTIF(AS359:AW359,"&lt;&gt;0")</f>
        <v>0</v>
      </c>
      <c r="BD359">
        <f>COUNTIF(AM359:AR359,"&lt;&gt;0")</f>
        <v>0</v>
      </c>
      <c r="BE359" t="str" cm="1">
        <f t="array" ref="BE359">IF(AY359=1,INDEX($V$7:$AL$7,MATCH(TRUE,INDEX($V359:$AW359&lt;&gt;0,),0)),IF(AY359=0,INDEX($AM$7:$AW$7,MATCH(1,$AM359:$AW359,0)),IF(BF359="Multiple strategies","mixed drivers",IF(BF359="Supply chain","multiple supply","multiple silviculture"))))</f>
        <v>rotation length</v>
      </c>
      <c r="BF359" s="2" t="str" cm="1">
        <f t="array" ref="BF359">IF(COUNTIF(AZ359:BB359,"&lt;&gt;0")=1,INDEX($V$4:$AW$4,MATCH(TRUE,INDEX($V359:$AW359&lt;&gt;0,),0)),IF(COUNTIF(AZ359:BB359,"&lt;&gt;0")=0,INDEX($AM$4:$AW$4,MATCH(1,$AM359:$AW359,0)),"Multiple strategies"))</f>
        <v>SilvicultureRemov</v>
      </c>
      <c r="BG359" s="173" t="s">
        <v>322</v>
      </c>
      <c r="BH359" s="141" t="s">
        <v>1299</v>
      </c>
      <c r="BI359" s="141" t="s">
        <v>1300</v>
      </c>
      <c r="BJ359" s="163" t="s">
        <v>1301</v>
      </c>
      <c r="BK359" s="163">
        <v>2405</v>
      </c>
      <c r="BL359" s="176">
        <v>2642</v>
      </c>
      <c r="BM359" s="266">
        <f>BL359/BK359</f>
        <v>1.0985446985446985</v>
      </c>
      <c r="BN359">
        <f>BL359-BK359</f>
        <v>237</v>
      </c>
      <c r="BO359" s="158">
        <f>BN359*10^6</f>
        <v>237000000</v>
      </c>
      <c r="BP359" s="266" t="s">
        <v>396</v>
      </c>
      <c r="BQ359" s="266" t="s">
        <v>427</v>
      </c>
      <c r="BR359" s="151" t="s">
        <v>1302</v>
      </c>
      <c r="BS359" s="141"/>
      <c r="BT359" s="163"/>
      <c r="BU359" s="144" t="str">
        <f>IFERROR(BT359/BS359,"")</f>
        <v/>
      </c>
      <c r="BV359" s="176">
        <v>116.5</v>
      </c>
      <c r="BW359"/>
      <c r="BX359">
        <f>BV359*10^6</f>
        <v>116500000</v>
      </c>
      <c r="BY359">
        <f>IFERROR(BX359/BO359,"")</f>
        <v>0.49156118143459915</v>
      </c>
      <c r="BZ359" s="141">
        <v>0</v>
      </c>
      <c r="CA359" s="141">
        <v>0</v>
      </c>
      <c r="CB359" s="141">
        <v>0</v>
      </c>
      <c r="CC359" s="141">
        <v>0</v>
      </c>
      <c r="CD359" s="141">
        <v>0</v>
      </c>
      <c r="CE359" s="141">
        <v>0</v>
      </c>
      <c r="CF359" s="141">
        <v>0</v>
      </c>
      <c r="CG359" s="141">
        <v>0</v>
      </c>
      <c r="CH359" s="141">
        <v>0</v>
      </c>
      <c r="CI359" s="141">
        <v>0</v>
      </c>
      <c r="CJ359" s="141">
        <v>0</v>
      </c>
      <c r="CK359" s="141">
        <v>0</v>
      </c>
      <c r="CL359" s="141">
        <v>0</v>
      </c>
      <c r="CM359" s="141">
        <v>1</v>
      </c>
      <c r="CN359" t="str">
        <f>IF(BL359&lt;BK359,"refNeedCorrection","refOK")</f>
        <v>refOK</v>
      </c>
      <c r="CO359">
        <f>IF($CN359="refOK",$BK359,$BL359)</f>
        <v>2405</v>
      </c>
      <c r="CP359">
        <f>IF($CN359="refOK",$BL359,$BK359)</f>
        <v>2642</v>
      </c>
      <c r="CQ359">
        <f>IF($CN359="refOK",$BO359,-$BO359)</f>
        <v>237000000</v>
      </c>
      <c r="CR359">
        <f>IF($CN359="refOK",$BS359,$BT359)*IF($BP359="Emissions positive",-1,1)</f>
        <v>0</v>
      </c>
      <c r="CS359">
        <f>IF($CN359="refOK",$BT359,$BS359)*IF($BP359="Emissions positive",-1,1)</f>
        <v>0</v>
      </c>
      <c r="CT359">
        <f>IF($CN359="refNeedCorrection",-BX359,BX359)*IF($BP359="Emissions positive",-1,1)</f>
        <v>-116500000</v>
      </c>
      <c r="CU359">
        <f>IFERROR(CT359/CQ359,"")</f>
        <v>-0.49156118143459915</v>
      </c>
      <c r="CV359" s="2" t="str">
        <f>IFERROR((CS359-CR359)/ABS(CR359),"")</f>
        <v/>
      </c>
      <c r="CW359" s="174" t="s">
        <v>1205</v>
      </c>
      <c r="CX359" s="266" t="str">
        <f>IF(OR($CW359="prd",$CW359="std",$CW359="cit"),"loc",IF(OR($CW359="eur",$CW359="reg",$CW359="coy"),"reg",$CW359))</f>
        <v>reg</v>
      </c>
      <c r="CY359" s="141" t="s">
        <v>1303</v>
      </c>
      <c r="CZ359" s="141">
        <v>2016</v>
      </c>
      <c r="DA359" s="163">
        <v>2046</v>
      </c>
      <c r="DB359" s="163">
        <v>30</v>
      </c>
      <c r="DC359" t="str">
        <f>IF(DB359=0,"0",IF(AND(DB359&gt;=1,DB359&lt;=30),"1-30",IF(AND(DB359&gt;30,DB359&lt;=70),"31-70",IF(AND(DB359&gt;70,DB359&lt;=100),"71-100",IF(DB359&gt;100,"+100")))))</f>
        <v>1-30</v>
      </c>
      <c r="DD359" s="141">
        <v>1</v>
      </c>
      <c r="DE359" s="141">
        <v>1</v>
      </c>
      <c r="DF359" s="141">
        <v>0</v>
      </c>
      <c r="DG359" s="141">
        <v>1</v>
      </c>
      <c r="DH359"/>
      <c r="DI359">
        <f>SUM(DD359:DG359)</f>
        <v>3</v>
      </c>
      <c r="DJ359" t="str">
        <f>IF(DI359=1,INDEX($DD$7:$DG$7,MATCH(1,$DD359:$DG359,0)),"mixedProduct")</f>
        <v>mixedProduct</v>
      </c>
      <c r="DK359" t="str">
        <f>IF(DD359=1,DK$7,0)</f>
        <v>Upstream</v>
      </c>
      <c r="DL359" t="str">
        <f>IF(DE359=1,DL$7,0)</f>
        <v>Energy</v>
      </c>
      <c r="DM359">
        <f>IF(DF359=1,DM$7,0)</f>
        <v>0</v>
      </c>
      <c r="DN359" t="str">
        <f>IF(DG359=1,DN$7,0)</f>
        <v>Timber</v>
      </c>
      <c r="DO359" s="163">
        <v>0</v>
      </c>
      <c r="DP359" s="141">
        <v>1</v>
      </c>
      <c r="DQ359" s="163" t="s">
        <v>1307</v>
      </c>
      <c r="DR359" s="163" t="s">
        <v>1308</v>
      </c>
      <c r="DS359" s="163">
        <v>0</v>
      </c>
      <c r="DT359">
        <f>SUM(DO359:DP359)</f>
        <v>1</v>
      </c>
      <c r="DU359" s="143" t="str">
        <f>IF(DO359=1,"self-calculated DF",IF(DP359=1,"external DF used","explicit C balance"))</f>
        <v>external DF used</v>
      </c>
      <c r="DV359" s="163">
        <v>1</v>
      </c>
      <c r="DW359" s="141">
        <v>1</v>
      </c>
      <c r="DX359" s="163">
        <v>1</v>
      </c>
      <c r="DY359" s="163">
        <v>1</v>
      </c>
      <c r="DZ359" s="141">
        <v>1</v>
      </c>
      <c r="EA359" s="141">
        <v>1</v>
      </c>
      <c r="EB359" s="143">
        <v>0</v>
      </c>
      <c r="EC359" s="141">
        <v>0</v>
      </c>
      <c r="ED359" s="143">
        <v>0</v>
      </c>
      <c r="EE359" s="143">
        <v>0</v>
      </c>
      <c r="EF359" s="141">
        <v>1</v>
      </c>
      <c r="EG359" s="163">
        <v>0</v>
      </c>
      <c r="EH359" s="141">
        <v>0</v>
      </c>
      <c r="EI359" s="177">
        <v>0</v>
      </c>
      <c r="EJ359" s="1"/>
      <c r="EK359" t="str">
        <f>IF(AND(AND(AND(OR($DX359=1,$DW359=1),OR($EC359=1,$EA359=1)),SUM($DV359:$DZ359,$EF359)&gt;=4),SUM($EA359:$EE359)&gt;=2),"Whole sector","")</f>
        <v/>
      </c>
      <c r="EL359" t="str">
        <f>IF(AND(AND(OR($DX359=1,$DW359=1),AND($EC359=0,$EA359=0)),SUM($DV359:$DZ359,$EF359)&gt;=4),"Ecosystem approach","")</f>
        <v/>
      </c>
      <c r="EM359" s="2" t="str">
        <f>IF(AND(AND(AND($DX359=0,$DW359=0),OR($EC359=1,$EA359=1)),SUM($EB359:$EE359)&gt;=2),"Technology approach","")</f>
        <v/>
      </c>
      <c r="EN359" s="141"/>
      <c r="EO359"/>
      <c r="EP359" t="str">
        <f>IF(ISNUMBER(BU359),IF(ABS(BU359-[1]QC_indicators!$B$2)&gt;3*[1]QC_indicators!$C$2,"C ratio",IF(ISNUMBER(BY359),IF(ABS(BY359-[1]QC_indicators!$B$1)&gt;3*[1]QC_indicators!$C$1,"DF","no"))),IF(ISNUMBER(BY359),IF(ABS(BY359-[1]QC_indicators!$B$1)&gt;3*[1]QC_indicators!$C$1,"DF","no")))</f>
        <v>no</v>
      </c>
      <c r="EQ359"/>
      <c r="ER359" s="296" t="s">
        <v>1304</v>
      </c>
      <c r="ES359"/>
      <c r="ET359" s="266" t="s">
        <v>3409</v>
      </c>
      <c r="EU359"/>
    </row>
    <row r="360" spans="1:151" s="139" customFormat="1" ht="15" hidden="1" customHeight="1">
      <c r="A360" s="1" t="s">
        <v>1313</v>
      </c>
      <c r="B360" t="s">
        <v>1314</v>
      </c>
      <c r="C360" t="s">
        <v>1315</v>
      </c>
      <c r="D360" t="s">
        <v>1316</v>
      </c>
      <c r="E360" t="s">
        <v>1317</v>
      </c>
      <c r="F360" t="s">
        <v>1318</v>
      </c>
      <c r="G360" t="s">
        <v>1319</v>
      </c>
      <c r="H360" t="s">
        <v>255</v>
      </c>
      <c r="I360">
        <v>2016</v>
      </c>
      <c r="J360">
        <v>0</v>
      </c>
      <c r="K360" t="s">
        <v>1320</v>
      </c>
      <c r="L360"/>
      <c r="M360" t="str">
        <f>LEFT($D360,FIND(",",$D360)-1)&amp;"_"&amp;I360&amp;L360</f>
        <v>Bouyer_2016</v>
      </c>
      <c r="N360" t="s">
        <v>223</v>
      </c>
      <c r="O360" s="145" t="s">
        <v>226</v>
      </c>
      <c r="P360"/>
      <c r="Q360" s="266" t="s">
        <v>225</v>
      </c>
      <c r="R360" s="271" t="s">
        <v>1156</v>
      </c>
      <c r="S360" s="1" t="s">
        <v>1321</v>
      </c>
      <c r="T360" s="266" t="s">
        <v>1322</v>
      </c>
      <c r="U360" t="s">
        <v>1323</v>
      </c>
      <c r="V360">
        <v>0</v>
      </c>
      <c r="W360">
        <v>0</v>
      </c>
      <c r="X360">
        <v>0</v>
      </c>
      <c r="Y360">
        <v>1</v>
      </c>
      <c r="Z360">
        <v>0</v>
      </c>
      <c r="AA360">
        <v>0</v>
      </c>
      <c r="AB360">
        <v>0</v>
      </c>
      <c r="AC360">
        <v>0</v>
      </c>
      <c r="AD360">
        <v>0</v>
      </c>
      <c r="AE360">
        <v>0</v>
      </c>
      <c r="AF360">
        <v>0</v>
      </c>
      <c r="AG360">
        <v>0</v>
      </c>
      <c r="AH360">
        <v>0</v>
      </c>
      <c r="AI360">
        <v>0</v>
      </c>
      <c r="AJ360">
        <v>0</v>
      </c>
      <c r="AK360">
        <v>0</v>
      </c>
      <c r="AL360">
        <v>0</v>
      </c>
      <c r="AM360">
        <v>0</v>
      </c>
      <c r="AN360">
        <v>0</v>
      </c>
      <c r="AO360">
        <v>0</v>
      </c>
      <c r="AP360">
        <v>0</v>
      </c>
      <c r="AQ360">
        <v>0</v>
      </c>
      <c r="AR360">
        <v>0</v>
      </c>
      <c r="AS360">
        <v>0</v>
      </c>
      <c r="AT360">
        <v>0</v>
      </c>
      <c r="AU360">
        <v>0</v>
      </c>
      <c r="AV360">
        <v>0</v>
      </c>
      <c r="AW360">
        <v>0</v>
      </c>
      <c r="AX360" s="141">
        <f>COUNTIF(V360:AW360,"&lt;&gt;0")</f>
        <v>1</v>
      </c>
      <c r="AY360" s="141">
        <f>COUNTIF(V360:AL360,"&lt;&gt;0")</f>
        <v>1</v>
      </c>
      <c r="AZ360">
        <f>COUNTIF(V360:AC360,"&lt;&gt;0")</f>
        <v>1</v>
      </c>
      <c r="BA360">
        <f>COUNTIF(AD360:AI360,"&lt;&gt;0")</f>
        <v>0</v>
      </c>
      <c r="BB360">
        <f>COUNTIF(AJ360:AL360,"&lt;&gt;0")</f>
        <v>0</v>
      </c>
      <c r="BC360">
        <f>COUNTIF(AS360:AW360,"&lt;&gt;0")</f>
        <v>0</v>
      </c>
      <c r="BD360">
        <f>COUNTIF(AM360:AR360,"&lt;&gt;0")</f>
        <v>0</v>
      </c>
      <c r="BE360" t="str" cm="1">
        <f t="array" ref="BE360">IF(AY360=1,INDEX($V$7:$AL$7,MATCH(TRUE,INDEX($V360:$AW360&lt;&gt;0,),0)),IF(AY360=0,INDEX($AM$7:$AW$7,MATCH(1,$AM360:$AW360,0)),IF(BF360="Multiple strategies","mixed drivers",IF(BF360="Supply chain","multiple supply","multiple silviculture"))))</f>
        <v xml:space="preserve">cutting intensity </v>
      </c>
      <c r="BF360" s="2" t="str" cm="1">
        <f t="array" ref="BF360">IF(COUNTIF(AZ360:BB360,"&lt;&gt;0")=1,INDEX($V$4:$AW$4,MATCH(TRUE,INDEX($V360:$AW360&lt;&gt;0,),0)),IF(COUNTIF(AZ360:BB360,"&lt;&gt;0")=0,INDEX($AM$4:$AW$4,MATCH(1,$AM360:$AW360,0)),"Multiple strategies"))</f>
        <v>SilvicultureRemov</v>
      </c>
      <c r="BG360" s="173" t="s">
        <v>322</v>
      </c>
      <c r="BH360" t="s">
        <v>1324</v>
      </c>
      <c r="BI360"/>
      <c r="BJ360" s="143" t="s">
        <v>1325</v>
      </c>
      <c r="BK360">
        <v>0</v>
      </c>
      <c r="BL360" s="143">
        <v>164</v>
      </c>
      <c r="BM360" s="163"/>
      <c r="BN360">
        <f>BL360-BK360</f>
        <v>164</v>
      </c>
      <c r="BO360">
        <f>BN360*10^6</f>
        <v>164000000</v>
      </c>
      <c r="BP360" s="163" t="s">
        <v>233</v>
      </c>
      <c r="BQ360" s="163"/>
      <c r="BR360" t="s">
        <v>1326</v>
      </c>
      <c r="BS360">
        <v>10.99</v>
      </c>
      <c r="BT360">
        <v>13.7</v>
      </c>
      <c r="BU360" s="144" t="str">
        <f>IFERROR(BS360/#REF!,"")</f>
        <v/>
      </c>
      <c r="BV360" s="176">
        <f>BT360-BS360</f>
        <v>2.7099999999999991</v>
      </c>
      <c r="BW360" s="176"/>
      <c r="BX360" s="176">
        <f>BV360*10^9/10^6</f>
        <v>2709.9999999999991</v>
      </c>
      <c r="BY360">
        <f>IFERROR(BX360/BO360,"")</f>
        <v>1.6524390243902432E-5</v>
      </c>
      <c r="BZ360" s="143">
        <v>0</v>
      </c>
      <c r="CA360" s="143">
        <v>0</v>
      </c>
      <c r="CB360" s="143">
        <v>0</v>
      </c>
      <c r="CC360" s="143">
        <v>0</v>
      </c>
      <c r="CD360" s="143">
        <v>0</v>
      </c>
      <c r="CE360" s="143">
        <v>0</v>
      </c>
      <c r="CF360" s="143">
        <v>0</v>
      </c>
      <c r="CG360" s="143">
        <v>0</v>
      </c>
      <c r="CH360" s="143">
        <v>0</v>
      </c>
      <c r="CI360" s="143">
        <v>0</v>
      </c>
      <c r="CJ360" s="143">
        <v>0</v>
      </c>
      <c r="CK360" s="143">
        <v>0</v>
      </c>
      <c r="CL360" s="143">
        <v>0</v>
      </c>
      <c r="CM360">
        <v>0</v>
      </c>
      <c r="CN360" t="str">
        <f>IF($BL360&lt;$BK360,"refNeedCorrection","refOK")</f>
        <v>refOK</v>
      </c>
      <c r="CO360">
        <f>IF($CN360="refOK",$BK360,$BL360)</f>
        <v>0</v>
      </c>
      <c r="CP360">
        <f>IF($CN360="refOK",$BL360,$BK360)</f>
        <v>164</v>
      </c>
      <c r="CQ360">
        <f>IF($CN360="refOK",$BO360,-$BO360)</f>
        <v>164000000</v>
      </c>
      <c r="CR360" t="e">
        <f>IF($CN360="refOK",#REF!,$BS360)*IF($BP360="Emissions positive",-1,1)</f>
        <v>#REF!</v>
      </c>
      <c r="CS360">
        <f>IF($CN360="refOK",$BS360,#REF!)*IF($BP360="Emissions positive",-1,1)</f>
        <v>10.99</v>
      </c>
      <c r="CT360">
        <f>IF($CN360="refNeedCorrection",-BX360,BX360)*IF($BP360="Emissions positive",-1,1)</f>
        <v>2709.9999999999991</v>
      </c>
      <c r="CU360">
        <f>IFERROR(CT360/CQ360,"")</f>
        <v>1.6524390243902432E-5</v>
      </c>
      <c r="CV360" s="2" t="str">
        <f>IFERROR((CS360-CR360)/ABS(CR360),"")</f>
        <v/>
      </c>
      <c r="CW360" s="1" t="s">
        <v>1205</v>
      </c>
      <c r="CX360" s="266" t="str">
        <f>IF(OR($CW360="prd",$CW360="std",$CW360="cit"),"loc",IF(OR($CW360="eur",$CW360="reg",$CW360="coy"),"reg",$CW360))</f>
        <v>reg</v>
      </c>
      <c r="CY360" t="s">
        <v>1283</v>
      </c>
      <c r="CZ360">
        <v>2013</v>
      </c>
      <c r="DA360" s="143">
        <v>2020</v>
      </c>
      <c r="DB360" s="143">
        <v>8</v>
      </c>
      <c r="DC360" t="str">
        <f>IF(DB360=0,"0",IF(AND(DB360&gt;=1,DB360&lt;=30),"1-30",IF(AND(DB360&gt;30,DB360&lt;=70),"31-70",IF(AND(DB360&gt;70,DB360&lt;=100),"71-100",IF(DB360&gt;100,"+100")))))</f>
        <v>1-30</v>
      </c>
      <c r="DD360">
        <v>0</v>
      </c>
      <c r="DE360">
        <v>0</v>
      </c>
      <c r="DF360">
        <v>0</v>
      </c>
      <c r="DG360">
        <v>1</v>
      </c>
      <c r="DH360"/>
      <c r="DI360">
        <f>SUM(DD360:DG360)</f>
        <v>1</v>
      </c>
      <c r="DJ360" t="str">
        <f>IF(DI360=1,INDEX($DD$7:$DG$7,MATCH(1,$DD360:$DG360,0)),"mixedProduct")</f>
        <v>TimberInput</v>
      </c>
      <c r="DK360">
        <f>IF(DD360=1,DK$7,0)</f>
        <v>0</v>
      </c>
      <c r="DL360">
        <f>IF(DE360=1,DL$7,0)</f>
        <v>0</v>
      </c>
      <c r="DM360">
        <f>IF(DF360=1,DM$7,0)</f>
        <v>0</v>
      </c>
      <c r="DN360" t="str">
        <f>IF(DG360=1,DN$7,0)</f>
        <v>Timber</v>
      </c>
      <c r="DO360">
        <v>0</v>
      </c>
      <c r="DP360" s="143">
        <v>0</v>
      </c>
      <c r="DQ360" s="143">
        <v>0</v>
      </c>
      <c r="DR360" s="143">
        <v>0</v>
      </c>
      <c r="DS360" s="143">
        <v>0</v>
      </c>
      <c r="DT360">
        <f>SUM(DO360:DP360)</f>
        <v>0</v>
      </c>
      <c r="DU360" s="143" t="str">
        <f>IF(DO360=1,"self-calculated DF",IF(DP360=1,"external DF used","explicit C balance"))</f>
        <v>explicit C balance</v>
      </c>
      <c r="DV360" s="143">
        <v>0</v>
      </c>
      <c r="DW360" s="143">
        <v>0</v>
      </c>
      <c r="DX360" s="143">
        <v>0</v>
      </c>
      <c r="DY360" s="143">
        <v>1</v>
      </c>
      <c r="DZ360">
        <v>0</v>
      </c>
      <c r="EA360" s="141">
        <v>0</v>
      </c>
      <c r="EB360" s="143">
        <v>0</v>
      </c>
      <c r="EC360" s="143">
        <v>0</v>
      </c>
      <c r="ED360" s="143">
        <v>0</v>
      </c>
      <c r="EE360">
        <v>0</v>
      </c>
      <c r="EF360">
        <v>0</v>
      </c>
      <c r="EG360" s="143">
        <v>0</v>
      </c>
      <c r="EH360" s="143">
        <v>0</v>
      </c>
      <c r="EI360" s="2">
        <v>0</v>
      </c>
      <c r="EJ360" s="1"/>
      <c r="EK360" t="str">
        <f>IF(AND(AND(AND(OR($DX360=1,$DW360=1),OR($EC360=1,$EA360=1)),SUM($DV360:$DZ360,$EF360)&gt;=4),SUM($EA360:$EE360)&gt;=2),"Whole sector","")</f>
        <v/>
      </c>
      <c r="EL360" t="str">
        <f>IF(AND(AND(OR($DX360=1,$DW360=1),AND($EC360=0,$EA360=0)),SUM($DV360:$DZ360,$EF360)&gt;=4),"Ecosystem approach","")</f>
        <v/>
      </c>
      <c r="EM360" s="2" t="str">
        <f>IF(AND(AND(AND($DX360=0,$DW360=0),OR($EC360=1,$EA360=1)),SUM($EB360:$EE360)&gt;=2),"Technology approach","")</f>
        <v/>
      </c>
      <c r="EN360"/>
      <c r="EO360"/>
      <c r="EP360" t="str">
        <f>IF(ISNUMBER(BU360),IF(ABS(BU360-[1]QC_indicators!$B$2)&gt;3*[1]QC_indicators!$C$2,"C ratio",IF(ISNUMBER(BY360),IF(ABS(BY360-[1]QC_indicators!$B$1)&gt;3*[1]QC_indicators!$C$1,"DF","no"))),IF(ISNUMBER(BY360),IF(ABS(BY360-[1]QC_indicators!$B$1)&gt;3*[1]QC_indicators!$C$1,"DF","no")))</f>
        <v>no</v>
      </c>
      <c r="EQ360"/>
      <c r="ER360" s="266" t="s">
        <v>1327</v>
      </c>
      <c r="ES360"/>
      <c r="ET360" s="266" t="s">
        <v>3409</v>
      </c>
      <c r="EU360"/>
    </row>
    <row r="361" spans="1:151" s="139" customFormat="1" ht="15" hidden="1" customHeight="1">
      <c r="A361" s="174" t="s">
        <v>1288</v>
      </c>
      <c r="B361" s="141" t="s">
        <v>1289</v>
      </c>
      <c r="C361" s="141" t="s">
        <v>1290</v>
      </c>
      <c r="D361" s="141" t="s">
        <v>1291</v>
      </c>
      <c r="E361" s="141" t="s">
        <v>1292</v>
      </c>
      <c r="F361" s="141" t="s">
        <v>1293</v>
      </c>
      <c r="G361" s="141" t="s">
        <v>1294</v>
      </c>
      <c r="H361" s="141"/>
      <c r="I361" s="141">
        <v>2019</v>
      </c>
      <c r="J361" s="141"/>
      <c r="K361" s="141" t="s">
        <v>1295</v>
      </c>
      <c r="L361" s="141"/>
      <c r="M361" t="str">
        <f>LEFT($D361,FIND(",",$D361)-1)&amp;"_"&amp;I361&amp;L361</f>
        <v>Bosch_2019</v>
      </c>
      <c r="N361" t="s">
        <v>223</v>
      </c>
      <c r="O361" s="175" t="s">
        <v>226</v>
      </c>
      <c r="P361" s="141" t="s">
        <v>224</v>
      </c>
      <c r="Q361" s="266" t="s">
        <v>225</v>
      </c>
      <c r="R361" s="271" t="s">
        <v>1156</v>
      </c>
      <c r="S361" s="174" t="s">
        <v>1296</v>
      </c>
      <c r="T361" s="141" t="s">
        <v>1297</v>
      </c>
      <c r="U361" s="141" t="s">
        <v>1298</v>
      </c>
      <c r="V361" s="141">
        <v>1</v>
      </c>
      <c r="W361" s="141">
        <v>0</v>
      </c>
      <c r="X361" s="141">
        <v>0</v>
      </c>
      <c r="Y361" s="141">
        <v>0</v>
      </c>
      <c r="Z361" s="141">
        <v>0</v>
      </c>
      <c r="AA361" s="141">
        <v>0</v>
      </c>
      <c r="AB361" s="141">
        <v>0</v>
      </c>
      <c r="AC361" s="141">
        <v>0</v>
      </c>
      <c r="AD361" s="141">
        <v>0</v>
      </c>
      <c r="AE361" s="141">
        <v>0</v>
      </c>
      <c r="AF361" s="141">
        <v>0</v>
      </c>
      <c r="AG361" s="141">
        <v>0</v>
      </c>
      <c r="AH361" s="141">
        <v>0</v>
      </c>
      <c r="AI361" s="141">
        <v>0</v>
      </c>
      <c r="AJ361" s="141">
        <v>0</v>
      </c>
      <c r="AK361" s="141">
        <v>0</v>
      </c>
      <c r="AL361" s="141">
        <v>0</v>
      </c>
      <c r="AM361" s="141">
        <v>0</v>
      </c>
      <c r="AN361" s="141">
        <v>0</v>
      </c>
      <c r="AO361" s="141">
        <v>0</v>
      </c>
      <c r="AP361" s="141">
        <v>0</v>
      </c>
      <c r="AQ361" s="141">
        <v>0</v>
      </c>
      <c r="AR361" s="141">
        <v>0</v>
      </c>
      <c r="AS361" s="141">
        <v>0</v>
      </c>
      <c r="AT361" s="141">
        <v>0</v>
      </c>
      <c r="AU361" s="141">
        <v>0</v>
      </c>
      <c r="AV361" s="141">
        <v>0</v>
      </c>
      <c r="AW361" s="141">
        <v>0</v>
      </c>
      <c r="AX361" s="141">
        <f>COUNTIF(V361:AW361,"&lt;&gt;0")</f>
        <v>1</v>
      </c>
      <c r="AY361" s="141">
        <f>COUNTIF(V361:AL361,"&lt;&gt;0")</f>
        <v>1</v>
      </c>
      <c r="AZ361">
        <f>COUNTIF(V361:AC361,"&lt;&gt;0")</f>
        <v>1</v>
      </c>
      <c r="BA361">
        <f>COUNTIF(AD361:AI361,"&lt;&gt;0")</f>
        <v>0</v>
      </c>
      <c r="BB361">
        <f>COUNTIF(AJ361:AL361,"&lt;&gt;0")</f>
        <v>0</v>
      </c>
      <c r="BC361">
        <f>COUNTIF(AS361:AW361,"&lt;&gt;0")</f>
        <v>0</v>
      </c>
      <c r="BD361">
        <f>COUNTIF(AM361:AR361,"&lt;&gt;0")</f>
        <v>0</v>
      </c>
      <c r="BE361" t="str" cm="1">
        <f t="array" ref="BE361">IF(AY361=1,INDEX($V$7:$AL$7,MATCH(TRUE,INDEX($V361:$AW361&lt;&gt;0,),0)),IF(AY361=0,INDEX($AM$7:$AW$7,MATCH(1,$AM361:$AW361,0)),IF(BF361="Multiple strategies","mixed drivers",IF(BF361="Supply chain","multiple supply","multiple silviculture"))))</f>
        <v>area subject to harvest</v>
      </c>
      <c r="BF361" s="2" t="str" cm="1">
        <f t="array" ref="BF361">IF(COUNTIF(AZ361:BB361,"&lt;&gt;0")=1,INDEX($V$4:$AW$4,MATCH(TRUE,INDEX($V361:$AW361&lt;&gt;0,),0)),IF(COUNTIF(AZ361:BB361,"&lt;&gt;0")=0,INDEX($AM$4:$AW$4,MATCH(1,$AM361:$AW361,0)),"Multiple strategies"))</f>
        <v>SilvicultureRemov</v>
      </c>
      <c r="BG361" s="173" t="s">
        <v>322</v>
      </c>
      <c r="BH361" s="141" t="s">
        <v>1299</v>
      </c>
      <c r="BI361" s="141" t="s">
        <v>1300</v>
      </c>
      <c r="BJ361" s="163" t="s">
        <v>1301</v>
      </c>
      <c r="BK361" s="158">
        <v>2159</v>
      </c>
      <c r="BL361" s="163">
        <v>2405</v>
      </c>
      <c r="BM361" s="266">
        <f>BL361/BK361</f>
        <v>1.1139416396479851</v>
      </c>
      <c r="BN361">
        <f>BL361-BK361</f>
        <v>246</v>
      </c>
      <c r="BO361" s="158">
        <f>BN361*10^6</f>
        <v>246000000</v>
      </c>
      <c r="BP361" s="266" t="s">
        <v>396</v>
      </c>
      <c r="BQ361" s="153" t="s">
        <v>788</v>
      </c>
      <c r="BR361" s="151" t="s">
        <v>1302</v>
      </c>
      <c r="BS361" s="141"/>
      <c r="BT361" s="163"/>
      <c r="BU361" s="144" t="str">
        <f>IFERROR(BT361/BS361,"")</f>
        <v/>
      </c>
      <c r="BV361" s="176">
        <v>-71</v>
      </c>
      <c r="BW361"/>
      <c r="BX361">
        <f>BV361*10^6</f>
        <v>-71000000</v>
      </c>
      <c r="BY361">
        <f>IFERROR(BX361/BO361,"")</f>
        <v>-0.2886178861788618</v>
      </c>
      <c r="BZ361" s="141">
        <v>0</v>
      </c>
      <c r="CA361" s="141">
        <v>0</v>
      </c>
      <c r="CB361" s="141">
        <v>0</v>
      </c>
      <c r="CC361" s="141">
        <v>0</v>
      </c>
      <c r="CD361" s="141">
        <v>0</v>
      </c>
      <c r="CE361" s="141">
        <v>0</v>
      </c>
      <c r="CF361" s="141">
        <v>0</v>
      </c>
      <c r="CG361" s="141">
        <v>0</v>
      </c>
      <c r="CH361" s="141">
        <v>0</v>
      </c>
      <c r="CI361" s="141">
        <v>0</v>
      </c>
      <c r="CJ361" s="141">
        <v>0</v>
      </c>
      <c r="CK361" s="141">
        <v>0</v>
      </c>
      <c r="CL361" s="141">
        <v>0</v>
      </c>
      <c r="CM361" s="141">
        <v>1</v>
      </c>
      <c r="CN361" t="str">
        <f>IF(BL361&lt;BK361,"refNeedCorrection","refOK")</f>
        <v>refOK</v>
      </c>
      <c r="CO361">
        <f>IF($CN361="refOK",$BK361,$BL361)</f>
        <v>2159</v>
      </c>
      <c r="CP361">
        <f>IF($CN361="refOK",$BL361,$BK361)</f>
        <v>2405</v>
      </c>
      <c r="CQ361">
        <f>IF($CN361="refOK",$BO361,-$BO361)</f>
        <v>246000000</v>
      </c>
      <c r="CR361">
        <f>IF($CN361="refOK",$BS361,$BT361)*IF($BP361="Emissions positive",-1,1)</f>
        <v>0</v>
      </c>
      <c r="CS361">
        <f>IF($CN361="refOK",$BT361,$BS361)*IF($BP361="Emissions positive",-1,1)</f>
        <v>0</v>
      </c>
      <c r="CT361">
        <f>IF($CN361="refNeedCorrection",-BX361,BX361)*IF($BP361="Emissions positive",-1,1)</f>
        <v>71000000</v>
      </c>
      <c r="CU361">
        <f>IFERROR(CT361/CQ361,"")</f>
        <v>0.2886178861788618</v>
      </c>
      <c r="CV361" s="2" t="str">
        <f>IFERROR((CS361-CR361)/ABS(CR361),"")</f>
        <v/>
      </c>
      <c r="CW361" s="174" t="s">
        <v>1205</v>
      </c>
      <c r="CX361" s="266" t="str">
        <f>IF(OR($CW361="prd",$CW361="std",$CW361="cit"),"loc",IF(OR($CW361="eur",$CW361="reg",$CW361="coy"),"reg",$CW361))</f>
        <v>reg</v>
      </c>
      <c r="CY361" s="141" t="s">
        <v>1303</v>
      </c>
      <c r="CZ361" s="141">
        <v>2016</v>
      </c>
      <c r="DA361" s="163">
        <v>2046</v>
      </c>
      <c r="DB361" s="163">
        <v>30</v>
      </c>
      <c r="DC361" t="str">
        <f>IF(DB361=0,"0",IF(AND(DB361&gt;=1,DB361&lt;=30),"1-30",IF(AND(DB361&gt;30,DB361&lt;=70),"31-70",IF(AND(DB361&gt;70,DB361&lt;=100),"71-100",IF(DB361&gt;100,"+100")))))</f>
        <v>1-30</v>
      </c>
      <c r="DD361" s="141">
        <v>1</v>
      </c>
      <c r="DE361" s="141">
        <v>1</v>
      </c>
      <c r="DF361" s="141">
        <v>0</v>
      </c>
      <c r="DG361" s="141">
        <v>1</v>
      </c>
      <c r="DH361"/>
      <c r="DI361">
        <f>SUM(DD361:DG361)</f>
        <v>3</v>
      </c>
      <c r="DJ361" t="str">
        <f>IF(DI361=1,INDEX($DD$7:$DG$7,MATCH(1,$DD361:$DG361,0)),"mixedProduct")</f>
        <v>mixedProduct</v>
      </c>
      <c r="DK361" t="str">
        <f>IF(DD361=1,DK$7,0)</f>
        <v>Upstream</v>
      </c>
      <c r="DL361" t="str">
        <f>IF(DE361=1,DL$7,0)</f>
        <v>Energy</v>
      </c>
      <c r="DM361">
        <f>IF(DF361=1,DM$7,0)</f>
        <v>0</v>
      </c>
      <c r="DN361" t="str">
        <f>IF(DG361=1,DN$7,0)</f>
        <v>Timber</v>
      </c>
      <c r="DO361" s="163">
        <v>0</v>
      </c>
      <c r="DP361" s="141">
        <v>0</v>
      </c>
      <c r="DQ361" s="163">
        <v>0</v>
      </c>
      <c r="DR361" s="163">
        <v>0</v>
      </c>
      <c r="DS361" s="163">
        <v>0</v>
      </c>
      <c r="DT361">
        <f>SUM(DO361:DP361)</f>
        <v>0</v>
      </c>
      <c r="DU361" s="143" t="str">
        <f>IF(DO361=1,"self-calculated DF",IF(DP361=1,"external DF used","explicit C balance"))</f>
        <v>explicit C balance</v>
      </c>
      <c r="DV361" s="163">
        <v>0</v>
      </c>
      <c r="DW361" s="141">
        <v>0</v>
      </c>
      <c r="DX361" s="163">
        <v>0</v>
      </c>
      <c r="DY361" s="163">
        <v>1</v>
      </c>
      <c r="DZ361" s="141">
        <v>0</v>
      </c>
      <c r="EA361" s="141">
        <v>0</v>
      </c>
      <c r="EB361" s="143">
        <v>0</v>
      </c>
      <c r="EC361" s="141">
        <v>0</v>
      </c>
      <c r="ED361" s="143">
        <v>0</v>
      </c>
      <c r="EE361" s="143">
        <v>0</v>
      </c>
      <c r="EF361" s="141">
        <v>1</v>
      </c>
      <c r="EG361" s="163">
        <v>0</v>
      </c>
      <c r="EH361" s="141">
        <v>0</v>
      </c>
      <c r="EI361" s="177">
        <v>0</v>
      </c>
      <c r="EJ361" s="1"/>
      <c r="EK361" t="str">
        <f>IF(AND(AND(AND(OR($DX361=1,$DW361=1),OR($EC361=1,$EA361=1)),SUM($DV361:$DZ361,$EF361)&gt;=4),SUM($EA361:$EE361)&gt;=2),"Whole sector","")</f>
        <v/>
      </c>
      <c r="EL361" t="str">
        <f>IF(AND(AND(OR($DX361=1,$DW361=1),AND($EC361=0,$EA361=0)),SUM($DV361:$DZ361,$EF361)&gt;=4),"Ecosystem approach","")</f>
        <v/>
      </c>
      <c r="EM361" s="2" t="str">
        <f>IF(AND(AND(AND($DX361=0,$DW361=0),OR($EC361=1,$EA361=1)),SUM($EB361:$EE361)&gt;=2),"Technology approach","")</f>
        <v/>
      </c>
      <c r="EN361" s="141"/>
      <c r="EO361"/>
      <c r="EP361" t="str">
        <f>IF(ISNUMBER(BU361),IF(ABS(BU361-[1]QC_indicators!$B$2)&gt;3*[1]QC_indicators!$C$2,"C ratio",IF(ISNUMBER(BY361),IF(ABS(BY361-[1]QC_indicators!$B$1)&gt;3*[1]QC_indicators!$C$1,"DF","no"))),IF(ISNUMBER(BY361),IF(ABS(BY361-[1]QC_indicators!$B$1)&gt;3*[1]QC_indicators!$C$1,"DF","no")))</f>
        <v>no</v>
      </c>
      <c r="EQ361"/>
      <c r="ER361" s="296" t="s">
        <v>1304</v>
      </c>
      <c r="ES361"/>
      <c r="ET361" s="266" t="s">
        <v>3409</v>
      </c>
      <c r="EU361"/>
    </row>
    <row r="362" spans="1:151" s="139" customFormat="1" ht="15" hidden="1" customHeight="1">
      <c r="A362" s="174" t="s">
        <v>1288</v>
      </c>
      <c r="B362" s="141" t="s">
        <v>1289</v>
      </c>
      <c r="C362" s="141" t="s">
        <v>1290</v>
      </c>
      <c r="D362" s="141" t="s">
        <v>1291</v>
      </c>
      <c r="E362" s="141" t="s">
        <v>1292</v>
      </c>
      <c r="F362" s="141" t="s">
        <v>1293</v>
      </c>
      <c r="G362" s="141" t="s">
        <v>1294</v>
      </c>
      <c r="H362" s="141"/>
      <c r="I362" s="141">
        <v>2019</v>
      </c>
      <c r="J362" s="141"/>
      <c r="K362" s="141" t="s">
        <v>1295</v>
      </c>
      <c r="L362" s="141"/>
      <c r="M362" t="str">
        <f>LEFT($D362,FIND(",",$D362)-1)&amp;"_"&amp;I362&amp;L362</f>
        <v>Bosch_2019</v>
      </c>
      <c r="N362" t="s">
        <v>223</v>
      </c>
      <c r="O362" s="175" t="s">
        <v>226</v>
      </c>
      <c r="P362" s="141" t="s">
        <v>224</v>
      </c>
      <c r="Q362" s="266" t="s">
        <v>225</v>
      </c>
      <c r="R362" s="271" t="s">
        <v>1156</v>
      </c>
      <c r="S362" s="174" t="s">
        <v>1305</v>
      </c>
      <c r="T362" s="141" t="s">
        <v>1306</v>
      </c>
      <c r="U362" s="141" t="s">
        <v>1298</v>
      </c>
      <c r="V362" s="141">
        <v>1</v>
      </c>
      <c r="W362" s="141">
        <v>0</v>
      </c>
      <c r="X362" s="141">
        <v>0</v>
      </c>
      <c r="Y362" s="141">
        <v>0</v>
      </c>
      <c r="Z362" s="141">
        <v>0</v>
      </c>
      <c r="AA362" s="141">
        <v>0</v>
      </c>
      <c r="AB362" s="141">
        <v>0</v>
      </c>
      <c r="AC362" s="141">
        <v>0</v>
      </c>
      <c r="AD362" s="141">
        <v>0</v>
      </c>
      <c r="AE362" s="141">
        <v>0</v>
      </c>
      <c r="AF362" s="141">
        <v>0</v>
      </c>
      <c r="AG362" s="141">
        <v>0</v>
      </c>
      <c r="AH362" s="141">
        <v>0</v>
      </c>
      <c r="AI362" s="141">
        <v>0</v>
      </c>
      <c r="AJ362" s="141">
        <v>0</v>
      </c>
      <c r="AK362" s="141">
        <v>0</v>
      </c>
      <c r="AL362" s="141">
        <v>0</v>
      </c>
      <c r="AM362" s="141">
        <v>0</v>
      </c>
      <c r="AN362" s="141">
        <v>0</v>
      </c>
      <c r="AO362" s="141">
        <v>0</v>
      </c>
      <c r="AP362" s="141">
        <v>0</v>
      </c>
      <c r="AQ362" s="141">
        <v>0</v>
      </c>
      <c r="AR362" s="141">
        <v>0</v>
      </c>
      <c r="AS362" s="141">
        <v>0</v>
      </c>
      <c r="AT362" s="141">
        <v>0</v>
      </c>
      <c r="AU362" s="141">
        <v>0</v>
      </c>
      <c r="AV362" s="141">
        <v>0</v>
      </c>
      <c r="AW362" s="141">
        <v>0</v>
      </c>
      <c r="AX362" s="141">
        <f>COUNTIF(V362:AW362,"&lt;&gt;0")</f>
        <v>1</v>
      </c>
      <c r="AY362" s="141">
        <f>COUNTIF(V362:AL362,"&lt;&gt;0")</f>
        <v>1</v>
      </c>
      <c r="AZ362">
        <f>COUNTIF(V362:AC362,"&lt;&gt;0")</f>
        <v>1</v>
      </c>
      <c r="BA362">
        <f>COUNTIF(AD362:AI362,"&lt;&gt;0")</f>
        <v>0</v>
      </c>
      <c r="BB362">
        <f>COUNTIF(AJ362:AL362,"&lt;&gt;0")</f>
        <v>0</v>
      </c>
      <c r="BC362">
        <f>COUNTIF(AS362:AW362,"&lt;&gt;0")</f>
        <v>0</v>
      </c>
      <c r="BD362">
        <f>COUNTIF(AM362:AR362,"&lt;&gt;0")</f>
        <v>0</v>
      </c>
      <c r="BE362" t="str" cm="1">
        <f t="array" ref="BE362">IF(AY362=1,INDEX($V$7:$AL$7,MATCH(TRUE,INDEX($V362:$AW362&lt;&gt;0,),0)),IF(AY362=0,INDEX($AM$7:$AW$7,MATCH(1,$AM362:$AW362,0)),IF(BF362="Multiple strategies","mixed drivers",IF(BF362="Supply chain","multiple supply","multiple silviculture"))))</f>
        <v>area subject to harvest</v>
      </c>
      <c r="BF362" s="2" t="str" cm="1">
        <f t="array" ref="BF362">IF(COUNTIF(AZ362:BB362,"&lt;&gt;0")=1,INDEX($V$4:$AW$4,MATCH(TRUE,INDEX($V362:$AW362&lt;&gt;0,),0)),IF(COUNTIF(AZ362:BB362,"&lt;&gt;0")=0,INDEX($AM$4:$AW$4,MATCH(1,$AM362:$AW362,0)),"Multiple strategies"))</f>
        <v>SilvicultureRemov</v>
      </c>
      <c r="BG362" s="173" t="s">
        <v>322</v>
      </c>
      <c r="BH362" s="141" t="s">
        <v>1299</v>
      </c>
      <c r="BI362" s="141" t="s">
        <v>1300</v>
      </c>
      <c r="BJ362" s="163" t="s">
        <v>1301</v>
      </c>
      <c r="BK362" s="176">
        <v>2330</v>
      </c>
      <c r="BL362" s="163">
        <v>2405</v>
      </c>
      <c r="BM362" s="266">
        <f>BL362/BK362</f>
        <v>1.0321888412017168</v>
      </c>
      <c r="BN362">
        <f>BL362-BK362</f>
        <v>75</v>
      </c>
      <c r="BO362" s="158">
        <f>BN362*10^6</f>
        <v>75000000</v>
      </c>
      <c r="BP362" s="266" t="s">
        <v>396</v>
      </c>
      <c r="BQ362" s="153" t="s">
        <v>430</v>
      </c>
      <c r="BR362" s="151" t="s">
        <v>1302</v>
      </c>
      <c r="BS362" s="141"/>
      <c r="BT362" s="163"/>
      <c r="BU362" s="144" t="str">
        <f>IFERROR(BT362/BS362,"")</f>
        <v/>
      </c>
      <c r="BV362" s="176">
        <v>-21</v>
      </c>
      <c r="BW362"/>
      <c r="BX362">
        <f>BV362*10^6</f>
        <v>-21000000</v>
      </c>
      <c r="BY362">
        <f>IFERROR(BX362/BO362,"")</f>
        <v>-0.28000000000000003</v>
      </c>
      <c r="BZ362" s="141">
        <v>0</v>
      </c>
      <c r="CA362" s="141">
        <v>0</v>
      </c>
      <c r="CB362" s="141">
        <v>0</v>
      </c>
      <c r="CC362" s="141">
        <v>0</v>
      </c>
      <c r="CD362" s="141">
        <v>0</v>
      </c>
      <c r="CE362" s="141">
        <v>0</v>
      </c>
      <c r="CF362" s="141">
        <v>0</v>
      </c>
      <c r="CG362" s="141">
        <v>0</v>
      </c>
      <c r="CH362" s="141">
        <v>0</v>
      </c>
      <c r="CI362" s="141">
        <v>0</v>
      </c>
      <c r="CJ362" s="141">
        <v>0</v>
      </c>
      <c r="CK362" s="141">
        <v>0</v>
      </c>
      <c r="CL362" s="141">
        <v>0</v>
      </c>
      <c r="CM362" s="141">
        <v>1</v>
      </c>
      <c r="CN362" t="str">
        <f>IF(BL362&lt;BK362,"refNeedCorrection","refOK")</f>
        <v>refOK</v>
      </c>
      <c r="CO362">
        <f>IF($CN362="refOK",$BK362,$BL362)</f>
        <v>2330</v>
      </c>
      <c r="CP362">
        <f>IF($CN362="refOK",$BL362,$BK362)</f>
        <v>2405</v>
      </c>
      <c r="CQ362">
        <f>IF($CN362="refOK",$BO362,-$BO362)</f>
        <v>75000000</v>
      </c>
      <c r="CR362">
        <f>IF($CN362="refOK",$BS362,$BT362)*IF($BP362="Emissions positive",-1,1)</f>
        <v>0</v>
      </c>
      <c r="CS362">
        <f>IF($CN362="refOK",$BT362,$BS362)*IF($BP362="Emissions positive",-1,1)</f>
        <v>0</v>
      </c>
      <c r="CT362">
        <f>IF($CN362="refNeedCorrection",-BX362,BX362)*IF($BP362="Emissions positive",-1,1)</f>
        <v>21000000</v>
      </c>
      <c r="CU362">
        <f>IFERROR(CT362/CQ362,"")</f>
        <v>0.28000000000000003</v>
      </c>
      <c r="CV362" s="2" t="str">
        <f>IFERROR((CS362-CR362)/ABS(CR362),"")</f>
        <v/>
      </c>
      <c r="CW362" s="174" t="s">
        <v>1205</v>
      </c>
      <c r="CX362" s="266" t="str">
        <f>IF(OR($CW362="prd",$CW362="std",$CW362="cit"),"loc",IF(OR($CW362="eur",$CW362="reg",$CW362="coy"),"reg",$CW362))</f>
        <v>reg</v>
      </c>
      <c r="CY362" s="141" t="s">
        <v>1303</v>
      </c>
      <c r="CZ362" s="141">
        <v>2016</v>
      </c>
      <c r="DA362" s="163">
        <v>2046</v>
      </c>
      <c r="DB362" s="163">
        <v>30</v>
      </c>
      <c r="DC362" t="str">
        <f>IF(DB362=0,"0",IF(AND(DB362&gt;=1,DB362&lt;=30),"1-30",IF(AND(DB362&gt;30,DB362&lt;=70),"31-70",IF(AND(DB362&gt;70,DB362&lt;=100),"71-100",IF(DB362&gt;100,"+100")))))</f>
        <v>1-30</v>
      </c>
      <c r="DD362" s="141">
        <v>1</v>
      </c>
      <c r="DE362" s="141">
        <v>1</v>
      </c>
      <c r="DF362" s="141">
        <v>0</v>
      </c>
      <c r="DG362" s="141">
        <v>1</v>
      </c>
      <c r="DH362"/>
      <c r="DI362">
        <f>SUM(DD362:DG362)</f>
        <v>3</v>
      </c>
      <c r="DJ362" t="str">
        <f>IF(DI362=1,INDEX($DD$7:$DG$7,MATCH(1,$DD362:$DG362,0)),"mixedProduct")</f>
        <v>mixedProduct</v>
      </c>
      <c r="DK362" t="str">
        <f>IF(DD362=1,DK$7,0)</f>
        <v>Upstream</v>
      </c>
      <c r="DL362" t="str">
        <f>IF(DE362=1,DL$7,0)</f>
        <v>Energy</v>
      </c>
      <c r="DM362">
        <f>IF(DF362=1,DM$7,0)</f>
        <v>0</v>
      </c>
      <c r="DN362" t="str">
        <f>IF(DG362=1,DN$7,0)</f>
        <v>Timber</v>
      </c>
      <c r="DO362" s="163">
        <v>0</v>
      </c>
      <c r="DP362" s="141">
        <v>0</v>
      </c>
      <c r="DQ362" s="163">
        <v>0</v>
      </c>
      <c r="DR362" s="163">
        <v>0</v>
      </c>
      <c r="DS362" s="163">
        <v>0</v>
      </c>
      <c r="DT362">
        <f>SUM(DO362:DP362)</f>
        <v>0</v>
      </c>
      <c r="DU362" s="143" t="str">
        <f>IF(DO362=1,"self-calculated DF",IF(DP362=1,"external DF used","explicit C balance"))</f>
        <v>explicit C balance</v>
      </c>
      <c r="DV362" s="163">
        <v>0</v>
      </c>
      <c r="DW362" s="141">
        <v>0</v>
      </c>
      <c r="DX362" s="163">
        <v>0</v>
      </c>
      <c r="DY362" s="163">
        <v>1</v>
      </c>
      <c r="DZ362" s="141">
        <v>0</v>
      </c>
      <c r="EA362" s="141">
        <v>0</v>
      </c>
      <c r="EB362" s="143">
        <v>0</v>
      </c>
      <c r="EC362" s="141">
        <v>0</v>
      </c>
      <c r="ED362" s="143">
        <v>0</v>
      </c>
      <c r="EE362" s="143">
        <v>0</v>
      </c>
      <c r="EF362" s="141">
        <v>1</v>
      </c>
      <c r="EG362" s="163">
        <v>0</v>
      </c>
      <c r="EH362" s="141">
        <v>0</v>
      </c>
      <c r="EI362" s="177">
        <v>0</v>
      </c>
      <c r="EJ362" s="1"/>
      <c r="EK362" t="str">
        <f>IF(AND(AND(AND(OR($DX362=1,$DW362=1),OR($EC362=1,$EA362=1)),SUM($DV362:$DZ362,$EF362)&gt;=4),SUM($EA362:$EE362)&gt;=2),"Whole sector","")</f>
        <v/>
      </c>
      <c r="EL362" t="str">
        <f>IF(AND(AND(OR($DX362=1,$DW362=1),AND($EC362=0,$EA362=0)),SUM($DV362:$DZ362,$EF362)&gt;=4),"Ecosystem approach","")</f>
        <v/>
      </c>
      <c r="EM362" s="2" t="str">
        <f>IF(AND(AND(AND($DX362=0,$DW362=0),OR($EC362=1,$EA362=1)),SUM($EB362:$EE362)&gt;=2),"Technology approach","")</f>
        <v/>
      </c>
      <c r="EN362" s="141"/>
      <c r="EO362"/>
      <c r="EP362" t="str">
        <f>IF(ISNUMBER(BU362),IF(ABS(BU362-[1]QC_indicators!$B$2)&gt;3*[1]QC_indicators!$C$2,"C ratio",IF(ISNUMBER(BY362),IF(ABS(BY362-[1]QC_indicators!$B$1)&gt;3*[1]QC_indicators!$C$1,"DF","no"))),IF(ISNUMBER(BY362),IF(ABS(BY362-[1]QC_indicators!$B$1)&gt;3*[1]QC_indicators!$C$1,"DF","no")))</f>
        <v>no</v>
      </c>
      <c r="EQ362"/>
      <c r="ER362" s="296" t="s">
        <v>1304</v>
      </c>
      <c r="ES362"/>
      <c r="ET362" s="266" t="s">
        <v>3409</v>
      </c>
      <c r="EU362"/>
    </row>
    <row r="363" spans="1:151" s="139" customFormat="1" ht="15" hidden="1" customHeight="1">
      <c r="A363" s="174" t="s">
        <v>1288</v>
      </c>
      <c r="B363" s="141" t="s">
        <v>1289</v>
      </c>
      <c r="C363" s="141" t="s">
        <v>1290</v>
      </c>
      <c r="D363" s="141" t="s">
        <v>1291</v>
      </c>
      <c r="E363" s="141" t="s">
        <v>1292</v>
      </c>
      <c r="F363" s="141" t="s">
        <v>1293</v>
      </c>
      <c r="G363" s="141" t="s">
        <v>1294</v>
      </c>
      <c r="H363" s="141"/>
      <c r="I363" s="141">
        <v>2019</v>
      </c>
      <c r="J363" s="141"/>
      <c r="K363" s="141" t="s">
        <v>1295</v>
      </c>
      <c r="L363" s="141"/>
      <c r="M363" t="str">
        <f>LEFT($D363,FIND(",",$D363)-1)&amp;"_"&amp;I363&amp;L363</f>
        <v>Bosch_2019</v>
      </c>
      <c r="N363" t="s">
        <v>223</v>
      </c>
      <c r="O363" s="175" t="s">
        <v>226</v>
      </c>
      <c r="P363" s="141" t="s">
        <v>224</v>
      </c>
      <c r="Q363" s="266" t="s">
        <v>225</v>
      </c>
      <c r="R363" s="271" t="s">
        <v>1156</v>
      </c>
      <c r="S363" s="174" t="s">
        <v>1309</v>
      </c>
      <c r="T363" s="141" t="s">
        <v>1310</v>
      </c>
      <c r="U363" s="141" t="s">
        <v>1298</v>
      </c>
      <c r="V363" s="141">
        <v>0</v>
      </c>
      <c r="W363" s="141">
        <v>0</v>
      </c>
      <c r="X363" s="141">
        <v>1</v>
      </c>
      <c r="Y363" s="141">
        <v>0</v>
      </c>
      <c r="Z363" s="141">
        <v>0</v>
      </c>
      <c r="AA363" s="141">
        <v>0</v>
      </c>
      <c r="AB363" s="141">
        <v>0</v>
      </c>
      <c r="AC363" s="141">
        <v>0</v>
      </c>
      <c r="AD363" s="141">
        <v>0</v>
      </c>
      <c r="AE363" s="141">
        <v>0</v>
      </c>
      <c r="AF363" s="141">
        <v>0</v>
      </c>
      <c r="AG363" s="141">
        <v>0</v>
      </c>
      <c r="AH363" s="141">
        <v>0</v>
      </c>
      <c r="AI363" s="141">
        <v>0</v>
      </c>
      <c r="AJ363" s="141">
        <v>0</v>
      </c>
      <c r="AK363" s="141">
        <v>0</v>
      </c>
      <c r="AL363" s="141">
        <v>0</v>
      </c>
      <c r="AM363" s="141">
        <v>0</v>
      </c>
      <c r="AN363" s="141">
        <v>0</v>
      </c>
      <c r="AO363" s="141">
        <v>0</v>
      </c>
      <c r="AP363" s="141">
        <v>0</v>
      </c>
      <c r="AQ363" s="141">
        <v>0</v>
      </c>
      <c r="AR363" s="141">
        <v>0</v>
      </c>
      <c r="AS363" s="141">
        <v>0</v>
      </c>
      <c r="AT363" s="141">
        <v>0</v>
      </c>
      <c r="AU363" s="141">
        <v>0</v>
      </c>
      <c r="AV363" s="141">
        <v>0</v>
      </c>
      <c r="AW363" s="141">
        <v>0</v>
      </c>
      <c r="AX363" s="141">
        <f>COUNTIF(V363:AW363,"&lt;&gt;0")</f>
        <v>1</v>
      </c>
      <c r="AY363" s="141">
        <f>COUNTIF(V363:AL363,"&lt;&gt;0")</f>
        <v>1</v>
      </c>
      <c r="AZ363">
        <f>COUNTIF(V363:AC363,"&lt;&gt;0")</f>
        <v>1</v>
      </c>
      <c r="BA363">
        <f>COUNTIF(AD363:AI363,"&lt;&gt;0")</f>
        <v>0</v>
      </c>
      <c r="BB363">
        <f>COUNTIF(AJ363:AL363,"&lt;&gt;0")</f>
        <v>0</v>
      </c>
      <c r="BC363">
        <f>COUNTIF(AS363:AW363,"&lt;&gt;0")</f>
        <v>0</v>
      </c>
      <c r="BD363">
        <f>COUNTIF(AM363:AR363,"&lt;&gt;0")</f>
        <v>0</v>
      </c>
      <c r="BE363" t="str" cm="1">
        <f t="array" ref="BE363">IF(AY363=1,INDEX($V$7:$AL$7,MATCH(TRUE,INDEX($V363:$AW363&lt;&gt;0,),0)),IF(AY363=0,INDEX($AM$7:$AW$7,MATCH(1,$AM363:$AW363,0)),IF(BF363="Multiple strategies","mixed drivers",IF(BF363="Supply chain","multiple supply","multiple silviculture"))))</f>
        <v>rotation length</v>
      </c>
      <c r="BF363" s="2" t="str" cm="1">
        <f t="array" ref="BF363">IF(COUNTIF(AZ363:BB363,"&lt;&gt;0")=1,INDEX($V$4:$AW$4,MATCH(TRUE,INDEX($V363:$AW363&lt;&gt;0,),0)),IF(COUNTIF(AZ363:BB363,"&lt;&gt;0")=0,INDEX($AM$4:$AW$4,MATCH(1,$AM363:$AW363,0)),"Multiple strategies"))</f>
        <v>SilvicultureRemov</v>
      </c>
      <c r="BG363" s="173" t="s">
        <v>322</v>
      </c>
      <c r="BH363" s="141" t="s">
        <v>1299</v>
      </c>
      <c r="BI363" s="141" t="s">
        <v>1300</v>
      </c>
      <c r="BJ363" s="163" t="s">
        <v>1301</v>
      </c>
      <c r="BK363" s="176">
        <v>2167</v>
      </c>
      <c r="BL363" s="163">
        <v>2405</v>
      </c>
      <c r="BM363" s="163">
        <f>BL363/BK363</f>
        <v>1.1098292570373789</v>
      </c>
      <c r="BN363">
        <f>BL363-BK363</f>
        <v>238</v>
      </c>
      <c r="BO363" s="158">
        <f>BN363*10^6</f>
        <v>238000000</v>
      </c>
      <c r="BP363" s="266" t="s">
        <v>396</v>
      </c>
      <c r="BQ363" s="266" t="s">
        <v>703</v>
      </c>
      <c r="BR363" s="151" t="s">
        <v>1302</v>
      </c>
      <c r="BS363" s="163"/>
      <c r="BT363" s="141"/>
      <c r="BU363" s="144"/>
      <c r="BV363" s="176">
        <v>-56</v>
      </c>
      <c r="BW363"/>
      <c r="BX363">
        <f>BV363*10^6</f>
        <v>-56000000</v>
      </c>
      <c r="BY363">
        <f>IFERROR(BX363/BO363,"")</f>
        <v>-0.23529411764705882</v>
      </c>
      <c r="BZ363" s="141">
        <v>0</v>
      </c>
      <c r="CA363" s="141">
        <v>0</v>
      </c>
      <c r="CB363" s="141">
        <v>0</v>
      </c>
      <c r="CC363" s="141">
        <v>0</v>
      </c>
      <c r="CD363" s="141">
        <v>0</v>
      </c>
      <c r="CE363" s="141">
        <v>0</v>
      </c>
      <c r="CF363" s="141">
        <v>0</v>
      </c>
      <c r="CG363" s="141">
        <v>0</v>
      </c>
      <c r="CH363" s="141">
        <v>0</v>
      </c>
      <c r="CI363" s="141">
        <v>0</v>
      </c>
      <c r="CJ363" s="141">
        <v>0</v>
      </c>
      <c r="CK363" s="141">
        <v>0</v>
      </c>
      <c r="CL363" s="141">
        <v>0</v>
      </c>
      <c r="CM363" s="141">
        <v>1</v>
      </c>
      <c r="CN363" t="str">
        <f>IF(BL363&lt;BK363,"refNeedCorrection","refOK")</f>
        <v>refOK</v>
      </c>
      <c r="CO363">
        <f>IF($CN363="refOK",$BK363,$BL363)</f>
        <v>2167</v>
      </c>
      <c r="CP363">
        <f>IF($CN363="refOK",$BL363,$BK363)</f>
        <v>2405</v>
      </c>
      <c r="CQ363">
        <f>IF($CN363="refOK",$BO363,-$BO363)</f>
        <v>238000000</v>
      </c>
      <c r="CR363">
        <f>IF($CN363="refOK",$BS363,$BT363)*IF($BP363="Emissions positive",-1,1)</f>
        <v>0</v>
      </c>
      <c r="CS363">
        <f>IF($CN363="refOK",$BT363,$BS363)*IF($BP363="Emissions positive",-1,1)</f>
        <v>0</v>
      </c>
      <c r="CT363">
        <f>IF($CN363="refNeedCorrection",-BX363,BX363)*IF($BP363="Emissions positive",-1,1)</f>
        <v>56000000</v>
      </c>
      <c r="CU363">
        <f>IFERROR(CT363/CQ363,"")</f>
        <v>0.23529411764705882</v>
      </c>
      <c r="CV363" s="2" t="str">
        <f>IFERROR((CS363-CR363)/ABS(CR363),"")</f>
        <v/>
      </c>
      <c r="CW363" s="174" t="s">
        <v>1205</v>
      </c>
      <c r="CX363" s="266" t="str">
        <f>IF(OR($CW363="prd",$CW363="std",$CW363="cit"),"loc",IF(OR($CW363="eur",$CW363="reg",$CW363="coy"),"reg",$CW363))</f>
        <v>reg</v>
      </c>
      <c r="CY363" s="141" t="s">
        <v>1303</v>
      </c>
      <c r="CZ363" s="141">
        <v>2016</v>
      </c>
      <c r="DA363" s="163">
        <v>2046</v>
      </c>
      <c r="DB363" s="163">
        <v>30</v>
      </c>
      <c r="DC363" t="str">
        <f>IF(DB363=0,"0",IF(AND(DB363&gt;=1,DB363&lt;=30),"1-30",IF(AND(DB363&gt;30,DB363&lt;=70),"31-70",IF(AND(DB363&gt;70,DB363&lt;=100),"71-100",IF(DB363&gt;100,"+100")))))</f>
        <v>1-30</v>
      </c>
      <c r="DD363" s="141">
        <v>1</v>
      </c>
      <c r="DE363" s="141">
        <v>1</v>
      </c>
      <c r="DF363" s="141">
        <v>0</v>
      </c>
      <c r="DG363" s="141">
        <v>1</v>
      </c>
      <c r="DH363"/>
      <c r="DI363">
        <f>SUM(DD363:DG363)</f>
        <v>3</v>
      </c>
      <c r="DJ363" t="str">
        <f>IF(DI363=1,INDEX($DD$7:$DG$7,MATCH(1,$DD363:$DG363,0)),"mixedProduct")</f>
        <v>mixedProduct</v>
      </c>
      <c r="DK363" t="str">
        <f>IF(DD363=1,DK$7,0)</f>
        <v>Upstream</v>
      </c>
      <c r="DL363" t="str">
        <f>IF(DE363=1,DL$7,0)</f>
        <v>Energy</v>
      </c>
      <c r="DM363">
        <f>IF(DF363=1,DM$7,0)</f>
        <v>0</v>
      </c>
      <c r="DN363" t="str">
        <f>IF(DG363=1,DN$7,0)</f>
        <v>Timber</v>
      </c>
      <c r="DO363" s="163">
        <v>0</v>
      </c>
      <c r="DP363" s="141">
        <v>0</v>
      </c>
      <c r="DQ363" s="163">
        <v>0</v>
      </c>
      <c r="DR363" s="163">
        <v>0</v>
      </c>
      <c r="DS363" s="163">
        <v>0</v>
      </c>
      <c r="DT363">
        <f>SUM(DO363:DP363)</f>
        <v>0</v>
      </c>
      <c r="DU363" s="143" t="str">
        <f>IF(DO363=1,"self-calculated DF",IF(DP363=1,"external DF used","explicit C balance"))</f>
        <v>explicit C balance</v>
      </c>
      <c r="DV363" s="163">
        <v>0</v>
      </c>
      <c r="DW363" s="141">
        <v>0</v>
      </c>
      <c r="DX363" s="163">
        <v>0</v>
      </c>
      <c r="DY363" s="163">
        <v>1</v>
      </c>
      <c r="DZ363" s="141">
        <v>0</v>
      </c>
      <c r="EA363" s="141">
        <v>0</v>
      </c>
      <c r="EB363" s="143">
        <v>0</v>
      </c>
      <c r="EC363" s="141">
        <v>0</v>
      </c>
      <c r="ED363" s="143">
        <v>0</v>
      </c>
      <c r="EE363" s="143">
        <v>0</v>
      </c>
      <c r="EF363" s="141">
        <v>1</v>
      </c>
      <c r="EG363" s="163">
        <v>0</v>
      </c>
      <c r="EH363" s="141">
        <v>0</v>
      </c>
      <c r="EI363" s="177">
        <v>0</v>
      </c>
      <c r="EJ363" s="1"/>
      <c r="EK363" t="str">
        <f>IF(AND(AND(AND(OR($DX363=1,$DW363=1),OR($EC363=1,$EA363=1)),SUM($DV363:$DZ363,$EF363)&gt;=4),SUM($EA363:$EE363)&gt;=2),"Whole sector","")</f>
        <v/>
      </c>
      <c r="EL363" t="str">
        <f>IF(AND(AND(OR($DX363=1,$DW363=1),AND($EC363=0,$EA363=0)),SUM($DV363:$DZ363,$EF363)&gt;=4),"Ecosystem approach","")</f>
        <v/>
      </c>
      <c r="EM363" s="2" t="str">
        <f>IF(AND(AND(AND($DX363=0,$DW363=0),OR($EC363=1,$EA363=1)),SUM($EB363:$EE363)&gt;=2),"Technology approach","")</f>
        <v/>
      </c>
      <c r="EN363" s="141"/>
      <c r="EO363"/>
      <c r="EP363" t="str">
        <f>IF(ISNUMBER(BU363),IF(ABS(BU363-[1]QC_indicators!$B$2)&gt;3*[1]QC_indicators!$C$2,"C ratio",IF(ISNUMBER(BY363),IF(ABS(BY363-[1]QC_indicators!$B$1)&gt;3*[1]QC_indicators!$C$1,"DF","no"))),IF(ISNUMBER(BY363),IF(ABS(BY363-[1]QC_indicators!$B$1)&gt;3*[1]QC_indicators!$C$1,"DF","no")))</f>
        <v>no</v>
      </c>
      <c r="EQ363"/>
      <c r="ER363" s="296" t="s">
        <v>1304</v>
      </c>
      <c r="ES363"/>
      <c r="ET363" s="266" t="s">
        <v>3409</v>
      </c>
      <c r="EU363"/>
    </row>
    <row r="364" spans="1:151" s="139" customFormat="1" ht="15" hidden="1" customHeight="1">
      <c r="A364" s="174" t="s">
        <v>1288</v>
      </c>
      <c r="B364" s="141" t="s">
        <v>1289</v>
      </c>
      <c r="C364" s="141" t="s">
        <v>1290</v>
      </c>
      <c r="D364" s="141" t="s">
        <v>1291</v>
      </c>
      <c r="E364" s="141" t="s">
        <v>1292</v>
      </c>
      <c r="F364" s="141" t="s">
        <v>1293</v>
      </c>
      <c r="G364" s="141" t="s">
        <v>1294</v>
      </c>
      <c r="H364" s="141"/>
      <c r="I364" s="141">
        <v>2019</v>
      </c>
      <c r="J364" s="141"/>
      <c r="K364" s="141" t="s">
        <v>1295</v>
      </c>
      <c r="L364" s="141"/>
      <c r="M364" t="str">
        <f>LEFT($D364,FIND(",",$D364)-1)&amp;"_"&amp;I364&amp;L364</f>
        <v>Bosch_2019</v>
      </c>
      <c r="N364" t="s">
        <v>223</v>
      </c>
      <c r="O364" s="175" t="s">
        <v>226</v>
      </c>
      <c r="P364" s="141" t="s">
        <v>224</v>
      </c>
      <c r="Q364" s="266" t="s">
        <v>225</v>
      </c>
      <c r="R364" s="271" t="s">
        <v>1156</v>
      </c>
      <c r="S364" s="174" t="s">
        <v>1311</v>
      </c>
      <c r="T364" s="141" t="s">
        <v>1298</v>
      </c>
      <c r="U364" s="141" t="s">
        <v>1312</v>
      </c>
      <c r="V364" s="141">
        <v>0</v>
      </c>
      <c r="W364" s="141">
        <v>0</v>
      </c>
      <c r="X364" s="141">
        <v>1</v>
      </c>
      <c r="Y364" s="141">
        <v>0</v>
      </c>
      <c r="Z364" s="141">
        <v>0</v>
      </c>
      <c r="AA364" s="141">
        <v>0</v>
      </c>
      <c r="AB364" s="141">
        <v>0</v>
      </c>
      <c r="AC364" s="141">
        <v>0</v>
      </c>
      <c r="AD364" s="141">
        <v>0</v>
      </c>
      <c r="AE364" s="141">
        <v>0</v>
      </c>
      <c r="AF364" s="141">
        <v>0</v>
      </c>
      <c r="AG364" s="141">
        <v>0</v>
      </c>
      <c r="AH364" s="141">
        <v>0</v>
      </c>
      <c r="AI364" s="141">
        <v>0</v>
      </c>
      <c r="AJ364" s="141">
        <v>0</v>
      </c>
      <c r="AK364" s="141">
        <v>0</v>
      </c>
      <c r="AL364" s="141">
        <v>0</v>
      </c>
      <c r="AM364" s="141">
        <v>0</v>
      </c>
      <c r="AN364" s="141">
        <v>0</v>
      </c>
      <c r="AO364" s="141">
        <v>0</v>
      </c>
      <c r="AP364" s="141">
        <v>0</v>
      </c>
      <c r="AQ364" s="141">
        <v>0</v>
      </c>
      <c r="AR364" s="141">
        <v>0</v>
      </c>
      <c r="AS364" s="141">
        <v>0</v>
      </c>
      <c r="AT364" s="141">
        <v>0</v>
      </c>
      <c r="AU364" s="141">
        <v>0</v>
      </c>
      <c r="AV364" s="141">
        <v>0</v>
      </c>
      <c r="AW364" s="141">
        <v>0</v>
      </c>
      <c r="AX364" s="141">
        <f>COUNTIF(V364:AW364,"&lt;&gt;0")</f>
        <v>1</v>
      </c>
      <c r="AY364" s="141">
        <f>COUNTIF(V364:AL364,"&lt;&gt;0")</f>
        <v>1</v>
      </c>
      <c r="AZ364">
        <f>COUNTIF(V364:AC364,"&lt;&gt;0")</f>
        <v>1</v>
      </c>
      <c r="BA364">
        <f>COUNTIF(AD364:AI364,"&lt;&gt;0")</f>
        <v>0</v>
      </c>
      <c r="BB364">
        <f>COUNTIF(AJ364:AL364,"&lt;&gt;0")</f>
        <v>0</v>
      </c>
      <c r="BC364">
        <f>COUNTIF(AS364:AW364,"&lt;&gt;0")</f>
        <v>0</v>
      </c>
      <c r="BD364">
        <f>COUNTIF(AM364:AR364,"&lt;&gt;0")</f>
        <v>0</v>
      </c>
      <c r="BE364" t="str" cm="1">
        <f t="array" ref="BE364">IF(AY364=1,INDEX($V$7:$AL$7,MATCH(TRUE,INDEX($V364:$AW364&lt;&gt;0,),0)),IF(AY364=0,INDEX($AM$7:$AW$7,MATCH(1,$AM364:$AW364,0)),IF(BF364="Multiple strategies","mixed drivers",IF(BF364="Supply chain","multiple supply","multiple silviculture"))))</f>
        <v>rotation length</v>
      </c>
      <c r="BF364" s="2" t="str" cm="1">
        <f t="array" ref="BF364">IF(COUNTIF(AZ364:BB364,"&lt;&gt;0")=1,INDEX($V$4:$AW$4,MATCH(TRUE,INDEX($V364:$AW364&lt;&gt;0,),0)),IF(COUNTIF(AZ364:BB364,"&lt;&gt;0")=0,INDEX($AM$4:$AW$4,MATCH(1,$AM364:$AW364,0)),"Multiple strategies"))</f>
        <v>SilvicultureRemov</v>
      </c>
      <c r="BG364" s="173" t="s">
        <v>322</v>
      </c>
      <c r="BH364" s="141" t="s">
        <v>1299</v>
      </c>
      <c r="BI364" s="141" t="s">
        <v>1300</v>
      </c>
      <c r="BJ364" s="163" t="s">
        <v>1301</v>
      </c>
      <c r="BK364" s="163">
        <v>2405</v>
      </c>
      <c r="BL364" s="176">
        <v>2642</v>
      </c>
      <c r="BM364" s="266">
        <f>BL364/BK364</f>
        <v>1.0985446985446985</v>
      </c>
      <c r="BN364">
        <f>BL364-BK364</f>
        <v>237</v>
      </c>
      <c r="BO364" s="158">
        <f>BN364*10^6</f>
        <v>237000000</v>
      </c>
      <c r="BP364" s="266" t="s">
        <v>396</v>
      </c>
      <c r="BQ364" s="266" t="s">
        <v>427</v>
      </c>
      <c r="BR364" s="151" t="s">
        <v>1302</v>
      </c>
      <c r="BS364" s="141"/>
      <c r="BT364" s="163"/>
      <c r="BU364" s="144" t="str">
        <f>IFERROR(BT364/BS364,"")</f>
        <v/>
      </c>
      <c r="BV364" s="176">
        <v>-45</v>
      </c>
      <c r="BW364"/>
      <c r="BX364">
        <f>BV364*10^6</f>
        <v>-45000000</v>
      </c>
      <c r="BY364">
        <f>IFERROR(BX364/BO364,"")</f>
        <v>-0.189873417721519</v>
      </c>
      <c r="BZ364" s="141">
        <v>0</v>
      </c>
      <c r="CA364" s="141">
        <v>0</v>
      </c>
      <c r="CB364" s="141">
        <v>0</v>
      </c>
      <c r="CC364" s="141">
        <v>0</v>
      </c>
      <c r="CD364" s="141">
        <v>0</v>
      </c>
      <c r="CE364" s="141">
        <v>0</v>
      </c>
      <c r="CF364" s="141">
        <v>0</v>
      </c>
      <c r="CG364" s="141">
        <v>0</v>
      </c>
      <c r="CH364" s="141">
        <v>0</v>
      </c>
      <c r="CI364" s="141">
        <v>0</v>
      </c>
      <c r="CJ364" s="141">
        <v>0</v>
      </c>
      <c r="CK364" s="141">
        <v>0</v>
      </c>
      <c r="CL364" s="141">
        <v>0</v>
      </c>
      <c r="CM364" s="141">
        <v>1</v>
      </c>
      <c r="CN364" t="str">
        <f>IF(BL364&lt;BK364,"refNeedCorrection","refOK")</f>
        <v>refOK</v>
      </c>
      <c r="CO364">
        <f>IF($CN364="refOK",$BK364,$BL364)</f>
        <v>2405</v>
      </c>
      <c r="CP364">
        <f>IF($CN364="refOK",$BL364,$BK364)</f>
        <v>2642</v>
      </c>
      <c r="CQ364">
        <f>IF($CN364="refOK",$BO364,-$BO364)</f>
        <v>237000000</v>
      </c>
      <c r="CR364">
        <f>IF($CN364="refOK",$BS364,$BT364)*IF($BP364="Emissions positive",-1,1)</f>
        <v>0</v>
      </c>
      <c r="CS364">
        <f>IF($CN364="refOK",$BT364,$BS364)*IF($BP364="Emissions positive",-1,1)</f>
        <v>0</v>
      </c>
      <c r="CT364">
        <f>IF($CN364="refNeedCorrection",-BX364,BX364)*IF($BP364="Emissions positive",-1,1)</f>
        <v>45000000</v>
      </c>
      <c r="CU364">
        <f>IFERROR(CT364/CQ364,"")</f>
        <v>0.189873417721519</v>
      </c>
      <c r="CV364" s="2" t="str">
        <f>IFERROR((CS364-CR364)/ABS(CR364),"")</f>
        <v/>
      </c>
      <c r="CW364" s="174" t="s">
        <v>1205</v>
      </c>
      <c r="CX364" s="266" t="str">
        <f>IF(OR($CW364="prd",$CW364="std",$CW364="cit"),"loc",IF(OR($CW364="eur",$CW364="reg",$CW364="coy"),"reg",$CW364))</f>
        <v>reg</v>
      </c>
      <c r="CY364" s="141" t="s">
        <v>1303</v>
      </c>
      <c r="CZ364" s="141">
        <v>2016</v>
      </c>
      <c r="DA364" s="163">
        <v>2046</v>
      </c>
      <c r="DB364" s="163">
        <v>30</v>
      </c>
      <c r="DC364" t="str">
        <f>IF(DB364=0,"0",IF(AND(DB364&gt;=1,DB364&lt;=30),"1-30",IF(AND(DB364&gt;30,DB364&lt;=70),"31-70",IF(AND(DB364&gt;70,DB364&lt;=100),"71-100",IF(DB364&gt;100,"+100")))))</f>
        <v>1-30</v>
      </c>
      <c r="DD364" s="141">
        <v>1</v>
      </c>
      <c r="DE364" s="141">
        <v>1</v>
      </c>
      <c r="DF364" s="141">
        <v>0</v>
      </c>
      <c r="DG364" s="141">
        <v>1</v>
      </c>
      <c r="DH364"/>
      <c r="DI364">
        <f>SUM(DD364:DG364)</f>
        <v>3</v>
      </c>
      <c r="DJ364" t="str">
        <f>IF(DI364=1,INDEX($DD$7:$DG$7,MATCH(1,$DD364:$DG364,0)),"mixedProduct")</f>
        <v>mixedProduct</v>
      </c>
      <c r="DK364" t="str">
        <f>IF(DD364=1,DK$7,0)</f>
        <v>Upstream</v>
      </c>
      <c r="DL364" t="str">
        <f>IF(DE364=1,DL$7,0)</f>
        <v>Energy</v>
      </c>
      <c r="DM364">
        <f>IF(DF364=1,DM$7,0)</f>
        <v>0</v>
      </c>
      <c r="DN364" t="str">
        <f>IF(DG364=1,DN$7,0)</f>
        <v>Timber</v>
      </c>
      <c r="DO364" s="163">
        <v>0</v>
      </c>
      <c r="DP364" s="141">
        <v>0</v>
      </c>
      <c r="DQ364" s="163">
        <v>0</v>
      </c>
      <c r="DR364" s="163">
        <v>0</v>
      </c>
      <c r="DS364" s="163">
        <v>0</v>
      </c>
      <c r="DT364">
        <f>SUM(DO364:DP364)</f>
        <v>0</v>
      </c>
      <c r="DU364" s="143" t="str">
        <f>IF(DO364=1,"self-calculated DF",IF(DP364=1,"external DF used","explicit C balance"))</f>
        <v>explicit C balance</v>
      </c>
      <c r="DV364" s="163">
        <v>0</v>
      </c>
      <c r="DW364" s="141">
        <v>0</v>
      </c>
      <c r="DX364" s="163">
        <v>0</v>
      </c>
      <c r="DY364" s="163">
        <v>1</v>
      </c>
      <c r="DZ364" s="141">
        <v>0</v>
      </c>
      <c r="EA364" s="141">
        <v>0</v>
      </c>
      <c r="EB364" s="143">
        <v>0</v>
      </c>
      <c r="EC364" s="141">
        <v>0</v>
      </c>
      <c r="ED364" s="143">
        <v>0</v>
      </c>
      <c r="EE364" s="143">
        <v>0</v>
      </c>
      <c r="EF364" s="141">
        <v>1</v>
      </c>
      <c r="EG364" s="163">
        <v>0</v>
      </c>
      <c r="EH364" s="141">
        <v>0</v>
      </c>
      <c r="EI364" s="177">
        <v>0</v>
      </c>
      <c r="EJ364" s="1"/>
      <c r="EK364" t="str">
        <f>IF(AND(AND(AND(OR($DX364=1,$DW364=1),OR($EC364=1,$EA364=1)),SUM($DV364:$DZ364,$EF364)&gt;=4),SUM($EA364:$EE364)&gt;=2),"Whole sector","")</f>
        <v/>
      </c>
      <c r="EL364" t="str">
        <f>IF(AND(AND(OR($DX364=1,$DW364=1),AND($EC364=0,$EA364=0)),SUM($DV364:$DZ364,$EF364)&gt;=4),"Ecosystem approach","")</f>
        <v/>
      </c>
      <c r="EM364" s="2" t="str">
        <f>IF(AND(AND(AND($DX364=0,$DW364=0),OR($EC364=1,$EA364=1)),SUM($EB364:$EE364)&gt;=2),"Technology approach","")</f>
        <v/>
      </c>
      <c r="EN364" s="141"/>
      <c r="EO364"/>
      <c r="EP364" t="str">
        <f>IF(ISNUMBER(BU364),IF(ABS(BU364-[1]QC_indicators!$B$2)&gt;3*[1]QC_indicators!$C$2,"C ratio",IF(ISNUMBER(BY364),IF(ABS(BY364-[1]QC_indicators!$B$1)&gt;3*[1]QC_indicators!$C$1,"DF","no"))),IF(ISNUMBER(BY364),IF(ABS(BY364-[1]QC_indicators!$B$1)&gt;3*[1]QC_indicators!$C$1,"DF","no")))</f>
        <v>no</v>
      </c>
      <c r="EQ364"/>
      <c r="ER364" s="296" t="s">
        <v>1304</v>
      </c>
      <c r="ES364"/>
      <c r="ET364" s="266" t="s">
        <v>3409</v>
      </c>
      <c r="EU364"/>
    </row>
    <row r="365" spans="1:151" s="139" customFormat="1" ht="15" customHeight="1">
      <c r="A365" s="186" t="s">
        <v>1425</v>
      </c>
      <c r="B365" s="185" t="s">
        <v>2118</v>
      </c>
      <c r="C365" s="185" t="s">
        <v>2119</v>
      </c>
      <c r="D365" s="185" t="s">
        <v>2120</v>
      </c>
      <c r="E365" s="185" t="s">
        <v>2121</v>
      </c>
      <c r="F365" s="185" t="s">
        <v>2122</v>
      </c>
      <c r="G365" s="185" t="s">
        <v>1431</v>
      </c>
      <c r="H365" s="185" t="s">
        <v>255</v>
      </c>
      <c r="I365" s="185">
        <v>2014</v>
      </c>
      <c r="J365" s="185">
        <v>45</v>
      </c>
      <c r="K365" s="185" t="s">
        <v>2123</v>
      </c>
      <c r="L365" s="185"/>
      <c r="M365" t="str">
        <f>LEFT($D365,FIND(",",$D365)-1)&amp;"_"&amp;I365&amp;L365</f>
        <v>Pukkala_2014</v>
      </c>
      <c r="N365" t="s">
        <v>223</v>
      </c>
      <c r="O365" s="187" t="s">
        <v>226</v>
      </c>
      <c r="P365" s="185" t="s">
        <v>1156</v>
      </c>
      <c r="Q365" s="185"/>
      <c r="R365" s="264" t="s">
        <v>224</v>
      </c>
      <c r="S365" s="186" t="s">
        <v>2132</v>
      </c>
      <c r="T365" s="185" t="s">
        <v>2125</v>
      </c>
      <c r="U365" s="185" t="s">
        <v>2136</v>
      </c>
      <c r="V365" s="185">
        <v>0</v>
      </c>
      <c r="W365" s="185">
        <v>0</v>
      </c>
      <c r="X365" s="185">
        <v>0</v>
      </c>
      <c r="Y365" s="185">
        <v>1</v>
      </c>
      <c r="Z365" s="185">
        <v>0</v>
      </c>
      <c r="AA365" s="185">
        <v>0</v>
      </c>
      <c r="AB365" s="185">
        <v>0</v>
      </c>
      <c r="AC365" s="185">
        <v>0</v>
      </c>
      <c r="AD365" s="185">
        <v>0</v>
      </c>
      <c r="AE365" s="185">
        <v>0</v>
      </c>
      <c r="AF365" s="185">
        <v>0</v>
      </c>
      <c r="AG365" s="185">
        <v>0</v>
      </c>
      <c r="AH365" s="185">
        <v>0</v>
      </c>
      <c r="AI365" s="185">
        <v>0</v>
      </c>
      <c r="AJ365" s="185">
        <v>0</v>
      </c>
      <c r="AK365" s="185">
        <v>0</v>
      </c>
      <c r="AL365" s="185">
        <v>0</v>
      </c>
      <c r="AM365" s="185">
        <v>0</v>
      </c>
      <c r="AN365" s="185">
        <v>0</v>
      </c>
      <c r="AO365" s="185">
        <v>0</v>
      </c>
      <c r="AP365" s="185">
        <v>0</v>
      </c>
      <c r="AQ365" s="185">
        <v>0</v>
      </c>
      <c r="AR365" s="185">
        <v>0</v>
      </c>
      <c r="AS365" s="185">
        <v>0</v>
      </c>
      <c r="AT365" s="185">
        <v>0</v>
      </c>
      <c r="AU365" s="185">
        <v>0</v>
      </c>
      <c r="AV365" s="185">
        <v>0</v>
      </c>
      <c r="AW365" s="185">
        <v>0</v>
      </c>
      <c r="AX365" s="141">
        <f>COUNTIF(V365:AW365,"&lt;&gt;0")</f>
        <v>1</v>
      </c>
      <c r="AY365" s="141">
        <f>COUNTIF(V365:AL365,"&lt;&gt;0")</f>
        <v>1</v>
      </c>
      <c r="AZ365">
        <f>COUNTIF(V365:AC365,"&lt;&gt;0")</f>
        <v>1</v>
      </c>
      <c r="BA365">
        <f>COUNTIF(AD365:AI365,"&lt;&gt;0")</f>
        <v>0</v>
      </c>
      <c r="BB365">
        <f>COUNTIF(AJ365:AL365,"&lt;&gt;0")</f>
        <v>0</v>
      </c>
      <c r="BC365">
        <f>COUNTIF(AS365:AW365,"&lt;&gt;0")</f>
        <v>0</v>
      </c>
      <c r="BD365">
        <f>COUNTIF(AM365:AR365,"&lt;&gt;0")</f>
        <v>0</v>
      </c>
      <c r="BE365" t="str">
        <f t="array" ref="BE365">IF(AY365=1,INDEX($V$7:$AL$7,MATCH(TRUE,INDEX($V365:$AW365&lt;&gt;0,),0)),IF(AY365=0,INDEX($AM$7:$AW$7,MATCH(1,$AM365:$AW365,0)),IF(BF365="Multiple strategies","mixed drivers",IF(BF365="Supply chain","multiple supply","multiple silviculture"))))</f>
        <v xml:space="preserve">cutting intensity </v>
      </c>
      <c r="BF365" s="2" t="str" cm="1">
        <f t="array" ref="BF365">IF(COUNTIF(AZ365:BB365,"&lt;&gt;0")=1,INDEX($V$4:$AW$4,MATCH(TRUE,INDEX($V365:$AW365&lt;&gt;0,),0)),IF(COUNTIF(AZ365:BB365,"&lt;&gt;0")=0,INDEX($AM$4:$AW$4,MATCH(1,$AM365:$AW365,0)),"Multiple strategies"))</f>
        <v>SilvicultureRemov</v>
      </c>
      <c r="BG365" s="186" t="s">
        <v>230</v>
      </c>
      <c r="BH365" s="185" t="s">
        <v>2127</v>
      </c>
      <c r="BI365" s="185" t="s">
        <v>2128</v>
      </c>
      <c r="BJ365" s="185" t="s">
        <v>2129</v>
      </c>
      <c r="BK365" s="185">
        <v>1.004</v>
      </c>
      <c r="BL365" s="185">
        <v>1.0269999999999999</v>
      </c>
      <c r="BM365" s="185">
        <f>IFERROR(BL365/BK365,"")</f>
        <v>1.0229083665338645</v>
      </c>
      <c r="BN365" s="185">
        <f>BL365-BK365</f>
        <v>2.2999999999999909E-2</v>
      </c>
      <c r="BO365" s="185">
        <f>+BN365*tC_to_m3</f>
        <v>9.9869735128093398E-2</v>
      </c>
      <c r="BP365" s="185" t="s">
        <v>233</v>
      </c>
      <c r="BQ365" s="185" t="s">
        <v>2130</v>
      </c>
      <c r="BR365" s="185" t="s">
        <v>2129</v>
      </c>
      <c r="BS365" s="185">
        <v>0.19400000000000001</v>
      </c>
      <c r="BT365" s="185">
        <v>0.224</v>
      </c>
      <c r="BU365" s="189">
        <f>BT365/BS365</f>
        <v>1.1546391752577319</v>
      </c>
      <c r="BV365" s="185">
        <f>BT365-BS365</f>
        <v>0.03</v>
      </c>
      <c r="BW365" s="185"/>
      <c r="BX365" s="185">
        <f>BV365*C_to_CO2</f>
        <v>0.11009999999999999</v>
      </c>
      <c r="BY365">
        <f>IFERROR(BX365/BO365,"")</f>
        <v>1.102436086956526</v>
      </c>
      <c r="BZ365" s="185">
        <v>0</v>
      </c>
      <c r="CA365" s="185">
        <v>0</v>
      </c>
      <c r="CB365" s="185">
        <v>0</v>
      </c>
      <c r="CC365" s="185">
        <v>0</v>
      </c>
      <c r="CD365" s="185">
        <v>0</v>
      </c>
      <c r="CE365" s="185">
        <v>0</v>
      </c>
      <c r="CF365" s="185">
        <v>0</v>
      </c>
      <c r="CG365" s="185">
        <v>0</v>
      </c>
      <c r="CH365" s="185">
        <v>0</v>
      </c>
      <c r="CI365" s="185">
        <v>0</v>
      </c>
      <c r="CJ365" s="185">
        <v>0</v>
      </c>
      <c r="CK365" s="185">
        <v>0</v>
      </c>
      <c r="CL365" s="185">
        <v>0</v>
      </c>
      <c r="CM365" s="185">
        <v>1</v>
      </c>
      <c r="CN365" s="185" t="str">
        <f>IF($BL365&lt;$BK365,"refNeedCorrection","refOK")</f>
        <v>refOK</v>
      </c>
      <c r="CO365" s="185">
        <f>IF($CN365="refOK",$BK365,$BL365)</f>
        <v>1.004</v>
      </c>
      <c r="CP365" s="185">
        <f>IF($CN365="refOK",$BL365,$BK365)</f>
        <v>1.0269999999999999</v>
      </c>
      <c r="CQ365" s="185">
        <f>IF($CN365="refOK",$BO365,-$BO365)</f>
        <v>9.9869735128093398E-2</v>
      </c>
      <c r="CR365" s="185">
        <f>IF($CN365="refOK",$BS365,$BT365)*IF($BP365="Emissions positive",-1,1)</f>
        <v>0.19400000000000001</v>
      </c>
      <c r="CS365" s="185">
        <f>IF($CN365="refOK",$BT365,$BS365)*IF($BP365="Emissions positive",-1,1)</f>
        <v>0.224</v>
      </c>
      <c r="CT365" s="185">
        <f>IF($CN365="refNeedCorrection",-BX365,BX365)*IF($BP365="Emissions positive",-1,1)</f>
        <v>0.11009999999999999</v>
      </c>
      <c r="CU365">
        <f>IFERROR(CT365/CQ365,"")</f>
        <v>1.102436086956526</v>
      </c>
      <c r="CV365" s="188">
        <f>IFERROR((CS365-CR365)/ABS(CR365),"")</f>
        <v>0.15463917525773194</v>
      </c>
      <c r="CW365" s="186" t="s">
        <v>2038</v>
      </c>
      <c r="CX365" t="str">
        <f>IF(OR($CW365="prd",$CW365="std",$CW365="cit"),"loc",IF(OR($CW365="eur",$CW365="reg",$CW365="coy"),"reg",$CW365))</f>
        <v>reg</v>
      </c>
      <c r="CY365" s="185" t="s">
        <v>236</v>
      </c>
      <c r="CZ365" s="185"/>
      <c r="DA365" s="185"/>
      <c r="DB365" s="185">
        <v>30</v>
      </c>
      <c r="DC365" t="str">
        <f>IF(DB365=0,"0",IF(AND(DB365&gt;=1,DB365&lt;=30),"1-30",IF(AND(DB365&gt;30,DB365&lt;=70),"31-70",IF(AND(DB365&gt;70,DB365&lt;=100),"71-100",IF(DB365&gt;100,"+100")))))</f>
        <v>1-30</v>
      </c>
      <c r="DD365" s="185">
        <v>1</v>
      </c>
      <c r="DE365" s="185">
        <v>0</v>
      </c>
      <c r="DF365" s="185">
        <v>0</v>
      </c>
      <c r="DG365" s="185">
        <v>0</v>
      </c>
      <c r="DH365" s="185">
        <v>0</v>
      </c>
      <c r="DI365">
        <f>SUM(DD365:DG365)</f>
        <v>1</v>
      </c>
      <c r="DJ365" t="str">
        <f>IF(DI365=1,INDEX($DD$7:$DG$7,MATCH(1,$DD365:$DG365,0)),"mixedProduct")</f>
        <v>UpstreamInput</v>
      </c>
      <c r="DK365" t="str">
        <f>IF(DD365=1,DK$7,0)</f>
        <v>Upstream</v>
      </c>
      <c r="DL365">
        <f>IF(DE365=1,DL$7,0)</f>
        <v>0</v>
      </c>
      <c r="DM365">
        <f>IF(DF365=1,DM$7,0)</f>
        <v>0</v>
      </c>
      <c r="DN365">
        <f>IF(DG365=1,DN$7,0)</f>
        <v>0</v>
      </c>
      <c r="DO365" s="185">
        <v>0</v>
      </c>
      <c r="DP365" s="185">
        <v>0</v>
      </c>
      <c r="DQ365" s="190"/>
      <c r="DR365" s="190"/>
      <c r="DS365" s="190">
        <v>0</v>
      </c>
      <c r="DT365" s="185"/>
      <c r="DU365" s="191" t="str">
        <f>IF(DO365=1,"self-calculated DF",IF(DP365=1,"external DF used","explicit C balance"))</f>
        <v>explicit C balance</v>
      </c>
      <c r="DV365" s="185">
        <v>1</v>
      </c>
      <c r="DW365" s="185">
        <v>1</v>
      </c>
      <c r="DX365" s="185">
        <v>1</v>
      </c>
      <c r="DY365" s="185">
        <v>1</v>
      </c>
      <c r="DZ365" s="185">
        <v>1</v>
      </c>
      <c r="EA365" s="185">
        <v>0</v>
      </c>
      <c r="EB365" s="185">
        <v>0</v>
      </c>
      <c r="EC365" s="185">
        <v>0</v>
      </c>
      <c r="ED365" s="185">
        <v>0</v>
      </c>
      <c r="EE365" s="185">
        <v>0</v>
      </c>
      <c r="EF365" s="185">
        <v>1</v>
      </c>
      <c r="EG365" s="185">
        <v>0</v>
      </c>
      <c r="EH365" s="185">
        <v>0</v>
      </c>
      <c r="EI365" s="188">
        <v>0</v>
      </c>
      <c r="EJ365" s="1"/>
      <c r="EK365" t="str">
        <f>IF(AND(AND(AND(OR($DX365=1,$DW365=1),OR($EC365=1,$EA365=1)),SUM($DV365:$DZ365,$EF365)&gt;=4),SUM($EA365:$EE365)&gt;=2),"Whole sector","")</f>
        <v/>
      </c>
      <c r="EL365" t="str">
        <f>IF(AND(AND(OR($DX365=1,$DW365=1),AND($EC365=0,$EA365=0)),SUM($DV365:$DZ365,$EF365)&gt;=4),"Ecosystem approach","")</f>
        <v>Ecosystem approach</v>
      </c>
      <c r="EM365" s="2" t="str">
        <f>IF(AND(AND(AND($DX365=0,$DW365=0),OR($EC365=1,$EA365=1)),SUM($EB365:$EE365)&gt;=2),"Technology approach","")</f>
        <v/>
      </c>
      <c r="EN365" s="185"/>
      <c r="EO365" s="185"/>
      <c r="EP365" t="str">
        <f>IF(ISNUMBER(BU365),IF(ABS(BU365-[2]QC_indicators!$B$2)&gt;3*[2]QC_indicators!$C$2,"C ratio",IF(ISNUMBER(BY365),IF(ABS(BY365-[2]QC_indicators!$B$1)&gt;3*[2]QC_indicators!$C$1,"DF","no"))),IF(ISNUMBER(BY365),IF(ABS(BY365-[2]QC_indicators!$B$1)&gt;3*[2]QC_indicators!$C$1,"DF","no")))</f>
        <v>no</v>
      </c>
      <c r="EQ365" s="185"/>
      <c r="ER365" s="185"/>
      <c r="ES365" s="185"/>
      <c r="ET365" s="266" t="s">
        <v>3225</v>
      </c>
      <c r="EU365"/>
    </row>
    <row r="366" spans="1:151" s="139" customFormat="1" ht="15" customHeight="1">
      <c r="A366" s="186" t="s">
        <v>1425</v>
      </c>
      <c r="B366" s="185" t="s">
        <v>2118</v>
      </c>
      <c r="C366" s="185" t="s">
        <v>2119</v>
      </c>
      <c r="D366" s="185" t="s">
        <v>2120</v>
      </c>
      <c r="E366" s="185" t="s">
        <v>2121</v>
      </c>
      <c r="F366" s="185" t="s">
        <v>2122</v>
      </c>
      <c r="G366" s="185" t="s">
        <v>1431</v>
      </c>
      <c r="H366" s="185" t="s">
        <v>255</v>
      </c>
      <c r="I366" s="185">
        <v>2014</v>
      </c>
      <c r="J366" s="185">
        <v>45</v>
      </c>
      <c r="K366" s="185" t="s">
        <v>2123</v>
      </c>
      <c r="L366" s="185"/>
      <c r="M366" t="str">
        <f>LEFT($D366,FIND(",",$D366)-1)&amp;"_"&amp;I366&amp;L366</f>
        <v>Pukkala_2014</v>
      </c>
      <c r="N366" t="s">
        <v>223</v>
      </c>
      <c r="O366" s="187" t="s">
        <v>226</v>
      </c>
      <c r="P366" s="185" t="s">
        <v>1156</v>
      </c>
      <c r="Q366" s="185"/>
      <c r="R366" s="264" t="s">
        <v>224</v>
      </c>
      <c r="S366" s="186" t="s">
        <v>2132</v>
      </c>
      <c r="T366" s="185" t="s">
        <v>2133</v>
      </c>
      <c r="U366" s="185" t="s">
        <v>2126</v>
      </c>
      <c r="V366" s="185">
        <v>0</v>
      </c>
      <c r="W366" s="185">
        <v>0</v>
      </c>
      <c r="X366" s="185">
        <v>0</v>
      </c>
      <c r="Y366" s="185">
        <v>1</v>
      </c>
      <c r="Z366" s="185">
        <v>0</v>
      </c>
      <c r="AA366" s="185">
        <v>0</v>
      </c>
      <c r="AB366" s="185">
        <v>0</v>
      </c>
      <c r="AC366" s="185">
        <v>0</v>
      </c>
      <c r="AD366" s="185">
        <v>0</v>
      </c>
      <c r="AE366" s="185">
        <v>0</v>
      </c>
      <c r="AF366" s="185">
        <v>0</v>
      </c>
      <c r="AG366" s="185">
        <v>0</v>
      </c>
      <c r="AH366" s="185">
        <v>0</v>
      </c>
      <c r="AI366" s="185">
        <v>0</v>
      </c>
      <c r="AJ366" s="185">
        <v>0</v>
      </c>
      <c r="AK366" s="185">
        <v>0</v>
      </c>
      <c r="AL366" s="185">
        <v>0</v>
      </c>
      <c r="AM366" s="185">
        <v>0</v>
      </c>
      <c r="AN366" s="185">
        <v>0</v>
      </c>
      <c r="AO366" s="185">
        <v>0</v>
      </c>
      <c r="AP366" s="185">
        <v>0</v>
      </c>
      <c r="AQ366" s="185">
        <v>0</v>
      </c>
      <c r="AR366" s="185">
        <v>0</v>
      </c>
      <c r="AS366" s="185">
        <v>0</v>
      </c>
      <c r="AT366" s="185">
        <v>0</v>
      </c>
      <c r="AU366" s="185">
        <v>0</v>
      </c>
      <c r="AV366" s="185">
        <v>0</v>
      </c>
      <c r="AW366" s="185">
        <v>0</v>
      </c>
      <c r="AX366" s="141">
        <f>COUNTIF(V366:AW366,"&lt;&gt;0")</f>
        <v>1</v>
      </c>
      <c r="AY366" s="141">
        <f>COUNTIF(V366:AL366,"&lt;&gt;0")</f>
        <v>1</v>
      </c>
      <c r="AZ366">
        <f>COUNTIF(V366:AC366,"&lt;&gt;0")</f>
        <v>1</v>
      </c>
      <c r="BA366">
        <f>COUNTIF(AD366:AI366,"&lt;&gt;0")</f>
        <v>0</v>
      </c>
      <c r="BB366">
        <f>COUNTIF(AJ366:AL366,"&lt;&gt;0")</f>
        <v>0</v>
      </c>
      <c r="BC366">
        <f>COUNTIF(AS366:AW366,"&lt;&gt;0")</f>
        <v>0</v>
      </c>
      <c r="BD366">
        <f>COUNTIF(AM366:AR366,"&lt;&gt;0")</f>
        <v>0</v>
      </c>
      <c r="BE366" t="str">
        <f t="array" ref="BE366">IF(AY366=1,INDEX($V$7:$AL$7,MATCH(TRUE,INDEX($V366:$AW366&lt;&gt;0,),0)),IF(AY366=0,INDEX($AM$7:$AW$7,MATCH(1,$AM366:$AW366,0)),IF(BF366="Multiple strategies","mixed drivers",IF(BF366="Supply chain","multiple supply","multiple silviculture"))))</f>
        <v xml:space="preserve">cutting intensity </v>
      </c>
      <c r="BF366" s="2" t="str" cm="1">
        <f t="array" ref="BF366">IF(COUNTIF(AZ366:BB366,"&lt;&gt;0")=1,INDEX($V$4:$AW$4,MATCH(TRUE,INDEX($V366:$AW366&lt;&gt;0,),0)),IF(COUNTIF(AZ366:BB366,"&lt;&gt;0")=0,INDEX($AM$4:$AW$4,MATCH(1,$AM366:$AW366,0)),"Multiple strategies"))</f>
        <v>SilvicultureRemov</v>
      </c>
      <c r="BG366" s="186" t="s">
        <v>230</v>
      </c>
      <c r="BH366" s="185" t="s">
        <v>2127</v>
      </c>
      <c r="BI366" s="185" t="s">
        <v>2128</v>
      </c>
      <c r="BJ366" s="185" t="s">
        <v>2129</v>
      </c>
      <c r="BK366" s="185">
        <v>0.95599999999999996</v>
      </c>
      <c r="BL366" s="185">
        <v>1.0920000000000001</v>
      </c>
      <c r="BM366" s="185">
        <f>IFERROR(BL366/BK366,"")</f>
        <v>1.1422594142259415</v>
      </c>
      <c r="BN366" s="185">
        <f>BL366-BK366</f>
        <v>0.13600000000000012</v>
      </c>
      <c r="BO366" s="185">
        <f>+BN366*tC_to_m3</f>
        <v>0.59053408597481605</v>
      </c>
      <c r="BP366" s="185" t="s">
        <v>233</v>
      </c>
      <c r="BQ366" s="185" t="s">
        <v>2130</v>
      </c>
      <c r="BR366" s="185" t="s">
        <v>2129</v>
      </c>
      <c r="BS366" s="185">
        <v>0.21299999999999999</v>
      </c>
      <c r="BT366" s="185">
        <v>5.2999999999999999E-2</v>
      </c>
      <c r="BU366" s="189">
        <f>BT366/BS366</f>
        <v>0.24882629107981222</v>
      </c>
      <c r="BV366" s="185">
        <f>BT366-BS366</f>
        <v>-0.16</v>
      </c>
      <c r="BW366" s="185"/>
      <c r="BX366" s="185">
        <f>BV366*C_to_CO2</f>
        <v>-0.58720000000000006</v>
      </c>
      <c r="BY366">
        <f>IFERROR(BX366/BO366,"")</f>
        <v>-0.99435411764705794</v>
      </c>
      <c r="BZ366" s="185">
        <v>0</v>
      </c>
      <c r="CA366" s="185">
        <v>0</v>
      </c>
      <c r="CB366" s="185">
        <v>0</v>
      </c>
      <c r="CC366" s="185">
        <v>0</v>
      </c>
      <c r="CD366" s="185">
        <v>0</v>
      </c>
      <c r="CE366" s="185">
        <v>0</v>
      </c>
      <c r="CF366" s="185">
        <v>0</v>
      </c>
      <c r="CG366" s="185">
        <v>0</v>
      </c>
      <c r="CH366" s="185">
        <v>0</v>
      </c>
      <c r="CI366" s="185">
        <v>0</v>
      </c>
      <c r="CJ366" s="185">
        <v>0</v>
      </c>
      <c r="CK366" s="185">
        <v>0</v>
      </c>
      <c r="CL366" s="185">
        <v>0</v>
      </c>
      <c r="CM366" s="185">
        <v>1</v>
      </c>
      <c r="CN366" s="185" t="str">
        <f>IF($BL366&lt;$BK366,"refNeedCorrection","refOK")</f>
        <v>refOK</v>
      </c>
      <c r="CO366" s="185">
        <f>IF($CN366="refOK",$BK366,$BL366)</f>
        <v>0.95599999999999996</v>
      </c>
      <c r="CP366" s="185">
        <f>IF($CN366="refOK",$BL366,$BK366)</f>
        <v>1.0920000000000001</v>
      </c>
      <c r="CQ366" s="185">
        <f>IF($CN366="refOK",$BO366,-$BO366)</f>
        <v>0.59053408597481605</v>
      </c>
      <c r="CR366" s="185">
        <f>IF($CN366="refOK",$BS366,$BT366)*IF($BP366="Emissions positive",-1,1)</f>
        <v>0.21299999999999999</v>
      </c>
      <c r="CS366" s="185">
        <f>IF($CN366="refOK",$BT366,$BS366)*IF($BP366="Emissions positive",-1,1)</f>
        <v>5.2999999999999999E-2</v>
      </c>
      <c r="CT366" s="185">
        <f>IF($CN366="refNeedCorrection",-BX366,BX366)*IF($BP366="Emissions positive",-1,1)</f>
        <v>-0.58720000000000006</v>
      </c>
      <c r="CU366">
        <f>IFERROR(CT366/CQ366,"")</f>
        <v>-0.99435411764705794</v>
      </c>
      <c r="CV366" s="188">
        <f>IFERROR((CS366-CR366)/ABS(CR366),"")</f>
        <v>-0.75117370892018787</v>
      </c>
      <c r="CW366" s="186" t="s">
        <v>2038</v>
      </c>
      <c r="CX366" t="str">
        <f>IF(OR($CW366="prd",$CW366="std",$CW366="cit"),"loc",IF(OR($CW366="eur",$CW366="reg",$CW366="coy"),"reg",$CW366))</f>
        <v>reg</v>
      </c>
      <c r="CY366" s="185" t="s">
        <v>236</v>
      </c>
      <c r="CZ366" s="185"/>
      <c r="DA366" s="185"/>
      <c r="DB366" s="185">
        <v>30</v>
      </c>
      <c r="DC366" t="str">
        <f>IF(DB366=0,"0",IF(AND(DB366&gt;=1,DB366&lt;=30),"1-30",IF(AND(DB366&gt;30,DB366&lt;=70),"31-70",IF(AND(DB366&gt;70,DB366&lt;=100),"71-100",IF(DB366&gt;100,"+100")))))</f>
        <v>1-30</v>
      </c>
      <c r="DD366" s="185">
        <v>1</v>
      </c>
      <c r="DE366" s="185">
        <v>0</v>
      </c>
      <c r="DF366" s="185">
        <v>0</v>
      </c>
      <c r="DG366" s="185">
        <v>0</v>
      </c>
      <c r="DH366" s="185">
        <v>0</v>
      </c>
      <c r="DI366">
        <f>SUM(DD366:DG366)</f>
        <v>1</v>
      </c>
      <c r="DJ366" t="str">
        <f>IF(DI366=1,INDEX($DD$7:$DG$7,MATCH(1,$DD366:$DG366,0)),"mixedProduct")</f>
        <v>UpstreamInput</v>
      </c>
      <c r="DK366" t="str">
        <f>IF(DD366=1,DK$7,0)</f>
        <v>Upstream</v>
      </c>
      <c r="DL366">
        <f>IF(DE366=1,DL$7,0)</f>
        <v>0</v>
      </c>
      <c r="DM366">
        <f>IF(DF366=1,DM$7,0)</f>
        <v>0</v>
      </c>
      <c r="DN366">
        <f>IF(DG366=1,DN$7,0)</f>
        <v>0</v>
      </c>
      <c r="DO366" s="185">
        <v>0</v>
      </c>
      <c r="DP366" s="185">
        <v>0</v>
      </c>
      <c r="DQ366" s="190"/>
      <c r="DR366" s="190"/>
      <c r="DS366" s="190">
        <v>0</v>
      </c>
      <c r="DT366" s="185"/>
      <c r="DU366" s="191" t="str">
        <f>IF(DO366=1,"self-calculated DF",IF(DP366=1,"external DF used","explicit C balance"))</f>
        <v>explicit C balance</v>
      </c>
      <c r="DV366" s="185">
        <v>1</v>
      </c>
      <c r="DW366" s="185">
        <v>1</v>
      </c>
      <c r="DX366" s="185">
        <v>1</v>
      </c>
      <c r="DY366" s="185">
        <v>1</v>
      </c>
      <c r="DZ366" s="185">
        <v>1</v>
      </c>
      <c r="EA366" s="185">
        <v>0</v>
      </c>
      <c r="EB366" s="185">
        <v>0</v>
      </c>
      <c r="EC366" s="185">
        <v>0</v>
      </c>
      <c r="ED366" s="185">
        <v>0</v>
      </c>
      <c r="EE366" s="185">
        <v>0</v>
      </c>
      <c r="EF366" s="185">
        <v>1</v>
      </c>
      <c r="EG366" s="185">
        <v>0</v>
      </c>
      <c r="EH366" s="185">
        <v>0</v>
      </c>
      <c r="EI366" s="188">
        <v>0</v>
      </c>
      <c r="EJ366" s="1"/>
      <c r="EK366" t="str">
        <f>IF(AND(AND(AND(OR($DX366=1,$DW366=1),OR($EC366=1,$EA366=1)),SUM($DV366:$DZ366,$EF366)&gt;=4),SUM($EA366:$EE366)&gt;=2),"Whole sector","")</f>
        <v/>
      </c>
      <c r="EL366" t="str">
        <f>IF(AND(AND(OR($DX366=1,$DW366=1),AND($EC366=0,$EA366=0)),SUM($DV366:$DZ366,$EF366)&gt;=4),"Ecosystem approach","")</f>
        <v>Ecosystem approach</v>
      </c>
      <c r="EM366" s="2" t="str">
        <f>IF(AND(AND(AND($DX366=0,$DW366=0),OR($EC366=1,$EA366=1)),SUM($EB366:$EE366)&gt;=2),"Technology approach","")</f>
        <v/>
      </c>
      <c r="EN366" s="185"/>
      <c r="EO366" s="185"/>
      <c r="EP366" t="str">
        <f>IF(ISNUMBER(BU366),IF(ABS(BU366-[2]QC_indicators!$B$2)&gt;3*[2]QC_indicators!$C$2,"C ratio",IF(ISNUMBER(BY366),IF(ABS(BY366-[2]QC_indicators!$B$1)&gt;3*[2]QC_indicators!$C$1,"DF","no"))),IF(ISNUMBER(BY366),IF(ABS(BY366-[2]QC_indicators!$B$1)&gt;3*[2]QC_indicators!$C$1,"DF","no")))</f>
        <v>no</v>
      </c>
      <c r="EQ366" s="185"/>
      <c r="ER366" s="185"/>
      <c r="ES366" s="185"/>
      <c r="ET366" s="266" t="s">
        <v>3225</v>
      </c>
      <c r="EU366"/>
    </row>
    <row r="367" spans="1:151" s="139" customFormat="1" ht="15" customHeight="1">
      <c r="A367" s="186" t="s">
        <v>1425</v>
      </c>
      <c r="B367" s="185" t="s">
        <v>2118</v>
      </c>
      <c r="C367" s="185" t="s">
        <v>2119</v>
      </c>
      <c r="D367" s="185" t="s">
        <v>2120</v>
      </c>
      <c r="E367" s="185" t="s">
        <v>2121</v>
      </c>
      <c r="F367" s="185" t="s">
        <v>2122</v>
      </c>
      <c r="G367" s="185" t="s">
        <v>1431</v>
      </c>
      <c r="H367" s="185" t="s">
        <v>255</v>
      </c>
      <c r="I367" s="185">
        <v>2014</v>
      </c>
      <c r="J367" s="185">
        <v>45</v>
      </c>
      <c r="K367" s="185" t="s">
        <v>2123</v>
      </c>
      <c r="L367" s="185"/>
      <c r="M367" t="str">
        <f>LEFT($D367,FIND(",",$D367)-1)&amp;"_"&amp;I367&amp;L367</f>
        <v>Pukkala_2014</v>
      </c>
      <c r="N367" t="s">
        <v>223</v>
      </c>
      <c r="O367" s="187" t="s">
        <v>226</v>
      </c>
      <c r="P367" s="185" t="s">
        <v>1156</v>
      </c>
      <c r="Q367" s="185"/>
      <c r="R367" s="264" t="s">
        <v>224</v>
      </c>
      <c r="S367" s="186" t="s">
        <v>2132</v>
      </c>
      <c r="T367" s="185" t="s">
        <v>2125</v>
      </c>
      <c r="U367" s="185" t="s">
        <v>2136</v>
      </c>
      <c r="V367" s="185">
        <v>0</v>
      </c>
      <c r="W367" s="185">
        <v>0</v>
      </c>
      <c r="X367" s="185">
        <v>0</v>
      </c>
      <c r="Y367" s="185">
        <v>1</v>
      </c>
      <c r="Z367" s="185">
        <v>0</v>
      </c>
      <c r="AA367" s="185">
        <v>0</v>
      </c>
      <c r="AB367" s="185">
        <v>0</v>
      </c>
      <c r="AC367" s="185">
        <v>0</v>
      </c>
      <c r="AD367" s="185">
        <v>0</v>
      </c>
      <c r="AE367" s="185">
        <v>0</v>
      </c>
      <c r="AF367" s="185">
        <v>0</v>
      </c>
      <c r="AG367" s="185">
        <v>0</v>
      </c>
      <c r="AH367" s="185">
        <v>0</v>
      </c>
      <c r="AI367" s="185">
        <v>0</v>
      </c>
      <c r="AJ367" s="185">
        <v>0</v>
      </c>
      <c r="AK367" s="185">
        <v>0</v>
      </c>
      <c r="AL367" s="185">
        <v>0</v>
      </c>
      <c r="AM367" s="185">
        <v>0</v>
      </c>
      <c r="AN367" s="185">
        <v>0</v>
      </c>
      <c r="AO367" s="185">
        <v>0</v>
      </c>
      <c r="AP367" s="185">
        <v>0</v>
      </c>
      <c r="AQ367" s="185">
        <v>0</v>
      </c>
      <c r="AR367" s="185">
        <v>0</v>
      </c>
      <c r="AS367" s="185">
        <v>0</v>
      </c>
      <c r="AT367" s="185">
        <v>0</v>
      </c>
      <c r="AU367" s="185">
        <v>0</v>
      </c>
      <c r="AV367" s="185">
        <v>0</v>
      </c>
      <c r="AW367" s="185">
        <v>0</v>
      </c>
      <c r="AX367" s="141">
        <f>COUNTIF(V367:AW367,"&lt;&gt;0")</f>
        <v>1</v>
      </c>
      <c r="AY367" s="141">
        <f>COUNTIF(V367:AL367,"&lt;&gt;0")</f>
        <v>1</v>
      </c>
      <c r="AZ367">
        <f>COUNTIF(V367:AC367,"&lt;&gt;0")</f>
        <v>1</v>
      </c>
      <c r="BA367">
        <f>COUNTIF(AD367:AI367,"&lt;&gt;0")</f>
        <v>0</v>
      </c>
      <c r="BB367">
        <f>COUNTIF(AJ367:AL367,"&lt;&gt;0")</f>
        <v>0</v>
      </c>
      <c r="BC367">
        <f>COUNTIF(AS367:AW367,"&lt;&gt;0")</f>
        <v>0</v>
      </c>
      <c r="BD367">
        <f>COUNTIF(AM367:AR367,"&lt;&gt;0")</f>
        <v>0</v>
      </c>
      <c r="BE367" t="str">
        <f t="array" ref="BE367">IF(AY367=1,INDEX($V$7:$AL$7,MATCH(TRUE,INDEX($V367:$AW367&lt;&gt;0,),0)),IF(AY367=0,INDEX($AM$7:$AW$7,MATCH(1,$AM367:$AW367,0)),IF(BF367="Multiple strategies","mixed drivers",IF(BF367="Supply chain","multiple supply","multiple silviculture"))))</f>
        <v xml:space="preserve">cutting intensity </v>
      </c>
      <c r="BF367" s="2" t="str" cm="1">
        <f t="array" ref="BF367">IF(COUNTIF(AZ367:BB367,"&lt;&gt;0")=1,INDEX($V$4:$AW$4,MATCH(TRUE,INDEX($V367:$AW367&lt;&gt;0,),0)),IF(COUNTIF(AZ367:BB367,"&lt;&gt;0")=0,INDEX($AM$4:$AW$4,MATCH(1,$AM367:$AW367,0)),"Multiple strategies"))</f>
        <v>SilvicultureRemov</v>
      </c>
      <c r="BG367" s="186" t="s">
        <v>230</v>
      </c>
      <c r="BH367" s="185" t="s">
        <v>2127</v>
      </c>
      <c r="BI367" s="185" t="s">
        <v>2128</v>
      </c>
      <c r="BJ367" s="185" t="s">
        <v>2129</v>
      </c>
      <c r="BK367" s="185">
        <v>1.004</v>
      </c>
      <c r="BL367" s="185">
        <v>1.0269999999999999</v>
      </c>
      <c r="BM367" s="185">
        <f>IFERROR(BL367/BK367,"")</f>
        <v>1.0229083665338645</v>
      </c>
      <c r="BN367" s="185">
        <f>BL367-BK367</f>
        <v>2.2999999999999909E-2</v>
      </c>
      <c r="BO367" s="185">
        <f>+BN367*tC_to_m3</f>
        <v>9.9869735128093398E-2</v>
      </c>
      <c r="BP367" s="185" t="s">
        <v>233</v>
      </c>
      <c r="BQ367" s="185" t="s">
        <v>2130</v>
      </c>
      <c r="BR367" s="185" t="s">
        <v>2129</v>
      </c>
      <c r="BS367" s="185">
        <f>0.194-0.202</f>
        <v>-8.0000000000000071E-3</v>
      </c>
      <c r="BT367" s="185">
        <f>0.224-0.221</f>
        <v>3.0000000000000027E-3</v>
      </c>
      <c r="BU367" s="189">
        <f>BT367/BS367</f>
        <v>-0.375</v>
      </c>
      <c r="BV367" s="185">
        <f>BT367-BS367</f>
        <v>1.100000000000001E-2</v>
      </c>
      <c r="BW367" s="185"/>
      <c r="BX367" s="185">
        <f>BV367*C_to_CO2</f>
        <v>4.0370000000000038E-2</v>
      </c>
      <c r="BY367">
        <f>IFERROR(BX367/BO367,"")</f>
        <v>0.40422656521739325</v>
      </c>
      <c r="BZ367" s="185">
        <v>0</v>
      </c>
      <c r="CA367" s="185">
        <v>0</v>
      </c>
      <c r="CB367" s="185">
        <v>0</v>
      </c>
      <c r="CC367" s="185">
        <v>0</v>
      </c>
      <c r="CD367" s="185">
        <v>0</v>
      </c>
      <c r="CE367" s="185">
        <v>0</v>
      </c>
      <c r="CF367" s="185">
        <v>0</v>
      </c>
      <c r="CG367" s="185">
        <v>0</v>
      </c>
      <c r="CH367" s="185">
        <v>0</v>
      </c>
      <c r="CI367" s="185">
        <v>0</v>
      </c>
      <c r="CJ367" s="185">
        <v>0</v>
      </c>
      <c r="CK367" s="185">
        <v>0</v>
      </c>
      <c r="CL367" s="185">
        <v>0</v>
      </c>
      <c r="CM367" s="185">
        <v>1</v>
      </c>
      <c r="CN367" s="185" t="str">
        <f>IF($BL367&lt;$BK367,"refNeedCorrection","refOK")</f>
        <v>refOK</v>
      </c>
      <c r="CO367" s="185">
        <f>IF($CN367="refOK",$BK367,$BL367)</f>
        <v>1.004</v>
      </c>
      <c r="CP367" s="185">
        <f>IF($CN367="refOK",$BL367,$BK367)</f>
        <v>1.0269999999999999</v>
      </c>
      <c r="CQ367" s="185">
        <f>IF($CN367="refOK",$BO367,-$BO367)</f>
        <v>9.9869735128093398E-2</v>
      </c>
      <c r="CR367" s="185">
        <f>IF($CN367="refOK",$BS367,$BT367)*IF($BP367="Emissions positive",-1,1)</f>
        <v>-8.0000000000000071E-3</v>
      </c>
      <c r="CS367" s="185">
        <f>IF($CN367="refOK",$BT367,$BS367)*IF($BP367="Emissions positive",-1,1)</f>
        <v>3.0000000000000027E-3</v>
      </c>
      <c r="CT367" s="185">
        <f>IF($CN367="refNeedCorrection",-BX367,BX367)*IF($BP367="Emissions positive",-1,1)</f>
        <v>4.0370000000000038E-2</v>
      </c>
      <c r="CU367">
        <f>IFERROR(CT367/CQ367,"")</f>
        <v>0.40422656521739325</v>
      </c>
      <c r="CV367" s="188">
        <f>IFERROR((CS367-CR367)/ABS(CR367),"")</f>
        <v>1.375</v>
      </c>
      <c r="CW367" s="186" t="s">
        <v>2038</v>
      </c>
      <c r="CX367" t="str">
        <f>IF(OR($CW367="prd",$CW367="std",$CW367="cit"),"loc",IF(OR($CW367="eur",$CW367="reg",$CW367="coy"),"reg",$CW367))</f>
        <v>reg</v>
      </c>
      <c r="CY367" s="185" t="s">
        <v>236</v>
      </c>
      <c r="CZ367" s="185"/>
      <c r="DA367" s="185"/>
      <c r="DB367" s="185">
        <v>30</v>
      </c>
      <c r="DC367" t="str">
        <f>IF(DB367=0,"0",IF(AND(DB367&gt;=1,DB367&lt;=30),"1-30",IF(AND(DB367&gt;30,DB367&lt;=70),"31-70",IF(AND(DB367&gt;70,DB367&lt;=100),"71-100",IF(DB367&gt;100,"+100")))))</f>
        <v>1-30</v>
      </c>
      <c r="DD367" s="185">
        <v>1</v>
      </c>
      <c r="DE367" s="185">
        <v>0</v>
      </c>
      <c r="DF367" s="185">
        <v>0</v>
      </c>
      <c r="DG367" s="185">
        <v>0</v>
      </c>
      <c r="DH367" s="185">
        <v>0</v>
      </c>
      <c r="DI367">
        <f>SUM(DD367:DG367)</f>
        <v>1</v>
      </c>
      <c r="DJ367" t="str">
        <f>IF(DI367=1,INDEX($DD$7:$DG$7,MATCH(1,$DD367:$DG367,0)),"mixedProduct")</f>
        <v>UpstreamInput</v>
      </c>
      <c r="DK367" t="str">
        <f>IF(DD367=1,DK$7,0)</f>
        <v>Upstream</v>
      </c>
      <c r="DL367">
        <f>IF(DE367=1,DL$7,0)</f>
        <v>0</v>
      </c>
      <c r="DM367">
        <f>IF(DF367=1,DM$7,0)</f>
        <v>0</v>
      </c>
      <c r="DN367">
        <f>IF(DG367=1,DN$7,0)</f>
        <v>0</v>
      </c>
      <c r="DO367" s="185">
        <v>0</v>
      </c>
      <c r="DP367" s="185">
        <v>0</v>
      </c>
      <c r="DQ367" s="190"/>
      <c r="DR367" s="190"/>
      <c r="DS367" s="190">
        <v>0</v>
      </c>
      <c r="DT367" s="185"/>
      <c r="DU367" s="191" t="str">
        <f>IF(DO367=1,"self-calculated DF",IF(DP367=1,"external DF used","explicit C balance"))</f>
        <v>explicit C balance</v>
      </c>
      <c r="DV367" s="185">
        <v>1</v>
      </c>
      <c r="DW367" s="185">
        <v>1</v>
      </c>
      <c r="DX367" s="185">
        <v>1</v>
      </c>
      <c r="DY367" s="185">
        <v>0</v>
      </c>
      <c r="DZ367" s="185">
        <v>0</v>
      </c>
      <c r="EA367" s="185">
        <v>0</v>
      </c>
      <c r="EB367" s="185">
        <v>0</v>
      </c>
      <c r="EC367" s="185">
        <v>0</v>
      </c>
      <c r="ED367" s="185">
        <v>0</v>
      </c>
      <c r="EE367" s="185">
        <v>0</v>
      </c>
      <c r="EF367" s="185">
        <v>1</v>
      </c>
      <c r="EG367" s="185">
        <v>0</v>
      </c>
      <c r="EH367" s="185">
        <v>0</v>
      </c>
      <c r="EI367" s="188">
        <v>0</v>
      </c>
      <c r="EJ367" s="1"/>
      <c r="EK367" t="str">
        <f>IF(AND(AND(AND(OR($DX367=1,$DW367=1),OR($EC367=1,$EA367=1)),SUM($DV367:$DZ367,$EF367)&gt;=4),SUM($EA367:$EE367)&gt;=2),"Whole sector","")</f>
        <v/>
      </c>
      <c r="EL367" t="str">
        <f>IF(AND(AND(OR($DX367=1,$DW367=1),AND($EC367=0,$EA367=0)),SUM($DV367:$DZ367,$EF367)&gt;=4),"Ecosystem approach","")</f>
        <v>Ecosystem approach</v>
      </c>
      <c r="EM367" s="2" t="str">
        <f>IF(AND(AND(AND($DX367=0,$DW367=0),OR($EC367=1,$EA367=1)),SUM($EB367:$EE367)&gt;=2),"Technology approach","")</f>
        <v/>
      </c>
      <c r="EN367" s="185"/>
      <c r="EO367" s="185"/>
      <c r="EP367" t="str">
        <f>IF(ISNUMBER(BU367),IF(ABS(BU367-[2]QC_indicators!$B$2)&gt;3*[2]QC_indicators!$C$2,"C ratio",IF(ISNUMBER(BY367),IF(ABS(BY367-[2]QC_indicators!$B$1)&gt;3*[2]QC_indicators!$C$1,"DF","no"))),IF(ISNUMBER(BY367),IF(ABS(BY367-[2]QC_indicators!$B$1)&gt;3*[2]QC_indicators!$C$1,"DF","no")))</f>
        <v>no</v>
      </c>
      <c r="EQ367" s="185"/>
      <c r="ER367" s="185"/>
      <c r="ES367" s="185"/>
      <c r="ET367" s="266" t="s">
        <v>3225</v>
      </c>
      <c r="EU367"/>
    </row>
    <row r="368" spans="1:151" s="139" customFormat="1" ht="15" customHeight="1">
      <c r="A368" s="186" t="s">
        <v>1425</v>
      </c>
      <c r="B368" s="185" t="s">
        <v>2118</v>
      </c>
      <c r="C368" s="185" t="s">
        <v>2119</v>
      </c>
      <c r="D368" s="185" t="s">
        <v>2120</v>
      </c>
      <c r="E368" s="185" t="s">
        <v>2121</v>
      </c>
      <c r="F368" s="185" t="s">
        <v>2122</v>
      </c>
      <c r="G368" s="185" t="s">
        <v>1431</v>
      </c>
      <c r="H368" s="185" t="s">
        <v>255</v>
      </c>
      <c r="I368" s="185">
        <v>2014</v>
      </c>
      <c r="J368" s="185">
        <v>45</v>
      </c>
      <c r="K368" s="185" t="s">
        <v>2123</v>
      </c>
      <c r="L368" s="185"/>
      <c r="M368" t="str">
        <f>LEFT($D368,FIND(",",$D368)-1)&amp;"_"&amp;I368&amp;L368</f>
        <v>Pukkala_2014</v>
      </c>
      <c r="N368" t="s">
        <v>223</v>
      </c>
      <c r="O368" s="187" t="s">
        <v>226</v>
      </c>
      <c r="P368" s="185" t="s">
        <v>1156</v>
      </c>
      <c r="Q368" s="185"/>
      <c r="R368" s="264" t="s">
        <v>224</v>
      </c>
      <c r="S368" s="186" t="s">
        <v>2132</v>
      </c>
      <c r="T368" s="185" t="s">
        <v>2133</v>
      </c>
      <c r="U368" s="185" t="s">
        <v>2126</v>
      </c>
      <c r="V368" s="185">
        <v>0</v>
      </c>
      <c r="W368" s="185">
        <v>0</v>
      </c>
      <c r="X368" s="185">
        <v>0</v>
      </c>
      <c r="Y368" s="185">
        <v>1</v>
      </c>
      <c r="Z368" s="185">
        <v>0</v>
      </c>
      <c r="AA368" s="185">
        <v>0</v>
      </c>
      <c r="AB368" s="185">
        <v>0</v>
      </c>
      <c r="AC368" s="185">
        <v>0</v>
      </c>
      <c r="AD368" s="185">
        <v>0</v>
      </c>
      <c r="AE368" s="185">
        <v>0</v>
      </c>
      <c r="AF368" s="185">
        <v>0</v>
      </c>
      <c r="AG368" s="185">
        <v>0</v>
      </c>
      <c r="AH368" s="185">
        <v>0</v>
      </c>
      <c r="AI368" s="185">
        <v>0</v>
      </c>
      <c r="AJ368" s="185">
        <v>0</v>
      </c>
      <c r="AK368" s="185">
        <v>0</v>
      </c>
      <c r="AL368" s="185">
        <v>0</v>
      </c>
      <c r="AM368" s="185">
        <v>0</v>
      </c>
      <c r="AN368" s="185">
        <v>0</v>
      </c>
      <c r="AO368" s="185">
        <v>0</v>
      </c>
      <c r="AP368" s="185">
        <v>0</v>
      </c>
      <c r="AQ368" s="185">
        <v>0</v>
      </c>
      <c r="AR368" s="185">
        <v>0</v>
      </c>
      <c r="AS368" s="185">
        <v>0</v>
      </c>
      <c r="AT368" s="185">
        <v>0</v>
      </c>
      <c r="AU368" s="185">
        <v>0</v>
      </c>
      <c r="AV368" s="185">
        <v>0</v>
      </c>
      <c r="AW368" s="185">
        <v>0</v>
      </c>
      <c r="AX368" s="141">
        <f>COUNTIF(V368:AW368,"&lt;&gt;0")</f>
        <v>1</v>
      </c>
      <c r="AY368" s="141">
        <f>COUNTIF(V368:AL368,"&lt;&gt;0")</f>
        <v>1</v>
      </c>
      <c r="AZ368">
        <f>COUNTIF(V368:AC368,"&lt;&gt;0")</f>
        <v>1</v>
      </c>
      <c r="BA368">
        <f>COUNTIF(AD368:AI368,"&lt;&gt;0")</f>
        <v>0</v>
      </c>
      <c r="BB368">
        <f>COUNTIF(AJ368:AL368,"&lt;&gt;0")</f>
        <v>0</v>
      </c>
      <c r="BC368">
        <f>COUNTIF(AS368:AW368,"&lt;&gt;0")</f>
        <v>0</v>
      </c>
      <c r="BD368">
        <f>COUNTIF(AM368:AR368,"&lt;&gt;0")</f>
        <v>0</v>
      </c>
      <c r="BE368" t="str">
        <f t="array" ref="BE368">IF(AY368=1,INDEX($V$7:$AL$7,MATCH(TRUE,INDEX($V368:$AW368&lt;&gt;0,),0)),IF(AY368=0,INDEX($AM$7:$AW$7,MATCH(1,$AM368:$AW368,0)),IF(BF368="Multiple strategies","mixed drivers",IF(BF368="Supply chain","multiple supply","multiple silviculture"))))</f>
        <v xml:space="preserve">cutting intensity </v>
      </c>
      <c r="BF368" s="2" t="str" cm="1">
        <f t="array" ref="BF368">IF(COUNTIF(AZ368:BB368,"&lt;&gt;0")=1,INDEX($V$4:$AW$4,MATCH(TRUE,INDEX($V368:$AW368&lt;&gt;0,),0)),IF(COUNTIF(AZ368:BB368,"&lt;&gt;0")=0,INDEX($AM$4:$AW$4,MATCH(1,$AM368:$AW368,0)),"Multiple strategies"))</f>
        <v>SilvicultureRemov</v>
      </c>
      <c r="BG368" s="186" t="s">
        <v>230</v>
      </c>
      <c r="BH368" s="185" t="s">
        <v>2127</v>
      </c>
      <c r="BI368" s="185" t="s">
        <v>2128</v>
      </c>
      <c r="BJ368" s="185" t="s">
        <v>2129</v>
      </c>
      <c r="BK368" s="185">
        <v>0.95599999999999996</v>
      </c>
      <c r="BL368" s="185">
        <v>1.0920000000000001</v>
      </c>
      <c r="BM368" s="185">
        <f>IFERROR(BL368/BK368,"")</f>
        <v>1.1422594142259415</v>
      </c>
      <c r="BN368" s="185">
        <f>BL368-BK368</f>
        <v>0.13600000000000012</v>
      </c>
      <c r="BO368" s="185">
        <f>+BN368*tC_to_m3</f>
        <v>0.59053408597481605</v>
      </c>
      <c r="BP368" s="185" t="s">
        <v>233</v>
      </c>
      <c r="BQ368" s="185" t="s">
        <v>2130</v>
      </c>
      <c r="BR368" s="185" t="s">
        <v>2129</v>
      </c>
      <c r="BS368" s="185">
        <v>-2.2999999999999993E-2</v>
      </c>
      <c r="BT368">
        <f>0.053-0.243</f>
        <v>-0.19</v>
      </c>
      <c r="BU368" s="189">
        <f>BT368/BS368</f>
        <v>8.2608695652173942</v>
      </c>
      <c r="BV368" s="185">
        <f>BT368-BS368</f>
        <v>-0.16700000000000001</v>
      </c>
      <c r="BW368" s="185"/>
      <c r="BX368" s="185">
        <f>BV368*C_to_CO2</f>
        <v>-0.61289000000000005</v>
      </c>
      <c r="BY368">
        <f>IFERROR(BX368/BO368,"")</f>
        <v>-1.0378571102941168</v>
      </c>
      <c r="BZ368" s="185">
        <v>0</v>
      </c>
      <c r="CA368" s="185">
        <v>0</v>
      </c>
      <c r="CB368" s="185">
        <v>0</v>
      </c>
      <c r="CC368" s="185">
        <v>0</v>
      </c>
      <c r="CD368" s="185">
        <v>0</v>
      </c>
      <c r="CE368" s="185">
        <v>0</v>
      </c>
      <c r="CF368" s="185">
        <v>0</v>
      </c>
      <c r="CG368" s="185">
        <v>0</v>
      </c>
      <c r="CH368" s="185">
        <v>0</v>
      </c>
      <c r="CI368" s="185">
        <v>0</v>
      </c>
      <c r="CJ368" s="185">
        <v>0</v>
      </c>
      <c r="CK368" s="185">
        <v>0</v>
      </c>
      <c r="CL368" s="185">
        <v>0</v>
      </c>
      <c r="CM368" s="185">
        <v>1</v>
      </c>
      <c r="CN368" s="185" t="str">
        <f>IF($BL368&lt;$BK368,"refNeedCorrection","refOK")</f>
        <v>refOK</v>
      </c>
      <c r="CO368" s="185">
        <f>IF($CN368="refOK",$BK368,$BL368)</f>
        <v>0.95599999999999996</v>
      </c>
      <c r="CP368" s="185">
        <f>IF($CN368="refOK",$BL368,$BK368)</f>
        <v>1.0920000000000001</v>
      </c>
      <c r="CQ368" s="185">
        <f>IF($CN368="refOK",$BO368,-$BO368)</f>
        <v>0.59053408597481605</v>
      </c>
      <c r="CR368" s="185">
        <f>IF($CN368="refOK",$BS368,$BT368)*IF($BP368="Emissions positive",-1,1)</f>
        <v>-2.2999999999999993E-2</v>
      </c>
      <c r="CS368" s="185">
        <f>IF($CN368="refOK",$BT368,$BS368)*IF($BP368="Emissions positive",-1,1)</f>
        <v>-0.19</v>
      </c>
      <c r="CT368" s="185">
        <f>IF($CN368="refNeedCorrection",-BX368,BX368)*IF($BP368="Emissions positive",-1,1)</f>
        <v>-0.61289000000000005</v>
      </c>
      <c r="CU368">
        <f>IFERROR(CT368/CQ368,"")</f>
        <v>-1.0378571102941168</v>
      </c>
      <c r="CV368" s="188">
        <f>IFERROR((CS368-CR368)/ABS(CR368),"")</f>
        <v>-7.2608695652173942</v>
      </c>
      <c r="CW368" s="186" t="s">
        <v>2038</v>
      </c>
      <c r="CX368" t="str">
        <f>IF(OR($CW368="prd",$CW368="std",$CW368="cit"),"loc",IF(OR($CW368="eur",$CW368="reg",$CW368="coy"),"reg",$CW368))</f>
        <v>reg</v>
      </c>
      <c r="CY368" s="185" t="s">
        <v>236</v>
      </c>
      <c r="CZ368" s="185"/>
      <c r="DA368" s="185"/>
      <c r="DB368" s="185">
        <v>30</v>
      </c>
      <c r="DC368" t="str">
        <f>IF(DB368=0,"0",IF(AND(DB368&gt;=1,DB368&lt;=30),"1-30",IF(AND(DB368&gt;30,DB368&lt;=70),"31-70",IF(AND(DB368&gt;70,DB368&lt;=100),"71-100",IF(DB368&gt;100,"+100")))))</f>
        <v>1-30</v>
      </c>
      <c r="DD368" s="185">
        <v>1</v>
      </c>
      <c r="DE368" s="185">
        <v>0</v>
      </c>
      <c r="DF368" s="185">
        <v>0</v>
      </c>
      <c r="DG368" s="185">
        <v>0</v>
      </c>
      <c r="DH368" s="185">
        <v>0</v>
      </c>
      <c r="DI368">
        <f>SUM(DD368:DG368)</f>
        <v>1</v>
      </c>
      <c r="DJ368" t="str">
        <f>IF(DI368=1,INDEX($DD$7:$DG$7,MATCH(1,$DD368:$DG368,0)),"mixedProduct")</f>
        <v>UpstreamInput</v>
      </c>
      <c r="DK368" t="str">
        <f>IF(DD368=1,DK$7,0)</f>
        <v>Upstream</v>
      </c>
      <c r="DL368">
        <f>IF(DE368=1,DL$7,0)</f>
        <v>0</v>
      </c>
      <c r="DM368">
        <f>IF(DF368=1,DM$7,0)</f>
        <v>0</v>
      </c>
      <c r="DN368">
        <f>IF(DG368=1,DN$7,0)</f>
        <v>0</v>
      </c>
      <c r="DO368" s="185">
        <v>0</v>
      </c>
      <c r="DP368" s="185">
        <v>0</v>
      </c>
      <c r="DQ368" s="190"/>
      <c r="DR368" s="190"/>
      <c r="DS368" s="190">
        <v>0</v>
      </c>
      <c r="DT368" s="185"/>
      <c r="DU368" s="191" t="str">
        <f>IF(DO368=1,"self-calculated DF",IF(DP368=1,"external DF used","explicit C balance"))</f>
        <v>explicit C balance</v>
      </c>
      <c r="DV368" s="185">
        <v>1</v>
      </c>
      <c r="DW368" s="185">
        <v>1</v>
      </c>
      <c r="DX368" s="185">
        <v>1</v>
      </c>
      <c r="DY368" s="185">
        <v>0</v>
      </c>
      <c r="DZ368" s="185">
        <v>0</v>
      </c>
      <c r="EA368" s="185">
        <v>0</v>
      </c>
      <c r="EB368" s="185">
        <v>0</v>
      </c>
      <c r="EC368" s="185">
        <v>0</v>
      </c>
      <c r="ED368" s="185">
        <v>0</v>
      </c>
      <c r="EE368" s="185">
        <v>0</v>
      </c>
      <c r="EF368" s="185">
        <v>1</v>
      </c>
      <c r="EG368" s="185">
        <v>0</v>
      </c>
      <c r="EH368" s="185">
        <v>0</v>
      </c>
      <c r="EI368" s="188">
        <v>0</v>
      </c>
      <c r="EJ368" s="1"/>
      <c r="EK368" t="str">
        <f>IF(AND(AND(AND(OR($DX368=1,$DW368=1),OR($EC368=1,$EA368=1)),SUM($DV368:$DZ368,$EF368)&gt;=4),SUM($EA368:$EE368)&gt;=2),"Whole sector","")</f>
        <v/>
      </c>
      <c r="EL368" t="str">
        <f>IF(AND(AND(OR($DX368=1,$DW368=1),AND($EC368=0,$EA368=0)),SUM($DV368:$DZ368,$EF368)&gt;=4),"Ecosystem approach","")</f>
        <v>Ecosystem approach</v>
      </c>
      <c r="EM368" s="2" t="str">
        <f>IF(AND(AND(AND($DX368=0,$DW368=0),OR($EC368=1,$EA368=1)),SUM($EB368:$EE368)&gt;=2),"Technology approach","")</f>
        <v/>
      </c>
      <c r="EN368" s="185"/>
      <c r="EO368" s="185"/>
      <c r="EP368" t="str">
        <f>IF(ISNUMBER(BU368),IF(ABS(BU368-[2]QC_indicators!$B$2)&gt;3*[2]QC_indicators!$C$2,"C ratio",IF(ISNUMBER(BY368),IF(ABS(BY368-[2]QC_indicators!$B$1)&gt;3*[2]QC_indicators!$C$1,"DF","no"))),IF(ISNUMBER(BY368),IF(ABS(BY368-[2]QC_indicators!$B$1)&gt;3*[2]QC_indicators!$C$1,"DF","no")))</f>
        <v>no</v>
      </c>
      <c r="EQ368" s="185"/>
      <c r="ER368" s="185"/>
      <c r="ES368" s="185"/>
      <c r="ET368" s="266" t="s">
        <v>3225</v>
      </c>
      <c r="EU368"/>
    </row>
    <row r="369" spans="1:151" s="139" customFormat="1" ht="15" customHeight="1">
      <c r="A369" s="1" t="s">
        <v>1425</v>
      </c>
      <c r="B369" t="s">
        <v>2118</v>
      </c>
      <c r="C369" t="s">
        <v>2119</v>
      </c>
      <c r="D369" t="s">
        <v>2120</v>
      </c>
      <c r="E369" t="s">
        <v>2121</v>
      </c>
      <c r="F369" t="s">
        <v>2122</v>
      </c>
      <c r="G369" t="s">
        <v>1431</v>
      </c>
      <c r="H369" t="s">
        <v>255</v>
      </c>
      <c r="I369">
        <v>2014</v>
      </c>
      <c r="J369">
        <v>45</v>
      </c>
      <c r="K369" t="s">
        <v>2123</v>
      </c>
      <c r="L369"/>
      <c r="M369" t="str">
        <f>LEFT($D369,FIND(",",$D369)-1)&amp;"_"&amp;I369&amp;L369</f>
        <v>Pukkala_2014</v>
      </c>
      <c r="N369" t="s">
        <v>223</v>
      </c>
      <c r="O369" s="171" t="s">
        <v>226</v>
      </c>
      <c r="P369" t="s">
        <v>1156</v>
      </c>
      <c r="Q369"/>
      <c r="R369" s="264" t="s">
        <v>224</v>
      </c>
      <c r="S369" s="1" t="s">
        <v>2124</v>
      </c>
      <c r="T369" t="s">
        <v>2125</v>
      </c>
      <c r="U369" t="s">
        <v>2126</v>
      </c>
      <c r="V369">
        <v>0</v>
      </c>
      <c r="W369">
        <v>0</v>
      </c>
      <c r="X369">
        <v>0</v>
      </c>
      <c r="Y369">
        <v>0</v>
      </c>
      <c r="Z369">
        <v>0</v>
      </c>
      <c r="AA369">
        <v>0</v>
      </c>
      <c r="AB369">
        <v>0</v>
      </c>
      <c r="AC369">
        <v>0</v>
      </c>
      <c r="AD369">
        <v>0</v>
      </c>
      <c r="AE369">
        <v>0</v>
      </c>
      <c r="AF369">
        <v>1</v>
      </c>
      <c r="AG369">
        <v>0</v>
      </c>
      <c r="AH369">
        <v>0</v>
      </c>
      <c r="AI369">
        <v>0</v>
      </c>
      <c r="AJ369">
        <v>0</v>
      </c>
      <c r="AK369">
        <v>0</v>
      </c>
      <c r="AL369">
        <v>0</v>
      </c>
      <c r="AM369">
        <v>0</v>
      </c>
      <c r="AN369">
        <v>0</v>
      </c>
      <c r="AO369">
        <v>0</v>
      </c>
      <c r="AP369">
        <v>0</v>
      </c>
      <c r="AQ369">
        <v>0</v>
      </c>
      <c r="AR369">
        <v>0</v>
      </c>
      <c r="AS369">
        <v>0</v>
      </c>
      <c r="AT369">
        <v>0</v>
      </c>
      <c r="AU369">
        <v>0</v>
      </c>
      <c r="AV369">
        <v>0</v>
      </c>
      <c r="AW369">
        <v>0</v>
      </c>
      <c r="AX369" s="141">
        <f>COUNTIF(V369:AW369,"&lt;&gt;0")</f>
        <v>1</v>
      </c>
      <c r="AY369" s="141">
        <f>COUNTIF(V369:AL369,"&lt;&gt;0")</f>
        <v>1</v>
      </c>
      <c r="AZ369">
        <f>COUNTIF(V369:AC369,"&lt;&gt;0")</f>
        <v>0</v>
      </c>
      <c r="BA369">
        <f>COUNTIF(AD369:AI369,"&lt;&gt;0")</f>
        <v>1</v>
      </c>
      <c r="BB369">
        <f>COUNTIF(AJ369:AL369,"&lt;&gt;0")</f>
        <v>0</v>
      </c>
      <c r="BC369">
        <f>COUNTIF(AS369:AW369,"&lt;&gt;0")</f>
        <v>0</v>
      </c>
      <c r="BD369">
        <f>COUNTIF(AM369:AR369,"&lt;&gt;0")</f>
        <v>0</v>
      </c>
      <c r="BE369" t="str">
        <f t="array" ref="BE369">IF(AY369=1,INDEX($V$7:$AL$7,MATCH(TRUE,INDEX($V369:$AW369&lt;&gt;0,),0)),IF(AY369=0,INDEX($AM$7:$AW$7,MATCH(1,$AM369:$AW369,0)),IF(BF369="Multiple strategies","mixed drivers",IF(BF369="Supply chain","multiple supply","multiple silviculture"))))</f>
        <v>supply chain organization</v>
      </c>
      <c r="BF369" s="2" t="str" cm="1">
        <f t="array" ref="BF369">IF(COUNTIF(AZ369:BB369,"&lt;&gt;0")=1,INDEX($V$4:$AW$4,MATCH(TRUE,INDEX($V369:$AW369&lt;&gt;0,),0)),IF(COUNTIF(AZ369:BB369,"&lt;&gt;0")=0,INDEX($AM$4:$AW$4,MATCH(1,$AM369:$AW369,0)),"Multiple strategies"))</f>
        <v>Supply chain</v>
      </c>
      <c r="BG369" s="1" t="s">
        <v>230</v>
      </c>
      <c r="BH369" t="s">
        <v>2127</v>
      </c>
      <c r="BI369" t="s">
        <v>2128</v>
      </c>
      <c r="BJ369" t="s">
        <v>2129</v>
      </c>
      <c r="BK369">
        <v>1.004</v>
      </c>
      <c r="BL369">
        <v>1.0920000000000001</v>
      </c>
      <c r="BM369">
        <f>IFERROR(BL369/BK369,"")</f>
        <v>1.0876494023904384</v>
      </c>
      <c r="BN369">
        <f>BL369-BK369</f>
        <v>8.8000000000000078E-2</v>
      </c>
      <c r="BO369">
        <f>+BN369*tC_to_m3</f>
        <v>0.38211029092488097</v>
      </c>
      <c r="BP369" t="s">
        <v>233</v>
      </c>
      <c r="BQ369" t="s">
        <v>2130</v>
      </c>
      <c r="BR369" t="s">
        <v>2129</v>
      </c>
      <c r="BS369">
        <v>0.19400000000000001</v>
      </c>
      <c r="BT369">
        <v>5.2999999999999999E-2</v>
      </c>
      <c r="BU369" s="144">
        <f>BT369/BS369</f>
        <v>0.27319587628865977</v>
      </c>
      <c r="BV369">
        <f>BT369-BS369</f>
        <v>-0.14100000000000001</v>
      </c>
      <c r="BW369"/>
      <c r="BX369" s="185">
        <f>BV369*C_to_CO2</f>
        <v>-0.5174700000000001</v>
      </c>
      <c r="BY369">
        <f>IFERROR(BX369/BO369,"")</f>
        <v>-1.3542425113636354</v>
      </c>
      <c r="BZ369">
        <v>0</v>
      </c>
      <c r="CA369">
        <v>0</v>
      </c>
      <c r="CB369">
        <v>0</v>
      </c>
      <c r="CC369">
        <v>0</v>
      </c>
      <c r="CD369">
        <v>0</v>
      </c>
      <c r="CE369">
        <v>0</v>
      </c>
      <c r="CF369">
        <v>0</v>
      </c>
      <c r="CG369">
        <v>0</v>
      </c>
      <c r="CH369">
        <v>0</v>
      </c>
      <c r="CI369">
        <v>0</v>
      </c>
      <c r="CJ369">
        <v>0</v>
      </c>
      <c r="CK369">
        <v>0</v>
      </c>
      <c r="CL369">
        <v>0</v>
      </c>
      <c r="CM369">
        <v>1</v>
      </c>
      <c r="CN369" t="str">
        <f>IF($BL369&lt;$BK369,"refNeedCorrection","refOK")</f>
        <v>refOK</v>
      </c>
      <c r="CO369">
        <f>IF($CN369="refOK",$BK369,$BL369)</f>
        <v>1.004</v>
      </c>
      <c r="CP369">
        <f>IF($CN369="refOK",$BL369,$BK369)</f>
        <v>1.0920000000000001</v>
      </c>
      <c r="CQ369">
        <f>IF($CN369="refOK",$BO369,-$BO369)</f>
        <v>0.38211029092488097</v>
      </c>
      <c r="CR369">
        <f>IF($CN369="refOK",$BS369,$BT369)*IF($BP369="Emissions positive",-1,1)</f>
        <v>0.19400000000000001</v>
      </c>
      <c r="CS369">
        <f>IF($CN369="refOK",$BT369,$BS369)*IF($BP369="Emissions positive",-1,1)</f>
        <v>5.2999999999999999E-2</v>
      </c>
      <c r="CT369">
        <f>IF($CN369="refNeedCorrection",-BX369,BX369)*IF($BP369="Emissions positive",-1,1)</f>
        <v>-0.5174700000000001</v>
      </c>
      <c r="CU369">
        <f>IFERROR(CT369/CQ369,"")</f>
        <v>-1.3542425113636354</v>
      </c>
      <c r="CV369" s="2">
        <f>IFERROR((CS369-CR369)/ABS(CR369),"")</f>
        <v>-0.72680412371134029</v>
      </c>
      <c r="CW369" s="1" t="s">
        <v>2038</v>
      </c>
      <c r="CX369" t="str">
        <f>IF(OR($CW369="prd",$CW369="std",$CW369="cit"),"loc",IF(OR($CW369="eur",$CW369="reg",$CW369="coy"),"reg",$CW369))</f>
        <v>reg</v>
      </c>
      <c r="CY369" t="s">
        <v>236</v>
      </c>
      <c r="CZ369"/>
      <c r="DA369"/>
      <c r="DB369">
        <v>30</v>
      </c>
      <c r="DC369" t="str">
        <f>IF(DB369=0,"0",IF(AND(DB369&gt;=1,DB369&lt;=30),"1-30",IF(AND(DB369&gt;30,DB369&lt;=70),"31-70",IF(AND(DB369&gt;70,DB369&lt;=100),"71-100",IF(DB369&gt;100,"+100")))))</f>
        <v>1-30</v>
      </c>
      <c r="DD369">
        <v>1</v>
      </c>
      <c r="DE369">
        <v>0</v>
      </c>
      <c r="DF369">
        <v>0</v>
      </c>
      <c r="DG369">
        <v>0</v>
      </c>
      <c r="DH369">
        <v>0</v>
      </c>
      <c r="DI369">
        <f>SUM(DD369:DG369)</f>
        <v>1</v>
      </c>
      <c r="DJ369" t="str">
        <f>IF(DI369=1,INDEX($DD$7:$DG$7,MATCH(1,$DD369:$DG369,0)),"mixedProduct")</f>
        <v>UpstreamInput</v>
      </c>
      <c r="DK369" t="str">
        <f>IF(DD369=1,DK$7,0)</f>
        <v>Upstream</v>
      </c>
      <c r="DL369">
        <f>IF(DE369=1,DL$7,0)</f>
        <v>0</v>
      </c>
      <c r="DM369">
        <f>IF(DF369=1,DM$7,0)</f>
        <v>0</v>
      </c>
      <c r="DN369">
        <f>IF(DG369=1,DN$7,0)</f>
        <v>0</v>
      </c>
      <c r="DO369">
        <v>0</v>
      </c>
      <c r="DP369" s="185">
        <v>0</v>
      </c>
      <c r="DQ369" s="190"/>
      <c r="DR369" s="190"/>
      <c r="DS369" s="184">
        <v>0</v>
      </c>
      <c r="DT369"/>
      <c r="DU369" s="143" t="str">
        <f>IF(DO369=1,"self-calculated DF",IF(DP369=1,"external DF used","explicit C balance"))</f>
        <v>explicit C balance</v>
      </c>
      <c r="DV369">
        <v>1</v>
      </c>
      <c r="DW369">
        <v>1</v>
      </c>
      <c r="DX369">
        <v>1</v>
      </c>
      <c r="DY369">
        <v>1</v>
      </c>
      <c r="DZ369">
        <v>1</v>
      </c>
      <c r="EA369" s="185">
        <v>0</v>
      </c>
      <c r="EB369">
        <v>0</v>
      </c>
      <c r="EC369">
        <v>0</v>
      </c>
      <c r="ED369" s="185">
        <v>0</v>
      </c>
      <c r="EE369">
        <v>0</v>
      </c>
      <c r="EF369">
        <v>1</v>
      </c>
      <c r="EG369">
        <v>0</v>
      </c>
      <c r="EH369">
        <v>0</v>
      </c>
      <c r="EI369" s="2">
        <v>0</v>
      </c>
      <c r="EJ369" s="1"/>
      <c r="EK369" t="str">
        <f>IF(AND(AND(AND(OR($DX369=1,$DW369=1),OR($EC369=1,$EA369=1)),SUM($DV369:$DZ369,$EF369)&gt;=4),SUM($EA369:$EE369)&gt;=2),"Whole sector","")</f>
        <v/>
      </c>
      <c r="EL369" t="str">
        <f>IF(AND(AND(OR($DX369=1,$DW369=1),AND($EC369=0,$EA369=0)),SUM($DV369:$DZ369,$EF369)&gt;=4),"Ecosystem approach","")</f>
        <v>Ecosystem approach</v>
      </c>
      <c r="EM369" s="2" t="str">
        <f>IF(AND(AND(AND($DX369=0,$DW369=0),OR($EC369=1,$EA369=1)),SUM($EB369:$EE369)&gt;=2),"Technology approach","")</f>
        <v/>
      </c>
      <c r="EN369"/>
      <c r="EO369"/>
      <c r="EP369" t="str">
        <f>IF(ISNUMBER(BU369),IF(ABS(BU369-[2]QC_indicators!$B$2)&gt;3*[2]QC_indicators!$C$2,"C ratio",IF(ISNUMBER(BY369),IF(ABS(BY369-[2]QC_indicators!$B$1)&gt;3*[2]QC_indicators!$C$1,"DF","no"))),IF(ISNUMBER(BY369),IF(ABS(BY369-[2]QC_indicators!$B$1)&gt;3*[2]QC_indicators!$C$1,"DF","no")))</f>
        <v>no</v>
      </c>
      <c r="EQ369"/>
      <c r="ER369"/>
      <c r="ES369"/>
      <c r="ET369" s="266" t="s">
        <v>3225</v>
      </c>
      <c r="EU369"/>
    </row>
    <row r="370" spans="1:151" s="139" customFormat="1" ht="15" customHeight="1">
      <c r="A370" s="1" t="s">
        <v>1425</v>
      </c>
      <c r="B370" t="s">
        <v>2118</v>
      </c>
      <c r="C370" t="s">
        <v>2119</v>
      </c>
      <c r="D370" t="s">
        <v>2120</v>
      </c>
      <c r="E370" t="s">
        <v>2121</v>
      </c>
      <c r="F370" t="s">
        <v>2122</v>
      </c>
      <c r="G370" t="s">
        <v>1431</v>
      </c>
      <c r="H370" t="s">
        <v>255</v>
      </c>
      <c r="I370">
        <v>2014</v>
      </c>
      <c r="J370">
        <v>45</v>
      </c>
      <c r="K370" t="s">
        <v>2123</v>
      </c>
      <c r="L370"/>
      <c r="M370" t="str">
        <f>LEFT($D370,FIND(",",$D370)-1)&amp;"_"&amp;I370&amp;L370</f>
        <v>Pukkala_2014</v>
      </c>
      <c r="N370" t="s">
        <v>223</v>
      </c>
      <c r="O370" s="171" t="s">
        <v>226</v>
      </c>
      <c r="P370" t="s">
        <v>1156</v>
      </c>
      <c r="Q370"/>
      <c r="R370" s="264" t="s">
        <v>224</v>
      </c>
      <c r="S370" s="1" t="s">
        <v>2134</v>
      </c>
      <c r="T370" t="s">
        <v>2135</v>
      </c>
      <c r="U370" t="s">
        <v>2126</v>
      </c>
      <c r="V370">
        <v>0</v>
      </c>
      <c r="W370">
        <v>0</v>
      </c>
      <c r="X370">
        <v>0</v>
      </c>
      <c r="Y370">
        <v>0</v>
      </c>
      <c r="Z370">
        <v>0</v>
      </c>
      <c r="AA370">
        <v>0</v>
      </c>
      <c r="AB370">
        <v>0</v>
      </c>
      <c r="AC370">
        <v>0</v>
      </c>
      <c r="AD370">
        <v>0</v>
      </c>
      <c r="AE370">
        <v>0</v>
      </c>
      <c r="AF370">
        <v>1</v>
      </c>
      <c r="AG370">
        <v>0</v>
      </c>
      <c r="AH370">
        <v>0</v>
      </c>
      <c r="AI370">
        <v>0</v>
      </c>
      <c r="AJ370">
        <v>0</v>
      </c>
      <c r="AK370">
        <v>0</v>
      </c>
      <c r="AL370">
        <v>0</v>
      </c>
      <c r="AM370">
        <v>0</v>
      </c>
      <c r="AN370">
        <v>0</v>
      </c>
      <c r="AO370">
        <v>0</v>
      </c>
      <c r="AP370">
        <v>0</v>
      </c>
      <c r="AQ370">
        <v>0</v>
      </c>
      <c r="AR370">
        <v>0</v>
      </c>
      <c r="AS370">
        <v>0</v>
      </c>
      <c r="AT370">
        <v>0</v>
      </c>
      <c r="AU370">
        <v>0</v>
      </c>
      <c r="AV370">
        <v>0</v>
      </c>
      <c r="AW370">
        <v>0</v>
      </c>
      <c r="AX370" s="141">
        <f>COUNTIF(V370:AW370,"&lt;&gt;0")</f>
        <v>1</v>
      </c>
      <c r="AY370" s="141">
        <f>COUNTIF(V370:AL370,"&lt;&gt;0")</f>
        <v>1</v>
      </c>
      <c r="AZ370">
        <f>COUNTIF(V370:AC370,"&lt;&gt;0")</f>
        <v>0</v>
      </c>
      <c r="BA370">
        <f>COUNTIF(AD370:AI370,"&lt;&gt;0")</f>
        <v>1</v>
      </c>
      <c r="BB370">
        <f>COUNTIF(AJ370:AL370,"&lt;&gt;0")</f>
        <v>0</v>
      </c>
      <c r="BC370">
        <f>COUNTIF(AS370:AW370,"&lt;&gt;0")</f>
        <v>0</v>
      </c>
      <c r="BD370">
        <f>COUNTIF(AM370:AR370,"&lt;&gt;0")</f>
        <v>0</v>
      </c>
      <c r="BE370" t="str">
        <f t="array" ref="BE370">IF(AY370=1,INDEX($V$7:$AL$7,MATCH(TRUE,INDEX($V370:$AW370&lt;&gt;0,),0)),IF(AY370=0,INDEX($AM$7:$AW$7,MATCH(1,$AM370:$AW370,0)),IF(BF370="Multiple strategies","mixed drivers",IF(BF370="Supply chain","multiple supply","multiple silviculture"))))</f>
        <v>supply chain organization</v>
      </c>
      <c r="BF370" s="2" t="str" cm="1">
        <f t="array" ref="BF370">IF(COUNTIF(AZ370:BB370,"&lt;&gt;0")=1,INDEX($V$4:$AW$4,MATCH(TRUE,INDEX($V370:$AW370&lt;&gt;0,),0)),IF(COUNTIF(AZ370:BB370,"&lt;&gt;0")=0,INDEX($AM$4:$AW$4,MATCH(1,$AM370:$AW370,0)),"Multiple strategies"))</f>
        <v>Supply chain</v>
      </c>
      <c r="BG370" s="1" t="s">
        <v>230</v>
      </c>
      <c r="BH370" t="s">
        <v>2127</v>
      </c>
      <c r="BI370" t="s">
        <v>2128</v>
      </c>
      <c r="BJ370" t="s">
        <v>2129</v>
      </c>
      <c r="BK370">
        <v>1.002</v>
      </c>
      <c r="BL370">
        <v>1.0920000000000001</v>
      </c>
      <c r="BM370">
        <f>IFERROR(BL370/BK370,"")</f>
        <v>1.0898203592814373</v>
      </c>
      <c r="BN370">
        <f>BL370-BK370</f>
        <v>9.000000000000008E-2</v>
      </c>
      <c r="BO370">
        <f>+BN370*tC_to_m3</f>
        <v>0.39079461571862822</v>
      </c>
      <c r="BP370" t="s">
        <v>233</v>
      </c>
      <c r="BQ370" t="s">
        <v>2130</v>
      </c>
      <c r="BR370" t="s">
        <v>2129</v>
      </c>
      <c r="BS370">
        <v>7.8E-2</v>
      </c>
      <c r="BT370">
        <v>5.2999999999999999E-2</v>
      </c>
      <c r="BU370" s="144">
        <f>BT370/BS370</f>
        <v>0.67948717948717952</v>
      </c>
      <c r="BV370">
        <f>BT370-BS370</f>
        <v>-2.5000000000000001E-2</v>
      </c>
      <c r="BW370"/>
      <c r="BX370" s="185">
        <f>BV370*C_to_CO2</f>
        <v>-9.1749999999999998E-2</v>
      </c>
      <c r="BY370">
        <f>IFERROR(BX370/BO370,"")</f>
        <v>-0.23477805555555534</v>
      </c>
      <c r="BZ370">
        <v>0</v>
      </c>
      <c r="CA370">
        <v>0</v>
      </c>
      <c r="CB370">
        <v>0</v>
      </c>
      <c r="CC370">
        <v>0</v>
      </c>
      <c r="CD370">
        <v>0</v>
      </c>
      <c r="CE370">
        <v>0</v>
      </c>
      <c r="CF370">
        <v>0</v>
      </c>
      <c r="CG370">
        <v>0</v>
      </c>
      <c r="CH370">
        <v>0</v>
      </c>
      <c r="CI370">
        <v>0</v>
      </c>
      <c r="CJ370">
        <v>0</v>
      </c>
      <c r="CK370">
        <v>0</v>
      </c>
      <c r="CL370">
        <v>0</v>
      </c>
      <c r="CM370">
        <v>1</v>
      </c>
      <c r="CN370" t="str">
        <f>IF($BL370&lt;$BK370,"refNeedCorrection","refOK")</f>
        <v>refOK</v>
      </c>
      <c r="CO370">
        <f>IF($CN370="refOK",$BK370,$BL370)</f>
        <v>1.002</v>
      </c>
      <c r="CP370">
        <f>IF($CN370="refOK",$BL370,$BK370)</f>
        <v>1.0920000000000001</v>
      </c>
      <c r="CQ370">
        <f>IF($CN370="refOK",$BO370,-$BO370)</f>
        <v>0.39079461571862822</v>
      </c>
      <c r="CR370">
        <f>IF($CN370="refOK",$BS370,$BT370)*IF($BP370="Emissions positive",-1,1)</f>
        <v>7.8E-2</v>
      </c>
      <c r="CS370">
        <f>IF($CN370="refOK",$BT370,$BS370)*IF($BP370="Emissions positive",-1,1)</f>
        <v>5.2999999999999999E-2</v>
      </c>
      <c r="CT370">
        <f>IF($CN370="refNeedCorrection",-BX370,BX370)*IF($BP370="Emissions positive",-1,1)</f>
        <v>-9.1749999999999998E-2</v>
      </c>
      <c r="CU370">
        <f>IFERROR(CT370/CQ370,"")</f>
        <v>-0.23477805555555534</v>
      </c>
      <c r="CV370" s="2">
        <f>IFERROR((CS370-CR370)/ABS(CR370),"")</f>
        <v>-0.32051282051282054</v>
      </c>
      <c r="CW370" s="1" t="s">
        <v>2038</v>
      </c>
      <c r="CX370" t="str">
        <f>IF(OR($CW370="prd",$CW370="std",$CW370="cit"),"loc",IF(OR($CW370="eur",$CW370="reg",$CW370="coy"),"reg",$CW370))</f>
        <v>reg</v>
      </c>
      <c r="CY370" t="s">
        <v>236</v>
      </c>
      <c r="CZ370"/>
      <c r="DA370"/>
      <c r="DB370">
        <v>30</v>
      </c>
      <c r="DC370" t="str">
        <f>IF(DB370=0,"0",IF(AND(DB370&gt;=1,DB370&lt;=30),"1-30",IF(AND(DB370&gt;30,DB370&lt;=70),"31-70",IF(AND(DB370&gt;70,DB370&lt;=100),"71-100",IF(DB370&gt;100,"+100")))))</f>
        <v>1-30</v>
      </c>
      <c r="DD370">
        <v>1</v>
      </c>
      <c r="DE370">
        <v>0</v>
      </c>
      <c r="DF370">
        <v>0</v>
      </c>
      <c r="DG370">
        <v>0</v>
      </c>
      <c r="DH370">
        <v>0</v>
      </c>
      <c r="DI370">
        <f>SUM(DD370:DG370)</f>
        <v>1</v>
      </c>
      <c r="DJ370" t="str">
        <f>IF(DI370=1,INDEX($DD$7:$DG$7,MATCH(1,$DD370:$DG370,0)),"mixedProduct")</f>
        <v>UpstreamInput</v>
      </c>
      <c r="DK370" t="str">
        <f>IF(DD370=1,DK$7,0)</f>
        <v>Upstream</v>
      </c>
      <c r="DL370">
        <f>IF(DE370=1,DL$7,0)</f>
        <v>0</v>
      </c>
      <c r="DM370">
        <f>IF(DF370=1,DM$7,0)</f>
        <v>0</v>
      </c>
      <c r="DN370">
        <f>IF(DG370=1,DN$7,0)</f>
        <v>0</v>
      </c>
      <c r="DO370">
        <v>0</v>
      </c>
      <c r="DP370" s="185">
        <v>0</v>
      </c>
      <c r="DQ370" s="190"/>
      <c r="DR370" s="190"/>
      <c r="DS370" s="184">
        <v>0</v>
      </c>
      <c r="DT370"/>
      <c r="DU370" s="143" t="str">
        <f>IF(DO370=1,"self-calculated DF",IF(DP370=1,"external DF used","explicit C balance"))</f>
        <v>explicit C balance</v>
      </c>
      <c r="DV370">
        <v>1</v>
      </c>
      <c r="DW370">
        <v>1</v>
      </c>
      <c r="DX370">
        <v>1</v>
      </c>
      <c r="DY370">
        <v>1</v>
      </c>
      <c r="DZ370">
        <v>1</v>
      </c>
      <c r="EA370">
        <v>0</v>
      </c>
      <c r="EB370">
        <v>0</v>
      </c>
      <c r="EC370">
        <v>0</v>
      </c>
      <c r="ED370">
        <v>0</v>
      </c>
      <c r="EE370">
        <v>0</v>
      </c>
      <c r="EF370">
        <v>1</v>
      </c>
      <c r="EG370">
        <v>0</v>
      </c>
      <c r="EH370">
        <v>0</v>
      </c>
      <c r="EI370" s="2">
        <v>0</v>
      </c>
      <c r="EJ370" s="1"/>
      <c r="EK370" t="str">
        <f>IF(AND(AND(AND(OR($DX370=1,$DW370=1),OR($EC370=1,$EA370=1)),SUM($DV370:$DZ370,$EF370)&gt;=4),SUM($EA370:$EE370)&gt;=2),"Whole sector","")</f>
        <v/>
      </c>
      <c r="EL370" t="str">
        <f>IF(AND(AND(OR($DX370=1,$DW370=1),AND($EC370=0,$EA370=0)),SUM($DV370:$DZ370,$EF370)&gt;=4),"Ecosystem approach","")</f>
        <v>Ecosystem approach</v>
      </c>
      <c r="EM370" s="2" t="str">
        <f>IF(AND(AND(AND($DX370=0,$DW370=0),OR($EC370=1,$EA370=1)),SUM($EB370:$EE370)&gt;=2),"Technology approach","")</f>
        <v/>
      </c>
      <c r="EN370"/>
      <c r="EO370"/>
      <c r="EP370" t="str">
        <f>IF(ISNUMBER(BU370),IF(ABS(BU370-[2]QC_indicators!$B$2)&gt;3*[2]QC_indicators!$C$2,"C ratio",IF(ISNUMBER(BY370),IF(ABS(BY370-[2]QC_indicators!$B$1)&gt;3*[2]QC_indicators!$C$1,"DF","no"))),IF(ISNUMBER(BY370),IF(ABS(BY370-[2]QC_indicators!$B$1)&gt;3*[2]QC_indicators!$C$1,"DF","no")))</f>
        <v>no</v>
      </c>
      <c r="EQ370"/>
      <c r="ER370"/>
      <c r="ES370"/>
      <c r="ET370" s="266" t="s">
        <v>3225</v>
      </c>
      <c r="EU370"/>
    </row>
    <row r="371" spans="1:151" s="139" customFormat="1" ht="15" customHeight="1">
      <c r="A371" s="1" t="s">
        <v>1425</v>
      </c>
      <c r="B371" t="s">
        <v>2118</v>
      </c>
      <c r="C371" t="s">
        <v>2119</v>
      </c>
      <c r="D371" t="s">
        <v>2120</v>
      </c>
      <c r="E371" t="s">
        <v>2121</v>
      </c>
      <c r="F371" t="s">
        <v>2122</v>
      </c>
      <c r="G371" t="s">
        <v>1431</v>
      </c>
      <c r="H371" t="s">
        <v>255</v>
      </c>
      <c r="I371">
        <v>2014</v>
      </c>
      <c r="J371">
        <v>45</v>
      </c>
      <c r="K371" t="s">
        <v>2123</v>
      </c>
      <c r="L371"/>
      <c r="M371" t="str">
        <f>LEFT($D371,FIND(",",$D371)-1)&amp;"_"&amp;I371&amp;L371</f>
        <v>Pukkala_2014</v>
      </c>
      <c r="N371" t="s">
        <v>223</v>
      </c>
      <c r="O371" s="171" t="s">
        <v>226</v>
      </c>
      <c r="P371" t="s">
        <v>1156</v>
      </c>
      <c r="Q371"/>
      <c r="R371" s="264" t="s">
        <v>224</v>
      </c>
      <c r="S371" s="1" t="s">
        <v>2124</v>
      </c>
      <c r="T371" t="s">
        <v>2125</v>
      </c>
      <c r="U371" t="s">
        <v>2126</v>
      </c>
      <c r="V371">
        <v>0</v>
      </c>
      <c r="W371">
        <v>0</v>
      </c>
      <c r="X371">
        <v>0</v>
      </c>
      <c r="Y371">
        <v>0</v>
      </c>
      <c r="Z371">
        <v>0</v>
      </c>
      <c r="AA371">
        <v>0</v>
      </c>
      <c r="AB371">
        <v>0</v>
      </c>
      <c r="AC371">
        <v>0</v>
      </c>
      <c r="AD371">
        <v>0</v>
      </c>
      <c r="AE371">
        <v>0</v>
      </c>
      <c r="AF371">
        <v>1</v>
      </c>
      <c r="AG371">
        <v>0</v>
      </c>
      <c r="AH371">
        <v>0</v>
      </c>
      <c r="AI371">
        <v>0</v>
      </c>
      <c r="AJ371">
        <v>0</v>
      </c>
      <c r="AK371">
        <v>0</v>
      </c>
      <c r="AL371">
        <v>0</v>
      </c>
      <c r="AM371">
        <v>0</v>
      </c>
      <c r="AN371">
        <v>0</v>
      </c>
      <c r="AO371">
        <v>0</v>
      </c>
      <c r="AP371">
        <v>0</v>
      </c>
      <c r="AQ371">
        <v>0</v>
      </c>
      <c r="AR371">
        <v>0</v>
      </c>
      <c r="AS371">
        <v>0</v>
      </c>
      <c r="AT371">
        <v>0</v>
      </c>
      <c r="AU371">
        <v>0</v>
      </c>
      <c r="AV371">
        <v>0</v>
      </c>
      <c r="AW371">
        <v>0</v>
      </c>
      <c r="AX371" s="141">
        <f>COUNTIF(V371:AW371,"&lt;&gt;0")</f>
        <v>1</v>
      </c>
      <c r="AY371" s="141">
        <f>COUNTIF(V371:AL371,"&lt;&gt;0")</f>
        <v>1</v>
      </c>
      <c r="AZ371">
        <f>COUNTIF(V371:AC371,"&lt;&gt;0")</f>
        <v>0</v>
      </c>
      <c r="BA371">
        <f>COUNTIF(AD371:AI371,"&lt;&gt;0")</f>
        <v>1</v>
      </c>
      <c r="BB371">
        <f>COUNTIF(AJ371:AL371,"&lt;&gt;0")</f>
        <v>0</v>
      </c>
      <c r="BC371">
        <f>COUNTIF(AS371:AW371,"&lt;&gt;0")</f>
        <v>0</v>
      </c>
      <c r="BD371">
        <f>COUNTIF(AM371:AR371,"&lt;&gt;0")</f>
        <v>0</v>
      </c>
      <c r="BE371" t="str">
        <f t="array" ref="BE371">IF(AY371=1,INDEX($V$7:$AL$7,MATCH(TRUE,INDEX($V371:$AW371&lt;&gt;0,),0)),IF(AY371=0,INDEX($AM$7:$AW$7,MATCH(1,$AM371:$AW371,0)),IF(BF371="Multiple strategies","mixed drivers",IF(BF371="Supply chain","multiple supply","multiple silviculture"))))</f>
        <v>supply chain organization</v>
      </c>
      <c r="BF371" s="2" t="str" cm="1">
        <f t="array" ref="BF371">IF(COUNTIF(AZ371:BB371,"&lt;&gt;0")=1,INDEX($V$4:$AW$4,MATCH(TRUE,INDEX($V371:$AW371&lt;&gt;0,),0)),IF(COUNTIF(AZ371:BB371,"&lt;&gt;0")=0,INDEX($AM$4:$AW$4,MATCH(1,$AM371:$AW371,0)),"Multiple strategies"))</f>
        <v>Supply chain</v>
      </c>
      <c r="BG371" s="1" t="s">
        <v>230</v>
      </c>
      <c r="BH371" t="s">
        <v>2127</v>
      </c>
      <c r="BI371" t="s">
        <v>2128</v>
      </c>
      <c r="BJ371" t="s">
        <v>2129</v>
      </c>
      <c r="BK371">
        <v>1.004</v>
      </c>
      <c r="BL371">
        <v>1.0920000000000001</v>
      </c>
      <c r="BM371">
        <f>IFERROR(BL371/BK371,"")</f>
        <v>1.0876494023904384</v>
      </c>
      <c r="BN371">
        <f>BL371-BK371</f>
        <v>8.8000000000000078E-2</v>
      </c>
      <c r="BO371">
        <f>+BN371*tC_to_m3</f>
        <v>0.38211029092488097</v>
      </c>
      <c r="BP371" t="s">
        <v>233</v>
      </c>
      <c r="BQ371" t="s">
        <v>2130</v>
      </c>
      <c r="BR371" t="s">
        <v>2129</v>
      </c>
      <c r="BS371" s="185">
        <f>0.194-0.202</f>
        <v>-8.0000000000000071E-3</v>
      </c>
      <c r="BT371">
        <f>0.053-0.243</f>
        <v>-0.19</v>
      </c>
      <c r="BU371" s="144">
        <f>BT371/BS371</f>
        <v>23.749999999999979</v>
      </c>
      <c r="BV371">
        <f>BT371-BS371</f>
        <v>-0.182</v>
      </c>
      <c r="BW371"/>
      <c r="BX371" s="185">
        <f>BV371*C_to_CO2</f>
        <v>-0.66793999999999998</v>
      </c>
      <c r="BY371">
        <f>IFERROR(BX371/BO371,"")</f>
        <v>-1.748029340909089</v>
      </c>
      <c r="BZ371">
        <v>0</v>
      </c>
      <c r="CA371">
        <v>0</v>
      </c>
      <c r="CB371">
        <v>0</v>
      </c>
      <c r="CC371">
        <v>0</v>
      </c>
      <c r="CD371">
        <v>0</v>
      </c>
      <c r="CE371">
        <v>0</v>
      </c>
      <c r="CF371">
        <v>0</v>
      </c>
      <c r="CG371">
        <v>0</v>
      </c>
      <c r="CH371">
        <v>0</v>
      </c>
      <c r="CI371">
        <v>0</v>
      </c>
      <c r="CJ371">
        <v>0</v>
      </c>
      <c r="CK371">
        <v>0</v>
      </c>
      <c r="CL371">
        <v>0</v>
      </c>
      <c r="CM371">
        <v>1</v>
      </c>
      <c r="CN371" t="str">
        <f>IF($BL371&lt;$BK371,"refNeedCorrection","refOK")</f>
        <v>refOK</v>
      </c>
      <c r="CO371">
        <f>IF($CN371="refOK",$BK371,$BL371)</f>
        <v>1.004</v>
      </c>
      <c r="CP371">
        <f>IF($CN371="refOK",$BL371,$BK371)</f>
        <v>1.0920000000000001</v>
      </c>
      <c r="CQ371">
        <f>IF($CN371="refOK",$BO371,-$BO371)</f>
        <v>0.38211029092488097</v>
      </c>
      <c r="CR371">
        <f>IF($CN371="refOK",$BS371,$BT371)*IF($BP371="Emissions positive",-1,1)</f>
        <v>-8.0000000000000071E-3</v>
      </c>
      <c r="CS371">
        <f>IF($CN371="refOK",$BT371,$BS371)*IF($BP371="Emissions positive",-1,1)</f>
        <v>-0.19</v>
      </c>
      <c r="CT371">
        <f>IF($CN371="refNeedCorrection",-BX371,BX371)*IF($BP371="Emissions positive",-1,1)</f>
        <v>-0.66793999999999998</v>
      </c>
      <c r="CU371">
        <f>IFERROR(CT371/CQ371,"")</f>
        <v>-1.748029340909089</v>
      </c>
      <c r="CV371" s="2">
        <f>IFERROR((CS371-CR371)/ABS(CR371),"")</f>
        <v>-22.749999999999979</v>
      </c>
      <c r="CW371" s="1" t="s">
        <v>2038</v>
      </c>
      <c r="CX371" t="str">
        <f>IF(OR($CW371="prd",$CW371="std",$CW371="cit"),"loc",IF(OR($CW371="eur",$CW371="reg",$CW371="coy"),"reg",$CW371))</f>
        <v>reg</v>
      </c>
      <c r="CY371" t="s">
        <v>236</v>
      </c>
      <c r="CZ371"/>
      <c r="DA371"/>
      <c r="DB371">
        <v>30</v>
      </c>
      <c r="DC371" t="str">
        <f>IF(DB371=0,"0",IF(AND(DB371&gt;=1,DB371&lt;=30),"1-30",IF(AND(DB371&gt;30,DB371&lt;=70),"31-70",IF(AND(DB371&gt;70,DB371&lt;=100),"71-100",IF(DB371&gt;100,"+100")))))</f>
        <v>1-30</v>
      </c>
      <c r="DD371">
        <v>1</v>
      </c>
      <c r="DE371">
        <v>0</v>
      </c>
      <c r="DF371">
        <v>0</v>
      </c>
      <c r="DG371">
        <v>0</v>
      </c>
      <c r="DH371">
        <v>0</v>
      </c>
      <c r="DI371">
        <f>SUM(DD371:DG371)</f>
        <v>1</v>
      </c>
      <c r="DJ371" t="str">
        <f>IF(DI371=1,INDEX($DD$7:$DG$7,MATCH(1,$DD371:$DG371,0)),"mixedProduct")</f>
        <v>UpstreamInput</v>
      </c>
      <c r="DK371" t="str">
        <f>IF(DD371=1,DK$7,0)</f>
        <v>Upstream</v>
      </c>
      <c r="DL371">
        <f>IF(DE371=1,DL$7,0)</f>
        <v>0</v>
      </c>
      <c r="DM371">
        <f>IF(DF371=1,DM$7,0)</f>
        <v>0</v>
      </c>
      <c r="DN371">
        <f>IF(DG371=1,DN$7,0)</f>
        <v>0</v>
      </c>
      <c r="DO371">
        <v>0</v>
      </c>
      <c r="DP371" s="185">
        <v>0</v>
      </c>
      <c r="DQ371" s="190"/>
      <c r="DR371" s="190"/>
      <c r="DS371" s="184">
        <v>0</v>
      </c>
      <c r="DT371"/>
      <c r="DU371" s="143" t="str">
        <f>IF(DO371=1,"self-calculated DF",IF(DP371=1,"external DF used","explicit C balance"))</f>
        <v>explicit C balance</v>
      </c>
      <c r="DV371">
        <v>1</v>
      </c>
      <c r="DW371">
        <v>1</v>
      </c>
      <c r="DX371">
        <v>1</v>
      </c>
      <c r="DY371">
        <v>0</v>
      </c>
      <c r="DZ371">
        <v>0</v>
      </c>
      <c r="EA371" s="185">
        <v>0</v>
      </c>
      <c r="EB371">
        <v>0</v>
      </c>
      <c r="EC371">
        <v>0</v>
      </c>
      <c r="ED371" s="185">
        <v>0</v>
      </c>
      <c r="EE371">
        <v>0</v>
      </c>
      <c r="EF371">
        <v>1</v>
      </c>
      <c r="EG371">
        <v>0</v>
      </c>
      <c r="EH371">
        <v>0</v>
      </c>
      <c r="EI371" s="2">
        <v>0</v>
      </c>
      <c r="EJ371" s="1"/>
      <c r="EK371" t="str">
        <f>IF(AND(AND(AND(OR($DX371=1,$DW371=1),OR($EC371=1,$EA371=1)),SUM($DV371:$DZ371,$EF371)&gt;=4),SUM($EA371:$EE371)&gt;=2),"Whole sector","")</f>
        <v/>
      </c>
      <c r="EL371" t="str">
        <f>IF(AND(AND(OR($DX371=1,$DW371=1),AND($EC371=0,$EA371=0)),SUM($DV371:$DZ371,$EF371)&gt;=4),"Ecosystem approach","")</f>
        <v>Ecosystem approach</v>
      </c>
      <c r="EM371" s="2" t="str">
        <f>IF(AND(AND(AND($DX371=0,$DW371=0),OR($EC371=1,$EA371=1)),SUM($EB371:$EE371)&gt;=2),"Technology approach","")</f>
        <v/>
      </c>
      <c r="EN371"/>
      <c r="EO371"/>
      <c r="EP371" t="str">
        <f>IF(ISNUMBER(BU371),IF(ABS(BU371-[2]QC_indicators!$B$2)&gt;3*[2]QC_indicators!$C$2,"C ratio",IF(ISNUMBER(BY371),IF(ABS(BY371-[2]QC_indicators!$B$1)&gt;3*[2]QC_indicators!$C$1,"DF","no"))),IF(ISNUMBER(BY371),IF(ABS(BY371-[2]QC_indicators!$B$1)&gt;3*[2]QC_indicators!$C$1,"DF","no")))</f>
        <v>C ratio</v>
      </c>
      <c r="EQ371"/>
      <c r="ER371"/>
      <c r="ES371"/>
      <c r="ET371" s="266" t="s">
        <v>3225</v>
      </c>
      <c r="EU371"/>
    </row>
    <row r="372" spans="1:151" s="139" customFormat="1" ht="15" customHeight="1">
      <c r="A372" s="1" t="s">
        <v>1425</v>
      </c>
      <c r="B372" t="s">
        <v>2118</v>
      </c>
      <c r="C372" t="s">
        <v>2119</v>
      </c>
      <c r="D372" t="s">
        <v>2120</v>
      </c>
      <c r="E372" t="s">
        <v>2121</v>
      </c>
      <c r="F372" t="s">
        <v>2122</v>
      </c>
      <c r="G372" t="s">
        <v>1431</v>
      </c>
      <c r="H372" t="s">
        <v>255</v>
      </c>
      <c r="I372">
        <v>2014</v>
      </c>
      <c r="J372">
        <v>45</v>
      </c>
      <c r="K372" t="s">
        <v>2123</v>
      </c>
      <c r="L372"/>
      <c r="M372" t="str">
        <f>LEFT($D372,FIND(",",$D372)-1)&amp;"_"&amp;I372&amp;L372</f>
        <v>Pukkala_2014</v>
      </c>
      <c r="N372" t="s">
        <v>223</v>
      </c>
      <c r="O372" s="171" t="s">
        <v>226</v>
      </c>
      <c r="P372" t="s">
        <v>1156</v>
      </c>
      <c r="Q372"/>
      <c r="R372" s="264" t="s">
        <v>224</v>
      </c>
      <c r="S372" s="1" t="s">
        <v>2134</v>
      </c>
      <c r="T372" t="s">
        <v>2135</v>
      </c>
      <c r="U372" t="s">
        <v>2126</v>
      </c>
      <c r="V372">
        <v>0</v>
      </c>
      <c r="W372">
        <v>0</v>
      </c>
      <c r="X372">
        <v>0</v>
      </c>
      <c r="Y372">
        <v>0</v>
      </c>
      <c r="Z372">
        <v>0</v>
      </c>
      <c r="AA372">
        <v>0</v>
      </c>
      <c r="AB372">
        <v>0</v>
      </c>
      <c r="AC372">
        <v>0</v>
      </c>
      <c r="AD372">
        <v>0</v>
      </c>
      <c r="AE372">
        <v>0</v>
      </c>
      <c r="AF372">
        <v>1</v>
      </c>
      <c r="AG372">
        <v>0</v>
      </c>
      <c r="AH372">
        <v>0</v>
      </c>
      <c r="AI372">
        <v>0</v>
      </c>
      <c r="AJ372">
        <v>0</v>
      </c>
      <c r="AK372">
        <v>0</v>
      </c>
      <c r="AL372">
        <v>0</v>
      </c>
      <c r="AM372">
        <v>0</v>
      </c>
      <c r="AN372">
        <v>0</v>
      </c>
      <c r="AO372">
        <v>0</v>
      </c>
      <c r="AP372">
        <v>0</v>
      </c>
      <c r="AQ372">
        <v>0</v>
      </c>
      <c r="AR372">
        <v>0</v>
      </c>
      <c r="AS372">
        <v>0</v>
      </c>
      <c r="AT372">
        <v>0</v>
      </c>
      <c r="AU372">
        <v>0</v>
      </c>
      <c r="AV372">
        <v>0</v>
      </c>
      <c r="AW372">
        <v>0</v>
      </c>
      <c r="AX372" s="141">
        <f>COUNTIF(V372:AW372,"&lt;&gt;0")</f>
        <v>1</v>
      </c>
      <c r="AY372" s="141">
        <f>COUNTIF(V372:AL372,"&lt;&gt;0")</f>
        <v>1</v>
      </c>
      <c r="AZ372">
        <f>COUNTIF(V372:AC372,"&lt;&gt;0")</f>
        <v>0</v>
      </c>
      <c r="BA372">
        <f>COUNTIF(AD372:AI372,"&lt;&gt;0")</f>
        <v>1</v>
      </c>
      <c r="BB372">
        <f>COUNTIF(AJ372:AL372,"&lt;&gt;0")</f>
        <v>0</v>
      </c>
      <c r="BC372">
        <f>COUNTIF(AS372:AW372,"&lt;&gt;0")</f>
        <v>0</v>
      </c>
      <c r="BD372">
        <f>COUNTIF(AM372:AR372,"&lt;&gt;0")</f>
        <v>0</v>
      </c>
      <c r="BE372" t="str">
        <f t="array" ref="BE372">IF(AY372=1,INDEX($V$7:$AL$7,MATCH(TRUE,INDEX($V372:$AW372&lt;&gt;0,),0)),IF(AY372=0,INDEX($AM$7:$AW$7,MATCH(1,$AM372:$AW372,0)),IF(BF372="Multiple strategies","mixed drivers",IF(BF372="Supply chain","multiple supply","multiple silviculture"))))</f>
        <v>supply chain organization</v>
      </c>
      <c r="BF372" s="2" t="str" cm="1">
        <f t="array" ref="BF372">IF(COUNTIF(AZ372:BB372,"&lt;&gt;0")=1,INDEX($V$4:$AW$4,MATCH(TRUE,INDEX($V372:$AW372&lt;&gt;0,),0)),IF(COUNTIF(AZ372:BB372,"&lt;&gt;0")=0,INDEX($AM$4:$AW$4,MATCH(1,$AM372:$AW372,0)),"Multiple strategies"))</f>
        <v>Supply chain</v>
      </c>
      <c r="BG372" s="1" t="s">
        <v>230</v>
      </c>
      <c r="BH372" t="s">
        <v>2127</v>
      </c>
      <c r="BI372" t="s">
        <v>2128</v>
      </c>
      <c r="BJ372" t="s">
        <v>2129</v>
      </c>
      <c r="BK372">
        <v>1.002</v>
      </c>
      <c r="BL372">
        <v>1.0920000000000001</v>
      </c>
      <c r="BM372">
        <f>IFERROR(BL372/BK372,"")</f>
        <v>1.0898203592814373</v>
      </c>
      <c r="BN372">
        <f>BL372-BK372</f>
        <v>9.000000000000008E-2</v>
      </c>
      <c r="BO372">
        <f>+BN372*tC_to_m3</f>
        <v>0.39079461571862822</v>
      </c>
      <c r="BP372" t="s">
        <v>233</v>
      </c>
      <c r="BQ372" t="s">
        <v>2130</v>
      </c>
      <c r="BR372" t="s">
        <v>2129</v>
      </c>
      <c r="BS372">
        <f>0.078-0.163</f>
        <v>-8.5000000000000006E-2</v>
      </c>
      <c r="BT372">
        <f>0.053-0.243</f>
        <v>-0.19</v>
      </c>
      <c r="BU372" s="144">
        <f>BT372/BS372</f>
        <v>2.2352941176470589</v>
      </c>
      <c r="BV372">
        <f>BT372-BS372</f>
        <v>-0.105</v>
      </c>
      <c r="BW372"/>
      <c r="BX372" s="185">
        <f>BV372*C_to_CO2</f>
        <v>-0.38534999999999997</v>
      </c>
      <c r="BY372">
        <f>IFERROR(BX372/BO372,"")</f>
        <v>-0.98606783333333237</v>
      </c>
      <c r="BZ372">
        <v>0</v>
      </c>
      <c r="CA372">
        <v>0</v>
      </c>
      <c r="CB372">
        <v>0</v>
      </c>
      <c r="CC372">
        <v>0</v>
      </c>
      <c r="CD372">
        <v>0</v>
      </c>
      <c r="CE372">
        <v>0</v>
      </c>
      <c r="CF372">
        <v>0</v>
      </c>
      <c r="CG372">
        <v>0</v>
      </c>
      <c r="CH372">
        <v>0</v>
      </c>
      <c r="CI372">
        <v>0</v>
      </c>
      <c r="CJ372">
        <v>0</v>
      </c>
      <c r="CK372">
        <v>0</v>
      </c>
      <c r="CL372">
        <v>0</v>
      </c>
      <c r="CM372">
        <v>1</v>
      </c>
      <c r="CN372" t="str">
        <f>IF($BL372&lt;$BK372,"refNeedCorrection","refOK")</f>
        <v>refOK</v>
      </c>
      <c r="CO372">
        <f>IF($CN372="refOK",$BK372,$BL372)</f>
        <v>1.002</v>
      </c>
      <c r="CP372">
        <f>IF($CN372="refOK",$BL372,$BK372)</f>
        <v>1.0920000000000001</v>
      </c>
      <c r="CQ372">
        <f>IF($CN372="refOK",$BO372,-$BO372)</f>
        <v>0.39079461571862822</v>
      </c>
      <c r="CR372">
        <f>IF($CN372="refOK",$BS372,$BT372)*IF($BP372="Emissions positive",-1,1)</f>
        <v>-8.5000000000000006E-2</v>
      </c>
      <c r="CS372">
        <f>IF($CN372="refOK",$BT372,$BS372)*IF($BP372="Emissions positive",-1,1)</f>
        <v>-0.19</v>
      </c>
      <c r="CT372">
        <f>IF($CN372="refNeedCorrection",-BX372,BX372)*IF($BP372="Emissions positive",-1,1)</f>
        <v>-0.38534999999999997</v>
      </c>
      <c r="CU372">
        <f>IFERROR(CT372/CQ372,"")</f>
        <v>-0.98606783333333237</v>
      </c>
      <c r="CV372" s="2">
        <f>IFERROR((CS372-CR372)/ABS(CR372),"")</f>
        <v>-1.2352941176470587</v>
      </c>
      <c r="CW372" s="1" t="s">
        <v>2038</v>
      </c>
      <c r="CX372" t="str">
        <f>IF(OR($CW372="prd",$CW372="std",$CW372="cit"),"loc",IF(OR($CW372="eur",$CW372="reg",$CW372="coy"),"reg",$CW372))</f>
        <v>reg</v>
      </c>
      <c r="CY372" t="s">
        <v>236</v>
      </c>
      <c r="CZ372"/>
      <c r="DA372"/>
      <c r="DB372">
        <v>30</v>
      </c>
      <c r="DC372" t="str">
        <f>IF(DB372=0,"0",IF(AND(DB372&gt;=1,DB372&lt;=30),"1-30",IF(AND(DB372&gt;30,DB372&lt;=70),"31-70",IF(AND(DB372&gt;70,DB372&lt;=100),"71-100",IF(DB372&gt;100,"+100")))))</f>
        <v>1-30</v>
      </c>
      <c r="DD372">
        <v>1</v>
      </c>
      <c r="DE372">
        <v>0</v>
      </c>
      <c r="DF372">
        <v>0</v>
      </c>
      <c r="DG372">
        <v>0</v>
      </c>
      <c r="DH372">
        <v>0</v>
      </c>
      <c r="DI372">
        <f>SUM(DD372:DG372)</f>
        <v>1</v>
      </c>
      <c r="DJ372" t="str">
        <f>IF(DI372=1,INDEX($DD$7:$DG$7,MATCH(1,$DD372:$DG372,0)),"mixedProduct")</f>
        <v>UpstreamInput</v>
      </c>
      <c r="DK372" t="str">
        <f>IF(DD372=1,DK$7,0)</f>
        <v>Upstream</v>
      </c>
      <c r="DL372">
        <f>IF(DE372=1,DL$7,0)</f>
        <v>0</v>
      </c>
      <c r="DM372">
        <f>IF(DF372=1,DM$7,0)</f>
        <v>0</v>
      </c>
      <c r="DN372">
        <f>IF(DG372=1,DN$7,0)</f>
        <v>0</v>
      </c>
      <c r="DO372">
        <v>0</v>
      </c>
      <c r="DP372" s="185">
        <v>0</v>
      </c>
      <c r="DQ372" s="190"/>
      <c r="DR372" s="190"/>
      <c r="DS372" s="184">
        <v>0</v>
      </c>
      <c r="DT372"/>
      <c r="DU372" s="143" t="str">
        <f>IF(DO372=1,"self-calculated DF",IF(DP372=1,"external DF used","explicit C balance"))</f>
        <v>explicit C balance</v>
      </c>
      <c r="DV372">
        <v>1</v>
      </c>
      <c r="DW372">
        <v>1</v>
      </c>
      <c r="DX372">
        <v>1</v>
      </c>
      <c r="DY372">
        <v>0</v>
      </c>
      <c r="DZ372">
        <v>0</v>
      </c>
      <c r="EA372">
        <v>0</v>
      </c>
      <c r="EB372">
        <v>0</v>
      </c>
      <c r="EC372">
        <v>0</v>
      </c>
      <c r="ED372">
        <v>0</v>
      </c>
      <c r="EE372">
        <v>0</v>
      </c>
      <c r="EF372">
        <v>1</v>
      </c>
      <c r="EG372">
        <v>0</v>
      </c>
      <c r="EH372">
        <v>0</v>
      </c>
      <c r="EI372" s="2">
        <v>0</v>
      </c>
      <c r="EJ372" s="1"/>
      <c r="EK372" t="str">
        <f>IF(AND(AND(AND(OR($DX372=1,$DW372=1),OR($EC372=1,$EA372=1)),SUM($DV372:$DZ372,$EF372)&gt;=4),SUM($EA372:$EE372)&gt;=2),"Whole sector","")</f>
        <v/>
      </c>
      <c r="EL372" t="str">
        <f>IF(AND(AND(OR($DX372=1,$DW372=1),AND($EC372=0,$EA372=0)),SUM($DV372:$DZ372,$EF372)&gt;=4),"Ecosystem approach","")</f>
        <v>Ecosystem approach</v>
      </c>
      <c r="EM372" s="2" t="str">
        <f>IF(AND(AND(AND($DX372=0,$DW372=0),OR($EC372=1,$EA372=1)),SUM($EB372:$EE372)&gt;=2),"Technology approach","")</f>
        <v/>
      </c>
      <c r="EN372"/>
      <c r="EO372"/>
      <c r="EP372" t="str">
        <f>IF(ISNUMBER(BU372),IF(ABS(BU372-[2]QC_indicators!$B$2)&gt;3*[2]QC_indicators!$C$2,"C ratio",IF(ISNUMBER(BY372),IF(ABS(BY372-[2]QC_indicators!$B$1)&gt;3*[2]QC_indicators!$C$1,"DF","no"))),IF(ISNUMBER(BY372),IF(ABS(BY372-[2]QC_indicators!$B$1)&gt;3*[2]QC_indicators!$C$1,"DF","no")))</f>
        <v>no</v>
      </c>
      <c r="EQ372"/>
      <c r="ER372"/>
      <c r="ES372"/>
      <c r="ET372" s="266" t="s">
        <v>3225</v>
      </c>
      <c r="EU372"/>
    </row>
    <row r="373" spans="1:151" s="139" customFormat="1" ht="15" customHeight="1">
      <c r="A373" s="1" t="s">
        <v>2556</v>
      </c>
      <c r="B373" t="s">
        <v>2557</v>
      </c>
      <c r="C373" t="s">
        <v>2558</v>
      </c>
      <c r="D373" t="s">
        <v>2559</v>
      </c>
      <c r="E373" t="s">
        <v>2560</v>
      </c>
      <c r="F373" t="s">
        <v>2561</v>
      </c>
      <c r="G373" t="s">
        <v>2562</v>
      </c>
      <c r="H373" t="s">
        <v>255</v>
      </c>
      <c r="I373">
        <v>2015</v>
      </c>
      <c r="J373">
        <v>20</v>
      </c>
      <c r="K373" t="s">
        <v>2563</v>
      </c>
      <c r="L373"/>
      <c r="M373" t="str">
        <f>LEFT($D373,FIND(",",$D373)-1)&amp;"_"&amp;I373&amp;L373</f>
        <v>Meiyappan_2015</v>
      </c>
      <c r="N373" t="s">
        <v>223</v>
      </c>
      <c r="O373" s="145" t="s">
        <v>226</v>
      </c>
      <c r="P373"/>
      <c r="Q373" s="266" t="s">
        <v>257</v>
      </c>
      <c r="R373" s="271" t="s">
        <v>1156</v>
      </c>
      <c r="S373" s="1" t="s">
        <v>2564</v>
      </c>
      <c r="T373" t="s">
        <v>2565</v>
      </c>
      <c r="U373" s="143" t="s">
        <v>2566</v>
      </c>
      <c r="V373">
        <v>2</v>
      </c>
      <c r="W373">
        <v>0</v>
      </c>
      <c r="X373">
        <v>0</v>
      </c>
      <c r="Y373">
        <v>0</v>
      </c>
      <c r="Z373">
        <v>0</v>
      </c>
      <c r="AA373">
        <v>0</v>
      </c>
      <c r="AB373">
        <v>0</v>
      </c>
      <c r="AC373">
        <v>0</v>
      </c>
      <c r="AD373">
        <v>0</v>
      </c>
      <c r="AE373">
        <v>0</v>
      </c>
      <c r="AF373">
        <v>0</v>
      </c>
      <c r="AG373">
        <v>0</v>
      </c>
      <c r="AH373">
        <v>0</v>
      </c>
      <c r="AI373">
        <v>0</v>
      </c>
      <c r="AJ373">
        <v>0</v>
      </c>
      <c r="AK373">
        <v>0</v>
      </c>
      <c r="AL373">
        <v>0</v>
      </c>
      <c r="AM373">
        <v>0</v>
      </c>
      <c r="AN373">
        <v>1</v>
      </c>
      <c r="AO373">
        <v>2</v>
      </c>
      <c r="AP373">
        <v>2</v>
      </c>
      <c r="AQ373">
        <v>0</v>
      </c>
      <c r="AR373">
        <v>2</v>
      </c>
      <c r="AS373">
        <v>0</v>
      </c>
      <c r="AT373">
        <v>0</v>
      </c>
      <c r="AU373">
        <v>0</v>
      </c>
      <c r="AV373">
        <v>0</v>
      </c>
      <c r="AW373">
        <v>0</v>
      </c>
      <c r="AX373" s="141">
        <f>COUNTIF(V373:AW373,"&lt;&gt;0")</f>
        <v>5</v>
      </c>
      <c r="AY373" s="141">
        <f>COUNTIF(V373:AL373,"&lt;&gt;0")</f>
        <v>1</v>
      </c>
      <c r="AZ373">
        <f>COUNTIF(V373:AC373,"&lt;&gt;0")</f>
        <v>1</v>
      </c>
      <c r="BA373">
        <f>COUNTIF(AD373:AI373,"&lt;&gt;0")</f>
        <v>0</v>
      </c>
      <c r="BB373">
        <f>COUNTIF(AJ373:AL373,"&lt;&gt;0")</f>
        <v>0</v>
      </c>
      <c r="BC373">
        <f>COUNTIF(AS373:AW373,"&lt;&gt;0")</f>
        <v>0</v>
      </c>
      <c r="BD373">
        <f>COUNTIF(AM373:AR373,"&lt;&gt;0")</f>
        <v>4</v>
      </c>
      <c r="BE373" t="str" cm="1">
        <f t="array" ref="BE373">IF(AY373=1,INDEX($V$7:$AL$7,MATCH(TRUE,INDEX($V373:$AW373&lt;&gt;0,),0)),IF(AY373=0,INDEX($AM$7:$AW$7,MATCH(1,$AM373:$AW373,0)),IF(BF373="Multiple strategies","mixed drivers",IF(BF373="Supply chain","multiple supply","multiple silviculture"))))</f>
        <v>area subject to harvest</v>
      </c>
      <c r="BF373" s="2" t="str" cm="1">
        <f t="array" ref="BF373">IF(COUNTIF(AZ373:BB373,"&lt;&gt;0")=1,INDEX($V$4:$AW$4,MATCH(TRUE,INDEX($V373:$AW373&lt;&gt;0,),0)),IF(COUNTIF(AZ373:BB373,"&lt;&gt;0")=0,INDEX($AM$4:$AW$4,MATCH(1,$AM373:$AW373,0)),"Multiple strategies"))</f>
        <v>SilvicultureRemov</v>
      </c>
      <c r="BG373" s="142" t="s">
        <v>322</v>
      </c>
      <c r="BH373" t="s">
        <v>2567</v>
      </c>
      <c r="BI373"/>
      <c r="BJ373" s="143" t="s">
        <v>2568</v>
      </c>
      <c r="BK373" s="143">
        <v>69</v>
      </c>
      <c r="BL373" s="143">
        <v>143</v>
      </c>
      <c r="BM373">
        <f>BL373/BK373</f>
        <v>2.0724637681159419</v>
      </c>
      <c r="BN373">
        <f>BL373-BK373</f>
        <v>74</v>
      </c>
      <c r="BO373" s="143">
        <f>BN373*10^9*tC_to_m3</f>
        <v>321320017368.6496</v>
      </c>
      <c r="BP373" s="266" t="s">
        <v>233</v>
      </c>
      <c r="BQ373" s="266"/>
      <c r="BR373" t="s">
        <v>2569</v>
      </c>
      <c r="BS373" s="143">
        <v>-163</v>
      </c>
      <c r="BT373">
        <v>-167</v>
      </c>
      <c r="BU373" s="144">
        <v>1.0245398773006136</v>
      </c>
      <c r="BV373">
        <v>-4</v>
      </c>
      <c r="BW373"/>
      <c r="BX373">
        <f>BV373*10^9*C_to_CO2</f>
        <v>-14680000000</v>
      </c>
      <c r="BY373">
        <f>IFERROR(BX373/BO373,"")</f>
        <v>-4.5686540540540541E-2</v>
      </c>
      <c r="BZ373">
        <v>0</v>
      </c>
      <c r="CA373">
        <v>0</v>
      </c>
      <c r="CB373">
        <v>0</v>
      </c>
      <c r="CC373">
        <v>0</v>
      </c>
      <c r="CD373">
        <v>0</v>
      </c>
      <c r="CE373">
        <v>0</v>
      </c>
      <c r="CF373">
        <v>0</v>
      </c>
      <c r="CG373">
        <v>0</v>
      </c>
      <c r="CH373">
        <v>0</v>
      </c>
      <c r="CI373">
        <v>0</v>
      </c>
      <c r="CJ373">
        <v>0</v>
      </c>
      <c r="CK373">
        <v>0</v>
      </c>
      <c r="CL373">
        <v>0</v>
      </c>
      <c r="CM373">
        <v>0</v>
      </c>
      <c r="CN373" t="str">
        <f>IF($BL373&lt;$BK373,"refNeedCorrection","refOK")</f>
        <v>refOK</v>
      </c>
      <c r="CO373">
        <f>IF($CN373="refOK",$BK373,$BL373)</f>
        <v>69</v>
      </c>
      <c r="CP373">
        <f>IF($CN373="refOK",$BL373,$BK373)</f>
        <v>143</v>
      </c>
      <c r="CQ373">
        <f>IF($CN373="refOK",$BO373,-$BO373)</f>
        <v>321320017368.6496</v>
      </c>
      <c r="CR373">
        <f>IF($CN373="refOK",$BS373,$BT373)*IF($BP373="Emissions positive",-1,1)</f>
        <v>-163</v>
      </c>
      <c r="CS373">
        <f>IF($CN373="refOK",$BT373,$BS373)*IF($BP373="Emissions positive",-1,1)</f>
        <v>-167</v>
      </c>
      <c r="CT373">
        <f>IF($CN373="refNeedCorrection",-BX373,BX373)*IF($BP373="Emissions positive",-1,1)</f>
        <v>-14680000000</v>
      </c>
      <c r="CU373">
        <f>IFERROR(CT373/CQ373,"")</f>
        <v>-4.5686540540540541E-2</v>
      </c>
      <c r="CV373" s="2">
        <f>IFERROR((CS373-CR373)/ABS(CR373),"")</f>
        <v>-2.4539877300613498E-2</v>
      </c>
      <c r="CW373" s="1" t="s">
        <v>2541</v>
      </c>
      <c r="CX373" s="266" t="str">
        <f>IF(OR($CW373="prd",$CW373="std",$CW373="cit"),"loc",IF(OR($CW373="eur",$CW373="reg",$CW373="coy"),"reg",$CW373))</f>
        <v>w</v>
      </c>
      <c r="CY373" s="266" t="s">
        <v>2542</v>
      </c>
      <c r="CZ373">
        <v>1901</v>
      </c>
      <c r="DA373" s="143">
        <v>2100</v>
      </c>
      <c r="DB373" s="143">
        <v>200</v>
      </c>
      <c r="DC373" t="str">
        <f>IF(DB373=0,"0",IF(AND(DB373&gt;=1,DB373&lt;=30),"1-30",IF(AND(DB373&gt;30,DB373&lt;=70),"31-70",IF(AND(DB373&gt;70,DB373&lt;=100),"71-100",IF(DB373&gt;100,"+100")))))</f>
        <v>+100</v>
      </c>
      <c r="DD373">
        <v>1</v>
      </c>
      <c r="DE373">
        <v>0</v>
      </c>
      <c r="DF373">
        <v>0</v>
      </c>
      <c r="DG373">
        <v>0</v>
      </c>
      <c r="DH373"/>
      <c r="DI373">
        <f>SUM(DD373:DG373)</f>
        <v>1</v>
      </c>
      <c r="DJ373" t="str">
        <f>IF(DI373=1,INDEX($DD$7:$DG$7,MATCH(1,$DD373:$DG373,0)),"mixedProduct")</f>
        <v>UpstreamInput</v>
      </c>
      <c r="DK373" t="str">
        <f>IF(DD373=1,DK$7,0)</f>
        <v>Upstream</v>
      </c>
      <c r="DL373">
        <f>IF(DE373=1,DL$7,0)</f>
        <v>0</v>
      </c>
      <c r="DM373">
        <f>IF(DF373=1,DM$7,0)</f>
        <v>0</v>
      </c>
      <c r="DN373">
        <f>IF(DG373=1,DN$7,0)</f>
        <v>0</v>
      </c>
      <c r="DO373">
        <v>0</v>
      </c>
      <c r="DP373" s="143">
        <v>0</v>
      </c>
      <c r="DQ373" s="143">
        <v>0</v>
      </c>
      <c r="DR373">
        <v>0</v>
      </c>
      <c r="DS373" s="143">
        <v>0</v>
      </c>
      <c r="DT373">
        <f>SUM(DO373:DP373)</f>
        <v>0</v>
      </c>
      <c r="DU373" s="143" t="str">
        <f>IF(DO373=1,"self-calculated DF",IF(DP373=1,"external DF used","explicit C balance"))</f>
        <v>explicit C balance</v>
      </c>
      <c r="DV373" s="143">
        <v>1</v>
      </c>
      <c r="DW373" s="143">
        <v>1</v>
      </c>
      <c r="DX373" s="143">
        <v>1</v>
      </c>
      <c r="DY373" s="143">
        <v>1</v>
      </c>
      <c r="DZ373">
        <v>1</v>
      </c>
      <c r="EA373" s="143">
        <v>0</v>
      </c>
      <c r="EB373" s="143">
        <v>0</v>
      </c>
      <c r="EC373" s="143">
        <v>0</v>
      </c>
      <c r="ED373" s="143">
        <v>0</v>
      </c>
      <c r="EE373">
        <v>0</v>
      </c>
      <c r="EF373">
        <v>0</v>
      </c>
      <c r="EG373" s="143">
        <v>0</v>
      </c>
      <c r="EH373">
        <v>0</v>
      </c>
      <c r="EI373" s="2">
        <v>0</v>
      </c>
      <c r="EJ373" s="1"/>
      <c r="EK373" t="str">
        <f>IF(AND(AND(AND(OR($DX373=1,$DW373=1),OR($EC373=1,$EA373=1)),SUM($DV373:$DZ373,$EF373)&gt;=4),SUM($EA373:$EE373)&gt;=2),"Whole sector","")</f>
        <v/>
      </c>
      <c r="EL373" t="str">
        <f>IF(AND(AND(OR($DX373=1,$DW373=1),AND($EC373=0,$EA373=0)),SUM($DV373:$DZ373,$EF373)&gt;=4),"Ecosystem approach","")</f>
        <v>Ecosystem approach</v>
      </c>
      <c r="EM373" s="2" t="str">
        <f>IF(AND(AND(AND($DX373=0,$DW373=0),OR($EC373=1,$EA373=1)),SUM($EB373:$EE373)&gt;=2),"Technology approach","")</f>
        <v/>
      </c>
      <c r="EN373"/>
      <c r="EO373"/>
      <c r="EP373" t="str">
        <f>IF(ISNUMBER(BU373),IF(ABS(BU373-[1]QC_indicators!$B$2)&gt;3*[1]QC_indicators!$C$2,"C ratio",IF(ISNUMBER(BY373),IF(ABS(BY373-[1]QC_indicators!$B$1)&gt;3*[1]QC_indicators!$C$1,"DF","no"))),IF(ISNUMBER(BY373),IF(ABS(BY373-[1]QC_indicators!$B$1)&gt;3*[1]QC_indicators!$C$1,"DF","no")))</f>
        <v>no</v>
      </c>
      <c r="EQ373"/>
      <c r="ER373" s="296" t="s">
        <v>350</v>
      </c>
      <c r="ES373"/>
      <c r="ET373" s="266" t="s">
        <v>3409</v>
      </c>
      <c r="EU373"/>
    </row>
    <row r="374" spans="1:151" s="139" customFormat="1" ht="15" customHeight="1">
      <c r="A374" s="1" t="s">
        <v>2556</v>
      </c>
      <c r="B374" t="s">
        <v>2557</v>
      </c>
      <c r="C374" t="s">
        <v>2558</v>
      </c>
      <c r="D374" t="s">
        <v>2559</v>
      </c>
      <c r="E374" t="s">
        <v>2560</v>
      </c>
      <c r="F374" t="s">
        <v>2561</v>
      </c>
      <c r="G374" t="s">
        <v>2562</v>
      </c>
      <c r="H374" t="s">
        <v>255</v>
      </c>
      <c r="I374">
        <v>2015</v>
      </c>
      <c r="J374">
        <v>20</v>
      </c>
      <c r="K374" t="s">
        <v>2563</v>
      </c>
      <c r="L374"/>
      <c r="M374" t="str">
        <f>LEFT($D374,FIND(",",$D374)-1)&amp;"_"&amp;I374&amp;L374</f>
        <v>Meiyappan_2015</v>
      </c>
      <c r="N374" t="s">
        <v>223</v>
      </c>
      <c r="O374" s="145" t="s">
        <v>226</v>
      </c>
      <c r="P374"/>
      <c r="Q374" s="266" t="s">
        <v>257</v>
      </c>
      <c r="R374" s="271" t="s">
        <v>1156</v>
      </c>
      <c r="S374" s="1" t="s">
        <v>2564</v>
      </c>
      <c r="T374" t="s">
        <v>2565</v>
      </c>
      <c r="U374" s="143" t="s">
        <v>2570</v>
      </c>
      <c r="V374">
        <v>2</v>
      </c>
      <c r="W374">
        <v>0</v>
      </c>
      <c r="X374">
        <v>0</v>
      </c>
      <c r="Y374">
        <v>0</v>
      </c>
      <c r="Z374">
        <v>0</v>
      </c>
      <c r="AA374">
        <v>0</v>
      </c>
      <c r="AB374">
        <v>0</v>
      </c>
      <c r="AC374">
        <v>0</v>
      </c>
      <c r="AD374">
        <v>0</v>
      </c>
      <c r="AE374">
        <v>0</v>
      </c>
      <c r="AF374">
        <v>0</v>
      </c>
      <c r="AG374">
        <v>0</v>
      </c>
      <c r="AH374">
        <v>0</v>
      </c>
      <c r="AI374">
        <v>0</v>
      </c>
      <c r="AJ374">
        <v>0</v>
      </c>
      <c r="AK374">
        <v>0</v>
      </c>
      <c r="AL374">
        <v>0</v>
      </c>
      <c r="AM374">
        <v>0</v>
      </c>
      <c r="AN374">
        <v>1</v>
      </c>
      <c r="AO374">
        <v>2</v>
      </c>
      <c r="AP374">
        <v>2</v>
      </c>
      <c r="AQ374">
        <v>0</v>
      </c>
      <c r="AR374">
        <v>2</v>
      </c>
      <c r="AS374">
        <v>0</v>
      </c>
      <c r="AT374">
        <v>0</v>
      </c>
      <c r="AU374">
        <v>0</v>
      </c>
      <c r="AV374">
        <v>0</v>
      </c>
      <c r="AW374">
        <v>0</v>
      </c>
      <c r="AX374" s="141">
        <f>COUNTIF(V374:AW374,"&lt;&gt;0")</f>
        <v>5</v>
      </c>
      <c r="AY374" s="141">
        <f>COUNTIF(V374:AL374,"&lt;&gt;0")</f>
        <v>1</v>
      </c>
      <c r="AZ374">
        <f>COUNTIF(V374:AC374,"&lt;&gt;0")</f>
        <v>1</v>
      </c>
      <c r="BA374">
        <f>COUNTIF(AD374:AI374,"&lt;&gt;0")</f>
        <v>0</v>
      </c>
      <c r="BB374">
        <f>COUNTIF(AJ374:AL374,"&lt;&gt;0")</f>
        <v>0</v>
      </c>
      <c r="BC374">
        <f>COUNTIF(AS374:AW374,"&lt;&gt;0")</f>
        <v>0</v>
      </c>
      <c r="BD374">
        <f>COUNTIF(AM374:AR374,"&lt;&gt;0")</f>
        <v>4</v>
      </c>
      <c r="BE374" t="str" cm="1">
        <f t="array" ref="BE374">IF(AY374=1,INDEX($V$7:$AL$7,MATCH(TRUE,INDEX($V374:$AW374&lt;&gt;0,),0)),IF(AY374=0,INDEX($AM$7:$AW$7,MATCH(1,$AM374:$AW374,0)),IF(BF374="Multiple strategies","mixed drivers",IF(BF374="Supply chain","multiple supply","multiple silviculture"))))</f>
        <v>area subject to harvest</v>
      </c>
      <c r="BF374" s="2" t="str" cm="1">
        <f t="array" ref="BF374">IF(COUNTIF(AZ374:BB374,"&lt;&gt;0")=1,INDEX($V$4:$AW$4,MATCH(TRUE,INDEX($V374:$AW374&lt;&gt;0,),0)),IF(COUNTIF(AZ374:BB374,"&lt;&gt;0")=0,INDEX($AM$4:$AW$4,MATCH(1,$AM374:$AW374,0)),"Multiple strategies"))</f>
        <v>SilvicultureRemov</v>
      </c>
      <c r="BG374" s="142" t="s">
        <v>322</v>
      </c>
      <c r="BH374" t="s">
        <v>2567</v>
      </c>
      <c r="BI374"/>
      <c r="BJ374" s="143" t="s">
        <v>2568</v>
      </c>
      <c r="BK374" s="143">
        <v>69</v>
      </c>
      <c r="BL374" s="143">
        <v>113</v>
      </c>
      <c r="BM374">
        <f>BL374/BK374</f>
        <v>1.6376811594202898</v>
      </c>
      <c r="BN374">
        <f>BL374-BK374</f>
        <v>44</v>
      </c>
      <c r="BO374" s="143">
        <f>BN374*10^9*tC_to_m3</f>
        <v>191055145462.44031</v>
      </c>
      <c r="BP374" s="266" t="s">
        <v>233</v>
      </c>
      <c r="BQ374" s="266"/>
      <c r="BR374" t="s">
        <v>2569</v>
      </c>
      <c r="BS374" s="143">
        <v>-163</v>
      </c>
      <c r="BT374">
        <v>-123</v>
      </c>
      <c r="BU374" s="144">
        <v>0.754601226993865</v>
      </c>
      <c r="BV374">
        <v>40</v>
      </c>
      <c r="BW374"/>
      <c r="BX374">
        <f>BV374*10^9*C_to_CO2</f>
        <v>146800000000</v>
      </c>
      <c r="BY374">
        <f>IFERROR(BX374/BO374,"")</f>
        <v>0.76836454545454536</v>
      </c>
      <c r="BZ374">
        <v>0</v>
      </c>
      <c r="CA374">
        <v>0</v>
      </c>
      <c r="CB374">
        <v>0</v>
      </c>
      <c r="CC374">
        <v>0</v>
      </c>
      <c r="CD374">
        <v>0</v>
      </c>
      <c r="CE374">
        <v>0</v>
      </c>
      <c r="CF374">
        <v>0</v>
      </c>
      <c r="CG374">
        <v>0</v>
      </c>
      <c r="CH374">
        <v>0</v>
      </c>
      <c r="CI374">
        <v>0</v>
      </c>
      <c r="CJ374">
        <v>0</v>
      </c>
      <c r="CK374">
        <v>0</v>
      </c>
      <c r="CL374">
        <v>0</v>
      </c>
      <c r="CM374">
        <v>0</v>
      </c>
      <c r="CN374" t="str">
        <f>IF($BL374&lt;$BK374,"refNeedCorrection","refOK")</f>
        <v>refOK</v>
      </c>
      <c r="CO374">
        <f>IF($CN374="refOK",$BK374,$BL374)</f>
        <v>69</v>
      </c>
      <c r="CP374">
        <f>IF($CN374="refOK",$BL374,$BK374)</f>
        <v>113</v>
      </c>
      <c r="CQ374">
        <f>IF($CN374="refOK",$BO374,-$BO374)</f>
        <v>191055145462.44031</v>
      </c>
      <c r="CR374">
        <f>IF($CN374="refOK",$BS374,$BT374)*IF($BP374="Emissions positive",-1,1)</f>
        <v>-163</v>
      </c>
      <c r="CS374">
        <f>IF($CN374="refOK",$BT374,$BS374)*IF($BP374="Emissions positive",-1,1)</f>
        <v>-123</v>
      </c>
      <c r="CT374">
        <f>IF($CN374="refNeedCorrection",-BX374,BX374)*IF($BP374="Emissions positive",-1,1)</f>
        <v>146800000000</v>
      </c>
      <c r="CU374">
        <f>IFERROR(CT374/CQ374,"")</f>
        <v>0.76836454545454536</v>
      </c>
      <c r="CV374" s="2">
        <f>IFERROR((CS374-CR374)/ABS(CR374),"")</f>
        <v>0.24539877300613497</v>
      </c>
      <c r="CW374" s="1" t="s">
        <v>2541</v>
      </c>
      <c r="CX374" s="266" t="str">
        <f>IF(OR($CW374="prd",$CW374="std",$CW374="cit"),"loc",IF(OR($CW374="eur",$CW374="reg",$CW374="coy"),"reg",$CW374))</f>
        <v>w</v>
      </c>
      <c r="CY374" s="266" t="s">
        <v>2542</v>
      </c>
      <c r="CZ374">
        <v>1901</v>
      </c>
      <c r="DA374" s="143">
        <v>2100</v>
      </c>
      <c r="DB374" s="143">
        <v>200</v>
      </c>
      <c r="DC374" t="str">
        <f>IF(DB374=0,"0",IF(AND(DB374&gt;=1,DB374&lt;=30),"1-30",IF(AND(DB374&gt;30,DB374&lt;=70),"31-70",IF(AND(DB374&gt;70,DB374&lt;=100),"71-100",IF(DB374&gt;100,"+100")))))</f>
        <v>+100</v>
      </c>
      <c r="DD374">
        <v>1</v>
      </c>
      <c r="DE374">
        <v>0</v>
      </c>
      <c r="DF374">
        <v>0</v>
      </c>
      <c r="DG374">
        <v>0</v>
      </c>
      <c r="DH374"/>
      <c r="DI374">
        <f>SUM(DD374:DG374)</f>
        <v>1</v>
      </c>
      <c r="DJ374" t="str">
        <f>IF(DI374=1,INDEX($DD$7:$DG$7,MATCH(1,$DD374:$DG374,0)),"mixedProduct")</f>
        <v>UpstreamInput</v>
      </c>
      <c r="DK374" t="str">
        <f>IF(DD374=1,DK$7,0)</f>
        <v>Upstream</v>
      </c>
      <c r="DL374">
        <f>IF(DE374=1,DL$7,0)</f>
        <v>0</v>
      </c>
      <c r="DM374">
        <f>IF(DF374=1,DM$7,0)</f>
        <v>0</v>
      </c>
      <c r="DN374">
        <f>IF(DG374=1,DN$7,0)</f>
        <v>0</v>
      </c>
      <c r="DO374">
        <v>0</v>
      </c>
      <c r="DP374" s="143">
        <v>0</v>
      </c>
      <c r="DQ374" s="143">
        <v>0</v>
      </c>
      <c r="DR374">
        <v>0</v>
      </c>
      <c r="DS374" s="143">
        <v>0</v>
      </c>
      <c r="DT374">
        <f>SUM(DO374:DP374)</f>
        <v>0</v>
      </c>
      <c r="DU374" s="143" t="str">
        <f>IF(DO374=1,"self-calculated DF",IF(DP374=1,"external DF used","explicit C balance"))</f>
        <v>explicit C balance</v>
      </c>
      <c r="DV374" s="143">
        <v>1</v>
      </c>
      <c r="DW374" s="143">
        <v>1</v>
      </c>
      <c r="DX374" s="143">
        <v>1</v>
      </c>
      <c r="DY374" s="143">
        <v>1</v>
      </c>
      <c r="DZ374">
        <v>1</v>
      </c>
      <c r="EA374" s="143">
        <v>0</v>
      </c>
      <c r="EB374" s="143">
        <v>0</v>
      </c>
      <c r="EC374" s="143">
        <v>0</v>
      </c>
      <c r="ED374" s="143">
        <v>0</v>
      </c>
      <c r="EE374">
        <v>0</v>
      </c>
      <c r="EF374">
        <v>0</v>
      </c>
      <c r="EG374" s="143">
        <v>0</v>
      </c>
      <c r="EH374">
        <v>0</v>
      </c>
      <c r="EI374" s="2">
        <v>0</v>
      </c>
      <c r="EJ374" s="1"/>
      <c r="EK374" t="str">
        <f>IF(AND(AND(AND(OR($DX374=1,$DW374=1),OR($EC374=1,$EA374=1)),SUM($DV374:$DZ374,$EF374)&gt;=4),SUM($EA374:$EE374)&gt;=2),"Whole sector","")</f>
        <v/>
      </c>
      <c r="EL374" t="str">
        <f>IF(AND(AND(OR($DX374=1,$DW374=1),AND($EC374=0,$EA374=0)),SUM($DV374:$DZ374,$EF374)&gt;=4),"Ecosystem approach","")</f>
        <v>Ecosystem approach</v>
      </c>
      <c r="EM374" s="2" t="str">
        <f>IF(AND(AND(AND($DX374=0,$DW374=0),OR($EC374=1,$EA374=1)),SUM($EB374:$EE374)&gt;=2),"Technology approach","")</f>
        <v/>
      </c>
      <c r="EN374"/>
      <c r="EO374"/>
      <c r="EP374" t="str">
        <f>IF(ISNUMBER(BU374),IF(ABS(BU374-[1]QC_indicators!$B$2)&gt;3*[1]QC_indicators!$C$2,"C ratio",IF(ISNUMBER(BY374),IF(ABS(BY374-[1]QC_indicators!$B$1)&gt;3*[1]QC_indicators!$C$1,"DF","no"))),IF(ISNUMBER(BY374),IF(ABS(BY374-[1]QC_indicators!$B$1)&gt;3*[1]QC_indicators!$C$1,"DF","no")))</f>
        <v>no</v>
      </c>
      <c r="EQ374"/>
      <c r="ER374" s="296" t="s">
        <v>350</v>
      </c>
      <c r="ES374"/>
      <c r="ET374" s="266" t="s">
        <v>3409</v>
      </c>
      <c r="EU374"/>
    </row>
    <row r="375" spans="1:151" s="139" customFormat="1" ht="15" customHeight="1">
      <c r="A375" s="1" t="s">
        <v>2556</v>
      </c>
      <c r="B375" t="s">
        <v>2557</v>
      </c>
      <c r="C375" t="s">
        <v>2558</v>
      </c>
      <c r="D375" t="s">
        <v>2559</v>
      </c>
      <c r="E375" t="s">
        <v>2560</v>
      </c>
      <c r="F375" t="s">
        <v>2561</v>
      </c>
      <c r="G375" t="s">
        <v>2562</v>
      </c>
      <c r="H375" t="s">
        <v>255</v>
      </c>
      <c r="I375">
        <v>2015</v>
      </c>
      <c r="J375">
        <v>20</v>
      </c>
      <c r="K375" t="s">
        <v>2563</v>
      </c>
      <c r="L375"/>
      <c r="M375" t="str">
        <f>LEFT($D375,FIND(",",$D375)-1)&amp;"_"&amp;I375&amp;L375</f>
        <v>Meiyappan_2015</v>
      </c>
      <c r="N375" t="s">
        <v>223</v>
      </c>
      <c r="O375" s="145" t="s">
        <v>226</v>
      </c>
      <c r="P375"/>
      <c r="Q375" s="266" t="s">
        <v>257</v>
      </c>
      <c r="R375" s="271" t="s">
        <v>1156</v>
      </c>
      <c r="S375" s="1" t="s">
        <v>2564</v>
      </c>
      <c r="T375" t="s">
        <v>2565</v>
      </c>
      <c r="U375" s="143" t="s">
        <v>2571</v>
      </c>
      <c r="V375">
        <v>2</v>
      </c>
      <c r="W375">
        <v>0</v>
      </c>
      <c r="X375">
        <v>0</v>
      </c>
      <c r="Y375">
        <v>0</v>
      </c>
      <c r="Z375">
        <v>0</v>
      </c>
      <c r="AA375">
        <v>0</v>
      </c>
      <c r="AB375">
        <v>0</v>
      </c>
      <c r="AC375">
        <v>0</v>
      </c>
      <c r="AD375">
        <v>0</v>
      </c>
      <c r="AE375">
        <v>0</v>
      </c>
      <c r="AF375">
        <v>0</v>
      </c>
      <c r="AG375">
        <v>0</v>
      </c>
      <c r="AH375">
        <v>0</v>
      </c>
      <c r="AI375">
        <v>0</v>
      </c>
      <c r="AJ375">
        <v>0</v>
      </c>
      <c r="AK375">
        <v>0</v>
      </c>
      <c r="AL375">
        <v>0</v>
      </c>
      <c r="AM375">
        <v>0</v>
      </c>
      <c r="AN375">
        <v>1</v>
      </c>
      <c r="AO375">
        <v>2</v>
      </c>
      <c r="AP375">
        <v>2</v>
      </c>
      <c r="AQ375">
        <v>0</v>
      </c>
      <c r="AR375">
        <v>2</v>
      </c>
      <c r="AS375">
        <v>0</v>
      </c>
      <c r="AT375">
        <v>0</v>
      </c>
      <c r="AU375">
        <v>0</v>
      </c>
      <c r="AV375">
        <v>0</v>
      </c>
      <c r="AW375">
        <v>0</v>
      </c>
      <c r="AX375" s="141">
        <f>COUNTIF(V375:AW375,"&lt;&gt;0")</f>
        <v>5</v>
      </c>
      <c r="AY375" s="141">
        <f>COUNTIF(V375:AL375,"&lt;&gt;0")</f>
        <v>1</v>
      </c>
      <c r="AZ375">
        <f>COUNTIF(V375:AC375,"&lt;&gt;0")</f>
        <v>1</v>
      </c>
      <c r="BA375">
        <f>COUNTIF(AD375:AI375,"&lt;&gt;0")</f>
        <v>0</v>
      </c>
      <c r="BB375">
        <f>COUNTIF(AJ375:AL375,"&lt;&gt;0")</f>
        <v>0</v>
      </c>
      <c r="BC375">
        <f>COUNTIF(AS375:AW375,"&lt;&gt;0")</f>
        <v>0</v>
      </c>
      <c r="BD375">
        <f>COUNTIF(AM375:AR375,"&lt;&gt;0")</f>
        <v>4</v>
      </c>
      <c r="BE375" t="str" cm="1">
        <f t="array" ref="BE375">IF(AY375=1,INDEX($V$7:$AL$7,MATCH(TRUE,INDEX($V375:$AW375&lt;&gt;0,),0)),IF(AY375=0,INDEX($AM$7:$AW$7,MATCH(1,$AM375:$AW375,0)),IF(BF375="Multiple strategies","mixed drivers",IF(BF375="Supply chain","multiple supply","multiple silviculture"))))</f>
        <v>area subject to harvest</v>
      </c>
      <c r="BF375" s="2" t="str" cm="1">
        <f t="array" ref="BF375">IF(COUNTIF(AZ375:BB375,"&lt;&gt;0")=1,INDEX($V$4:$AW$4,MATCH(TRUE,INDEX($V375:$AW375&lt;&gt;0,),0)),IF(COUNTIF(AZ375:BB375,"&lt;&gt;0")=0,INDEX($AM$4:$AW$4,MATCH(1,$AM375:$AW375,0)),"Multiple strategies"))</f>
        <v>SilvicultureRemov</v>
      </c>
      <c r="BG375" s="142" t="s">
        <v>322</v>
      </c>
      <c r="BH375" t="s">
        <v>2567</v>
      </c>
      <c r="BI375"/>
      <c r="BJ375" s="143" t="s">
        <v>2569</v>
      </c>
      <c r="BK375" s="143">
        <v>69</v>
      </c>
      <c r="BL375" s="143">
        <v>88</v>
      </c>
      <c r="BM375">
        <f>BL375/BK375</f>
        <v>1.2753623188405796</v>
      </c>
      <c r="BN375">
        <f>BL375-BK375</f>
        <v>19</v>
      </c>
      <c r="BO375" s="143">
        <f>BN375*10^9*tC_to_m3</f>
        <v>82501085540.599228</v>
      </c>
      <c r="BP375" s="266" t="s">
        <v>233</v>
      </c>
      <c r="BQ375" s="266"/>
      <c r="BR375" t="s">
        <v>2569</v>
      </c>
      <c r="BS375" s="143">
        <v>-163</v>
      </c>
      <c r="BT375">
        <v>-137</v>
      </c>
      <c r="BU375" s="144">
        <v>0.8404907975460123</v>
      </c>
      <c r="BV375">
        <v>26</v>
      </c>
      <c r="BW375"/>
      <c r="BX375">
        <f>BV375*10^9*C_to_CO2</f>
        <v>95420000000</v>
      </c>
      <c r="BY375">
        <f>IFERROR(BX375/BO375,"")</f>
        <v>1.1565908421052631</v>
      </c>
      <c r="BZ375">
        <v>0</v>
      </c>
      <c r="CA375">
        <v>0</v>
      </c>
      <c r="CB375">
        <v>0</v>
      </c>
      <c r="CC375">
        <v>0</v>
      </c>
      <c r="CD375">
        <v>0</v>
      </c>
      <c r="CE375">
        <v>0</v>
      </c>
      <c r="CF375">
        <v>0</v>
      </c>
      <c r="CG375">
        <v>0</v>
      </c>
      <c r="CH375">
        <v>0</v>
      </c>
      <c r="CI375">
        <v>0</v>
      </c>
      <c r="CJ375">
        <v>0</v>
      </c>
      <c r="CK375">
        <v>0</v>
      </c>
      <c r="CL375">
        <v>0</v>
      </c>
      <c r="CM375">
        <v>0</v>
      </c>
      <c r="CN375" t="str">
        <f>IF($BL375&lt;$BK375,"refNeedCorrection","refOK")</f>
        <v>refOK</v>
      </c>
      <c r="CO375">
        <f>IF($CN375="refOK",$BK375,$BL375)</f>
        <v>69</v>
      </c>
      <c r="CP375">
        <f>IF($CN375="refOK",$BL375,$BK375)</f>
        <v>88</v>
      </c>
      <c r="CQ375">
        <f>IF($CN375="refOK",$BO375,-$BO375)</f>
        <v>82501085540.599228</v>
      </c>
      <c r="CR375">
        <f>IF($CN375="refOK",$BS375,$BT375)*IF($BP375="Emissions positive",-1,1)</f>
        <v>-163</v>
      </c>
      <c r="CS375">
        <f>IF($CN375="refOK",$BT375,$BS375)*IF($BP375="Emissions positive",-1,1)</f>
        <v>-137</v>
      </c>
      <c r="CT375">
        <f>IF($CN375="refNeedCorrection",-BX375,BX375)*IF($BP375="Emissions positive",-1,1)</f>
        <v>95420000000</v>
      </c>
      <c r="CU375">
        <f>IFERROR(CT375/CQ375,"")</f>
        <v>1.1565908421052631</v>
      </c>
      <c r="CV375" s="2">
        <f>IFERROR((CS375-CR375)/ABS(CR375),"")</f>
        <v>0.15950920245398773</v>
      </c>
      <c r="CW375" s="1" t="s">
        <v>2541</v>
      </c>
      <c r="CX375" s="266" t="str">
        <f>IF(OR($CW375="prd",$CW375="std",$CW375="cit"),"loc",IF(OR($CW375="eur",$CW375="reg",$CW375="coy"),"reg",$CW375))</f>
        <v>w</v>
      </c>
      <c r="CY375" s="266" t="s">
        <v>2542</v>
      </c>
      <c r="CZ375">
        <v>1901</v>
      </c>
      <c r="DA375" s="143">
        <v>2100</v>
      </c>
      <c r="DB375" s="143">
        <v>200</v>
      </c>
      <c r="DC375" t="str">
        <f>IF(DB375=0,"0",IF(AND(DB375&gt;=1,DB375&lt;=30),"1-30",IF(AND(DB375&gt;30,DB375&lt;=70),"31-70",IF(AND(DB375&gt;70,DB375&lt;=100),"71-100",IF(DB375&gt;100,"+100")))))</f>
        <v>+100</v>
      </c>
      <c r="DD375">
        <v>1</v>
      </c>
      <c r="DE375">
        <v>0</v>
      </c>
      <c r="DF375">
        <v>0</v>
      </c>
      <c r="DG375">
        <v>0</v>
      </c>
      <c r="DH375"/>
      <c r="DI375">
        <f>SUM(DD375:DG375)</f>
        <v>1</v>
      </c>
      <c r="DJ375" t="str">
        <f>IF(DI375=1,INDEX($DD$7:$DG$7,MATCH(1,$DD375:$DG375,0)),"mixedProduct")</f>
        <v>UpstreamInput</v>
      </c>
      <c r="DK375" t="str">
        <f>IF(DD375=1,DK$7,0)</f>
        <v>Upstream</v>
      </c>
      <c r="DL375">
        <f>IF(DE375=1,DL$7,0)</f>
        <v>0</v>
      </c>
      <c r="DM375">
        <f>IF(DF375=1,DM$7,0)</f>
        <v>0</v>
      </c>
      <c r="DN375">
        <f>IF(DG375=1,DN$7,0)</f>
        <v>0</v>
      </c>
      <c r="DO375">
        <v>0</v>
      </c>
      <c r="DP375" s="143">
        <v>0</v>
      </c>
      <c r="DQ375" s="143">
        <v>0</v>
      </c>
      <c r="DR375">
        <v>0</v>
      </c>
      <c r="DS375" s="143">
        <v>0</v>
      </c>
      <c r="DT375">
        <f>SUM(DO375:DP375)</f>
        <v>0</v>
      </c>
      <c r="DU375" s="143" t="str">
        <f>IF(DO375=1,"self-calculated DF",IF(DP375=1,"external DF used","explicit C balance"))</f>
        <v>explicit C balance</v>
      </c>
      <c r="DV375" s="143">
        <v>1</v>
      </c>
      <c r="DW375" s="143">
        <v>1</v>
      </c>
      <c r="DX375" s="143">
        <v>1</v>
      </c>
      <c r="DY375" s="143">
        <v>1</v>
      </c>
      <c r="DZ375">
        <v>1</v>
      </c>
      <c r="EA375" s="143">
        <v>0</v>
      </c>
      <c r="EB375" s="143">
        <v>0</v>
      </c>
      <c r="EC375" s="143">
        <v>0</v>
      </c>
      <c r="ED375" s="143">
        <v>0</v>
      </c>
      <c r="EE375">
        <v>0</v>
      </c>
      <c r="EF375">
        <v>0</v>
      </c>
      <c r="EG375" s="143">
        <v>0</v>
      </c>
      <c r="EH375">
        <v>0</v>
      </c>
      <c r="EI375" s="2">
        <v>0</v>
      </c>
      <c r="EJ375" s="1"/>
      <c r="EK375" t="str">
        <f>IF(AND(AND(AND(OR($DX375=1,$DW375=1),OR($EC375=1,$EA375=1)),SUM($DV375:$DZ375,$EF375)&gt;=4),SUM($EA375:$EE375)&gt;=2),"Whole sector","")</f>
        <v/>
      </c>
      <c r="EL375" t="str">
        <f>IF(AND(AND(OR($DX375=1,$DW375=1),AND($EC375=0,$EA375=0)),SUM($DV375:$DZ375,$EF375)&gt;=4),"Ecosystem approach","")</f>
        <v>Ecosystem approach</v>
      </c>
      <c r="EM375" s="2" t="str">
        <f>IF(AND(AND(AND($DX375=0,$DW375=0),OR($EC375=1,$EA375=1)),SUM($EB375:$EE375)&gt;=2),"Technology approach","")</f>
        <v/>
      </c>
      <c r="EN375"/>
      <c r="EO375"/>
      <c r="EP375" t="str">
        <f>IF(ISNUMBER(BU375),IF(ABS(BU375-[1]QC_indicators!$B$2)&gt;3*[1]QC_indicators!$C$2,"C ratio",IF(ISNUMBER(BY375),IF(ABS(BY375-[1]QC_indicators!$B$1)&gt;3*[1]QC_indicators!$C$1,"DF","no"))),IF(ISNUMBER(BY375),IF(ABS(BY375-[1]QC_indicators!$B$1)&gt;3*[1]QC_indicators!$C$1,"DF","no")))</f>
        <v>no</v>
      </c>
      <c r="EQ375"/>
      <c r="ER375" s="296" t="s">
        <v>350</v>
      </c>
      <c r="ES375"/>
      <c r="ET375" s="266" t="s">
        <v>3409</v>
      </c>
      <c r="EU375"/>
    </row>
    <row r="376" spans="1:151" s="139" customFormat="1" ht="15" customHeight="1">
      <c r="A376" s="1" t="s">
        <v>2556</v>
      </c>
      <c r="B376" t="s">
        <v>2557</v>
      </c>
      <c r="C376" t="s">
        <v>2558</v>
      </c>
      <c r="D376" t="s">
        <v>2559</v>
      </c>
      <c r="E376" t="s">
        <v>2560</v>
      </c>
      <c r="F376" t="s">
        <v>2561</v>
      </c>
      <c r="G376" t="s">
        <v>2562</v>
      </c>
      <c r="H376" t="s">
        <v>255</v>
      </c>
      <c r="I376">
        <v>2015</v>
      </c>
      <c r="J376">
        <v>20</v>
      </c>
      <c r="K376" t="s">
        <v>2563</v>
      </c>
      <c r="L376"/>
      <c r="M376" t="str">
        <f>LEFT($D376,FIND(",",$D376)-1)&amp;"_"&amp;I376&amp;L376</f>
        <v>Meiyappan_2015</v>
      </c>
      <c r="N376" t="s">
        <v>223</v>
      </c>
      <c r="O376" s="145" t="s">
        <v>226</v>
      </c>
      <c r="P376"/>
      <c r="Q376" s="266" t="s">
        <v>257</v>
      </c>
      <c r="R376" s="271" t="s">
        <v>1156</v>
      </c>
      <c r="S376" s="1" t="s">
        <v>2564</v>
      </c>
      <c r="T376" t="s">
        <v>2565</v>
      </c>
      <c r="U376" s="143" t="s">
        <v>2572</v>
      </c>
      <c r="V376">
        <v>2</v>
      </c>
      <c r="W376">
        <v>0</v>
      </c>
      <c r="X376">
        <v>0</v>
      </c>
      <c r="Y376">
        <v>0</v>
      </c>
      <c r="Z376">
        <v>0</v>
      </c>
      <c r="AA376">
        <v>0</v>
      </c>
      <c r="AB376">
        <v>0</v>
      </c>
      <c r="AC376">
        <v>0</v>
      </c>
      <c r="AD376">
        <v>0</v>
      </c>
      <c r="AE376">
        <v>0</v>
      </c>
      <c r="AF376">
        <v>0</v>
      </c>
      <c r="AG376">
        <v>0</v>
      </c>
      <c r="AH376">
        <v>0</v>
      </c>
      <c r="AI376">
        <v>0</v>
      </c>
      <c r="AJ376">
        <v>0</v>
      </c>
      <c r="AK376">
        <v>0</v>
      </c>
      <c r="AL376">
        <v>0</v>
      </c>
      <c r="AM376">
        <v>0</v>
      </c>
      <c r="AN376">
        <v>1</v>
      </c>
      <c r="AO376">
        <v>2</v>
      </c>
      <c r="AP376">
        <v>2</v>
      </c>
      <c r="AQ376">
        <v>0</v>
      </c>
      <c r="AR376">
        <v>2</v>
      </c>
      <c r="AS376">
        <v>0</v>
      </c>
      <c r="AT376">
        <v>0</v>
      </c>
      <c r="AU376">
        <v>0</v>
      </c>
      <c r="AV376">
        <v>0</v>
      </c>
      <c r="AW376">
        <v>0</v>
      </c>
      <c r="AX376" s="141">
        <f>COUNTIF(V376:AW376,"&lt;&gt;0")</f>
        <v>5</v>
      </c>
      <c r="AY376" s="141">
        <f>COUNTIF(V376:AL376,"&lt;&gt;0")</f>
        <v>1</v>
      </c>
      <c r="AZ376">
        <f>COUNTIF(V376:AC376,"&lt;&gt;0")</f>
        <v>1</v>
      </c>
      <c r="BA376">
        <f>COUNTIF(AD376:AI376,"&lt;&gt;0")</f>
        <v>0</v>
      </c>
      <c r="BB376">
        <f>COUNTIF(AJ376:AL376,"&lt;&gt;0")</f>
        <v>0</v>
      </c>
      <c r="BC376">
        <f>COUNTIF(AS376:AW376,"&lt;&gt;0")</f>
        <v>0</v>
      </c>
      <c r="BD376">
        <f>COUNTIF(AM376:AR376,"&lt;&gt;0")</f>
        <v>4</v>
      </c>
      <c r="BE376" t="str" cm="1">
        <f t="array" ref="BE376">IF(AY376=1,INDEX($V$7:$AL$7,MATCH(TRUE,INDEX($V376:$AW376&lt;&gt;0,),0)),IF(AY376=0,INDEX($AM$7:$AW$7,MATCH(1,$AM376:$AW376,0)),IF(BF376="Multiple strategies","mixed drivers",IF(BF376="Supply chain","multiple supply","multiple silviculture"))))</f>
        <v>area subject to harvest</v>
      </c>
      <c r="BF376" s="2" t="str" cm="1">
        <f t="array" ref="BF376">IF(COUNTIF(AZ376:BB376,"&lt;&gt;0")=1,INDEX($V$4:$AW$4,MATCH(TRUE,INDEX($V376:$AW376&lt;&gt;0,),0)),IF(COUNTIF(AZ376:BB376,"&lt;&gt;0")=0,INDEX($AM$4:$AW$4,MATCH(1,$AM376:$AW376,0)),"Multiple strategies"))</f>
        <v>SilvicultureRemov</v>
      </c>
      <c r="BG376" s="142" t="s">
        <v>322</v>
      </c>
      <c r="BH376" t="s">
        <v>2567</v>
      </c>
      <c r="BI376"/>
      <c r="BJ376" s="143" t="s">
        <v>2568</v>
      </c>
      <c r="BK376" s="143">
        <v>69</v>
      </c>
      <c r="BL376" s="143">
        <v>69</v>
      </c>
      <c r="BM376">
        <f>BL376/BK376</f>
        <v>1</v>
      </c>
      <c r="BN376">
        <f>BL376-BK376</f>
        <v>0</v>
      </c>
      <c r="BO376" s="143">
        <f>BN376*10^9*tC_to_m3</f>
        <v>0</v>
      </c>
      <c r="BP376" s="266" t="s">
        <v>233</v>
      </c>
      <c r="BQ376" s="266"/>
      <c r="BR376" t="s">
        <v>2569</v>
      </c>
      <c r="BS376" s="143">
        <v>-163</v>
      </c>
      <c r="BT376">
        <v>-112</v>
      </c>
      <c r="BU376" s="144">
        <v>0.68711656441717794</v>
      </c>
      <c r="BV376">
        <v>51</v>
      </c>
      <c r="BW376"/>
      <c r="BX376">
        <f>BV376*10^9*C_to_CO2</f>
        <v>187170000000</v>
      </c>
      <c r="BY376" t="str">
        <f>IFERROR(BX376/BO376,"")</f>
        <v/>
      </c>
      <c r="BZ376">
        <v>0</v>
      </c>
      <c r="CA376">
        <v>0</v>
      </c>
      <c r="CB376">
        <v>0</v>
      </c>
      <c r="CC376">
        <v>0</v>
      </c>
      <c r="CD376">
        <v>0</v>
      </c>
      <c r="CE376">
        <v>0</v>
      </c>
      <c r="CF376">
        <v>0</v>
      </c>
      <c r="CG376">
        <v>0</v>
      </c>
      <c r="CH376">
        <v>0</v>
      </c>
      <c r="CI376">
        <v>0</v>
      </c>
      <c r="CJ376">
        <v>0</v>
      </c>
      <c r="CK376">
        <v>0</v>
      </c>
      <c r="CL376">
        <v>0</v>
      </c>
      <c r="CM376">
        <v>0</v>
      </c>
      <c r="CN376" t="str">
        <f>IF($BL376&lt;$BK376,"refNeedCorrection","refOK")</f>
        <v>refOK</v>
      </c>
      <c r="CO376">
        <f>IF($CN376="refOK",$BK376,$BL376)</f>
        <v>69</v>
      </c>
      <c r="CP376">
        <f>IF($CN376="refOK",$BL376,$BK376)</f>
        <v>69</v>
      </c>
      <c r="CQ376">
        <f>IF($CN376="refOK",$BO376,-$BO376)</f>
        <v>0</v>
      </c>
      <c r="CR376">
        <f>IF($CN376="refOK",$BS376,$BT376)*IF($BP376="Emissions positive",-1,1)</f>
        <v>-163</v>
      </c>
      <c r="CS376">
        <f>IF($CN376="refOK",$BT376,$BS376)*IF($BP376="Emissions positive",-1,1)</f>
        <v>-112</v>
      </c>
      <c r="CT376">
        <f>IF($CN376="refNeedCorrection",-BX376,BX376)*IF($BP376="Emissions positive",-1,1)</f>
        <v>187170000000</v>
      </c>
      <c r="CU376" t="str">
        <f>IFERROR(CT376/CQ376,"")</f>
        <v/>
      </c>
      <c r="CV376" s="2">
        <f>IFERROR((CS376-CR376)/ABS(CR376),"")</f>
        <v>0.31288343558282211</v>
      </c>
      <c r="CW376" s="1" t="s">
        <v>2541</v>
      </c>
      <c r="CX376" s="266" t="str">
        <f>IF(OR($CW376="prd",$CW376="std",$CW376="cit"),"loc",IF(OR($CW376="eur",$CW376="reg",$CW376="coy"),"reg",$CW376))</f>
        <v>w</v>
      </c>
      <c r="CY376" s="266" t="s">
        <v>2542</v>
      </c>
      <c r="CZ376">
        <v>1901</v>
      </c>
      <c r="DA376" s="143">
        <v>2100</v>
      </c>
      <c r="DB376" s="143">
        <v>200</v>
      </c>
      <c r="DC376" t="str">
        <f>IF(DB376=0,"0",IF(AND(DB376&gt;=1,DB376&lt;=30),"1-30",IF(AND(DB376&gt;30,DB376&lt;=70),"31-70",IF(AND(DB376&gt;70,DB376&lt;=100),"71-100",IF(DB376&gt;100,"+100")))))</f>
        <v>+100</v>
      </c>
      <c r="DD376">
        <v>1</v>
      </c>
      <c r="DE376">
        <v>0</v>
      </c>
      <c r="DF376">
        <v>0</v>
      </c>
      <c r="DG376">
        <v>0</v>
      </c>
      <c r="DH376"/>
      <c r="DI376">
        <f>SUM(DD376:DG376)</f>
        <v>1</v>
      </c>
      <c r="DJ376" t="str">
        <f>IF(DI376=1,INDEX($DD$7:$DG$7,MATCH(1,$DD376:$DG376,0)),"mixedProduct")</f>
        <v>UpstreamInput</v>
      </c>
      <c r="DK376" t="str">
        <f>IF(DD376=1,DK$7,0)</f>
        <v>Upstream</v>
      </c>
      <c r="DL376">
        <f>IF(DE376=1,DL$7,0)</f>
        <v>0</v>
      </c>
      <c r="DM376">
        <f>IF(DF376=1,DM$7,0)</f>
        <v>0</v>
      </c>
      <c r="DN376">
        <f>IF(DG376=1,DN$7,0)</f>
        <v>0</v>
      </c>
      <c r="DO376">
        <v>0</v>
      </c>
      <c r="DP376" s="143">
        <v>0</v>
      </c>
      <c r="DQ376" s="143">
        <v>0</v>
      </c>
      <c r="DR376">
        <v>0</v>
      </c>
      <c r="DS376" s="143">
        <v>0</v>
      </c>
      <c r="DT376">
        <f>SUM(DO376:DP376)</f>
        <v>0</v>
      </c>
      <c r="DU376" s="143" t="str">
        <f>IF(DO376=1,"self-calculated DF",IF(DP376=1,"external DF used","explicit C balance"))</f>
        <v>explicit C balance</v>
      </c>
      <c r="DV376" s="143">
        <v>1</v>
      </c>
      <c r="DW376" s="143">
        <v>1</v>
      </c>
      <c r="DX376" s="143">
        <v>1</v>
      </c>
      <c r="DY376" s="143">
        <v>1</v>
      </c>
      <c r="DZ376">
        <v>1</v>
      </c>
      <c r="EA376" s="143">
        <v>0</v>
      </c>
      <c r="EB376" s="143">
        <v>0</v>
      </c>
      <c r="EC376" s="143">
        <v>0</v>
      </c>
      <c r="ED376" s="143">
        <v>0</v>
      </c>
      <c r="EE376">
        <v>0</v>
      </c>
      <c r="EF376">
        <v>0</v>
      </c>
      <c r="EG376" s="143">
        <v>0</v>
      </c>
      <c r="EH376">
        <v>0</v>
      </c>
      <c r="EI376" s="2">
        <v>0</v>
      </c>
      <c r="EJ376" s="1"/>
      <c r="EK376" t="str">
        <f>IF(AND(AND(AND(OR($DX376=1,$DW376=1),OR($EC376=1,$EA376=1)),SUM($DV376:$DZ376,$EF376)&gt;=4),SUM($EA376:$EE376)&gt;=2),"Whole sector","")</f>
        <v/>
      </c>
      <c r="EL376" t="str">
        <f>IF(AND(AND(OR($DX376=1,$DW376=1),AND($EC376=0,$EA376=0)),SUM($DV376:$DZ376,$EF376)&gt;=4),"Ecosystem approach","")</f>
        <v>Ecosystem approach</v>
      </c>
      <c r="EM376" s="2" t="str">
        <f>IF(AND(AND(AND($DX376=0,$DW376=0),OR($EC376=1,$EA376=1)),SUM($EB376:$EE376)&gt;=2),"Technology approach","")</f>
        <v/>
      </c>
      <c r="EN376"/>
      <c r="EO376"/>
      <c r="EP376" t="b">
        <f>IF(ISNUMBER(BU376),IF(ABS(BU376-[1]QC_indicators!$B$2)&gt;3*[1]QC_indicators!$C$2,"C ratio",IF(ISNUMBER(BY376),IF(ABS(BY376-[1]QC_indicators!$B$1)&gt;3*[1]QC_indicators!$C$1,"DF","no"))),IF(ISNUMBER(BY376),IF(ABS(BY376-[1]QC_indicators!$B$1)&gt;3*[1]QC_indicators!$C$1,"DF","no")))</f>
        <v>0</v>
      </c>
      <c r="EQ376"/>
      <c r="ER376" s="296" t="s">
        <v>350</v>
      </c>
      <c r="ES376"/>
      <c r="ET376" s="266" t="s">
        <v>3409</v>
      </c>
      <c r="EU376"/>
    </row>
    <row r="377" spans="1:151" s="139" customFormat="1" ht="15" hidden="1" customHeight="1">
      <c r="A377" s="1" t="s">
        <v>1638</v>
      </c>
      <c r="B377" t="s">
        <v>1639</v>
      </c>
      <c r="C377" t="s">
        <v>1640</v>
      </c>
      <c r="D377" t="s">
        <v>1641</v>
      </c>
      <c r="E377" t="s">
        <v>1642</v>
      </c>
      <c r="F377" t="s">
        <v>1643</v>
      </c>
      <c r="G377" t="s">
        <v>1644</v>
      </c>
      <c r="H377" t="s">
        <v>255</v>
      </c>
      <c r="I377">
        <v>2022</v>
      </c>
      <c r="J377">
        <v>0</v>
      </c>
      <c r="K377" t="s">
        <v>1645</v>
      </c>
      <c r="L377"/>
      <c r="M377" t="str">
        <f>LEFT($D377,FIND(",",$D377)-1)&amp;"_"&amp;I377&amp;L377</f>
        <v>Gregor_2022</v>
      </c>
      <c r="N377" t="s">
        <v>223</v>
      </c>
      <c r="O377" s="161" t="s">
        <v>224</v>
      </c>
      <c r="P377"/>
      <c r="Q377" s="266" t="s">
        <v>390</v>
      </c>
      <c r="R377" s="271" t="s">
        <v>1156</v>
      </c>
      <c r="S377" s="154" t="s">
        <v>1646</v>
      </c>
      <c r="T377" s="149" t="s">
        <v>1647</v>
      </c>
      <c r="U377" s="266" t="s">
        <v>1648</v>
      </c>
      <c r="V377">
        <v>1</v>
      </c>
      <c r="W377">
        <v>0</v>
      </c>
      <c r="X377">
        <v>0</v>
      </c>
      <c r="Y377">
        <v>0</v>
      </c>
      <c r="Z377">
        <v>0</v>
      </c>
      <c r="AA377">
        <v>0</v>
      </c>
      <c r="AB377">
        <v>0</v>
      </c>
      <c r="AC377">
        <v>0</v>
      </c>
      <c r="AD377">
        <v>0</v>
      </c>
      <c r="AE377">
        <v>0</v>
      </c>
      <c r="AF377">
        <v>0</v>
      </c>
      <c r="AG377">
        <v>0</v>
      </c>
      <c r="AH377">
        <v>0</v>
      </c>
      <c r="AI377">
        <v>0</v>
      </c>
      <c r="AJ377">
        <v>0</v>
      </c>
      <c r="AK377">
        <v>0</v>
      </c>
      <c r="AL377">
        <v>0</v>
      </c>
      <c r="AM377">
        <v>0</v>
      </c>
      <c r="AN377">
        <v>2</v>
      </c>
      <c r="AO377">
        <v>2</v>
      </c>
      <c r="AP377">
        <v>2</v>
      </c>
      <c r="AQ377">
        <v>2</v>
      </c>
      <c r="AR377">
        <v>0</v>
      </c>
      <c r="AS377">
        <v>0</v>
      </c>
      <c r="AT377">
        <v>0</v>
      </c>
      <c r="AU377">
        <v>0</v>
      </c>
      <c r="AV377">
        <v>0</v>
      </c>
      <c r="AW377">
        <v>0</v>
      </c>
      <c r="AX377" s="141">
        <f>COUNTIF(V377:AW377,"&lt;&gt;0")</f>
        <v>5</v>
      </c>
      <c r="AY377" s="141">
        <f>COUNTIF(V377:AL377,"&lt;&gt;0")</f>
        <v>1</v>
      </c>
      <c r="AZ377">
        <f>COUNTIF(V377:AC377,"&lt;&gt;0")</f>
        <v>1</v>
      </c>
      <c r="BA377">
        <f>COUNTIF(AD377:AI377,"&lt;&gt;0")</f>
        <v>0</v>
      </c>
      <c r="BB377">
        <f>COUNTIF(AJ377:AL377,"&lt;&gt;0")</f>
        <v>0</v>
      </c>
      <c r="BC377">
        <f>COUNTIF(AS377:AW377,"&lt;&gt;0")</f>
        <v>0</v>
      </c>
      <c r="BD377">
        <f>COUNTIF(AM377:AR377,"&lt;&gt;0")</f>
        <v>4</v>
      </c>
      <c r="BE377" t="str" cm="1">
        <f t="array" ref="BE377">IF(AY377=1,INDEX($V$7:$AL$7,MATCH(TRUE,INDEX($V377:$AW377&lt;&gt;0,),0)),IF(AY377=0,INDEX($AM$7:$AW$7,MATCH(1,$AM377:$AW377,0)),IF(BF377="Multiple strategies","mixed drivers",IF(BF377="Supply chain","multiple supply","multiple silviculture"))))</f>
        <v>area subject to harvest</v>
      </c>
      <c r="BF377" s="2" t="str" cm="1">
        <f t="array" ref="BF377">IF(COUNTIF(AZ377:BB377,"&lt;&gt;0")=1,INDEX($V$4:$AW$4,MATCH(TRUE,INDEX($V377:$AW377&lt;&gt;0,),0)),IF(COUNTIF(AZ377:BB377,"&lt;&gt;0")=0,INDEX($AM$4:$AW$4,MATCH(1,$AM377:$AW377,0)),"Multiple strategies"))</f>
        <v>SilvicultureRemov</v>
      </c>
      <c r="BG377" s="1" t="s">
        <v>322</v>
      </c>
      <c r="BH377" s="266" t="s">
        <v>1649</v>
      </c>
      <c r="BI377" s="266" t="s">
        <v>690</v>
      </c>
      <c r="BJ377" s="266" t="s">
        <v>1650</v>
      </c>
      <c r="BK377">
        <f>0.08*(2115-2020)</f>
        <v>7.6000000000000005</v>
      </c>
      <c r="BL377">
        <f>2.99*(2115-2020)</f>
        <v>284.05</v>
      </c>
      <c r="BM377"/>
      <c r="BN377">
        <f>BL377-BK377</f>
        <v>276.45</v>
      </c>
      <c r="BO377">
        <f>BL377-BK377</f>
        <v>276.45</v>
      </c>
      <c r="BP377" s="266" t="s">
        <v>233</v>
      </c>
      <c r="BQ377" s="266" t="s">
        <v>1651</v>
      </c>
      <c r="BR377" s="266" t="s">
        <v>1652</v>
      </c>
      <c r="BS377" s="266">
        <f>1.8*10000</f>
        <v>18000</v>
      </c>
      <c r="BT377" s="266">
        <f>1.7*10000</f>
        <v>17000</v>
      </c>
      <c r="BU377"/>
      <c r="BV377">
        <f>BT377-BS377</f>
        <v>-1000</v>
      </c>
      <c r="BW377"/>
      <c r="BX377">
        <f>BV377/1000*C_to_CO2</f>
        <v>-3.67</v>
      </c>
      <c r="BY377">
        <f>IFERROR(BX377/BO377,"")</f>
        <v>-1.3275456682944475E-2</v>
      </c>
      <c r="BZ377">
        <v>0</v>
      </c>
      <c r="CA377">
        <v>0</v>
      </c>
      <c r="CB377">
        <v>0</v>
      </c>
      <c r="CC377">
        <v>0</v>
      </c>
      <c r="CD377">
        <v>0</v>
      </c>
      <c r="CE377">
        <v>0</v>
      </c>
      <c r="CF377">
        <v>0</v>
      </c>
      <c r="CG377">
        <v>0</v>
      </c>
      <c r="CH377">
        <v>0</v>
      </c>
      <c r="CI377">
        <v>0</v>
      </c>
      <c r="CJ377">
        <v>0</v>
      </c>
      <c r="CK377">
        <v>0</v>
      </c>
      <c r="CL377">
        <v>0</v>
      </c>
      <c r="CM377">
        <v>0</v>
      </c>
      <c r="CN377" t="str">
        <f>IF($BL377&lt;$BK377,"refNeedCorrection","refOK")</f>
        <v>refOK</v>
      </c>
      <c r="CO377">
        <f>IF($CN377="refOK",$BK377,$BL377)</f>
        <v>7.6000000000000005</v>
      </c>
      <c r="CP377">
        <f>IF($CN377="refOK",$BL377,$BK377)</f>
        <v>284.05</v>
      </c>
      <c r="CQ377">
        <f>IF($CN377="refOK",$BO377,-$BO377)</f>
        <v>276.45</v>
      </c>
      <c r="CR377">
        <f>IF($CN377="refOK",$BS377,$BT377)*IF($BP377="Emissions positive",-1,1)</f>
        <v>18000</v>
      </c>
      <c r="CS377">
        <f>IF($CN377="refOK",$BT377,$BS377)*IF($BP377="Emissions positive",-1,1)</f>
        <v>17000</v>
      </c>
      <c r="CT377">
        <f>IF($CN377="refNeedCorrection",-BX377,BX377)*IF($BP377="Emissions positive",-1,1)</f>
        <v>-3.67</v>
      </c>
      <c r="CU377">
        <f>IFERROR(CT377/CQ377,"")</f>
        <v>-1.3275456682944475E-2</v>
      </c>
      <c r="CV377" s="2">
        <f>IFERROR((CS377-CR377)/ABS(CR377),"")</f>
        <v>-5.5555555555555552E-2</v>
      </c>
      <c r="CW377" s="162" t="s">
        <v>1464</v>
      </c>
      <c r="CX377" s="266" t="str">
        <f>IF(OR($CW377="prd",$CW377="std",$CW377="cit"),"loc",IF(OR($CW377="eur",$CW377="reg",$CW377="coy"),"reg",$CW377))</f>
        <v>reg</v>
      </c>
      <c r="CY377" s="155" t="s">
        <v>745</v>
      </c>
      <c r="CZ377">
        <v>2010</v>
      </c>
      <c r="DA377">
        <v>2115</v>
      </c>
      <c r="DB377">
        <f>DA377-CZ377</f>
        <v>105</v>
      </c>
      <c r="DC377" t="str">
        <f>IF(DB377=0,"0",IF(AND(DB377&gt;=1,DB377&lt;=30),"1-30",IF(AND(DB377&gt;30,DB377&lt;=70),"31-70",IF(AND(DB377&gt;70,DB377&lt;=100),"71-100",IF(DB377&gt;100,"+100")))))</f>
        <v>+100</v>
      </c>
      <c r="DD377">
        <v>0</v>
      </c>
      <c r="DE377">
        <v>1</v>
      </c>
      <c r="DF377">
        <v>1</v>
      </c>
      <c r="DG377">
        <v>1</v>
      </c>
      <c r="DH377">
        <v>0</v>
      </c>
      <c r="DI377">
        <f>SUM(DD377:DG377)</f>
        <v>3</v>
      </c>
      <c r="DJ377" t="str">
        <f>IF(DI377=1,INDEX($DD$7:$DG$7,MATCH(1,$DD377:$DG377,0)),"mixedProduct")</f>
        <v>mixedProduct</v>
      </c>
      <c r="DK377">
        <f>IF(DD377=1,DK$7,0)</f>
        <v>0</v>
      </c>
      <c r="DL377" t="str">
        <f>IF(DE377=1,DL$7,0)</f>
        <v>Energy</v>
      </c>
      <c r="DM377" t="str">
        <f>IF(DF377=1,DM$7,0)</f>
        <v>Pulp/Paper</v>
      </c>
      <c r="DN377" t="str">
        <f>IF(DG377=1,DN$7,0)</f>
        <v>Timber</v>
      </c>
      <c r="DO377">
        <v>0</v>
      </c>
      <c r="DP377">
        <v>1</v>
      </c>
      <c r="DQ377" s="266" t="s">
        <v>1653</v>
      </c>
      <c r="DR377" s="266" t="s">
        <v>1653</v>
      </c>
      <c r="DS377" s="266" t="s">
        <v>1653</v>
      </c>
      <c r="DT377">
        <f>SUM(DO377:DP377)</f>
        <v>1</v>
      </c>
      <c r="DU377" s="143" t="str">
        <f>IF(DO377=1,"self-calculated DF",IF(DP377=1,"external DF used","explicit C balance"))</f>
        <v>external DF used</v>
      </c>
      <c r="DV377">
        <v>1</v>
      </c>
      <c r="DW377">
        <v>1</v>
      </c>
      <c r="DX377">
        <v>1</v>
      </c>
      <c r="DY377">
        <v>1</v>
      </c>
      <c r="DZ377">
        <v>1</v>
      </c>
      <c r="EA377">
        <v>1</v>
      </c>
      <c r="EB377">
        <v>1</v>
      </c>
      <c r="EC377">
        <v>1</v>
      </c>
      <c r="ED377">
        <v>0</v>
      </c>
      <c r="EE377">
        <v>0</v>
      </c>
      <c r="EF377">
        <v>1</v>
      </c>
      <c r="EG377">
        <v>0</v>
      </c>
      <c r="EH377">
        <v>1</v>
      </c>
      <c r="EI377" s="2">
        <v>0</v>
      </c>
      <c r="EJ377" s="1"/>
      <c r="EK377" t="str">
        <f>IF(AND(AND(AND(OR($DX377=1,$DW377=1),OR($EC377=1,$EA377=1)),SUM($DV377:$DZ377,$EF377)&gt;=4),SUM($EA377:$EE377)&gt;=2),"Whole sector","")</f>
        <v>Whole sector</v>
      </c>
      <c r="EL377" t="str">
        <f>IF(AND(AND(OR($DX377=1,$DW377=1),AND($EC377=0,$EA377=0)),SUM($DV377:$DZ377,$EF377)&gt;=4),"Ecosystem approach","")</f>
        <v/>
      </c>
      <c r="EM377" s="2" t="str">
        <f>IF(AND(AND(AND($DX377=0,$DW377=0),OR($EC377=1,$EA377=1)),SUM($EB377:$EE377)&gt;=2),"Technology approach","")</f>
        <v/>
      </c>
      <c r="EN377"/>
      <c r="EO377"/>
      <c r="EP377" t="str">
        <f>IF(ISNUMBER(BU377),IF(ABS(BU377-[1]QC_indicators!$B$2)&gt;3*[1]QC_indicators!$C$2,"C ratio",IF(ISNUMBER(BY377),IF(ABS(BY377-[1]QC_indicators!$B$1)&gt;3*[1]QC_indicators!$C$1,"DF","no"))),IF(ISNUMBER(BY377),IF(ABS(BY377-[1]QC_indicators!$B$1)&gt;3*[1]QC_indicators!$C$1,"DF","no")))</f>
        <v>no</v>
      </c>
      <c r="EQ377"/>
      <c r="ER377"/>
      <c r="ES377"/>
      <c r="ET377" s="266" t="s">
        <v>3409</v>
      </c>
      <c r="EU377"/>
    </row>
    <row r="378" spans="1:151" s="139" customFormat="1" ht="15" customHeight="1">
      <c r="A378" s="1" t="s">
        <v>1425</v>
      </c>
      <c r="B378" t="s">
        <v>2492</v>
      </c>
      <c r="C378" t="s">
        <v>2493</v>
      </c>
      <c r="D378" t="s">
        <v>2494</v>
      </c>
      <c r="E378" t="s">
        <v>2495</v>
      </c>
      <c r="F378" t="s">
        <v>2496</v>
      </c>
      <c r="G378" t="s">
        <v>1431</v>
      </c>
      <c r="H378" t="s">
        <v>255</v>
      </c>
      <c r="I378">
        <v>2016</v>
      </c>
      <c r="J378">
        <v>24</v>
      </c>
      <c r="K378" t="s">
        <v>2497</v>
      </c>
      <c r="L378"/>
      <c r="M378" t="str">
        <f>LEFT($D378,FIND(",",$D378)-1)&amp;"_"&amp;I378&amp;L378</f>
        <v>Zubizarreta-Gerendiain_2016</v>
      </c>
      <c r="N378" t="s">
        <v>223</v>
      </c>
      <c r="O378" s="145" t="s">
        <v>1156</v>
      </c>
      <c r="P378"/>
      <c r="Q378" t="s">
        <v>257</v>
      </c>
      <c r="R378" s="264" t="s">
        <v>224</v>
      </c>
      <c r="S378" s="1" t="s">
        <v>2498</v>
      </c>
      <c r="T378" t="s">
        <v>2504</v>
      </c>
      <c r="U378" t="s">
        <v>2500</v>
      </c>
      <c r="V378">
        <v>0</v>
      </c>
      <c r="W378">
        <v>0</v>
      </c>
      <c r="X378">
        <v>0</v>
      </c>
      <c r="Y378">
        <v>2</v>
      </c>
      <c r="Z378">
        <v>0</v>
      </c>
      <c r="AA378">
        <v>0</v>
      </c>
      <c r="AB378">
        <v>0</v>
      </c>
      <c r="AC378">
        <v>0</v>
      </c>
      <c r="AD378">
        <v>0</v>
      </c>
      <c r="AE378">
        <v>0</v>
      </c>
      <c r="AF378">
        <v>1</v>
      </c>
      <c r="AG378">
        <v>0</v>
      </c>
      <c r="AH378">
        <v>0</v>
      </c>
      <c r="AI378">
        <v>0</v>
      </c>
      <c r="AJ378">
        <v>0</v>
      </c>
      <c r="AK378">
        <v>0</v>
      </c>
      <c r="AL378">
        <v>0</v>
      </c>
      <c r="AM378">
        <v>0</v>
      </c>
      <c r="AN378">
        <v>0</v>
      </c>
      <c r="AO378">
        <v>0</v>
      </c>
      <c r="AP378">
        <v>0</v>
      </c>
      <c r="AQ378">
        <v>0</v>
      </c>
      <c r="AR378">
        <v>0</v>
      </c>
      <c r="AS378">
        <v>0</v>
      </c>
      <c r="AT378">
        <v>0</v>
      </c>
      <c r="AU378">
        <v>0</v>
      </c>
      <c r="AV378">
        <v>0</v>
      </c>
      <c r="AW378">
        <v>0</v>
      </c>
      <c r="AX378" s="141">
        <f>COUNTIF(V378:AW378,"&lt;&gt;0")</f>
        <v>2</v>
      </c>
      <c r="AY378" s="141">
        <f>COUNTIF(V378:AL378,"&lt;&gt;0")</f>
        <v>2</v>
      </c>
      <c r="AZ378">
        <f>COUNTIF(V378:AC378,"&lt;&gt;0")</f>
        <v>1</v>
      </c>
      <c r="BA378">
        <f>COUNTIF(AD378:AI378,"&lt;&gt;0")</f>
        <v>1</v>
      </c>
      <c r="BB378">
        <f>COUNTIF(AJ378:AL378,"&lt;&gt;0")</f>
        <v>0</v>
      </c>
      <c r="BC378">
        <f>COUNTIF(AS378:AW378,"&lt;&gt;0")</f>
        <v>0</v>
      </c>
      <c r="BD378">
        <f>COUNTIF(AM378:AR378,"&lt;&gt;0")</f>
        <v>0</v>
      </c>
      <c r="BE378" t="str">
        <f t="array" ref="BE378">IF(AY378=1,INDEX($V$7:$AL$7,MATCH(TRUE,INDEX($V378:$AW378&lt;&gt;0,),0)),IF(AY378=0,INDEX($AM$7:$AW$7,MATCH(1,$AM378:$AW378,0)),IF(BF378="Multiple strategies","mixed drivers",IF(BF378="Supply chain","multiple supply","multiple silviculture"))))</f>
        <v>mixed drivers</v>
      </c>
      <c r="BF378" s="2" t="str">
        <f t="array" ref="BF378">IF(COUNTIF(AZ378:BB378,"&lt;&gt;0")=1,INDEX($V$4:$AW$4,MATCH(TRUE,INDEX($V378:$AW378&lt;&gt;0,),0)),IF(COUNTIF(AZ378:BB378,"&lt;&gt;0")=0,INDEX($AM$4:$AW$4,MATCH(1,$AM378:$AW378,0)),"Multiple strategies"))</f>
        <v>Multiple strategies</v>
      </c>
      <c r="BG378" s="1" t="s">
        <v>322</v>
      </c>
      <c r="BH378" t="s">
        <v>2501</v>
      </c>
      <c r="BI378" s="266" t="s">
        <v>2115</v>
      </c>
      <c r="BJ378" t="s">
        <v>2502</v>
      </c>
      <c r="BK378">
        <v>70.532915360501505</v>
      </c>
      <c r="BL378">
        <v>82.946708463949804</v>
      </c>
      <c r="BM378" s="143">
        <f>BL378/BK378</f>
        <v>1.1760000000000004</v>
      </c>
      <c r="BN378">
        <f>BL378-BK378</f>
        <v>12.413793103448299</v>
      </c>
      <c r="BO378">
        <f>BN378*1000*t_to_m3</f>
        <v>25334.271639690407</v>
      </c>
      <c r="BP378" s="143" t="s">
        <v>233</v>
      </c>
      <c r="BQ378" s="143" t="s">
        <v>3258</v>
      </c>
      <c r="BR378" t="s">
        <v>1197</v>
      </c>
      <c r="BS378">
        <v>64513.863854748583</v>
      </c>
      <c r="BT378">
        <v>-46788.009888268192</v>
      </c>
      <c r="BU378" s="144">
        <f>IFERROR(BT378/BS378,"")</f>
        <v>-0.72523961661341929</v>
      </c>
      <c r="BV378" s="144">
        <f>BT378-BS378</f>
        <v>-111301.87374301677</v>
      </c>
      <c r="BW378" s="144"/>
      <c r="BX378" s="144">
        <f>BV378</f>
        <v>-111301.87374301677</v>
      </c>
      <c r="BY378">
        <f>IFERROR(BX378/BO378,"")</f>
        <v>-4.39333229413407</v>
      </c>
      <c r="BZ378">
        <v>0</v>
      </c>
      <c r="CA378">
        <v>0</v>
      </c>
      <c r="CB378">
        <v>0</v>
      </c>
      <c r="CC378">
        <v>0</v>
      </c>
      <c r="CD378">
        <v>0</v>
      </c>
      <c r="CE378">
        <v>0</v>
      </c>
      <c r="CF378">
        <v>0</v>
      </c>
      <c r="CG378">
        <v>0</v>
      </c>
      <c r="CH378">
        <v>0</v>
      </c>
      <c r="CI378">
        <v>0</v>
      </c>
      <c r="CJ378">
        <v>0</v>
      </c>
      <c r="CK378">
        <v>0</v>
      </c>
      <c r="CL378">
        <v>0</v>
      </c>
      <c r="CM378">
        <v>1</v>
      </c>
      <c r="CN378" t="str">
        <f>IF($BL378&lt;$BK378,"refNeedCorrection","refOK")</f>
        <v>refOK</v>
      </c>
      <c r="CO378">
        <f>IF($CN378="refOK",$BK378,$BL378)</f>
        <v>70.532915360501505</v>
      </c>
      <c r="CP378">
        <f>IF($CN378="refOK",$BL378,$BK378)</f>
        <v>82.946708463949804</v>
      </c>
      <c r="CQ378">
        <f>IF($CN378="refOK",$BO378,-$BO378)</f>
        <v>25334.271639690407</v>
      </c>
      <c r="CR378">
        <f>IF($CN378="refOK",$BS378,$BT378)*IF($BP378="Emissions positive",-1,1)</f>
        <v>64513.863854748583</v>
      </c>
      <c r="CS378">
        <f>IF($CN378="refOK",$BT378,$BS378)*IF($BP378="Emissions positive",-1,1)</f>
        <v>-46788.009888268192</v>
      </c>
      <c r="CT378">
        <f>IF($CN378="refNeedCorrection",-BX378,BX378)*IF($BP378="Emissions positive",-1,1)</f>
        <v>-111301.87374301677</v>
      </c>
      <c r="CU378">
        <f>IFERROR(CT378/CQ378,"")</f>
        <v>-4.39333229413407</v>
      </c>
      <c r="CV378" s="2">
        <f>IFERROR((CS378-CR378)/ABS(CR378),"")</f>
        <v>-1.7252396166134192</v>
      </c>
      <c r="CW378" s="1" t="s">
        <v>1201</v>
      </c>
      <c r="CX378" t="str">
        <f>IF(OR($CW378="prd",$CW378="std",$CW378="cit"),"loc",IF(OR($CW378="eur",$CW378="reg",$CW378="coy"),"reg",$CW378))</f>
        <v>reg</v>
      </c>
      <c r="CY378" t="s">
        <v>236</v>
      </c>
      <c r="CZ378">
        <v>2010</v>
      </c>
      <c r="DA378">
        <v>2070</v>
      </c>
      <c r="DB378">
        <f>DA378-CZ378</f>
        <v>60</v>
      </c>
      <c r="DC378" t="str">
        <f>IF(DB378=0,"0",IF(AND(DB378&gt;=1,DB378&lt;=30),"1-30",IF(AND(DB378&gt;30,DB378&lt;=70),"31-70",IF(AND(DB378&gt;70,DB378&lt;=100),"71-100",IF(DB378&gt;100,"+100")))))</f>
        <v>31-70</v>
      </c>
      <c r="DD378">
        <v>1</v>
      </c>
      <c r="DE378">
        <v>0</v>
      </c>
      <c r="DF378">
        <v>0</v>
      </c>
      <c r="DG378">
        <v>0</v>
      </c>
      <c r="DH378">
        <v>0</v>
      </c>
      <c r="DI378">
        <f>SUM(DD378:DG378)</f>
        <v>1</v>
      </c>
      <c r="DJ378" t="str">
        <f>IF(DI378=1,INDEX($DD$7:$DG$7,MATCH(1,$DD378:$DG378,0)),"mixedProduct")</f>
        <v>UpstreamInput</v>
      </c>
      <c r="DK378" t="str">
        <f>IF(DD378=1,DK$7,0)</f>
        <v>Upstream</v>
      </c>
      <c r="DL378">
        <f>IF(DE378=1,DL$7,0)</f>
        <v>0</v>
      </c>
      <c r="DM378">
        <f>IF(DF378=1,DM$7,0)</f>
        <v>0</v>
      </c>
      <c r="DN378">
        <f>IF(DG378=1,DN$7,0)</f>
        <v>0</v>
      </c>
      <c r="DO378">
        <v>0</v>
      </c>
      <c r="DP378">
        <v>0</v>
      </c>
      <c r="DQ378">
        <v>0</v>
      </c>
      <c r="DR378">
        <v>0</v>
      </c>
      <c r="DS378">
        <v>0</v>
      </c>
      <c r="DT378">
        <f>SUM(DO378:DP378)</f>
        <v>0</v>
      </c>
      <c r="DU378" s="143" t="str">
        <f>IF(DO378=1,"self-calculated DF",IF(DP378=1,"external DF used","explicit C balance"))</f>
        <v>explicit C balance</v>
      </c>
      <c r="DV378">
        <v>1</v>
      </c>
      <c r="DW378">
        <v>1</v>
      </c>
      <c r="DX378">
        <v>1</v>
      </c>
      <c r="DY378">
        <v>1</v>
      </c>
      <c r="DZ378">
        <v>0</v>
      </c>
      <c r="EA378" s="143">
        <v>0</v>
      </c>
      <c r="EB378">
        <v>0</v>
      </c>
      <c r="EC378">
        <v>0</v>
      </c>
      <c r="ED378">
        <v>0</v>
      </c>
      <c r="EE378">
        <v>0</v>
      </c>
      <c r="EF378">
        <v>1</v>
      </c>
      <c r="EG378">
        <v>0</v>
      </c>
      <c r="EH378">
        <v>0</v>
      </c>
      <c r="EI378" s="2">
        <v>0</v>
      </c>
      <c r="EJ378" s="1"/>
      <c r="EK378" t="str">
        <f>IF(AND(AND(AND(OR($DX378=1,$DW378=1),OR($EC378=1,$EA378=1)),SUM($DV378:$DZ378,$EF378)&gt;=4),SUM($EA378:$EE378)&gt;=2),"Whole sector","")</f>
        <v/>
      </c>
      <c r="EL378" t="str">
        <f>IF(AND(AND(OR($DX378=1,$DW378=1),AND($EC378=0,$EA378=0)),SUM($DV378:$DZ378,$EF378)&gt;=4),"Ecosystem approach","")</f>
        <v>Ecosystem approach</v>
      </c>
      <c r="EM378" s="2" t="str">
        <f>IF(AND(AND(AND($DX378=0,$DW378=0),OR($EC378=1,$EA378=1)),SUM($EB378:$EE378)&gt;=2),"Technology approach","")</f>
        <v/>
      </c>
      <c r="EN378"/>
      <c r="EO378"/>
      <c r="EP378" t="str">
        <f>IF(ISNUMBER(BU378),IF(ABS(BU378-[2]QC_indicators!$B$2)&gt;3*[2]QC_indicators!$C$2,"C ratio",IF(ISNUMBER(BY378),IF(ABS(BY378-[2]QC_indicators!$B$1)&gt;3*[2]QC_indicators!$C$1,"DF","no"))),IF(ISNUMBER(BY378),IF(ABS(BY378-[2]QC_indicators!$B$1)&gt;3*[2]QC_indicators!$C$1,"DF","no")))</f>
        <v>no</v>
      </c>
      <c r="EQ378" t="s">
        <v>2503</v>
      </c>
      <c r="ER378"/>
      <c r="ES378"/>
      <c r="ET378" s="266" t="s">
        <v>3259</v>
      </c>
      <c r="EU378"/>
    </row>
    <row r="379" spans="1:151" s="139" customFormat="1" ht="15" hidden="1" customHeight="1">
      <c r="A379" s="1" t="s">
        <v>1359</v>
      </c>
      <c r="B379" t="s">
        <v>1438</v>
      </c>
      <c r="C379" t="s">
        <v>1439</v>
      </c>
      <c r="D379" t="s">
        <v>1440</v>
      </c>
      <c r="E379" t="s">
        <v>1441</v>
      </c>
      <c r="F379" t="s">
        <v>1442</v>
      </c>
      <c r="G379" t="s">
        <v>1360</v>
      </c>
      <c r="H379" t="s">
        <v>255</v>
      </c>
      <c r="I379">
        <v>2011</v>
      </c>
      <c r="J379">
        <v>0</v>
      </c>
      <c r="K379" t="s">
        <v>1443</v>
      </c>
      <c r="L379"/>
      <c r="M379" t="str">
        <f>LEFT($D379,FIND(",",$D379)-1)&amp;"_"&amp;I379&amp;L379</f>
        <v>Elgie_2011</v>
      </c>
      <c r="N379" t="s">
        <v>223</v>
      </c>
      <c r="O379" s="145" t="s">
        <v>275</v>
      </c>
      <c r="P379"/>
      <c r="Q379" s="266" t="s">
        <v>257</v>
      </c>
      <c r="R379" s="271" t="s">
        <v>1156</v>
      </c>
      <c r="S379" s="1" t="s">
        <v>1444</v>
      </c>
      <c r="T379" t="s">
        <v>1445</v>
      </c>
      <c r="U379" t="s">
        <v>1446</v>
      </c>
      <c r="V379">
        <v>2</v>
      </c>
      <c r="W379">
        <v>0</v>
      </c>
      <c r="X379">
        <v>2</v>
      </c>
      <c r="Y379">
        <v>2</v>
      </c>
      <c r="Z379">
        <v>0</v>
      </c>
      <c r="AA379">
        <v>0</v>
      </c>
      <c r="AB379">
        <v>0</v>
      </c>
      <c r="AC379">
        <v>0</v>
      </c>
      <c r="AD379">
        <v>0</v>
      </c>
      <c r="AE379">
        <v>0</v>
      </c>
      <c r="AF379">
        <v>0</v>
      </c>
      <c r="AG379">
        <v>0</v>
      </c>
      <c r="AH379">
        <v>0</v>
      </c>
      <c r="AI379">
        <v>0</v>
      </c>
      <c r="AJ379">
        <v>0</v>
      </c>
      <c r="AK379">
        <v>0</v>
      </c>
      <c r="AL379">
        <v>0</v>
      </c>
      <c r="AM379">
        <v>0</v>
      </c>
      <c r="AN379">
        <v>0</v>
      </c>
      <c r="AO379">
        <v>0</v>
      </c>
      <c r="AP379">
        <v>0</v>
      </c>
      <c r="AQ379">
        <v>0</v>
      </c>
      <c r="AR379">
        <v>0</v>
      </c>
      <c r="AS379">
        <v>0</v>
      </c>
      <c r="AT379">
        <v>0</v>
      </c>
      <c r="AU379">
        <v>0</v>
      </c>
      <c r="AV379">
        <v>1</v>
      </c>
      <c r="AW379">
        <v>0</v>
      </c>
      <c r="AX379" s="141">
        <f>COUNTIF(V379:AW379,"&lt;&gt;0")</f>
        <v>4</v>
      </c>
      <c r="AY379" s="141">
        <f>COUNTIF(V379:AL379,"&lt;&gt;0")</f>
        <v>3</v>
      </c>
      <c r="AZ379">
        <f>COUNTIF(V379:AC379,"&lt;&gt;0")</f>
        <v>3</v>
      </c>
      <c r="BA379">
        <f>COUNTIF(AD379:AI379,"&lt;&gt;0")</f>
        <v>0</v>
      </c>
      <c r="BB379">
        <f>COUNTIF(AJ379:AL379,"&lt;&gt;0")</f>
        <v>0</v>
      </c>
      <c r="BC379">
        <f>COUNTIF(AS379:AW379,"&lt;&gt;0")</f>
        <v>1</v>
      </c>
      <c r="BD379">
        <f>COUNTIF(AM379:AR379,"&lt;&gt;0")</f>
        <v>0</v>
      </c>
      <c r="BE379" t="str" cm="1">
        <f t="array" ref="BE379">IF(AY379=1,INDEX($V$7:$AL$7,MATCH(TRUE,INDEX($V379:$AW379&lt;&gt;0,),0)),IF(AY379=0,INDEX($AM$7:$AW$7,MATCH(1,$AM379:$AW379,0)),IF(BF379="Multiple strategies","mixed drivers",IF(BF379="Supply chain","multiple supply","multiple silviculture"))))</f>
        <v>multiple silviculture</v>
      </c>
      <c r="BF379" s="2" t="str" cm="1">
        <f t="array" ref="BF379">IF(COUNTIF(AZ379:BB379,"&lt;&gt;0")=1,INDEX($V$4:$AW$4,MATCH(TRUE,INDEX($V379:$AW379&lt;&gt;0,),0)),IF(COUNTIF(AZ379:BB379,"&lt;&gt;0")=0,INDEX($AM$4:$AW$4,MATCH(1,$AM379:$AW379,0)),"Multiple strategies"))</f>
        <v>SilvicultureRemov</v>
      </c>
      <c r="BG379" s="1" t="s">
        <v>322</v>
      </c>
      <c r="BH379" t="s">
        <v>1447</v>
      </c>
      <c r="BI379"/>
      <c r="BJ379" t="s">
        <v>1325</v>
      </c>
      <c r="BK379">
        <v>0</v>
      </c>
      <c r="BL379">
        <v>286.60902583574921</v>
      </c>
      <c r="BM379"/>
      <c r="BN379">
        <f>BL379-BK379</f>
        <v>286.60902583574921</v>
      </c>
      <c r="BO379">
        <f>BN379*10^6</f>
        <v>286609025.83574921</v>
      </c>
      <c r="BP379" t="s">
        <v>233</v>
      </c>
      <c r="BQ379"/>
      <c r="BR379" t="s">
        <v>1361</v>
      </c>
      <c r="BS379">
        <v>269.14893617021198</v>
      </c>
      <c r="BT379">
        <v>217.87234042553101</v>
      </c>
      <c r="BU379" s="144">
        <f>IFERROR(BT379/BS379,"")</f>
        <v>0.80948616600790413</v>
      </c>
      <c r="BV379">
        <f>BT379-BS379</f>
        <v>-51.276595744680975</v>
      </c>
      <c r="BW379"/>
      <c r="BX379">
        <f>BV379*10^6*C_to_CO2</f>
        <v>-188185106.38297918</v>
      </c>
      <c r="BY379">
        <f>IFERROR(BX379/BO379,"")</f>
        <v>-0.65659169607179391</v>
      </c>
      <c r="BZ379">
        <v>0</v>
      </c>
      <c r="CA379">
        <v>0</v>
      </c>
      <c r="CB379">
        <v>0</v>
      </c>
      <c r="CC379">
        <v>0</v>
      </c>
      <c r="CD379">
        <v>0</v>
      </c>
      <c r="CE379">
        <v>0</v>
      </c>
      <c r="CF379">
        <v>0</v>
      </c>
      <c r="CG379">
        <v>0</v>
      </c>
      <c r="CH379">
        <v>0</v>
      </c>
      <c r="CI379">
        <v>0</v>
      </c>
      <c r="CJ379">
        <v>0</v>
      </c>
      <c r="CK379">
        <v>0</v>
      </c>
      <c r="CL379">
        <v>0</v>
      </c>
      <c r="CM379">
        <v>1</v>
      </c>
      <c r="CN379" t="str">
        <f>IF($BL379&lt;$BK379,"refNeedCorrection","refOK")</f>
        <v>refOK</v>
      </c>
      <c r="CO379">
        <f>IF($CN379="refOK",$BK379,$BL379)</f>
        <v>0</v>
      </c>
      <c r="CP379">
        <f>IF($CN379="refOK",$BL379,$BK379)</f>
        <v>286.60902583574921</v>
      </c>
      <c r="CQ379">
        <f>IF($CN379="refOK",$BO379,-$BO379)</f>
        <v>286609025.83574921</v>
      </c>
      <c r="CR379">
        <f>IF($CN379="refOK",$BS379,$BT379)*IF($BP379="Emissions positive",-1,1)</f>
        <v>269.14893617021198</v>
      </c>
      <c r="CS379">
        <f>IF($CN379="refOK",$BT379,$BS379)*IF($BP379="Emissions positive",-1,1)</f>
        <v>217.87234042553101</v>
      </c>
      <c r="CT379">
        <f>IF($CN379="refNeedCorrection",-BX379,BX379)*IF($BP379="Emissions positive",-1,1)</f>
        <v>-188185106.38297918</v>
      </c>
      <c r="CU379">
        <f>IFERROR(CT379/CQ379,"")</f>
        <v>-0.65659169607179391</v>
      </c>
      <c r="CV379" s="2">
        <f>IFERROR((CS379-CR379)/ABS(CR379),"")</f>
        <v>-0.19051383399209587</v>
      </c>
      <c r="CW379" s="1" t="s">
        <v>1201</v>
      </c>
      <c r="CX379" s="266" t="str">
        <f>IF(OR($CW379="prd",$CW379="std",$CW379="cit"),"loc",IF(OR($CW379="eur",$CW379="reg",$CW379="coy"),"reg",$CW379))</f>
        <v>reg</v>
      </c>
      <c r="CY379" t="s">
        <v>541</v>
      </c>
      <c r="CZ379"/>
      <c r="DA379"/>
      <c r="DB379">
        <v>200</v>
      </c>
      <c r="DC379" t="str">
        <f>IF(DB379=0,"0",IF(AND(DB379&gt;=1,DB379&lt;=30),"1-30",IF(AND(DB379&gt;30,DB379&lt;=70),"31-70",IF(AND(DB379&gt;70,DB379&lt;=100),"71-100",IF(DB379&gt;100,"+100")))))</f>
        <v>+100</v>
      </c>
      <c r="DD379">
        <v>1</v>
      </c>
      <c r="DE379">
        <v>0</v>
      </c>
      <c r="DF379">
        <v>0</v>
      </c>
      <c r="DG379">
        <v>0</v>
      </c>
      <c r="DH379"/>
      <c r="DI379">
        <f>SUM(DD379:DG379)</f>
        <v>1</v>
      </c>
      <c r="DJ379" t="str">
        <f>IF(DI379=1,INDEX($DD$7:$DG$7,MATCH(1,$DD379:$DG379,0)),"mixedProduct")</f>
        <v>UpstreamInput</v>
      </c>
      <c r="DK379" t="str">
        <f>IF(DD379=1,DK$7,0)</f>
        <v>Upstream</v>
      </c>
      <c r="DL379">
        <f>IF(DE379=1,DL$7,0)</f>
        <v>0</v>
      </c>
      <c r="DM379">
        <f>IF(DF379=1,DM$7,0)</f>
        <v>0</v>
      </c>
      <c r="DN379">
        <f>IF(DG379=1,DN$7,0)</f>
        <v>0</v>
      </c>
      <c r="DO379">
        <v>0</v>
      </c>
      <c r="DP379">
        <v>0</v>
      </c>
      <c r="DQ379">
        <v>0</v>
      </c>
      <c r="DR379">
        <v>0</v>
      </c>
      <c r="DS379">
        <v>0</v>
      </c>
      <c r="DT379">
        <f>SUM(DO379:DP379)</f>
        <v>0</v>
      </c>
      <c r="DU379" s="143" t="str">
        <f>IF(DO379=1,"self-calculated DF",IF(DP379=1,"external DF used","explicit C balance"))</f>
        <v>explicit C balance</v>
      </c>
      <c r="DV379">
        <v>1</v>
      </c>
      <c r="DW379">
        <v>0</v>
      </c>
      <c r="DX379">
        <v>1</v>
      </c>
      <c r="DY379">
        <v>0</v>
      </c>
      <c r="DZ379">
        <v>0</v>
      </c>
      <c r="EA379" s="143">
        <v>0</v>
      </c>
      <c r="EB379">
        <v>0</v>
      </c>
      <c r="EC379">
        <v>0</v>
      </c>
      <c r="ED379">
        <v>0</v>
      </c>
      <c r="EE379">
        <v>0</v>
      </c>
      <c r="EF379">
        <v>1</v>
      </c>
      <c r="EG379">
        <v>0</v>
      </c>
      <c r="EH379">
        <v>0</v>
      </c>
      <c r="EI379" s="2">
        <v>1</v>
      </c>
      <c r="EJ379" s="1"/>
      <c r="EK379" t="str">
        <f>IF(AND(AND(AND(OR($DX379=1,$DW379=1),OR($EC379=1,$EA379=1)),SUM($DV379:$DZ379,$EF379)&gt;=4),SUM($EA379:$EE379)&gt;=2),"Whole sector","")</f>
        <v/>
      </c>
      <c r="EL379" t="str">
        <f>IF(AND(AND(OR($DX379=1,$DW379=1),AND($EC379=0,$EA379=0)),SUM($DV379:$DZ379,$EF379)&gt;=4),"Ecosystem approach","")</f>
        <v/>
      </c>
      <c r="EM379" s="2" t="str">
        <f>IF(AND(AND(AND($DX379=0,$DW379=0),OR($EC379=1,$EA379=1)),SUM($EB379:$EE379)&gt;=2),"Technology approach","")</f>
        <v/>
      </c>
      <c r="EN379"/>
      <c r="EO379"/>
      <c r="EP379" t="str">
        <f>IF(ISNUMBER(BU379),IF(ABS(BU379-[1]QC_indicators!$B$2)&gt;3*[1]QC_indicators!$C$2,"C ratio",IF(ISNUMBER(BY379),IF(ABS(BY379-[1]QC_indicators!$B$1)&gt;3*[1]QC_indicators!$C$1,"DF","no"))),IF(ISNUMBER(BY379),IF(ABS(BY379-[1]QC_indicators!$B$1)&gt;3*[1]QC_indicators!$C$1,"DF","no")))</f>
        <v>no</v>
      </c>
      <c r="EQ379" t="s">
        <v>287</v>
      </c>
      <c r="ER379"/>
      <c r="ES379"/>
      <c r="ET379" s="266" t="s">
        <v>3409</v>
      </c>
      <c r="EU379"/>
    </row>
    <row r="380" spans="1:151" s="139" customFormat="1" ht="15" hidden="1" customHeight="1">
      <c r="A380" s="1" t="s">
        <v>1359</v>
      </c>
      <c r="B380" t="s">
        <v>1438</v>
      </c>
      <c r="C380" t="s">
        <v>1439</v>
      </c>
      <c r="D380" t="s">
        <v>1440</v>
      </c>
      <c r="E380" t="s">
        <v>1441</v>
      </c>
      <c r="F380" t="s">
        <v>1442</v>
      </c>
      <c r="G380" t="s">
        <v>1360</v>
      </c>
      <c r="H380" t="s">
        <v>255</v>
      </c>
      <c r="I380">
        <v>2011</v>
      </c>
      <c r="J380">
        <v>0</v>
      </c>
      <c r="K380" t="s">
        <v>1443</v>
      </c>
      <c r="L380"/>
      <c r="M380" t="str">
        <f>LEFT($D380,FIND(",",$D380)-1)&amp;"_"&amp;I380&amp;L380</f>
        <v>Elgie_2011</v>
      </c>
      <c r="N380" t="s">
        <v>223</v>
      </c>
      <c r="O380" s="145" t="s">
        <v>275</v>
      </c>
      <c r="P380"/>
      <c r="Q380" s="266" t="s">
        <v>257</v>
      </c>
      <c r="R380" s="271" t="s">
        <v>1156</v>
      </c>
      <c r="S380" s="1" t="s">
        <v>1444</v>
      </c>
      <c r="T380" t="s">
        <v>1445</v>
      </c>
      <c r="U380" t="s">
        <v>1448</v>
      </c>
      <c r="V380">
        <v>2</v>
      </c>
      <c r="W380">
        <v>0</v>
      </c>
      <c r="X380">
        <v>2</v>
      </c>
      <c r="Y380">
        <v>2</v>
      </c>
      <c r="Z380">
        <v>0</v>
      </c>
      <c r="AA380">
        <v>0</v>
      </c>
      <c r="AB380">
        <v>0</v>
      </c>
      <c r="AC380">
        <v>0</v>
      </c>
      <c r="AD380">
        <v>0</v>
      </c>
      <c r="AE380">
        <v>0</v>
      </c>
      <c r="AF380">
        <v>0</v>
      </c>
      <c r="AG380">
        <v>0</v>
      </c>
      <c r="AH380">
        <v>0</v>
      </c>
      <c r="AI380">
        <v>0</v>
      </c>
      <c r="AJ380">
        <v>0</v>
      </c>
      <c r="AK380">
        <v>0</v>
      </c>
      <c r="AL380">
        <v>0</v>
      </c>
      <c r="AM380">
        <v>0</v>
      </c>
      <c r="AN380">
        <v>0</v>
      </c>
      <c r="AO380">
        <v>0</v>
      </c>
      <c r="AP380">
        <v>0</v>
      </c>
      <c r="AQ380">
        <v>0</v>
      </c>
      <c r="AR380">
        <v>0</v>
      </c>
      <c r="AS380">
        <v>0</v>
      </c>
      <c r="AT380">
        <v>0</v>
      </c>
      <c r="AU380">
        <v>0</v>
      </c>
      <c r="AV380">
        <v>1</v>
      </c>
      <c r="AW380">
        <v>0</v>
      </c>
      <c r="AX380" s="141">
        <f>COUNTIF(V380:AW380,"&lt;&gt;0")</f>
        <v>4</v>
      </c>
      <c r="AY380" s="141">
        <f>COUNTIF(V380:AL380,"&lt;&gt;0")</f>
        <v>3</v>
      </c>
      <c r="AZ380">
        <f>COUNTIF(V380:AC380,"&lt;&gt;0")</f>
        <v>3</v>
      </c>
      <c r="BA380">
        <f>COUNTIF(AD380:AI380,"&lt;&gt;0")</f>
        <v>0</v>
      </c>
      <c r="BB380">
        <f>COUNTIF(AJ380:AL380,"&lt;&gt;0")</f>
        <v>0</v>
      </c>
      <c r="BC380">
        <f>COUNTIF(AS380:AW380,"&lt;&gt;0")</f>
        <v>1</v>
      </c>
      <c r="BD380">
        <f>COUNTIF(AM380:AR380,"&lt;&gt;0")</f>
        <v>0</v>
      </c>
      <c r="BE380" t="str" cm="1">
        <f t="array" ref="BE380">IF(AY380=1,INDEX($V$7:$AL$7,MATCH(TRUE,INDEX($V380:$AW380&lt;&gt;0,),0)),IF(AY380=0,INDEX($AM$7:$AW$7,MATCH(1,$AM380:$AW380,0)),IF(BF380="Multiple strategies","mixed drivers",IF(BF380="Supply chain","multiple supply","multiple silviculture"))))</f>
        <v>multiple silviculture</v>
      </c>
      <c r="BF380" s="2" t="str" cm="1">
        <f t="array" ref="BF380">IF(COUNTIF(AZ380:BB380,"&lt;&gt;0")=1,INDEX($V$4:$AW$4,MATCH(TRUE,INDEX($V380:$AW380&lt;&gt;0,),0)),IF(COUNTIF(AZ380:BB380,"&lt;&gt;0")=0,INDEX($AM$4:$AW$4,MATCH(1,$AM380:$AW380,0)),"Multiple strategies"))</f>
        <v>SilvicultureRemov</v>
      </c>
      <c r="BG380" s="1" t="s">
        <v>322</v>
      </c>
      <c r="BH380" t="s">
        <v>1447</v>
      </c>
      <c r="BI380"/>
      <c r="BJ380" t="s">
        <v>1325</v>
      </c>
      <c r="BK380">
        <v>0</v>
      </c>
      <c r="BL380">
        <v>279.58580701439303</v>
      </c>
      <c r="BM380"/>
      <c r="BN380">
        <f>BL380-BK380</f>
        <v>279.58580701439303</v>
      </c>
      <c r="BO380">
        <f>BN380*10^6</f>
        <v>279585807.01439303</v>
      </c>
      <c r="BP380" t="s">
        <v>233</v>
      </c>
      <c r="BQ380"/>
      <c r="BR380" t="s">
        <v>1361</v>
      </c>
      <c r="BS380">
        <v>269.14893617021198</v>
      </c>
      <c r="BT380">
        <v>221.063829787234</v>
      </c>
      <c r="BU380" s="144">
        <f>IFERROR(BT380/BS380,"")</f>
        <v>0.82134387351778881</v>
      </c>
      <c r="BV380">
        <f>BT380-BS380</f>
        <v>-48.085106382977983</v>
      </c>
      <c r="BW380"/>
      <c r="BX380">
        <f>BV380*10^6*C_to_CO2</f>
        <v>-176472340.42552921</v>
      </c>
      <c r="BY380">
        <f>IFERROR(BX380/BO380,"")</f>
        <v>-0.63119205624212693</v>
      </c>
      <c r="BZ380">
        <v>0</v>
      </c>
      <c r="CA380">
        <v>0</v>
      </c>
      <c r="CB380">
        <v>0</v>
      </c>
      <c r="CC380">
        <v>0</v>
      </c>
      <c r="CD380">
        <v>0</v>
      </c>
      <c r="CE380">
        <v>0</v>
      </c>
      <c r="CF380">
        <v>0</v>
      </c>
      <c r="CG380">
        <v>0</v>
      </c>
      <c r="CH380">
        <v>0</v>
      </c>
      <c r="CI380">
        <v>0</v>
      </c>
      <c r="CJ380">
        <v>0</v>
      </c>
      <c r="CK380">
        <v>0</v>
      </c>
      <c r="CL380">
        <v>0</v>
      </c>
      <c r="CM380">
        <v>1</v>
      </c>
      <c r="CN380" t="str">
        <f>IF($BL380&lt;$BK380,"refNeedCorrection","refOK")</f>
        <v>refOK</v>
      </c>
      <c r="CO380">
        <f>IF($CN380="refOK",$BK380,$BL380)</f>
        <v>0</v>
      </c>
      <c r="CP380">
        <f>IF($CN380="refOK",$BL380,$BK380)</f>
        <v>279.58580701439303</v>
      </c>
      <c r="CQ380">
        <f>IF($CN380="refOK",$BO380,-$BO380)</f>
        <v>279585807.01439303</v>
      </c>
      <c r="CR380">
        <f>IF($CN380="refOK",$BS380,$BT380)*IF($BP380="Emissions positive",-1,1)</f>
        <v>269.14893617021198</v>
      </c>
      <c r="CS380">
        <f>IF($CN380="refOK",$BT380,$BS380)*IF($BP380="Emissions positive",-1,1)</f>
        <v>221.063829787234</v>
      </c>
      <c r="CT380">
        <f>IF($CN380="refNeedCorrection",-BX380,BX380)*IF($BP380="Emissions positive",-1,1)</f>
        <v>-176472340.42552921</v>
      </c>
      <c r="CU380">
        <f>IFERROR(CT380/CQ380,"")</f>
        <v>-0.63119205624212693</v>
      </c>
      <c r="CV380" s="2">
        <f>IFERROR((CS380-CR380)/ABS(CR380),"")</f>
        <v>-0.17865612648221121</v>
      </c>
      <c r="CW380" s="1" t="s">
        <v>1201</v>
      </c>
      <c r="CX380" s="266" t="str">
        <f>IF(OR($CW380="prd",$CW380="std",$CW380="cit"),"loc",IF(OR($CW380="eur",$CW380="reg",$CW380="coy"),"reg",$CW380))</f>
        <v>reg</v>
      </c>
      <c r="CY380" t="s">
        <v>541</v>
      </c>
      <c r="CZ380"/>
      <c r="DA380"/>
      <c r="DB380">
        <v>200</v>
      </c>
      <c r="DC380" t="str">
        <f>IF(DB380=0,"0",IF(AND(DB380&gt;=1,DB380&lt;=30),"1-30",IF(AND(DB380&gt;30,DB380&lt;=70),"31-70",IF(AND(DB380&gt;70,DB380&lt;=100),"71-100",IF(DB380&gt;100,"+100")))))</f>
        <v>+100</v>
      </c>
      <c r="DD380">
        <v>1</v>
      </c>
      <c r="DE380">
        <v>0</v>
      </c>
      <c r="DF380">
        <v>0</v>
      </c>
      <c r="DG380">
        <v>0</v>
      </c>
      <c r="DH380"/>
      <c r="DI380">
        <f>SUM(DD380:DG380)</f>
        <v>1</v>
      </c>
      <c r="DJ380" t="str">
        <f>IF(DI380=1,INDEX($DD$7:$DG$7,MATCH(1,$DD380:$DG380,0)),"mixedProduct")</f>
        <v>UpstreamInput</v>
      </c>
      <c r="DK380" t="str">
        <f>IF(DD380=1,DK$7,0)</f>
        <v>Upstream</v>
      </c>
      <c r="DL380">
        <f>IF(DE380=1,DL$7,0)</f>
        <v>0</v>
      </c>
      <c r="DM380">
        <f>IF(DF380=1,DM$7,0)</f>
        <v>0</v>
      </c>
      <c r="DN380">
        <f>IF(DG380=1,DN$7,0)</f>
        <v>0</v>
      </c>
      <c r="DO380">
        <v>0</v>
      </c>
      <c r="DP380">
        <v>0</v>
      </c>
      <c r="DQ380">
        <v>0</v>
      </c>
      <c r="DR380">
        <v>0</v>
      </c>
      <c r="DS380">
        <v>0</v>
      </c>
      <c r="DT380">
        <f>SUM(DO380:DP380)</f>
        <v>0</v>
      </c>
      <c r="DU380" s="143" t="str">
        <f>IF(DO380=1,"self-calculated DF",IF(DP380=1,"external DF used","explicit C balance"))</f>
        <v>explicit C balance</v>
      </c>
      <c r="DV380">
        <v>1</v>
      </c>
      <c r="DW380">
        <v>0</v>
      </c>
      <c r="DX380">
        <v>1</v>
      </c>
      <c r="DY380">
        <v>0</v>
      </c>
      <c r="DZ380">
        <v>0</v>
      </c>
      <c r="EA380" s="143">
        <v>0</v>
      </c>
      <c r="EB380">
        <v>0</v>
      </c>
      <c r="EC380">
        <v>0</v>
      </c>
      <c r="ED380">
        <v>0</v>
      </c>
      <c r="EE380">
        <v>0</v>
      </c>
      <c r="EF380">
        <v>1</v>
      </c>
      <c r="EG380">
        <v>0</v>
      </c>
      <c r="EH380">
        <v>0</v>
      </c>
      <c r="EI380" s="2">
        <v>1</v>
      </c>
      <c r="EJ380" s="1"/>
      <c r="EK380" t="str">
        <f>IF(AND(AND(AND(OR($DX380=1,$DW380=1),OR($EC380=1,$EA380=1)),SUM($DV380:$DZ380,$EF380)&gt;=4),SUM($EA380:$EE380)&gt;=2),"Whole sector","")</f>
        <v/>
      </c>
      <c r="EL380" t="str">
        <f>IF(AND(AND(OR($DX380=1,$DW380=1),AND($EC380=0,$EA380=0)),SUM($DV380:$DZ380,$EF380)&gt;=4),"Ecosystem approach","")</f>
        <v/>
      </c>
      <c r="EM380" s="2" t="str">
        <f>IF(AND(AND(AND($DX380=0,$DW380=0),OR($EC380=1,$EA380=1)),SUM($EB380:$EE380)&gt;=2),"Technology approach","")</f>
        <v/>
      </c>
      <c r="EN380"/>
      <c r="EO380"/>
      <c r="EP380" t="str">
        <f>IF(ISNUMBER(BU380),IF(ABS(BU380-[1]QC_indicators!$B$2)&gt;3*[1]QC_indicators!$C$2,"C ratio",IF(ISNUMBER(BY380),IF(ABS(BY380-[1]QC_indicators!$B$1)&gt;3*[1]QC_indicators!$C$1,"DF","no"))),IF(ISNUMBER(BY380),IF(ABS(BY380-[1]QC_indicators!$B$1)&gt;3*[1]QC_indicators!$C$1,"DF","no")))</f>
        <v>no</v>
      </c>
      <c r="EQ380" t="s">
        <v>287</v>
      </c>
      <c r="ER380"/>
      <c r="ES380"/>
      <c r="ET380" s="266" t="s">
        <v>3409</v>
      </c>
      <c r="EU380"/>
    </row>
    <row r="381" spans="1:151" s="139" customFormat="1" ht="15" hidden="1" customHeight="1">
      <c r="A381" s="1" t="s">
        <v>1359</v>
      </c>
      <c r="B381" t="s">
        <v>1438</v>
      </c>
      <c r="C381" t="s">
        <v>1439</v>
      </c>
      <c r="D381" t="s">
        <v>1440</v>
      </c>
      <c r="E381" t="s">
        <v>1441</v>
      </c>
      <c r="F381" t="s">
        <v>1442</v>
      </c>
      <c r="G381" t="s">
        <v>1360</v>
      </c>
      <c r="H381" t="s">
        <v>255</v>
      </c>
      <c r="I381">
        <v>2011</v>
      </c>
      <c r="J381">
        <v>0</v>
      </c>
      <c r="K381" t="s">
        <v>1443</v>
      </c>
      <c r="L381"/>
      <c r="M381" t="str">
        <f>LEFT($D381,FIND(",",$D381)-1)&amp;"_"&amp;I381&amp;L381</f>
        <v>Elgie_2011</v>
      </c>
      <c r="N381" t="s">
        <v>223</v>
      </c>
      <c r="O381" s="145" t="s">
        <v>275</v>
      </c>
      <c r="P381"/>
      <c r="Q381" s="266" t="s">
        <v>257</v>
      </c>
      <c r="R381" s="271" t="s">
        <v>1156</v>
      </c>
      <c r="S381" s="1" t="s">
        <v>1444</v>
      </c>
      <c r="T381" t="s">
        <v>1445</v>
      </c>
      <c r="U381" t="s">
        <v>1449</v>
      </c>
      <c r="V381">
        <v>2</v>
      </c>
      <c r="W381">
        <v>0</v>
      </c>
      <c r="X381">
        <v>2</v>
      </c>
      <c r="Y381">
        <v>2</v>
      </c>
      <c r="Z381">
        <v>0</v>
      </c>
      <c r="AA381">
        <v>0</v>
      </c>
      <c r="AB381">
        <v>0</v>
      </c>
      <c r="AC381">
        <v>0</v>
      </c>
      <c r="AD381">
        <v>0</v>
      </c>
      <c r="AE381">
        <v>0</v>
      </c>
      <c r="AF381">
        <v>0</v>
      </c>
      <c r="AG381">
        <v>0</v>
      </c>
      <c r="AH381">
        <v>0</v>
      </c>
      <c r="AI381">
        <v>0</v>
      </c>
      <c r="AJ381">
        <v>0</v>
      </c>
      <c r="AK381">
        <v>0</v>
      </c>
      <c r="AL381">
        <v>0</v>
      </c>
      <c r="AM381">
        <v>0</v>
      </c>
      <c r="AN381">
        <v>0</v>
      </c>
      <c r="AO381">
        <v>0</v>
      </c>
      <c r="AP381">
        <v>0</v>
      </c>
      <c r="AQ381">
        <v>0</v>
      </c>
      <c r="AR381">
        <v>0</v>
      </c>
      <c r="AS381">
        <v>0</v>
      </c>
      <c r="AT381">
        <v>0</v>
      </c>
      <c r="AU381">
        <v>0</v>
      </c>
      <c r="AV381">
        <v>1</v>
      </c>
      <c r="AW381">
        <v>0</v>
      </c>
      <c r="AX381" s="141">
        <f>COUNTIF(V381:AW381,"&lt;&gt;0")</f>
        <v>4</v>
      </c>
      <c r="AY381" s="141">
        <f>COUNTIF(V381:AL381,"&lt;&gt;0")</f>
        <v>3</v>
      </c>
      <c r="AZ381">
        <f>COUNTIF(V381:AC381,"&lt;&gt;0")</f>
        <v>3</v>
      </c>
      <c r="BA381">
        <f>COUNTIF(AD381:AI381,"&lt;&gt;0")</f>
        <v>0</v>
      </c>
      <c r="BB381">
        <f>COUNTIF(AJ381:AL381,"&lt;&gt;0")</f>
        <v>0</v>
      </c>
      <c r="BC381">
        <f>COUNTIF(AS381:AW381,"&lt;&gt;0")</f>
        <v>1</v>
      </c>
      <c r="BD381">
        <f>COUNTIF(AM381:AR381,"&lt;&gt;0")</f>
        <v>0</v>
      </c>
      <c r="BE381" t="str" cm="1">
        <f t="array" ref="BE381">IF(AY381=1,INDEX($V$7:$AL$7,MATCH(TRUE,INDEX($V381:$AW381&lt;&gt;0,),0)),IF(AY381=0,INDEX($AM$7:$AW$7,MATCH(1,$AM381:$AW381,0)),IF(BF381="Multiple strategies","mixed drivers",IF(BF381="Supply chain","multiple supply","multiple silviculture"))))</f>
        <v>multiple silviculture</v>
      </c>
      <c r="BF381" s="2" t="str" cm="1">
        <f t="array" ref="BF381">IF(COUNTIF(AZ381:BB381,"&lt;&gt;0")=1,INDEX($V$4:$AW$4,MATCH(TRUE,INDEX($V381:$AW381&lt;&gt;0,),0)),IF(COUNTIF(AZ381:BB381,"&lt;&gt;0")=0,INDEX($AM$4:$AW$4,MATCH(1,$AM381:$AW381,0)),"Multiple strategies"))</f>
        <v>SilvicultureRemov</v>
      </c>
      <c r="BG381" s="1" t="s">
        <v>322</v>
      </c>
      <c r="BH381" t="s">
        <v>1447</v>
      </c>
      <c r="BI381"/>
      <c r="BJ381" t="s">
        <v>1325</v>
      </c>
      <c r="BK381">
        <v>0</v>
      </c>
      <c r="BL381">
        <v>161.3345306206223</v>
      </c>
      <c r="BM381"/>
      <c r="BN381">
        <f>BL381-BK381</f>
        <v>161.3345306206223</v>
      </c>
      <c r="BO381">
        <f>BN381*10^6</f>
        <v>161334530.62062231</v>
      </c>
      <c r="BP381" t="s">
        <v>233</v>
      </c>
      <c r="BQ381"/>
      <c r="BR381" t="s">
        <v>1361</v>
      </c>
      <c r="BS381">
        <v>269.14893617021198</v>
      </c>
      <c r="BT381">
        <v>261.063829787234</v>
      </c>
      <c r="BU381" s="144">
        <f>IFERROR(BT381/BS381,"")</f>
        <v>0.96996047430830301</v>
      </c>
      <c r="BV381">
        <f>BT381-BS381</f>
        <v>-8.0851063829779832</v>
      </c>
      <c r="BW381"/>
      <c r="BX381">
        <f>BV381*10^6*C_to_CO2</f>
        <v>-29672340.425529197</v>
      </c>
      <c r="BY381">
        <f>IFERROR(BX381/BO381,"")</f>
        <v>-0.18391810055408175</v>
      </c>
      <c r="BZ381">
        <v>0</v>
      </c>
      <c r="CA381">
        <v>0</v>
      </c>
      <c r="CB381">
        <v>0</v>
      </c>
      <c r="CC381">
        <v>0</v>
      </c>
      <c r="CD381">
        <v>0</v>
      </c>
      <c r="CE381">
        <v>0</v>
      </c>
      <c r="CF381">
        <v>0</v>
      </c>
      <c r="CG381">
        <v>0</v>
      </c>
      <c r="CH381">
        <v>0</v>
      </c>
      <c r="CI381">
        <v>0</v>
      </c>
      <c r="CJ381">
        <v>0</v>
      </c>
      <c r="CK381">
        <v>0</v>
      </c>
      <c r="CL381">
        <v>0</v>
      </c>
      <c r="CM381">
        <v>1</v>
      </c>
      <c r="CN381" t="str">
        <f>IF($BL381&lt;$BK381,"refNeedCorrection","refOK")</f>
        <v>refOK</v>
      </c>
      <c r="CO381">
        <f>IF($CN381="refOK",$BK381,$BL381)</f>
        <v>0</v>
      </c>
      <c r="CP381">
        <f>IF($CN381="refOK",$BL381,$BK381)</f>
        <v>161.3345306206223</v>
      </c>
      <c r="CQ381">
        <f>IF($CN381="refOK",$BO381,-$BO381)</f>
        <v>161334530.62062231</v>
      </c>
      <c r="CR381">
        <f>IF($CN381="refOK",$BS381,$BT381)*IF($BP381="Emissions positive",-1,1)</f>
        <v>269.14893617021198</v>
      </c>
      <c r="CS381">
        <f>IF($CN381="refOK",$BT381,$BS381)*IF($BP381="Emissions positive",-1,1)</f>
        <v>261.063829787234</v>
      </c>
      <c r="CT381">
        <f>IF($CN381="refNeedCorrection",-BX381,BX381)*IF($BP381="Emissions positive",-1,1)</f>
        <v>-29672340.425529197</v>
      </c>
      <c r="CU381">
        <f>IFERROR(CT381/CQ381,"")</f>
        <v>-0.18391810055408175</v>
      </c>
      <c r="CV381" s="2">
        <f>IFERROR((CS381-CR381)/ABS(CR381),"")</f>
        <v>-3.0039525691696944E-2</v>
      </c>
      <c r="CW381" s="1" t="s">
        <v>1201</v>
      </c>
      <c r="CX381" s="266" t="str">
        <f>IF(OR($CW381="prd",$CW381="std",$CW381="cit"),"loc",IF(OR($CW381="eur",$CW381="reg",$CW381="coy"),"reg",$CW381))</f>
        <v>reg</v>
      </c>
      <c r="CY381" t="s">
        <v>541</v>
      </c>
      <c r="CZ381"/>
      <c r="DA381"/>
      <c r="DB381">
        <v>200</v>
      </c>
      <c r="DC381" t="str">
        <f>IF(DB381=0,"0",IF(AND(DB381&gt;=1,DB381&lt;=30),"1-30",IF(AND(DB381&gt;30,DB381&lt;=70),"31-70",IF(AND(DB381&gt;70,DB381&lt;=100),"71-100",IF(DB381&gt;100,"+100")))))</f>
        <v>+100</v>
      </c>
      <c r="DD381">
        <v>1</v>
      </c>
      <c r="DE381">
        <v>0</v>
      </c>
      <c r="DF381">
        <v>0</v>
      </c>
      <c r="DG381">
        <v>0</v>
      </c>
      <c r="DH381"/>
      <c r="DI381">
        <f>SUM(DD381:DG381)</f>
        <v>1</v>
      </c>
      <c r="DJ381" t="str">
        <f>IF(DI381=1,INDEX($DD$7:$DG$7,MATCH(1,$DD381:$DG381,0)),"mixedProduct")</f>
        <v>UpstreamInput</v>
      </c>
      <c r="DK381" t="str">
        <f>IF(DD381=1,DK$7,0)</f>
        <v>Upstream</v>
      </c>
      <c r="DL381">
        <f>IF(DE381=1,DL$7,0)</f>
        <v>0</v>
      </c>
      <c r="DM381">
        <f>IF(DF381=1,DM$7,0)</f>
        <v>0</v>
      </c>
      <c r="DN381">
        <f>IF(DG381=1,DN$7,0)</f>
        <v>0</v>
      </c>
      <c r="DO381">
        <v>0</v>
      </c>
      <c r="DP381">
        <v>0</v>
      </c>
      <c r="DQ381">
        <v>0</v>
      </c>
      <c r="DR381">
        <v>0</v>
      </c>
      <c r="DS381">
        <v>0</v>
      </c>
      <c r="DT381">
        <f>SUM(DO381:DP381)</f>
        <v>0</v>
      </c>
      <c r="DU381" s="143" t="str">
        <f>IF(DO381=1,"self-calculated DF",IF(DP381=1,"external DF used","explicit C balance"))</f>
        <v>explicit C balance</v>
      </c>
      <c r="DV381">
        <v>1</v>
      </c>
      <c r="DW381">
        <v>0</v>
      </c>
      <c r="DX381">
        <v>1</v>
      </c>
      <c r="DY381">
        <v>0</v>
      </c>
      <c r="DZ381">
        <v>0</v>
      </c>
      <c r="EA381" s="143">
        <v>0</v>
      </c>
      <c r="EB381">
        <v>0</v>
      </c>
      <c r="EC381">
        <v>0</v>
      </c>
      <c r="ED381">
        <v>0</v>
      </c>
      <c r="EE381">
        <v>0</v>
      </c>
      <c r="EF381">
        <v>1</v>
      </c>
      <c r="EG381">
        <v>0</v>
      </c>
      <c r="EH381">
        <v>0</v>
      </c>
      <c r="EI381" s="2">
        <v>1</v>
      </c>
      <c r="EJ381" s="1"/>
      <c r="EK381" t="str">
        <f>IF(AND(AND(AND(OR($DX381=1,$DW381=1),OR($EC381=1,$EA381=1)),SUM($DV381:$DZ381,$EF381)&gt;=4),SUM($EA381:$EE381)&gt;=2),"Whole sector","")</f>
        <v/>
      </c>
      <c r="EL381" t="str">
        <f>IF(AND(AND(OR($DX381=1,$DW381=1),AND($EC381=0,$EA381=0)),SUM($DV381:$DZ381,$EF381)&gt;=4),"Ecosystem approach","")</f>
        <v/>
      </c>
      <c r="EM381" s="2" t="str">
        <f>IF(AND(AND(AND($DX381=0,$DW381=0),OR($EC381=1,$EA381=1)),SUM($EB381:$EE381)&gt;=2),"Technology approach","")</f>
        <v/>
      </c>
      <c r="EN381"/>
      <c r="EO381"/>
      <c r="EP381" t="str">
        <f>IF(ISNUMBER(BU381),IF(ABS(BU381-[1]QC_indicators!$B$2)&gt;3*[1]QC_indicators!$C$2,"C ratio",IF(ISNUMBER(BY381),IF(ABS(BY381-[1]QC_indicators!$B$1)&gt;3*[1]QC_indicators!$C$1,"DF","no"))),IF(ISNUMBER(BY381),IF(ABS(BY381-[1]QC_indicators!$B$1)&gt;3*[1]QC_indicators!$C$1,"DF","no")))</f>
        <v>no</v>
      </c>
      <c r="EQ381" t="s">
        <v>287</v>
      </c>
      <c r="ER381"/>
      <c r="ES381"/>
      <c r="ET381" s="266" t="s">
        <v>3409</v>
      </c>
      <c r="EU381"/>
    </row>
    <row r="382" spans="1:151" s="139" customFormat="1" ht="15" hidden="1" customHeight="1">
      <c r="A382" s="1"/>
      <c r="B382"/>
      <c r="C382"/>
      <c r="D382" t="s">
        <v>693</v>
      </c>
      <c r="E382" t="s">
        <v>694</v>
      </c>
      <c r="F382"/>
      <c r="G382" t="s">
        <v>695</v>
      </c>
      <c r="H382"/>
      <c r="I382">
        <v>2007</v>
      </c>
      <c r="J382"/>
      <c r="K382" s="297" t="s">
        <v>696</v>
      </c>
      <c r="L382"/>
      <c r="M382" t="str">
        <f>LEFT($D382,FIND(",",$D382)-1)&amp;"_"&amp;I382&amp;L382</f>
        <v>Eriksson_2007</v>
      </c>
      <c r="N382" t="s">
        <v>223</v>
      </c>
      <c r="O382" t="s">
        <v>224</v>
      </c>
      <c r="P382"/>
      <c r="Q382" s="266" t="s">
        <v>257</v>
      </c>
      <c r="R382" s="271" t="s">
        <v>1156</v>
      </c>
      <c r="S382" s="1" t="s">
        <v>697</v>
      </c>
      <c r="T382" t="s">
        <v>698</v>
      </c>
      <c r="U382" s="143" t="s">
        <v>699</v>
      </c>
      <c r="V382">
        <v>0</v>
      </c>
      <c r="W382">
        <v>0</v>
      </c>
      <c r="X382">
        <v>0</v>
      </c>
      <c r="Y382">
        <v>0</v>
      </c>
      <c r="Z382">
        <v>0</v>
      </c>
      <c r="AA382">
        <v>0</v>
      </c>
      <c r="AB382">
        <v>1</v>
      </c>
      <c r="AC382">
        <v>0</v>
      </c>
      <c r="AD382">
        <v>0</v>
      </c>
      <c r="AE382">
        <v>0</v>
      </c>
      <c r="AF382">
        <v>0</v>
      </c>
      <c r="AG382">
        <v>0</v>
      </c>
      <c r="AH382">
        <v>0</v>
      </c>
      <c r="AI382">
        <v>0</v>
      </c>
      <c r="AJ382">
        <v>0</v>
      </c>
      <c r="AK382">
        <v>0</v>
      </c>
      <c r="AL382">
        <v>0</v>
      </c>
      <c r="AM382">
        <v>0</v>
      </c>
      <c r="AN382">
        <v>0</v>
      </c>
      <c r="AO382">
        <v>0</v>
      </c>
      <c r="AP382">
        <v>0</v>
      </c>
      <c r="AQ382">
        <v>0</v>
      </c>
      <c r="AR382">
        <v>0</v>
      </c>
      <c r="AS382">
        <v>0</v>
      </c>
      <c r="AT382">
        <v>0</v>
      </c>
      <c r="AU382">
        <v>0</v>
      </c>
      <c r="AV382">
        <v>0</v>
      </c>
      <c r="AW382">
        <v>0</v>
      </c>
      <c r="AX382" s="141">
        <f>COUNTIF(V382:AW382,"&lt;&gt;0")</f>
        <v>1</v>
      </c>
      <c r="AY382" s="141">
        <f>COUNTIF(V382:AL382,"&lt;&gt;0")</f>
        <v>1</v>
      </c>
      <c r="AZ382">
        <f>COUNTIF(V382:AC382,"&lt;&gt;0")</f>
        <v>1</v>
      </c>
      <c r="BA382">
        <f>COUNTIF(AD382:AI382,"&lt;&gt;0")</f>
        <v>0</v>
      </c>
      <c r="BB382">
        <f>COUNTIF(AJ382:AL382,"&lt;&gt;0")</f>
        <v>0</v>
      </c>
      <c r="BC382">
        <f>COUNTIF(AS382:AW382,"&lt;&gt;0")</f>
        <v>0</v>
      </c>
      <c r="BD382">
        <f>COUNTIF(AM382:AR382,"&lt;&gt;0")</f>
        <v>0</v>
      </c>
      <c r="BE382" t="str" cm="1">
        <f t="array" ref="BE382">IF(AY382=1,INDEX($V$7:$AL$7,MATCH(TRUE,INDEX($V382:$AW382&lt;&gt;0,),0)),IF(AY382=0,INDEX($AM$7:$AW$7,MATCH(1,$AM382:$AW382,0)),IF(BF382="Multiple strategies","mixed drivers",IF(BF382="Supply chain","multiple supply","multiple silviculture"))))</f>
        <v>fertilisation</v>
      </c>
      <c r="BF382" s="2" t="str" cm="1">
        <f t="array" ref="BF382">IF(COUNTIF(AZ382:BB382,"&lt;&gt;0")=1,INDEX($V$4:$AW$4,MATCH(TRUE,INDEX($V382:$AW382&lt;&gt;0,),0)),IF(COUNTIF(AZ382:BB382,"&lt;&gt;0")=0,INDEX($AM$4:$AW$4,MATCH(1,$AM382:$AW382,0)),"Multiple strategies"))</f>
        <v>SilvicultureProd</v>
      </c>
      <c r="BG382" s="142" t="s">
        <v>322</v>
      </c>
      <c r="BH382" t="s">
        <v>700</v>
      </c>
      <c r="BI382" s="266" t="s">
        <v>701</v>
      </c>
      <c r="BJ382" s="143" t="s">
        <v>702</v>
      </c>
      <c r="BK382">
        <v>7.3</v>
      </c>
      <c r="BL382" s="143">
        <v>10</v>
      </c>
      <c r="BM382" s="143">
        <f>BL382/BK382</f>
        <v>1.3698630136986301</v>
      </c>
      <c r="BN382">
        <f>BL382-BK382</f>
        <v>2.7</v>
      </c>
      <c r="BO382" s="143">
        <f>BN382</f>
        <v>2.7</v>
      </c>
      <c r="BP382" t="s">
        <v>233</v>
      </c>
      <c r="BQ382" s="153" t="s">
        <v>703</v>
      </c>
      <c r="BR382" s="141" t="s">
        <v>704</v>
      </c>
      <c r="BS382" s="151">
        <v>1.93630573248407</v>
      </c>
      <c r="BT382" s="151">
        <v>2.7643312101910738</v>
      </c>
      <c r="BU382">
        <f>BT382/BS382</f>
        <v>1.4276315789473686</v>
      </c>
      <c r="BV382">
        <f>BT382-BS382</f>
        <v>0.82802547770700374</v>
      </c>
      <c r="BW382"/>
      <c r="BX382">
        <f>BV382*C_to_CO2</f>
        <v>3.0388535031847037</v>
      </c>
      <c r="BY382">
        <f>IFERROR(BX382/BO382,"")</f>
        <v>1.1255012974758161</v>
      </c>
      <c r="BZ382" s="143">
        <v>0</v>
      </c>
      <c r="CA382" s="143">
        <v>0</v>
      </c>
      <c r="CB382" s="143">
        <v>0</v>
      </c>
      <c r="CC382" s="143">
        <v>0</v>
      </c>
      <c r="CD382" s="143">
        <v>0</v>
      </c>
      <c r="CE382" s="143">
        <v>0</v>
      </c>
      <c r="CF382" s="143">
        <v>0</v>
      </c>
      <c r="CG382" s="143">
        <v>0</v>
      </c>
      <c r="CH382" s="143">
        <v>0</v>
      </c>
      <c r="CI382" s="143">
        <v>0</v>
      </c>
      <c r="CJ382" s="143">
        <v>0</v>
      </c>
      <c r="CK382" s="143">
        <v>0</v>
      </c>
      <c r="CL382" s="143">
        <v>0</v>
      </c>
      <c r="CM382">
        <v>0</v>
      </c>
      <c r="CN382" t="str">
        <f>IF($BL382&lt;$BK382,"refNeedCorrection","refOK")</f>
        <v>refOK</v>
      </c>
      <c r="CO382">
        <f>IF($CN382="refOK",$BK382,$BL382)</f>
        <v>7.3</v>
      </c>
      <c r="CP382">
        <f>IF($CN382="refOK",$BL382,$BK382)</f>
        <v>10</v>
      </c>
      <c r="CQ382">
        <f>IF($CN382="refOK",$BO382,-$BO382)</f>
        <v>2.7</v>
      </c>
      <c r="CR382">
        <f>IF($CN382="refOK",$BS382,$BT382)*IF($BP382="Emissions positive",-1,1)</f>
        <v>1.93630573248407</v>
      </c>
      <c r="CS382">
        <f>IF($CN382="refOK",$BT382,$BS382)*IF($BP382="Emissions positive",-1,1)</f>
        <v>2.7643312101910738</v>
      </c>
      <c r="CT382">
        <f>IF($CN382="refNeedCorrection",-BX382,BX382)*IF($BP382="Emissions positive",-1,1)</f>
        <v>3.0388535031847037</v>
      </c>
      <c r="CU382">
        <f>IFERROR(CT382/CQ382,"")</f>
        <v>1.1255012974758161</v>
      </c>
      <c r="CV382" s="2">
        <f>IFERROR((CS382-CR382)/ABS(CR382),"")</f>
        <v>0.42763157894736847</v>
      </c>
      <c r="CW382" s="1" t="s">
        <v>235</v>
      </c>
      <c r="CX382" s="266" t="str">
        <f>IF(OR($CW382="prd",$CW382="std",$CW382="cit"),"loc",IF(OR($CW382="eur",$CW382="reg",$CW382="coy"),"reg",$CW382))</f>
        <v>loc</v>
      </c>
      <c r="CY382" t="s">
        <v>265</v>
      </c>
      <c r="CZ382"/>
      <c r="DA382" s="143"/>
      <c r="DB382" s="143">
        <v>300</v>
      </c>
      <c r="DC382" t="str">
        <f>IF(DB382=0,"0",IF(AND(DB382&gt;=1,DB382&lt;=30),"1-30",IF(AND(DB382&gt;30,DB382&lt;=70),"31-70",IF(AND(DB382&gt;70,DB382&lt;=100),"71-100",IF(DB382&gt;100,"+100")))))</f>
        <v>+100</v>
      </c>
      <c r="DD382">
        <v>0</v>
      </c>
      <c r="DE382">
        <v>0</v>
      </c>
      <c r="DF382">
        <v>0</v>
      </c>
      <c r="DG382">
        <v>1</v>
      </c>
      <c r="DH382"/>
      <c r="DI382">
        <f>SUM(DD382:DG382)</f>
        <v>1</v>
      </c>
      <c r="DJ382" t="str">
        <f>IF(DI382=1,INDEX($DD$7:$DG$7,MATCH(1,$DD382:$DG382,0)),"mixedProduct")</f>
        <v>TimberInput</v>
      </c>
      <c r="DK382">
        <f>IF(DD382=1,DK$7,0)</f>
        <v>0</v>
      </c>
      <c r="DL382">
        <f>IF(DE382=1,DL$7,0)</f>
        <v>0</v>
      </c>
      <c r="DM382">
        <f>IF(DF382=1,DM$7,0)</f>
        <v>0</v>
      </c>
      <c r="DN382" t="str">
        <f>IF(DG382=1,DN$7,0)</f>
        <v>Timber</v>
      </c>
      <c r="DO382">
        <v>1</v>
      </c>
      <c r="DP382" s="143">
        <v>0</v>
      </c>
      <c r="DQ382" s="143">
        <v>0</v>
      </c>
      <c r="DR382">
        <v>0</v>
      </c>
      <c r="DS382" s="143">
        <v>0</v>
      </c>
      <c r="DT382">
        <f>SUM(DO382:DP382)</f>
        <v>1</v>
      </c>
      <c r="DU382" s="143" t="str">
        <f>IF(DO382=1,"self-calculated DF",IF(DP382=1,"external DF used","explicit C balance"))</f>
        <v>self-calculated DF</v>
      </c>
      <c r="DV382" s="143">
        <v>1</v>
      </c>
      <c r="DW382" s="143">
        <v>1</v>
      </c>
      <c r="DX382" s="143">
        <v>0</v>
      </c>
      <c r="DY382" s="143">
        <v>0</v>
      </c>
      <c r="DZ382">
        <v>0</v>
      </c>
      <c r="EA382" s="143">
        <v>1</v>
      </c>
      <c r="EB382" s="143">
        <v>1</v>
      </c>
      <c r="EC382" s="143">
        <v>1</v>
      </c>
      <c r="ED382" s="143">
        <v>0</v>
      </c>
      <c r="EE382">
        <v>0</v>
      </c>
      <c r="EF382">
        <v>1</v>
      </c>
      <c r="EG382" s="143">
        <v>0</v>
      </c>
      <c r="EH382" s="143">
        <v>0</v>
      </c>
      <c r="EI382" s="2">
        <v>0</v>
      </c>
      <c r="EJ382" s="1"/>
      <c r="EK382" t="str">
        <f>IF(AND(AND(AND(OR($DX382=1,$DW382=1),OR($EC382=1,$EA382=1)),SUM($DV382:$DZ382,$EF382)&gt;=4),SUM($EA382:$EE382)&gt;=2),"Whole sector","")</f>
        <v/>
      </c>
      <c r="EL382" t="str">
        <f>IF(AND(AND(OR($DX382=1,$DW382=1),AND($EC382=0,$EA382=0)),SUM($DV382:$DZ382,$EF382)&gt;=4),"Ecosystem approach","")</f>
        <v/>
      </c>
      <c r="EM382" s="2" t="str">
        <f>IF(AND(AND(AND($DX382=0,$DW382=0),OR($EC382=1,$EA382=1)),SUM($EB382:$EE382)&gt;=2),"Technology approach","")</f>
        <v/>
      </c>
      <c r="EN382"/>
      <c r="EO382"/>
      <c r="EP382" t="str">
        <f>IF(ISNUMBER(BU382),IF(ABS(BU382-[1]QC_indicators!$B$2)&gt;3*[1]QC_indicators!$C$2,"C ratio",IF(ISNUMBER(BY382),IF(ABS(BY382-[1]QC_indicators!$B$1)&gt;3*[1]QC_indicators!$C$1,"DF","no"))),IF(ISNUMBER(BY382),IF(ABS(BY382-[1]QC_indicators!$B$1)&gt;3*[1]QC_indicators!$C$1,"DF","no")))</f>
        <v>no</v>
      </c>
      <c r="EQ382"/>
      <c r="ER382" s="266" t="s">
        <v>705</v>
      </c>
      <c r="ES382"/>
      <c r="ET382" s="266" t="s">
        <v>3409</v>
      </c>
      <c r="EU382"/>
    </row>
    <row r="383" spans="1:151" s="139" customFormat="1" ht="15" hidden="1" customHeight="1">
      <c r="A383" s="1"/>
      <c r="B383"/>
      <c r="C383"/>
      <c r="D383" t="s">
        <v>693</v>
      </c>
      <c r="E383" t="s">
        <v>694</v>
      </c>
      <c r="F383"/>
      <c r="G383" t="s">
        <v>695</v>
      </c>
      <c r="H383"/>
      <c r="I383">
        <v>2007</v>
      </c>
      <c r="J383"/>
      <c r="K383" s="297" t="s">
        <v>696</v>
      </c>
      <c r="L383"/>
      <c r="M383" t="str">
        <f>LEFT($D383,FIND(",",$D383)-1)&amp;"_"&amp;I383&amp;L383</f>
        <v>Eriksson_2007</v>
      </c>
      <c r="N383" t="s">
        <v>223</v>
      </c>
      <c r="O383" t="s">
        <v>224</v>
      </c>
      <c r="P383"/>
      <c r="Q383" s="266" t="s">
        <v>257</v>
      </c>
      <c r="R383" s="271" t="s">
        <v>1156</v>
      </c>
      <c r="S383" s="1" t="s">
        <v>697</v>
      </c>
      <c r="T383" t="s">
        <v>698</v>
      </c>
      <c r="U383" s="143" t="s">
        <v>706</v>
      </c>
      <c r="V383">
        <v>0</v>
      </c>
      <c r="W383">
        <v>0</v>
      </c>
      <c r="X383">
        <v>0</v>
      </c>
      <c r="Y383">
        <v>0</v>
      </c>
      <c r="Z383">
        <v>0</v>
      </c>
      <c r="AA383">
        <v>1</v>
      </c>
      <c r="AB383">
        <v>0</v>
      </c>
      <c r="AC383">
        <v>0</v>
      </c>
      <c r="AD383">
        <v>0</v>
      </c>
      <c r="AE383">
        <v>0</v>
      </c>
      <c r="AF383">
        <v>0</v>
      </c>
      <c r="AG383">
        <v>0</v>
      </c>
      <c r="AH383">
        <v>0</v>
      </c>
      <c r="AI383">
        <v>0</v>
      </c>
      <c r="AJ383">
        <v>0</v>
      </c>
      <c r="AK383">
        <v>0</v>
      </c>
      <c r="AL383">
        <v>0</v>
      </c>
      <c r="AM383">
        <v>0</v>
      </c>
      <c r="AN383">
        <v>0</v>
      </c>
      <c r="AO383">
        <v>0</v>
      </c>
      <c r="AP383">
        <v>0</v>
      </c>
      <c r="AQ383">
        <v>0</v>
      </c>
      <c r="AR383">
        <v>0</v>
      </c>
      <c r="AS383">
        <v>0</v>
      </c>
      <c r="AT383">
        <v>0</v>
      </c>
      <c r="AU383">
        <v>0</v>
      </c>
      <c r="AV383">
        <v>0</v>
      </c>
      <c r="AW383">
        <v>0</v>
      </c>
      <c r="AX383" s="141">
        <f>COUNTIF(V383:AW383,"&lt;&gt;0")</f>
        <v>1</v>
      </c>
      <c r="AY383" s="141">
        <f>COUNTIF(V383:AL383,"&lt;&gt;0")</f>
        <v>1</v>
      </c>
      <c r="AZ383">
        <f>COUNTIF(V383:AC383,"&lt;&gt;0")</f>
        <v>1</v>
      </c>
      <c r="BA383">
        <f>COUNTIF(AD383:AI383,"&lt;&gt;0")</f>
        <v>0</v>
      </c>
      <c r="BB383">
        <f>COUNTIF(AJ383:AL383,"&lt;&gt;0")</f>
        <v>0</v>
      </c>
      <c r="BC383">
        <f>COUNTIF(AS383:AW383,"&lt;&gt;0")</f>
        <v>0</v>
      </c>
      <c r="BD383">
        <f>COUNTIF(AM383:AR383,"&lt;&gt;0")</f>
        <v>0</v>
      </c>
      <c r="BE383" t="str" cm="1">
        <f t="array" ref="BE383">IF(AY383=1,INDEX($V$7:$AL$7,MATCH(TRUE,INDEX($V383:$AW383&lt;&gt;0,),0)),IF(AY383=0,INDEX($AM$7:$AW$7,MATCH(1,$AM383:$AW383,0)),IF(BF383="Multiple strategies","mixed drivers",IF(BF383="Supply chain","multiple supply","multiple silviculture"))))</f>
        <v>plantation density</v>
      </c>
      <c r="BF383" s="2" t="str" cm="1">
        <f t="array" ref="BF383">IF(COUNTIF(AZ383:BB383,"&lt;&gt;0")=1,INDEX($V$4:$AW$4,MATCH(TRUE,INDEX($V383:$AW383&lt;&gt;0,),0)),IF(COUNTIF(AZ383:BB383,"&lt;&gt;0")=0,INDEX($AM$4:$AW$4,MATCH(1,$AM383:$AW383,0)),"Multiple strategies"))</f>
        <v>SilvicultureProd</v>
      </c>
      <c r="BG383" s="142" t="s">
        <v>322</v>
      </c>
      <c r="BH383" t="s">
        <v>700</v>
      </c>
      <c r="BI383" s="266" t="s">
        <v>701</v>
      </c>
      <c r="BJ383" s="143" t="s">
        <v>707</v>
      </c>
      <c r="BK383">
        <v>7.3</v>
      </c>
      <c r="BL383" s="143">
        <v>7.7</v>
      </c>
      <c r="BM383" s="143">
        <f>BL383/BK383</f>
        <v>1.0547945205479452</v>
      </c>
      <c r="BN383">
        <f>BL383-BK383</f>
        <v>0.40000000000000036</v>
      </c>
      <c r="BO383" s="143">
        <f>BN383</f>
        <v>0.40000000000000036</v>
      </c>
      <c r="BP383" t="s">
        <v>233</v>
      </c>
      <c r="BQ383" s="153" t="s">
        <v>703</v>
      </c>
      <c r="BR383" t="s">
        <v>704</v>
      </c>
      <c r="BS383" s="151">
        <v>1.93630573248407</v>
      </c>
      <c r="BT383" s="151">
        <v>2.050955414012734</v>
      </c>
      <c r="BU383">
        <f>BT383/BS383</f>
        <v>1.0592105263157905</v>
      </c>
      <c r="BV383">
        <f>BT383-BS383</f>
        <v>0.11464968152866395</v>
      </c>
      <c r="BW383"/>
      <c r="BX383">
        <f>BV383*C_to_CO2</f>
        <v>0.42076433121019668</v>
      </c>
      <c r="BY383">
        <f>IFERROR(BX383/BO383,"")</f>
        <v>1.0519108280254907</v>
      </c>
      <c r="BZ383" s="143">
        <v>0</v>
      </c>
      <c r="CA383" s="143">
        <v>0</v>
      </c>
      <c r="CB383" s="143">
        <v>0</v>
      </c>
      <c r="CC383" s="143">
        <v>0</v>
      </c>
      <c r="CD383" s="143">
        <v>0</v>
      </c>
      <c r="CE383" s="143">
        <v>0</v>
      </c>
      <c r="CF383" s="143">
        <v>0</v>
      </c>
      <c r="CG383" s="143">
        <v>0</v>
      </c>
      <c r="CH383" s="143">
        <v>0</v>
      </c>
      <c r="CI383" s="143">
        <v>0</v>
      </c>
      <c r="CJ383" s="143">
        <v>0</v>
      </c>
      <c r="CK383" s="143">
        <v>0</v>
      </c>
      <c r="CL383" s="143">
        <v>0</v>
      </c>
      <c r="CM383">
        <v>0</v>
      </c>
      <c r="CN383" t="str">
        <f>IF($BL383&lt;$BK383,"refNeedCorrection","refOK")</f>
        <v>refOK</v>
      </c>
      <c r="CO383">
        <f>IF($CN383="refOK",$BK383,$BL383)</f>
        <v>7.3</v>
      </c>
      <c r="CP383">
        <f>IF($CN383="refOK",$BL383,$BK383)</f>
        <v>7.7</v>
      </c>
      <c r="CQ383">
        <f>IF($CN383="refOK",$BO383,-$BO383)</f>
        <v>0.40000000000000036</v>
      </c>
      <c r="CR383">
        <f>IF($CN383="refOK",$BS383,$BT383)*IF($BP383="Emissions positive",-1,1)</f>
        <v>1.93630573248407</v>
      </c>
      <c r="CS383">
        <f>IF($CN383="refOK",$BT383,$BS383)*IF($BP383="Emissions positive",-1,1)</f>
        <v>2.050955414012734</v>
      </c>
      <c r="CT383">
        <f>IF($CN383="refNeedCorrection",-BX383,BX383)*IF($BP383="Emissions positive",-1,1)</f>
        <v>0.42076433121019668</v>
      </c>
      <c r="CU383">
        <f>IFERROR(CT383/CQ383,"")</f>
        <v>1.0519108280254907</v>
      </c>
      <c r="CV383" s="2">
        <f>IFERROR((CS383-CR383)/ABS(CR383),"")</f>
        <v>5.9210526315790463E-2</v>
      </c>
      <c r="CW383" s="1" t="s">
        <v>235</v>
      </c>
      <c r="CX383" s="266" t="str">
        <f>IF(OR($CW383="prd",$CW383="std",$CW383="cit"),"loc",IF(OR($CW383="eur",$CW383="reg",$CW383="coy"),"reg",$CW383))</f>
        <v>loc</v>
      </c>
      <c r="CY383" t="s">
        <v>265</v>
      </c>
      <c r="CZ383"/>
      <c r="DA383" s="143"/>
      <c r="DB383" s="143">
        <v>300</v>
      </c>
      <c r="DC383" t="str">
        <f>IF(DB383=0,"0",IF(AND(DB383&gt;=1,DB383&lt;=30),"1-30",IF(AND(DB383&gt;30,DB383&lt;=70),"31-70",IF(AND(DB383&gt;70,DB383&lt;=100),"71-100",IF(DB383&gt;100,"+100")))))</f>
        <v>+100</v>
      </c>
      <c r="DD383">
        <v>0</v>
      </c>
      <c r="DE383">
        <v>0</v>
      </c>
      <c r="DF383">
        <v>0</v>
      </c>
      <c r="DG383">
        <v>1</v>
      </c>
      <c r="DH383"/>
      <c r="DI383">
        <f>SUM(DD383:DG383)</f>
        <v>1</v>
      </c>
      <c r="DJ383" t="str">
        <f>IF(DI383=1,INDEX($DD$7:$DG$7,MATCH(1,$DD383:$DG383,0)),"mixedProduct")</f>
        <v>TimberInput</v>
      </c>
      <c r="DK383">
        <f>IF(DD383=1,DK$7,0)</f>
        <v>0</v>
      </c>
      <c r="DL383">
        <f>IF(DE383=1,DL$7,0)</f>
        <v>0</v>
      </c>
      <c r="DM383">
        <f>IF(DF383=1,DM$7,0)</f>
        <v>0</v>
      </c>
      <c r="DN383" t="str">
        <f>IF(DG383=1,DN$7,0)</f>
        <v>Timber</v>
      </c>
      <c r="DO383">
        <v>1</v>
      </c>
      <c r="DP383" s="143">
        <v>0</v>
      </c>
      <c r="DQ383" s="143">
        <v>0</v>
      </c>
      <c r="DR383">
        <v>0</v>
      </c>
      <c r="DS383" s="143">
        <v>0</v>
      </c>
      <c r="DT383">
        <f>SUM(DO383:DP383)</f>
        <v>1</v>
      </c>
      <c r="DU383" s="143" t="str">
        <f>IF(DO383=1,"self-calculated DF",IF(DP383=1,"external DF used","explicit C balance"))</f>
        <v>self-calculated DF</v>
      </c>
      <c r="DV383" s="143">
        <v>1</v>
      </c>
      <c r="DW383" s="143">
        <v>1</v>
      </c>
      <c r="DX383" s="143">
        <v>0</v>
      </c>
      <c r="DY383" s="143">
        <v>0</v>
      </c>
      <c r="DZ383">
        <v>0</v>
      </c>
      <c r="EA383" s="143">
        <v>1</v>
      </c>
      <c r="EB383" s="143">
        <v>1</v>
      </c>
      <c r="EC383" s="143">
        <v>1</v>
      </c>
      <c r="ED383" s="143">
        <v>0</v>
      </c>
      <c r="EE383">
        <v>0</v>
      </c>
      <c r="EF383">
        <v>1</v>
      </c>
      <c r="EG383" s="143">
        <v>0</v>
      </c>
      <c r="EH383" s="143">
        <v>0</v>
      </c>
      <c r="EI383" s="2">
        <v>0</v>
      </c>
      <c r="EJ383" s="1"/>
      <c r="EK383" t="str">
        <f>IF(AND(AND(AND(OR($DX383=1,$DW383=1),OR($EC383=1,$EA383=1)),SUM($DV383:$DZ383,$EF383)&gt;=4),SUM($EA383:$EE383)&gt;=2),"Whole sector","")</f>
        <v/>
      </c>
      <c r="EL383" t="str">
        <f>IF(AND(AND(OR($DX383=1,$DW383=1),AND($EC383=0,$EA383=0)),SUM($DV383:$DZ383,$EF383)&gt;=4),"Ecosystem approach","")</f>
        <v/>
      </c>
      <c r="EM383" s="2" t="str">
        <f>IF(AND(AND(AND($DX383=0,$DW383=0),OR($EC383=1,$EA383=1)),SUM($EB383:$EE383)&gt;=2),"Technology approach","")</f>
        <v/>
      </c>
      <c r="EN383"/>
      <c r="EO383"/>
      <c r="EP383" t="str">
        <f>IF(ISNUMBER(BU383),IF(ABS(BU383-[1]QC_indicators!$B$2)&gt;3*[1]QC_indicators!$C$2,"C ratio",IF(ISNUMBER(BY383),IF(ABS(BY383-[1]QC_indicators!$B$1)&gt;3*[1]QC_indicators!$C$1,"DF","no"))),IF(ISNUMBER(BY383),IF(ABS(BY383-[1]QC_indicators!$B$1)&gt;3*[1]QC_indicators!$C$1,"DF","no")))</f>
        <v>no</v>
      </c>
      <c r="EQ383"/>
      <c r="ER383" s="266" t="s">
        <v>708</v>
      </c>
      <c r="ES383"/>
      <c r="ET383" s="266" t="s">
        <v>3409</v>
      </c>
      <c r="EU383"/>
    </row>
    <row r="384" spans="1:151" s="139" customFormat="1" ht="15" hidden="1" customHeight="1">
      <c r="A384" s="1"/>
      <c r="B384"/>
      <c r="C384"/>
      <c r="D384" t="s">
        <v>693</v>
      </c>
      <c r="E384" t="s">
        <v>694</v>
      </c>
      <c r="F384"/>
      <c r="G384" t="s">
        <v>695</v>
      </c>
      <c r="H384"/>
      <c r="I384">
        <v>2007</v>
      </c>
      <c r="J384"/>
      <c r="K384" s="297" t="s">
        <v>696</v>
      </c>
      <c r="L384"/>
      <c r="M384" t="str">
        <f>LEFT($D384,FIND(",",$D384)-1)&amp;"_"&amp;I384&amp;L384</f>
        <v>Eriksson_2007</v>
      </c>
      <c r="N384" t="s">
        <v>223</v>
      </c>
      <c r="O384" t="s">
        <v>224</v>
      </c>
      <c r="P384"/>
      <c r="Q384" s="266" t="s">
        <v>257</v>
      </c>
      <c r="R384" s="271" t="s">
        <v>1156</v>
      </c>
      <c r="S384" s="1" t="s">
        <v>697</v>
      </c>
      <c r="T384" t="s">
        <v>698</v>
      </c>
      <c r="U384" s="143" t="s">
        <v>699</v>
      </c>
      <c r="V384">
        <v>0</v>
      </c>
      <c r="W384">
        <v>0</v>
      </c>
      <c r="X384">
        <v>0</v>
      </c>
      <c r="Y384">
        <v>0</v>
      </c>
      <c r="Z384">
        <v>0</v>
      </c>
      <c r="AA384">
        <v>0</v>
      </c>
      <c r="AB384">
        <v>1</v>
      </c>
      <c r="AC384">
        <v>0</v>
      </c>
      <c r="AD384">
        <v>0</v>
      </c>
      <c r="AE384">
        <v>0</v>
      </c>
      <c r="AF384">
        <v>0</v>
      </c>
      <c r="AG384">
        <v>0</v>
      </c>
      <c r="AH384">
        <v>0</v>
      </c>
      <c r="AI384">
        <v>0</v>
      </c>
      <c r="AJ384">
        <v>0</v>
      </c>
      <c r="AK384">
        <v>0</v>
      </c>
      <c r="AL384">
        <v>0</v>
      </c>
      <c r="AM384">
        <v>0</v>
      </c>
      <c r="AN384">
        <v>0</v>
      </c>
      <c r="AO384">
        <v>0</v>
      </c>
      <c r="AP384">
        <v>0</v>
      </c>
      <c r="AQ384">
        <v>0</v>
      </c>
      <c r="AR384">
        <v>0</v>
      </c>
      <c r="AS384">
        <v>0</v>
      </c>
      <c r="AT384">
        <v>0</v>
      </c>
      <c r="AU384">
        <v>0</v>
      </c>
      <c r="AV384">
        <v>0</v>
      </c>
      <c r="AW384">
        <v>0</v>
      </c>
      <c r="AX384" s="141">
        <f>COUNTIF(V384:AW384,"&lt;&gt;0")</f>
        <v>1</v>
      </c>
      <c r="AY384" s="141">
        <f>COUNTIF(V384:AL384,"&lt;&gt;0")</f>
        <v>1</v>
      </c>
      <c r="AZ384">
        <f>COUNTIF(V384:AC384,"&lt;&gt;0")</f>
        <v>1</v>
      </c>
      <c r="BA384">
        <f>COUNTIF(AD384:AI384,"&lt;&gt;0")</f>
        <v>0</v>
      </c>
      <c r="BB384">
        <f>COUNTIF(AJ384:AL384,"&lt;&gt;0")</f>
        <v>0</v>
      </c>
      <c r="BC384">
        <f>COUNTIF(AS384:AW384,"&lt;&gt;0")</f>
        <v>0</v>
      </c>
      <c r="BD384">
        <f>COUNTIF(AM384:AR384,"&lt;&gt;0")</f>
        <v>0</v>
      </c>
      <c r="BE384" t="str" cm="1">
        <f t="array" ref="BE384">IF(AY384=1,INDEX($V$7:$AL$7,MATCH(TRUE,INDEX($V384:$AW384&lt;&gt;0,),0)),IF(AY384=0,INDEX($AM$7:$AW$7,MATCH(1,$AM384:$AW384,0)),IF(BF384="Multiple strategies","mixed drivers",IF(BF384="Supply chain","multiple supply","multiple silviculture"))))</f>
        <v>fertilisation</v>
      </c>
      <c r="BF384" s="2" t="str" cm="1">
        <f t="array" ref="BF384">IF(COUNTIF(AZ384:BB384,"&lt;&gt;0")=1,INDEX($V$4:$AW$4,MATCH(TRUE,INDEX($V384:$AW384&lt;&gt;0,),0)),IF(COUNTIF(AZ384:BB384,"&lt;&gt;0")=0,INDEX($AM$4:$AW$4,MATCH(1,$AM384:$AW384,0)),"Multiple strategies"))</f>
        <v>SilvicultureProd</v>
      </c>
      <c r="BG384" s="142" t="s">
        <v>322</v>
      </c>
      <c r="BH384" t="s">
        <v>700</v>
      </c>
      <c r="BI384" s="266" t="s">
        <v>701</v>
      </c>
      <c r="BJ384" s="143" t="s">
        <v>702</v>
      </c>
      <c r="BK384">
        <v>7.3</v>
      </c>
      <c r="BL384" s="143">
        <v>10</v>
      </c>
      <c r="BM384" s="143">
        <f>BL384/BK384</f>
        <v>1.3698630136986301</v>
      </c>
      <c r="BN384">
        <f>BL384-BK384</f>
        <v>2.7</v>
      </c>
      <c r="BO384" s="143">
        <f>BN384</f>
        <v>2.7</v>
      </c>
      <c r="BP384" t="s">
        <v>233</v>
      </c>
      <c r="BQ384" s="153" t="s">
        <v>703</v>
      </c>
      <c r="BR384" t="s">
        <v>704</v>
      </c>
      <c r="BS384" s="151">
        <v>1.0063694267515921</v>
      </c>
      <c r="BT384" s="151">
        <v>1.3885350318471339</v>
      </c>
      <c r="BU384">
        <f>BT384/BS384</f>
        <v>1.3797468354430384</v>
      </c>
      <c r="BV384">
        <f>BT384-BS384</f>
        <v>0.38216560509554176</v>
      </c>
      <c r="BW384"/>
      <c r="BX384">
        <f>BV384*C_to_CO2</f>
        <v>1.4025477707006382</v>
      </c>
      <c r="BY384">
        <f>IFERROR(BX384/BO384,"")</f>
        <v>0.51946213729653268</v>
      </c>
      <c r="BZ384" s="143">
        <v>0</v>
      </c>
      <c r="CA384" s="143">
        <v>0</v>
      </c>
      <c r="CB384" s="143">
        <v>0</v>
      </c>
      <c r="CC384" s="143">
        <v>0</v>
      </c>
      <c r="CD384" s="143">
        <v>0</v>
      </c>
      <c r="CE384" s="143">
        <v>0</v>
      </c>
      <c r="CF384" s="143">
        <v>0</v>
      </c>
      <c r="CG384" s="143">
        <v>0</v>
      </c>
      <c r="CH384" s="143">
        <v>0</v>
      </c>
      <c r="CI384" s="143">
        <v>0</v>
      </c>
      <c r="CJ384" s="143">
        <v>0</v>
      </c>
      <c r="CK384" s="143">
        <v>0</v>
      </c>
      <c r="CL384" s="143">
        <v>0</v>
      </c>
      <c r="CM384">
        <v>0</v>
      </c>
      <c r="CN384" t="str">
        <f>IF($BL384&lt;$BK384,"refNeedCorrection","refOK")</f>
        <v>refOK</v>
      </c>
      <c r="CO384">
        <f>IF($CN384="refOK",$BK384,$BL384)</f>
        <v>7.3</v>
      </c>
      <c r="CP384">
        <f>IF($CN384="refOK",$BL384,$BK384)</f>
        <v>10</v>
      </c>
      <c r="CQ384">
        <f>IF($CN384="refOK",$BO384,-$BO384)</f>
        <v>2.7</v>
      </c>
      <c r="CR384">
        <f>IF($CN384="refOK",$BS384,$BT384)*IF($BP384="Emissions positive",-1,1)</f>
        <v>1.0063694267515921</v>
      </c>
      <c r="CS384">
        <f>IF($CN384="refOK",$BT384,$BS384)*IF($BP384="Emissions positive",-1,1)</f>
        <v>1.3885350318471339</v>
      </c>
      <c r="CT384">
        <f>IF($CN384="refNeedCorrection",-BX384,BX384)*IF($BP384="Emissions positive",-1,1)</f>
        <v>1.4025477707006382</v>
      </c>
      <c r="CU384">
        <f>IFERROR(CT384/CQ384,"")</f>
        <v>0.51946213729653268</v>
      </c>
      <c r="CV384" s="2">
        <f>IFERROR((CS384-CR384)/ABS(CR384),"")</f>
        <v>0.37974683544303839</v>
      </c>
      <c r="CW384" s="1" t="s">
        <v>235</v>
      </c>
      <c r="CX384" s="266" t="str">
        <f>IF(OR($CW384="prd",$CW384="std",$CW384="cit"),"loc",IF(OR($CW384="eur",$CW384="reg",$CW384="coy"),"reg",$CW384))</f>
        <v>loc</v>
      </c>
      <c r="CY384" t="s">
        <v>265</v>
      </c>
      <c r="CZ384"/>
      <c r="DA384" s="143"/>
      <c r="DB384" s="143">
        <v>300</v>
      </c>
      <c r="DC384" t="str">
        <f>IF(DB384=0,"0",IF(AND(DB384&gt;=1,DB384&lt;=30),"1-30",IF(AND(DB384&gt;30,DB384&lt;=70),"31-70",IF(AND(DB384&gt;70,DB384&lt;=100),"71-100",IF(DB384&gt;100,"+100")))))</f>
        <v>+100</v>
      </c>
      <c r="DD384">
        <v>0</v>
      </c>
      <c r="DE384">
        <v>1</v>
      </c>
      <c r="DF384">
        <v>0</v>
      </c>
      <c r="DG384">
        <v>0</v>
      </c>
      <c r="DH384"/>
      <c r="DI384">
        <f>SUM(DD384:DG384)</f>
        <v>1</v>
      </c>
      <c r="DJ384" t="str">
        <f>IF(DI384=1,INDEX($DD$7:$DG$7,MATCH(1,$DD384:$DG384,0)),"mixedProduct")</f>
        <v>EnergyInput</v>
      </c>
      <c r="DK384">
        <f>IF(DD384=1,DK$7,0)</f>
        <v>0</v>
      </c>
      <c r="DL384" t="str">
        <f>IF(DE384=1,DL$7,0)</f>
        <v>Energy</v>
      </c>
      <c r="DM384">
        <f>IF(DF384=1,DM$7,0)</f>
        <v>0</v>
      </c>
      <c r="DN384">
        <f>IF(DG384=1,DN$7,0)</f>
        <v>0</v>
      </c>
      <c r="DO384">
        <v>1</v>
      </c>
      <c r="DP384" s="143">
        <v>0</v>
      </c>
      <c r="DQ384" s="143">
        <v>0</v>
      </c>
      <c r="DR384">
        <v>0</v>
      </c>
      <c r="DS384" s="143">
        <v>0</v>
      </c>
      <c r="DT384">
        <f>SUM(DO384:DP384)</f>
        <v>1</v>
      </c>
      <c r="DU384" s="143" t="str">
        <f>IF(DO384=1,"self-calculated DF",IF(DP384=1,"external DF used","explicit C balance"))</f>
        <v>self-calculated DF</v>
      </c>
      <c r="DV384" s="143">
        <v>1</v>
      </c>
      <c r="DW384" s="143">
        <v>1</v>
      </c>
      <c r="DX384" s="143">
        <v>0</v>
      </c>
      <c r="DY384" s="143">
        <v>0</v>
      </c>
      <c r="DZ384">
        <v>0</v>
      </c>
      <c r="EA384" s="143">
        <v>1</v>
      </c>
      <c r="EB384" s="143">
        <v>1</v>
      </c>
      <c r="EC384" s="143">
        <v>1</v>
      </c>
      <c r="ED384" s="143">
        <v>0</v>
      </c>
      <c r="EE384">
        <v>0</v>
      </c>
      <c r="EF384">
        <v>1</v>
      </c>
      <c r="EG384" s="143">
        <v>0</v>
      </c>
      <c r="EH384" s="143">
        <v>0</v>
      </c>
      <c r="EI384" s="2">
        <v>0</v>
      </c>
      <c r="EJ384" s="1"/>
      <c r="EK384" t="str">
        <f>IF(AND(AND(AND(OR($DX384=1,$DW384=1),OR($EC384=1,$EA384=1)),SUM($DV384:$DZ384,$EF384)&gt;=4),SUM($EA384:$EE384)&gt;=2),"Whole sector","")</f>
        <v/>
      </c>
      <c r="EL384" t="str">
        <f>IF(AND(AND(OR($DX384=1,$DW384=1),AND($EC384=0,$EA384=0)),SUM($DV384:$DZ384,$EF384)&gt;=4),"Ecosystem approach","")</f>
        <v/>
      </c>
      <c r="EM384" s="2" t="str">
        <f>IF(AND(AND(AND($DX384=0,$DW384=0),OR($EC384=1,$EA384=1)),SUM($EB384:$EE384)&gt;=2),"Technology approach","")</f>
        <v/>
      </c>
      <c r="EN384"/>
      <c r="EO384"/>
      <c r="EP384" t="str">
        <f>IF(ISNUMBER(BU384),IF(ABS(BU384-[1]QC_indicators!$B$2)&gt;3*[1]QC_indicators!$C$2,"C ratio",IF(ISNUMBER(BY384),IF(ABS(BY384-[1]QC_indicators!$B$1)&gt;3*[1]QC_indicators!$C$1,"DF","no"))),IF(ISNUMBER(BY384),IF(ABS(BY384-[1]QC_indicators!$B$1)&gt;3*[1]QC_indicators!$C$1,"DF","no")))</f>
        <v>no</v>
      </c>
      <c r="EQ384"/>
      <c r="ER384" s="266" t="s">
        <v>705</v>
      </c>
      <c r="ES384"/>
      <c r="ET384" s="266" t="s">
        <v>3409</v>
      </c>
      <c r="EU384"/>
    </row>
    <row r="385" spans="1:151" s="139" customFormat="1" ht="15" hidden="1" customHeight="1">
      <c r="A385" s="1"/>
      <c r="B385"/>
      <c r="C385"/>
      <c r="D385" t="s">
        <v>693</v>
      </c>
      <c r="E385" t="s">
        <v>694</v>
      </c>
      <c r="F385"/>
      <c r="G385" t="s">
        <v>695</v>
      </c>
      <c r="H385"/>
      <c r="I385">
        <v>2007</v>
      </c>
      <c r="J385"/>
      <c r="K385" s="297" t="s">
        <v>696</v>
      </c>
      <c r="L385"/>
      <c r="M385" t="str">
        <f>LEFT($D385,FIND(",",$D385)-1)&amp;"_"&amp;I385&amp;L385</f>
        <v>Eriksson_2007</v>
      </c>
      <c r="N385" t="s">
        <v>223</v>
      </c>
      <c r="O385" t="s">
        <v>224</v>
      </c>
      <c r="P385"/>
      <c r="Q385" s="266" t="s">
        <v>257</v>
      </c>
      <c r="R385" s="271" t="s">
        <v>1156</v>
      </c>
      <c r="S385" s="1" t="s">
        <v>697</v>
      </c>
      <c r="T385" t="s">
        <v>698</v>
      </c>
      <c r="U385" s="143" t="s">
        <v>706</v>
      </c>
      <c r="V385">
        <v>0</v>
      </c>
      <c r="W385">
        <v>0</v>
      </c>
      <c r="X385">
        <v>0</v>
      </c>
      <c r="Y385">
        <v>0</v>
      </c>
      <c r="Z385">
        <v>0</v>
      </c>
      <c r="AA385">
        <v>1</v>
      </c>
      <c r="AB385">
        <v>0</v>
      </c>
      <c r="AC385">
        <v>0</v>
      </c>
      <c r="AD385">
        <v>0</v>
      </c>
      <c r="AE385">
        <v>0</v>
      </c>
      <c r="AF385">
        <v>0</v>
      </c>
      <c r="AG385">
        <v>0</v>
      </c>
      <c r="AH385">
        <v>0</v>
      </c>
      <c r="AI385">
        <v>0</v>
      </c>
      <c r="AJ385">
        <v>0</v>
      </c>
      <c r="AK385">
        <v>0</v>
      </c>
      <c r="AL385">
        <v>0</v>
      </c>
      <c r="AM385">
        <v>0</v>
      </c>
      <c r="AN385">
        <v>0</v>
      </c>
      <c r="AO385">
        <v>0</v>
      </c>
      <c r="AP385">
        <v>0</v>
      </c>
      <c r="AQ385">
        <v>0</v>
      </c>
      <c r="AR385">
        <v>0</v>
      </c>
      <c r="AS385">
        <v>0</v>
      </c>
      <c r="AT385">
        <v>0</v>
      </c>
      <c r="AU385">
        <v>0</v>
      </c>
      <c r="AV385">
        <v>0</v>
      </c>
      <c r="AW385">
        <v>0</v>
      </c>
      <c r="AX385" s="141">
        <f>COUNTIF(V385:AW385,"&lt;&gt;0")</f>
        <v>1</v>
      </c>
      <c r="AY385" s="141">
        <f>COUNTIF(V385:AL385,"&lt;&gt;0")</f>
        <v>1</v>
      </c>
      <c r="AZ385">
        <f>COUNTIF(V385:AC385,"&lt;&gt;0")</f>
        <v>1</v>
      </c>
      <c r="BA385">
        <f>COUNTIF(AD385:AI385,"&lt;&gt;0")</f>
        <v>0</v>
      </c>
      <c r="BB385">
        <f>COUNTIF(AJ385:AL385,"&lt;&gt;0")</f>
        <v>0</v>
      </c>
      <c r="BC385">
        <f>COUNTIF(AS385:AW385,"&lt;&gt;0")</f>
        <v>0</v>
      </c>
      <c r="BD385">
        <f>COUNTIF(AM385:AR385,"&lt;&gt;0")</f>
        <v>0</v>
      </c>
      <c r="BE385" t="str" cm="1">
        <f t="array" ref="BE385">IF(AY385=1,INDEX($V$7:$AL$7,MATCH(TRUE,INDEX($V385:$AW385&lt;&gt;0,),0)),IF(AY385=0,INDEX($AM$7:$AW$7,MATCH(1,$AM385:$AW385,0)),IF(BF385="Multiple strategies","mixed drivers",IF(BF385="Supply chain","multiple supply","multiple silviculture"))))</f>
        <v>plantation density</v>
      </c>
      <c r="BF385" s="2" t="str" cm="1">
        <f t="array" ref="BF385">IF(COUNTIF(AZ385:BB385,"&lt;&gt;0")=1,INDEX($V$4:$AW$4,MATCH(TRUE,INDEX($V385:$AW385&lt;&gt;0,),0)),IF(COUNTIF(AZ385:BB385,"&lt;&gt;0")=0,INDEX($AM$4:$AW$4,MATCH(1,$AM385:$AW385,0)),"Multiple strategies"))</f>
        <v>SilvicultureProd</v>
      </c>
      <c r="BG385" s="142" t="s">
        <v>322</v>
      </c>
      <c r="BH385" t="s">
        <v>700</v>
      </c>
      <c r="BI385" s="266" t="s">
        <v>701</v>
      </c>
      <c r="BJ385" s="143" t="s">
        <v>707</v>
      </c>
      <c r="BK385">
        <v>7.3</v>
      </c>
      <c r="BL385" s="143">
        <v>7.7</v>
      </c>
      <c r="BM385" s="143">
        <f>BL385/BK385</f>
        <v>1.0547945205479452</v>
      </c>
      <c r="BN385">
        <f>BL385-BK385</f>
        <v>0.40000000000000036</v>
      </c>
      <c r="BO385" s="143">
        <f>BN385</f>
        <v>0.40000000000000036</v>
      </c>
      <c r="BP385" t="s">
        <v>233</v>
      </c>
      <c r="BQ385" s="153" t="s">
        <v>703</v>
      </c>
      <c r="BR385" t="s">
        <v>704</v>
      </c>
      <c r="BS385" s="151">
        <v>1.0063694267515921</v>
      </c>
      <c r="BT385" s="151">
        <v>1.0700636942675161</v>
      </c>
      <c r="BU385">
        <f>BT385/BS385</f>
        <v>1.0632911392405067</v>
      </c>
      <c r="BV385">
        <f>BT385-BS385</f>
        <v>6.3694267515923997E-2</v>
      </c>
      <c r="BW385"/>
      <c r="BX385">
        <f>BV385*C_to_CO2</f>
        <v>0.23375796178344108</v>
      </c>
      <c r="BY385">
        <f>IFERROR(BX385/BO385,"")</f>
        <v>0.5843949044586022</v>
      </c>
      <c r="BZ385" s="143">
        <v>0</v>
      </c>
      <c r="CA385" s="143">
        <v>0</v>
      </c>
      <c r="CB385" s="143">
        <v>0</v>
      </c>
      <c r="CC385" s="143">
        <v>0</v>
      </c>
      <c r="CD385" s="143">
        <v>0</v>
      </c>
      <c r="CE385" s="143">
        <v>0</v>
      </c>
      <c r="CF385" s="143">
        <v>0</v>
      </c>
      <c r="CG385" s="143">
        <v>0</v>
      </c>
      <c r="CH385" s="143">
        <v>0</v>
      </c>
      <c r="CI385" s="143">
        <v>0</v>
      </c>
      <c r="CJ385" s="143">
        <v>0</v>
      </c>
      <c r="CK385" s="143">
        <v>0</v>
      </c>
      <c r="CL385" s="143">
        <v>0</v>
      </c>
      <c r="CM385">
        <v>0</v>
      </c>
      <c r="CN385" t="str">
        <f>IF($BL385&lt;$BK385,"refNeedCorrection","refOK")</f>
        <v>refOK</v>
      </c>
      <c r="CO385">
        <f>IF($CN385="refOK",$BK385,$BL385)</f>
        <v>7.3</v>
      </c>
      <c r="CP385">
        <f>IF($CN385="refOK",$BL385,$BK385)</f>
        <v>7.7</v>
      </c>
      <c r="CQ385">
        <f>IF($CN385="refOK",$BO385,-$BO385)</f>
        <v>0.40000000000000036</v>
      </c>
      <c r="CR385">
        <f>IF($CN385="refOK",$BS385,$BT385)*IF($BP385="Emissions positive",-1,1)</f>
        <v>1.0063694267515921</v>
      </c>
      <c r="CS385">
        <f>IF($CN385="refOK",$BT385,$BS385)*IF($BP385="Emissions positive",-1,1)</f>
        <v>1.0700636942675161</v>
      </c>
      <c r="CT385">
        <f>IF($CN385="refNeedCorrection",-BX385,BX385)*IF($BP385="Emissions positive",-1,1)</f>
        <v>0.23375796178344108</v>
      </c>
      <c r="CU385">
        <f>IFERROR(CT385/CQ385,"")</f>
        <v>0.5843949044586022</v>
      </c>
      <c r="CV385" s="2">
        <f>IFERROR((CS385-CR385)/ABS(CR385),"")</f>
        <v>6.3291139240506764E-2</v>
      </c>
      <c r="CW385" s="1" t="s">
        <v>235</v>
      </c>
      <c r="CX385" s="266" t="str">
        <f>IF(OR($CW385="prd",$CW385="std",$CW385="cit"),"loc",IF(OR($CW385="eur",$CW385="reg",$CW385="coy"),"reg",$CW385))</f>
        <v>loc</v>
      </c>
      <c r="CY385" t="s">
        <v>265</v>
      </c>
      <c r="CZ385"/>
      <c r="DA385" s="143"/>
      <c r="DB385" s="143">
        <v>300</v>
      </c>
      <c r="DC385" t="str">
        <f>IF(DB385=0,"0",IF(AND(DB385&gt;=1,DB385&lt;=30),"1-30",IF(AND(DB385&gt;30,DB385&lt;=70),"31-70",IF(AND(DB385&gt;70,DB385&lt;=100),"71-100",IF(DB385&gt;100,"+100")))))</f>
        <v>+100</v>
      </c>
      <c r="DD385">
        <v>0</v>
      </c>
      <c r="DE385">
        <v>1</v>
      </c>
      <c r="DF385">
        <v>0</v>
      </c>
      <c r="DG385">
        <v>0</v>
      </c>
      <c r="DH385"/>
      <c r="DI385">
        <f>SUM(DD385:DG385)</f>
        <v>1</v>
      </c>
      <c r="DJ385" t="str">
        <f>IF(DI385=1,INDEX($DD$7:$DG$7,MATCH(1,$DD385:$DG385,0)),"mixedProduct")</f>
        <v>EnergyInput</v>
      </c>
      <c r="DK385">
        <f>IF(DD385=1,DK$7,0)</f>
        <v>0</v>
      </c>
      <c r="DL385" t="str">
        <f>IF(DE385=1,DL$7,0)</f>
        <v>Energy</v>
      </c>
      <c r="DM385">
        <f>IF(DF385=1,DM$7,0)</f>
        <v>0</v>
      </c>
      <c r="DN385">
        <f>IF(DG385=1,DN$7,0)</f>
        <v>0</v>
      </c>
      <c r="DO385">
        <v>1</v>
      </c>
      <c r="DP385" s="143">
        <v>0</v>
      </c>
      <c r="DQ385" s="143">
        <v>0</v>
      </c>
      <c r="DR385">
        <v>0</v>
      </c>
      <c r="DS385" s="143">
        <v>0</v>
      </c>
      <c r="DT385">
        <f>SUM(DO385:DP385)</f>
        <v>1</v>
      </c>
      <c r="DU385" s="143" t="str">
        <f>IF(DO385=1,"self-calculated DF",IF(DP385=1,"external DF used","explicit C balance"))</f>
        <v>self-calculated DF</v>
      </c>
      <c r="DV385" s="143">
        <v>1</v>
      </c>
      <c r="DW385" s="143">
        <v>1</v>
      </c>
      <c r="DX385" s="143">
        <v>0</v>
      </c>
      <c r="DY385" s="143">
        <v>0</v>
      </c>
      <c r="DZ385">
        <v>0</v>
      </c>
      <c r="EA385" s="143">
        <v>1</v>
      </c>
      <c r="EB385" s="143">
        <v>1</v>
      </c>
      <c r="EC385" s="143">
        <v>1</v>
      </c>
      <c r="ED385" s="143">
        <v>0</v>
      </c>
      <c r="EE385">
        <v>0</v>
      </c>
      <c r="EF385">
        <v>1</v>
      </c>
      <c r="EG385" s="143">
        <v>0</v>
      </c>
      <c r="EH385" s="143">
        <v>0</v>
      </c>
      <c r="EI385" s="2">
        <v>0</v>
      </c>
      <c r="EJ385" s="1"/>
      <c r="EK385" t="str">
        <f>IF(AND(AND(AND(OR($DX385=1,$DW385=1),OR($EC385=1,$EA385=1)),SUM($DV385:$DZ385,$EF385)&gt;=4),SUM($EA385:$EE385)&gt;=2),"Whole sector","")</f>
        <v/>
      </c>
      <c r="EL385" t="str">
        <f>IF(AND(AND(OR($DX385=1,$DW385=1),AND($EC385=0,$EA385=0)),SUM($DV385:$DZ385,$EF385)&gt;=4),"Ecosystem approach","")</f>
        <v/>
      </c>
      <c r="EM385" s="2" t="str">
        <f>IF(AND(AND(AND($DX385=0,$DW385=0),OR($EC385=1,$EA385=1)),SUM($EB385:$EE385)&gt;=2),"Technology approach","")</f>
        <v/>
      </c>
      <c r="EN385"/>
      <c r="EO385"/>
      <c r="EP385" t="str">
        <f>IF(ISNUMBER(BU385),IF(ABS(BU385-[1]QC_indicators!$B$2)&gt;3*[1]QC_indicators!$C$2,"C ratio",IF(ISNUMBER(BY385),IF(ABS(BY385-[1]QC_indicators!$B$1)&gt;3*[1]QC_indicators!$C$1,"DF","no"))),IF(ISNUMBER(BY385),IF(ABS(BY385-[1]QC_indicators!$B$1)&gt;3*[1]QC_indicators!$C$1,"DF","no")))</f>
        <v>no</v>
      </c>
      <c r="EQ385"/>
      <c r="ER385" s="266" t="s">
        <v>708</v>
      </c>
      <c r="ES385"/>
      <c r="ET385" s="266" t="s">
        <v>3409</v>
      </c>
      <c r="EU385"/>
    </row>
    <row r="386" spans="1:151" s="139" customFormat="1" ht="15" hidden="1" customHeight="1">
      <c r="A386" s="1" t="s">
        <v>588</v>
      </c>
      <c r="B386" t="s">
        <v>1989</v>
      </c>
      <c r="C386" t="s">
        <v>1990</v>
      </c>
      <c r="D386" t="s">
        <v>1991</v>
      </c>
      <c r="E386" t="s">
        <v>1992</v>
      </c>
      <c r="F386" t="s">
        <v>1993</v>
      </c>
      <c r="G386" t="s">
        <v>594</v>
      </c>
      <c r="H386" t="s">
        <v>255</v>
      </c>
      <c r="I386">
        <v>2018</v>
      </c>
      <c r="J386">
        <v>7</v>
      </c>
      <c r="K386" t="s">
        <v>1994</v>
      </c>
      <c r="L386"/>
      <c r="M386" t="str">
        <f>LEFT($D386,FIND(",",$D386)-1)&amp;"_"&amp;I386&amp;L386</f>
        <v>Nakano_2018</v>
      </c>
      <c r="N386" t="s">
        <v>223</v>
      </c>
      <c r="O386" s="157" t="s">
        <v>275</v>
      </c>
      <c r="P386" t="s">
        <v>962</v>
      </c>
      <c r="Q386" t="s">
        <v>390</v>
      </c>
      <c r="R386" s="264" t="s">
        <v>224</v>
      </c>
      <c r="S386" s="1" t="s">
        <v>1995</v>
      </c>
      <c r="T386" t="s">
        <v>1996</v>
      </c>
      <c r="U386" t="s">
        <v>1997</v>
      </c>
      <c r="V386">
        <v>0</v>
      </c>
      <c r="W386">
        <v>0</v>
      </c>
      <c r="X386">
        <v>0</v>
      </c>
      <c r="Y386">
        <v>0</v>
      </c>
      <c r="Z386">
        <v>1</v>
      </c>
      <c r="AA386">
        <v>0</v>
      </c>
      <c r="AB386">
        <v>0</v>
      </c>
      <c r="AC386">
        <v>0</v>
      </c>
      <c r="AD386">
        <v>0</v>
      </c>
      <c r="AE386">
        <v>0</v>
      </c>
      <c r="AF386">
        <v>0</v>
      </c>
      <c r="AG386">
        <v>0</v>
      </c>
      <c r="AH386">
        <v>0</v>
      </c>
      <c r="AI386">
        <v>0</v>
      </c>
      <c r="AJ386">
        <v>0</v>
      </c>
      <c r="AK386">
        <v>0</v>
      </c>
      <c r="AL386">
        <v>0</v>
      </c>
      <c r="AM386">
        <v>0</v>
      </c>
      <c r="AN386">
        <v>0</v>
      </c>
      <c r="AO386">
        <v>0</v>
      </c>
      <c r="AP386">
        <v>0</v>
      </c>
      <c r="AQ386">
        <v>0</v>
      </c>
      <c r="AR386">
        <v>0</v>
      </c>
      <c r="AS386">
        <v>0</v>
      </c>
      <c r="AT386">
        <v>0</v>
      </c>
      <c r="AU386">
        <v>0</v>
      </c>
      <c r="AV386">
        <v>0</v>
      </c>
      <c r="AW386">
        <v>0</v>
      </c>
      <c r="AX386" s="141">
        <f>COUNTIF(V386:AW386,"&lt;&gt;0")</f>
        <v>1</v>
      </c>
      <c r="AY386" s="141">
        <f>COUNTIF(V386:AL386,"&lt;&gt;0")</f>
        <v>1</v>
      </c>
      <c r="AZ386">
        <f>COUNTIF(V386:AC386,"&lt;&gt;0")</f>
        <v>1</v>
      </c>
      <c r="BA386">
        <f>COUNTIF(AD386:AI386,"&lt;&gt;0")</f>
        <v>0</v>
      </c>
      <c r="BB386">
        <f>COUNTIF(AJ386:AL386,"&lt;&gt;0")</f>
        <v>0</v>
      </c>
      <c r="BC386">
        <f>COUNTIF(AS386:AW386,"&lt;&gt;0")</f>
        <v>0</v>
      </c>
      <c r="BD386">
        <f>COUNTIF(AM386:AR386,"&lt;&gt;0")</f>
        <v>0</v>
      </c>
      <c r="BE386" t="str">
        <f t="array" ref="BE386">IF(AY386=1,INDEX($V$7:$AL$7,MATCH(TRUE,INDEX($V386:$AW386&lt;&gt;0,),0)),IF(AY386=0,INDEX($AM$7:$AW$7,MATCH(1,$AM386:$AW386,0)),IF(BF386="Multiple strategies","mixed drivers",IF(BF386="Supply chain","multiple supply","multiple silviculture"))))</f>
        <v>species</v>
      </c>
      <c r="BF386" s="2" t="str" cm="1">
        <f t="array" ref="BF386">IF(COUNTIF(AZ386:BB386,"&lt;&gt;0")=1,INDEX($V$4:$AW$4,MATCH(TRUE,INDEX($V386:$AW386&lt;&gt;0,),0)),IF(COUNTIF(AZ386:BB386,"&lt;&gt;0")=0,INDEX($AM$4:$AW$4,MATCH(1,$AM386:$AW386,0)),"Multiple strategies"))</f>
        <v>SilvicultureProd</v>
      </c>
      <c r="BG386" s="1" t="s">
        <v>322</v>
      </c>
      <c r="BH386" t="s">
        <v>1998</v>
      </c>
      <c r="BI386" s="266" t="s">
        <v>3181</v>
      </c>
      <c r="BJ386" s="266" t="s">
        <v>3182</v>
      </c>
      <c r="BK386">
        <v>958000</v>
      </c>
      <c r="BL386">
        <v>11193000</v>
      </c>
      <c r="BM386">
        <v>11.683716075156577</v>
      </c>
      <c r="BN386">
        <f>BL386-BK386</f>
        <v>10235000</v>
      </c>
      <c r="BO386">
        <f>BN386</f>
        <v>10235000</v>
      </c>
      <c r="BP386" t="s">
        <v>396</v>
      </c>
      <c r="BQ386" s="266" t="s">
        <v>3183</v>
      </c>
      <c r="BR386" t="s">
        <v>2001</v>
      </c>
      <c r="BS386">
        <v>24392.153846153786</v>
      </c>
      <c r="BT386">
        <v>241940.99999999983</v>
      </c>
      <c r="BU386" s="144">
        <v>9.9188042813262953</v>
      </c>
      <c r="BV386">
        <f>BT386-BS386</f>
        <v>217548.84615384604</v>
      </c>
      <c r="BW386"/>
      <c r="BX386" s="152">
        <f>BV386</f>
        <v>217548.84615384604</v>
      </c>
      <c r="BY386">
        <f>IFERROR(BX386/BO386,"")</f>
        <v>2.1255383112246805E-2</v>
      </c>
      <c r="BZ386">
        <v>0</v>
      </c>
      <c r="CA386">
        <v>0</v>
      </c>
      <c r="CB386">
        <v>0</v>
      </c>
      <c r="CC386">
        <v>0</v>
      </c>
      <c r="CD386">
        <v>0</v>
      </c>
      <c r="CE386">
        <v>0</v>
      </c>
      <c r="CF386">
        <v>0</v>
      </c>
      <c r="CG386">
        <v>0</v>
      </c>
      <c r="CH386">
        <v>0</v>
      </c>
      <c r="CI386">
        <v>0</v>
      </c>
      <c r="CJ386">
        <v>0</v>
      </c>
      <c r="CK386">
        <v>0</v>
      </c>
      <c r="CL386">
        <v>0</v>
      </c>
      <c r="CM386">
        <v>0</v>
      </c>
      <c r="CN386" t="str">
        <f>IF($BL386&lt;$BK386,"refNeedCorrection","refOK")</f>
        <v>refOK</v>
      </c>
      <c r="CO386">
        <f>IF($CN386="refOK",$BK386,$BL386)</f>
        <v>958000</v>
      </c>
      <c r="CP386">
        <f>IF($CN386="refOK",$BL386,$BK386)</f>
        <v>11193000</v>
      </c>
      <c r="CQ386">
        <f>IF($CN386="refOK",$BO386,-$BO386)</f>
        <v>10235000</v>
      </c>
      <c r="CR386">
        <f>IF($CN386="refOK",$BS386,$BT386)*IF($BP386="Emissions positive",-1,1)</f>
        <v>-24392.153846153786</v>
      </c>
      <c r="CS386">
        <f>IF($CN386="refOK",$BT386,$BS386)*IF($BP386="Emissions positive",-1,1)</f>
        <v>-241940.99999999983</v>
      </c>
      <c r="CT386">
        <f>IF($CN386="refNeedCorrection",-BX386,BX386)*IF($BP386="Emissions positive",-1,1)</f>
        <v>-217548.84615384604</v>
      </c>
      <c r="CU386">
        <f>IFERROR(CT386/CQ386,"")</f>
        <v>-2.1255383112246805E-2</v>
      </c>
      <c r="CV386" s="2">
        <f>IFERROR((CS386-CR386)/ABS(CR386),"")</f>
        <v>-8.9188042813262953</v>
      </c>
      <c r="CW386" s="1" t="s">
        <v>1205</v>
      </c>
      <c r="CX386" t="str">
        <f>IF(OR($CW386="prd",$CW386="std",$CW386="cit"),"loc",IF(OR($CW386="eur",$CW386="reg",$CW386="coy"),"reg",$CW386))</f>
        <v>reg</v>
      </c>
      <c r="CY386" t="s">
        <v>963</v>
      </c>
      <c r="CZ386">
        <v>0</v>
      </c>
      <c r="DA386">
        <v>0</v>
      </c>
      <c r="DB386">
        <v>0</v>
      </c>
      <c r="DC386" t="str">
        <f>IF(DB386=0,"0",IF(AND(DB386&gt;=1,DB386&lt;=30),"1-30",IF(AND(DB386&gt;30,DB386&lt;=70),"31-70",IF(AND(DB386&gt;70,DB386&lt;=100),"71-100",IF(DB386&gt;100,"+100")))))</f>
        <v>0</v>
      </c>
      <c r="DD386">
        <v>1</v>
      </c>
      <c r="DE386">
        <v>0</v>
      </c>
      <c r="DF386">
        <v>0</v>
      </c>
      <c r="DG386">
        <v>0</v>
      </c>
      <c r="DH386"/>
      <c r="DI386">
        <v>1</v>
      </c>
      <c r="DJ386" t="str">
        <f>IF(DI386=1,INDEX($DD$7:$DG$7,MATCH(1,$DD386:$DG386,0)),"mixedProduct")</f>
        <v>UpstreamInput</v>
      </c>
      <c r="DK386" t="str">
        <f>IF(DD386=1,DK$7,0)</f>
        <v>Upstream</v>
      </c>
      <c r="DL386">
        <f>IF(DE386=1,DL$7,0)</f>
        <v>0</v>
      </c>
      <c r="DM386">
        <f>IF(DF386=1,DM$7,0)</f>
        <v>0</v>
      </c>
      <c r="DN386">
        <f>IF(DG386=1,DN$7,0)</f>
        <v>0</v>
      </c>
      <c r="DO386">
        <v>0</v>
      </c>
      <c r="DP386">
        <v>0</v>
      </c>
      <c r="DQ386">
        <v>0</v>
      </c>
      <c r="DR386">
        <v>0</v>
      </c>
      <c r="DS386">
        <v>0</v>
      </c>
      <c r="DT386">
        <f>SUM(DO386:DP386)</f>
        <v>0</v>
      </c>
      <c r="DU386" s="143" t="s">
        <v>964</v>
      </c>
      <c r="DV386">
        <v>0</v>
      </c>
      <c r="DW386">
        <v>0</v>
      </c>
      <c r="DX386">
        <v>0</v>
      </c>
      <c r="DY386">
        <v>0</v>
      </c>
      <c r="DZ386">
        <v>0</v>
      </c>
      <c r="EA386" s="143">
        <v>0</v>
      </c>
      <c r="EB386">
        <v>1</v>
      </c>
      <c r="EC386">
        <v>0</v>
      </c>
      <c r="ED386">
        <v>0</v>
      </c>
      <c r="EE386">
        <v>0</v>
      </c>
      <c r="EF386">
        <v>0</v>
      </c>
      <c r="EG386">
        <v>0</v>
      </c>
      <c r="EH386">
        <v>0</v>
      </c>
      <c r="EI386" s="2">
        <v>0</v>
      </c>
      <c r="EJ386" s="1"/>
      <c r="EK386" t="str">
        <f>IF(AND(AND(AND(OR($DX386=1,$DW386=1),OR($EC386=1,$EA386=1)),SUM($DV386:$DZ386,$EF386)&gt;=4),SUM($EA386:$EE386)&gt;=2),"Whole sector","")</f>
        <v/>
      </c>
      <c r="EL386" t="str">
        <f>IF(AND(AND(OR($DX386=1,$DW386=1),AND($EC386=0,$EA386=0)),SUM($DV386:$DZ386,$EF386)&gt;=4),"Ecosystem approach","")</f>
        <v/>
      </c>
      <c r="EM386" s="2" t="str">
        <f>IF(AND(AND(AND($DX386=0,$DW386=0),OR($EC386=1,$EA386=1)),SUM($EB386:$EE386)&gt;=2),"Technology approach","")</f>
        <v/>
      </c>
      <c r="EN386"/>
      <c r="EO386"/>
      <c r="EP386" t="str">
        <f>IF(ISNUMBER(BU386),IF(ABS(BU386-[2]QC_indicators!$B$2)&gt;3*[2]QC_indicators!$C$2,"C ratio",IF(ISNUMBER(BY386),IF(ABS(BY386-[2]QC_indicators!$B$1)&gt;3*[2]QC_indicators!$C$1,"DF","no"))),IF(ISNUMBER(BY386),IF(ABS(BY386-[2]QC_indicators!$B$1)&gt;3*[2]QC_indicators!$C$1,"DF","no")))</f>
        <v>no</v>
      </c>
      <c r="EQ386"/>
      <c r="ER386"/>
      <c r="ES386"/>
      <c r="ET386" s="266" t="s">
        <v>3184</v>
      </c>
      <c r="EU386"/>
    </row>
    <row r="387" spans="1:151" s="139" customFormat="1" ht="15" hidden="1" customHeight="1">
      <c r="A387" s="1" t="s">
        <v>588</v>
      </c>
      <c r="B387" t="s">
        <v>1989</v>
      </c>
      <c r="C387" t="s">
        <v>1990</v>
      </c>
      <c r="D387" t="s">
        <v>1991</v>
      </c>
      <c r="E387" t="s">
        <v>1992</v>
      </c>
      <c r="F387" t="s">
        <v>1993</v>
      </c>
      <c r="G387" t="s">
        <v>594</v>
      </c>
      <c r="H387" t="s">
        <v>255</v>
      </c>
      <c r="I387">
        <v>2018</v>
      </c>
      <c r="J387">
        <v>7</v>
      </c>
      <c r="K387" t="s">
        <v>1994</v>
      </c>
      <c r="L387"/>
      <c r="M387" t="str">
        <f>LEFT($D387,FIND(",",$D387)-1)&amp;"_"&amp;I387&amp;L387</f>
        <v>Nakano_2018</v>
      </c>
      <c r="N387" t="s">
        <v>223</v>
      </c>
      <c r="O387" s="157" t="s">
        <v>275</v>
      </c>
      <c r="P387" t="s">
        <v>962</v>
      </c>
      <c r="Q387" t="s">
        <v>390</v>
      </c>
      <c r="R387" s="264" t="s">
        <v>224</v>
      </c>
      <c r="S387" s="1" t="s">
        <v>1995</v>
      </c>
      <c r="T387" t="s">
        <v>1996</v>
      </c>
      <c r="U387" t="s">
        <v>2002</v>
      </c>
      <c r="V387">
        <v>0</v>
      </c>
      <c r="W387">
        <v>0</v>
      </c>
      <c r="X387">
        <v>0</v>
      </c>
      <c r="Y387">
        <v>0</v>
      </c>
      <c r="Z387">
        <v>1</v>
      </c>
      <c r="AA387">
        <v>0</v>
      </c>
      <c r="AB387">
        <v>0</v>
      </c>
      <c r="AC387">
        <v>0</v>
      </c>
      <c r="AD387">
        <v>0</v>
      </c>
      <c r="AE387">
        <v>0</v>
      </c>
      <c r="AF387">
        <v>0</v>
      </c>
      <c r="AG387">
        <v>0</v>
      </c>
      <c r="AH387">
        <v>0</v>
      </c>
      <c r="AI387">
        <v>0</v>
      </c>
      <c r="AJ387">
        <v>0</v>
      </c>
      <c r="AK387">
        <v>0</v>
      </c>
      <c r="AL387">
        <v>0</v>
      </c>
      <c r="AM387">
        <v>0</v>
      </c>
      <c r="AN387">
        <v>0</v>
      </c>
      <c r="AO387">
        <v>0</v>
      </c>
      <c r="AP387">
        <v>0</v>
      </c>
      <c r="AQ387">
        <v>0</v>
      </c>
      <c r="AR387">
        <v>0</v>
      </c>
      <c r="AS387">
        <v>0</v>
      </c>
      <c r="AT387">
        <v>0</v>
      </c>
      <c r="AU387">
        <v>0</v>
      </c>
      <c r="AV387">
        <v>0</v>
      </c>
      <c r="AW387">
        <v>0</v>
      </c>
      <c r="AX387" s="141">
        <f>COUNTIF(V387:AW387,"&lt;&gt;0")</f>
        <v>1</v>
      </c>
      <c r="AY387" s="141">
        <f>COUNTIF(V387:AL387,"&lt;&gt;0")</f>
        <v>1</v>
      </c>
      <c r="AZ387">
        <f>COUNTIF(V387:AC387,"&lt;&gt;0")</f>
        <v>1</v>
      </c>
      <c r="BA387">
        <f>COUNTIF(AD387:AI387,"&lt;&gt;0")</f>
        <v>0</v>
      </c>
      <c r="BB387">
        <f>COUNTIF(AJ387:AL387,"&lt;&gt;0")</f>
        <v>0</v>
      </c>
      <c r="BC387">
        <f>COUNTIF(AS387:AW387,"&lt;&gt;0")</f>
        <v>0</v>
      </c>
      <c r="BD387">
        <f>COUNTIF(AM387:AR387,"&lt;&gt;0")</f>
        <v>0</v>
      </c>
      <c r="BE387" t="str">
        <f t="array" ref="BE387">IF(AY387=1,INDEX($V$7:$AL$7,MATCH(TRUE,INDEX($V387:$AW387&lt;&gt;0,),0)),IF(AY387=0,INDEX($AM$7:$AW$7,MATCH(1,$AM387:$AW387,0)),IF(BF387="Multiple strategies","mixed drivers",IF(BF387="Supply chain","multiple supply","multiple silviculture"))))</f>
        <v>species</v>
      </c>
      <c r="BF387" s="2" t="str" cm="1">
        <f t="array" ref="BF387">IF(COUNTIF(AZ387:BB387,"&lt;&gt;0")=1,INDEX($V$4:$AW$4,MATCH(TRUE,INDEX($V387:$AW387&lt;&gt;0,),0)),IF(COUNTIF(AZ387:BB387,"&lt;&gt;0")=0,INDEX($AM$4:$AW$4,MATCH(1,$AM387:$AW387,0)),"Multiple strategies"))</f>
        <v>SilvicultureProd</v>
      </c>
      <c r="BG387" s="1" t="s">
        <v>322</v>
      </c>
      <c r="BH387" t="s">
        <v>1998</v>
      </c>
      <c r="BI387" s="266" t="s">
        <v>3181</v>
      </c>
      <c r="BJ387" s="266" t="s">
        <v>3182</v>
      </c>
      <c r="BK387">
        <v>958000</v>
      </c>
      <c r="BL387">
        <v>2369000</v>
      </c>
      <c r="BM387">
        <v>2.4728601252609606</v>
      </c>
      <c r="BN387">
        <f>BL387-BK387</f>
        <v>1411000</v>
      </c>
      <c r="BO387">
        <f>BN387</f>
        <v>1411000</v>
      </c>
      <c r="BP387" t="s">
        <v>396</v>
      </c>
      <c r="BQ387" s="266" t="s">
        <v>3183</v>
      </c>
      <c r="BR387" t="s">
        <v>2001</v>
      </c>
      <c r="BS387">
        <v>24392.153846153786</v>
      </c>
      <c r="BT387">
        <v>58860.538461538352</v>
      </c>
      <c r="BU387" s="144">
        <v>2.4130931131700626</v>
      </c>
      <c r="BV387">
        <f>BT387-BS387</f>
        <v>34468.384615384566</v>
      </c>
      <c r="BW387"/>
      <c r="BX387" s="152">
        <f>BV387</f>
        <v>34468.384615384566</v>
      </c>
      <c r="BY387">
        <f>IFERROR(BX387/BO387,"")</f>
        <v>2.4428337785531232E-2</v>
      </c>
      <c r="BZ387">
        <v>0</v>
      </c>
      <c r="CA387">
        <v>0</v>
      </c>
      <c r="CB387">
        <v>0</v>
      </c>
      <c r="CC387">
        <v>0</v>
      </c>
      <c r="CD387">
        <v>0</v>
      </c>
      <c r="CE387">
        <v>0</v>
      </c>
      <c r="CF387">
        <v>0</v>
      </c>
      <c r="CG387">
        <v>0</v>
      </c>
      <c r="CH387">
        <v>0</v>
      </c>
      <c r="CI387">
        <v>0</v>
      </c>
      <c r="CJ387">
        <v>0</v>
      </c>
      <c r="CK387">
        <v>0</v>
      </c>
      <c r="CL387">
        <v>0</v>
      </c>
      <c r="CM387">
        <v>0</v>
      </c>
      <c r="CN387" t="str">
        <f>IF($BL387&lt;$BK387,"refNeedCorrection","refOK")</f>
        <v>refOK</v>
      </c>
      <c r="CO387">
        <f>IF($CN387="refOK",$BK387,$BL387)</f>
        <v>958000</v>
      </c>
      <c r="CP387">
        <f>IF($CN387="refOK",$BL387,$BK387)</f>
        <v>2369000</v>
      </c>
      <c r="CQ387">
        <f>IF($CN387="refOK",$BO387,-$BO387)</f>
        <v>1411000</v>
      </c>
      <c r="CR387">
        <f>IF($CN387="refOK",$BS387,$BT387)*IF($BP387="Emissions positive",-1,1)</f>
        <v>-24392.153846153786</v>
      </c>
      <c r="CS387">
        <f>IF($CN387="refOK",$BT387,$BS387)*IF($BP387="Emissions positive",-1,1)</f>
        <v>-58860.538461538352</v>
      </c>
      <c r="CT387">
        <f>IF($CN387="refNeedCorrection",-BX387,BX387)*IF($BP387="Emissions positive",-1,1)</f>
        <v>-34468.384615384566</v>
      </c>
      <c r="CU387">
        <f>IFERROR(CT387/CQ387,"")</f>
        <v>-2.4428337785531232E-2</v>
      </c>
      <c r="CV387" s="2">
        <f>IFERROR((CS387-CR387)/ABS(CR387),"")</f>
        <v>-1.4130931131700624</v>
      </c>
      <c r="CW387" s="1" t="s">
        <v>1205</v>
      </c>
      <c r="CX387" t="str">
        <f>IF(OR($CW387="prd",$CW387="std",$CW387="cit"),"loc",IF(OR($CW387="eur",$CW387="reg",$CW387="coy"),"reg",$CW387))</f>
        <v>reg</v>
      </c>
      <c r="CY387" t="s">
        <v>963</v>
      </c>
      <c r="CZ387">
        <v>0</v>
      </c>
      <c r="DA387">
        <v>0</v>
      </c>
      <c r="DB387">
        <v>0</v>
      </c>
      <c r="DC387" t="str">
        <f>IF(DB387=0,"0",IF(AND(DB387&gt;=1,DB387&lt;=30),"1-30",IF(AND(DB387&gt;30,DB387&lt;=70),"31-70",IF(AND(DB387&gt;70,DB387&lt;=100),"71-100",IF(DB387&gt;100,"+100")))))</f>
        <v>0</v>
      </c>
      <c r="DD387">
        <v>1</v>
      </c>
      <c r="DE387">
        <v>0</v>
      </c>
      <c r="DF387">
        <v>0</v>
      </c>
      <c r="DG387">
        <v>0</v>
      </c>
      <c r="DH387"/>
      <c r="DI387">
        <v>1</v>
      </c>
      <c r="DJ387" t="str">
        <f>IF(DI387=1,INDEX($DD$7:$DG$7,MATCH(1,$DD387:$DG387,0)),"mixedProduct")</f>
        <v>UpstreamInput</v>
      </c>
      <c r="DK387" t="str">
        <f>IF(DD387=1,DK$7,0)</f>
        <v>Upstream</v>
      </c>
      <c r="DL387">
        <f>IF(DE387=1,DL$7,0)</f>
        <v>0</v>
      </c>
      <c r="DM387">
        <f>IF(DF387=1,DM$7,0)</f>
        <v>0</v>
      </c>
      <c r="DN387">
        <f>IF(DG387=1,DN$7,0)</f>
        <v>0</v>
      </c>
      <c r="DO387">
        <v>0</v>
      </c>
      <c r="DP387">
        <v>0</v>
      </c>
      <c r="DQ387">
        <v>0</v>
      </c>
      <c r="DR387">
        <v>0</v>
      </c>
      <c r="DS387">
        <v>0</v>
      </c>
      <c r="DT387">
        <f>SUM(DO387:DP387)</f>
        <v>0</v>
      </c>
      <c r="DU387" s="143" t="s">
        <v>964</v>
      </c>
      <c r="DV387">
        <v>0</v>
      </c>
      <c r="DW387">
        <v>0</v>
      </c>
      <c r="DX387">
        <v>0</v>
      </c>
      <c r="DY387">
        <v>0</v>
      </c>
      <c r="DZ387">
        <v>0</v>
      </c>
      <c r="EA387" s="143">
        <v>0</v>
      </c>
      <c r="EB387">
        <v>1</v>
      </c>
      <c r="EC387">
        <v>0</v>
      </c>
      <c r="ED387">
        <v>0</v>
      </c>
      <c r="EE387">
        <v>0</v>
      </c>
      <c r="EF387">
        <v>0</v>
      </c>
      <c r="EG387">
        <v>0</v>
      </c>
      <c r="EH387">
        <v>0</v>
      </c>
      <c r="EI387" s="2">
        <v>0</v>
      </c>
      <c r="EJ387" s="1"/>
      <c r="EK387" t="str">
        <f>IF(AND(AND(AND(OR($DX387=1,$DW387=1),OR($EC387=1,$EA387=1)),SUM($DV387:$DZ387,$EF387)&gt;=4),SUM($EA387:$EE387)&gt;=2),"Whole sector","")</f>
        <v/>
      </c>
      <c r="EL387" t="str">
        <f>IF(AND(AND(OR($DX387=1,$DW387=1),AND($EC387=0,$EA387=0)),SUM($DV387:$DZ387,$EF387)&gt;=4),"Ecosystem approach","")</f>
        <v/>
      </c>
      <c r="EM387" s="2" t="str">
        <f>IF(AND(AND(AND($DX387=0,$DW387=0),OR($EC387=1,$EA387=1)),SUM($EB387:$EE387)&gt;=2),"Technology approach","")</f>
        <v/>
      </c>
      <c r="EN387"/>
      <c r="EO387"/>
      <c r="EP387" t="str">
        <f>IF(ISNUMBER(BU387),IF(ABS(BU387-[2]QC_indicators!$B$2)&gt;3*[2]QC_indicators!$C$2,"C ratio",IF(ISNUMBER(BY387),IF(ABS(BY387-[2]QC_indicators!$B$1)&gt;3*[2]QC_indicators!$C$1,"DF","no"))),IF(ISNUMBER(BY387),IF(ABS(BY387-[2]QC_indicators!$B$1)&gt;3*[2]QC_indicators!$C$1,"DF","no")))</f>
        <v>no</v>
      </c>
      <c r="EQ387"/>
      <c r="ER387"/>
      <c r="ES387"/>
      <c r="ET387" s="266" t="s">
        <v>3184</v>
      </c>
      <c r="EU387"/>
    </row>
    <row r="388" spans="1:151" s="139" customFormat="1" ht="15" hidden="1" customHeight="1">
      <c r="A388" s="1" t="s">
        <v>588</v>
      </c>
      <c r="B388" t="s">
        <v>1989</v>
      </c>
      <c r="C388" t="s">
        <v>1990</v>
      </c>
      <c r="D388" t="s">
        <v>1991</v>
      </c>
      <c r="E388" t="s">
        <v>1992</v>
      </c>
      <c r="F388" t="s">
        <v>1993</v>
      </c>
      <c r="G388" t="s">
        <v>594</v>
      </c>
      <c r="H388" t="s">
        <v>255</v>
      </c>
      <c r="I388">
        <v>2018</v>
      </c>
      <c r="J388">
        <v>7</v>
      </c>
      <c r="K388" t="s">
        <v>1994</v>
      </c>
      <c r="L388"/>
      <c r="M388" t="str">
        <f>LEFT($D388,FIND(",",$D388)-1)&amp;"_"&amp;I388&amp;L388</f>
        <v>Nakano_2018</v>
      </c>
      <c r="N388" t="s">
        <v>223</v>
      </c>
      <c r="O388" s="157" t="s">
        <v>275</v>
      </c>
      <c r="P388" t="s">
        <v>962</v>
      </c>
      <c r="Q388" t="s">
        <v>390</v>
      </c>
      <c r="R388" s="264" t="s">
        <v>224</v>
      </c>
      <c r="S388" s="1" t="s">
        <v>1995</v>
      </c>
      <c r="T388" t="s">
        <v>1996</v>
      </c>
      <c r="U388" t="s">
        <v>2003</v>
      </c>
      <c r="V388">
        <v>0</v>
      </c>
      <c r="W388">
        <v>0</v>
      </c>
      <c r="X388">
        <v>0</v>
      </c>
      <c r="Y388">
        <v>0</v>
      </c>
      <c r="Z388">
        <v>1</v>
      </c>
      <c r="AA388">
        <v>0</v>
      </c>
      <c r="AB388">
        <v>0</v>
      </c>
      <c r="AC388">
        <v>0</v>
      </c>
      <c r="AD388">
        <v>0</v>
      </c>
      <c r="AE388">
        <v>0</v>
      </c>
      <c r="AF388">
        <v>0</v>
      </c>
      <c r="AG388">
        <v>0</v>
      </c>
      <c r="AH388">
        <v>0</v>
      </c>
      <c r="AI388">
        <v>0</v>
      </c>
      <c r="AJ388">
        <v>0</v>
      </c>
      <c r="AK388">
        <v>0</v>
      </c>
      <c r="AL388">
        <v>0</v>
      </c>
      <c r="AM388">
        <v>0</v>
      </c>
      <c r="AN388">
        <v>0</v>
      </c>
      <c r="AO388">
        <v>0</v>
      </c>
      <c r="AP388">
        <v>0</v>
      </c>
      <c r="AQ388">
        <v>0</v>
      </c>
      <c r="AR388">
        <v>0</v>
      </c>
      <c r="AS388">
        <v>0</v>
      </c>
      <c r="AT388">
        <v>0</v>
      </c>
      <c r="AU388">
        <v>0</v>
      </c>
      <c r="AV388">
        <v>0</v>
      </c>
      <c r="AW388">
        <v>0</v>
      </c>
      <c r="AX388" s="141">
        <f>COUNTIF(V388:AW388,"&lt;&gt;0")</f>
        <v>1</v>
      </c>
      <c r="AY388" s="141">
        <f>COUNTIF(V388:AL388,"&lt;&gt;0")</f>
        <v>1</v>
      </c>
      <c r="AZ388">
        <f>COUNTIF(V388:AC388,"&lt;&gt;0")</f>
        <v>1</v>
      </c>
      <c r="BA388">
        <f>COUNTIF(AD388:AI388,"&lt;&gt;0")</f>
        <v>0</v>
      </c>
      <c r="BB388">
        <f>COUNTIF(AJ388:AL388,"&lt;&gt;0")</f>
        <v>0</v>
      </c>
      <c r="BC388">
        <f>COUNTIF(AS388:AW388,"&lt;&gt;0")</f>
        <v>0</v>
      </c>
      <c r="BD388">
        <f>COUNTIF(AM388:AR388,"&lt;&gt;0")</f>
        <v>0</v>
      </c>
      <c r="BE388" t="str">
        <f t="array" ref="BE388">IF(AY388=1,INDEX($V$7:$AL$7,MATCH(TRUE,INDEX($V388:$AW388&lt;&gt;0,),0)),IF(AY388=0,INDEX($AM$7:$AW$7,MATCH(1,$AM388:$AW388,0)),IF(BF388="Multiple strategies","mixed drivers",IF(BF388="Supply chain","multiple supply","multiple silviculture"))))</f>
        <v>species</v>
      </c>
      <c r="BF388" s="2" t="str" cm="1">
        <f t="array" ref="BF388">IF(COUNTIF(AZ388:BB388,"&lt;&gt;0")=1,INDEX($V$4:$AW$4,MATCH(TRUE,INDEX($V388:$AW388&lt;&gt;0,),0)),IF(COUNTIF(AZ388:BB388,"&lt;&gt;0")=0,INDEX($AM$4:$AW$4,MATCH(1,$AM388:$AW388,0)),"Multiple strategies"))</f>
        <v>SilvicultureProd</v>
      </c>
      <c r="BG388" s="1" t="s">
        <v>322</v>
      </c>
      <c r="BH388" t="s">
        <v>1998</v>
      </c>
      <c r="BI388" s="266" t="s">
        <v>3181</v>
      </c>
      <c r="BJ388" s="266" t="s">
        <v>3182</v>
      </c>
      <c r="BK388">
        <v>958000</v>
      </c>
      <c r="BL388">
        <v>2395000</v>
      </c>
      <c r="BM388">
        <v>2.5</v>
      </c>
      <c r="BN388">
        <f>BL388-BK388</f>
        <v>1437000</v>
      </c>
      <c r="BO388">
        <f>BN388</f>
        <v>1437000</v>
      </c>
      <c r="BP388" t="s">
        <v>396</v>
      </c>
      <c r="BQ388" s="266" t="s">
        <v>3183</v>
      </c>
      <c r="BR388" t="s">
        <v>2001</v>
      </c>
      <c r="BS388">
        <v>24392.153846153786</v>
      </c>
      <c r="BT388">
        <v>62085.769230769176</v>
      </c>
      <c r="BU388" s="144">
        <v>2.5453172205438106</v>
      </c>
      <c r="BV388">
        <f>BT388-BS388</f>
        <v>37693.61538461539</v>
      </c>
      <c r="BW388"/>
      <c r="BX388" s="152">
        <f>BV388</f>
        <v>37693.61538461539</v>
      </c>
      <c r="BY388">
        <f>IFERROR(BX388/BO388,"")</f>
        <v>2.6230769230769235E-2</v>
      </c>
      <c r="BZ388">
        <v>0</v>
      </c>
      <c r="CA388">
        <v>0</v>
      </c>
      <c r="CB388">
        <v>0</v>
      </c>
      <c r="CC388">
        <v>0</v>
      </c>
      <c r="CD388">
        <v>0</v>
      </c>
      <c r="CE388">
        <v>0</v>
      </c>
      <c r="CF388">
        <v>0</v>
      </c>
      <c r="CG388">
        <v>0</v>
      </c>
      <c r="CH388">
        <v>0</v>
      </c>
      <c r="CI388">
        <v>0</v>
      </c>
      <c r="CJ388">
        <v>0</v>
      </c>
      <c r="CK388">
        <v>0</v>
      </c>
      <c r="CL388">
        <v>0</v>
      </c>
      <c r="CM388">
        <v>0</v>
      </c>
      <c r="CN388" t="str">
        <f>IF($BL388&lt;$BK388,"refNeedCorrection","refOK")</f>
        <v>refOK</v>
      </c>
      <c r="CO388">
        <f>IF($CN388="refOK",$BK388,$BL388)</f>
        <v>958000</v>
      </c>
      <c r="CP388">
        <f>IF($CN388="refOK",$BL388,$BK388)</f>
        <v>2395000</v>
      </c>
      <c r="CQ388">
        <f>IF($CN388="refOK",$BO388,-$BO388)</f>
        <v>1437000</v>
      </c>
      <c r="CR388">
        <f>IF($CN388="refOK",$BS388,$BT388)*IF($BP388="Emissions positive",-1,1)</f>
        <v>-24392.153846153786</v>
      </c>
      <c r="CS388">
        <f>IF($CN388="refOK",$BT388,$BS388)*IF($BP388="Emissions positive",-1,1)</f>
        <v>-62085.769230769176</v>
      </c>
      <c r="CT388">
        <f>IF($CN388="refNeedCorrection",-BX388,BX388)*IF($BP388="Emissions positive",-1,1)</f>
        <v>-37693.61538461539</v>
      </c>
      <c r="CU388">
        <f>IFERROR(CT388/CQ388,"")</f>
        <v>-2.6230769230769235E-2</v>
      </c>
      <c r="CV388" s="2">
        <f>IFERROR((CS388-CR388)/ABS(CR388),"")</f>
        <v>-1.5453172205438106</v>
      </c>
      <c r="CW388" s="1" t="s">
        <v>1205</v>
      </c>
      <c r="CX388" t="str">
        <f>IF(OR($CW388="prd",$CW388="std",$CW388="cit"),"loc",IF(OR($CW388="eur",$CW388="reg",$CW388="coy"),"reg",$CW388))</f>
        <v>reg</v>
      </c>
      <c r="CY388" t="s">
        <v>963</v>
      </c>
      <c r="CZ388">
        <v>0</v>
      </c>
      <c r="DA388">
        <v>0</v>
      </c>
      <c r="DB388">
        <v>0</v>
      </c>
      <c r="DC388" t="str">
        <f>IF(DB388=0,"0",IF(AND(DB388&gt;=1,DB388&lt;=30),"1-30",IF(AND(DB388&gt;30,DB388&lt;=70),"31-70",IF(AND(DB388&gt;70,DB388&lt;=100),"71-100",IF(DB388&gt;100,"+100")))))</f>
        <v>0</v>
      </c>
      <c r="DD388">
        <v>1</v>
      </c>
      <c r="DE388">
        <v>0</v>
      </c>
      <c r="DF388">
        <v>0</v>
      </c>
      <c r="DG388">
        <v>0</v>
      </c>
      <c r="DH388"/>
      <c r="DI388">
        <v>1</v>
      </c>
      <c r="DJ388" t="str">
        <f>IF(DI388=1,INDEX($DD$7:$DG$7,MATCH(1,$DD388:$DG388,0)),"mixedProduct")</f>
        <v>UpstreamInput</v>
      </c>
      <c r="DK388" t="str">
        <f>IF(DD388=1,DK$7,0)</f>
        <v>Upstream</v>
      </c>
      <c r="DL388">
        <f>IF(DE388=1,DL$7,0)</f>
        <v>0</v>
      </c>
      <c r="DM388">
        <f>IF(DF388=1,DM$7,0)</f>
        <v>0</v>
      </c>
      <c r="DN388">
        <f>IF(DG388=1,DN$7,0)</f>
        <v>0</v>
      </c>
      <c r="DO388">
        <v>0</v>
      </c>
      <c r="DP388">
        <v>0</v>
      </c>
      <c r="DQ388">
        <v>0</v>
      </c>
      <c r="DR388">
        <v>0</v>
      </c>
      <c r="DS388">
        <v>0</v>
      </c>
      <c r="DT388">
        <f>SUM(DO388:DP388)</f>
        <v>0</v>
      </c>
      <c r="DU388" s="143" t="s">
        <v>964</v>
      </c>
      <c r="DV388">
        <v>0</v>
      </c>
      <c r="DW388">
        <v>0</v>
      </c>
      <c r="DX388">
        <v>0</v>
      </c>
      <c r="DY388">
        <v>0</v>
      </c>
      <c r="DZ388">
        <v>0</v>
      </c>
      <c r="EA388" s="143">
        <v>0</v>
      </c>
      <c r="EB388">
        <v>1</v>
      </c>
      <c r="EC388">
        <v>0</v>
      </c>
      <c r="ED388">
        <v>0</v>
      </c>
      <c r="EE388">
        <v>0</v>
      </c>
      <c r="EF388">
        <v>0</v>
      </c>
      <c r="EG388">
        <v>0</v>
      </c>
      <c r="EH388">
        <v>0</v>
      </c>
      <c r="EI388" s="2">
        <v>0</v>
      </c>
      <c r="EJ388" s="1"/>
      <c r="EK388" t="str">
        <f>IF(AND(AND(AND(OR($DX388=1,$DW388=1),OR($EC388=1,$EA388=1)),SUM($DV388:$DZ388,$EF388)&gt;=4),SUM($EA388:$EE388)&gt;=2),"Whole sector","")</f>
        <v/>
      </c>
      <c r="EL388" t="str">
        <f>IF(AND(AND(OR($DX388=1,$DW388=1),AND($EC388=0,$EA388=0)),SUM($DV388:$DZ388,$EF388)&gt;=4),"Ecosystem approach","")</f>
        <v/>
      </c>
      <c r="EM388" s="2" t="str">
        <f>IF(AND(AND(AND($DX388=0,$DW388=0),OR($EC388=1,$EA388=1)),SUM($EB388:$EE388)&gt;=2),"Technology approach","")</f>
        <v/>
      </c>
      <c r="EN388"/>
      <c r="EO388"/>
      <c r="EP388" t="str">
        <f>IF(ISNUMBER(BU388),IF(ABS(BU388-[2]QC_indicators!$B$2)&gt;3*[2]QC_indicators!$C$2,"C ratio",IF(ISNUMBER(BY388),IF(ABS(BY388-[2]QC_indicators!$B$1)&gt;3*[2]QC_indicators!$C$1,"DF","no"))),IF(ISNUMBER(BY388),IF(ABS(BY388-[2]QC_indicators!$B$1)&gt;3*[2]QC_indicators!$C$1,"DF","no")))</f>
        <v>no</v>
      </c>
      <c r="EQ388"/>
      <c r="ER388"/>
      <c r="ES388"/>
      <c r="ET388" s="266" t="s">
        <v>3184</v>
      </c>
      <c r="EU388"/>
    </row>
    <row r="389" spans="1:151" s="139" customFormat="1" ht="15" hidden="1" customHeight="1">
      <c r="A389" s="1" t="s">
        <v>1425</v>
      </c>
      <c r="B389" t="s">
        <v>1426</v>
      </c>
      <c r="C389" t="s">
        <v>1427</v>
      </c>
      <c r="D389" t="s">
        <v>1428</v>
      </c>
      <c r="E389" t="s">
        <v>1429</v>
      </c>
      <c r="F389" t="s">
        <v>1430</v>
      </c>
      <c r="G389" t="s">
        <v>1431</v>
      </c>
      <c r="H389" t="s">
        <v>255</v>
      </c>
      <c r="I389">
        <v>2020</v>
      </c>
      <c r="J389">
        <v>1</v>
      </c>
      <c r="K389" t="s">
        <v>1432</v>
      </c>
      <c r="L389"/>
      <c r="M389" t="str">
        <f>LEFT($D389,FIND(",",$D389)-1)&amp;"_"&amp;I389&amp;L389</f>
        <v>Dymond_2020</v>
      </c>
      <c r="N389" t="s">
        <v>223</v>
      </c>
      <c r="O389" s="145" t="s">
        <v>275</v>
      </c>
      <c r="P389"/>
      <c r="Q389" t="s">
        <v>257</v>
      </c>
      <c r="R389" s="288" t="s">
        <v>226</v>
      </c>
      <c r="S389" s="1" t="s">
        <v>1433</v>
      </c>
      <c r="T389" t="s">
        <v>1434</v>
      </c>
      <c r="U389" t="s">
        <v>1435</v>
      </c>
      <c r="V389">
        <v>0</v>
      </c>
      <c r="W389">
        <v>0</v>
      </c>
      <c r="X389">
        <v>0</v>
      </c>
      <c r="Y389">
        <v>0</v>
      </c>
      <c r="Z389">
        <v>1</v>
      </c>
      <c r="AA389">
        <v>0</v>
      </c>
      <c r="AB389">
        <v>0</v>
      </c>
      <c r="AC389">
        <v>0</v>
      </c>
      <c r="AD389">
        <v>0</v>
      </c>
      <c r="AE389">
        <v>0</v>
      </c>
      <c r="AF389">
        <v>0</v>
      </c>
      <c r="AG389">
        <v>0</v>
      </c>
      <c r="AH389">
        <v>0</v>
      </c>
      <c r="AI389">
        <v>0</v>
      </c>
      <c r="AJ389">
        <v>0</v>
      </c>
      <c r="AK389">
        <v>0</v>
      </c>
      <c r="AL389">
        <v>0</v>
      </c>
      <c r="AM389">
        <v>0</v>
      </c>
      <c r="AN389">
        <v>0</v>
      </c>
      <c r="AO389">
        <v>0</v>
      </c>
      <c r="AP389">
        <v>0</v>
      </c>
      <c r="AQ389">
        <v>0</v>
      </c>
      <c r="AR389">
        <v>0</v>
      </c>
      <c r="AS389">
        <v>0</v>
      </c>
      <c r="AT389">
        <v>0</v>
      </c>
      <c r="AU389">
        <v>0</v>
      </c>
      <c r="AV389">
        <v>0</v>
      </c>
      <c r="AW389">
        <v>0</v>
      </c>
      <c r="AX389" s="141">
        <f>COUNTIF(V389:AW389,"&lt;&gt;0")</f>
        <v>1</v>
      </c>
      <c r="AY389" s="141">
        <f>COUNTIF(V389:AL389,"&lt;&gt;0")</f>
        <v>1</v>
      </c>
      <c r="AZ389">
        <f>COUNTIF(V389:AC389,"&lt;&gt;0")</f>
        <v>1</v>
      </c>
      <c r="BA389">
        <f>COUNTIF(AD389:AI389,"&lt;&gt;0")</f>
        <v>0</v>
      </c>
      <c r="BB389">
        <f>COUNTIF(AJ389:AL389,"&lt;&gt;0")</f>
        <v>0</v>
      </c>
      <c r="BC389">
        <f>COUNTIF(AS389:AW389,"&lt;&gt;0")</f>
        <v>0</v>
      </c>
      <c r="BD389">
        <f>COUNTIF(AM389:AR389,"&lt;&gt;0")</f>
        <v>0</v>
      </c>
      <c r="BE389" t="str">
        <f t="array" ref="BE389">IF(AY389=1,INDEX($V$7:$AL$7,MATCH(TRUE,INDEX($V389:$AW389&lt;&gt;0,),0)),IF(AY389=0,INDEX($AM$7:$AW$7,MATCH(1,$AM389:$AW389,0)),IF(BF389="Multiple strategies","mixed drivers",IF(BF389="Supply chain","multiple supply","multiple silviculture"))))</f>
        <v>species</v>
      </c>
      <c r="BF389" s="2" t="str" cm="1">
        <f t="array" ref="BF389">IF(COUNTIF(AZ389:BB389,"&lt;&gt;0")=1,INDEX($V$4:$AW$4,MATCH(TRUE,INDEX($V389:$AW389&lt;&gt;0,),0)),IF(COUNTIF(AZ389:BB389,"&lt;&gt;0")=0,INDEX($AM$4:$AW$4,MATCH(1,$AM389:$AW389,0)),"Multiple strategies"))</f>
        <v>SilvicultureProd</v>
      </c>
      <c r="BG389" s="1" t="s">
        <v>322</v>
      </c>
      <c r="BH389" t="s">
        <v>1436</v>
      </c>
      <c r="BI389" s="260" t="s">
        <v>3324</v>
      </c>
      <c r="BJ389" t="s">
        <v>499</v>
      </c>
      <c r="BK389">
        <f>6450.3412361686*1000</f>
        <v>6450341.2361685997</v>
      </c>
      <c r="BL389">
        <f>7333.995155*1000</f>
        <v>7333995.1549999993</v>
      </c>
      <c r="BM389">
        <f>BL389/BK389</f>
        <v>1.136993359960019</v>
      </c>
      <c r="BN389">
        <f>BL389-BK389</f>
        <v>883653.91883139964</v>
      </c>
      <c r="BO389">
        <f>BN389</f>
        <v>883653.91883139964</v>
      </c>
      <c r="BP389" t="s">
        <v>233</v>
      </c>
      <c r="BQ389" s="260" t="s">
        <v>3325</v>
      </c>
      <c r="BR389" t="s">
        <v>827</v>
      </c>
      <c r="BS389">
        <f>17.4145393233552*1000000</f>
        <v>17414539.323355202</v>
      </c>
      <c r="BT389">
        <f>18.8541692956031*1000000</f>
        <v>18854169.2956031</v>
      </c>
      <c r="BU389" s="144">
        <f>IFERROR(BT389/BS389,"")</f>
        <v>1.0826682776682564</v>
      </c>
      <c r="BV389" s="152">
        <f>BT389-BS389</f>
        <v>1439629.9722478986</v>
      </c>
      <c r="BW389" s="152"/>
      <c r="BX389" s="152">
        <f>BV389</f>
        <v>1439629.9722478986</v>
      </c>
      <c r="BY389">
        <f>IFERROR(BX389/BO389,"")</f>
        <v>1.6291785070695517</v>
      </c>
      <c r="BZ389">
        <v>0</v>
      </c>
      <c r="CA389">
        <v>0</v>
      </c>
      <c r="CB389">
        <v>0</v>
      </c>
      <c r="CC389">
        <v>0</v>
      </c>
      <c r="CD389">
        <v>0</v>
      </c>
      <c r="CE389">
        <v>0</v>
      </c>
      <c r="CF389">
        <v>0</v>
      </c>
      <c r="CG389">
        <v>0</v>
      </c>
      <c r="CH389">
        <v>0</v>
      </c>
      <c r="CI389">
        <v>0</v>
      </c>
      <c r="CJ389">
        <v>0</v>
      </c>
      <c r="CK389">
        <v>0</v>
      </c>
      <c r="CL389">
        <v>0</v>
      </c>
      <c r="CM389">
        <v>1</v>
      </c>
      <c r="CN389" t="str">
        <f>IF($BL389&lt;$BK389,"refNeedCorrection","refOK")</f>
        <v>refOK</v>
      </c>
      <c r="CO389">
        <f>IF($CN389="refNeedCorrection",BL389,BK389)</f>
        <v>6450341.2361685997</v>
      </c>
      <c r="CP389">
        <f>IF($CN389="refNeedCorrection",BK389,BL389)</f>
        <v>7333995.1549999993</v>
      </c>
      <c r="CQ389">
        <f>IF($CN389="refOK",$BO389,-$BO389)</f>
        <v>883653.91883139964</v>
      </c>
      <c r="CR389">
        <f>IF($CN389="refOK",$BS389,$BT389)*IF($BP389="Emissions positive",-1,1)</f>
        <v>17414539.323355202</v>
      </c>
      <c r="CS389">
        <f>IF($CN389="refOK",$BT389,$BS389)*IF($BP389="Emissions positive",-1,1)</f>
        <v>18854169.2956031</v>
      </c>
      <c r="CT389">
        <f>IF($CN389="refNeedCorrection",-BX389,BX389)*IF($BP389="Emissions positive",-1,1)</f>
        <v>1439629.9722478986</v>
      </c>
      <c r="CU389">
        <f>IFERROR(CT389/CQ389,"")</f>
        <v>1.6291785070695517</v>
      </c>
      <c r="CV389" s="2">
        <f>IFERROR((CS389-CR389)/ABS(CR389),"")</f>
        <v>8.2668277668256449E-2</v>
      </c>
      <c r="CW389" s="1" t="s">
        <v>1201</v>
      </c>
      <c r="CX389" t="str">
        <f>IF(OR($CW389="prd",$CW389="std",$CW389="cit"),"loc",IF(OR($CW389="eur",$CW389="reg",$CW389="coy"),"reg",$CW389))</f>
        <v>reg</v>
      </c>
      <c r="CY389" t="s">
        <v>541</v>
      </c>
      <c r="CZ389"/>
      <c r="DA389"/>
      <c r="DB389">
        <v>100</v>
      </c>
      <c r="DC389" t="str">
        <f>IF(DB389=0,"0",IF(AND(DB389&gt;=1,DB389&lt;=30),"1-30",IF(AND(DB389&gt;30,DB389&lt;=70),"31-70",IF(AND(DB389&gt;70,DB389&lt;=100),"71-100",IF(DB389&gt;100,"+100")))))</f>
        <v>71-100</v>
      </c>
      <c r="DD389">
        <v>1</v>
      </c>
      <c r="DE389">
        <v>0</v>
      </c>
      <c r="DF389">
        <v>0</v>
      </c>
      <c r="DG389">
        <v>0</v>
      </c>
      <c r="DH389"/>
      <c r="DI389">
        <f>SUM(DD389:DG389)</f>
        <v>1</v>
      </c>
      <c r="DJ389" t="str">
        <f>IF(DI389=1,INDEX($DD$7:$DG$7,MATCH(1,$DD389:$DG389,0)),"mixedProduct")</f>
        <v>UpstreamInput</v>
      </c>
      <c r="DK389" t="str">
        <f>IF(DD389=1,DK$7,0)</f>
        <v>Upstream</v>
      </c>
      <c r="DL389">
        <f>IF(DE389=1,DL$7,0)</f>
        <v>0</v>
      </c>
      <c r="DM389">
        <f>IF(DF389=1,DM$7,0)</f>
        <v>0</v>
      </c>
      <c r="DN389">
        <f>IF(DG389=1,DN$7,0)</f>
        <v>0</v>
      </c>
      <c r="DO389">
        <v>0</v>
      </c>
      <c r="DP389">
        <v>0</v>
      </c>
      <c r="DQ389">
        <v>0</v>
      </c>
      <c r="DR389">
        <v>0</v>
      </c>
      <c r="DS389">
        <v>0</v>
      </c>
      <c r="DT389">
        <f>SUM(DO389:DP389)</f>
        <v>0</v>
      </c>
      <c r="DU389" s="143" t="str">
        <f>IF(DO389=1,"self-calculated DF",IF(DP389=1,"external DF used","explicit C balance"))</f>
        <v>explicit C balance</v>
      </c>
      <c r="DV389">
        <v>1</v>
      </c>
      <c r="DW389">
        <v>0</v>
      </c>
      <c r="DX389">
        <v>1</v>
      </c>
      <c r="DY389">
        <v>0</v>
      </c>
      <c r="DZ389">
        <v>0</v>
      </c>
      <c r="EA389" s="143">
        <v>0</v>
      </c>
      <c r="EB389">
        <v>0</v>
      </c>
      <c r="EC389">
        <v>0</v>
      </c>
      <c r="ED389">
        <v>0</v>
      </c>
      <c r="EE389">
        <v>0</v>
      </c>
      <c r="EF389">
        <v>1</v>
      </c>
      <c r="EG389">
        <v>0</v>
      </c>
      <c r="EH389">
        <v>0</v>
      </c>
      <c r="EI389" s="2">
        <v>0</v>
      </c>
      <c r="EJ389" s="1"/>
      <c r="EK389" t="str">
        <f>IF(AND(AND(AND(OR($DX389=1,$DW389=1),OR($EC389=1,$EA389=1)),SUM($DV389:$DZ389,$EF389)&gt;=4),SUM($EA389:$EE389)&gt;=2),"Whole sector","")</f>
        <v/>
      </c>
      <c r="EL389" t="str">
        <f>IF(AND(AND(OR($DX389=1,$DW389=1),AND($EC389=0,$EA389=0)),SUM($DV389:$DZ389,$EF389)&gt;=4),"Ecosystem approach","")</f>
        <v/>
      </c>
      <c r="EM389" s="2" t="str">
        <f>IF(AND(AND(AND($DX389=0,$DW389=0),OR($EC389=1,$EA389=1)),SUM($EB389:$EE389)&gt;=2),"Technology approach","")</f>
        <v/>
      </c>
      <c r="EN389"/>
      <c r="EO389"/>
      <c r="EP389" t="str">
        <f>IF(ISNUMBER(BU389),IF(ABS(BU389-[4]QC_indicators!$B$2)&gt;3*[4]QC_indicators!$C$2,"C ratio",IF(ISNUMBER(BY389),IF(ABS(BY389-[4]QC_indicators!$B$1)&gt;3*[4]QC_indicators!$C$1,"DF","no"))),IF(ISNUMBER(BY389),IF(ABS(BY389-[4]QC_indicators!$B$1)&gt;3*[4]QC_indicators!$C$1,"DF","no")))</f>
        <v>no</v>
      </c>
      <c r="EQ389"/>
      <c r="ER389"/>
      <c r="ES389"/>
      <c r="ET389" s="266" t="s">
        <v>3275</v>
      </c>
      <c r="EU389"/>
    </row>
    <row r="390" spans="1:151" s="139" customFormat="1" ht="15" hidden="1" customHeight="1">
      <c r="A390" s="1" t="s">
        <v>1425</v>
      </c>
      <c r="B390" t="s">
        <v>1426</v>
      </c>
      <c r="C390" t="s">
        <v>1427</v>
      </c>
      <c r="D390" t="s">
        <v>1428</v>
      </c>
      <c r="E390" t="s">
        <v>1429</v>
      </c>
      <c r="F390" t="s">
        <v>1430</v>
      </c>
      <c r="G390" t="s">
        <v>1431</v>
      </c>
      <c r="H390" t="s">
        <v>255</v>
      </c>
      <c r="I390">
        <v>2020</v>
      </c>
      <c r="J390">
        <v>1</v>
      </c>
      <c r="K390" t="s">
        <v>1432</v>
      </c>
      <c r="L390"/>
      <c r="M390" t="str">
        <f>LEFT($D390,FIND(",",$D390)-1)&amp;"_"&amp;I390&amp;L390</f>
        <v>Dymond_2020</v>
      </c>
      <c r="N390" t="s">
        <v>223</v>
      </c>
      <c r="O390" s="145" t="s">
        <v>275</v>
      </c>
      <c r="P390"/>
      <c r="Q390" t="s">
        <v>257</v>
      </c>
      <c r="R390" s="288" t="s">
        <v>226</v>
      </c>
      <c r="S390" s="1" t="s">
        <v>1433</v>
      </c>
      <c r="T390" t="s">
        <v>1434</v>
      </c>
      <c r="U390" t="s">
        <v>1437</v>
      </c>
      <c r="V390">
        <v>0</v>
      </c>
      <c r="W390">
        <v>0</v>
      </c>
      <c r="X390">
        <v>0</v>
      </c>
      <c r="Y390">
        <v>0</v>
      </c>
      <c r="Z390">
        <v>1</v>
      </c>
      <c r="AA390">
        <v>0</v>
      </c>
      <c r="AB390">
        <v>0</v>
      </c>
      <c r="AC390">
        <v>0</v>
      </c>
      <c r="AD390">
        <v>0</v>
      </c>
      <c r="AE390">
        <v>0</v>
      </c>
      <c r="AF390">
        <v>0</v>
      </c>
      <c r="AG390">
        <v>0</v>
      </c>
      <c r="AH390">
        <v>0</v>
      </c>
      <c r="AI390">
        <v>0</v>
      </c>
      <c r="AJ390">
        <v>0</v>
      </c>
      <c r="AK390">
        <v>0</v>
      </c>
      <c r="AL390">
        <v>0</v>
      </c>
      <c r="AM390">
        <v>0</v>
      </c>
      <c r="AN390">
        <v>0</v>
      </c>
      <c r="AO390">
        <v>0</v>
      </c>
      <c r="AP390">
        <v>0</v>
      </c>
      <c r="AQ390">
        <v>0</v>
      </c>
      <c r="AR390">
        <v>0</v>
      </c>
      <c r="AS390">
        <v>0</v>
      </c>
      <c r="AT390">
        <v>0</v>
      </c>
      <c r="AU390">
        <v>0</v>
      </c>
      <c r="AV390">
        <v>0</v>
      </c>
      <c r="AW390">
        <v>0</v>
      </c>
      <c r="AX390" s="141">
        <f>COUNTIF(V390:AW390,"&lt;&gt;0")</f>
        <v>1</v>
      </c>
      <c r="AY390" s="141">
        <f>COUNTIF(V390:AL390,"&lt;&gt;0")</f>
        <v>1</v>
      </c>
      <c r="AZ390">
        <f>COUNTIF(V390:AC390,"&lt;&gt;0")</f>
        <v>1</v>
      </c>
      <c r="BA390">
        <f>COUNTIF(AD390:AI390,"&lt;&gt;0")</f>
        <v>0</v>
      </c>
      <c r="BB390">
        <f>COUNTIF(AJ390:AL390,"&lt;&gt;0")</f>
        <v>0</v>
      </c>
      <c r="BC390">
        <f>COUNTIF(AS390:AW390,"&lt;&gt;0")</f>
        <v>0</v>
      </c>
      <c r="BD390">
        <f>COUNTIF(AM390:AR390,"&lt;&gt;0")</f>
        <v>0</v>
      </c>
      <c r="BE390" t="str">
        <f t="array" ref="BE390">IF(AY390=1,INDEX($V$7:$AL$7,MATCH(TRUE,INDEX($V390:$AW390&lt;&gt;0,),0)),IF(AY390=0,INDEX($AM$7:$AW$7,MATCH(1,$AM390:$AW390,0)),IF(BF390="Multiple strategies","mixed drivers",IF(BF390="Supply chain","multiple supply","multiple silviculture"))))</f>
        <v>species</v>
      </c>
      <c r="BF390" s="2" t="str" cm="1">
        <f t="array" ref="BF390">IF(COUNTIF(AZ390:BB390,"&lt;&gt;0")=1,INDEX($V$4:$AW$4,MATCH(TRUE,INDEX($V390:$AW390&lt;&gt;0,),0)),IF(COUNTIF(AZ390:BB390,"&lt;&gt;0")=0,INDEX($AM$4:$AW$4,MATCH(1,$AM390:$AW390,0)),"Multiple strategies"))</f>
        <v>SilvicultureProd</v>
      </c>
      <c r="BG390" s="1" t="s">
        <v>322</v>
      </c>
      <c r="BH390" t="s">
        <v>1436</v>
      </c>
      <c r="BI390" s="260" t="s">
        <v>3324</v>
      </c>
      <c r="BJ390" t="s">
        <v>499</v>
      </c>
      <c r="BK390">
        <f>6450.3412361686*1000</f>
        <v>6450341.2361685997</v>
      </c>
      <c r="BL390">
        <f>8418.4977676294*1000</f>
        <v>8418497.7676293999</v>
      </c>
      <c r="BM390">
        <f>BL390/BK390</f>
        <v>1.305124404957815</v>
      </c>
      <c r="BN390">
        <f>BL390-BK390</f>
        <v>1968156.5314608002</v>
      </c>
      <c r="BO390">
        <f>BN390</f>
        <v>1968156.5314608002</v>
      </c>
      <c r="BP390" t="s">
        <v>233</v>
      </c>
      <c r="BQ390" s="260" t="s">
        <v>3325</v>
      </c>
      <c r="BR390" t="s">
        <v>827</v>
      </c>
      <c r="BS390">
        <f>17.4145393233552*1000000</f>
        <v>17414539.323355202</v>
      </c>
      <c r="BT390">
        <f>20.7797101449275*1000000</f>
        <v>20779710.144927498</v>
      </c>
      <c r="BU390" s="144">
        <f>IFERROR(BT390/BS390,"")</f>
        <v>1.193239152588961</v>
      </c>
      <c r="BV390" s="152">
        <f>BT390-BS390</f>
        <v>3365170.8215722963</v>
      </c>
      <c r="BW390" s="152"/>
      <c r="BX390" s="152">
        <f>BV390</f>
        <v>3365170.8215722963</v>
      </c>
      <c r="BY390">
        <f>IFERROR(BX390/BO390,"")</f>
        <v>1.7098085278179616</v>
      </c>
      <c r="BZ390">
        <v>0</v>
      </c>
      <c r="CA390">
        <v>0</v>
      </c>
      <c r="CB390">
        <v>0</v>
      </c>
      <c r="CC390">
        <v>0</v>
      </c>
      <c r="CD390">
        <v>0</v>
      </c>
      <c r="CE390">
        <v>0</v>
      </c>
      <c r="CF390">
        <v>0</v>
      </c>
      <c r="CG390">
        <v>0</v>
      </c>
      <c r="CH390">
        <v>0</v>
      </c>
      <c r="CI390">
        <v>0</v>
      </c>
      <c r="CJ390">
        <v>0</v>
      </c>
      <c r="CK390">
        <v>0</v>
      </c>
      <c r="CL390">
        <v>0</v>
      </c>
      <c r="CM390">
        <v>1</v>
      </c>
      <c r="CN390" t="str">
        <f>IF($BL390&lt;$BK390,"refNeedCorrection","refOK")</f>
        <v>refOK</v>
      </c>
      <c r="CO390">
        <f>IF($CN390="refNeedCorrection",BL390,BK390)</f>
        <v>6450341.2361685997</v>
      </c>
      <c r="CP390">
        <f>IF($CN390="refNeedCorrection",BK390,BL390)</f>
        <v>8418497.7676293999</v>
      </c>
      <c r="CQ390">
        <f>IF($CN390="refOK",$BO390,-$BO390)</f>
        <v>1968156.5314608002</v>
      </c>
      <c r="CR390">
        <f>IF($CN390="refOK",$BS390,$BT390)*IF($BP390="Emissions positive",-1,1)</f>
        <v>17414539.323355202</v>
      </c>
      <c r="CS390">
        <f>IF($CN390="refOK",$BT390,$BS390)*IF($BP390="Emissions positive",-1,1)</f>
        <v>20779710.144927498</v>
      </c>
      <c r="CT390">
        <f>IF($CN390="refNeedCorrection",-BX390,BX390)*IF($BP390="Emissions positive",-1,1)</f>
        <v>3365170.8215722963</v>
      </c>
      <c r="CU390">
        <f>IFERROR(CT390/CQ390,"")</f>
        <v>1.7098085278179616</v>
      </c>
      <c r="CV390" s="2">
        <f>IFERROR((CS390-CR390)/ABS(CR390),"")</f>
        <v>0.19323915258896093</v>
      </c>
      <c r="CW390" s="1" t="s">
        <v>1201</v>
      </c>
      <c r="CX390" t="str">
        <f>IF(OR($CW390="prd",$CW390="std",$CW390="cit"),"loc",IF(OR($CW390="eur",$CW390="reg",$CW390="coy"),"reg",$CW390))</f>
        <v>reg</v>
      </c>
      <c r="CY390" t="s">
        <v>541</v>
      </c>
      <c r="CZ390"/>
      <c r="DA390"/>
      <c r="DB390">
        <v>100</v>
      </c>
      <c r="DC390" t="str">
        <f>IF(DB390=0,"0",IF(AND(DB390&gt;=1,DB390&lt;=30),"1-30",IF(AND(DB390&gt;30,DB390&lt;=70),"31-70",IF(AND(DB390&gt;70,DB390&lt;=100),"71-100",IF(DB390&gt;100,"+100")))))</f>
        <v>71-100</v>
      </c>
      <c r="DD390">
        <v>1</v>
      </c>
      <c r="DE390">
        <v>0</v>
      </c>
      <c r="DF390">
        <v>0</v>
      </c>
      <c r="DG390">
        <v>0</v>
      </c>
      <c r="DH390"/>
      <c r="DI390">
        <f>SUM(DD390:DG390)</f>
        <v>1</v>
      </c>
      <c r="DJ390" t="str">
        <f>IF(DI390=1,INDEX($DD$7:$DG$7,MATCH(1,$DD390:$DG390,0)),"mixedProduct")</f>
        <v>UpstreamInput</v>
      </c>
      <c r="DK390" t="str">
        <f>IF(DD390=1,DK$7,0)</f>
        <v>Upstream</v>
      </c>
      <c r="DL390">
        <f>IF(DE390=1,DL$7,0)</f>
        <v>0</v>
      </c>
      <c r="DM390">
        <f>IF(DF390=1,DM$7,0)</f>
        <v>0</v>
      </c>
      <c r="DN390">
        <f>IF(DG390=1,DN$7,0)</f>
        <v>0</v>
      </c>
      <c r="DO390">
        <v>0</v>
      </c>
      <c r="DP390">
        <v>0</v>
      </c>
      <c r="DQ390">
        <v>0</v>
      </c>
      <c r="DR390">
        <v>0</v>
      </c>
      <c r="DS390">
        <v>0</v>
      </c>
      <c r="DT390">
        <f>SUM(DO390:DP390)</f>
        <v>0</v>
      </c>
      <c r="DU390" s="143" t="str">
        <f>IF(DO390=1,"self-calculated DF",IF(DP390=1,"external DF used","explicit C balance"))</f>
        <v>explicit C balance</v>
      </c>
      <c r="DV390">
        <v>1</v>
      </c>
      <c r="DW390">
        <v>0</v>
      </c>
      <c r="DX390">
        <v>1</v>
      </c>
      <c r="DY390">
        <v>0</v>
      </c>
      <c r="DZ390">
        <v>0</v>
      </c>
      <c r="EA390" s="143">
        <v>0</v>
      </c>
      <c r="EB390">
        <v>0</v>
      </c>
      <c r="EC390">
        <v>0</v>
      </c>
      <c r="ED390">
        <v>0</v>
      </c>
      <c r="EE390">
        <v>0</v>
      </c>
      <c r="EF390">
        <v>1</v>
      </c>
      <c r="EG390">
        <v>0</v>
      </c>
      <c r="EH390">
        <v>0</v>
      </c>
      <c r="EI390" s="2">
        <v>0</v>
      </c>
      <c r="EJ390" s="1"/>
      <c r="EK390" t="str">
        <f>IF(AND(AND(AND(OR($DX390=1,$DW390=1),OR($EC390=1,$EA390=1)),SUM($DV390:$DZ390,$EF390)&gt;=4),SUM($EA390:$EE390)&gt;=2),"Whole sector","")</f>
        <v/>
      </c>
      <c r="EL390" t="str">
        <f>IF(AND(AND(OR($DX390=1,$DW390=1),AND($EC390=0,$EA390=0)),SUM($DV390:$DZ390,$EF390)&gt;=4),"Ecosystem approach","")</f>
        <v/>
      </c>
      <c r="EM390" s="2" t="str">
        <f>IF(AND(AND(AND($DX390=0,$DW390=0),OR($EC390=1,$EA390=1)),SUM($EB390:$EE390)&gt;=2),"Technology approach","")</f>
        <v/>
      </c>
      <c r="EN390"/>
      <c r="EO390"/>
      <c r="EP390" t="str">
        <f>IF(ISNUMBER(BU390),IF(ABS(BU390-[4]QC_indicators!$B$2)&gt;3*[4]QC_indicators!$C$2,"C ratio",IF(ISNUMBER(BY390),IF(ABS(BY390-[4]QC_indicators!$B$1)&gt;3*[4]QC_indicators!$C$1,"DF","no"))),IF(ISNUMBER(BY390),IF(ABS(BY390-[4]QC_indicators!$B$1)&gt;3*[4]QC_indicators!$C$1,"DF","no")))</f>
        <v>no</v>
      </c>
      <c r="EQ390"/>
      <c r="ER390"/>
      <c r="ES390"/>
      <c r="ET390" s="266" t="s">
        <v>3275</v>
      </c>
      <c r="EU390"/>
    </row>
    <row r="391" spans="1:151" s="139" customFormat="1" ht="15" hidden="1" customHeight="1">
      <c r="A391" s="1" t="s">
        <v>1402</v>
      </c>
      <c r="B391" t="s">
        <v>1403</v>
      </c>
      <c r="C391" t="s">
        <v>1404</v>
      </c>
      <c r="D391" t="s">
        <v>1405</v>
      </c>
      <c r="E391" t="s">
        <v>1406</v>
      </c>
      <c r="F391" t="s">
        <v>1407</v>
      </c>
      <c r="G391" t="s">
        <v>1408</v>
      </c>
      <c r="H391" t="s">
        <v>255</v>
      </c>
      <c r="I391">
        <v>2021</v>
      </c>
      <c r="J391">
        <v>0</v>
      </c>
      <c r="K391" t="s">
        <v>1409</v>
      </c>
      <c r="L391"/>
      <c r="M391" t="str">
        <f>LEFT($D391,FIND(",",$D391)-1)&amp;"_"&amp;I391&amp;L391</f>
        <v>Dugan_2021</v>
      </c>
      <c r="N391" t="s">
        <v>223</v>
      </c>
      <c r="O391" s="145" t="s">
        <v>275</v>
      </c>
      <c r="P391"/>
      <c r="Q391" t="s">
        <v>257</v>
      </c>
      <c r="R391" s="255" t="s">
        <v>226</v>
      </c>
      <c r="S391" s="1" t="s">
        <v>1417</v>
      </c>
      <c r="T391" t="s">
        <v>1113</v>
      </c>
      <c r="U391" t="s">
        <v>1418</v>
      </c>
      <c r="V391">
        <v>0</v>
      </c>
      <c r="W391">
        <v>0</v>
      </c>
      <c r="X391">
        <v>0</v>
      </c>
      <c r="Y391">
        <v>0</v>
      </c>
      <c r="Z391">
        <v>1</v>
      </c>
      <c r="AA391">
        <v>0</v>
      </c>
      <c r="AB391">
        <v>0</v>
      </c>
      <c r="AC391">
        <v>0</v>
      </c>
      <c r="AD391">
        <v>0</v>
      </c>
      <c r="AE391">
        <v>0</v>
      </c>
      <c r="AF391">
        <v>0</v>
      </c>
      <c r="AG391">
        <v>0</v>
      </c>
      <c r="AH391">
        <v>0</v>
      </c>
      <c r="AI391">
        <v>0</v>
      </c>
      <c r="AJ391">
        <v>0</v>
      </c>
      <c r="AK391">
        <v>0</v>
      </c>
      <c r="AL391">
        <v>0</v>
      </c>
      <c r="AM391">
        <v>0</v>
      </c>
      <c r="AN391">
        <v>0</v>
      </c>
      <c r="AO391">
        <v>0</v>
      </c>
      <c r="AP391">
        <v>0</v>
      </c>
      <c r="AQ391">
        <v>0</v>
      </c>
      <c r="AR391">
        <v>0</v>
      </c>
      <c r="AS391">
        <v>0</v>
      </c>
      <c r="AT391">
        <v>0</v>
      </c>
      <c r="AU391">
        <v>0</v>
      </c>
      <c r="AV391">
        <v>0</v>
      </c>
      <c r="AW391">
        <v>0</v>
      </c>
      <c r="AX391" s="141">
        <f>COUNTIF(V391:AW391,"&lt;&gt;0")</f>
        <v>1</v>
      </c>
      <c r="AY391" s="141">
        <f>COUNTIF(V391:AL391,"&lt;&gt;0")</f>
        <v>1</v>
      </c>
      <c r="AZ391">
        <f>COUNTIF(V391:AC391,"&lt;&gt;0")</f>
        <v>1</v>
      </c>
      <c r="BA391">
        <f>COUNTIF(AD391:AI391,"&lt;&gt;0")</f>
        <v>0</v>
      </c>
      <c r="BB391">
        <f>COUNTIF(AJ391:AL391,"&lt;&gt;0")</f>
        <v>0</v>
      </c>
      <c r="BC391">
        <f>COUNTIF(AS391:AW391,"&lt;&gt;0")</f>
        <v>0</v>
      </c>
      <c r="BD391">
        <f>COUNTIF(AM391:AR391,"&lt;&gt;0")</f>
        <v>0</v>
      </c>
      <c r="BE391" t="str">
        <f t="array" ref="BE391">IF(AY391=1,INDEX($V$7:$AL$7,MATCH(TRUE,INDEX($V391:$AW391&lt;&gt;0,),0)),IF(AY391=0,INDEX($AM$7:$AW$7,MATCH(1,$AM391:$AW391,0)),IF(BF391="Multiple strategies","mixed drivers",IF(BF391="Supply chain","multiple supply","multiple silviculture"))))</f>
        <v>species</v>
      </c>
      <c r="BF391" s="2" t="str" cm="1">
        <f t="array" ref="BF391">IF(COUNTIF(AZ391:BB391,"&lt;&gt;0")=1,INDEX($V$4:$AW$4,MATCH(TRUE,INDEX($V391:$AW391&lt;&gt;0,),0)),IF(COUNTIF(AZ391:BB391,"&lt;&gt;0")=0,INDEX($AM$4:$AW$4,MATCH(1,$AM391:$AW391,0)),"Multiple strategies"))</f>
        <v>SilvicultureProd</v>
      </c>
      <c r="BG391" s="1" t="s">
        <v>322</v>
      </c>
      <c r="BH391" t="s">
        <v>1412</v>
      </c>
      <c r="BI391" s="260" t="s">
        <v>3320</v>
      </c>
      <c r="BJ391" t="s">
        <v>1361</v>
      </c>
      <c r="BK391" s="266">
        <v>14.61</v>
      </c>
      <c r="BL391">
        <f>BK391*1.15</f>
        <v>16.801499999999997</v>
      </c>
      <c r="BM391"/>
      <c r="BN391" s="227">
        <f>BL391-BK391</f>
        <v>2.1914999999999978</v>
      </c>
      <c r="BO391"/>
      <c r="BP391" t="s">
        <v>233</v>
      </c>
      <c r="BQ391" s="260" t="s">
        <v>3322</v>
      </c>
      <c r="BR391" t="s">
        <v>1302</v>
      </c>
      <c r="BS391" s="152"/>
      <c r="BT391" s="152"/>
      <c r="BU391" s="144"/>
      <c r="BV391" s="286">
        <v>1.4453648692510654</v>
      </c>
      <c r="BW391"/>
      <c r="BX391">
        <f>BV391*10^6</f>
        <v>1445364.8692510654</v>
      </c>
      <c r="BY391" t="str">
        <f>IFERROR(BX391/BO391,"")</f>
        <v/>
      </c>
      <c r="BZ391">
        <v>0</v>
      </c>
      <c r="CA391">
        <v>0</v>
      </c>
      <c r="CB391">
        <v>0</v>
      </c>
      <c r="CC391">
        <v>0</v>
      </c>
      <c r="CD391">
        <v>0</v>
      </c>
      <c r="CE391">
        <v>0</v>
      </c>
      <c r="CF391">
        <v>0</v>
      </c>
      <c r="CG391">
        <v>0</v>
      </c>
      <c r="CH391">
        <v>0</v>
      </c>
      <c r="CI391">
        <v>0</v>
      </c>
      <c r="CJ391">
        <v>0</v>
      </c>
      <c r="CK391">
        <v>0</v>
      </c>
      <c r="CL391">
        <v>0</v>
      </c>
      <c r="CM391">
        <v>0</v>
      </c>
      <c r="CN391" t="str">
        <f>IF(BL391&lt;BK391,"refNeedCorrection","refOK")</f>
        <v>refOK</v>
      </c>
      <c r="CO391"/>
      <c r="CP391"/>
      <c r="CQ391"/>
      <c r="CR391">
        <f>IF($CN391="refOK",$BS391,$BT391)*IF($BP391="Emissions positive",-1,1)</f>
        <v>0</v>
      </c>
      <c r="CS391">
        <f>IF($CN391="refOK",$BT391,$BS391)*IF($BP391="Emissions positive",-1,1)</f>
        <v>0</v>
      </c>
      <c r="CT391">
        <f>IF($CN391="refNeedCorrection",-BX391,BX391)*IF($BP391="Emissions positive",-1,1)</f>
        <v>1445364.8692510654</v>
      </c>
      <c r="CU391" t="str">
        <f>IFERROR(CT391/CQ391,"")</f>
        <v/>
      </c>
      <c r="CV391" s="2" t="str">
        <f>IFERROR((CS391-CR391)/ABS(CR391),"")</f>
        <v/>
      </c>
      <c r="CW391" s="1" t="s">
        <v>1201</v>
      </c>
      <c r="CX391" t="str">
        <f>IF(OR($CW391="prd",$CW391="std",$CW391="cit"),"loc",IF(OR($CW391="eur",$CW391="reg",$CW391="coy"),"reg",$CW391))</f>
        <v>reg</v>
      </c>
      <c r="CY391" t="s">
        <v>429</v>
      </c>
      <c r="CZ391">
        <v>2020</v>
      </c>
      <c r="DA391">
        <v>2050</v>
      </c>
      <c r="DB391">
        <v>30</v>
      </c>
      <c r="DC391" t="str">
        <f>IF(DB391=0,"0",IF(AND(DB391&gt;=1,DB391&lt;=30),"1-30",IF(AND(DB391&gt;30,DB391&lt;=70),"31-70",IF(AND(DB391&gt;70,DB391&lt;=100),"71-100",IF(DB391&gt;100,"+100")))))</f>
        <v>1-30</v>
      </c>
      <c r="DD391">
        <v>0</v>
      </c>
      <c r="DE391">
        <v>1</v>
      </c>
      <c r="DF391">
        <v>1</v>
      </c>
      <c r="DG391">
        <v>1</v>
      </c>
      <c r="DH391"/>
      <c r="DI391">
        <f>SUM(DD391:DG391)</f>
        <v>3</v>
      </c>
      <c r="DJ391" t="str">
        <f>IF(DI391=1,INDEX($DD$7:$DG$7,MATCH(1,$DD391:$DG391,0)),"mixedProduct")</f>
        <v>mixedProduct</v>
      </c>
      <c r="DK391">
        <f>IF(DD391=1,DK$7,0)</f>
        <v>0</v>
      </c>
      <c r="DL391" t="str">
        <f>IF(DE391=1,DL$7,0)</f>
        <v>Energy</v>
      </c>
      <c r="DM391" t="str">
        <f>IF(DF391=1,DM$7,0)</f>
        <v>Pulp/Paper</v>
      </c>
      <c r="DN391" t="str">
        <f>IF(DG391=1,DN$7,0)</f>
        <v>Timber</v>
      </c>
      <c r="DO391">
        <v>0</v>
      </c>
      <c r="DP391">
        <v>1</v>
      </c>
      <c r="DQ391" t="s">
        <v>1413</v>
      </c>
      <c r="DR391" t="s">
        <v>1414</v>
      </c>
      <c r="DS391">
        <v>0</v>
      </c>
      <c r="DT391">
        <f>SUM(DO391:DP391)</f>
        <v>1</v>
      </c>
      <c r="DU391" s="143" t="str">
        <f>IF(DO391=1,"self-calculated DF",IF(DP391=1,"external DF used","explicit C balance"))</f>
        <v>external DF used</v>
      </c>
      <c r="DV391">
        <v>1</v>
      </c>
      <c r="DW391">
        <v>1</v>
      </c>
      <c r="DX391">
        <v>1</v>
      </c>
      <c r="DY391">
        <v>1</v>
      </c>
      <c r="DZ391">
        <v>0</v>
      </c>
      <c r="EA391" s="143">
        <v>1</v>
      </c>
      <c r="EB391">
        <v>0</v>
      </c>
      <c r="EC391">
        <v>1</v>
      </c>
      <c r="ED391">
        <v>0</v>
      </c>
      <c r="EE391">
        <v>0</v>
      </c>
      <c r="EF391">
        <v>1</v>
      </c>
      <c r="EG391" s="143">
        <v>0</v>
      </c>
      <c r="EH391" s="143">
        <v>0</v>
      </c>
      <c r="EI391" s="2">
        <v>0</v>
      </c>
      <c r="EJ391" s="1"/>
      <c r="EK391" t="str">
        <f>IF(AND(AND(AND(OR($DX391=1,$DW391=1),OR($EC391=1,$EA391=1)),SUM($DV391:$DZ391,$EF391)&gt;=4),SUM($EA391:$EE391)&gt;=2),"Whole sector","")</f>
        <v>Whole sector</v>
      </c>
      <c r="EL391" t="str">
        <f>IF(AND(AND(OR($DX391=1,$DW391=1),AND($EC391=0,$EA391=0)),SUM($DV391:$DZ391,$EF391)&gt;=4),"Ecosystem approach","")</f>
        <v/>
      </c>
      <c r="EM391" s="2" t="str">
        <f>IF(AND(AND(AND($DX391=0,$DW391=0),OR($EC391=1,$EA391=1)),SUM($EB391:$EE391)&gt;=2),"Technology approach","")</f>
        <v/>
      </c>
      <c r="EN391"/>
      <c r="EO391"/>
      <c r="EP391" t="b">
        <f>IF(ISNUMBER(BU391),IF(ABS(BU391-[4]QC_indicators!$B$2)&gt;3*[4]QC_indicators!$C$2,"C ratio",IF(ISNUMBER(BY391),IF(ABS(BY391-[4]QC_indicators!$B$1)&gt;3*[4]QC_indicators!$C$1,"DF","no"))),IF(ISNUMBER(BY391),IF(ABS(BY391-[4]QC_indicators!$B$1)&gt;3*[4]QC_indicators!$C$1,"DF","no")))</f>
        <v>0</v>
      </c>
      <c r="EQ391" t="s">
        <v>287</v>
      </c>
      <c r="ER391" s="149" t="s">
        <v>350</v>
      </c>
      <c r="ES391"/>
      <c r="ET391" s="266" t="s">
        <v>3275</v>
      </c>
      <c r="EU391"/>
    </row>
    <row r="392" spans="1:151" s="139" customFormat="1" ht="15" customHeight="1">
      <c r="A392" s="1" t="s">
        <v>1425</v>
      </c>
      <c r="B392" t="s">
        <v>2492</v>
      </c>
      <c r="C392" t="s">
        <v>2493</v>
      </c>
      <c r="D392" t="s">
        <v>2494</v>
      </c>
      <c r="E392" t="s">
        <v>2495</v>
      </c>
      <c r="F392" t="s">
        <v>2496</v>
      </c>
      <c r="G392" t="s">
        <v>1431</v>
      </c>
      <c r="H392" t="s">
        <v>255</v>
      </c>
      <c r="I392">
        <v>2016</v>
      </c>
      <c r="J392">
        <v>24</v>
      </c>
      <c r="K392" t="s">
        <v>2497</v>
      </c>
      <c r="L392"/>
      <c r="M392" t="str">
        <f>LEFT($D392,FIND(",",$D392)-1)&amp;"_"&amp;I392&amp;L392</f>
        <v>Zubizarreta-Gerendiain_2016</v>
      </c>
      <c r="N392" t="s">
        <v>223</v>
      </c>
      <c r="O392" s="145" t="s">
        <v>1156</v>
      </c>
      <c r="P392"/>
      <c r="Q392" t="s">
        <v>257</v>
      </c>
      <c r="R392" s="264" t="s">
        <v>224</v>
      </c>
      <c r="S392" s="1" t="s">
        <v>2498</v>
      </c>
      <c r="T392" t="s">
        <v>2505</v>
      </c>
      <c r="U392" t="s">
        <v>2506</v>
      </c>
      <c r="V392">
        <v>0</v>
      </c>
      <c r="W392">
        <v>0</v>
      </c>
      <c r="X392">
        <v>0</v>
      </c>
      <c r="Y392">
        <v>2</v>
      </c>
      <c r="Z392">
        <v>0</v>
      </c>
      <c r="AA392">
        <v>0</v>
      </c>
      <c r="AB392">
        <v>0</v>
      </c>
      <c r="AC392">
        <v>0</v>
      </c>
      <c r="AD392">
        <v>0</v>
      </c>
      <c r="AE392">
        <v>0</v>
      </c>
      <c r="AF392">
        <v>1</v>
      </c>
      <c r="AG392">
        <v>0</v>
      </c>
      <c r="AH392">
        <v>0</v>
      </c>
      <c r="AI392">
        <v>0</v>
      </c>
      <c r="AJ392">
        <v>0</v>
      </c>
      <c r="AK392">
        <v>0</v>
      </c>
      <c r="AL392">
        <v>0</v>
      </c>
      <c r="AM392">
        <v>0</v>
      </c>
      <c r="AN392">
        <v>0</v>
      </c>
      <c r="AO392">
        <v>0</v>
      </c>
      <c r="AP392">
        <v>0</v>
      </c>
      <c r="AQ392">
        <v>0</v>
      </c>
      <c r="AR392">
        <v>0</v>
      </c>
      <c r="AS392">
        <v>0</v>
      </c>
      <c r="AT392">
        <v>0</v>
      </c>
      <c r="AU392">
        <v>0</v>
      </c>
      <c r="AV392">
        <v>0</v>
      </c>
      <c r="AW392">
        <v>0</v>
      </c>
      <c r="AX392" s="141">
        <f>COUNTIF(V392:AW392,"&lt;&gt;0")</f>
        <v>2</v>
      </c>
      <c r="AY392" s="141">
        <f>COUNTIF(V392:AL392,"&lt;&gt;0")</f>
        <v>2</v>
      </c>
      <c r="AZ392">
        <f>COUNTIF(V392:AC392,"&lt;&gt;0")</f>
        <v>1</v>
      </c>
      <c r="BA392">
        <f>COUNTIF(AD392:AI392,"&lt;&gt;0")</f>
        <v>1</v>
      </c>
      <c r="BB392">
        <f>COUNTIF(AJ392:AL392,"&lt;&gt;0")</f>
        <v>0</v>
      </c>
      <c r="BC392">
        <f>COUNTIF(AS392:AW392,"&lt;&gt;0")</f>
        <v>0</v>
      </c>
      <c r="BD392">
        <f>COUNTIF(AM392:AR392,"&lt;&gt;0")</f>
        <v>0</v>
      </c>
      <c r="BE392" t="str">
        <f t="array" ref="BE392">IF(AY392=1,INDEX($V$7:$AL$7,MATCH(TRUE,INDEX($V392:$AW392&lt;&gt;0,),0)),IF(AY392=0,INDEX($AM$7:$AW$7,MATCH(1,$AM392:$AW392,0)),IF(BF392="Multiple strategies","mixed drivers",IF(BF392="Supply chain","multiple supply","multiple silviculture"))))</f>
        <v>mixed drivers</v>
      </c>
      <c r="BF392" s="2" t="str">
        <f t="array" ref="BF392">IF(COUNTIF(AZ392:BB392,"&lt;&gt;0")=1,INDEX($V$4:$AW$4,MATCH(TRUE,INDEX($V392:$AW392&lt;&gt;0,),0)),IF(COUNTIF(AZ392:BB392,"&lt;&gt;0")=0,INDEX($AM$4:$AW$4,MATCH(1,$AM392:$AW392,0)),"Multiple strategies"))</f>
        <v>Multiple strategies</v>
      </c>
      <c r="BG392" s="1" t="s">
        <v>322</v>
      </c>
      <c r="BH392" t="s">
        <v>2501</v>
      </c>
      <c r="BI392" s="266" t="s">
        <v>2115</v>
      </c>
      <c r="BJ392" t="s">
        <v>2502</v>
      </c>
      <c r="BK392">
        <v>74.117647058823493</v>
      </c>
      <c r="BL392">
        <v>82.634271099744197</v>
      </c>
      <c r="BM392" s="143">
        <f>BL392/BK392</f>
        <v>1.1149068322981366</v>
      </c>
      <c r="BN392">
        <f>BL392-BK392</f>
        <v>8.5166240409207035</v>
      </c>
      <c r="BO392">
        <f>BN392*1000*t_to_m3</f>
        <v>17380.865389634091</v>
      </c>
      <c r="BP392" t="s">
        <v>233</v>
      </c>
      <c r="BQ392" s="143" t="s">
        <v>3258</v>
      </c>
      <c r="BR392" t="s">
        <v>1197</v>
      </c>
      <c r="BS392">
        <v>52731.920127795442</v>
      </c>
      <c r="BT392">
        <v>-22456.178913738113</v>
      </c>
      <c r="BU392" s="144">
        <f>IFERROR(BT392/BS392,"")</f>
        <v>-0.42585551330798727</v>
      </c>
      <c r="BV392" s="144">
        <f>BT392-BS392</f>
        <v>-75188.099041533555</v>
      </c>
      <c r="BW392" s="144"/>
      <c r="BX392" s="144">
        <f>BV392</f>
        <v>-75188.099041533555</v>
      </c>
      <c r="BY392">
        <f>IFERROR(BX392/BO392,"")</f>
        <v>-4.3259122808911208</v>
      </c>
      <c r="BZ392">
        <v>0</v>
      </c>
      <c r="CA392">
        <v>0</v>
      </c>
      <c r="CB392">
        <v>0</v>
      </c>
      <c r="CC392">
        <v>0</v>
      </c>
      <c r="CD392">
        <v>0</v>
      </c>
      <c r="CE392">
        <v>0</v>
      </c>
      <c r="CF392">
        <v>0</v>
      </c>
      <c r="CG392">
        <v>0</v>
      </c>
      <c r="CH392">
        <v>0</v>
      </c>
      <c r="CI392">
        <v>0</v>
      </c>
      <c r="CJ392">
        <v>0</v>
      </c>
      <c r="CK392">
        <v>0</v>
      </c>
      <c r="CL392">
        <v>0</v>
      </c>
      <c r="CM392">
        <v>1</v>
      </c>
      <c r="CN392" t="str">
        <f>IF($BL392&lt;$BK392,"refNeedCorrection","refOK")</f>
        <v>refOK</v>
      </c>
      <c r="CO392">
        <f>IF($CN392="refOK",$BK392,$BL392)</f>
        <v>74.117647058823493</v>
      </c>
      <c r="CP392">
        <f>IF($CN392="refOK",$BL392,$BK392)</f>
        <v>82.634271099744197</v>
      </c>
      <c r="CQ392">
        <f>IF($CN392="refOK",$BO392,-$BO392)</f>
        <v>17380.865389634091</v>
      </c>
      <c r="CR392">
        <f>IF($CN392="refOK",$BS392,$BT392)*IF($BP392="Emissions positive",-1,1)</f>
        <v>52731.920127795442</v>
      </c>
      <c r="CS392">
        <f>IF($CN392="refOK",$BT392,$BS392)*IF($BP392="Emissions positive",-1,1)</f>
        <v>-22456.178913738113</v>
      </c>
      <c r="CT392">
        <f>IF($CN392="refNeedCorrection",-BX392,BX392)*IF($BP392="Emissions positive",-1,1)</f>
        <v>-75188.099041533555</v>
      </c>
      <c r="CU392">
        <f>IFERROR(CT392/CQ392,"")</f>
        <v>-4.3259122808911208</v>
      </c>
      <c r="CV392" s="2">
        <f>IFERROR((CS392-CR392)/ABS(CR392),"")</f>
        <v>-1.4258555133079873</v>
      </c>
      <c r="CW392" s="1" t="s">
        <v>1201</v>
      </c>
      <c r="CX392" t="str">
        <f>IF(OR($CW392="prd",$CW392="std",$CW392="cit"),"loc",IF(OR($CW392="eur",$CW392="reg",$CW392="coy"),"reg",$CW392))</f>
        <v>reg</v>
      </c>
      <c r="CY392" t="s">
        <v>236</v>
      </c>
      <c r="CZ392">
        <v>2010</v>
      </c>
      <c r="DA392">
        <v>2070</v>
      </c>
      <c r="DB392">
        <f>DA392-CZ392</f>
        <v>60</v>
      </c>
      <c r="DC392" t="str">
        <f>IF(DB392=0,"0",IF(AND(DB392&gt;=1,DB392&lt;=30),"1-30",IF(AND(DB392&gt;30,DB392&lt;=70),"31-70",IF(AND(DB392&gt;70,DB392&lt;=100),"71-100",IF(DB392&gt;100,"+100")))))</f>
        <v>31-70</v>
      </c>
      <c r="DD392">
        <v>1</v>
      </c>
      <c r="DE392">
        <v>0</v>
      </c>
      <c r="DF392">
        <v>0</v>
      </c>
      <c r="DG392">
        <v>0</v>
      </c>
      <c r="DH392">
        <v>0</v>
      </c>
      <c r="DI392">
        <f>SUM(DD392:DG392)</f>
        <v>1</v>
      </c>
      <c r="DJ392" t="str">
        <f>IF(DI392=1,INDEX($DD$7:$DG$7,MATCH(1,$DD392:$DG392,0)),"mixedProduct")</f>
        <v>UpstreamInput</v>
      </c>
      <c r="DK392" t="str">
        <f>IF(DD392=1,DK$7,0)</f>
        <v>Upstream</v>
      </c>
      <c r="DL392">
        <f>IF(DE392=1,DL$7,0)</f>
        <v>0</v>
      </c>
      <c r="DM392">
        <f>IF(DF392=1,DM$7,0)</f>
        <v>0</v>
      </c>
      <c r="DN392">
        <f>IF(DG392=1,DN$7,0)</f>
        <v>0</v>
      </c>
      <c r="DO392">
        <v>0</v>
      </c>
      <c r="DP392">
        <v>0</v>
      </c>
      <c r="DQ392">
        <v>0</v>
      </c>
      <c r="DR392">
        <v>0</v>
      </c>
      <c r="DS392">
        <v>0</v>
      </c>
      <c r="DT392">
        <f>SUM(DO392:DP392)</f>
        <v>0</v>
      </c>
      <c r="DU392" s="143" t="str">
        <f>IF(DO392=1,"self-calculated DF",IF(DP392=1,"external DF used","explicit C balance"))</f>
        <v>explicit C balance</v>
      </c>
      <c r="DV392">
        <v>1</v>
      </c>
      <c r="DW392">
        <v>1</v>
      </c>
      <c r="DX392">
        <v>1</v>
      </c>
      <c r="DY392">
        <v>1</v>
      </c>
      <c r="DZ392">
        <v>0</v>
      </c>
      <c r="EA392" s="143">
        <v>0</v>
      </c>
      <c r="EB392">
        <v>0</v>
      </c>
      <c r="EC392">
        <v>0</v>
      </c>
      <c r="ED392">
        <v>0</v>
      </c>
      <c r="EE392">
        <v>0</v>
      </c>
      <c r="EF392">
        <v>1</v>
      </c>
      <c r="EG392">
        <v>0</v>
      </c>
      <c r="EH392">
        <v>0</v>
      </c>
      <c r="EI392" s="2">
        <v>0</v>
      </c>
      <c r="EJ392" s="1"/>
      <c r="EK392" t="str">
        <f>IF(AND(AND(AND(OR($DX392=1,$DW392=1),OR($EC392=1,$EA392=1)),SUM($DV392:$DZ392,$EF392)&gt;=4),SUM($EA392:$EE392)&gt;=2),"Whole sector","")</f>
        <v/>
      </c>
      <c r="EL392" t="str">
        <f>IF(AND(AND(OR($DX392=1,$DW392=1),AND($EC392=0,$EA392=0)),SUM($DV392:$DZ392,$EF392)&gt;=4),"Ecosystem approach","")</f>
        <v>Ecosystem approach</v>
      </c>
      <c r="EM392" s="2" t="str">
        <f>IF(AND(AND(AND($DX392=0,$DW392=0),OR($EC392=1,$EA392=1)),SUM($EB392:$EE392)&gt;=2),"Technology approach","")</f>
        <v/>
      </c>
      <c r="EN392"/>
      <c r="EO392"/>
      <c r="EP392" t="str">
        <f>IF(ISNUMBER(BU392),IF(ABS(BU392-[2]QC_indicators!$B$2)&gt;3*[2]QC_indicators!$C$2,"C ratio",IF(ISNUMBER(BY392),IF(ABS(BY392-[2]QC_indicators!$B$1)&gt;3*[2]QC_indicators!$C$1,"DF","no"))),IF(ISNUMBER(BY392),IF(ABS(BY392-[2]QC_indicators!$B$1)&gt;3*[2]QC_indicators!$C$1,"DF","no")))</f>
        <v>no</v>
      </c>
      <c r="EQ392" t="s">
        <v>2503</v>
      </c>
      <c r="ER392"/>
      <c r="ES392"/>
      <c r="ET392" s="266" t="s">
        <v>3259</v>
      </c>
      <c r="EU392"/>
    </row>
    <row r="393" spans="1:151" s="139" customFormat="1" ht="15" customHeight="1">
      <c r="A393" s="1" t="s">
        <v>1425</v>
      </c>
      <c r="B393" t="s">
        <v>2492</v>
      </c>
      <c r="C393" t="s">
        <v>2493</v>
      </c>
      <c r="D393" t="s">
        <v>2494</v>
      </c>
      <c r="E393" t="s">
        <v>2495</v>
      </c>
      <c r="F393" t="s">
        <v>2496</v>
      </c>
      <c r="G393" t="s">
        <v>1431</v>
      </c>
      <c r="H393" t="s">
        <v>255</v>
      </c>
      <c r="I393">
        <v>2016</v>
      </c>
      <c r="J393">
        <v>24</v>
      </c>
      <c r="K393" t="s">
        <v>2497</v>
      </c>
      <c r="L393"/>
      <c r="M393" t="str">
        <f>LEFT($D393,FIND(",",$D393)-1)&amp;"_"&amp;I393&amp;L393</f>
        <v>Zubizarreta-Gerendiain_2016</v>
      </c>
      <c r="N393" t="s">
        <v>223</v>
      </c>
      <c r="O393" s="145" t="s">
        <v>1156</v>
      </c>
      <c r="P393"/>
      <c r="Q393" t="s">
        <v>257</v>
      </c>
      <c r="R393" s="264" t="s">
        <v>224</v>
      </c>
      <c r="S393" s="1" t="s">
        <v>2498</v>
      </c>
      <c r="T393" t="s">
        <v>2507</v>
      </c>
      <c r="U393" t="s">
        <v>2506</v>
      </c>
      <c r="V393">
        <v>0</v>
      </c>
      <c r="W393">
        <v>0</v>
      </c>
      <c r="X393">
        <v>0</v>
      </c>
      <c r="Y393">
        <v>2</v>
      </c>
      <c r="Z393">
        <v>0</v>
      </c>
      <c r="AA393">
        <v>0</v>
      </c>
      <c r="AB393">
        <v>0</v>
      </c>
      <c r="AC393">
        <v>0</v>
      </c>
      <c r="AD393">
        <v>0</v>
      </c>
      <c r="AE393">
        <v>0</v>
      </c>
      <c r="AF393">
        <v>1</v>
      </c>
      <c r="AG393">
        <v>0</v>
      </c>
      <c r="AH393">
        <v>0</v>
      </c>
      <c r="AI393">
        <v>0</v>
      </c>
      <c r="AJ393">
        <v>0</v>
      </c>
      <c r="AK393">
        <v>0</v>
      </c>
      <c r="AL393">
        <v>0</v>
      </c>
      <c r="AM393">
        <v>0</v>
      </c>
      <c r="AN393">
        <v>0</v>
      </c>
      <c r="AO393">
        <v>0</v>
      </c>
      <c r="AP393">
        <v>0</v>
      </c>
      <c r="AQ393">
        <v>0</v>
      </c>
      <c r="AR393">
        <v>0</v>
      </c>
      <c r="AS393">
        <v>0</v>
      </c>
      <c r="AT393">
        <v>0</v>
      </c>
      <c r="AU393">
        <v>0</v>
      </c>
      <c r="AV393">
        <v>0</v>
      </c>
      <c r="AW393">
        <v>0</v>
      </c>
      <c r="AX393" s="141">
        <f>COUNTIF(V393:AW393,"&lt;&gt;0")</f>
        <v>2</v>
      </c>
      <c r="AY393" s="141">
        <f>COUNTIF(V393:AL393,"&lt;&gt;0")</f>
        <v>2</v>
      </c>
      <c r="AZ393">
        <f>COUNTIF(V393:AC393,"&lt;&gt;0")</f>
        <v>1</v>
      </c>
      <c r="BA393">
        <f>COUNTIF(AD393:AI393,"&lt;&gt;0")</f>
        <v>1</v>
      </c>
      <c r="BB393">
        <f>COUNTIF(AJ393:AL393,"&lt;&gt;0")</f>
        <v>0</v>
      </c>
      <c r="BC393">
        <f>COUNTIF(AS393:AW393,"&lt;&gt;0")</f>
        <v>0</v>
      </c>
      <c r="BD393">
        <f>COUNTIF(AM393:AR393,"&lt;&gt;0")</f>
        <v>0</v>
      </c>
      <c r="BE393" t="str">
        <f t="array" ref="BE393">IF(AY393=1,INDEX($V$7:$AL$7,MATCH(TRUE,INDEX($V393:$AW393&lt;&gt;0,),0)),IF(AY393=0,INDEX($AM$7:$AW$7,MATCH(1,$AM393:$AW393,0)),IF(BF393="Multiple strategies","mixed drivers",IF(BF393="Supply chain","multiple supply","multiple silviculture"))))</f>
        <v>mixed drivers</v>
      </c>
      <c r="BF393" s="2" t="str">
        <f t="array" ref="BF393">IF(COUNTIF(AZ393:BB393,"&lt;&gt;0")=1,INDEX($V$4:$AW$4,MATCH(TRUE,INDEX($V393:$AW393&lt;&gt;0,),0)),IF(COUNTIF(AZ393:BB393,"&lt;&gt;0")=0,INDEX($AM$4:$AW$4,MATCH(1,$AM393:$AW393,0)),"Multiple strategies"))</f>
        <v>Multiple strategies</v>
      </c>
      <c r="BG393" s="1" t="s">
        <v>322</v>
      </c>
      <c r="BH393" t="s">
        <v>2501</v>
      </c>
      <c r="BI393" s="266" t="s">
        <v>2115</v>
      </c>
      <c r="BJ393" t="s">
        <v>2502</v>
      </c>
      <c r="BK393">
        <v>70.434782608695599</v>
      </c>
      <c r="BL393">
        <v>82.634271099744197</v>
      </c>
      <c r="BM393" s="143">
        <f>BL393/BK393</f>
        <v>1.1732026143790852</v>
      </c>
      <c r="BN393">
        <f>BL393-BK393</f>
        <v>12.199488491048598</v>
      </c>
      <c r="BO393">
        <f>BN393*1000*t_to_m3</f>
        <v>24896.915287854281</v>
      </c>
      <c r="BP393" s="143" t="s">
        <v>233</v>
      </c>
      <c r="BQ393" s="143" t="s">
        <v>3258</v>
      </c>
      <c r="BR393" t="s">
        <v>1197</v>
      </c>
      <c r="BS393">
        <v>82807.159744408913</v>
      </c>
      <c r="BT393">
        <v>-22456.178913738113</v>
      </c>
      <c r="BU393" s="144">
        <f>IFERROR(BT393/BS393,"")</f>
        <v>-0.27118644067796732</v>
      </c>
      <c r="BV393" s="144">
        <f>BT393-BS393</f>
        <v>-105263.33865814703</v>
      </c>
      <c r="BW393" s="144"/>
      <c r="BX393" s="144">
        <f>BV393</f>
        <v>-105263.33865814703</v>
      </c>
      <c r="BY393">
        <f>IFERROR(BX393/BO393,"")</f>
        <v>-4.2279670971728267</v>
      </c>
      <c r="BZ393">
        <v>0</v>
      </c>
      <c r="CA393">
        <v>0</v>
      </c>
      <c r="CB393">
        <v>0</v>
      </c>
      <c r="CC393">
        <v>0</v>
      </c>
      <c r="CD393">
        <v>0</v>
      </c>
      <c r="CE393">
        <v>0</v>
      </c>
      <c r="CF393">
        <v>0</v>
      </c>
      <c r="CG393">
        <v>0</v>
      </c>
      <c r="CH393">
        <v>0</v>
      </c>
      <c r="CI393">
        <v>0</v>
      </c>
      <c r="CJ393">
        <v>0</v>
      </c>
      <c r="CK393">
        <v>0</v>
      </c>
      <c r="CL393">
        <v>0</v>
      </c>
      <c r="CM393">
        <v>1</v>
      </c>
      <c r="CN393" t="str">
        <f>IF($BL393&lt;$BK393,"refNeedCorrection","refOK")</f>
        <v>refOK</v>
      </c>
      <c r="CO393">
        <f>IF($CN393="refOK",$BK393,$BL393)</f>
        <v>70.434782608695599</v>
      </c>
      <c r="CP393">
        <f>IF($CN393="refOK",$BL393,$BK393)</f>
        <v>82.634271099744197</v>
      </c>
      <c r="CQ393">
        <f>IF($CN393="refOK",$BO393,-$BO393)</f>
        <v>24896.915287854281</v>
      </c>
      <c r="CR393">
        <f>IF($CN393="refOK",$BS393,$BT393)*IF($BP393="Emissions positive",-1,1)</f>
        <v>82807.159744408913</v>
      </c>
      <c r="CS393">
        <f>IF($CN393="refOK",$BT393,$BS393)*IF($BP393="Emissions positive",-1,1)</f>
        <v>-22456.178913738113</v>
      </c>
      <c r="CT393">
        <f>IF($CN393="refNeedCorrection",-BX393,BX393)*IF($BP393="Emissions positive",-1,1)</f>
        <v>-105263.33865814703</v>
      </c>
      <c r="CU393">
        <f>IFERROR(CT393/CQ393,"")</f>
        <v>-4.2279670971728267</v>
      </c>
      <c r="CV393" s="2">
        <f>IFERROR((CS393-CR393)/ABS(CR393),"")</f>
        <v>-1.2711864406779674</v>
      </c>
      <c r="CW393" s="1" t="s">
        <v>1201</v>
      </c>
      <c r="CX393" t="str">
        <f>IF(OR($CW393="prd",$CW393="std",$CW393="cit"),"loc",IF(OR($CW393="eur",$CW393="reg",$CW393="coy"),"reg",$CW393))</f>
        <v>reg</v>
      </c>
      <c r="CY393" t="s">
        <v>236</v>
      </c>
      <c r="CZ393">
        <v>2010</v>
      </c>
      <c r="DA393">
        <v>2070</v>
      </c>
      <c r="DB393">
        <f>DA393-CZ393</f>
        <v>60</v>
      </c>
      <c r="DC393" t="str">
        <f>IF(DB393=0,"0",IF(AND(DB393&gt;=1,DB393&lt;=30),"1-30",IF(AND(DB393&gt;30,DB393&lt;=70),"31-70",IF(AND(DB393&gt;70,DB393&lt;=100),"71-100",IF(DB393&gt;100,"+100")))))</f>
        <v>31-70</v>
      </c>
      <c r="DD393">
        <v>1</v>
      </c>
      <c r="DE393">
        <v>0</v>
      </c>
      <c r="DF393">
        <v>0</v>
      </c>
      <c r="DG393">
        <v>0</v>
      </c>
      <c r="DH393">
        <v>0</v>
      </c>
      <c r="DI393">
        <f>SUM(DD393:DG393)</f>
        <v>1</v>
      </c>
      <c r="DJ393" t="str">
        <f>IF(DI393=1,INDEX($DD$7:$DG$7,MATCH(1,$DD393:$DG393,0)),"mixedProduct")</f>
        <v>UpstreamInput</v>
      </c>
      <c r="DK393" t="str">
        <f>IF(DD393=1,DK$7,0)</f>
        <v>Upstream</v>
      </c>
      <c r="DL393">
        <f>IF(DE393=1,DL$7,0)</f>
        <v>0</v>
      </c>
      <c r="DM393">
        <f>IF(DF393=1,DM$7,0)</f>
        <v>0</v>
      </c>
      <c r="DN393">
        <f>IF(DG393=1,DN$7,0)</f>
        <v>0</v>
      </c>
      <c r="DO393">
        <v>0</v>
      </c>
      <c r="DP393">
        <v>0</v>
      </c>
      <c r="DQ393">
        <v>0</v>
      </c>
      <c r="DR393">
        <v>0</v>
      </c>
      <c r="DS393">
        <v>0</v>
      </c>
      <c r="DT393">
        <f>SUM(DO393:DP393)</f>
        <v>0</v>
      </c>
      <c r="DU393" s="143" t="str">
        <f>IF(DO393=1,"self-calculated DF",IF(DP393=1,"external DF used","explicit C balance"))</f>
        <v>explicit C balance</v>
      </c>
      <c r="DV393">
        <v>1</v>
      </c>
      <c r="DW393">
        <v>1</v>
      </c>
      <c r="DX393">
        <v>1</v>
      </c>
      <c r="DY393">
        <v>1</v>
      </c>
      <c r="DZ393">
        <v>0</v>
      </c>
      <c r="EA393" s="143">
        <v>0</v>
      </c>
      <c r="EB393">
        <v>0</v>
      </c>
      <c r="EC393">
        <v>0</v>
      </c>
      <c r="ED393">
        <v>0</v>
      </c>
      <c r="EE393">
        <v>0</v>
      </c>
      <c r="EF393">
        <v>1</v>
      </c>
      <c r="EG393">
        <v>0</v>
      </c>
      <c r="EH393">
        <v>0</v>
      </c>
      <c r="EI393" s="2">
        <v>0</v>
      </c>
      <c r="EJ393" s="1"/>
      <c r="EK393" t="str">
        <f>IF(AND(AND(AND(OR($DX393=1,$DW393=1),OR($EC393=1,$EA393=1)),SUM($DV393:$DZ393,$EF393)&gt;=4),SUM($EA393:$EE393)&gt;=2),"Whole sector","")</f>
        <v/>
      </c>
      <c r="EL393" t="str">
        <f>IF(AND(AND(OR($DX393=1,$DW393=1),AND($EC393=0,$EA393=0)),SUM($DV393:$DZ393,$EF393)&gt;=4),"Ecosystem approach","")</f>
        <v>Ecosystem approach</v>
      </c>
      <c r="EM393" s="2" t="str">
        <f>IF(AND(AND(AND($DX393=0,$DW393=0),OR($EC393=1,$EA393=1)),SUM($EB393:$EE393)&gt;=2),"Technology approach","")</f>
        <v/>
      </c>
      <c r="EN393"/>
      <c r="EO393"/>
      <c r="EP393" t="str">
        <f>IF(ISNUMBER(BU393),IF(ABS(BU393-[2]QC_indicators!$B$2)&gt;3*[2]QC_indicators!$C$2,"C ratio",IF(ISNUMBER(BY393),IF(ABS(BY393-[2]QC_indicators!$B$1)&gt;3*[2]QC_indicators!$C$1,"DF","no"))),IF(ISNUMBER(BY393),IF(ABS(BY393-[2]QC_indicators!$B$1)&gt;3*[2]QC_indicators!$C$1,"DF","no")))</f>
        <v>no</v>
      </c>
      <c r="EQ393" t="s">
        <v>2503</v>
      </c>
      <c r="ER393"/>
      <c r="ES393"/>
      <c r="ET393" s="266" t="s">
        <v>3259</v>
      </c>
      <c r="EU393"/>
    </row>
    <row r="394" spans="1:151" s="139" customFormat="1" ht="15" hidden="1" customHeight="1">
      <c r="A394" s="1" t="s">
        <v>546</v>
      </c>
      <c r="B394" t="s">
        <v>547</v>
      </c>
      <c r="C394" t="s">
        <v>548</v>
      </c>
      <c r="D394" t="s">
        <v>549</v>
      </c>
      <c r="E394" t="s">
        <v>550</v>
      </c>
      <c r="F394" t="s">
        <v>551</v>
      </c>
      <c r="G394" t="s">
        <v>552</v>
      </c>
      <c r="H394" t="s">
        <v>255</v>
      </c>
      <c r="I394">
        <v>2017</v>
      </c>
      <c r="J394">
        <v>3</v>
      </c>
      <c r="K394" t="s">
        <v>553</v>
      </c>
      <c r="L394"/>
      <c r="M394" t="str">
        <f>LEFT($D394,FIND(",",$D394)-1)&amp;"_"&amp;I394&amp;L394</f>
        <v>Crafford_2017</v>
      </c>
      <c r="N394" t="s">
        <v>223</v>
      </c>
      <c r="O394" s="145" t="s">
        <v>224</v>
      </c>
      <c r="P394"/>
      <c r="Q394" t="s">
        <v>257</v>
      </c>
      <c r="R394" s="255" t="s">
        <v>226</v>
      </c>
      <c r="S394" s="1" t="s">
        <v>554</v>
      </c>
      <c r="T394" t="s">
        <v>555</v>
      </c>
      <c r="U394" t="s">
        <v>556</v>
      </c>
      <c r="V394">
        <v>0</v>
      </c>
      <c r="W394">
        <v>0</v>
      </c>
      <c r="X394">
        <v>0</v>
      </c>
      <c r="Y394">
        <v>0</v>
      </c>
      <c r="Z394">
        <v>1</v>
      </c>
      <c r="AA394">
        <v>0</v>
      </c>
      <c r="AB394">
        <v>0</v>
      </c>
      <c r="AC394">
        <v>0</v>
      </c>
      <c r="AD394">
        <v>0</v>
      </c>
      <c r="AE394">
        <v>0</v>
      </c>
      <c r="AF394">
        <v>0</v>
      </c>
      <c r="AG394">
        <v>0</v>
      </c>
      <c r="AH394">
        <v>0</v>
      </c>
      <c r="AI394">
        <v>0</v>
      </c>
      <c r="AJ394">
        <v>0</v>
      </c>
      <c r="AK394">
        <v>0</v>
      </c>
      <c r="AL394">
        <v>0</v>
      </c>
      <c r="AM394">
        <v>0</v>
      </c>
      <c r="AN394">
        <v>0</v>
      </c>
      <c r="AO394">
        <v>0</v>
      </c>
      <c r="AP394">
        <v>0</v>
      </c>
      <c r="AQ394">
        <v>0</v>
      </c>
      <c r="AR394">
        <v>0</v>
      </c>
      <c r="AS394">
        <v>0</v>
      </c>
      <c r="AT394">
        <v>0</v>
      </c>
      <c r="AU394">
        <v>0</v>
      </c>
      <c r="AV394">
        <v>0</v>
      </c>
      <c r="AW394">
        <v>0</v>
      </c>
      <c r="AX394" s="141">
        <f>COUNTIF(V394:AW394,"&lt;&gt;0")</f>
        <v>1</v>
      </c>
      <c r="AY394" s="141">
        <f>COUNTIF(V394:AL394,"&lt;&gt;0")</f>
        <v>1</v>
      </c>
      <c r="AZ394">
        <f>COUNTIF(V394:AC394,"&lt;&gt;0")</f>
        <v>1</v>
      </c>
      <c r="BA394">
        <f>COUNTIF(AD394:AI394,"&lt;&gt;0")</f>
        <v>0</v>
      </c>
      <c r="BB394">
        <f>COUNTIF(AJ394:AL394,"&lt;&gt;0")</f>
        <v>0</v>
      </c>
      <c r="BC394">
        <f>COUNTIF(AS394:AW394,"&lt;&gt;0")</f>
        <v>0</v>
      </c>
      <c r="BD394">
        <f>COUNTIF(AM394:AR394,"&lt;&gt;0")</f>
        <v>0</v>
      </c>
      <c r="BE394" t="str">
        <f t="array" ref="BE394">IF(AY394=1,INDEX($V$7:$AL$7,MATCH(TRUE,INDEX($V394:$AW394&lt;&gt;0,),0)),IF(AY394=0,INDEX($AM$7:$AW$7,MATCH(1,$AM394:$AW394,0)),IF(BF394="Multiple strategies","mixed drivers",IF(BF394="Supply chain","multiple supply","multiple silviculture"))))</f>
        <v>species</v>
      </c>
      <c r="BF394" s="2" t="str" cm="1">
        <f t="array" ref="BF394">IF(COUNTIF(AZ394:BB394,"&lt;&gt;0")=1,INDEX($V$4:$AW$4,MATCH(TRUE,INDEX($V394:$AW394&lt;&gt;0,),0)),IF(COUNTIF(AZ394:BB394,"&lt;&gt;0")=0,INDEX($AM$4:$AW$4,MATCH(1,$AM394:$AW394,0)),"Multiple strategies"))</f>
        <v>SilvicultureProd</v>
      </c>
      <c r="BG394" s="1" t="s">
        <v>230</v>
      </c>
      <c r="BH394" t="s">
        <v>557</v>
      </c>
      <c r="BI394" t="s">
        <v>425</v>
      </c>
      <c r="BJ394" t="s">
        <v>499</v>
      </c>
      <c r="BK394">
        <v>1.33</v>
      </c>
      <c r="BL394">
        <v>1.33</v>
      </c>
      <c r="BM394"/>
      <c r="BN394">
        <f>BL394-BK394</f>
        <v>0</v>
      </c>
      <c r="BO394">
        <f>BN394</f>
        <v>0</v>
      </c>
      <c r="BP394" t="s">
        <v>233</v>
      </c>
      <c r="BQ394" s="260" t="s">
        <v>3290</v>
      </c>
      <c r="BR394" t="s">
        <v>398</v>
      </c>
      <c r="BS394">
        <v>-164</v>
      </c>
      <c r="BT394">
        <v>-85</v>
      </c>
      <c r="BU394" s="144">
        <v>0.51829268292682928</v>
      </c>
      <c r="BV394">
        <v>79</v>
      </c>
      <c r="BW394"/>
      <c r="BX394">
        <f>BV394/1000</f>
        <v>7.9000000000000001E-2</v>
      </c>
      <c r="BY394" t="str">
        <f>IFERROR(BX394/BO394,"")</f>
        <v/>
      </c>
      <c r="BZ394">
        <v>1</v>
      </c>
      <c r="CA394">
        <v>0</v>
      </c>
      <c r="CB394">
        <v>0</v>
      </c>
      <c r="CC394">
        <v>0</v>
      </c>
      <c r="CD394">
        <v>0</v>
      </c>
      <c r="CE394">
        <v>0</v>
      </c>
      <c r="CF394">
        <v>0</v>
      </c>
      <c r="CG394">
        <v>0</v>
      </c>
      <c r="CH394">
        <v>0</v>
      </c>
      <c r="CI394">
        <v>0</v>
      </c>
      <c r="CJ394">
        <v>0</v>
      </c>
      <c r="CK394">
        <v>0</v>
      </c>
      <c r="CL394">
        <v>0</v>
      </c>
      <c r="CM394">
        <v>0</v>
      </c>
      <c r="CN394" t="str">
        <f>IF($BL394&lt;$BK394,"refNeedCorrection","refOK")</f>
        <v>refOK</v>
      </c>
      <c r="CO394">
        <f>IF($CN394="refOK",$BK394,$BL394)</f>
        <v>1.33</v>
      </c>
      <c r="CP394">
        <f>IF($CN394="refOK",$BL394,$BK394)</f>
        <v>1.33</v>
      </c>
      <c r="CQ394">
        <f>IF($CN394="refOK",$BO394,-$BO394)</f>
        <v>0</v>
      </c>
      <c r="CR394">
        <f>IF($CN394="refOK",$BS394,$BT394)*IF($BP394="Emissions positive",-1,1)</f>
        <v>-164</v>
      </c>
      <c r="CS394">
        <f>IF($CN394="refOK",$BT394,$BS394)*IF($BP394="Emissions positive",-1,1)</f>
        <v>-85</v>
      </c>
      <c r="CT394">
        <f>IF($CN394="refNeedCorrection",-BX394,BX394)*IF($BP394="Emissions positive",-1,1)</f>
        <v>7.9000000000000001E-2</v>
      </c>
      <c r="CU394" t="str">
        <f>IFERROR(CT394/CQ394,"")</f>
        <v/>
      </c>
      <c r="CV394" s="2">
        <f>IFERROR((CS394-CR394)/ABS(CR394),"")</f>
        <v>0.48170731707317072</v>
      </c>
      <c r="CW394" s="1" t="s">
        <v>264</v>
      </c>
      <c r="CX394" t="str">
        <f>IF(OR($CW394="prd",$CW394="std",$CW394="cit"),"loc",IF(OR($CW394="eur",$CW394="reg",$CW394="coy"),"reg",$CW394))</f>
        <v>loc</v>
      </c>
      <c r="CY394" t="s">
        <v>558</v>
      </c>
      <c r="CZ394"/>
      <c r="DA394"/>
      <c r="DB394">
        <v>0</v>
      </c>
      <c r="DC394" t="str">
        <f>IF(DB394=0,"0",IF(AND(DB394&gt;=1,DB394&lt;=30),"1-30",IF(AND(DB394&gt;30,DB394&lt;=70),"31-70",IF(AND(DB394&gt;70,DB394&lt;=100),"71-100",IF(DB394&gt;100,"+100")))))</f>
        <v>0</v>
      </c>
      <c r="DD394">
        <v>0</v>
      </c>
      <c r="DE394">
        <v>0</v>
      </c>
      <c r="DF394">
        <v>0</v>
      </c>
      <c r="DG394">
        <v>1</v>
      </c>
      <c r="DH394"/>
      <c r="DI394">
        <f>SUM(DD394:DG394)</f>
        <v>1</v>
      </c>
      <c r="DJ394" t="str">
        <f>IF(DI394=1,INDEX($DD$7:$DG$7,MATCH(1,$DD394:$DG394,0)),"mixedProduct")</f>
        <v>TimberInput</v>
      </c>
      <c r="DK394">
        <f>IF(DD394=1,DK$7,0)</f>
        <v>0</v>
      </c>
      <c r="DL394">
        <f>IF(DE394=1,DL$7,0)</f>
        <v>0</v>
      </c>
      <c r="DM394">
        <f>IF(DF394=1,DM$7,0)</f>
        <v>0</v>
      </c>
      <c r="DN394" t="str">
        <f>IF(DG394=1,DN$7,0)</f>
        <v>Timber</v>
      </c>
      <c r="DO394">
        <v>0</v>
      </c>
      <c r="DP394">
        <v>0</v>
      </c>
      <c r="DQ394">
        <v>0</v>
      </c>
      <c r="DR394">
        <v>0</v>
      </c>
      <c r="DS394">
        <v>0</v>
      </c>
      <c r="DT394">
        <f>SUM(DO394:DP394)</f>
        <v>0</v>
      </c>
      <c r="DU394" s="143" t="str">
        <f>IF(DO394=1,"self-calculated DF",IF(DP394=1,"external DF used","explicit C balance"))</f>
        <v>explicit C balance</v>
      </c>
      <c r="DV394">
        <v>0</v>
      </c>
      <c r="DW394">
        <v>0</v>
      </c>
      <c r="DX394">
        <v>0</v>
      </c>
      <c r="DY394">
        <v>1</v>
      </c>
      <c r="DZ394">
        <v>1</v>
      </c>
      <c r="EA394" s="143">
        <v>0</v>
      </c>
      <c r="EB394">
        <v>0</v>
      </c>
      <c r="EC394">
        <v>1</v>
      </c>
      <c r="ED394">
        <v>0</v>
      </c>
      <c r="EE394">
        <v>1</v>
      </c>
      <c r="EF394">
        <v>0</v>
      </c>
      <c r="EG394">
        <v>0</v>
      </c>
      <c r="EH394">
        <v>0</v>
      </c>
      <c r="EI394" s="2">
        <v>0</v>
      </c>
      <c r="EJ394" s="1"/>
      <c r="EK394" t="str">
        <f>IF(AND(AND(AND(OR($DX394=1,$DW394=1),OR($EC394=1,$EA394=1)),SUM($DV394:$DZ394,$EF394)&gt;=4),SUM($EA394:$EE394)&gt;=2),"Whole sector","")</f>
        <v/>
      </c>
      <c r="EL394" t="str">
        <f>IF(AND(AND(OR($DX394=1,$DW394=1),AND($EC394=0,$EA394=0)),SUM($DV394:$DZ394,$EF394)&gt;=4),"Ecosystem approach","")</f>
        <v/>
      </c>
      <c r="EM394" s="2" t="str">
        <f>IF(AND(AND(AND($DX394=0,$DW394=0),OR($EC394=1,$EA394=1)),SUM($EB394:$EE394)&gt;=2),"Technology approach","")</f>
        <v>Technology approach</v>
      </c>
      <c r="EN394"/>
      <c r="EO394"/>
      <c r="EP394" t="b">
        <f>IF(ISNUMBER(BU394),IF(ABS(BU394-[4]QC_indicators!$B$2)&gt;3*[4]QC_indicators!$C$2,"C ratio",IF(ISNUMBER(BY394),IF(ABS(BY394-[4]QC_indicators!$B$1)&gt;3*[4]QC_indicators!$C$1,"DF","no"))),IF(ISNUMBER(BY394),IF(ABS(BY394-[4]QC_indicators!$B$1)&gt;3*[4]QC_indicators!$C$1,"DF","no")))</f>
        <v>0</v>
      </c>
      <c r="EQ394"/>
      <c r="ER394" s="149" t="s">
        <v>350</v>
      </c>
      <c r="ES394"/>
      <c r="ET394" s="266" t="s">
        <v>3275</v>
      </c>
      <c r="EU394"/>
    </row>
    <row r="395" spans="1:151" s="139" customFormat="1" ht="15" hidden="1" customHeight="1">
      <c r="A395" s="1" t="s">
        <v>546</v>
      </c>
      <c r="B395" t="s">
        <v>547</v>
      </c>
      <c r="C395" t="s">
        <v>548</v>
      </c>
      <c r="D395" t="s">
        <v>549</v>
      </c>
      <c r="E395" t="s">
        <v>550</v>
      </c>
      <c r="F395" t="s">
        <v>551</v>
      </c>
      <c r="G395" t="s">
        <v>552</v>
      </c>
      <c r="H395" t="s">
        <v>255</v>
      </c>
      <c r="I395">
        <v>2017</v>
      </c>
      <c r="J395">
        <v>3</v>
      </c>
      <c r="K395" t="s">
        <v>553</v>
      </c>
      <c r="L395"/>
      <c r="M395" t="str">
        <f>LEFT($D395,FIND(",",$D395)-1)&amp;"_"&amp;I395&amp;L395</f>
        <v>Crafford_2017</v>
      </c>
      <c r="N395" t="s">
        <v>223</v>
      </c>
      <c r="O395" s="145" t="s">
        <v>224</v>
      </c>
      <c r="P395"/>
      <c r="Q395" t="s">
        <v>257</v>
      </c>
      <c r="R395" s="255" t="s">
        <v>226</v>
      </c>
      <c r="S395" s="1" t="s">
        <v>554</v>
      </c>
      <c r="T395" t="s">
        <v>556</v>
      </c>
      <c r="U395" t="s">
        <v>555</v>
      </c>
      <c r="V395">
        <v>0</v>
      </c>
      <c r="W395">
        <v>0</v>
      </c>
      <c r="X395">
        <v>0</v>
      </c>
      <c r="Y395">
        <v>0</v>
      </c>
      <c r="Z395">
        <v>1</v>
      </c>
      <c r="AA395">
        <v>0</v>
      </c>
      <c r="AB395">
        <v>0</v>
      </c>
      <c r="AC395">
        <v>0</v>
      </c>
      <c r="AD395">
        <v>0</v>
      </c>
      <c r="AE395">
        <v>0</v>
      </c>
      <c r="AF395">
        <v>0</v>
      </c>
      <c r="AG395">
        <v>0</v>
      </c>
      <c r="AH395">
        <v>0</v>
      </c>
      <c r="AI395">
        <v>0</v>
      </c>
      <c r="AJ395">
        <v>0</v>
      </c>
      <c r="AK395">
        <v>0</v>
      </c>
      <c r="AL395">
        <v>0</v>
      </c>
      <c r="AM395">
        <v>0</v>
      </c>
      <c r="AN395">
        <v>0</v>
      </c>
      <c r="AO395">
        <v>0</v>
      </c>
      <c r="AP395">
        <v>0</v>
      </c>
      <c r="AQ395">
        <v>0</v>
      </c>
      <c r="AR395">
        <v>0</v>
      </c>
      <c r="AS395">
        <v>0</v>
      </c>
      <c r="AT395">
        <v>0</v>
      </c>
      <c r="AU395">
        <v>0</v>
      </c>
      <c r="AV395">
        <v>0</v>
      </c>
      <c r="AW395">
        <v>0</v>
      </c>
      <c r="AX395" s="141">
        <f>COUNTIF(V395:AW395,"&lt;&gt;0")</f>
        <v>1</v>
      </c>
      <c r="AY395" s="141">
        <f>COUNTIF(V395:AL395,"&lt;&gt;0")</f>
        <v>1</v>
      </c>
      <c r="AZ395">
        <f>COUNTIF(V395:AC395,"&lt;&gt;0")</f>
        <v>1</v>
      </c>
      <c r="BA395">
        <f>COUNTIF(AD395:AI395,"&lt;&gt;0")</f>
        <v>0</v>
      </c>
      <c r="BB395">
        <f>COUNTIF(AJ395:AL395,"&lt;&gt;0")</f>
        <v>0</v>
      </c>
      <c r="BC395">
        <f>COUNTIF(AS395:AW395,"&lt;&gt;0")</f>
        <v>0</v>
      </c>
      <c r="BD395">
        <f>COUNTIF(AM395:AR395,"&lt;&gt;0")</f>
        <v>0</v>
      </c>
      <c r="BE395" t="str">
        <f t="array" ref="BE395">IF(AY395=1,INDEX($V$7:$AL$7,MATCH(TRUE,INDEX($V395:$AW395&lt;&gt;0,),0)),IF(AY395=0,INDEX($AM$7:$AW$7,MATCH(1,$AM395:$AW395,0)),IF(BF395="Multiple strategies","mixed drivers",IF(BF395="Supply chain","multiple supply","multiple silviculture"))))</f>
        <v>species</v>
      </c>
      <c r="BF395" s="2" t="str" cm="1">
        <f t="array" ref="BF395">IF(COUNTIF(AZ395:BB395,"&lt;&gt;0")=1,INDEX($V$4:$AW$4,MATCH(TRUE,INDEX($V395:$AW395&lt;&gt;0,),0)),IF(COUNTIF(AZ395:BB395,"&lt;&gt;0")=0,INDEX($AM$4:$AW$4,MATCH(1,$AM395:$AW395,0)),"Multiple strategies"))</f>
        <v>SilvicultureProd</v>
      </c>
      <c r="BG395" s="1" t="s">
        <v>230</v>
      </c>
      <c r="BH395" t="s">
        <v>557</v>
      </c>
      <c r="BI395" t="s">
        <v>425</v>
      </c>
      <c r="BJ395" t="s">
        <v>499</v>
      </c>
      <c r="BK395">
        <v>1.33</v>
      </c>
      <c r="BL395">
        <v>1.33</v>
      </c>
      <c r="BM395"/>
      <c r="BN395">
        <f>BL395-BK395</f>
        <v>0</v>
      </c>
      <c r="BO395">
        <f>BN395</f>
        <v>0</v>
      </c>
      <c r="BP395" t="s">
        <v>233</v>
      </c>
      <c r="BQ395" s="260" t="s">
        <v>3291</v>
      </c>
      <c r="BR395" t="s">
        <v>398</v>
      </c>
      <c r="BS395" s="266">
        <v>919</v>
      </c>
      <c r="BT395" s="266">
        <v>1224</v>
      </c>
      <c r="BU395" s="144">
        <v>1.3318824809575627</v>
      </c>
      <c r="BV395">
        <v>305</v>
      </c>
      <c r="BW395"/>
      <c r="BX395">
        <f>BV395/1000</f>
        <v>0.30499999999999999</v>
      </c>
      <c r="BY395" t="str">
        <f>IFERROR(BX395/BO395,"")</f>
        <v/>
      </c>
      <c r="BZ395">
        <v>1</v>
      </c>
      <c r="CA395">
        <v>0</v>
      </c>
      <c r="CB395">
        <v>0</v>
      </c>
      <c r="CC395">
        <v>0</v>
      </c>
      <c r="CD395">
        <v>0</v>
      </c>
      <c r="CE395">
        <v>0</v>
      </c>
      <c r="CF395">
        <v>0</v>
      </c>
      <c r="CG395">
        <v>0</v>
      </c>
      <c r="CH395">
        <v>0</v>
      </c>
      <c r="CI395">
        <v>0</v>
      </c>
      <c r="CJ395">
        <v>0</v>
      </c>
      <c r="CK395">
        <v>0</v>
      </c>
      <c r="CL395">
        <v>0</v>
      </c>
      <c r="CM395">
        <v>0</v>
      </c>
      <c r="CN395" t="str">
        <f>IF($BL395&lt;$BK395,"refNeedCorrection","refOK")</f>
        <v>refOK</v>
      </c>
      <c r="CO395">
        <f>IF($CN395="refOK",$BK395,$BL395)</f>
        <v>1.33</v>
      </c>
      <c r="CP395">
        <f>IF($CN395="refOK",$BL395,$BK395)</f>
        <v>1.33</v>
      </c>
      <c r="CQ395">
        <f>IF($CN395="refOK",$BO395,-$BO395)</f>
        <v>0</v>
      </c>
      <c r="CR395">
        <f>IF($CN395="refOK",$BS395,$BT395)*IF($BP395="Emissions positive",-1,1)</f>
        <v>919</v>
      </c>
      <c r="CS395">
        <f>IF($CN395="refOK",$BT395,$BS395)*IF($BP395="Emissions positive",-1,1)</f>
        <v>1224</v>
      </c>
      <c r="CT395">
        <f>IF($CN395="refNeedCorrection",-BX395,BX395)*IF($BP395="Emissions positive",-1,1)</f>
        <v>0.30499999999999999</v>
      </c>
      <c r="CU395" t="str">
        <f>IFERROR(CT395/CQ395,"")</f>
        <v/>
      </c>
      <c r="CV395" s="2">
        <f>IFERROR((CS395-CR395)/ABS(CR395),"")</f>
        <v>0.33188248095756256</v>
      </c>
      <c r="CW395" s="1" t="s">
        <v>264</v>
      </c>
      <c r="CX395" t="str">
        <f>IF(OR($CW395="prd",$CW395="std",$CW395="cit"),"loc",IF(OR($CW395="eur",$CW395="reg",$CW395="coy"),"reg",$CW395))</f>
        <v>loc</v>
      </c>
      <c r="CY395" t="s">
        <v>558</v>
      </c>
      <c r="CZ395"/>
      <c r="DA395"/>
      <c r="DB395">
        <v>0</v>
      </c>
      <c r="DC395" t="str">
        <f>IF(DB395=0,"0",IF(AND(DB395&gt;=1,DB395&lt;=30),"1-30",IF(AND(DB395&gt;30,DB395&lt;=70),"31-70",IF(AND(DB395&gt;70,DB395&lt;=100),"71-100",IF(DB395&gt;100,"+100")))))</f>
        <v>0</v>
      </c>
      <c r="DD395">
        <v>0</v>
      </c>
      <c r="DE395">
        <v>0</v>
      </c>
      <c r="DF395">
        <v>0</v>
      </c>
      <c r="DG395">
        <v>1</v>
      </c>
      <c r="DH395"/>
      <c r="DI395">
        <f>SUM(DD395:DG395)</f>
        <v>1</v>
      </c>
      <c r="DJ395" t="str">
        <f>IF(DI395=1,INDEX($DD$7:$DG$7,MATCH(1,$DD395:$DG395,0)),"mixedProduct")</f>
        <v>TimberInput</v>
      </c>
      <c r="DK395">
        <f>IF(DD395=1,DK$7,0)</f>
        <v>0</v>
      </c>
      <c r="DL395">
        <f>IF(DE395=1,DL$7,0)</f>
        <v>0</v>
      </c>
      <c r="DM395">
        <f>IF(DF395=1,DM$7,0)</f>
        <v>0</v>
      </c>
      <c r="DN395" t="str">
        <f>IF(DG395=1,DN$7,0)</f>
        <v>Timber</v>
      </c>
      <c r="DO395">
        <v>0</v>
      </c>
      <c r="DP395">
        <v>0</v>
      </c>
      <c r="DQ395">
        <v>0</v>
      </c>
      <c r="DR395">
        <v>0</v>
      </c>
      <c r="DS395">
        <v>0</v>
      </c>
      <c r="DT395">
        <f>SUM(DO395:DP395)</f>
        <v>0</v>
      </c>
      <c r="DU395" s="143" t="str">
        <f>IF(DO395=1,"self-calculated DF",IF(DP395=1,"external DF used","explicit C balance"))</f>
        <v>explicit C balance</v>
      </c>
      <c r="DV395">
        <v>0</v>
      </c>
      <c r="DW395">
        <v>0</v>
      </c>
      <c r="DX395">
        <v>0</v>
      </c>
      <c r="DY395">
        <v>1</v>
      </c>
      <c r="DZ395">
        <v>1</v>
      </c>
      <c r="EA395" s="143">
        <v>0</v>
      </c>
      <c r="EB395">
        <v>0</v>
      </c>
      <c r="EC395">
        <v>1</v>
      </c>
      <c r="ED395">
        <v>0</v>
      </c>
      <c r="EE395">
        <v>1</v>
      </c>
      <c r="EF395">
        <v>0</v>
      </c>
      <c r="EG395">
        <v>0</v>
      </c>
      <c r="EH395">
        <v>0</v>
      </c>
      <c r="EI395" s="2">
        <v>0</v>
      </c>
      <c r="EJ395" s="1"/>
      <c r="EK395" t="str">
        <f>IF(AND(AND(AND(OR($DX395=1,$DW395=1),OR($EC395=1,$EA395=1)),SUM($DV395:$DZ395,$EF395)&gt;=4),SUM($EA395:$EE395)&gt;=2),"Whole sector","")</f>
        <v/>
      </c>
      <c r="EL395" t="str">
        <f>IF(AND(AND(OR($DX395=1,$DW395=1),AND($EC395=0,$EA395=0)),SUM($DV395:$DZ395,$EF395)&gt;=4),"Ecosystem approach","")</f>
        <v/>
      </c>
      <c r="EM395" s="2" t="str">
        <f>IF(AND(AND(AND($DX395=0,$DW395=0),OR($EC395=1,$EA395=1)),SUM($EB395:$EE395)&gt;=2),"Technology approach","")</f>
        <v>Technology approach</v>
      </c>
      <c r="EN395"/>
      <c r="EO395"/>
      <c r="EP395" t="b">
        <f>IF(ISNUMBER(BU395),IF(ABS(BU395-[4]QC_indicators!$B$2)&gt;3*[4]QC_indicators!$C$2,"C ratio",IF(ISNUMBER(BY395),IF(ABS(BY395-[4]QC_indicators!$B$1)&gt;3*[4]QC_indicators!$C$1,"DF","no"))),IF(ISNUMBER(BY395),IF(ABS(BY395-[4]QC_indicators!$B$1)&gt;3*[4]QC_indicators!$C$1,"DF","no")))</f>
        <v>0</v>
      </c>
      <c r="EQ395"/>
      <c r="ER395" s="149" t="s">
        <v>350</v>
      </c>
      <c r="ES395"/>
      <c r="ET395" s="266" t="s">
        <v>3275</v>
      </c>
      <c r="EU395"/>
    </row>
    <row r="396" spans="1:151" s="139" customFormat="1" ht="15" hidden="1" customHeight="1">
      <c r="A396" s="1" t="s">
        <v>546</v>
      </c>
      <c r="B396" t="s">
        <v>547</v>
      </c>
      <c r="C396" t="s">
        <v>548</v>
      </c>
      <c r="D396" t="s">
        <v>549</v>
      </c>
      <c r="E396" t="s">
        <v>550</v>
      </c>
      <c r="F396" t="s">
        <v>551</v>
      </c>
      <c r="G396" t="s">
        <v>552</v>
      </c>
      <c r="H396" t="s">
        <v>255</v>
      </c>
      <c r="I396">
        <v>2017</v>
      </c>
      <c r="J396">
        <v>3</v>
      </c>
      <c r="K396" t="s">
        <v>553</v>
      </c>
      <c r="L396"/>
      <c r="M396" t="str">
        <f>LEFT($D396,FIND(",",$D396)-1)&amp;"_"&amp;I396&amp;L396</f>
        <v>Crafford_2017</v>
      </c>
      <c r="N396" t="s">
        <v>223</v>
      </c>
      <c r="O396" s="145" t="s">
        <v>224</v>
      </c>
      <c r="P396"/>
      <c r="Q396" t="s">
        <v>257</v>
      </c>
      <c r="R396" s="255" t="s">
        <v>226</v>
      </c>
      <c r="S396" s="1" t="s">
        <v>559</v>
      </c>
      <c r="T396" t="s">
        <v>555</v>
      </c>
      <c r="U396" t="s">
        <v>556</v>
      </c>
      <c r="V396">
        <v>0</v>
      </c>
      <c r="W396">
        <v>0</v>
      </c>
      <c r="X396">
        <v>0</v>
      </c>
      <c r="Y396">
        <v>0</v>
      </c>
      <c r="Z396">
        <v>1</v>
      </c>
      <c r="AA396">
        <v>0</v>
      </c>
      <c r="AB396">
        <v>0</v>
      </c>
      <c r="AC396">
        <v>0</v>
      </c>
      <c r="AD396">
        <v>0</v>
      </c>
      <c r="AE396">
        <v>0</v>
      </c>
      <c r="AF396">
        <v>0</v>
      </c>
      <c r="AG396">
        <v>0</v>
      </c>
      <c r="AH396">
        <v>0</v>
      </c>
      <c r="AI396">
        <v>0</v>
      </c>
      <c r="AJ396">
        <v>0</v>
      </c>
      <c r="AK396">
        <v>0</v>
      </c>
      <c r="AL396">
        <v>0</v>
      </c>
      <c r="AM396">
        <v>0</v>
      </c>
      <c r="AN396">
        <v>0</v>
      </c>
      <c r="AO396">
        <v>0</v>
      </c>
      <c r="AP396">
        <v>0</v>
      </c>
      <c r="AQ396">
        <v>0</v>
      </c>
      <c r="AR396">
        <v>0</v>
      </c>
      <c r="AS396">
        <v>0</v>
      </c>
      <c r="AT396">
        <v>0</v>
      </c>
      <c r="AU396">
        <v>0</v>
      </c>
      <c r="AV396">
        <v>0</v>
      </c>
      <c r="AW396">
        <v>0</v>
      </c>
      <c r="AX396" s="141">
        <f>COUNTIF(V396:AW396,"&lt;&gt;0")</f>
        <v>1</v>
      </c>
      <c r="AY396" s="141">
        <f>COUNTIF(V396:AL396,"&lt;&gt;0")</f>
        <v>1</v>
      </c>
      <c r="AZ396">
        <f>COUNTIF(V396:AC396,"&lt;&gt;0")</f>
        <v>1</v>
      </c>
      <c r="BA396">
        <f>COUNTIF(AD396:AI396,"&lt;&gt;0")</f>
        <v>0</v>
      </c>
      <c r="BB396">
        <f>COUNTIF(AJ396:AL396,"&lt;&gt;0")</f>
        <v>0</v>
      </c>
      <c r="BC396">
        <f>COUNTIF(AS396:AW396,"&lt;&gt;0")</f>
        <v>0</v>
      </c>
      <c r="BD396">
        <f>COUNTIF(AM396:AR396,"&lt;&gt;0")</f>
        <v>0</v>
      </c>
      <c r="BE396" t="str">
        <f t="array" ref="BE396">IF(AY396=1,INDEX($V$7:$AL$7,MATCH(TRUE,INDEX($V396:$AW396&lt;&gt;0,),0)),IF(AY396=0,INDEX($AM$7:$AW$7,MATCH(1,$AM396:$AW396,0)),IF(BF396="Multiple strategies","mixed drivers",IF(BF396="Supply chain","multiple supply","multiple silviculture"))))</f>
        <v>species</v>
      </c>
      <c r="BF396" s="2" t="str" cm="1">
        <f t="array" ref="BF396">IF(COUNTIF(AZ396:BB396,"&lt;&gt;0")=1,INDEX($V$4:$AW$4,MATCH(TRUE,INDEX($V396:$AW396&lt;&gt;0,),0)),IF(COUNTIF(AZ396:BB396,"&lt;&gt;0")=0,INDEX($AM$4:$AW$4,MATCH(1,$AM396:$AW396,0)),"Multiple strategies"))</f>
        <v>SilvicultureProd</v>
      </c>
      <c r="BG396" s="1" t="s">
        <v>230</v>
      </c>
      <c r="BH396" t="s">
        <v>557</v>
      </c>
      <c r="BI396" t="s">
        <v>425</v>
      </c>
      <c r="BJ396" t="s">
        <v>499</v>
      </c>
      <c r="BK396">
        <v>6.05</v>
      </c>
      <c r="BL396">
        <v>6.05</v>
      </c>
      <c r="BM396"/>
      <c r="BN396">
        <f>BL396-BK396</f>
        <v>0</v>
      </c>
      <c r="BO396">
        <f>BN396</f>
        <v>0</v>
      </c>
      <c r="BP396" t="s">
        <v>233</v>
      </c>
      <c r="BQ396" s="260" t="s">
        <v>3292</v>
      </c>
      <c r="BR396" t="s">
        <v>398</v>
      </c>
      <c r="BS396">
        <v>-1242</v>
      </c>
      <c r="BT396">
        <v>-873</v>
      </c>
      <c r="BU396" s="144">
        <v>0.70289855072463769</v>
      </c>
      <c r="BV396">
        <v>369</v>
      </c>
      <c r="BW396"/>
      <c r="BX396">
        <f>BV396/1000</f>
        <v>0.36899999999999999</v>
      </c>
      <c r="BY396" t="str">
        <f>IFERROR(BX396/BO396,"")</f>
        <v/>
      </c>
      <c r="BZ396">
        <v>1</v>
      </c>
      <c r="CA396">
        <v>0</v>
      </c>
      <c r="CB396">
        <v>0</v>
      </c>
      <c r="CC396">
        <v>0</v>
      </c>
      <c r="CD396">
        <v>0</v>
      </c>
      <c r="CE396">
        <v>0</v>
      </c>
      <c r="CF396">
        <v>0</v>
      </c>
      <c r="CG396">
        <v>0</v>
      </c>
      <c r="CH396">
        <v>0</v>
      </c>
      <c r="CI396">
        <v>0</v>
      </c>
      <c r="CJ396">
        <v>0</v>
      </c>
      <c r="CK396">
        <v>0</v>
      </c>
      <c r="CL396">
        <v>0</v>
      </c>
      <c r="CM396">
        <v>0</v>
      </c>
      <c r="CN396" t="str">
        <f>IF($BL396&lt;$BK396,"refNeedCorrection","refOK")</f>
        <v>refOK</v>
      </c>
      <c r="CO396">
        <f>IF($CN396="refOK",$BK396,$BL396)</f>
        <v>6.05</v>
      </c>
      <c r="CP396">
        <f>IF($CN396="refOK",$BL396,$BK396)</f>
        <v>6.05</v>
      </c>
      <c r="CQ396">
        <f>IF($CN396="refOK",$BO396,-$BO396)</f>
        <v>0</v>
      </c>
      <c r="CR396">
        <f>IF($CN396="refOK",$BS396,$BT396)*IF($BP396="Emissions positive",-1,1)</f>
        <v>-1242</v>
      </c>
      <c r="CS396">
        <f>IF($CN396="refOK",$BT396,$BS396)*IF($BP396="Emissions positive",-1,1)</f>
        <v>-873</v>
      </c>
      <c r="CT396">
        <f>IF($CN396="refNeedCorrection",-BX396,BX396)*IF($BP396="Emissions positive",-1,1)</f>
        <v>0.36899999999999999</v>
      </c>
      <c r="CU396" t="str">
        <f>IFERROR(CT396/CQ396,"")</f>
        <v/>
      </c>
      <c r="CV396" s="2">
        <f>IFERROR((CS396-CR396)/ABS(CR396),"")</f>
        <v>0.29710144927536231</v>
      </c>
      <c r="CW396" s="1" t="s">
        <v>264</v>
      </c>
      <c r="CX396" t="str">
        <f>IF(OR($CW396="prd",$CW396="std",$CW396="cit"),"loc",IF(OR($CW396="eur",$CW396="reg",$CW396="coy"),"reg",$CW396))</f>
        <v>loc</v>
      </c>
      <c r="CY396" t="s">
        <v>558</v>
      </c>
      <c r="CZ396"/>
      <c r="DA396"/>
      <c r="DB396">
        <v>0</v>
      </c>
      <c r="DC396" t="str">
        <f>IF(DB396=0,"0",IF(AND(DB396&gt;=1,DB396&lt;=30),"1-30",IF(AND(DB396&gt;30,DB396&lt;=70),"31-70",IF(AND(DB396&gt;70,DB396&lt;=100),"71-100",IF(DB396&gt;100,"+100")))))</f>
        <v>0</v>
      </c>
      <c r="DD396">
        <v>0</v>
      </c>
      <c r="DE396">
        <v>0</v>
      </c>
      <c r="DF396">
        <v>0</v>
      </c>
      <c r="DG396">
        <v>1</v>
      </c>
      <c r="DH396"/>
      <c r="DI396">
        <f>SUM(DD396:DG396)</f>
        <v>1</v>
      </c>
      <c r="DJ396" t="str">
        <f>IF(DI396=1,INDEX($DD$7:$DG$7,MATCH(1,$DD396:$DG396,0)),"mixedProduct")</f>
        <v>TimberInput</v>
      </c>
      <c r="DK396">
        <f>IF(DD396=1,DK$7,0)</f>
        <v>0</v>
      </c>
      <c r="DL396">
        <f>IF(DE396=1,DL$7,0)</f>
        <v>0</v>
      </c>
      <c r="DM396">
        <f>IF(DF396=1,DM$7,0)</f>
        <v>0</v>
      </c>
      <c r="DN396" t="str">
        <f>IF(DG396=1,DN$7,0)</f>
        <v>Timber</v>
      </c>
      <c r="DO396">
        <v>0</v>
      </c>
      <c r="DP396">
        <v>0</v>
      </c>
      <c r="DQ396">
        <v>0</v>
      </c>
      <c r="DR396">
        <v>0</v>
      </c>
      <c r="DS396">
        <v>0</v>
      </c>
      <c r="DT396">
        <f>SUM(DO396:DP396)</f>
        <v>0</v>
      </c>
      <c r="DU396" s="143" t="str">
        <f>IF(DO396=1,"self-calculated DF",IF(DP396=1,"external DF used","explicit C balance"))</f>
        <v>explicit C balance</v>
      </c>
      <c r="DV396">
        <v>0</v>
      </c>
      <c r="DW396">
        <v>0</v>
      </c>
      <c r="DX396">
        <v>0</v>
      </c>
      <c r="DY396">
        <v>1</v>
      </c>
      <c r="DZ396">
        <v>1</v>
      </c>
      <c r="EA396" s="143">
        <v>0</v>
      </c>
      <c r="EB396">
        <v>0</v>
      </c>
      <c r="EC396">
        <v>1</v>
      </c>
      <c r="ED396">
        <v>0</v>
      </c>
      <c r="EE396">
        <v>1</v>
      </c>
      <c r="EF396">
        <v>0</v>
      </c>
      <c r="EG396">
        <v>0</v>
      </c>
      <c r="EH396">
        <v>0</v>
      </c>
      <c r="EI396" s="2">
        <v>0</v>
      </c>
      <c r="EJ396" s="1"/>
      <c r="EK396" t="str">
        <f>IF(AND(AND(AND(OR($DX396=1,$DW396=1),OR($EC396=1,$EA396=1)),SUM($DV396:$DZ396,$EF396)&gt;=4),SUM($EA396:$EE396)&gt;=2),"Whole sector","")</f>
        <v/>
      </c>
      <c r="EL396" t="str">
        <f>IF(AND(AND(OR($DX396=1,$DW396=1),AND($EC396=0,$EA396=0)),SUM($DV396:$DZ396,$EF396)&gt;=4),"Ecosystem approach","")</f>
        <v/>
      </c>
      <c r="EM396" s="2" t="str">
        <f>IF(AND(AND(AND($DX396=0,$DW396=0),OR($EC396=1,$EA396=1)),SUM($EB396:$EE396)&gt;=2),"Technology approach","")</f>
        <v>Technology approach</v>
      </c>
      <c r="EN396"/>
      <c r="EO396"/>
      <c r="EP396" t="b">
        <f>IF(ISNUMBER(BU396),IF(ABS(BU396-[4]QC_indicators!$B$2)&gt;3*[4]QC_indicators!$C$2,"C ratio",IF(ISNUMBER(BY396),IF(ABS(BY396-[4]QC_indicators!$B$1)&gt;3*[4]QC_indicators!$C$1,"DF","no"))),IF(ISNUMBER(BY396),IF(ABS(BY396-[4]QC_indicators!$B$1)&gt;3*[4]QC_indicators!$C$1,"DF","no")))</f>
        <v>0</v>
      </c>
      <c r="EQ396"/>
      <c r="ER396" s="149" t="s">
        <v>350</v>
      </c>
      <c r="ES396"/>
      <c r="ET396" s="266" t="s">
        <v>3275</v>
      </c>
      <c r="EU396"/>
    </row>
    <row r="397" spans="1:151" s="139" customFormat="1" ht="15" hidden="1" customHeight="1">
      <c r="A397" s="1" t="s">
        <v>546</v>
      </c>
      <c r="B397" t="s">
        <v>547</v>
      </c>
      <c r="C397" t="s">
        <v>548</v>
      </c>
      <c r="D397" t="s">
        <v>549</v>
      </c>
      <c r="E397" t="s">
        <v>550</v>
      </c>
      <c r="F397" t="s">
        <v>551</v>
      </c>
      <c r="G397" t="s">
        <v>552</v>
      </c>
      <c r="H397" t="s">
        <v>255</v>
      </c>
      <c r="I397">
        <v>2017</v>
      </c>
      <c r="J397">
        <v>3</v>
      </c>
      <c r="K397" t="s">
        <v>553</v>
      </c>
      <c r="L397"/>
      <c r="M397" t="str">
        <f>LEFT($D397,FIND(",",$D397)-1)&amp;"_"&amp;I397&amp;L397</f>
        <v>Crafford_2017</v>
      </c>
      <c r="N397" t="s">
        <v>223</v>
      </c>
      <c r="O397" s="145" t="s">
        <v>224</v>
      </c>
      <c r="P397"/>
      <c r="Q397" t="s">
        <v>257</v>
      </c>
      <c r="R397" s="255" t="s">
        <v>226</v>
      </c>
      <c r="S397" s="1" t="s">
        <v>559</v>
      </c>
      <c r="T397" t="s">
        <v>556</v>
      </c>
      <c r="U397" t="s">
        <v>555</v>
      </c>
      <c r="V397">
        <v>0</v>
      </c>
      <c r="W397">
        <v>0</v>
      </c>
      <c r="X397">
        <v>0</v>
      </c>
      <c r="Y397">
        <v>0</v>
      </c>
      <c r="Z397">
        <v>1</v>
      </c>
      <c r="AA397">
        <v>0</v>
      </c>
      <c r="AB397">
        <v>0</v>
      </c>
      <c r="AC397">
        <v>0</v>
      </c>
      <c r="AD397">
        <v>0</v>
      </c>
      <c r="AE397">
        <v>0</v>
      </c>
      <c r="AF397">
        <v>0</v>
      </c>
      <c r="AG397">
        <v>0</v>
      </c>
      <c r="AH397">
        <v>0</v>
      </c>
      <c r="AI397">
        <v>0</v>
      </c>
      <c r="AJ397">
        <v>0</v>
      </c>
      <c r="AK397">
        <v>0</v>
      </c>
      <c r="AL397">
        <v>0</v>
      </c>
      <c r="AM397">
        <v>0</v>
      </c>
      <c r="AN397">
        <v>0</v>
      </c>
      <c r="AO397">
        <v>0</v>
      </c>
      <c r="AP397">
        <v>0</v>
      </c>
      <c r="AQ397">
        <v>0</v>
      </c>
      <c r="AR397">
        <v>0</v>
      </c>
      <c r="AS397">
        <v>0</v>
      </c>
      <c r="AT397">
        <v>0</v>
      </c>
      <c r="AU397">
        <v>0</v>
      </c>
      <c r="AV397">
        <v>0</v>
      </c>
      <c r="AW397">
        <v>0</v>
      </c>
      <c r="AX397" s="141">
        <f>COUNTIF(V397:AW397,"&lt;&gt;0")</f>
        <v>1</v>
      </c>
      <c r="AY397" s="141">
        <f>COUNTIF(V397:AL397,"&lt;&gt;0")</f>
        <v>1</v>
      </c>
      <c r="AZ397">
        <f>COUNTIF(V397:AC397,"&lt;&gt;0")</f>
        <v>1</v>
      </c>
      <c r="BA397">
        <f>COUNTIF(AD397:AI397,"&lt;&gt;0")</f>
        <v>0</v>
      </c>
      <c r="BB397">
        <f>COUNTIF(AJ397:AL397,"&lt;&gt;0")</f>
        <v>0</v>
      </c>
      <c r="BC397">
        <f>COUNTIF(AS397:AW397,"&lt;&gt;0")</f>
        <v>0</v>
      </c>
      <c r="BD397">
        <f>COUNTIF(AM397:AR397,"&lt;&gt;0")</f>
        <v>0</v>
      </c>
      <c r="BE397" t="str">
        <f t="array" ref="BE397">IF(AY397=1,INDEX($V$7:$AL$7,MATCH(TRUE,INDEX($V397:$AW397&lt;&gt;0,),0)),IF(AY397=0,INDEX($AM$7:$AW$7,MATCH(1,$AM397:$AW397,0)),IF(BF397="Multiple strategies","mixed drivers",IF(BF397="Supply chain","multiple supply","multiple silviculture"))))</f>
        <v>species</v>
      </c>
      <c r="BF397" s="2" t="str" cm="1">
        <f t="array" ref="BF397">IF(COUNTIF(AZ397:BB397,"&lt;&gt;0")=1,INDEX($V$4:$AW$4,MATCH(TRUE,INDEX($V397:$AW397&lt;&gt;0,),0)),IF(COUNTIF(AZ397:BB397,"&lt;&gt;0")=0,INDEX($AM$4:$AW$4,MATCH(1,$AM397:$AW397,0)),"Multiple strategies"))</f>
        <v>SilvicultureProd</v>
      </c>
      <c r="BG397" s="1" t="s">
        <v>230</v>
      </c>
      <c r="BH397" t="s">
        <v>557</v>
      </c>
      <c r="BI397" t="s">
        <v>425</v>
      </c>
      <c r="BJ397" t="s">
        <v>499</v>
      </c>
      <c r="BK397">
        <v>6.05</v>
      </c>
      <c r="BL397">
        <v>6.05</v>
      </c>
      <c r="BM397"/>
      <c r="BN397">
        <f>BL397-BK397</f>
        <v>0</v>
      </c>
      <c r="BO397">
        <f>BN397</f>
        <v>0</v>
      </c>
      <c r="BP397" t="s">
        <v>233</v>
      </c>
      <c r="BQ397" s="260" t="s">
        <v>3293</v>
      </c>
      <c r="BR397" t="s">
        <v>398</v>
      </c>
      <c r="BS397" s="141">
        <v>3721</v>
      </c>
      <c r="BT397" s="141">
        <v>5100</v>
      </c>
      <c r="BU397" s="144">
        <v>1.3705993012631013</v>
      </c>
      <c r="BV397">
        <v>1379</v>
      </c>
      <c r="BW397"/>
      <c r="BX397">
        <f>BV397/1000</f>
        <v>1.379</v>
      </c>
      <c r="BY397" t="str">
        <f>IFERROR(BX397/BO397,"")</f>
        <v/>
      </c>
      <c r="BZ397">
        <v>1</v>
      </c>
      <c r="CA397">
        <v>0</v>
      </c>
      <c r="CB397">
        <v>0</v>
      </c>
      <c r="CC397">
        <v>0</v>
      </c>
      <c r="CD397">
        <v>0</v>
      </c>
      <c r="CE397">
        <v>0</v>
      </c>
      <c r="CF397">
        <v>0</v>
      </c>
      <c r="CG397">
        <v>0</v>
      </c>
      <c r="CH397">
        <v>0</v>
      </c>
      <c r="CI397">
        <v>0</v>
      </c>
      <c r="CJ397">
        <v>0</v>
      </c>
      <c r="CK397">
        <v>0</v>
      </c>
      <c r="CL397">
        <v>0</v>
      </c>
      <c r="CM397">
        <v>0</v>
      </c>
      <c r="CN397" t="str">
        <f>IF($BL397&lt;$BK397,"refNeedCorrection","refOK")</f>
        <v>refOK</v>
      </c>
      <c r="CO397">
        <f>IF($CN397="refOK",$BK397,$BL397)</f>
        <v>6.05</v>
      </c>
      <c r="CP397">
        <f>IF($CN397="refOK",$BL397,$BK397)</f>
        <v>6.05</v>
      </c>
      <c r="CQ397">
        <f>IF($CN397="refOK",$BO397,-$BO397)</f>
        <v>0</v>
      </c>
      <c r="CR397">
        <f>IF($CN397="refOK",$BS397,$BT397)*IF($BP397="Emissions positive",-1,1)</f>
        <v>3721</v>
      </c>
      <c r="CS397">
        <f>IF($CN397="refOK",$BT397,$BS397)*IF($BP397="Emissions positive",-1,1)</f>
        <v>5100</v>
      </c>
      <c r="CT397">
        <f>IF($CN397="refNeedCorrection",-BX397,BX397)*IF($BP397="Emissions positive",-1,1)</f>
        <v>1.379</v>
      </c>
      <c r="CU397" t="str">
        <f>IFERROR(CT397/CQ397,"")</f>
        <v/>
      </c>
      <c r="CV397" s="2">
        <f>IFERROR((CS397-CR397)/ABS(CR397),"")</f>
        <v>0.37059930126310131</v>
      </c>
      <c r="CW397" s="1" t="s">
        <v>264</v>
      </c>
      <c r="CX397" t="str">
        <f>IF(OR($CW397="prd",$CW397="std",$CW397="cit"),"loc",IF(OR($CW397="eur",$CW397="reg",$CW397="coy"),"reg",$CW397))</f>
        <v>loc</v>
      </c>
      <c r="CY397" t="s">
        <v>558</v>
      </c>
      <c r="CZ397"/>
      <c r="DA397"/>
      <c r="DB397">
        <v>0</v>
      </c>
      <c r="DC397" t="str">
        <f>IF(DB397=0,"0",IF(AND(DB397&gt;=1,DB397&lt;=30),"1-30",IF(AND(DB397&gt;30,DB397&lt;=70),"31-70",IF(AND(DB397&gt;70,DB397&lt;=100),"71-100",IF(DB397&gt;100,"+100")))))</f>
        <v>0</v>
      </c>
      <c r="DD397">
        <v>0</v>
      </c>
      <c r="DE397">
        <v>0</v>
      </c>
      <c r="DF397">
        <v>0</v>
      </c>
      <c r="DG397">
        <v>1</v>
      </c>
      <c r="DH397"/>
      <c r="DI397">
        <f>SUM(DD397:DG397)</f>
        <v>1</v>
      </c>
      <c r="DJ397" t="str">
        <f>IF(DI397=1,INDEX($DD$7:$DG$7,MATCH(1,$DD397:$DG397,0)),"mixedProduct")</f>
        <v>TimberInput</v>
      </c>
      <c r="DK397">
        <f>IF(DD397=1,DK$7,0)</f>
        <v>0</v>
      </c>
      <c r="DL397">
        <f>IF(DE397=1,DL$7,0)</f>
        <v>0</v>
      </c>
      <c r="DM397">
        <f>IF(DF397=1,DM$7,0)</f>
        <v>0</v>
      </c>
      <c r="DN397" t="str">
        <f>IF(DG397=1,DN$7,0)</f>
        <v>Timber</v>
      </c>
      <c r="DO397">
        <v>0</v>
      </c>
      <c r="DP397">
        <v>0</v>
      </c>
      <c r="DQ397">
        <v>0</v>
      </c>
      <c r="DR397">
        <v>0</v>
      </c>
      <c r="DS397">
        <v>0</v>
      </c>
      <c r="DT397">
        <f>SUM(DO397:DP397)</f>
        <v>0</v>
      </c>
      <c r="DU397" s="143" t="str">
        <f>IF(DO397=1,"self-calculated DF",IF(DP397=1,"external DF used","explicit C balance"))</f>
        <v>explicit C balance</v>
      </c>
      <c r="DV397">
        <v>0</v>
      </c>
      <c r="DW397">
        <v>0</v>
      </c>
      <c r="DX397">
        <v>0</v>
      </c>
      <c r="DY397">
        <v>1</v>
      </c>
      <c r="DZ397">
        <v>1</v>
      </c>
      <c r="EA397" s="143">
        <v>0</v>
      </c>
      <c r="EB397">
        <v>0</v>
      </c>
      <c r="EC397">
        <v>1</v>
      </c>
      <c r="ED397">
        <v>0</v>
      </c>
      <c r="EE397">
        <v>1</v>
      </c>
      <c r="EF397">
        <v>0</v>
      </c>
      <c r="EG397">
        <v>0</v>
      </c>
      <c r="EH397">
        <v>0</v>
      </c>
      <c r="EI397" s="2">
        <v>0</v>
      </c>
      <c r="EJ397" s="1"/>
      <c r="EK397" t="str">
        <f>IF(AND(AND(AND(OR($DX397=1,$DW397=1),OR($EC397=1,$EA397=1)),SUM($DV397:$DZ397,$EF397)&gt;=4),SUM($EA397:$EE397)&gt;=2),"Whole sector","")</f>
        <v/>
      </c>
      <c r="EL397" t="str">
        <f>IF(AND(AND(OR($DX397=1,$DW397=1),AND($EC397=0,$EA397=0)),SUM($DV397:$DZ397,$EF397)&gt;=4),"Ecosystem approach","")</f>
        <v/>
      </c>
      <c r="EM397" s="2" t="str">
        <f>IF(AND(AND(AND($DX397=0,$DW397=0),OR($EC397=1,$EA397=1)),SUM($EB397:$EE397)&gt;=2),"Technology approach","")</f>
        <v>Technology approach</v>
      </c>
      <c r="EN397"/>
      <c r="EO397"/>
      <c r="EP397" t="b">
        <f>IF(ISNUMBER(BU397),IF(ABS(BU397-[4]QC_indicators!$B$2)&gt;3*[4]QC_indicators!$C$2,"C ratio",IF(ISNUMBER(BY397),IF(ABS(BY397-[4]QC_indicators!$B$1)&gt;3*[4]QC_indicators!$C$1,"DF","no"))),IF(ISNUMBER(BY397),IF(ABS(BY397-[4]QC_indicators!$B$1)&gt;3*[4]QC_indicators!$C$1,"DF","no")))</f>
        <v>0</v>
      </c>
      <c r="EQ397"/>
      <c r="ER397" s="149" t="s">
        <v>350</v>
      </c>
      <c r="ES397"/>
      <c r="ET397" s="266" t="s">
        <v>3275</v>
      </c>
      <c r="EU397"/>
    </row>
    <row r="398" spans="1:151" s="139" customFormat="1" ht="15" hidden="1" customHeight="1">
      <c r="A398" s="1" t="s">
        <v>1140</v>
      </c>
      <c r="B398" t="s">
        <v>1834</v>
      </c>
      <c r="C398" t="s">
        <v>1835</v>
      </c>
      <c r="D398" t="s">
        <v>1836</v>
      </c>
      <c r="E398" t="s">
        <v>1837</v>
      </c>
      <c r="F398" t="s">
        <v>1838</v>
      </c>
      <c r="G398" t="s">
        <v>1141</v>
      </c>
      <c r="H398" t="s">
        <v>255</v>
      </c>
      <c r="I398">
        <v>2013</v>
      </c>
      <c r="J398">
        <v>26</v>
      </c>
      <c r="K398" t="s">
        <v>1839</v>
      </c>
      <c r="L398"/>
      <c r="M398" t="str">
        <f>LEFT($D398,FIND(",",$D398)-1)&amp;"_"&amp;I398&amp;L398</f>
        <v>Klein_2013</v>
      </c>
      <c r="N398" t="s">
        <v>223</v>
      </c>
      <c r="O398" s="145" t="s">
        <v>514</v>
      </c>
      <c r="P398"/>
      <c r="Q398" t="s">
        <v>257</v>
      </c>
      <c r="R398" s="255" t="s">
        <v>226</v>
      </c>
      <c r="S398" s="1" t="s">
        <v>1846</v>
      </c>
      <c r="T398" t="s">
        <v>1847</v>
      </c>
      <c r="U398" t="s">
        <v>1848</v>
      </c>
      <c r="V398">
        <v>0</v>
      </c>
      <c r="W398">
        <v>0</v>
      </c>
      <c r="X398">
        <v>0</v>
      </c>
      <c r="Y398">
        <v>0</v>
      </c>
      <c r="Z398">
        <v>1</v>
      </c>
      <c r="AA398">
        <v>0</v>
      </c>
      <c r="AB398">
        <v>0</v>
      </c>
      <c r="AC398">
        <v>0</v>
      </c>
      <c r="AD398">
        <v>0</v>
      </c>
      <c r="AE398">
        <v>0</v>
      </c>
      <c r="AF398">
        <v>0</v>
      </c>
      <c r="AG398">
        <v>0</v>
      </c>
      <c r="AH398">
        <v>0</v>
      </c>
      <c r="AI398">
        <v>0</v>
      </c>
      <c r="AJ398">
        <v>0</v>
      </c>
      <c r="AK398">
        <v>0</v>
      </c>
      <c r="AL398">
        <v>0</v>
      </c>
      <c r="AM398">
        <v>0</v>
      </c>
      <c r="AN398">
        <v>0</v>
      </c>
      <c r="AO398">
        <v>0</v>
      </c>
      <c r="AP398">
        <v>0</v>
      </c>
      <c r="AQ398">
        <v>0</v>
      </c>
      <c r="AR398">
        <v>0</v>
      </c>
      <c r="AS398">
        <v>0</v>
      </c>
      <c r="AT398">
        <v>0</v>
      </c>
      <c r="AU398">
        <v>0</v>
      </c>
      <c r="AV398">
        <v>0</v>
      </c>
      <c r="AW398">
        <v>0</v>
      </c>
      <c r="AX398" s="141">
        <f>COUNTIF(V398:AW398,"&lt;&gt;0")</f>
        <v>1</v>
      </c>
      <c r="AY398" s="141">
        <f>COUNTIF(V398:AL398,"&lt;&gt;0")</f>
        <v>1</v>
      </c>
      <c r="AZ398">
        <f>COUNTIF(V398:AC398,"&lt;&gt;0")</f>
        <v>1</v>
      </c>
      <c r="BA398">
        <f>COUNTIF(AD398:AI398,"&lt;&gt;0")</f>
        <v>0</v>
      </c>
      <c r="BB398">
        <f>COUNTIF(AJ398:AL398,"&lt;&gt;0")</f>
        <v>0</v>
      </c>
      <c r="BC398">
        <f>COUNTIF(AS398:AW398,"&lt;&gt;0")</f>
        <v>0</v>
      </c>
      <c r="BD398">
        <f>COUNTIF(AM398:AR398,"&lt;&gt;0")</f>
        <v>0</v>
      </c>
      <c r="BE398" t="str">
        <f t="array" ref="BE398">IF(AY398=1,INDEX($V$7:$AL$7,MATCH(TRUE,INDEX($V398:$AW398&lt;&gt;0,),0)),IF(AY398=0,INDEX($AM$7:$AW$7,MATCH(1,$AM398:$AW398,0)),IF(BF398="Multiple strategies","mixed drivers",IF(BF398="Supply chain","multiple supply","multiple silviculture"))))</f>
        <v>species</v>
      </c>
      <c r="BF398" s="2" t="str" cm="1">
        <f t="array" ref="BF398">IF(COUNTIF(AZ398:BB398,"&lt;&gt;0")=1,INDEX($V$4:$AW$4,MATCH(TRUE,INDEX($V398:$AW398&lt;&gt;0,),0)),IF(COUNTIF(AZ398:BB398,"&lt;&gt;0")=0,INDEX($AM$4:$AW$4,MATCH(1,$AM398:$AW398,0)),"Multiple strategies"))</f>
        <v>SilvicultureProd</v>
      </c>
      <c r="BG398" s="1" t="s">
        <v>322</v>
      </c>
      <c r="BH398" t="s">
        <v>1843</v>
      </c>
      <c r="BI398" s="260" t="s">
        <v>3370</v>
      </c>
      <c r="BJ398" t="s">
        <v>279</v>
      </c>
      <c r="BK398">
        <v>25.2</v>
      </c>
      <c r="BL398">
        <v>52.7</v>
      </c>
      <c r="BM398">
        <f>BL398/BK398</f>
        <v>2.0912698412698414</v>
      </c>
      <c r="BN398">
        <f>BL398-BK398</f>
        <v>27.500000000000004</v>
      </c>
      <c r="BO398">
        <f>BN398*tC_to_m3</f>
        <v>119.4094659140252</v>
      </c>
      <c r="BP398" t="s">
        <v>233</v>
      </c>
      <c r="BQ398" s="260" t="s">
        <v>3369</v>
      </c>
      <c r="BR398" t="s">
        <v>279</v>
      </c>
      <c r="BS398">
        <v>444.6</v>
      </c>
      <c r="BT398">
        <v>351</v>
      </c>
      <c r="BU398" s="144">
        <f>IFERROR(BT398/BS398,"")</f>
        <v>0.78947368421052633</v>
      </c>
      <c r="BV398">
        <f>BT398-BS398</f>
        <v>-93.600000000000023</v>
      </c>
      <c r="BW398"/>
      <c r="BX398">
        <f>BV398*C_to_CO2</f>
        <v>-343.51200000000006</v>
      </c>
      <c r="BY398">
        <f>IFERROR(BX398/BO398,"")</f>
        <v>-2.8767568581818184</v>
      </c>
      <c r="BZ398">
        <v>0</v>
      </c>
      <c r="CA398">
        <v>0</v>
      </c>
      <c r="CB398">
        <v>0</v>
      </c>
      <c r="CC398">
        <v>0</v>
      </c>
      <c r="CD398">
        <v>0</v>
      </c>
      <c r="CE398">
        <v>0</v>
      </c>
      <c r="CF398">
        <v>0</v>
      </c>
      <c r="CG398">
        <v>0</v>
      </c>
      <c r="CH398">
        <v>0</v>
      </c>
      <c r="CI398">
        <v>0</v>
      </c>
      <c r="CJ398">
        <v>0</v>
      </c>
      <c r="CK398">
        <v>0</v>
      </c>
      <c r="CL398">
        <v>0</v>
      </c>
      <c r="CM398">
        <v>0</v>
      </c>
      <c r="CN398" t="str">
        <f>IF($BL398&lt;$BK398,"refNeedCorrection","refOK")</f>
        <v>refOK</v>
      </c>
      <c r="CO398">
        <f>IF($CN398="refOK",$BK398,$BL398)</f>
        <v>25.2</v>
      </c>
      <c r="CP398">
        <f>IF($CN398="refOK",$BL398,$BK398)</f>
        <v>52.7</v>
      </c>
      <c r="CQ398">
        <f>IF($CN398="refOK",$BO398,-$BO398)</f>
        <v>119.4094659140252</v>
      </c>
      <c r="CR398">
        <f>IF($CN398="refOK",$BS398,$BT398)*IF($BP398="Emissions positive",-1,1)</f>
        <v>444.6</v>
      </c>
      <c r="CS398">
        <f>IF($CN398="refOK",$BT398,$BS398)*IF($BP398="Emissions positive",-1,1)</f>
        <v>351</v>
      </c>
      <c r="CT398">
        <f>IF($CN398="refNeedCorrection",-BX398,BX398)*IF($BP398="Emissions positive",-1,1)</f>
        <v>-343.51200000000006</v>
      </c>
      <c r="CU398">
        <f>IFERROR(CT398/CQ398,"")</f>
        <v>-2.8767568581818184</v>
      </c>
      <c r="CV398" s="2">
        <f>IFERROR((CS398-CR398)/ABS(CR398),"")</f>
        <v>-0.21052631578947373</v>
      </c>
      <c r="CW398" s="1" t="s">
        <v>1201</v>
      </c>
      <c r="CX398" t="str">
        <f>IF(OR($CW398="prd",$CW398="std",$CW398="cit"),"loc",IF(OR($CW398="eur",$CW398="reg",$CW398="coy"),"reg",$CW398))</f>
        <v>reg</v>
      </c>
      <c r="CY398" t="s">
        <v>1303</v>
      </c>
      <c r="CZ398"/>
      <c r="DA398"/>
      <c r="DB398">
        <v>180</v>
      </c>
      <c r="DC398" t="str">
        <f>IF(DB398=0,"0",IF(AND(DB398&gt;=1,DB398&lt;=30),"1-30",IF(AND(DB398&gt;30,DB398&lt;=70),"31-70",IF(AND(DB398&gt;70,DB398&lt;=100),"71-100",IF(DB398&gt;100,"+100")))))</f>
        <v>+100</v>
      </c>
      <c r="DD398">
        <v>0</v>
      </c>
      <c r="DE398">
        <v>1</v>
      </c>
      <c r="DF398">
        <v>1</v>
      </c>
      <c r="DG398">
        <v>1</v>
      </c>
      <c r="DH398">
        <v>1</v>
      </c>
      <c r="DI398">
        <f>SUM(DD398:DG398)</f>
        <v>3</v>
      </c>
      <c r="DJ398" t="str">
        <f>IF(DI398=1,INDEX($DD$7:$DG$7,MATCH(1,$DD398:$DG398,0)),"mixedProduct")</f>
        <v>mixedProduct</v>
      </c>
      <c r="DK398">
        <f>IF(DD398=1,DK$7,0)</f>
        <v>0</v>
      </c>
      <c r="DL398" t="str">
        <f>IF(DE398=1,DL$7,0)</f>
        <v>Energy</v>
      </c>
      <c r="DM398" t="str">
        <f>IF(DF398=1,DM$7,0)</f>
        <v>Pulp/Paper</v>
      </c>
      <c r="DN398" t="str">
        <f>IF(DG398=1,DN$7,0)</f>
        <v>Timber</v>
      </c>
      <c r="DO398">
        <v>0</v>
      </c>
      <c r="DP398">
        <v>1</v>
      </c>
      <c r="DQ398" t="s">
        <v>1844</v>
      </c>
      <c r="DR398" t="s">
        <v>1845</v>
      </c>
      <c r="DS398">
        <v>0</v>
      </c>
      <c r="DT398">
        <f>SUM(DO398:DP398)</f>
        <v>1</v>
      </c>
      <c r="DU398" s="143" t="str">
        <f>IF(DO398=1,"self-calculated DF",IF(DP398=1,"external DF used","explicit C balance"))</f>
        <v>external DF used</v>
      </c>
      <c r="DV398">
        <v>1</v>
      </c>
      <c r="DW398">
        <v>1</v>
      </c>
      <c r="DX398">
        <v>1</v>
      </c>
      <c r="DY398">
        <v>1</v>
      </c>
      <c r="DZ398">
        <v>1</v>
      </c>
      <c r="EA398">
        <v>1</v>
      </c>
      <c r="EB398">
        <v>0</v>
      </c>
      <c r="EC398">
        <v>0</v>
      </c>
      <c r="ED398">
        <v>0</v>
      </c>
      <c r="EE398">
        <v>0</v>
      </c>
      <c r="EF398">
        <v>1</v>
      </c>
      <c r="EG398">
        <v>0</v>
      </c>
      <c r="EH398">
        <v>0</v>
      </c>
      <c r="EI398" s="2">
        <v>0</v>
      </c>
      <c r="EJ398" s="1"/>
      <c r="EK398" t="str">
        <f>IF(AND(AND(AND(OR($DX398=1,$DW398=1),OR($EC398=1,$EA398=1)),SUM($DV398:$DZ398,$EF398)&gt;=4),SUM($EA398:$EE398)&gt;=2),"Whole sector","")</f>
        <v/>
      </c>
      <c r="EL398" t="str">
        <f>IF(AND(AND(OR($DX398=1,$DW398=1),AND($EC398=0,$EA398=0)),SUM($DV398:$DZ398,$EF398)&gt;=4),"Ecosystem approach","")</f>
        <v/>
      </c>
      <c r="EM398" s="2" t="str">
        <f>IF(AND(AND(AND($DX398=0,$DW398=0),OR($EC398=1,$EA398=1)),SUM($EB398:$EE398)&gt;=2),"Technology approach","")</f>
        <v/>
      </c>
      <c r="EN398"/>
      <c r="EO398"/>
      <c r="EP398" t="str">
        <f>IF(ISNUMBER(BU398),IF(ABS(BU398-[4]QC_indicators!$B$2)&gt;3*[4]QC_indicators!$C$2,"C ratio",IF(ISNUMBER(BY398),IF(ABS(BY398-[4]QC_indicators!$B$1)&gt;3*[4]QC_indicators!$C$1,"DF","no"))),IF(ISNUMBER(BY398),IF(ABS(BY398-[4]QC_indicators!$B$1)&gt;3*[4]QC_indicators!$C$1,"DF","no")))</f>
        <v>no</v>
      </c>
      <c r="EQ398"/>
      <c r="ER398"/>
      <c r="ES398"/>
      <c r="ET398" s="266" t="s">
        <v>3275</v>
      </c>
      <c r="EU398"/>
    </row>
    <row r="399" spans="1:151" s="139" customFormat="1" ht="15" hidden="1" customHeight="1">
      <c r="A399" s="1" t="s">
        <v>1140</v>
      </c>
      <c r="B399" t="s">
        <v>1834</v>
      </c>
      <c r="C399" t="s">
        <v>1835</v>
      </c>
      <c r="D399" t="s">
        <v>1836</v>
      </c>
      <c r="E399" t="s">
        <v>1837</v>
      </c>
      <c r="F399" t="s">
        <v>1838</v>
      </c>
      <c r="G399" t="s">
        <v>1141</v>
      </c>
      <c r="H399" t="s">
        <v>255</v>
      </c>
      <c r="I399">
        <v>2013</v>
      </c>
      <c r="J399">
        <v>26</v>
      </c>
      <c r="K399" t="s">
        <v>1839</v>
      </c>
      <c r="L399"/>
      <c r="M399" t="str">
        <f>LEFT($D399,FIND(",",$D399)-1)&amp;"_"&amp;I399&amp;L399</f>
        <v>Klein_2013</v>
      </c>
      <c r="N399" t="s">
        <v>223</v>
      </c>
      <c r="O399" s="145" t="s">
        <v>514</v>
      </c>
      <c r="P399"/>
      <c r="Q399" t="s">
        <v>257</v>
      </c>
      <c r="R399" s="255" t="s">
        <v>226</v>
      </c>
      <c r="S399" s="1" t="s">
        <v>1846</v>
      </c>
      <c r="T399" t="s">
        <v>1847</v>
      </c>
      <c r="U399" t="s">
        <v>1849</v>
      </c>
      <c r="V399">
        <v>0</v>
      </c>
      <c r="W399">
        <v>0</v>
      </c>
      <c r="X399">
        <v>0</v>
      </c>
      <c r="Y399">
        <v>0</v>
      </c>
      <c r="Z399">
        <v>1</v>
      </c>
      <c r="AA399">
        <v>0</v>
      </c>
      <c r="AB399">
        <v>0</v>
      </c>
      <c r="AC399">
        <v>0</v>
      </c>
      <c r="AD399">
        <v>0</v>
      </c>
      <c r="AE399">
        <v>0</v>
      </c>
      <c r="AF399">
        <v>0</v>
      </c>
      <c r="AG399">
        <v>0</v>
      </c>
      <c r="AH399">
        <v>0</v>
      </c>
      <c r="AI399">
        <v>0</v>
      </c>
      <c r="AJ399">
        <v>0</v>
      </c>
      <c r="AK399">
        <v>0</v>
      </c>
      <c r="AL399">
        <v>0</v>
      </c>
      <c r="AM399">
        <v>0</v>
      </c>
      <c r="AN399">
        <v>0</v>
      </c>
      <c r="AO399">
        <v>0</v>
      </c>
      <c r="AP399">
        <v>0</v>
      </c>
      <c r="AQ399">
        <v>0</v>
      </c>
      <c r="AR399">
        <v>0</v>
      </c>
      <c r="AS399">
        <v>0</v>
      </c>
      <c r="AT399">
        <v>0</v>
      </c>
      <c r="AU399">
        <v>0</v>
      </c>
      <c r="AV399">
        <v>0</v>
      </c>
      <c r="AW399">
        <v>0</v>
      </c>
      <c r="AX399" s="141">
        <f>COUNTIF(V399:AW399,"&lt;&gt;0")</f>
        <v>1</v>
      </c>
      <c r="AY399" s="141">
        <f>COUNTIF(V399:AL399,"&lt;&gt;0")</f>
        <v>1</v>
      </c>
      <c r="AZ399">
        <f>COUNTIF(V399:AC399,"&lt;&gt;0")</f>
        <v>1</v>
      </c>
      <c r="BA399">
        <f>COUNTIF(AD399:AI399,"&lt;&gt;0")</f>
        <v>0</v>
      </c>
      <c r="BB399">
        <f>COUNTIF(AJ399:AL399,"&lt;&gt;0")</f>
        <v>0</v>
      </c>
      <c r="BC399">
        <f>COUNTIF(AS399:AW399,"&lt;&gt;0")</f>
        <v>0</v>
      </c>
      <c r="BD399">
        <f>COUNTIF(AM399:AR399,"&lt;&gt;0")</f>
        <v>0</v>
      </c>
      <c r="BE399" t="str">
        <f t="array" ref="BE399">IF(AY399=1,INDEX($V$7:$AL$7,MATCH(TRUE,INDEX($V399:$AW399&lt;&gt;0,),0)),IF(AY399=0,INDEX($AM$7:$AW$7,MATCH(1,$AM399:$AW399,0)),IF(BF399="Multiple strategies","mixed drivers",IF(BF399="Supply chain","multiple supply","multiple silviculture"))))</f>
        <v>species</v>
      </c>
      <c r="BF399" s="2" t="str" cm="1">
        <f t="array" ref="BF399">IF(COUNTIF(AZ399:BB399,"&lt;&gt;0")=1,INDEX($V$4:$AW$4,MATCH(TRUE,INDEX($V399:$AW399&lt;&gt;0,),0)),IF(COUNTIF(AZ399:BB399,"&lt;&gt;0")=0,INDEX($AM$4:$AW$4,MATCH(1,$AM399:$AW399,0)),"Multiple strategies"))</f>
        <v>SilvicultureProd</v>
      </c>
      <c r="BG399" s="1" t="s">
        <v>322</v>
      </c>
      <c r="BH399" t="s">
        <v>1843</v>
      </c>
      <c r="BI399" s="260" t="s">
        <v>3370</v>
      </c>
      <c r="BJ399" t="s">
        <v>279</v>
      </c>
      <c r="BK399">
        <v>25.2</v>
      </c>
      <c r="BL399">
        <v>63</v>
      </c>
      <c r="BM399">
        <f>BL399/BK399</f>
        <v>2.5</v>
      </c>
      <c r="BN399">
        <f>BL399-BK399</f>
        <v>37.799999999999997</v>
      </c>
      <c r="BO399">
        <f>BN399*tC_to_m3</f>
        <v>164.13373860182369</v>
      </c>
      <c r="BP399" t="s">
        <v>233</v>
      </c>
      <c r="BQ399" s="260" t="s">
        <v>3369</v>
      </c>
      <c r="BR399" t="s">
        <v>279</v>
      </c>
      <c r="BS399">
        <v>444.6</v>
      </c>
      <c r="BT399">
        <v>493.2</v>
      </c>
      <c r="BU399" s="144">
        <f>IFERROR(BT399/BS399,"")</f>
        <v>1.1093117408906881</v>
      </c>
      <c r="BV399">
        <f>BT399-BS399</f>
        <v>48.599999999999966</v>
      </c>
      <c r="BW399"/>
      <c r="BX399">
        <f>BV399*C_to_CO2</f>
        <v>178.36199999999988</v>
      </c>
      <c r="BY399">
        <f>IFERROR(BX399/BO399,"")</f>
        <v>1.0866869999999993</v>
      </c>
      <c r="BZ399">
        <v>0</v>
      </c>
      <c r="CA399">
        <v>0</v>
      </c>
      <c r="CB399">
        <v>0</v>
      </c>
      <c r="CC399">
        <v>0</v>
      </c>
      <c r="CD399">
        <v>0</v>
      </c>
      <c r="CE399">
        <v>0</v>
      </c>
      <c r="CF399">
        <v>0</v>
      </c>
      <c r="CG399">
        <v>0</v>
      </c>
      <c r="CH399">
        <v>0</v>
      </c>
      <c r="CI399">
        <v>0</v>
      </c>
      <c r="CJ399">
        <v>0</v>
      </c>
      <c r="CK399">
        <v>0</v>
      </c>
      <c r="CL399">
        <v>0</v>
      </c>
      <c r="CM399">
        <v>0</v>
      </c>
      <c r="CN399" t="str">
        <f>IF($BL399&lt;$BK399,"refNeedCorrection","refOK")</f>
        <v>refOK</v>
      </c>
      <c r="CO399">
        <f>IF($CN399="refOK",$BK399,$BL399)</f>
        <v>25.2</v>
      </c>
      <c r="CP399">
        <f>IF($CN399="refOK",$BL399,$BK399)</f>
        <v>63</v>
      </c>
      <c r="CQ399">
        <f>IF($CN399="refOK",$BO399,-$BO399)</f>
        <v>164.13373860182369</v>
      </c>
      <c r="CR399">
        <f>IF($CN399="refOK",$BS399,$BT399)*IF($BP399="Emissions positive",-1,1)</f>
        <v>444.6</v>
      </c>
      <c r="CS399">
        <f>IF($CN399="refOK",$BT399,$BS399)*IF($BP399="Emissions positive",-1,1)</f>
        <v>493.2</v>
      </c>
      <c r="CT399">
        <f>IF($CN399="refNeedCorrection",-BX399,BX399)*IF($BP399="Emissions positive",-1,1)</f>
        <v>178.36199999999988</v>
      </c>
      <c r="CU399">
        <f>IFERROR(CT399/CQ399,"")</f>
        <v>1.0866869999999993</v>
      </c>
      <c r="CV399" s="2">
        <f>IFERROR((CS399-CR399)/ABS(CR399),"")</f>
        <v>0.10931174089068818</v>
      </c>
      <c r="CW399" s="1" t="s">
        <v>1201</v>
      </c>
      <c r="CX399" t="str">
        <f>IF(OR($CW399="prd",$CW399="std",$CW399="cit"),"loc",IF(OR($CW399="eur",$CW399="reg",$CW399="coy"),"reg",$CW399))</f>
        <v>reg</v>
      </c>
      <c r="CY399" t="s">
        <v>1303</v>
      </c>
      <c r="CZ399"/>
      <c r="DA399"/>
      <c r="DB399">
        <v>180</v>
      </c>
      <c r="DC399" t="str">
        <f>IF(DB399=0,"0",IF(AND(DB399&gt;=1,DB399&lt;=30),"1-30",IF(AND(DB399&gt;30,DB399&lt;=70),"31-70",IF(AND(DB399&gt;70,DB399&lt;=100),"71-100",IF(DB399&gt;100,"+100")))))</f>
        <v>+100</v>
      </c>
      <c r="DD399">
        <v>0</v>
      </c>
      <c r="DE399">
        <v>1</v>
      </c>
      <c r="DF399">
        <v>1</v>
      </c>
      <c r="DG399">
        <v>1</v>
      </c>
      <c r="DH399">
        <v>1</v>
      </c>
      <c r="DI399">
        <f>SUM(DD399:DG399)</f>
        <v>3</v>
      </c>
      <c r="DJ399" t="str">
        <f>IF(DI399=1,INDEX($DD$7:$DG$7,MATCH(1,$DD399:$DG399,0)),"mixedProduct")</f>
        <v>mixedProduct</v>
      </c>
      <c r="DK399">
        <f>IF(DD399=1,DK$7,0)</f>
        <v>0</v>
      </c>
      <c r="DL399" t="str">
        <f>IF(DE399=1,DL$7,0)</f>
        <v>Energy</v>
      </c>
      <c r="DM399" t="str">
        <f>IF(DF399=1,DM$7,0)</f>
        <v>Pulp/Paper</v>
      </c>
      <c r="DN399" t="str">
        <f>IF(DG399=1,DN$7,0)</f>
        <v>Timber</v>
      </c>
      <c r="DO399">
        <v>0</v>
      </c>
      <c r="DP399">
        <v>1</v>
      </c>
      <c r="DQ399" t="s">
        <v>1844</v>
      </c>
      <c r="DR399" t="s">
        <v>1845</v>
      </c>
      <c r="DS399">
        <v>0</v>
      </c>
      <c r="DT399">
        <f>SUM(DO399:DP399)</f>
        <v>1</v>
      </c>
      <c r="DU399" s="143" t="str">
        <f>IF(DO399=1,"self-calculated DF",IF(DP399=1,"external DF used","explicit C balance"))</f>
        <v>external DF used</v>
      </c>
      <c r="DV399">
        <v>1</v>
      </c>
      <c r="DW399">
        <v>1</v>
      </c>
      <c r="DX399">
        <v>1</v>
      </c>
      <c r="DY399">
        <v>1</v>
      </c>
      <c r="DZ399">
        <v>1</v>
      </c>
      <c r="EA399">
        <v>1</v>
      </c>
      <c r="EB399">
        <v>0</v>
      </c>
      <c r="EC399">
        <v>0</v>
      </c>
      <c r="ED399">
        <v>0</v>
      </c>
      <c r="EE399">
        <v>0</v>
      </c>
      <c r="EF399">
        <v>1</v>
      </c>
      <c r="EG399">
        <v>0</v>
      </c>
      <c r="EH399">
        <v>0</v>
      </c>
      <c r="EI399" s="2">
        <v>0</v>
      </c>
      <c r="EJ399" s="1"/>
      <c r="EK399" t="str">
        <f>IF(AND(AND(AND(OR($DX399=1,$DW399=1),OR($EC399=1,$EA399=1)),SUM($DV399:$DZ399,$EF399)&gt;=4),SUM($EA399:$EE399)&gt;=2),"Whole sector","")</f>
        <v/>
      </c>
      <c r="EL399" t="str">
        <f>IF(AND(AND(OR($DX399=1,$DW399=1),AND($EC399=0,$EA399=0)),SUM($DV399:$DZ399,$EF399)&gt;=4),"Ecosystem approach","")</f>
        <v/>
      </c>
      <c r="EM399" s="2" t="str">
        <f>IF(AND(AND(AND($DX399=0,$DW399=0),OR($EC399=1,$EA399=1)),SUM($EB399:$EE399)&gt;=2),"Technology approach","")</f>
        <v/>
      </c>
      <c r="EN399"/>
      <c r="EO399"/>
      <c r="EP399" t="str">
        <f>IF(ISNUMBER(BU399),IF(ABS(BU399-[4]QC_indicators!$B$2)&gt;3*[4]QC_indicators!$C$2,"C ratio",IF(ISNUMBER(BY399),IF(ABS(BY399-[4]QC_indicators!$B$1)&gt;3*[4]QC_indicators!$C$1,"DF","no"))),IF(ISNUMBER(BY399),IF(ABS(BY399-[4]QC_indicators!$B$1)&gt;3*[4]QC_indicators!$C$1,"DF","no")))</f>
        <v>no</v>
      </c>
      <c r="EQ399"/>
      <c r="ER399"/>
      <c r="ES399"/>
      <c r="ET399" s="266" t="s">
        <v>3275</v>
      </c>
      <c r="EU399"/>
    </row>
    <row r="400" spans="1:151" s="139" customFormat="1" ht="15" hidden="1" customHeight="1">
      <c r="A400" s="1" t="s">
        <v>1140</v>
      </c>
      <c r="B400" t="s">
        <v>1834</v>
      </c>
      <c r="C400" t="s">
        <v>1835</v>
      </c>
      <c r="D400" t="s">
        <v>1836</v>
      </c>
      <c r="E400" t="s">
        <v>1837</v>
      </c>
      <c r="F400" t="s">
        <v>1838</v>
      </c>
      <c r="G400" t="s">
        <v>1141</v>
      </c>
      <c r="H400" t="s">
        <v>255</v>
      </c>
      <c r="I400">
        <v>2013</v>
      </c>
      <c r="J400">
        <v>26</v>
      </c>
      <c r="K400" t="s">
        <v>1839</v>
      </c>
      <c r="L400"/>
      <c r="M400" t="str">
        <f>LEFT($D400,FIND(",",$D400)-1)&amp;"_"&amp;I400&amp;L400</f>
        <v>Klein_2013</v>
      </c>
      <c r="N400" t="s">
        <v>223</v>
      </c>
      <c r="O400" s="145" t="s">
        <v>514</v>
      </c>
      <c r="P400"/>
      <c r="Q400" t="s">
        <v>257</v>
      </c>
      <c r="R400" s="255" t="s">
        <v>226</v>
      </c>
      <c r="S400" s="1" t="s">
        <v>1846</v>
      </c>
      <c r="T400" t="s">
        <v>1847</v>
      </c>
      <c r="U400" t="s">
        <v>1850</v>
      </c>
      <c r="V400">
        <v>0</v>
      </c>
      <c r="W400">
        <v>0</v>
      </c>
      <c r="X400">
        <v>0</v>
      </c>
      <c r="Y400">
        <v>0</v>
      </c>
      <c r="Z400">
        <v>1</v>
      </c>
      <c r="AA400">
        <v>0</v>
      </c>
      <c r="AB400">
        <v>0</v>
      </c>
      <c r="AC400">
        <v>0</v>
      </c>
      <c r="AD400">
        <v>0</v>
      </c>
      <c r="AE400">
        <v>0</v>
      </c>
      <c r="AF400">
        <v>0</v>
      </c>
      <c r="AG400">
        <v>0</v>
      </c>
      <c r="AH400">
        <v>0</v>
      </c>
      <c r="AI400">
        <v>0</v>
      </c>
      <c r="AJ400">
        <v>0</v>
      </c>
      <c r="AK400">
        <v>0</v>
      </c>
      <c r="AL400">
        <v>0</v>
      </c>
      <c r="AM400">
        <v>0</v>
      </c>
      <c r="AN400">
        <v>0</v>
      </c>
      <c r="AO400">
        <v>0</v>
      </c>
      <c r="AP400">
        <v>0</v>
      </c>
      <c r="AQ400">
        <v>0</v>
      </c>
      <c r="AR400">
        <v>0</v>
      </c>
      <c r="AS400">
        <v>0</v>
      </c>
      <c r="AT400">
        <v>0</v>
      </c>
      <c r="AU400">
        <v>0</v>
      </c>
      <c r="AV400">
        <v>0</v>
      </c>
      <c r="AW400">
        <v>0</v>
      </c>
      <c r="AX400" s="141">
        <f>COUNTIF(V400:AW400,"&lt;&gt;0")</f>
        <v>1</v>
      </c>
      <c r="AY400" s="141">
        <f>COUNTIF(V400:AL400,"&lt;&gt;0")</f>
        <v>1</v>
      </c>
      <c r="AZ400">
        <f>COUNTIF(V400:AC400,"&lt;&gt;0")</f>
        <v>1</v>
      </c>
      <c r="BA400">
        <f>COUNTIF(AD400:AI400,"&lt;&gt;0")</f>
        <v>0</v>
      </c>
      <c r="BB400">
        <f>COUNTIF(AJ400:AL400,"&lt;&gt;0")</f>
        <v>0</v>
      </c>
      <c r="BC400">
        <f>COUNTIF(AS400:AW400,"&lt;&gt;0")</f>
        <v>0</v>
      </c>
      <c r="BD400">
        <f>COUNTIF(AM400:AR400,"&lt;&gt;0")</f>
        <v>0</v>
      </c>
      <c r="BE400" t="str">
        <f t="array" ref="BE400">IF(AY400=1,INDEX($V$7:$AL$7,MATCH(TRUE,INDEX($V400:$AW400&lt;&gt;0,),0)),IF(AY400=0,INDEX($AM$7:$AW$7,MATCH(1,$AM400:$AW400,0)),IF(BF400="Multiple strategies","mixed drivers",IF(BF400="Supply chain","multiple supply","multiple silviculture"))))</f>
        <v>species</v>
      </c>
      <c r="BF400" s="2" t="str" cm="1">
        <f t="array" ref="BF400">IF(COUNTIF(AZ400:BB400,"&lt;&gt;0")=1,INDEX($V$4:$AW$4,MATCH(TRUE,INDEX($V400:$AW400&lt;&gt;0,),0)),IF(COUNTIF(AZ400:BB400,"&lt;&gt;0")=0,INDEX($AM$4:$AW$4,MATCH(1,$AM400:$AW400,0)),"Multiple strategies"))</f>
        <v>SilvicultureProd</v>
      </c>
      <c r="BG400" s="1" t="s">
        <v>322</v>
      </c>
      <c r="BH400" t="s">
        <v>1843</v>
      </c>
      <c r="BI400" s="260" t="s">
        <v>3370</v>
      </c>
      <c r="BJ400" t="s">
        <v>279</v>
      </c>
      <c r="BK400">
        <v>25.2</v>
      </c>
      <c r="BL400">
        <v>72.8</v>
      </c>
      <c r="BM400">
        <f>BL400/BK400</f>
        <v>2.8888888888888888</v>
      </c>
      <c r="BN400">
        <f>BL400-BK400</f>
        <v>47.599999999999994</v>
      </c>
      <c r="BO400">
        <f>BN400*tC_to_m3</f>
        <v>206.68693009118539</v>
      </c>
      <c r="BP400" t="s">
        <v>233</v>
      </c>
      <c r="BQ400" s="260" t="s">
        <v>3369</v>
      </c>
      <c r="BR400" t="s">
        <v>279</v>
      </c>
      <c r="BS400">
        <v>444.6</v>
      </c>
      <c r="BT400">
        <v>664.2</v>
      </c>
      <c r="BU400" s="144">
        <f>IFERROR(BT400/BS400,"")</f>
        <v>1.4939271255060729</v>
      </c>
      <c r="BV400">
        <f>BT400-BS400</f>
        <v>219.60000000000002</v>
      </c>
      <c r="BW400"/>
      <c r="BX400">
        <f>BV400*C_to_CO2</f>
        <v>805.93200000000002</v>
      </c>
      <c r="BY400">
        <f>IFERROR(BX400/BO400,"")</f>
        <v>3.8992886470588242</v>
      </c>
      <c r="BZ400">
        <v>0</v>
      </c>
      <c r="CA400">
        <v>0</v>
      </c>
      <c r="CB400">
        <v>0</v>
      </c>
      <c r="CC400">
        <v>0</v>
      </c>
      <c r="CD400">
        <v>0</v>
      </c>
      <c r="CE400">
        <v>0</v>
      </c>
      <c r="CF400">
        <v>0</v>
      </c>
      <c r="CG400">
        <v>0</v>
      </c>
      <c r="CH400">
        <v>0</v>
      </c>
      <c r="CI400">
        <v>0</v>
      </c>
      <c r="CJ400">
        <v>0</v>
      </c>
      <c r="CK400">
        <v>0</v>
      </c>
      <c r="CL400">
        <v>0</v>
      </c>
      <c r="CM400">
        <v>0</v>
      </c>
      <c r="CN400" t="str">
        <f>IF($BL400&lt;$BK400,"refNeedCorrection","refOK")</f>
        <v>refOK</v>
      </c>
      <c r="CO400">
        <f>IF($CN400="refOK",$BK400,$BL400)</f>
        <v>25.2</v>
      </c>
      <c r="CP400">
        <f>IF($CN400="refOK",$BL400,$BK400)</f>
        <v>72.8</v>
      </c>
      <c r="CQ400">
        <f>IF($CN400="refOK",$BO400,-$BO400)</f>
        <v>206.68693009118539</v>
      </c>
      <c r="CR400">
        <f>IF($CN400="refOK",$BS400,$BT400)*IF($BP400="Emissions positive",-1,1)</f>
        <v>444.6</v>
      </c>
      <c r="CS400">
        <f>IF($CN400="refOK",$BT400,$BS400)*IF($BP400="Emissions positive",-1,1)</f>
        <v>664.2</v>
      </c>
      <c r="CT400">
        <f>IF($CN400="refNeedCorrection",-BX400,BX400)*IF($BP400="Emissions positive",-1,1)</f>
        <v>805.93200000000002</v>
      </c>
      <c r="CU400">
        <f>IFERROR(CT400/CQ400,"")</f>
        <v>3.8992886470588242</v>
      </c>
      <c r="CV400" s="2">
        <f>IFERROR((CS400-CR400)/ABS(CR400),"")</f>
        <v>0.49392712550607287</v>
      </c>
      <c r="CW400" s="1" t="s">
        <v>1201</v>
      </c>
      <c r="CX400" t="str">
        <f>IF(OR($CW400="prd",$CW400="std",$CW400="cit"),"loc",IF(OR($CW400="eur",$CW400="reg",$CW400="coy"),"reg",$CW400))</f>
        <v>reg</v>
      </c>
      <c r="CY400" t="s">
        <v>1303</v>
      </c>
      <c r="CZ400"/>
      <c r="DA400"/>
      <c r="DB400">
        <v>180</v>
      </c>
      <c r="DC400" t="str">
        <f>IF(DB400=0,"0",IF(AND(DB400&gt;=1,DB400&lt;=30),"1-30",IF(AND(DB400&gt;30,DB400&lt;=70),"31-70",IF(AND(DB400&gt;70,DB400&lt;=100),"71-100",IF(DB400&gt;100,"+100")))))</f>
        <v>+100</v>
      </c>
      <c r="DD400">
        <v>0</v>
      </c>
      <c r="DE400">
        <v>1</v>
      </c>
      <c r="DF400">
        <v>1</v>
      </c>
      <c r="DG400">
        <v>1</v>
      </c>
      <c r="DH400">
        <v>1</v>
      </c>
      <c r="DI400">
        <f>SUM(DD400:DG400)</f>
        <v>3</v>
      </c>
      <c r="DJ400" t="str">
        <f>IF(DI400=1,INDEX($DD$7:$DG$7,MATCH(1,$DD400:$DG400,0)),"mixedProduct")</f>
        <v>mixedProduct</v>
      </c>
      <c r="DK400">
        <f>IF(DD400=1,DK$7,0)</f>
        <v>0</v>
      </c>
      <c r="DL400" t="str">
        <f>IF(DE400=1,DL$7,0)</f>
        <v>Energy</v>
      </c>
      <c r="DM400" t="str">
        <f>IF(DF400=1,DM$7,0)</f>
        <v>Pulp/Paper</v>
      </c>
      <c r="DN400" t="str">
        <f>IF(DG400=1,DN$7,0)</f>
        <v>Timber</v>
      </c>
      <c r="DO400">
        <v>0</v>
      </c>
      <c r="DP400">
        <v>1</v>
      </c>
      <c r="DQ400" t="s">
        <v>1844</v>
      </c>
      <c r="DR400" t="s">
        <v>1845</v>
      </c>
      <c r="DS400">
        <v>0</v>
      </c>
      <c r="DT400">
        <f>SUM(DO400:DP400)</f>
        <v>1</v>
      </c>
      <c r="DU400" s="143" t="str">
        <f>IF(DO400=1,"self-calculated DF",IF(DP400=1,"external DF used","explicit C balance"))</f>
        <v>external DF used</v>
      </c>
      <c r="DV400">
        <v>1</v>
      </c>
      <c r="DW400">
        <v>1</v>
      </c>
      <c r="DX400">
        <v>1</v>
      </c>
      <c r="DY400">
        <v>1</v>
      </c>
      <c r="DZ400">
        <v>1</v>
      </c>
      <c r="EA400">
        <v>1</v>
      </c>
      <c r="EB400">
        <v>0</v>
      </c>
      <c r="EC400">
        <v>0</v>
      </c>
      <c r="ED400">
        <v>0</v>
      </c>
      <c r="EE400">
        <v>0</v>
      </c>
      <c r="EF400">
        <v>1</v>
      </c>
      <c r="EG400">
        <v>0</v>
      </c>
      <c r="EH400">
        <v>0</v>
      </c>
      <c r="EI400" s="2">
        <v>0</v>
      </c>
      <c r="EJ400" s="1"/>
      <c r="EK400" t="str">
        <f>IF(AND(AND(AND(OR($DX400=1,$DW400=1),OR($EC400=1,$EA400=1)),SUM($DV400:$DZ400,$EF400)&gt;=4),SUM($EA400:$EE400)&gt;=2),"Whole sector","")</f>
        <v/>
      </c>
      <c r="EL400" t="str">
        <f>IF(AND(AND(OR($DX400=1,$DW400=1),AND($EC400=0,$EA400=0)),SUM($DV400:$DZ400,$EF400)&gt;=4),"Ecosystem approach","")</f>
        <v/>
      </c>
      <c r="EM400" s="2" t="str">
        <f>IF(AND(AND(AND($DX400=0,$DW400=0),OR($EC400=1,$EA400=1)),SUM($EB400:$EE400)&gt;=2),"Technology approach","")</f>
        <v/>
      </c>
      <c r="EN400"/>
      <c r="EO400"/>
      <c r="EP400" t="str">
        <f>IF(ISNUMBER(BU400),IF(ABS(BU400-[4]QC_indicators!$B$2)&gt;3*[4]QC_indicators!$C$2,"C ratio",IF(ISNUMBER(BY400),IF(ABS(BY400-[4]QC_indicators!$B$1)&gt;3*[4]QC_indicators!$C$1,"DF","no"))),IF(ISNUMBER(BY400),IF(ABS(BY400-[4]QC_indicators!$B$1)&gt;3*[4]QC_indicators!$C$1,"DF","no")))</f>
        <v>no</v>
      </c>
      <c r="EQ400"/>
      <c r="ER400"/>
      <c r="ES400"/>
      <c r="ET400" s="266" t="s">
        <v>3275</v>
      </c>
      <c r="EU400"/>
    </row>
    <row r="401" spans="1:151" s="139" customFormat="1" ht="15" hidden="1" customHeight="1">
      <c r="A401" s="1" t="s">
        <v>1272</v>
      </c>
      <c r="B401" t="s">
        <v>1871</v>
      </c>
      <c r="C401" t="s">
        <v>1872</v>
      </c>
      <c r="D401" t="s">
        <v>1873</v>
      </c>
      <c r="E401" t="s">
        <v>1874</v>
      </c>
      <c r="F401" t="s">
        <v>1875</v>
      </c>
      <c r="G401" t="s">
        <v>1278</v>
      </c>
      <c r="H401" t="s">
        <v>255</v>
      </c>
      <c r="I401">
        <v>2019</v>
      </c>
      <c r="J401">
        <v>2</v>
      </c>
      <c r="K401" t="s">
        <v>1876</v>
      </c>
      <c r="L401"/>
      <c r="M401" t="str">
        <f>LEFT($D401,FIND(",",$D401)-1)&amp;"_"&amp;I401&amp;L401</f>
        <v>Kucuker_2019</v>
      </c>
      <c r="N401" t="s">
        <v>223</v>
      </c>
      <c r="O401" s="145" t="s">
        <v>226</v>
      </c>
      <c r="P401"/>
      <c r="Q401" s="266" t="s">
        <v>257</v>
      </c>
      <c r="R401" s="271" t="s">
        <v>1156</v>
      </c>
      <c r="S401" s="1" t="s">
        <v>1885</v>
      </c>
      <c r="T401" t="s">
        <v>1886</v>
      </c>
      <c r="U401" t="s">
        <v>1887</v>
      </c>
      <c r="V401">
        <v>0</v>
      </c>
      <c r="W401">
        <v>0</v>
      </c>
      <c r="X401">
        <v>0</v>
      </c>
      <c r="Y401">
        <v>0</v>
      </c>
      <c r="Z401">
        <v>1</v>
      </c>
      <c r="AA401">
        <v>0</v>
      </c>
      <c r="AB401">
        <v>0</v>
      </c>
      <c r="AC401">
        <v>0</v>
      </c>
      <c r="AD401">
        <v>0</v>
      </c>
      <c r="AE401">
        <v>0</v>
      </c>
      <c r="AF401">
        <v>0</v>
      </c>
      <c r="AG401">
        <v>0</v>
      </c>
      <c r="AH401">
        <v>0</v>
      </c>
      <c r="AI401">
        <v>0</v>
      </c>
      <c r="AJ401">
        <v>0</v>
      </c>
      <c r="AK401">
        <v>0</v>
      </c>
      <c r="AL401">
        <v>0</v>
      </c>
      <c r="AM401">
        <v>0</v>
      </c>
      <c r="AN401">
        <v>0</v>
      </c>
      <c r="AO401">
        <v>0</v>
      </c>
      <c r="AP401">
        <v>0</v>
      </c>
      <c r="AQ401">
        <v>0</v>
      </c>
      <c r="AR401">
        <v>0</v>
      </c>
      <c r="AS401">
        <v>0</v>
      </c>
      <c r="AT401">
        <v>0</v>
      </c>
      <c r="AU401">
        <v>0</v>
      </c>
      <c r="AV401">
        <v>0</v>
      </c>
      <c r="AW401">
        <v>0</v>
      </c>
      <c r="AX401" s="141">
        <f>COUNTIF(V401:AW401,"&lt;&gt;0")</f>
        <v>1</v>
      </c>
      <c r="AY401" s="141">
        <f>COUNTIF(V401:AL401,"&lt;&gt;0")</f>
        <v>1</v>
      </c>
      <c r="AZ401">
        <f>COUNTIF(V401:AC401,"&lt;&gt;0")</f>
        <v>1</v>
      </c>
      <c r="BA401">
        <f>COUNTIF(AD401:AI401,"&lt;&gt;0")</f>
        <v>0</v>
      </c>
      <c r="BB401">
        <f>COUNTIF(AJ401:AL401,"&lt;&gt;0")</f>
        <v>0</v>
      </c>
      <c r="BC401">
        <f>COUNTIF(AS401:AW401,"&lt;&gt;0")</f>
        <v>0</v>
      </c>
      <c r="BD401">
        <f>COUNTIF(AM401:AR401,"&lt;&gt;0")</f>
        <v>0</v>
      </c>
      <c r="BE401" t="str" cm="1">
        <f t="array" ref="BE401">IF(AY401=1,INDEX($V$7:$AL$7,MATCH(TRUE,INDEX($V401:$AW401&lt;&gt;0,),0)),IF(AY401=0,INDEX($AM$7:$AW$7,MATCH(1,$AM401:$AW401,0)),IF(BF401="Multiple strategies","mixed drivers",IF(BF401="Supply chain","multiple supply","multiple silviculture"))))</f>
        <v>species</v>
      </c>
      <c r="BF401" s="2" t="str" cm="1">
        <f t="array" ref="BF401">IF(COUNTIF(AZ401:BB401,"&lt;&gt;0")=1,INDEX($V$4:$AW$4,MATCH(TRUE,INDEX($V401:$AW401&lt;&gt;0,),0)),IF(COUNTIF(AZ401:BB401,"&lt;&gt;0")=0,INDEX($AM$4:$AW$4,MATCH(1,$AM401:$AW401,0)),"Multiple strategies"))</f>
        <v>SilvicultureProd</v>
      </c>
      <c r="BG401" s="173" t="s">
        <v>322</v>
      </c>
      <c r="BH401" t="s">
        <v>183</v>
      </c>
      <c r="BI401"/>
      <c r="BJ401" t="s">
        <v>1772</v>
      </c>
      <c r="BK401" s="143">
        <v>6710</v>
      </c>
      <c r="BL401">
        <v>6758</v>
      </c>
      <c r="BM401" s="266">
        <f>BL401/BK401</f>
        <v>1.0071535022354694</v>
      </c>
      <c r="BN401">
        <f>BL401-BK401</f>
        <v>48</v>
      </c>
      <c r="BO401" s="143">
        <f>BN401*10^3</f>
        <v>48000</v>
      </c>
      <c r="BP401" t="s">
        <v>233</v>
      </c>
      <c r="BQ401"/>
      <c r="BR401" t="s">
        <v>1879</v>
      </c>
      <c r="BS401">
        <v>3139</v>
      </c>
      <c r="BT401" s="143">
        <v>2990</v>
      </c>
      <c r="BU401" s="144">
        <f>IFERROR(BT401/BS401,"")</f>
        <v>0.95253265371137308</v>
      </c>
      <c r="BV401">
        <f>BT401-BS401</f>
        <v>-149</v>
      </c>
      <c r="BW401"/>
      <c r="BX401">
        <f>BV401*10^9/10^6*C_to_CO2</f>
        <v>-546830</v>
      </c>
      <c r="BY401">
        <f>IFERROR(BX401/BO401,"")</f>
        <v>-11.392291666666667</v>
      </c>
      <c r="BZ401">
        <v>0</v>
      </c>
      <c r="CA401">
        <v>0</v>
      </c>
      <c r="CB401">
        <v>0</v>
      </c>
      <c r="CC401">
        <v>0</v>
      </c>
      <c r="CD401">
        <v>0</v>
      </c>
      <c r="CE401">
        <v>0</v>
      </c>
      <c r="CF401">
        <v>0</v>
      </c>
      <c r="CG401">
        <v>0</v>
      </c>
      <c r="CH401">
        <v>0</v>
      </c>
      <c r="CI401">
        <v>0</v>
      </c>
      <c r="CJ401">
        <v>0</v>
      </c>
      <c r="CK401">
        <v>0</v>
      </c>
      <c r="CL401">
        <v>0</v>
      </c>
      <c r="CM401">
        <v>0</v>
      </c>
      <c r="CN401" t="str">
        <f>IF($BL401&lt;$BK401,"refNeedCorrection","refOK")</f>
        <v>refOK</v>
      </c>
      <c r="CO401">
        <f>IF($CN401="refNeedCorrection",BK401,BL401)</f>
        <v>6758</v>
      </c>
      <c r="CP401">
        <f>IF($CN401="refNeedCorrection",BL401,BK401)</f>
        <v>6710</v>
      </c>
      <c r="CQ401">
        <f>IF($CN401="refOK",$BO401,-$BO401)</f>
        <v>48000</v>
      </c>
      <c r="CR401">
        <f>IF($CN401="refOK",$BS401,$BT401)*IF($BP401="Emissions positive",-1,1)</f>
        <v>3139</v>
      </c>
      <c r="CS401">
        <f>IF($CN401="refOK",$BT401,$BS401)*IF($BP401="Emissions positive",-1,1)</f>
        <v>2990</v>
      </c>
      <c r="CT401">
        <f>IF($CN401="refNeedCorrection",-BX401,BX401)*IF($BP401="Emissions positive",-1,1)</f>
        <v>-546830</v>
      </c>
      <c r="CU401">
        <f>IFERROR(CT401/CQ401,"")</f>
        <v>-11.392291666666667</v>
      </c>
      <c r="CV401" s="2">
        <f>IFERROR((CS401-CR401)/ABS(CR401),"")</f>
        <v>-4.7467346288626949E-2</v>
      </c>
      <c r="CW401" s="1" t="s">
        <v>1205</v>
      </c>
      <c r="CX401" s="266" t="str">
        <f>IF(OR($CW401="prd",$CW401="std",$CW401="cit"),"loc",IF(OR($CW401="eur",$CW401="reg",$CW401="coy"),"reg",$CW401))</f>
        <v>reg</v>
      </c>
      <c r="CY401" t="s">
        <v>1283</v>
      </c>
      <c r="CZ401"/>
      <c r="DA401" s="143"/>
      <c r="DB401">
        <v>100</v>
      </c>
      <c r="DC401" t="str">
        <f>IF(DB401=0,"0",IF(AND(DB401&gt;=1,DB401&lt;=30),"1-30",IF(AND(DB401&gt;30,DB401&lt;=70),"31-70",IF(AND(DB401&gt;70,DB401&lt;=100),"71-100",IF(DB401&gt;100,"+100")))))</f>
        <v>71-100</v>
      </c>
      <c r="DD401">
        <v>0</v>
      </c>
      <c r="DE401">
        <v>0</v>
      </c>
      <c r="DF401">
        <v>0</v>
      </c>
      <c r="DG401">
        <v>1</v>
      </c>
      <c r="DH401"/>
      <c r="DI401">
        <f>SUM(DD401:DG401)</f>
        <v>1</v>
      </c>
      <c r="DJ401" t="str">
        <f>IF(DI401=1,INDEX($DD$7:$DG$7,MATCH(1,$DD401:$DG401,0)),"mixedProduct")</f>
        <v>TimberInput</v>
      </c>
      <c r="DK401">
        <f>IF(DD401=1,DK$7,0)</f>
        <v>0</v>
      </c>
      <c r="DL401">
        <f>IF(DE401=1,DL$7,0)</f>
        <v>0</v>
      </c>
      <c r="DM401">
        <f>IF(DF401=1,DM$7,0)</f>
        <v>0</v>
      </c>
      <c r="DN401" t="str">
        <f>IF(DG401=1,DN$7,0)</f>
        <v>Timber</v>
      </c>
      <c r="DO401">
        <v>0</v>
      </c>
      <c r="DP401" s="143">
        <v>0</v>
      </c>
      <c r="DQ401" s="143">
        <v>0</v>
      </c>
      <c r="DR401">
        <v>0</v>
      </c>
      <c r="DS401" s="143">
        <v>0</v>
      </c>
      <c r="DT401">
        <f>SUM(DO401:DP401)</f>
        <v>0</v>
      </c>
      <c r="DU401" s="143" t="str">
        <f>IF(DO401=1,"self-calculated DF",IF(DP401=1,"external DF used","explicit C balance"))</f>
        <v>explicit C balance</v>
      </c>
      <c r="DV401" s="143">
        <v>0</v>
      </c>
      <c r="DW401" s="143">
        <v>0</v>
      </c>
      <c r="DX401" s="143">
        <v>1</v>
      </c>
      <c r="DY401" s="143">
        <v>0</v>
      </c>
      <c r="DZ401">
        <v>0</v>
      </c>
      <c r="EA401" s="143">
        <v>0</v>
      </c>
      <c r="EB401" s="143">
        <v>0</v>
      </c>
      <c r="EC401" s="143">
        <v>0</v>
      </c>
      <c r="ED401" s="143">
        <v>0</v>
      </c>
      <c r="EE401">
        <v>0</v>
      </c>
      <c r="EF401">
        <v>0</v>
      </c>
      <c r="EG401" s="143">
        <v>0</v>
      </c>
      <c r="EH401">
        <v>0</v>
      </c>
      <c r="EI401" s="2">
        <v>0</v>
      </c>
      <c r="EJ401" s="1"/>
      <c r="EK401" t="str">
        <f>IF(AND(AND(AND(OR($DX401=1,$DW401=1),OR($EC401=1,$EA401=1)),SUM($DV401:$DZ401,$EF401)&gt;=4),SUM($EA401:$EE401)&gt;=2),"Whole sector","")</f>
        <v/>
      </c>
      <c r="EL401" t="str">
        <f>IF(AND(AND(OR($DX401=1,$DW401=1),AND($EC401=0,$EA401=0)),SUM($DV401:$DZ401,$EF401)&gt;=4),"Ecosystem approach","")</f>
        <v/>
      </c>
      <c r="EM401" s="2" t="str">
        <f>IF(AND(AND(AND($DX401=0,$DW401=0),OR($EC401=1,$EA401=1)),SUM($EB401:$EE401)&gt;=2),"Technology approach","")</f>
        <v/>
      </c>
      <c r="EN401" t="s">
        <v>1888</v>
      </c>
      <c r="EO401"/>
      <c r="EP401" t="str">
        <f>IF(ISNUMBER(BU401),IF(ABS(BU401-[1]QC_indicators!$B$2)&gt;3*[1]QC_indicators!$C$2,"C ratio",IF(ISNUMBER(BY401),IF(ABS(BY401-[1]QC_indicators!$B$1)&gt;3*[1]QC_indicators!$C$1,"DF","no"))),IF(ISNUMBER(BY401),IF(ABS(BY401-[1]QC_indicators!$B$1)&gt;3*[1]QC_indicators!$C$1,"DF","no")))</f>
        <v>DF</v>
      </c>
      <c r="EQ401" t="s">
        <v>1880</v>
      </c>
      <c r="ER401"/>
      <c r="ES401"/>
      <c r="ET401" s="266" t="s">
        <v>3409</v>
      </c>
      <c r="EU401"/>
    </row>
    <row r="402" spans="1:151" s="139" customFormat="1" ht="15" hidden="1" customHeight="1">
      <c r="A402" s="1" t="s">
        <v>1272</v>
      </c>
      <c r="B402" t="s">
        <v>1871</v>
      </c>
      <c r="C402" t="s">
        <v>1872</v>
      </c>
      <c r="D402" t="s">
        <v>1873</v>
      </c>
      <c r="E402" t="s">
        <v>1874</v>
      </c>
      <c r="F402" t="s">
        <v>1875</v>
      </c>
      <c r="G402" t="s">
        <v>1278</v>
      </c>
      <c r="H402" t="s">
        <v>255</v>
      </c>
      <c r="I402">
        <v>2019</v>
      </c>
      <c r="J402">
        <v>2</v>
      </c>
      <c r="K402" t="s">
        <v>1876</v>
      </c>
      <c r="L402"/>
      <c r="M402" t="str">
        <f>LEFT($D402,FIND(",",$D402)-1)&amp;"_"&amp;I402&amp;L402</f>
        <v>Kucuker_2019</v>
      </c>
      <c r="N402" t="s">
        <v>223</v>
      </c>
      <c r="O402" s="145" t="s">
        <v>226</v>
      </c>
      <c r="P402"/>
      <c r="Q402" s="266" t="s">
        <v>257</v>
      </c>
      <c r="R402" s="271" t="s">
        <v>1156</v>
      </c>
      <c r="S402" s="1" t="s">
        <v>1885</v>
      </c>
      <c r="T402" t="s">
        <v>1887</v>
      </c>
      <c r="U402" t="s">
        <v>1889</v>
      </c>
      <c r="V402">
        <v>0</v>
      </c>
      <c r="W402">
        <v>0</v>
      </c>
      <c r="X402">
        <v>0</v>
      </c>
      <c r="Y402">
        <v>0</v>
      </c>
      <c r="Z402">
        <v>1</v>
      </c>
      <c r="AA402">
        <v>0</v>
      </c>
      <c r="AB402">
        <v>0</v>
      </c>
      <c r="AC402">
        <v>0</v>
      </c>
      <c r="AD402">
        <v>0</v>
      </c>
      <c r="AE402">
        <v>0</v>
      </c>
      <c r="AF402">
        <v>0</v>
      </c>
      <c r="AG402">
        <v>0</v>
      </c>
      <c r="AH402">
        <v>0</v>
      </c>
      <c r="AI402">
        <v>0</v>
      </c>
      <c r="AJ402">
        <v>0</v>
      </c>
      <c r="AK402">
        <v>0</v>
      </c>
      <c r="AL402">
        <v>0</v>
      </c>
      <c r="AM402">
        <v>0</v>
      </c>
      <c r="AN402">
        <v>0</v>
      </c>
      <c r="AO402">
        <v>0</v>
      </c>
      <c r="AP402">
        <v>0</v>
      </c>
      <c r="AQ402">
        <v>0</v>
      </c>
      <c r="AR402">
        <v>0</v>
      </c>
      <c r="AS402">
        <v>0</v>
      </c>
      <c r="AT402">
        <v>0</v>
      </c>
      <c r="AU402">
        <v>0</v>
      </c>
      <c r="AV402">
        <v>0</v>
      </c>
      <c r="AW402">
        <v>0</v>
      </c>
      <c r="AX402" s="141">
        <f>COUNTIF(V402:AW402,"&lt;&gt;0")</f>
        <v>1</v>
      </c>
      <c r="AY402" s="141">
        <f>COUNTIF(V402:AL402,"&lt;&gt;0")</f>
        <v>1</v>
      </c>
      <c r="AZ402">
        <f>COUNTIF(V402:AC402,"&lt;&gt;0")</f>
        <v>1</v>
      </c>
      <c r="BA402">
        <f>COUNTIF(AD402:AI402,"&lt;&gt;0")</f>
        <v>0</v>
      </c>
      <c r="BB402">
        <f>COUNTIF(AJ402:AL402,"&lt;&gt;0")</f>
        <v>0</v>
      </c>
      <c r="BC402">
        <f>COUNTIF(AS402:AW402,"&lt;&gt;0")</f>
        <v>0</v>
      </c>
      <c r="BD402">
        <f>COUNTIF(AM402:AR402,"&lt;&gt;0")</f>
        <v>0</v>
      </c>
      <c r="BE402" t="str" cm="1">
        <f t="array" ref="BE402">IF(AY402=1,INDEX($V$7:$AL$7,MATCH(TRUE,INDEX($V402:$AW402&lt;&gt;0,),0)),IF(AY402=0,INDEX($AM$7:$AW$7,MATCH(1,$AM402:$AW402,0)),IF(BF402="Multiple strategies","mixed drivers",IF(BF402="Supply chain","multiple supply","multiple silviculture"))))</f>
        <v>species</v>
      </c>
      <c r="BF402" s="2" t="str" cm="1">
        <f t="array" ref="BF402">IF(COUNTIF(AZ402:BB402,"&lt;&gt;0")=1,INDEX($V$4:$AW$4,MATCH(TRUE,INDEX($V402:$AW402&lt;&gt;0,),0)),IF(COUNTIF(AZ402:BB402,"&lt;&gt;0")=0,INDEX($AM$4:$AW$4,MATCH(1,$AM402:$AW402,0)),"Multiple strategies"))</f>
        <v>SilvicultureProd</v>
      </c>
      <c r="BG402" s="173" t="s">
        <v>322</v>
      </c>
      <c r="BH402" t="s">
        <v>183</v>
      </c>
      <c r="BI402"/>
      <c r="BJ402" t="s">
        <v>1772</v>
      </c>
      <c r="BK402">
        <v>6758</v>
      </c>
      <c r="BL402" s="143">
        <v>6855</v>
      </c>
      <c r="BM402" s="163">
        <f>BL402/BK402</f>
        <v>1.0143533589819473</v>
      </c>
      <c r="BN402">
        <f>BL402-BK402</f>
        <v>97</v>
      </c>
      <c r="BO402" s="143">
        <f>BN402*10^3</f>
        <v>97000</v>
      </c>
      <c r="BP402" t="s">
        <v>233</v>
      </c>
      <c r="BQ402"/>
      <c r="BR402" t="s">
        <v>1879</v>
      </c>
      <c r="BS402" s="143">
        <v>2990</v>
      </c>
      <c r="BT402">
        <v>2914</v>
      </c>
      <c r="BU402" s="144">
        <f>IFERROR(BT402/BS402,"")</f>
        <v>0.97458193979933105</v>
      </c>
      <c r="BV402">
        <f>BT402-BS402</f>
        <v>-76</v>
      </c>
      <c r="BW402"/>
      <c r="BX402">
        <f>BV402*10^9/10^6*C_to_CO2</f>
        <v>-278920</v>
      </c>
      <c r="BY402">
        <f>IFERROR(BX402/BO402,"")</f>
        <v>-2.875463917525773</v>
      </c>
      <c r="BZ402">
        <v>0</v>
      </c>
      <c r="CA402">
        <v>0</v>
      </c>
      <c r="CB402">
        <v>0</v>
      </c>
      <c r="CC402">
        <v>0</v>
      </c>
      <c r="CD402">
        <v>0</v>
      </c>
      <c r="CE402">
        <v>0</v>
      </c>
      <c r="CF402">
        <v>0</v>
      </c>
      <c r="CG402">
        <v>0</v>
      </c>
      <c r="CH402">
        <v>0</v>
      </c>
      <c r="CI402">
        <v>0</v>
      </c>
      <c r="CJ402">
        <v>0</v>
      </c>
      <c r="CK402">
        <v>0</v>
      </c>
      <c r="CL402">
        <v>0</v>
      </c>
      <c r="CM402">
        <v>0</v>
      </c>
      <c r="CN402" t="str">
        <f>IF($BL402&lt;$BK402,"refNeedCorrection","refOK")</f>
        <v>refOK</v>
      </c>
      <c r="CO402">
        <f>IF($CN402="refNeedCorrection",BL402,BK402)</f>
        <v>6758</v>
      </c>
      <c r="CP402">
        <f>IF($CN402="refNeedCorrection",BK402,BL402)</f>
        <v>6855</v>
      </c>
      <c r="CQ402">
        <f>IF($CN402="refOK",$BO402,-$BO402)</f>
        <v>97000</v>
      </c>
      <c r="CR402">
        <f>IF($CN402="refOK",$BS402,$BT402)*IF($BP402="Emissions positive",-1,1)</f>
        <v>2990</v>
      </c>
      <c r="CS402">
        <f>IF($CN402="refOK",$BT402,$BS402)*IF($BP402="Emissions positive",-1,1)</f>
        <v>2914</v>
      </c>
      <c r="CT402">
        <f>IF($CN402="refNeedCorrection",-BX402,BX402)*IF($BP402="Emissions positive",-1,1)</f>
        <v>-278920</v>
      </c>
      <c r="CU402">
        <f>IFERROR(CT402/CQ402,"")</f>
        <v>-2.875463917525773</v>
      </c>
      <c r="CV402" s="2">
        <f>IFERROR((CS402-CR402)/ABS(CR402),"")</f>
        <v>-2.5418060200668897E-2</v>
      </c>
      <c r="CW402" s="1" t="s">
        <v>1205</v>
      </c>
      <c r="CX402" s="266" t="str">
        <f>IF(OR($CW402="prd",$CW402="std",$CW402="cit"),"loc",IF(OR($CW402="eur",$CW402="reg",$CW402="coy"),"reg",$CW402))</f>
        <v>reg</v>
      </c>
      <c r="CY402" t="s">
        <v>1283</v>
      </c>
      <c r="CZ402"/>
      <c r="DA402" s="143"/>
      <c r="DB402">
        <v>100</v>
      </c>
      <c r="DC402" t="str">
        <f>IF(DB402=0,"0",IF(AND(DB402&gt;=1,DB402&lt;=30),"1-30",IF(AND(DB402&gt;30,DB402&lt;=70),"31-70",IF(AND(DB402&gt;70,DB402&lt;=100),"71-100",IF(DB402&gt;100,"+100")))))</f>
        <v>71-100</v>
      </c>
      <c r="DD402">
        <v>0</v>
      </c>
      <c r="DE402">
        <v>0</v>
      </c>
      <c r="DF402">
        <v>0</v>
      </c>
      <c r="DG402">
        <v>1</v>
      </c>
      <c r="DH402"/>
      <c r="DI402">
        <f>SUM(DD402:DG402)</f>
        <v>1</v>
      </c>
      <c r="DJ402" t="str">
        <f>IF(DI402=1,INDEX($DD$7:$DG$7,MATCH(1,$DD402:$DG402,0)),"mixedProduct")</f>
        <v>TimberInput</v>
      </c>
      <c r="DK402">
        <f>IF(DD402=1,DK$7,0)</f>
        <v>0</v>
      </c>
      <c r="DL402">
        <f>IF(DE402=1,DL$7,0)</f>
        <v>0</v>
      </c>
      <c r="DM402">
        <f>IF(DF402=1,DM$7,0)</f>
        <v>0</v>
      </c>
      <c r="DN402" t="str">
        <f>IF(DG402=1,DN$7,0)</f>
        <v>Timber</v>
      </c>
      <c r="DO402">
        <v>0</v>
      </c>
      <c r="DP402" s="143">
        <v>0</v>
      </c>
      <c r="DQ402" s="143">
        <v>0</v>
      </c>
      <c r="DR402">
        <v>0</v>
      </c>
      <c r="DS402" s="143">
        <v>0</v>
      </c>
      <c r="DT402">
        <f>SUM(DO402:DP402)</f>
        <v>0</v>
      </c>
      <c r="DU402" s="143" t="str">
        <f>IF(DO402=1,"self-calculated DF",IF(DP402=1,"external DF used","explicit C balance"))</f>
        <v>explicit C balance</v>
      </c>
      <c r="DV402" s="143">
        <v>0</v>
      </c>
      <c r="DW402" s="143">
        <v>0</v>
      </c>
      <c r="DX402" s="143">
        <v>1</v>
      </c>
      <c r="DY402" s="143">
        <v>0</v>
      </c>
      <c r="DZ402">
        <v>0</v>
      </c>
      <c r="EA402" s="143">
        <v>0</v>
      </c>
      <c r="EB402" s="143">
        <v>0</v>
      </c>
      <c r="EC402" s="143">
        <v>0</v>
      </c>
      <c r="ED402" s="143">
        <v>0</v>
      </c>
      <c r="EE402">
        <v>0</v>
      </c>
      <c r="EF402">
        <v>0</v>
      </c>
      <c r="EG402" s="143">
        <v>0</v>
      </c>
      <c r="EH402">
        <v>0</v>
      </c>
      <c r="EI402" s="2">
        <v>0</v>
      </c>
      <c r="EJ402" s="1"/>
      <c r="EK402" t="str">
        <f>IF(AND(AND(AND(OR($DX402=1,$DW402=1),OR($EC402=1,$EA402=1)),SUM($DV402:$DZ402,$EF402)&gt;=4),SUM($EA402:$EE402)&gt;=2),"Whole sector","")</f>
        <v/>
      </c>
      <c r="EL402" t="str">
        <f>IF(AND(AND(OR($DX402=1,$DW402=1),AND($EC402=0,$EA402=0)),SUM($DV402:$DZ402,$EF402)&gt;=4),"Ecosystem approach","")</f>
        <v/>
      </c>
      <c r="EM402" s="2" t="str">
        <f>IF(AND(AND(AND($DX402=0,$DW402=0),OR($EC402=1,$EA402=1)),SUM($EB402:$EE402)&gt;=2),"Technology approach","")</f>
        <v/>
      </c>
      <c r="EN402"/>
      <c r="EO402"/>
      <c r="EP402" t="str">
        <f>IF(ISNUMBER(BU402),IF(ABS(BU402-[1]QC_indicators!$B$2)&gt;3*[1]QC_indicators!$C$2,"C ratio",IF(ISNUMBER(BY402),IF(ABS(BY402-[1]QC_indicators!$B$1)&gt;3*[1]QC_indicators!$C$1,"DF","no"))),IF(ISNUMBER(BY402),IF(ABS(BY402-[1]QC_indicators!$B$1)&gt;3*[1]QC_indicators!$C$1,"DF","no")))</f>
        <v>no</v>
      </c>
      <c r="EQ402"/>
      <c r="ER402"/>
      <c r="ES402"/>
      <c r="ET402" s="266" t="s">
        <v>3409</v>
      </c>
      <c r="EU402"/>
    </row>
    <row r="403" spans="1:151" s="139" customFormat="1" ht="15" hidden="1" customHeight="1">
      <c r="A403" s="1" t="s">
        <v>1272</v>
      </c>
      <c r="B403" t="s">
        <v>1871</v>
      </c>
      <c r="C403" t="s">
        <v>1872</v>
      </c>
      <c r="D403" t="s">
        <v>1873</v>
      </c>
      <c r="E403" t="s">
        <v>1874</v>
      </c>
      <c r="F403" t="s">
        <v>1875</v>
      </c>
      <c r="G403" t="s">
        <v>1278</v>
      </c>
      <c r="H403" t="s">
        <v>255</v>
      </c>
      <c r="I403">
        <v>2019</v>
      </c>
      <c r="J403">
        <v>2</v>
      </c>
      <c r="K403" t="s">
        <v>1876</v>
      </c>
      <c r="L403"/>
      <c r="M403" t="str">
        <f>LEFT($D403,FIND(",",$D403)-1)&amp;"_"&amp;I403&amp;L403</f>
        <v>Kucuker_2019</v>
      </c>
      <c r="N403" t="s">
        <v>223</v>
      </c>
      <c r="O403" s="145" t="s">
        <v>226</v>
      </c>
      <c r="P403"/>
      <c r="Q403" s="266" t="s">
        <v>257</v>
      </c>
      <c r="R403" s="271" t="s">
        <v>1156</v>
      </c>
      <c r="S403" s="1" t="s">
        <v>1885</v>
      </c>
      <c r="T403" t="s">
        <v>1890</v>
      </c>
      <c r="U403" t="s">
        <v>1891</v>
      </c>
      <c r="V403">
        <v>0</v>
      </c>
      <c r="W403">
        <v>0</v>
      </c>
      <c r="X403">
        <v>0</v>
      </c>
      <c r="Y403">
        <v>0</v>
      </c>
      <c r="Z403">
        <v>1</v>
      </c>
      <c r="AA403">
        <v>0</v>
      </c>
      <c r="AB403">
        <v>0</v>
      </c>
      <c r="AC403">
        <v>0</v>
      </c>
      <c r="AD403">
        <v>0</v>
      </c>
      <c r="AE403">
        <v>0</v>
      </c>
      <c r="AF403">
        <v>0</v>
      </c>
      <c r="AG403">
        <v>0</v>
      </c>
      <c r="AH403">
        <v>0</v>
      </c>
      <c r="AI403">
        <v>0</v>
      </c>
      <c r="AJ403">
        <v>0</v>
      </c>
      <c r="AK403">
        <v>0</v>
      </c>
      <c r="AL403">
        <v>0</v>
      </c>
      <c r="AM403">
        <v>0</v>
      </c>
      <c r="AN403">
        <v>0</v>
      </c>
      <c r="AO403">
        <v>0</v>
      </c>
      <c r="AP403">
        <v>0</v>
      </c>
      <c r="AQ403">
        <v>0</v>
      </c>
      <c r="AR403">
        <v>0</v>
      </c>
      <c r="AS403">
        <v>0</v>
      </c>
      <c r="AT403">
        <v>0</v>
      </c>
      <c r="AU403">
        <v>0</v>
      </c>
      <c r="AV403">
        <v>0</v>
      </c>
      <c r="AW403">
        <v>0</v>
      </c>
      <c r="AX403" s="141">
        <f>COUNTIF(V403:AW403,"&lt;&gt;0")</f>
        <v>1</v>
      </c>
      <c r="AY403" s="141">
        <f>COUNTIF(V403:AL403,"&lt;&gt;0")</f>
        <v>1</v>
      </c>
      <c r="AZ403">
        <f>COUNTIF(V403:AC403,"&lt;&gt;0")</f>
        <v>1</v>
      </c>
      <c r="BA403">
        <f>COUNTIF(AD403:AI403,"&lt;&gt;0")</f>
        <v>0</v>
      </c>
      <c r="BB403">
        <f>COUNTIF(AJ403:AL403,"&lt;&gt;0")</f>
        <v>0</v>
      </c>
      <c r="BC403">
        <f>COUNTIF(AS403:AW403,"&lt;&gt;0")</f>
        <v>0</v>
      </c>
      <c r="BD403">
        <f>COUNTIF(AM403:AR403,"&lt;&gt;0")</f>
        <v>0</v>
      </c>
      <c r="BE403" t="str" cm="1">
        <f t="array" ref="BE403">IF(AY403=1,INDEX($V$7:$AL$7,MATCH(TRUE,INDEX($V403:$AW403&lt;&gt;0,),0)),IF(AY403=0,INDEX($AM$7:$AW$7,MATCH(1,$AM403:$AW403,0)),IF(BF403="Multiple strategies","mixed drivers",IF(BF403="Supply chain","multiple supply","multiple silviculture"))))</f>
        <v>species</v>
      </c>
      <c r="BF403" s="2" t="str" cm="1">
        <f t="array" ref="BF403">IF(COUNTIF(AZ403:BB403,"&lt;&gt;0")=1,INDEX($V$4:$AW$4,MATCH(TRUE,INDEX($V403:$AW403&lt;&gt;0,),0)),IF(COUNTIF(AZ403:BB403,"&lt;&gt;0")=0,INDEX($AM$4:$AW$4,MATCH(1,$AM403:$AW403,0)),"Multiple strategies"))</f>
        <v>SilvicultureProd</v>
      </c>
      <c r="BG403" s="173" t="s">
        <v>322</v>
      </c>
      <c r="BH403" t="s">
        <v>183</v>
      </c>
      <c r="BI403"/>
      <c r="BJ403" t="s">
        <v>1772</v>
      </c>
      <c r="BK403" s="143">
        <v>6980</v>
      </c>
      <c r="BL403">
        <v>7420</v>
      </c>
      <c r="BM403" s="266">
        <f>BL403/BK403</f>
        <v>1.0630372492836677</v>
      </c>
      <c r="BN403">
        <f>BL403-BK403</f>
        <v>440</v>
      </c>
      <c r="BO403" s="143">
        <f>BN403*10^3</f>
        <v>440000</v>
      </c>
      <c r="BP403" t="s">
        <v>233</v>
      </c>
      <c r="BQ403"/>
      <c r="BR403" t="s">
        <v>1879</v>
      </c>
      <c r="BS403">
        <v>2929</v>
      </c>
      <c r="BT403" s="143">
        <v>2768</v>
      </c>
      <c r="BU403" s="144">
        <f>IFERROR(BT403/BS403,"")</f>
        <v>0.9450324342779105</v>
      </c>
      <c r="BV403">
        <f>BT403-BS403</f>
        <v>-161</v>
      </c>
      <c r="BW403"/>
      <c r="BX403">
        <f>BV403*10^9/10^6*C_to_CO2</f>
        <v>-590870</v>
      </c>
      <c r="BY403">
        <f>IFERROR(BX403/BO403,"")</f>
        <v>-1.3428863636363637</v>
      </c>
      <c r="BZ403">
        <v>0</v>
      </c>
      <c r="CA403">
        <v>0</v>
      </c>
      <c r="CB403">
        <v>0</v>
      </c>
      <c r="CC403">
        <v>0</v>
      </c>
      <c r="CD403">
        <v>0</v>
      </c>
      <c r="CE403">
        <v>0</v>
      </c>
      <c r="CF403">
        <v>0</v>
      </c>
      <c r="CG403">
        <v>0</v>
      </c>
      <c r="CH403">
        <v>0</v>
      </c>
      <c r="CI403">
        <v>0</v>
      </c>
      <c r="CJ403">
        <v>0</v>
      </c>
      <c r="CK403">
        <v>0</v>
      </c>
      <c r="CL403">
        <v>0</v>
      </c>
      <c r="CM403">
        <v>0</v>
      </c>
      <c r="CN403" t="str">
        <f>IF($BL403&lt;$BK403,"refNeedCorrection","refOK")</f>
        <v>refOK</v>
      </c>
      <c r="CO403">
        <f>IF($CN403="refNeedCorrection",BK403,BL403)</f>
        <v>7420</v>
      </c>
      <c r="CP403">
        <f>IF($CN403="refNeedCorrection",BL403,BK403)</f>
        <v>6980</v>
      </c>
      <c r="CQ403">
        <f>IF($CN403="refOK",$BO403,-$BO403)</f>
        <v>440000</v>
      </c>
      <c r="CR403">
        <f>IF($CN403="refOK",$BS403,$BT403)*IF($BP403="Emissions positive",-1,1)</f>
        <v>2929</v>
      </c>
      <c r="CS403">
        <f>IF($CN403="refOK",$BT403,$BS403)*IF($BP403="Emissions positive",-1,1)</f>
        <v>2768</v>
      </c>
      <c r="CT403">
        <f>IF($CN403="refNeedCorrection",-BX403,BX403)*IF($BP403="Emissions positive",-1,1)</f>
        <v>-590870</v>
      </c>
      <c r="CU403">
        <f>IFERROR(CT403/CQ403,"")</f>
        <v>-1.3428863636363637</v>
      </c>
      <c r="CV403" s="2">
        <f>IFERROR((CS403-CR403)/ABS(CR403),"")</f>
        <v>-5.4967565722089454E-2</v>
      </c>
      <c r="CW403" s="1" t="s">
        <v>1205</v>
      </c>
      <c r="CX403" s="266" t="str">
        <f>IF(OR($CW403="prd",$CW403="std",$CW403="cit"),"loc",IF(OR($CW403="eur",$CW403="reg",$CW403="coy"),"reg",$CW403))</f>
        <v>reg</v>
      </c>
      <c r="CY403" t="s">
        <v>1283</v>
      </c>
      <c r="CZ403"/>
      <c r="DA403" s="143"/>
      <c r="DB403">
        <v>100</v>
      </c>
      <c r="DC403" t="str">
        <f>IF(DB403=0,"0",IF(AND(DB403&gt;=1,DB403&lt;=30),"1-30",IF(AND(DB403&gt;30,DB403&lt;=70),"31-70",IF(AND(DB403&gt;70,DB403&lt;=100),"71-100",IF(DB403&gt;100,"+100")))))</f>
        <v>71-100</v>
      </c>
      <c r="DD403">
        <v>0</v>
      </c>
      <c r="DE403">
        <v>0</v>
      </c>
      <c r="DF403">
        <v>0</v>
      </c>
      <c r="DG403">
        <v>1</v>
      </c>
      <c r="DH403"/>
      <c r="DI403">
        <f>SUM(DD403:DG403)</f>
        <v>1</v>
      </c>
      <c r="DJ403" t="str">
        <f>IF(DI403=1,INDEX($DD$7:$DG$7,MATCH(1,$DD403:$DG403,0)),"mixedProduct")</f>
        <v>TimberInput</v>
      </c>
      <c r="DK403">
        <f>IF(DD403=1,DK$7,0)</f>
        <v>0</v>
      </c>
      <c r="DL403">
        <f>IF(DE403=1,DL$7,0)</f>
        <v>0</v>
      </c>
      <c r="DM403">
        <f>IF(DF403=1,DM$7,0)</f>
        <v>0</v>
      </c>
      <c r="DN403" t="str">
        <f>IF(DG403=1,DN$7,0)</f>
        <v>Timber</v>
      </c>
      <c r="DO403">
        <v>0</v>
      </c>
      <c r="DP403" s="143">
        <v>0</v>
      </c>
      <c r="DQ403" s="143">
        <v>0</v>
      </c>
      <c r="DR403">
        <v>0</v>
      </c>
      <c r="DS403" s="143">
        <v>0</v>
      </c>
      <c r="DT403">
        <f>SUM(DO403:DP403)</f>
        <v>0</v>
      </c>
      <c r="DU403" s="143" t="str">
        <f>IF(DO403=1,"self-calculated DF",IF(DP403=1,"external DF used","explicit C balance"))</f>
        <v>explicit C balance</v>
      </c>
      <c r="DV403" s="143">
        <v>0</v>
      </c>
      <c r="DW403" s="143">
        <v>0</v>
      </c>
      <c r="DX403" s="143">
        <v>1</v>
      </c>
      <c r="DY403" s="143">
        <v>0</v>
      </c>
      <c r="DZ403">
        <v>0</v>
      </c>
      <c r="EA403" s="143">
        <v>0</v>
      </c>
      <c r="EB403" s="143">
        <v>0</v>
      </c>
      <c r="EC403" s="143">
        <v>0</v>
      </c>
      <c r="ED403" s="143">
        <v>0</v>
      </c>
      <c r="EE403">
        <v>0</v>
      </c>
      <c r="EF403">
        <v>0</v>
      </c>
      <c r="EG403" s="143">
        <v>0</v>
      </c>
      <c r="EH403">
        <v>0</v>
      </c>
      <c r="EI403" s="2">
        <v>0</v>
      </c>
      <c r="EJ403" s="1"/>
      <c r="EK403" t="str">
        <f>IF(AND(AND(AND(OR($DX403=1,$DW403=1),OR($EC403=1,$EA403=1)),SUM($DV403:$DZ403,$EF403)&gt;=4),SUM($EA403:$EE403)&gt;=2),"Whole sector","")</f>
        <v/>
      </c>
      <c r="EL403" t="str">
        <f>IF(AND(AND(OR($DX403=1,$DW403=1),AND($EC403=0,$EA403=0)),SUM($DV403:$DZ403,$EF403)&gt;=4),"Ecosystem approach","")</f>
        <v/>
      </c>
      <c r="EM403" s="2" t="str">
        <f>IF(AND(AND(AND($DX403=0,$DW403=0),OR($EC403=1,$EA403=1)),SUM($EB403:$EE403)&gt;=2),"Technology approach","")</f>
        <v/>
      </c>
      <c r="EN403"/>
      <c r="EO403"/>
      <c r="EP403" t="str">
        <f>IF(ISNUMBER(BU403),IF(ABS(BU403-[1]QC_indicators!$B$2)&gt;3*[1]QC_indicators!$C$2,"C ratio",IF(ISNUMBER(BY403),IF(ABS(BY403-[1]QC_indicators!$B$1)&gt;3*[1]QC_indicators!$C$1,"DF","no"))),IF(ISNUMBER(BY403),IF(ABS(BY403-[1]QC_indicators!$B$1)&gt;3*[1]QC_indicators!$C$1,"DF","no")))</f>
        <v>no</v>
      </c>
      <c r="EQ403"/>
      <c r="ER403"/>
      <c r="ES403"/>
      <c r="ET403" s="266" t="s">
        <v>3409</v>
      </c>
      <c r="EU403"/>
    </row>
    <row r="404" spans="1:151" s="139" customFormat="1" ht="15" hidden="1" customHeight="1">
      <c r="A404" s="1" t="s">
        <v>1272</v>
      </c>
      <c r="B404" t="s">
        <v>1871</v>
      </c>
      <c r="C404" t="s">
        <v>1872</v>
      </c>
      <c r="D404" t="s">
        <v>1873</v>
      </c>
      <c r="E404" t="s">
        <v>1874</v>
      </c>
      <c r="F404" t="s">
        <v>1875</v>
      </c>
      <c r="G404" t="s">
        <v>1278</v>
      </c>
      <c r="H404" t="s">
        <v>255</v>
      </c>
      <c r="I404">
        <v>2019</v>
      </c>
      <c r="J404">
        <v>2</v>
      </c>
      <c r="K404" t="s">
        <v>1876</v>
      </c>
      <c r="L404"/>
      <c r="M404" t="str">
        <f>LEFT($D404,FIND(",",$D404)-1)&amp;"_"&amp;I404&amp;L404</f>
        <v>Kucuker_2019</v>
      </c>
      <c r="N404" t="s">
        <v>223</v>
      </c>
      <c r="O404" s="145" t="s">
        <v>226</v>
      </c>
      <c r="P404"/>
      <c r="Q404" s="266" t="s">
        <v>257</v>
      </c>
      <c r="R404" s="271" t="s">
        <v>1156</v>
      </c>
      <c r="S404" s="1" t="s">
        <v>1885</v>
      </c>
      <c r="T404" t="s">
        <v>1892</v>
      </c>
      <c r="U404" t="s">
        <v>1891</v>
      </c>
      <c r="V404">
        <v>0</v>
      </c>
      <c r="W404">
        <v>0</v>
      </c>
      <c r="X404">
        <v>0</v>
      </c>
      <c r="Y404">
        <v>0</v>
      </c>
      <c r="Z404">
        <v>1</v>
      </c>
      <c r="AA404">
        <v>0</v>
      </c>
      <c r="AB404">
        <v>0</v>
      </c>
      <c r="AC404">
        <v>0</v>
      </c>
      <c r="AD404">
        <v>0</v>
      </c>
      <c r="AE404">
        <v>0</v>
      </c>
      <c r="AF404">
        <v>0</v>
      </c>
      <c r="AG404">
        <v>0</v>
      </c>
      <c r="AH404">
        <v>0</v>
      </c>
      <c r="AI404">
        <v>0</v>
      </c>
      <c r="AJ404">
        <v>0</v>
      </c>
      <c r="AK404">
        <v>0</v>
      </c>
      <c r="AL404">
        <v>0</v>
      </c>
      <c r="AM404">
        <v>0</v>
      </c>
      <c r="AN404">
        <v>0</v>
      </c>
      <c r="AO404">
        <v>0</v>
      </c>
      <c r="AP404">
        <v>0</v>
      </c>
      <c r="AQ404">
        <v>0</v>
      </c>
      <c r="AR404">
        <v>0</v>
      </c>
      <c r="AS404">
        <v>0</v>
      </c>
      <c r="AT404">
        <v>0</v>
      </c>
      <c r="AU404">
        <v>0</v>
      </c>
      <c r="AV404">
        <v>0</v>
      </c>
      <c r="AW404">
        <v>0</v>
      </c>
      <c r="AX404" s="141">
        <f>COUNTIF(V404:AW404,"&lt;&gt;0")</f>
        <v>1</v>
      </c>
      <c r="AY404" s="141">
        <f>COUNTIF(V404:AL404,"&lt;&gt;0")</f>
        <v>1</v>
      </c>
      <c r="AZ404">
        <f>COUNTIF(V404:AC404,"&lt;&gt;0")</f>
        <v>1</v>
      </c>
      <c r="BA404">
        <f>COUNTIF(AD404:AI404,"&lt;&gt;0")</f>
        <v>0</v>
      </c>
      <c r="BB404">
        <f>COUNTIF(AJ404:AL404,"&lt;&gt;0")</f>
        <v>0</v>
      </c>
      <c r="BC404">
        <f>COUNTIF(AS404:AW404,"&lt;&gt;0")</f>
        <v>0</v>
      </c>
      <c r="BD404">
        <f>COUNTIF(AM404:AR404,"&lt;&gt;0")</f>
        <v>0</v>
      </c>
      <c r="BE404" t="str" cm="1">
        <f t="array" ref="BE404">IF(AY404=1,INDEX($V$7:$AL$7,MATCH(TRUE,INDEX($V404:$AW404&lt;&gt;0,),0)),IF(AY404=0,INDEX($AM$7:$AW$7,MATCH(1,$AM404:$AW404,0)),IF(BF404="Multiple strategies","mixed drivers",IF(BF404="Supply chain","multiple supply","multiple silviculture"))))</f>
        <v>species</v>
      </c>
      <c r="BF404" s="2" t="str" cm="1">
        <f t="array" ref="BF404">IF(COUNTIF(AZ404:BB404,"&lt;&gt;0")=1,INDEX($V$4:$AW$4,MATCH(TRUE,INDEX($V404:$AW404&lt;&gt;0,),0)),IF(COUNTIF(AZ404:BB404,"&lt;&gt;0")=0,INDEX($AM$4:$AW$4,MATCH(1,$AM404:$AW404,0)),"Multiple strategies"))</f>
        <v>SilvicultureProd</v>
      </c>
      <c r="BG404" s="173" t="s">
        <v>322</v>
      </c>
      <c r="BH404" t="s">
        <v>183</v>
      </c>
      <c r="BI404"/>
      <c r="BJ404" t="s">
        <v>1772</v>
      </c>
      <c r="BK404" s="143">
        <v>7115</v>
      </c>
      <c r="BL404">
        <v>7420</v>
      </c>
      <c r="BM404" s="266">
        <f>BL404/BK404</f>
        <v>1.0428671820098383</v>
      </c>
      <c r="BN404">
        <f>BL404-BK404</f>
        <v>305</v>
      </c>
      <c r="BO404" s="143">
        <f>BN404*10^3</f>
        <v>305000</v>
      </c>
      <c r="BP404" t="s">
        <v>233</v>
      </c>
      <c r="BQ404"/>
      <c r="BR404" t="s">
        <v>1879</v>
      </c>
      <c r="BS404">
        <v>2691</v>
      </c>
      <c r="BT404" s="143">
        <v>2768</v>
      </c>
      <c r="BU404" s="144">
        <f>IFERROR(BT404/BS404,"")</f>
        <v>1.0286138981791155</v>
      </c>
      <c r="BV404">
        <f>BT404-BS404</f>
        <v>77</v>
      </c>
      <c r="BW404"/>
      <c r="BX404">
        <f>BV404*10^9/10^6*C_to_CO2</f>
        <v>282590</v>
      </c>
      <c r="BY404">
        <f>IFERROR(BX404/BO404,"")</f>
        <v>0.9265245901639344</v>
      </c>
      <c r="BZ404">
        <v>0</v>
      </c>
      <c r="CA404">
        <v>0</v>
      </c>
      <c r="CB404">
        <v>0</v>
      </c>
      <c r="CC404">
        <v>0</v>
      </c>
      <c r="CD404">
        <v>0</v>
      </c>
      <c r="CE404">
        <v>0</v>
      </c>
      <c r="CF404">
        <v>0</v>
      </c>
      <c r="CG404">
        <v>0</v>
      </c>
      <c r="CH404">
        <v>0</v>
      </c>
      <c r="CI404">
        <v>0</v>
      </c>
      <c r="CJ404">
        <v>0</v>
      </c>
      <c r="CK404">
        <v>0</v>
      </c>
      <c r="CL404">
        <v>0</v>
      </c>
      <c r="CM404">
        <v>0</v>
      </c>
      <c r="CN404" t="str">
        <f>IF($BL404&lt;$BK404,"refNeedCorrection","refOK")</f>
        <v>refOK</v>
      </c>
      <c r="CO404">
        <f>IF($CN404="refNeedCorrection",BK404,BL404)</f>
        <v>7420</v>
      </c>
      <c r="CP404">
        <f>IF($CN404="refNeedCorrection",BL404,BK404)</f>
        <v>7115</v>
      </c>
      <c r="CQ404">
        <f>IF($CN404="refOK",$BO404,-$BO404)</f>
        <v>305000</v>
      </c>
      <c r="CR404">
        <f>IF($CN404="refOK",$BS404,$BT404)*IF($BP404="Emissions positive",-1,1)</f>
        <v>2691</v>
      </c>
      <c r="CS404">
        <f>IF($CN404="refOK",$BT404,$BS404)*IF($BP404="Emissions positive",-1,1)</f>
        <v>2768</v>
      </c>
      <c r="CT404">
        <f>IF($CN404="refNeedCorrection",-BX404,BX404)*IF($BP404="Emissions positive",-1,1)</f>
        <v>282590</v>
      </c>
      <c r="CU404">
        <f>IFERROR(CT404/CQ404,"")</f>
        <v>0.9265245901639344</v>
      </c>
      <c r="CV404" s="2">
        <f>IFERROR((CS404-CR404)/ABS(CR404),"")</f>
        <v>2.8613898179115572E-2</v>
      </c>
      <c r="CW404" s="1" t="s">
        <v>1205</v>
      </c>
      <c r="CX404" s="266" t="str">
        <f>IF(OR($CW404="prd",$CW404="std",$CW404="cit"),"loc",IF(OR($CW404="eur",$CW404="reg",$CW404="coy"),"reg",$CW404))</f>
        <v>reg</v>
      </c>
      <c r="CY404" t="s">
        <v>1283</v>
      </c>
      <c r="CZ404"/>
      <c r="DA404" s="143"/>
      <c r="DB404">
        <v>100</v>
      </c>
      <c r="DC404" t="str">
        <f>IF(DB404=0,"0",IF(AND(DB404&gt;=1,DB404&lt;=30),"1-30",IF(AND(DB404&gt;30,DB404&lt;=70),"31-70",IF(AND(DB404&gt;70,DB404&lt;=100),"71-100",IF(DB404&gt;100,"+100")))))</f>
        <v>71-100</v>
      </c>
      <c r="DD404">
        <v>0</v>
      </c>
      <c r="DE404">
        <v>0</v>
      </c>
      <c r="DF404">
        <v>0</v>
      </c>
      <c r="DG404">
        <v>1</v>
      </c>
      <c r="DH404"/>
      <c r="DI404">
        <f>SUM(DD404:DG404)</f>
        <v>1</v>
      </c>
      <c r="DJ404" t="str">
        <f>IF(DI404=1,INDEX($DD$7:$DG$7,MATCH(1,$DD404:$DG404,0)),"mixedProduct")</f>
        <v>TimberInput</v>
      </c>
      <c r="DK404">
        <f>IF(DD404=1,DK$7,0)</f>
        <v>0</v>
      </c>
      <c r="DL404">
        <f>IF(DE404=1,DL$7,0)</f>
        <v>0</v>
      </c>
      <c r="DM404">
        <f>IF(DF404=1,DM$7,0)</f>
        <v>0</v>
      </c>
      <c r="DN404" t="str">
        <f>IF(DG404=1,DN$7,0)</f>
        <v>Timber</v>
      </c>
      <c r="DO404">
        <v>0</v>
      </c>
      <c r="DP404" s="143">
        <v>0</v>
      </c>
      <c r="DQ404" s="143">
        <v>0</v>
      </c>
      <c r="DR404">
        <v>0</v>
      </c>
      <c r="DS404" s="143">
        <v>0</v>
      </c>
      <c r="DT404">
        <f>SUM(DO404:DP404)</f>
        <v>0</v>
      </c>
      <c r="DU404" s="143" t="str">
        <f>IF(DO404=1,"self-calculated DF",IF(DP404=1,"external DF used","explicit C balance"))</f>
        <v>explicit C balance</v>
      </c>
      <c r="DV404" s="143">
        <v>0</v>
      </c>
      <c r="DW404" s="143">
        <v>0</v>
      </c>
      <c r="DX404" s="143">
        <v>1</v>
      </c>
      <c r="DY404" s="143">
        <v>0</v>
      </c>
      <c r="DZ404">
        <v>0</v>
      </c>
      <c r="EA404" s="143">
        <v>0</v>
      </c>
      <c r="EB404" s="143">
        <v>0</v>
      </c>
      <c r="EC404" s="143">
        <v>0</v>
      </c>
      <c r="ED404" s="143">
        <v>0</v>
      </c>
      <c r="EE404">
        <v>0</v>
      </c>
      <c r="EF404">
        <v>0</v>
      </c>
      <c r="EG404" s="143">
        <v>0</v>
      </c>
      <c r="EH404">
        <v>0</v>
      </c>
      <c r="EI404" s="2">
        <v>0</v>
      </c>
      <c r="EJ404" s="1"/>
      <c r="EK404" t="str">
        <f>IF(AND(AND(AND(OR($DX404=1,$DW404=1),OR($EC404=1,$EA404=1)),SUM($DV404:$DZ404,$EF404)&gt;=4),SUM($EA404:$EE404)&gt;=2),"Whole sector","")</f>
        <v/>
      </c>
      <c r="EL404" t="str">
        <f>IF(AND(AND(OR($DX404=1,$DW404=1),AND($EC404=0,$EA404=0)),SUM($DV404:$DZ404,$EF404)&gt;=4),"Ecosystem approach","")</f>
        <v/>
      </c>
      <c r="EM404" s="2" t="str">
        <f>IF(AND(AND(AND($DX404=0,$DW404=0),OR($EC404=1,$EA404=1)),SUM($EB404:$EE404)&gt;=2),"Technology approach","")</f>
        <v/>
      </c>
      <c r="EN404"/>
      <c r="EO404"/>
      <c r="EP404" t="str">
        <f>IF(ISNUMBER(BU404),IF(ABS(BU404-[1]QC_indicators!$B$2)&gt;3*[1]QC_indicators!$C$2,"C ratio",IF(ISNUMBER(BY404),IF(ABS(BY404-[1]QC_indicators!$B$1)&gt;3*[1]QC_indicators!$C$1,"DF","no"))),IF(ISNUMBER(BY404),IF(ABS(BY404-[1]QC_indicators!$B$1)&gt;3*[1]QC_indicators!$C$1,"DF","no")))</f>
        <v>no</v>
      </c>
      <c r="EQ404"/>
      <c r="ER404"/>
      <c r="ES404"/>
      <c r="ET404" s="266" t="s">
        <v>3409</v>
      </c>
      <c r="EU404"/>
    </row>
    <row r="405" spans="1:151" s="139" customFormat="1" ht="15" hidden="1" customHeight="1">
      <c r="A405" s="1" t="s">
        <v>1380</v>
      </c>
      <c r="B405" t="s">
        <v>1381</v>
      </c>
      <c r="C405" t="s">
        <v>1382</v>
      </c>
      <c r="D405" t="s">
        <v>1383</v>
      </c>
      <c r="E405" t="s">
        <v>1384</v>
      </c>
      <c r="F405" t="s">
        <v>1385</v>
      </c>
      <c r="G405" t="s">
        <v>1386</v>
      </c>
      <c r="H405" t="s">
        <v>255</v>
      </c>
      <c r="I405">
        <v>2021</v>
      </c>
      <c r="J405">
        <v>0</v>
      </c>
      <c r="K405" t="s">
        <v>1387</v>
      </c>
      <c r="L405"/>
      <c r="M405" t="str">
        <f>LEFT($D405,FIND(",",$D405)-1)&amp;"_"&amp;I405&amp;L405</f>
        <v>Delacote_2021</v>
      </c>
      <c r="N405" t="s">
        <v>223</v>
      </c>
      <c r="O405" s="145" t="s">
        <v>224</v>
      </c>
      <c r="P405"/>
      <c r="Q405" s="266" t="s">
        <v>257</v>
      </c>
      <c r="R405" s="271" t="s">
        <v>1156</v>
      </c>
      <c r="S405" s="1" t="s">
        <v>1396</v>
      </c>
      <c r="T405" t="s">
        <v>1397</v>
      </c>
      <c r="U405" s="141" t="s">
        <v>1389</v>
      </c>
      <c r="V405">
        <v>0</v>
      </c>
      <c r="W405">
        <v>0</v>
      </c>
      <c r="X405">
        <v>0</v>
      </c>
      <c r="Y405">
        <v>0</v>
      </c>
      <c r="Z405">
        <v>1</v>
      </c>
      <c r="AA405">
        <v>0</v>
      </c>
      <c r="AB405">
        <v>0</v>
      </c>
      <c r="AC405">
        <v>0</v>
      </c>
      <c r="AD405">
        <v>0</v>
      </c>
      <c r="AE405">
        <v>0</v>
      </c>
      <c r="AF405">
        <v>0</v>
      </c>
      <c r="AG405">
        <v>0</v>
      </c>
      <c r="AH405">
        <v>0</v>
      </c>
      <c r="AI405">
        <v>0</v>
      </c>
      <c r="AJ405">
        <v>0</v>
      </c>
      <c r="AK405">
        <v>0</v>
      </c>
      <c r="AL405">
        <v>0</v>
      </c>
      <c r="AM405">
        <v>0</v>
      </c>
      <c r="AN405">
        <v>0</v>
      </c>
      <c r="AO405">
        <v>0</v>
      </c>
      <c r="AP405">
        <v>0</v>
      </c>
      <c r="AQ405">
        <v>0</v>
      </c>
      <c r="AR405">
        <v>0</v>
      </c>
      <c r="AS405">
        <v>0</v>
      </c>
      <c r="AT405">
        <v>0</v>
      </c>
      <c r="AU405">
        <v>0</v>
      </c>
      <c r="AV405">
        <v>0</v>
      </c>
      <c r="AW405">
        <v>0</v>
      </c>
      <c r="AX405" s="141">
        <f>COUNTIF(V405:AW405,"&lt;&gt;0")</f>
        <v>1</v>
      </c>
      <c r="AY405" s="141">
        <f>COUNTIF(V405:AL405,"&lt;&gt;0")</f>
        <v>1</v>
      </c>
      <c r="AZ405">
        <f>COUNTIF(V405:AC405,"&lt;&gt;0")</f>
        <v>1</v>
      </c>
      <c r="BA405">
        <f>COUNTIF(AD405:AI405,"&lt;&gt;0")</f>
        <v>0</v>
      </c>
      <c r="BB405">
        <f>COUNTIF(AJ405:AL405,"&lt;&gt;0")</f>
        <v>0</v>
      </c>
      <c r="BC405">
        <f>COUNTIF(AS405:AW405,"&lt;&gt;0")</f>
        <v>0</v>
      </c>
      <c r="BD405">
        <f>COUNTIF(AM405:AR405,"&lt;&gt;0")</f>
        <v>0</v>
      </c>
      <c r="BE405" t="str" cm="1">
        <f t="array" ref="BE405">IF(AY405=1,INDEX($V$7:$AL$7,MATCH(TRUE,INDEX($V405:$AW405&lt;&gt;0,),0)),IF(AY405=0,INDEX($AM$7:$AW$7,MATCH(1,$AM405:$AW405,0)),IF(BF405="Multiple strategies","mixed drivers",IF(BF405="Supply chain","multiple supply","multiple silviculture"))))</f>
        <v>species</v>
      </c>
      <c r="BF405" s="2" t="str" cm="1">
        <f t="array" ref="BF405">IF(COUNTIF(AZ405:BB405,"&lt;&gt;0")=1,INDEX($V$4:$AW$4,MATCH(TRUE,INDEX($V405:$AW405&lt;&gt;0,),0)),IF(COUNTIF(AZ405:BB405,"&lt;&gt;0")=0,INDEX($AM$4:$AW$4,MATCH(1,$AM405:$AW405,0)),"Multiple strategies"))</f>
        <v>SilvicultureProd</v>
      </c>
      <c r="BG405" s="1" t="s">
        <v>322</v>
      </c>
      <c r="BH405" t="s">
        <v>1299</v>
      </c>
      <c r="BI405"/>
      <c r="BJ405" t="s">
        <v>1216</v>
      </c>
      <c r="BK405">
        <f>BL405*(1-0.58/100)</f>
        <v>57.939987599999995</v>
      </c>
      <c r="BL405">
        <v>58.277999999999999</v>
      </c>
      <c r="BM405">
        <f>BK405/BL405</f>
        <v>0.99419999999999997</v>
      </c>
      <c r="BN405">
        <f>BL405-BK405</f>
        <v>0.33801240000000377</v>
      </c>
      <c r="BO405">
        <f>BN405*10^6</f>
        <v>338012.40000000375</v>
      </c>
      <c r="BP405" t="s">
        <v>233</v>
      </c>
      <c r="BQ405"/>
      <c r="BR405" t="s">
        <v>1232</v>
      </c>
      <c r="BS405">
        <f>BT405*(1-4.94/100)</f>
        <v>82.131840000000011</v>
      </c>
      <c r="BT405">
        <v>86.4</v>
      </c>
      <c r="BU405" s="144">
        <f>IFERROR(BT405/BS405,"")</f>
        <v>1.0519671786240268</v>
      </c>
      <c r="BV405">
        <f>BT405-BS405</f>
        <v>4.2681599999999946</v>
      </c>
      <c r="BW405"/>
      <c r="BX405">
        <f>BV405*10^6</f>
        <v>4268159.9999999944</v>
      </c>
      <c r="BY405">
        <f>IFERROR(BX405/BO405,"")</f>
        <v>12.627229060235504</v>
      </c>
      <c r="BZ405">
        <v>0</v>
      </c>
      <c r="CA405">
        <v>0</v>
      </c>
      <c r="CB405">
        <v>0</v>
      </c>
      <c r="CC405">
        <v>0</v>
      </c>
      <c r="CD405">
        <v>0</v>
      </c>
      <c r="CE405">
        <v>0</v>
      </c>
      <c r="CF405">
        <v>0</v>
      </c>
      <c r="CG405">
        <v>0</v>
      </c>
      <c r="CH405">
        <v>0</v>
      </c>
      <c r="CI405">
        <v>0</v>
      </c>
      <c r="CJ405">
        <v>0</v>
      </c>
      <c r="CK405">
        <v>0</v>
      </c>
      <c r="CL405">
        <v>0</v>
      </c>
      <c r="CM405">
        <v>1</v>
      </c>
      <c r="CN405" t="str">
        <f>IF($BL405&lt;$BK405,"refNeedCorrection","refOK")</f>
        <v>refOK</v>
      </c>
      <c r="CO405">
        <f>IF($CN405="refOK",$BK405,$BL405)</f>
        <v>57.939987599999995</v>
      </c>
      <c r="CP405">
        <f>IF($CN405="refOK",$BL405,$BK405)</f>
        <v>58.277999999999999</v>
      </c>
      <c r="CQ405">
        <f>IF($CN405="refOK",$BO405,-$BO405)</f>
        <v>338012.40000000375</v>
      </c>
      <c r="CR405">
        <f>IF($CN405="refOK",$BS405,$BT405)*IF($BP405="Emissions positive",-1,1)</f>
        <v>82.131840000000011</v>
      </c>
      <c r="CS405">
        <f>IF($CN405="refOK",$BT405,$BS405)*IF($BP405="Emissions positive",-1,1)</f>
        <v>86.4</v>
      </c>
      <c r="CT405">
        <f>IF($CN405="refNeedCorrection",-BX405,BX405)*IF($BP405="Emissions positive",-1,1)</f>
        <v>4268159.9999999944</v>
      </c>
      <c r="CU405">
        <f>IFERROR(CT405/CQ405,"")</f>
        <v>12.627229060235504</v>
      </c>
      <c r="CV405" s="2">
        <f>IFERROR((CS405-CR405)/ABS(CR405),"")</f>
        <v>5.1967178624026861E-2</v>
      </c>
      <c r="CW405" s="1" t="s">
        <v>1205</v>
      </c>
      <c r="CX405" s="266" t="str">
        <f>IF(OR($CW405="prd",$CW405="std",$CW405="cit"),"loc",IF(OR($CW405="eur",$CW405="reg",$CW405="coy"),"reg",$CW405))</f>
        <v>reg</v>
      </c>
      <c r="CY405" t="s">
        <v>731</v>
      </c>
      <c r="CZ405">
        <v>2015</v>
      </c>
      <c r="DA405">
        <v>2100</v>
      </c>
      <c r="DB405">
        <f>DA405-CZ405</f>
        <v>85</v>
      </c>
      <c r="DC405" t="str">
        <f>IF(DB405=0,"0",IF(AND(DB405&gt;=1,DB405&lt;=30),"1-30",IF(AND(DB405&gt;30,DB405&lt;=70),"31-70",IF(AND(DB405&gt;70,DB405&lt;=100),"71-100",IF(DB405&gt;100,"+100")))))</f>
        <v>71-100</v>
      </c>
      <c r="DD405">
        <v>0</v>
      </c>
      <c r="DE405">
        <v>1</v>
      </c>
      <c r="DF405">
        <v>1</v>
      </c>
      <c r="DG405">
        <v>1</v>
      </c>
      <c r="DH405"/>
      <c r="DI405">
        <f>SUM(DD405:DG405)</f>
        <v>3</v>
      </c>
      <c r="DJ405" t="str">
        <f>IF(DI405=1,INDEX($DD$7:$DG$7,MATCH(1,$DD405:$DG405,0)),"mixedProduct")</f>
        <v>mixedProduct</v>
      </c>
      <c r="DK405">
        <f>IF(DD405=1,DK$7,0)</f>
        <v>0</v>
      </c>
      <c r="DL405" t="str">
        <f>IF(DE405=1,DL$7,0)</f>
        <v>Energy</v>
      </c>
      <c r="DM405" t="str">
        <f>IF(DF405=1,DM$7,0)</f>
        <v>Pulp/Paper</v>
      </c>
      <c r="DN405" t="str">
        <f>IF(DG405=1,DN$7,0)</f>
        <v>Timber</v>
      </c>
      <c r="DO405">
        <v>0</v>
      </c>
      <c r="DP405">
        <v>1</v>
      </c>
      <c r="DQ405" t="s">
        <v>1391</v>
      </c>
      <c r="DR405" t="s">
        <v>1391</v>
      </c>
      <c r="DS405" t="s">
        <v>1391</v>
      </c>
      <c r="DT405">
        <f>SUM(DO405:DP405)</f>
        <v>1</v>
      </c>
      <c r="DU405" s="143" t="str">
        <f>IF(DO405=1,"self-calculated DF",IF(DP405=1,"external DF used","explicit C balance"))</f>
        <v>external DF used</v>
      </c>
      <c r="DV405">
        <v>0</v>
      </c>
      <c r="DW405">
        <v>1</v>
      </c>
      <c r="DX405">
        <v>1</v>
      </c>
      <c r="DY405">
        <v>1</v>
      </c>
      <c r="DZ405">
        <v>0</v>
      </c>
      <c r="EA405">
        <v>1</v>
      </c>
      <c r="EB405">
        <v>1</v>
      </c>
      <c r="EC405">
        <v>1</v>
      </c>
      <c r="ED405">
        <v>0</v>
      </c>
      <c r="EE405">
        <v>0</v>
      </c>
      <c r="EF405">
        <v>1</v>
      </c>
      <c r="EG405">
        <v>0</v>
      </c>
      <c r="EH405">
        <v>1</v>
      </c>
      <c r="EI405" s="2">
        <v>1</v>
      </c>
      <c r="EJ405" s="1"/>
      <c r="EK405" t="str">
        <f>IF(AND(AND(AND(OR($DX405=1,$DW405=1),OR($EC405=1,$EA405=1)),SUM($DV405:$DZ405,$EF405)&gt;=4),SUM($EA405:$EE405)&gt;=2),"Whole sector","")</f>
        <v>Whole sector</v>
      </c>
      <c r="EL405" t="str">
        <f>IF(AND(AND(OR($DX405=1,$DW405=1),AND($EC405=0,$EA405=0)),SUM($DV405:$DZ405,$EF405)&gt;=4),"Ecosystem approach","")</f>
        <v/>
      </c>
      <c r="EM405" s="2" t="str">
        <f>IF(AND(AND(AND($DX405=0,$DW405=0),OR($EC405=1,$EA405=1)),SUM($EB405:$EE405)&gt;=2),"Technology approach","")</f>
        <v/>
      </c>
      <c r="EN405"/>
      <c r="EO405" t="s">
        <v>1398</v>
      </c>
      <c r="EP405" t="str">
        <f>IF(ISNUMBER(BU405),IF(ABS(BU405-[1]QC_indicators!$B$2)&gt;3*[1]QC_indicators!$C$2,"C ratio",IF(ISNUMBER(BY405),IF(ABS(BY405-[1]QC_indicators!$B$1)&gt;3*[1]QC_indicators!$C$1,"DF","no"))),IF(ISNUMBER(BY405),IF(ABS(BY405-[1]QC_indicators!$B$1)&gt;3*[1]QC_indicators!$C$1,"DF","no")))</f>
        <v>DF</v>
      </c>
      <c r="EQ405" t="s">
        <v>287</v>
      </c>
      <c r="ER405"/>
      <c r="ES405"/>
      <c r="ET405" s="266" t="s">
        <v>3409</v>
      </c>
      <c r="EU405"/>
    </row>
    <row r="406" spans="1:151" s="139" customFormat="1" ht="15" hidden="1" customHeight="1">
      <c r="A406" s="1" t="s">
        <v>850</v>
      </c>
      <c r="B406" t="s">
        <v>851</v>
      </c>
      <c r="C406" t="s">
        <v>852</v>
      </c>
      <c r="D406" t="s">
        <v>853</v>
      </c>
      <c r="E406" t="s">
        <v>854</v>
      </c>
      <c r="F406" t="s">
        <v>855</v>
      </c>
      <c r="G406" t="s">
        <v>856</v>
      </c>
      <c r="H406" t="s">
        <v>255</v>
      </c>
      <c r="I406">
        <v>2020</v>
      </c>
      <c r="J406">
        <v>5</v>
      </c>
      <c r="K406" t="s">
        <v>857</v>
      </c>
      <c r="L406"/>
      <c r="M406" t="str">
        <f>LEFT($D406,FIND(",",$D406)-1)&amp;"_"&amp;I406&amp;L406</f>
        <v>Lan_2020</v>
      </c>
      <c r="N406" t="s">
        <v>223</v>
      </c>
      <c r="O406" s="145" t="s">
        <v>226</v>
      </c>
      <c r="P406"/>
      <c r="Q406" t="s">
        <v>257</v>
      </c>
      <c r="R406" s="264" t="s">
        <v>224</v>
      </c>
      <c r="S406" s="1" t="s">
        <v>96</v>
      </c>
      <c r="T406" t="s">
        <v>859</v>
      </c>
      <c r="U406" t="s">
        <v>865</v>
      </c>
      <c r="V406">
        <v>0</v>
      </c>
      <c r="W406">
        <v>0</v>
      </c>
      <c r="X406">
        <v>0</v>
      </c>
      <c r="Y406">
        <v>0</v>
      </c>
      <c r="Z406">
        <v>0</v>
      </c>
      <c r="AA406">
        <v>0</v>
      </c>
      <c r="AB406">
        <v>0</v>
      </c>
      <c r="AC406">
        <v>1</v>
      </c>
      <c r="AD406">
        <v>0</v>
      </c>
      <c r="AE406">
        <v>0</v>
      </c>
      <c r="AF406">
        <v>0</v>
      </c>
      <c r="AG406">
        <v>0</v>
      </c>
      <c r="AH406">
        <v>0</v>
      </c>
      <c r="AI406">
        <v>0</v>
      </c>
      <c r="AJ406">
        <v>0</v>
      </c>
      <c r="AK406">
        <v>0</v>
      </c>
      <c r="AL406">
        <v>0</v>
      </c>
      <c r="AM406">
        <v>0</v>
      </c>
      <c r="AN406">
        <v>0</v>
      </c>
      <c r="AO406">
        <v>0</v>
      </c>
      <c r="AP406">
        <v>0</v>
      </c>
      <c r="AQ406">
        <v>0</v>
      </c>
      <c r="AR406">
        <v>0</v>
      </c>
      <c r="AS406">
        <v>0</v>
      </c>
      <c r="AT406">
        <v>0</v>
      </c>
      <c r="AU406">
        <v>0</v>
      </c>
      <c r="AV406">
        <v>0</v>
      </c>
      <c r="AW406">
        <v>0</v>
      </c>
      <c r="AX406" s="141">
        <f>COUNTIF(V406:AW406,"&lt;&gt;0")</f>
        <v>1</v>
      </c>
      <c r="AY406" s="141">
        <f>COUNTIF(V406:AL406,"&lt;&gt;0")</f>
        <v>1</v>
      </c>
      <c r="AZ406">
        <f>COUNTIF(V406:AC406,"&lt;&gt;0")</f>
        <v>1</v>
      </c>
      <c r="BA406">
        <f>COUNTIF(AD406:AI406,"&lt;&gt;0")</f>
        <v>0</v>
      </c>
      <c r="BB406">
        <f>COUNTIF(AJ406:AL406,"&lt;&gt;0")</f>
        <v>0</v>
      </c>
      <c r="BC406">
        <f>COUNTIF(AS406:AW406,"&lt;&gt;0")</f>
        <v>0</v>
      </c>
      <c r="BD406">
        <f>COUNTIF(AM406:AR406,"&lt;&gt;0")</f>
        <v>0</v>
      </c>
      <c r="BE406" t="str">
        <f t="array" ref="BE406">IF(AY406=1,INDEX($V$7:$AL$7,MATCH(TRUE,INDEX($V406:$AW406&lt;&gt;0,),0)),IF(AY406=0,INDEX($AM$7:$AW$7,MATCH(1,$AM406:$AW406,0)),IF(BF406="Multiple strategies","mixed drivers",IF(BF406="Supply chain","multiple supply","multiple silviculture"))))</f>
        <v>site fertility</v>
      </c>
      <c r="BF406" s="2" t="str" cm="1">
        <f t="array" ref="BF406">IF(COUNTIF(AZ406:BB406,"&lt;&gt;0")=1,INDEX($V$4:$AW$4,MATCH(TRUE,INDEX($V406:$AW406&lt;&gt;0,),0)),IF(COUNTIF(AZ406:BB406,"&lt;&gt;0")=0,INDEX($AM$4:$AW$4,MATCH(1,$AM406:$AW406,0)),"Multiple strategies"))</f>
        <v>SilvicultureProd</v>
      </c>
      <c r="BG406" s="142" t="s">
        <v>322</v>
      </c>
      <c r="BH406" t="s">
        <v>869</v>
      </c>
      <c r="BI406" s="266" t="s">
        <v>703</v>
      </c>
      <c r="BJ406" s="143" t="s">
        <v>870</v>
      </c>
      <c r="BK406">
        <f>282+71</f>
        <v>353</v>
      </c>
      <c r="BL406" s="143">
        <f>111+443</f>
        <v>554</v>
      </c>
      <c r="BM406" s="163">
        <f>BL406/BK406</f>
        <v>1.5694050991501416</v>
      </c>
      <c r="BN406">
        <f>BL406-BK406</f>
        <v>201</v>
      </c>
      <c r="BO406" s="159">
        <f>BN406*t_to_m3</f>
        <v>410.20408163265307</v>
      </c>
      <c r="BP406" t="s">
        <v>233</v>
      </c>
      <c r="BQ406" s="153" t="s">
        <v>430</v>
      </c>
      <c r="BR406" t="s">
        <v>861</v>
      </c>
      <c r="BS406">
        <v>726.60500000000002</v>
      </c>
      <c r="BT406">
        <v>1124.77</v>
      </c>
      <c r="BU406" s="144">
        <f>IFERROR(BT406/BS406,"")</f>
        <v>1.5479799891275177</v>
      </c>
      <c r="BV406">
        <f>BT406-BS406</f>
        <v>398.16499999999996</v>
      </c>
      <c r="BW406"/>
      <c r="BX406">
        <f>BV406</f>
        <v>398.16499999999996</v>
      </c>
      <c r="BY406">
        <f>IFERROR(BX406/BO406,"")</f>
        <v>0.97065099502487551</v>
      </c>
      <c r="BZ406">
        <v>0</v>
      </c>
      <c r="CA406">
        <v>0</v>
      </c>
      <c r="CB406">
        <v>0</v>
      </c>
      <c r="CC406">
        <v>0</v>
      </c>
      <c r="CD406">
        <v>0</v>
      </c>
      <c r="CE406">
        <v>0</v>
      </c>
      <c r="CF406">
        <v>0</v>
      </c>
      <c r="CG406">
        <v>0</v>
      </c>
      <c r="CH406">
        <v>0</v>
      </c>
      <c r="CI406">
        <v>0</v>
      </c>
      <c r="CJ406">
        <v>0</v>
      </c>
      <c r="CK406">
        <v>0</v>
      </c>
      <c r="CL406">
        <v>0</v>
      </c>
      <c r="CM406">
        <v>0</v>
      </c>
      <c r="CN406" t="str">
        <f>IF($BL406&lt;$BK406,"refNeedCorrection","refOK")</f>
        <v>refOK</v>
      </c>
      <c r="CO406">
        <f>IF($CN406="refNeedCorrection",BL406,BK406)</f>
        <v>353</v>
      </c>
      <c r="CP406">
        <f>IF($CN406="refNeedCorrection",BK406,BL406)</f>
        <v>554</v>
      </c>
      <c r="CQ406">
        <f>IF($CN406="refOK",$BO406,-$BO406)</f>
        <v>410.20408163265307</v>
      </c>
      <c r="CR406">
        <f>IF($CN406="refOK",$BS406,$BT406)*IF($BP406="Emissions positive",-1,1)</f>
        <v>726.60500000000002</v>
      </c>
      <c r="CS406">
        <f>IF($CN406="refOK",$BT406,$BS406)*IF($BP406="Emissions positive",-1,1)</f>
        <v>1124.77</v>
      </c>
      <c r="CT406">
        <f>IF($CN406="refNeedCorrection",-BX406,BX406)*IF($BP406="Emissions positive",-1,1)</f>
        <v>398.16499999999996</v>
      </c>
      <c r="CU406">
        <f>IFERROR(CT406/CQ406,"")</f>
        <v>0.97065099502487551</v>
      </c>
      <c r="CV406" s="2">
        <f>IFERROR((CS406-CR406)/ABS(CR406),"")</f>
        <v>0.54797998912751766</v>
      </c>
      <c r="CW406" s="1" t="s">
        <v>235</v>
      </c>
      <c r="CX406" t="str">
        <f>IF(OR($CW406="prd",$CW406="std",$CW406="cit"),"loc",IF(OR($CW406="eur",$CW406="reg",$CW406="coy"),"reg",$CW406))</f>
        <v>loc</v>
      </c>
      <c r="CY406" t="s">
        <v>429</v>
      </c>
      <c r="CZ406">
        <v>2021</v>
      </c>
      <c r="DA406" s="143">
        <v>2120</v>
      </c>
      <c r="DB406" s="143">
        <v>100</v>
      </c>
      <c r="DC406" t="str">
        <f>IF(DB406=0,"0",IF(AND(DB406&gt;=1,DB406&lt;=30),"1-30",IF(AND(DB406&gt;30,DB406&lt;=70),"31-70",IF(AND(DB406&gt;70,DB406&lt;=100),"71-100",IF(DB406&gt;100,"+100")))))</f>
        <v>71-100</v>
      </c>
      <c r="DD406">
        <v>0</v>
      </c>
      <c r="DE406">
        <v>1</v>
      </c>
      <c r="DF406">
        <v>0</v>
      </c>
      <c r="DG406">
        <v>1</v>
      </c>
      <c r="DH406"/>
      <c r="DI406">
        <f>SUM(DD406:DG406)</f>
        <v>2</v>
      </c>
      <c r="DJ406" t="str">
        <f>IF(DI406=1,INDEX($DD$7:$DG$7,MATCH(1,$DD406:$DG406,0)),"mixedProduct")</f>
        <v>mixedProduct</v>
      </c>
      <c r="DK406">
        <f>IF(DD406=1,DK$7,0)</f>
        <v>0</v>
      </c>
      <c r="DL406" t="str">
        <f>IF(DE406=1,DL$7,0)</f>
        <v>Energy</v>
      </c>
      <c r="DM406">
        <f>IF(DF406=1,DM$7,0)</f>
        <v>0</v>
      </c>
      <c r="DN406" t="str">
        <f>IF(DG406=1,DN$7,0)</f>
        <v>Timber</v>
      </c>
      <c r="DO406">
        <v>0</v>
      </c>
      <c r="DP406" s="143">
        <v>0</v>
      </c>
      <c r="DQ406" s="143">
        <v>0</v>
      </c>
      <c r="DR406">
        <v>0</v>
      </c>
      <c r="DS406" s="143">
        <v>0</v>
      </c>
      <c r="DT406">
        <f>SUM(DO406:DP406)</f>
        <v>0</v>
      </c>
      <c r="DU406" s="143" t="str">
        <f>IF(DO406=1,"self-calculated DF",IF(DP406=1,"external DF used","explicit C balance"))</f>
        <v>explicit C balance</v>
      </c>
      <c r="DV406" s="143">
        <v>0</v>
      </c>
      <c r="DW406" s="143">
        <v>1</v>
      </c>
      <c r="DX406" s="143">
        <v>1</v>
      </c>
      <c r="DY406" s="143">
        <v>1</v>
      </c>
      <c r="DZ406">
        <v>1</v>
      </c>
      <c r="EA406" s="143">
        <v>0</v>
      </c>
      <c r="EB406" s="143">
        <v>1</v>
      </c>
      <c r="EC406" s="143">
        <v>1</v>
      </c>
      <c r="ED406" s="143">
        <v>1</v>
      </c>
      <c r="EE406">
        <v>0</v>
      </c>
      <c r="EF406">
        <v>1</v>
      </c>
      <c r="EG406" s="143">
        <v>1</v>
      </c>
      <c r="EH406">
        <v>0</v>
      </c>
      <c r="EI406" s="2">
        <v>0</v>
      </c>
      <c r="EJ406" s="1"/>
      <c r="EK406" t="str">
        <f>IF(AND(AND(AND(OR($DX406=1,$DW406=1),OR($EC406=1,$EA406=1)),SUM($DV406:$DZ406,$EF406)&gt;=4),SUM($EA406:$EE406)&gt;=2),"Whole sector","")</f>
        <v>Whole sector</v>
      </c>
      <c r="EL406" t="str">
        <f>IF(AND(AND(OR($DX406=1,$DW406=1),AND($EC406=0,$EA406=0)),SUM($DV406:$DZ406,$EF406)&gt;=4),"Ecosystem approach","")</f>
        <v/>
      </c>
      <c r="EM406" s="2" t="str">
        <f>IF(AND(AND(AND($DX406=0,$DW406=0),OR($EC406=1,$EA406=1)),SUM($EB406:$EE406)&gt;=2),"Technology approach","")</f>
        <v/>
      </c>
      <c r="EN406"/>
      <c r="EO406"/>
      <c r="EP406" t="str">
        <f>IF(ISNUMBER(BU406),IF(ABS(BU406-[2]QC_indicators!$B$2)&gt;3*[2]QC_indicators!$C$2,"C ratio",IF(ISNUMBER(BY406),IF(ABS(BY406-[2]QC_indicators!$B$1)&gt;3*[2]QC_indicators!$C$1,"DF","no"))),IF(ISNUMBER(BY406),IF(ABS(BY406-[2]QC_indicators!$B$1)&gt;3*[2]QC_indicators!$C$1,"DF","no")))</f>
        <v>no</v>
      </c>
      <c r="EQ406"/>
      <c r="ER406" t="s">
        <v>862</v>
      </c>
      <c r="ES406"/>
      <c r="ET406" s="266" t="s">
        <v>3153</v>
      </c>
      <c r="EU406"/>
    </row>
    <row r="407" spans="1:151" s="139" customFormat="1" ht="15" hidden="1" customHeight="1">
      <c r="A407" s="1" t="s">
        <v>850</v>
      </c>
      <c r="B407" t="s">
        <v>851</v>
      </c>
      <c r="C407" t="s">
        <v>852</v>
      </c>
      <c r="D407" t="s">
        <v>853</v>
      </c>
      <c r="E407" t="s">
        <v>854</v>
      </c>
      <c r="F407" t="s">
        <v>855</v>
      </c>
      <c r="G407" t="s">
        <v>856</v>
      </c>
      <c r="H407" t="s">
        <v>255</v>
      </c>
      <c r="I407">
        <v>2020</v>
      </c>
      <c r="J407">
        <v>5</v>
      </c>
      <c r="K407" t="s">
        <v>857</v>
      </c>
      <c r="L407"/>
      <c r="M407" t="str">
        <f>LEFT($D407,FIND(",",$D407)-1)&amp;"_"&amp;I407&amp;L407</f>
        <v>Lan_2020</v>
      </c>
      <c r="N407" t="s">
        <v>223</v>
      </c>
      <c r="O407" s="145" t="s">
        <v>226</v>
      </c>
      <c r="P407"/>
      <c r="Q407" t="s">
        <v>257</v>
      </c>
      <c r="R407" s="264" t="s">
        <v>224</v>
      </c>
      <c r="S407" s="1" t="s">
        <v>96</v>
      </c>
      <c r="T407" t="s">
        <v>860</v>
      </c>
      <c r="U407" t="s">
        <v>866</v>
      </c>
      <c r="V407">
        <v>0</v>
      </c>
      <c r="W407">
        <v>0</v>
      </c>
      <c r="X407">
        <v>0</v>
      </c>
      <c r="Y407">
        <v>0</v>
      </c>
      <c r="Z407">
        <v>0</v>
      </c>
      <c r="AA407">
        <v>0</v>
      </c>
      <c r="AB407">
        <v>0</v>
      </c>
      <c r="AC407">
        <v>1</v>
      </c>
      <c r="AD407">
        <v>0</v>
      </c>
      <c r="AE407">
        <v>0</v>
      </c>
      <c r="AF407">
        <v>0</v>
      </c>
      <c r="AG407">
        <v>0</v>
      </c>
      <c r="AH407">
        <v>0</v>
      </c>
      <c r="AI407">
        <v>0</v>
      </c>
      <c r="AJ407">
        <v>0</v>
      </c>
      <c r="AK407">
        <v>0</v>
      </c>
      <c r="AL407">
        <v>0</v>
      </c>
      <c r="AM407">
        <v>0</v>
      </c>
      <c r="AN407">
        <v>0</v>
      </c>
      <c r="AO407">
        <v>0</v>
      </c>
      <c r="AP407">
        <v>0</v>
      </c>
      <c r="AQ407">
        <v>0</v>
      </c>
      <c r="AR407">
        <v>0</v>
      </c>
      <c r="AS407">
        <v>0</v>
      </c>
      <c r="AT407">
        <v>0</v>
      </c>
      <c r="AU407">
        <v>0</v>
      </c>
      <c r="AV407">
        <v>0</v>
      </c>
      <c r="AW407">
        <v>0</v>
      </c>
      <c r="AX407" s="141">
        <f>COUNTIF(V407:AW407,"&lt;&gt;0")</f>
        <v>1</v>
      </c>
      <c r="AY407" s="141">
        <f>COUNTIF(V407:AL407,"&lt;&gt;0")</f>
        <v>1</v>
      </c>
      <c r="AZ407">
        <f>COUNTIF(V407:AC407,"&lt;&gt;0")</f>
        <v>1</v>
      </c>
      <c r="BA407">
        <f>COUNTIF(AD407:AI407,"&lt;&gt;0")</f>
        <v>0</v>
      </c>
      <c r="BB407">
        <f>COUNTIF(AJ407:AL407,"&lt;&gt;0")</f>
        <v>0</v>
      </c>
      <c r="BC407">
        <f>COUNTIF(AS407:AW407,"&lt;&gt;0")</f>
        <v>0</v>
      </c>
      <c r="BD407">
        <f>COUNTIF(AM407:AR407,"&lt;&gt;0")</f>
        <v>0</v>
      </c>
      <c r="BE407" t="str">
        <f t="array" ref="BE407">IF(AY407=1,INDEX($V$7:$AL$7,MATCH(TRUE,INDEX($V407:$AW407&lt;&gt;0,),0)),IF(AY407=0,INDEX($AM$7:$AW$7,MATCH(1,$AM407:$AW407,0)),IF(BF407="Multiple strategies","mixed drivers",IF(BF407="Supply chain","multiple supply","multiple silviculture"))))</f>
        <v>site fertility</v>
      </c>
      <c r="BF407" s="2" t="str" cm="1">
        <f t="array" ref="BF407">IF(COUNTIF(AZ407:BB407,"&lt;&gt;0")=1,INDEX($V$4:$AW$4,MATCH(TRUE,INDEX($V407:$AW407&lt;&gt;0,),0)),IF(COUNTIF(AZ407:BB407,"&lt;&gt;0")=0,INDEX($AM$4:$AW$4,MATCH(1,$AM407:$AW407,0)),"Multiple strategies"))</f>
        <v>SilvicultureProd</v>
      </c>
      <c r="BG407" s="142" t="s">
        <v>322</v>
      </c>
      <c r="BH407" t="s">
        <v>869</v>
      </c>
      <c r="BI407" s="266" t="s">
        <v>703</v>
      </c>
      <c r="BJ407" s="143" t="s">
        <v>870</v>
      </c>
      <c r="BK407">
        <f>282+71</f>
        <v>353</v>
      </c>
      <c r="BL407" s="143">
        <f>111+443</f>
        <v>554</v>
      </c>
      <c r="BM407" s="163">
        <f>BL407/BK407</f>
        <v>1.5694050991501416</v>
      </c>
      <c r="BN407">
        <f>BL407-BK407</f>
        <v>201</v>
      </c>
      <c r="BO407" s="159">
        <f>BN407*t_to_m3</f>
        <v>410.20408163265307</v>
      </c>
      <c r="BP407" t="s">
        <v>233</v>
      </c>
      <c r="BQ407" s="153" t="s">
        <v>430</v>
      </c>
      <c r="BR407" t="s">
        <v>861</v>
      </c>
      <c r="BS407">
        <v>739.44899999999996</v>
      </c>
      <c r="BT407">
        <v>1150.4580000000001</v>
      </c>
      <c r="BU407" s="144">
        <f>IFERROR(BT407/BS407,"")</f>
        <v>1.5558314366508037</v>
      </c>
      <c r="BV407">
        <f>BT407-BS407</f>
        <v>411.00900000000013</v>
      </c>
      <c r="BW407"/>
      <c r="BX407">
        <f>BV407</f>
        <v>411.00900000000013</v>
      </c>
      <c r="BY407">
        <f>IFERROR(BX407/BO407,"")</f>
        <v>1.0019622388059704</v>
      </c>
      <c r="BZ407">
        <v>0</v>
      </c>
      <c r="CA407">
        <v>0</v>
      </c>
      <c r="CB407">
        <v>0</v>
      </c>
      <c r="CC407">
        <v>0</v>
      </c>
      <c r="CD407">
        <v>0</v>
      </c>
      <c r="CE407">
        <v>0</v>
      </c>
      <c r="CF407">
        <v>0</v>
      </c>
      <c r="CG407">
        <v>0</v>
      </c>
      <c r="CH407">
        <v>0</v>
      </c>
      <c r="CI407">
        <v>0</v>
      </c>
      <c r="CJ407">
        <v>0</v>
      </c>
      <c r="CK407">
        <v>0</v>
      </c>
      <c r="CL407">
        <v>0</v>
      </c>
      <c r="CM407">
        <v>0</v>
      </c>
      <c r="CN407" t="str">
        <f>IF($BL407&lt;$BK407,"refNeedCorrection","refOK")</f>
        <v>refOK</v>
      </c>
      <c r="CO407">
        <f>IF($CN407="refNeedCorrection",BL407,BK407)</f>
        <v>353</v>
      </c>
      <c r="CP407">
        <f>IF($CN407="refNeedCorrection",BK407,BL407)</f>
        <v>554</v>
      </c>
      <c r="CQ407">
        <f>IF($CN407="refOK",$BO407,-$BO407)</f>
        <v>410.20408163265307</v>
      </c>
      <c r="CR407">
        <f>IF($CN407="refOK",$BS407,$BT407)*IF($BP407="Emissions positive",-1,1)</f>
        <v>739.44899999999996</v>
      </c>
      <c r="CS407">
        <f>IF($CN407="refOK",$BT407,$BS407)*IF($BP407="Emissions positive",-1,1)</f>
        <v>1150.4580000000001</v>
      </c>
      <c r="CT407">
        <f>IF($CN407="refNeedCorrection",-BX407,BX407)*IF($BP407="Emissions positive",-1,1)</f>
        <v>411.00900000000013</v>
      </c>
      <c r="CU407">
        <f>IFERROR(CT407/CQ407,"")</f>
        <v>1.0019622388059704</v>
      </c>
      <c r="CV407" s="2">
        <f>IFERROR((CS407-CR407)/ABS(CR407),"")</f>
        <v>0.5558314366508037</v>
      </c>
      <c r="CW407" s="1" t="s">
        <v>235</v>
      </c>
      <c r="CX407" t="str">
        <f>IF(OR($CW407="prd",$CW407="std",$CW407="cit"),"loc",IF(OR($CW407="eur",$CW407="reg",$CW407="coy"),"reg",$CW407))</f>
        <v>loc</v>
      </c>
      <c r="CY407" t="s">
        <v>429</v>
      </c>
      <c r="CZ407">
        <v>2021</v>
      </c>
      <c r="DA407" s="143">
        <v>2120</v>
      </c>
      <c r="DB407" s="143">
        <v>100</v>
      </c>
      <c r="DC407" t="str">
        <f>IF(DB407=0,"0",IF(AND(DB407&gt;=1,DB407&lt;=30),"1-30",IF(AND(DB407&gt;30,DB407&lt;=70),"31-70",IF(AND(DB407&gt;70,DB407&lt;=100),"71-100",IF(DB407&gt;100,"+100")))))</f>
        <v>71-100</v>
      </c>
      <c r="DD407">
        <v>0</v>
      </c>
      <c r="DE407">
        <v>1</v>
      </c>
      <c r="DF407">
        <v>0</v>
      </c>
      <c r="DG407">
        <v>1</v>
      </c>
      <c r="DH407"/>
      <c r="DI407">
        <f>SUM(DD407:DG407)</f>
        <v>2</v>
      </c>
      <c r="DJ407" t="str">
        <f>IF(DI407=1,INDEX($DD$7:$DG$7,MATCH(1,$DD407:$DG407,0)),"mixedProduct")</f>
        <v>mixedProduct</v>
      </c>
      <c r="DK407">
        <f>IF(DD407=1,DK$7,0)</f>
        <v>0</v>
      </c>
      <c r="DL407" t="str">
        <f>IF(DE407=1,DL$7,0)</f>
        <v>Energy</v>
      </c>
      <c r="DM407">
        <f>IF(DF407=1,DM$7,0)</f>
        <v>0</v>
      </c>
      <c r="DN407" t="str">
        <f>IF(DG407=1,DN$7,0)</f>
        <v>Timber</v>
      </c>
      <c r="DO407">
        <v>0</v>
      </c>
      <c r="DP407" s="143">
        <v>0</v>
      </c>
      <c r="DQ407" s="143">
        <v>0</v>
      </c>
      <c r="DR407">
        <v>0</v>
      </c>
      <c r="DS407" s="143">
        <v>0</v>
      </c>
      <c r="DT407">
        <f>SUM(DO407:DP407)</f>
        <v>0</v>
      </c>
      <c r="DU407" s="143" t="str">
        <f>IF(DO407=1,"self-calculated DF",IF(DP407=1,"external DF used","explicit C balance"))</f>
        <v>explicit C balance</v>
      </c>
      <c r="DV407" s="143">
        <v>0</v>
      </c>
      <c r="DW407" s="143">
        <v>1</v>
      </c>
      <c r="DX407" s="143">
        <v>1</v>
      </c>
      <c r="DY407" s="143">
        <v>1</v>
      </c>
      <c r="DZ407">
        <v>1</v>
      </c>
      <c r="EA407" s="143">
        <v>0</v>
      </c>
      <c r="EB407" s="143">
        <v>1</v>
      </c>
      <c r="EC407" s="143">
        <v>1</v>
      </c>
      <c r="ED407" s="143">
        <v>1</v>
      </c>
      <c r="EE407">
        <v>0</v>
      </c>
      <c r="EF407">
        <v>1</v>
      </c>
      <c r="EG407" s="143">
        <v>1</v>
      </c>
      <c r="EH407">
        <v>0</v>
      </c>
      <c r="EI407" s="2">
        <v>0</v>
      </c>
      <c r="EJ407" s="1"/>
      <c r="EK407" t="str">
        <f>IF(AND(AND(AND(OR($DX407=1,$DW407=1),OR($EC407=1,$EA407=1)),SUM($DV407:$DZ407,$EF407)&gt;=4),SUM($EA407:$EE407)&gt;=2),"Whole sector","")</f>
        <v>Whole sector</v>
      </c>
      <c r="EL407" t="str">
        <f>IF(AND(AND(OR($DX407=1,$DW407=1),AND($EC407=0,$EA407=0)),SUM($DV407:$DZ407,$EF407)&gt;=4),"Ecosystem approach","")</f>
        <v/>
      </c>
      <c r="EM407" s="2" t="str">
        <f>IF(AND(AND(AND($DX407=0,$DW407=0),OR($EC407=1,$EA407=1)),SUM($EB407:$EE407)&gt;=2),"Technology approach","")</f>
        <v/>
      </c>
      <c r="EN407"/>
      <c r="EO407"/>
      <c r="EP407" t="str">
        <f>IF(ISNUMBER(BU407),IF(ABS(BU407-[2]QC_indicators!$B$2)&gt;3*[2]QC_indicators!$C$2,"C ratio",IF(ISNUMBER(BY407),IF(ABS(BY407-[2]QC_indicators!$B$1)&gt;3*[2]QC_indicators!$C$1,"DF","no"))),IF(ISNUMBER(BY407),IF(ABS(BY407-[2]QC_indicators!$B$1)&gt;3*[2]QC_indicators!$C$1,"DF","no")))</f>
        <v>no</v>
      </c>
      <c r="EQ407"/>
      <c r="ER407" t="s">
        <v>862</v>
      </c>
      <c r="ES407"/>
      <c r="ET407" s="266" t="s">
        <v>3153</v>
      </c>
      <c r="EU407"/>
    </row>
    <row r="408" spans="1:151" s="139" customFormat="1" ht="15" hidden="1" customHeight="1">
      <c r="A408" s="1" t="s">
        <v>850</v>
      </c>
      <c r="B408" t="s">
        <v>851</v>
      </c>
      <c r="C408" t="s">
        <v>852</v>
      </c>
      <c r="D408" t="s">
        <v>853</v>
      </c>
      <c r="E408" t="s">
        <v>854</v>
      </c>
      <c r="F408" t="s">
        <v>855</v>
      </c>
      <c r="G408" t="s">
        <v>856</v>
      </c>
      <c r="H408" t="s">
        <v>255</v>
      </c>
      <c r="I408">
        <v>2020</v>
      </c>
      <c r="J408">
        <v>5</v>
      </c>
      <c r="K408" t="s">
        <v>857</v>
      </c>
      <c r="L408"/>
      <c r="M408" t="str">
        <f>LEFT($D408,FIND(",",$D408)-1)&amp;"_"&amp;I408&amp;L408</f>
        <v>Lan_2020</v>
      </c>
      <c r="N408" t="s">
        <v>223</v>
      </c>
      <c r="O408" s="145" t="s">
        <v>226</v>
      </c>
      <c r="P408"/>
      <c r="Q408" t="s">
        <v>257</v>
      </c>
      <c r="R408" s="264" t="s">
        <v>224</v>
      </c>
      <c r="S408" s="1" t="s">
        <v>96</v>
      </c>
      <c r="T408" t="s">
        <v>863</v>
      </c>
      <c r="U408" t="s">
        <v>867</v>
      </c>
      <c r="V408">
        <v>0</v>
      </c>
      <c r="W408">
        <v>0</v>
      </c>
      <c r="X408">
        <v>0</v>
      </c>
      <c r="Y408">
        <v>0</v>
      </c>
      <c r="Z408">
        <v>0</v>
      </c>
      <c r="AA408">
        <v>0</v>
      </c>
      <c r="AB408">
        <v>0</v>
      </c>
      <c r="AC408">
        <v>1</v>
      </c>
      <c r="AD408">
        <v>0</v>
      </c>
      <c r="AE408">
        <v>0</v>
      </c>
      <c r="AF408">
        <v>0</v>
      </c>
      <c r="AG408">
        <v>0</v>
      </c>
      <c r="AH408">
        <v>0</v>
      </c>
      <c r="AI408">
        <v>0</v>
      </c>
      <c r="AJ408">
        <v>0</v>
      </c>
      <c r="AK408">
        <v>0</v>
      </c>
      <c r="AL408">
        <v>0</v>
      </c>
      <c r="AM408">
        <v>0</v>
      </c>
      <c r="AN408">
        <v>0</v>
      </c>
      <c r="AO408">
        <v>0</v>
      </c>
      <c r="AP408">
        <v>0</v>
      </c>
      <c r="AQ408">
        <v>0</v>
      </c>
      <c r="AR408">
        <v>0</v>
      </c>
      <c r="AS408">
        <v>0</v>
      </c>
      <c r="AT408">
        <v>0</v>
      </c>
      <c r="AU408">
        <v>0</v>
      </c>
      <c r="AV408">
        <v>0</v>
      </c>
      <c r="AW408">
        <v>0</v>
      </c>
      <c r="AX408" s="141">
        <f>COUNTIF(V408:AW408,"&lt;&gt;0")</f>
        <v>1</v>
      </c>
      <c r="AY408" s="141">
        <f>COUNTIF(V408:AL408,"&lt;&gt;0")</f>
        <v>1</v>
      </c>
      <c r="AZ408">
        <f>COUNTIF(V408:AC408,"&lt;&gt;0")</f>
        <v>1</v>
      </c>
      <c r="BA408">
        <f>COUNTIF(AD408:AI408,"&lt;&gt;0")</f>
        <v>0</v>
      </c>
      <c r="BB408">
        <f>COUNTIF(AJ408:AL408,"&lt;&gt;0")</f>
        <v>0</v>
      </c>
      <c r="BC408">
        <f>COUNTIF(AS408:AW408,"&lt;&gt;0")</f>
        <v>0</v>
      </c>
      <c r="BD408">
        <f>COUNTIF(AM408:AR408,"&lt;&gt;0")</f>
        <v>0</v>
      </c>
      <c r="BE408" t="str">
        <f t="array" ref="BE408">IF(AY408=1,INDEX($V$7:$AL$7,MATCH(TRUE,INDEX($V408:$AW408&lt;&gt;0,),0)),IF(AY408=0,INDEX($AM$7:$AW$7,MATCH(1,$AM408:$AW408,0)),IF(BF408="Multiple strategies","mixed drivers",IF(BF408="Supply chain","multiple supply","multiple silviculture"))))</f>
        <v>site fertility</v>
      </c>
      <c r="BF408" s="2" t="str" cm="1">
        <f t="array" ref="BF408">IF(COUNTIF(AZ408:BB408,"&lt;&gt;0")=1,INDEX($V$4:$AW$4,MATCH(TRUE,INDEX($V408:$AW408&lt;&gt;0,),0)),IF(COUNTIF(AZ408:BB408,"&lt;&gt;0")=0,INDEX($AM$4:$AW$4,MATCH(1,$AM408:$AW408,0)),"Multiple strategies"))</f>
        <v>SilvicultureProd</v>
      </c>
      <c r="BG408" s="142" t="s">
        <v>322</v>
      </c>
      <c r="BH408" t="s">
        <v>869</v>
      </c>
      <c r="BI408" s="266" t="s">
        <v>703</v>
      </c>
      <c r="BJ408" s="143" t="s">
        <v>870</v>
      </c>
      <c r="BK408">
        <f>282+71</f>
        <v>353</v>
      </c>
      <c r="BL408" s="143">
        <f>111+443</f>
        <v>554</v>
      </c>
      <c r="BM408" s="163">
        <f>BL408/BK408</f>
        <v>1.5694050991501416</v>
      </c>
      <c r="BN408">
        <f>BL408-BK408</f>
        <v>201</v>
      </c>
      <c r="BO408" s="159">
        <f>BN408*t_to_m3</f>
        <v>410.20408163265307</v>
      </c>
      <c r="BP408" t="s">
        <v>233</v>
      </c>
      <c r="BQ408" s="153" t="s">
        <v>430</v>
      </c>
      <c r="BR408" t="s">
        <v>861</v>
      </c>
      <c r="BS408">
        <v>816.51300000000003</v>
      </c>
      <c r="BT408">
        <v>1266.0550000000001</v>
      </c>
      <c r="BU408" s="144">
        <f>IFERROR(BT408/BS408,"")</f>
        <v>1.5505631876038717</v>
      </c>
      <c r="BV408">
        <f>BT408-BS408</f>
        <v>449.54200000000003</v>
      </c>
      <c r="BW408"/>
      <c r="BX408">
        <f>BV408</f>
        <v>449.54200000000003</v>
      </c>
      <c r="BY408">
        <f>IFERROR(BX408/BO408,"")</f>
        <v>1.095898407960199</v>
      </c>
      <c r="BZ408">
        <v>0</v>
      </c>
      <c r="CA408">
        <v>0</v>
      </c>
      <c r="CB408">
        <v>0</v>
      </c>
      <c r="CC408">
        <v>0</v>
      </c>
      <c r="CD408">
        <v>0</v>
      </c>
      <c r="CE408">
        <v>0</v>
      </c>
      <c r="CF408">
        <v>0</v>
      </c>
      <c r="CG408">
        <v>0</v>
      </c>
      <c r="CH408">
        <v>0</v>
      </c>
      <c r="CI408">
        <v>0</v>
      </c>
      <c r="CJ408">
        <v>0</v>
      </c>
      <c r="CK408">
        <v>0</v>
      </c>
      <c r="CL408">
        <v>0</v>
      </c>
      <c r="CM408">
        <v>0</v>
      </c>
      <c r="CN408" t="str">
        <f>IF($BL408&lt;$BK408,"refNeedCorrection","refOK")</f>
        <v>refOK</v>
      </c>
      <c r="CO408">
        <f>IF($CN408="refNeedCorrection",BL408,BK408)</f>
        <v>353</v>
      </c>
      <c r="CP408">
        <f>IF($CN408="refNeedCorrection",BK408,BL408)</f>
        <v>554</v>
      </c>
      <c r="CQ408">
        <f>IF($CN408="refOK",$BO408,-$BO408)</f>
        <v>410.20408163265307</v>
      </c>
      <c r="CR408">
        <f>IF($CN408="refOK",$BS408,$BT408)*IF($BP408="Emissions positive",-1,1)</f>
        <v>816.51300000000003</v>
      </c>
      <c r="CS408">
        <f>IF($CN408="refOK",$BT408,$BS408)*IF($BP408="Emissions positive",-1,1)</f>
        <v>1266.0550000000001</v>
      </c>
      <c r="CT408">
        <f>IF($CN408="refNeedCorrection",-BX408,BX408)*IF($BP408="Emissions positive",-1,1)</f>
        <v>449.54200000000003</v>
      </c>
      <c r="CU408">
        <f>IFERROR(CT408/CQ408,"")</f>
        <v>1.095898407960199</v>
      </c>
      <c r="CV408" s="2">
        <f>IFERROR((CS408-CR408)/ABS(CR408),"")</f>
        <v>0.55056318760387157</v>
      </c>
      <c r="CW408" s="1" t="s">
        <v>235</v>
      </c>
      <c r="CX408" t="str">
        <f>IF(OR($CW408="prd",$CW408="std",$CW408="cit"),"loc",IF(OR($CW408="eur",$CW408="reg",$CW408="coy"),"reg",$CW408))</f>
        <v>loc</v>
      </c>
      <c r="CY408" t="s">
        <v>429</v>
      </c>
      <c r="CZ408">
        <v>2021</v>
      </c>
      <c r="DA408" s="143">
        <v>2120</v>
      </c>
      <c r="DB408" s="143">
        <v>100</v>
      </c>
      <c r="DC408" t="str">
        <f>IF(DB408=0,"0",IF(AND(DB408&gt;=1,DB408&lt;=30),"1-30",IF(AND(DB408&gt;30,DB408&lt;=70),"31-70",IF(AND(DB408&gt;70,DB408&lt;=100),"71-100",IF(DB408&gt;100,"+100")))))</f>
        <v>71-100</v>
      </c>
      <c r="DD408">
        <v>0</v>
      </c>
      <c r="DE408">
        <v>1</v>
      </c>
      <c r="DF408">
        <v>0</v>
      </c>
      <c r="DG408">
        <v>1</v>
      </c>
      <c r="DH408"/>
      <c r="DI408">
        <f>SUM(DD408:DG408)</f>
        <v>2</v>
      </c>
      <c r="DJ408" t="str">
        <f>IF(DI408=1,INDEX($DD$7:$DG$7,MATCH(1,$DD408:$DG408,0)),"mixedProduct")</f>
        <v>mixedProduct</v>
      </c>
      <c r="DK408">
        <f>IF(DD408=1,DK$7,0)</f>
        <v>0</v>
      </c>
      <c r="DL408" t="str">
        <f>IF(DE408=1,DL$7,0)</f>
        <v>Energy</v>
      </c>
      <c r="DM408">
        <f>IF(DF408=1,DM$7,0)</f>
        <v>0</v>
      </c>
      <c r="DN408" t="str">
        <f>IF(DG408=1,DN$7,0)</f>
        <v>Timber</v>
      </c>
      <c r="DO408">
        <v>0</v>
      </c>
      <c r="DP408" s="143">
        <v>0</v>
      </c>
      <c r="DQ408" s="143">
        <v>0</v>
      </c>
      <c r="DR408">
        <v>0</v>
      </c>
      <c r="DS408" s="143">
        <v>0</v>
      </c>
      <c r="DT408">
        <f>SUM(DO408:DP408)</f>
        <v>0</v>
      </c>
      <c r="DU408" s="143" t="str">
        <f>IF(DO408=1,"self-calculated DF",IF(DP408=1,"external DF used","explicit C balance"))</f>
        <v>explicit C balance</v>
      </c>
      <c r="DV408" s="143">
        <v>0</v>
      </c>
      <c r="DW408" s="143">
        <v>1</v>
      </c>
      <c r="DX408" s="143">
        <v>1</v>
      </c>
      <c r="DY408" s="143">
        <v>1</v>
      </c>
      <c r="DZ408">
        <v>1</v>
      </c>
      <c r="EA408" s="143">
        <v>0</v>
      </c>
      <c r="EB408" s="143">
        <v>1</v>
      </c>
      <c r="EC408" s="143">
        <v>1</v>
      </c>
      <c r="ED408" s="143">
        <v>1</v>
      </c>
      <c r="EE408">
        <v>0</v>
      </c>
      <c r="EF408">
        <v>1</v>
      </c>
      <c r="EG408" s="143">
        <v>1</v>
      </c>
      <c r="EH408">
        <v>0</v>
      </c>
      <c r="EI408" s="2">
        <v>0</v>
      </c>
      <c r="EJ408" s="1"/>
      <c r="EK408" t="str">
        <f>IF(AND(AND(AND(OR($DX408=1,$DW408=1),OR($EC408=1,$EA408=1)),SUM($DV408:$DZ408,$EF408)&gt;=4),SUM($EA408:$EE408)&gt;=2),"Whole sector","")</f>
        <v>Whole sector</v>
      </c>
      <c r="EL408" t="str">
        <f>IF(AND(AND(OR($DX408=1,$DW408=1),AND($EC408=0,$EA408=0)),SUM($DV408:$DZ408,$EF408)&gt;=4),"Ecosystem approach","")</f>
        <v/>
      </c>
      <c r="EM408" s="2" t="str">
        <f>IF(AND(AND(AND($DX408=0,$DW408=0),OR($EC408=1,$EA408=1)),SUM($EB408:$EE408)&gt;=2),"Technology approach","")</f>
        <v/>
      </c>
      <c r="EN408"/>
      <c r="EO408"/>
      <c r="EP408" t="str">
        <f>IF(ISNUMBER(BU408),IF(ABS(BU408-[2]QC_indicators!$B$2)&gt;3*[2]QC_indicators!$C$2,"C ratio",IF(ISNUMBER(BY408),IF(ABS(BY408-[2]QC_indicators!$B$1)&gt;3*[2]QC_indicators!$C$1,"DF","no"))),IF(ISNUMBER(BY408),IF(ABS(BY408-[2]QC_indicators!$B$1)&gt;3*[2]QC_indicators!$C$1,"DF","no")))</f>
        <v>no</v>
      </c>
      <c r="EQ408"/>
      <c r="ER408" t="s">
        <v>862</v>
      </c>
      <c r="ES408"/>
      <c r="ET408" s="266" t="s">
        <v>3153</v>
      </c>
      <c r="EU408"/>
    </row>
    <row r="409" spans="1:151" s="139" customFormat="1" ht="15" hidden="1" customHeight="1">
      <c r="A409" s="1" t="s">
        <v>850</v>
      </c>
      <c r="B409" t="s">
        <v>851</v>
      </c>
      <c r="C409" t="s">
        <v>852</v>
      </c>
      <c r="D409" t="s">
        <v>853</v>
      </c>
      <c r="E409" t="s">
        <v>854</v>
      </c>
      <c r="F409" t="s">
        <v>855</v>
      </c>
      <c r="G409" t="s">
        <v>856</v>
      </c>
      <c r="H409" t="s">
        <v>255</v>
      </c>
      <c r="I409">
        <v>2020</v>
      </c>
      <c r="J409">
        <v>5</v>
      </c>
      <c r="K409" t="s">
        <v>857</v>
      </c>
      <c r="L409"/>
      <c r="M409" t="str">
        <f>LEFT($D409,FIND(",",$D409)-1)&amp;"_"&amp;I409&amp;L409</f>
        <v>Lan_2020</v>
      </c>
      <c r="N409" t="s">
        <v>223</v>
      </c>
      <c r="O409" s="145" t="s">
        <v>226</v>
      </c>
      <c r="P409"/>
      <c r="Q409" t="s">
        <v>257</v>
      </c>
      <c r="R409" s="264" t="s">
        <v>224</v>
      </c>
      <c r="S409" s="1" t="s">
        <v>96</v>
      </c>
      <c r="T409" t="s">
        <v>864</v>
      </c>
      <c r="U409" t="s">
        <v>868</v>
      </c>
      <c r="V409">
        <v>0</v>
      </c>
      <c r="W409">
        <v>0</v>
      </c>
      <c r="X409">
        <v>0</v>
      </c>
      <c r="Y409">
        <v>0</v>
      </c>
      <c r="Z409">
        <v>0</v>
      </c>
      <c r="AA409">
        <v>0</v>
      </c>
      <c r="AB409">
        <v>0</v>
      </c>
      <c r="AC409">
        <v>1</v>
      </c>
      <c r="AD409">
        <v>0</v>
      </c>
      <c r="AE409">
        <v>0</v>
      </c>
      <c r="AF409">
        <v>0</v>
      </c>
      <c r="AG409">
        <v>0</v>
      </c>
      <c r="AH409">
        <v>0</v>
      </c>
      <c r="AI409">
        <v>0</v>
      </c>
      <c r="AJ409">
        <v>0</v>
      </c>
      <c r="AK409">
        <v>0</v>
      </c>
      <c r="AL409">
        <v>0</v>
      </c>
      <c r="AM409">
        <v>0</v>
      </c>
      <c r="AN409">
        <v>0</v>
      </c>
      <c r="AO409">
        <v>0</v>
      </c>
      <c r="AP409">
        <v>0</v>
      </c>
      <c r="AQ409">
        <v>0</v>
      </c>
      <c r="AR409">
        <v>0</v>
      </c>
      <c r="AS409">
        <v>0</v>
      </c>
      <c r="AT409">
        <v>0</v>
      </c>
      <c r="AU409">
        <v>0</v>
      </c>
      <c r="AV409">
        <v>0</v>
      </c>
      <c r="AW409">
        <v>0</v>
      </c>
      <c r="AX409" s="141">
        <f>COUNTIF(V409:AW409,"&lt;&gt;0")</f>
        <v>1</v>
      </c>
      <c r="AY409" s="141">
        <f>COUNTIF(V409:AL409,"&lt;&gt;0")</f>
        <v>1</v>
      </c>
      <c r="AZ409">
        <f>COUNTIF(V409:AC409,"&lt;&gt;0")</f>
        <v>1</v>
      </c>
      <c r="BA409">
        <f>COUNTIF(AD409:AI409,"&lt;&gt;0")</f>
        <v>0</v>
      </c>
      <c r="BB409">
        <f>COUNTIF(AJ409:AL409,"&lt;&gt;0")</f>
        <v>0</v>
      </c>
      <c r="BC409">
        <f>COUNTIF(AS409:AW409,"&lt;&gt;0")</f>
        <v>0</v>
      </c>
      <c r="BD409">
        <f>COUNTIF(AM409:AR409,"&lt;&gt;0")</f>
        <v>0</v>
      </c>
      <c r="BE409" t="str">
        <f t="array" ref="BE409">IF(AY409=1,INDEX($V$7:$AL$7,MATCH(TRUE,INDEX($V409:$AW409&lt;&gt;0,),0)),IF(AY409=0,INDEX($AM$7:$AW$7,MATCH(1,$AM409:$AW409,0)),IF(BF409="Multiple strategies","mixed drivers",IF(BF409="Supply chain","multiple supply","multiple silviculture"))))</f>
        <v>site fertility</v>
      </c>
      <c r="BF409" s="2" t="str" cm="1">
        <f t="array" ref="BF409">IF(COUNTIF(AZ409:BB409,"&lt;&gt;0")=1,INDEX($V$4:$AW$4,MATCH(TRUE,INDEX($V409:$AW409&lt;&gt;0,),0)),IF(COUNTIF(AZ409:BB409,"&lt;&gt;0")=0,INDEX($AM$4:$AW$4,MATCH(1,$AM409:$AW409,0)),"Multiple strategies"))</f>
        <v>SilvicultureProd</v>
      </c>
      <c r="BG409" s="142" t="s">
        <v>322</v>
      </c>
      <c r="BH409" t="s">
        <v>869</v>
      </c>
      <c r="BI409" s="266" t="s">
        <v>703</v>
      </c>
      <c r="BJ409" s="143" t="s">
        <v>870</v>
      </c>
      <c r="BK409">
        <f>282+71</f>
        <v>353</v>
      </c>
      <c r="BL409" s="143">
        <f>111+443</f>
        <v>554</v>
      </c>
      <c r="BM409" s="163">
        <f>BL409/BK409</f>
        <v>1.5694050991501416</v>
      </c>
      <c r="BN409">
        <f>BL409-BK409</f>
        <v>201</v>
      </c>
      <c r="BO409" s="159">
        <f>BN409*t_to_m3</f>
        <v>410.20408163265307</v>
      </c>
      <c r="BP409" t="s">
        <v>233</v>
      </c>
      <c r="BQ409" s="153" t="s">
        <v>430</v>
      </c>
      <c r="BR409" t="s">
        <v>861</v>
      </c>
      <c r="BS409">
        <v>829.35699999999997</v>
      </c>
      <c r="BT409">
        <v>1291.7429999999999</v>
      </c>
      <c r="BU409" s="144">
        <f>IFERROR(BT409/BS409,"")</f>
        <v>1.5575234790325516</v>
      </c>
      <c r="BV409">
        <f>BT409-BS409</f>
        <v>462.38599999999997</v>
      </c>
      <c r="BW409"/>
      <c r="BX409">
        <f>BV409</f>
        <v>462.38599999999997</v>
      </c>
      <c r="BY409">
        <f>IFERROR(BX409/BO409,"")</f>
        <v>1.1272096517412935</v>
      </c>
      <c r="BZ409">
        <v>0</v>
      </c>
      <c r="CA409">
        <v>0</v>
      </c>
      <c r="CB409">
        <v>0</v>
      </c>
      <c r="CC409">
        <v>0</v>
      </c>
      <c r="CD409">
        <v>0</v>
      </c>
      <c r="CE409">
        <v>0</v>
      </c>
      <c r="CF409">
        <v>0</v>
      </c>
      <c r="CG409">
        <v>0</v>
      </c>
      <c r="CH409">
        <v>0</v>
      </c>
      <c r="CI409">
        <v>0</v>
      </c>
      <c r="CJ409">
        <v>0</v>
      </c>
      <c r="CK409">
        <v>0</v>
      </c>
      <c r="CL409">
        <v>0</v>
      </c>
      <c r="CM409">
        <v>0</v>
      </c>
      <c r="CN409" t="str">
        <f>IF($BL409&lt;$BK409,"refNeedCorrection","refOK")</f>
        <v>refOK</v>
      </c>
      <c r="CO409">
        <f>IF($CN409="refNeedCorrection",BL409,BK409)</f>
        <v>353</v>
      </c>
      <c r="CP409">
        <f>IF($CN409="refNeedCorrection",BK409,BL409)</f>
        <v>554</v>
      </c>
      <c r="CQ409">
        <f>IF($CN409="refOK",$BO409,-$BO409)</f>
        <v>410.20408163265307</v>
      </c>
      <c r="CR409">
        <f>IF($CN409="refOK",$BS409,$BT409)*IF($BP409="Emissions positive",-1,1)</f>
        <v>829.35699999999997</v>
      </c>
      <c r="CS409">
        <f>IF($CN409="refOK",$BT409,$BS409)*IF($BP409="Emissions positive",-1,1)</f>
        <v>1291.7429999999999</v>
      </c>
      <c r="CT409">
        <f>IF($CN409="refNeedCorrection",-BX409,BX409)*IF($BP409="Emissions positive",-1,1)</f>
        <v>462.38599999999997</v>
      </c>
      <c r="CU409">
        <f>IFERROR(CT409/CQ409,"")</f>
        <v>1.1272096517412935</v>
      </c>
      <c r="CV409" s="2">
        <f>IFERROR((CS409-CR409)/ABS(CR409),"")</f>
        <v>0.55752347903255173</v>
      </c>
      <c r="CW409" s="1" t="s">
        <v>235</v>
      </c>
      <c r="CX409" t="str">
        <f>IF(OR($CW409="prd",$CW409="std",$CW409="cit"),"loc",IF(OR($CW409="eur",$CW409="reg",$CW409="coy"),"reg",$CW409))</f>
        <v>loc</v>
      </c>
      <c r="CY409" t="s">
        <v>429</v>
      </c>
      <c r="CZ409">
        <v>2021</v>
      </c>
      <c r="DA409" s="143">
        <v>2120</v>
      </c>
      <c r="DB409" s="143">
        <v>100</v>
      </c>
      <c r="DC409" t="str">
        <f>IF(DB409=0,"0",IF(AND(DB409&gt;=1,DB409&lt;=30),"1-30",IF(AND(DB409&gt;30,DB409&lt;=70),"31-70",IF(AND(DB409&gt;70,DB409&lt;=100),"71-100",IF(DB409&gt;100,"+100")))))</f>
        <v>71-100</v>
      </c>
      <c r="DD409">
        <v>0</v>
      </c>
      <c r="DE409">
        <v>1</v>
      </c>
      <c r="DF409">
        <v>0</v>
      </c>
      <c r="DG409">
        <v>1</v>
      </c>
      <c r="DH409"/>
      <c r="DI409">
        <f>SUM(DD409:DG409)</f>
        <v>2</v>
      </c>
      <c r="DJ409" t="str">
        <f>IF(DI409=1,INDEX($DD$7:$DG$7,MATCH(1,$DD409:$DG409,0)),"mixedProduct")</f>
        <v>mixedProduct</v>
      </c>
      <c r="DK409">
        <f>IF(DD409=1,DK$7,0)</f>
        <v>0</v>
      </c>
      <c r="DL409" t="str">
        <f>IF(DE409=1,DL$7,0)</f>
        <v>Energy</v>
      </c>
      <c r="DM409">
        <f>IF(DF409=1,DM$7,0)</f>
        <v>0</v>
      </c>
      <c r="DN409" t="str">
        <f>IF(DG409=1,DN$7,0)</f>
        <v>Timber</v>
      </c>
      <c r="DO409">
        <v>0</v>
      </c>
      <c r="DP409" s="143">
        <v>0</v>
      </c>
      <c r="DQ409" s="143">
        <v>0</v>
      </c>
      <c r="DR409">
        <v>0</v>
      </c>
      <c r="DS409" s="143">
        <v>0</v>
      </c>
      <c r="DT409">
        <f>SUM(DO409:DP409)</f>
        <v>0</v>
      </c>
      <c r="DU409" s="143" t="str">
        <f>IF(DO409=1,"self-calculated DF",IF(DP409=1,"external DF used","explicit C balance"))</f>
        <v>explicit C balance</v>
      </c>
      <c r="DV409" s="143">
        <v>0</v>
      </c>
      <c r="DW409" s="143">
        <v>1</v>
      </c>
      <c r="DX409" s="143">
        <v>1</v>
      </c>
      <c r="DY409" s="143">
        <v>1</v>
      </c>
      <c r="DZ409">
        <v>1</v>
      </c>
      <c r="EA409" s="143">
        <v>0</v>
      </c>
      <c r="EB409" s="143">
        <v>1</v>
      </c>
      <c r="EC409" s="143">
        <v>1</v>
      </c>
      <c r="ED409" s="143">
        <v>1</v>
      </c>
      <c r="EE409">
        <v>0</v>
      </c>
      <c r="EF409">
        <v>1</v>
      </c>
      <c r="EG409" s="143">
        <v>1</v>
      </c>
      <c r="EH409">
        <v>0</v>
      </c>
      <c r="EI409" s="2">
        <v>0</v>
      </c>
      <c r="EJ409" s="1"/>
      <c r="EK409" t="str">
        <f>IF(AND(AND(AND(OR($DX409=1,$DW409=1),OR($EC409=1,$EA409=1)),SUM($DV409:$DZ409,$EF409)&gt;=4),SUM($EA409:$EE409)&gt;=2),"Whole sector","")</f>
        <v>Whole sector</v>
      </c>
      <c r="EL409" t="str">
        <f>IF(AND(AND(OR($DX409=1,$DW409=1),AND($EC409=0,$EA409=0)),SUM($DV409:$DZ409,$EF409)&gt;=4),"Ecosystem approach","")</f>
        <v/>
      </c>
      <c r="EM409" s="2" t="str">
        <f>IF(AND(AND(AND($DX409=0,$DW409=0),OR($EC409=1,$EA409=1)),SUM($EB409:$EE409)&gt;=2),"Technology approach","")</f>
        <v/>
      </c>
      <c r="EN409"/>
      <c r="EO409"/>
      <c r="EP409" t="str">
        <f>IF(ISNUMBER(BU409),IF(ABS(BU409-[2]QC_indicators!$B$2)&gt;3*[2]QC_indicators!$C$2,"C ratio",IF(ISNUMBER(BY409),IF(ABS(BY409-[2]QC_indicators!$B$1)&gt;3*[2]QC_indicators!$C$1,"DF","no"))),IF(ISNUMBER(BY409),IF(ABS(BY409-[2]QC_indicators!$B$1)&gt;3*[2]QC_indicators!$C$1,"DF","no")))</f>
        <v>no</v>
      </c>
      <c r="EQ409"/>
      <c r="ER409" t="s">
        <v>862</v>
      </c>
      <c r="ES409"/>
      <c r="ET409" s="266" t="s">
        <v>3153</v>
      </c>
      <c r="EU409"/>
    </row>
    <row r="410" spans="1:151" s="139" customFormat="1" ht="15" hidden="1" customHeight="1">
      <c r="A410" s="1" t="s">
        <v>1380</v>
      </c>
      <c r="B410" t="s">
        <v>1924</v>
      </c>
      <c r="C410" t="s">
        <v>1925</v>
      </c>
      <c r="D410" t="s">
        <v>1926</v>
      </c>
      <c r="E410" t="s">
        <v>1927</v>
      </c>
      <c r="F410" t="s">
        <v>1928</v>
      </c>
      <c r="G410" t="s">
        <v>1386</v>
      </c>
      <c r="H410" t="s">
        <v>255</v>
      </c>
      <c r="I410">
        <v>2016</v>
      </c>
      <c r="J410">
        <v>12</v>
      </c>
      <c r="K410" t="s">
        <v>1929</v>
      </c>
      <c r="L410"/>
      <c r="M410" t="str">
        <f>LEFT($D410,FIND(",",$D410)-1)&amp;"_"&amp;I410&amp;L410</f>
        <v>Lobianco_2016</v>
      </c>
      <c r="N410" t="s">
        <v>223</v>
      </c>
      <c r="O410" s="145" t="s">
        <v>226</v>
      </c>
      <c r="P410" t="s">
        <v>514</v>
      </c>
      <c r="Q410" t="s">
        <v>257</v>
      </c>
      <c r="R410" s="264" t="s">
        <v>224</v>
      </c>
      <c r="S410" s="1" t="s">
        <v>1935</v>
      </c>
      <c r="T410" s="143" t="s">
        <v>1936</v>
      </c>
      <c r="U410" s="143" t="s">
        <v>3173</v>
      </c>
      <c r="V410">
        <v>0</v>
      </c>
      <c r="W410">
        <v>0</v>
      </c>
      <c r="X410">
        <v>0</v>
      </c>
      <c r="Y410">
        <v>0</v>
      </c>
      <c r="Z410">
        <v>0</v>
      </c>
      <c r="AA410">
        <v>0</v>
      </c>
      <c r="AB410">
        <v>0</v>
      </c>
      <c r="AC410">
        <v>1</v>
      </c>
      <c r="AD410">
        <v>0</v>
      </c>
      <c r="AE410">
        <v>0</v>
      </c>
      <c r="AF410">
        <v>0</v>
      </c>
      <c r="AG410">
        <v>0</v>
      </c>
      <c r="AH410">
        <v>0</v>
      </c>
      <c r="AI410">
        <v>0</v>
      </c>
      <c r="AJ410">
        <v>0</v>
      </c>
      <c r="AK410">
        <v>0</v>
      </c>
      <c r="AL410">
        <v>0</v>
      </c>
      <c r="AM410">
        <v>0</v>
      </c>
      <c r="AN410">
        <v>1</v>
      </c>
      <c r="AO410">
        <v>0</v>
      </c>
      <c r="AP410">
        <v>0</v>
      </c>
      <c r="AQ410">
        <v>0</v>
      </c>
      <c r="AR410">
        <v>0</v>
      </c>
      <c r="AS410">
        <v>0</v>
      </c>
      <c r="AT410">
        <v>0</v>
      </c>
      <c r="AU410">
        <v>1</v>
      </c>
      <c r="AV410">
        <v>0</v>
      </c>
      <c r="AW410">
        <v>0</v>
      </c>
      <c r="AX410" s="141">
        <f>COUNTIF(V410:AW410,"&lt;&gt;0")</f>
        <v>3</v>
      </c>
      <c r="AY410" s="141">
        <f>COUNTIF(V410:AL410,"&lt;&gt;0")</f>
        <v>1</v>
      </c>
      <c r="AZ410">
        <f>COUNTIF(V410:AC410,"&lt;&gt;0")</f>
        <v>1</v>
      </c>
      <c r="BA410">
        <f>COUNTIF(AD410:AI410,"&lt;&gt;0")</f>
        <v>0</v>
      </c>
      <c r="BB410">
        <f>COUNTIF(AJ410:AL410,"&lt;&gt;0")</f>
        <v>0</v>
      </c>
      <c r="BC410">
        <f>COUNTIF(AS410:AW410,"&lt;&gt;0")</f>
        <v>1</v>
      </c>
      <c r="BD410">
        <f>COUNTIF(AM410:AR410,"&lt;&gt;0")</f>
        <v>1</v>
      </c>
      <c r="BE410" t="str">
        <f t="array" ref="BE410">IF(AY410=1,INDEX($V$7:$AL$7,MATCH(TRUE,INDEX($V410:$AW410&lt;&gt;0,),0)),IF(AY410=0,INDEX($AM$7:$AW$7,MATCH(1,$AM410:$AW410,0)),IF(BF410="Multiple strategies","mixed drivers",IF(BF410="Supply chain","multiple supply","multiple silviculture"))))</f>
        <v>site fertility</v>
      </c>
      <c r="BF410" s="2" t="str" cm="1">
        <f t="array" ref="BF410">IF(COUNTIF(AZ410:BB410,"&lt;&gt;0")=1,INDEX($V$4:$AW$4,MATCH(TRUE,INDEX($V410:$AW410&lt;&gt;0,),0)),IF(COUNTIF(AZ410:BB410,"&lt;&gt;0")=0,INDEX($AM$4:$AW$4,MATCH(1,$AM410:$AW410,0)),"Multiple strategies"))</f>
        <v>SilvicultureProd</v>
      </c>
      <c r="BG410" s="142" t="s">
        <v>322</v>
      </c>
      <c r="BH410" s="267" t="s">
        <v>3165</v>
      </c>
      <c r="BI410" s="266" t="s">
        <v>3174</v>
      </c>
      <c r="BJ410" s="143" t="s">
        <v>3167</v>
      </c>
      <c r="BK410">
        <v>52.988999999999997</v>
      </c>
      <c r="BL410">
        <f>53.247</f>
        <v>53.247</v>
      </c>
      <c r="BM410"/>
      <c r="BN410">
        <f>BL410-BK410</f>
        <v>0.25800000000000267</v>
      </c>
      <c r="BO410" s="143">
        <f>BN410*10^6</f>
        <v>258000.00000000268</v>
      </c>
      <c r="BP410" t="s">
        <v>233</v>
      </c>
      <c r="BQ410" s="266" t="s">
        <v>3175</v>
      </c>
      <c r="BR410" s="143" t="s">
        <v>1931</v>
      </c>
      <c r="BS410">
        <v>97.120999999999995</v>
      </c>
      <c r="BT410">
        <v>89.468999999999994</v>
      </c>
      <c r="BU410" s="144">
        <f>IFERROR(BT410/BS410,"")</f>
        <v>0.9212116843936945</v>
      </c>
      <c r="BV410">
        <f>BT410-BS410</f>
        <v>-7.652000000000001</v>
      </c>
      <c r="BW410"/>
      <c r="BX410">
        <f>BV410*10^6</f>
        <v>-7652000.0000000009</v>
      </c>
      <c r="BY410">
        <f>IFERROR(BX410/BO410,"")</f>
        <v>-29.658914728681868</v>
      </c>
      <c r="BZ410">
        <v>0</v>
      </c>
      <c r="CA410">
        <v>0</v>
      </c>
      <c r="CB410">
        <v>0</v>
      </c>
      <c r="CC410">
        <v>0</v>
      </c>
      <c r="CD410">
        <v>0</v>
      </c>
      <c r="CE410">
        <v>0</v>
      </c>
      <c r="CF410">
        <v>0</v>
      </c>
      <c r="CG410">
        <v>0</v>
      </c>
      <c r="CH410">
        <v>0</v>
      </c>
      <c r="CI410">
        <v>0</v>
      </c>
      <c r="CJ410">
        <v>0</v>
      </c>
      <c r="CK410">
        <v>0</v>
      </c>
      <c r="CL410">
        <v>0</v>
      </c>
      <c r="CM410">
        <v>0</v>
      </c>
      <c r="CN410" t="str">
        <f>IF($BL410&lt;$BK410,"refNeedCorrection","refOK")</f>
        <v>refOK</v>
      </c>
      <c r="CO410">
        <f>IF($CN410="refOK",$BK410,$BL410)</f>
        <v>52.988999999999997</v>
      </c>
      <c r="CP410">
        <f>IF($CN410="refOK",$BL410,$BK410)</f>
        <v>53.247</v>
      </c>
      <c r="CQ410">
        <f>IF($CN410="refOK",$BO410,-$BO410)</f>
        <v>258000.00000000268</v>
      </c>
      <c r="CR410">
        <f>IF($CN410="refOK",$BS410,$BT410)*IF($BP410="Emissions positive",-1,1)</f>
        <v>97.120999999999995</v>
      </c>
      <c r="CS410">
        <f>IF($CN410="refOK",$BT410,$BS410)*IF($BP410="Emissions positive",-1,1)</f>
        <v>89.468999999999994</v>
      </c>
      <c r="CT410">
        <f>IF($CN410="refNeedCorrection",-BX410,BX410)*IF($BP410="Emissions positive",-1,1)</f>
        <v>-7652000.0000000009</v>
      </c>
      <c r="CU410">
        <f>IFERROR(CT410/CQ410,"")</f>
        <v>-29.658914728681868</v>
      </c>
      <c r="CV410" s="2">
        <f>IFERROR((CS410-CR410)/ABS(CR410),"")</f>
        <v>-7.8788315606305545E-2</v>
      </c>
      <c r="CW410" s="1" t="s">
        <v>1201</v>
      </c>
      <c r="CX410" t="str">
        <f>IF(OR($CW410="prd",$CW410="std",$CW410="cit"),"loc",IF(OR($CW410="eur",$CW410="reg",$CW410="coy"),"reg",$CW410))</f>
        <v>reg</v>
      </c>
      <c r="CY410" t="s">
        <v>731</v>
      </c>
      <c r="CZ410">
        <v>2007</v>
      </c>
      <c r="DA410" s="143">
        <v>2100</v>
      </c>
      <c r="DB410" s="143">
        <f>DA410-CZ410</f>
        <v>93</v>
      </c>
      <c r="DC410" t="str">
        <f>IF(DB410=0,"0",IF(AND(DB410&gt;=1,DB410&lt;=30),"1-30",IF(AND(DB410&gt;30,DB410&lt;=70),"31-70",IF(AND(DB410&gt;70,DB410&lt;=100),"71-100",IF(DB410&gt;100,"+100")))))</f>
        <v>71-100</v>
      </c>
      <c r="DD410">
        <v>0</v>
      </c>
      <c r="DE410">
        <v>1</v>
      </c>
      <c r="DF410">
        <v>0</v>
      </c>
      <c r="DG410">
        <v>1</v>
      </c>
      <c r="DH410">
        <v>1</v>
      </c>
      <c r="DI410">
        <f>SUM(DD410:DG410)</f>
        <v>2</v>
      </c>
      <c r="DJ410" t="str">
        <f>IF(DI410=1,INDEX($DD$7:$DG$7,MATCH(1,$DD410:$DG410,0)),"mixedProduct")</f>
        <v>mixedProduct</v>
      </c>
      <c r="DK410">
        <f>IF(DD410=1,DK$7,0)</f>
        <v>0</v>
      </c>
      <c r="DL410" t="str">
        <f>IF(DE410=1,DL$7,0)</f>
        <v>Energy</v>
      </c>
      <c r="DM410">
        <f>IF(DF410=1,DM$7,0)</f>
        <v>0</v>
      </c>
      <c r="DN410" t="str">
        <f>IF(DG410=1,DN$7,0)</f>
        <v>Timber</v>
      </c>
      <c r="DO410">
        <v>0</v>
      </c>
      <c r="DP410" s="143">
        <v>0</v>
      </c>
      <c r="DQ410" s="143">
        <v>0</v>
      </c>
      <c r="DR410">
        <v>0</v>
      </c>
      <c r="DS410" s="143">
        <v>0</v>
      </c>
      <c r="DT410">
        <f>SUM(DO410:DP410)</f>
        <v>0</v>
      </c>
      <c r="DU410" s="143" t="str">
        <f>IF(DO410=1,"self-calculated DF",IF(DP410=1,"external DF used","explicit C balance"))</f>
        <v>explicit C balance</v>
      </c>
      <c r="DV410" s="143">
        <v>0</v>
      </c>
      <c r="DW410" s="143">
        <v>0</v>
      </c>
      <c r="DX410" s="143">
        <v>1</v>
      </c>
      <c r="DY410" s="143">
        <v>1</v>
      </c>
      <c r="DZ410">
        <v>0</v>
      </c>
      <c r="EA410" s="143">
        <v>0</v>
      </c>
      <c r="EB410" s="143">
        <v>0</v>
      </c>
      <c r="EC410" s="143">
        <v>0</v>
      </c>
      <c r="ED410" s="143">
        <v>0</v>
      </c>
      <c r="EE410">
        <v>0</v>
      </c>
      <c r="EF410">
        <v>1</v>
      </c>
      <c r="EG410" s="143">
        <v>0</v>
      </c>
      <c r="EH410">
        <v>0</v>
      </c>
      <c r="EI410" s="2">
        <v>1</v>
      </c>
      <c r="EJ410" s="1"/>
      <c r="EK410" t="str">
        <f>IF(AND(AND(AND(OR($DX410=1,$DW410=1),OR($EC410=1,$EA410=1)),SUM($DV410:$DZ410,$EF410)&gt;=4),SUM($EA410:$EE410)&gt;=2),"Whole sector","")</f>
        <v/>
      </c>
      <c r="EL410" t="str">
        <f>IF(AND(AND(OR($DX410=1,$DW410=1),AND($EC410=0,$EA410=0)),SUM($DV410:$DZ410,$EF410)&gt;=4),"Ecosystem approach","")</f>
        <v/>
      </c>
      <c r="EM410" s="2" t="str">
        <f>IF(AND(AND(AND($DX410=0,$DW410=0),OR($EC410=1,$EA410=1)),SUM($EB410:$EE410)&gt;=2),"Technology approach","")</f>
        <v/>
      </c>
      <c r="EN410"/>
      <c r="EO410"/>
      <c r="EP410" t="str">
        <f>IF(ISNUMBER(BU410),IF(ABS(BU410-[2]QC_indicators!$B$2)&gt;3*[2]QC_indicators!$C$2,"C ratio",IF(ISNUMBER(BY410),IF(ABS(BY410-[2]QC_indicators!$B$1)&gt;3*[2]QC_indicators!$C$1,"DF","no"))),IF(ISNUMBER(BY410),IF(ABS(BY410-[2]QC_indicators!$B$1)&gt;3*[2]QC_indicators!$C$1,"DF","no")))</f>
        <v>no</v>
      </c>
      <c r="EQ410"/>
      <c r="ER410"/>
      <c r="ES410"/>
      <c r="ET410" s="266" t="s">
        <v>3169</v>
      </c>
      <c r="EU410"/>
    </row>
    <row r="411" spans="1:151" s="139" customFormat="1" ht="15" hidden="1" customHeight="1">
      <c r="A411" s="1" t="s">
        <v>1380</v>
      </c>
      <c r="B411" t="s">
        <v>1924</v>
      </c>
      <c r="C411" t="s">
        <v>1925</v>
      </c>
      <c r="D411" t="s">
        <v>1926</v>
      </c>
      <c r="E411" t="s">
        <v>1927</v>
      </c>
      <c r="F411" t="s">
        <v>1928</v>
      </c>
      <c r="G411" t="s">
        <v>1386</v>
      </c>
      <c r="H411" t="s">
        <v>255</v>
      </c>
      <c r="I411">
        <v>2016</v>
      </c>
      <c r="J411">
        <v>12</v>
      </c>
      <c r="K411" t="s">
        <v>1929</v>
      </c>
      <c r="L411"/>
      <c r="M411" t="str">
        <f>LEFT($D411,FIND(",",$D411)-1)&amp;"_"&amp;I411&amp;L411</f>
        <v>Lobianco_2016</v>
      </c>
      <c r="N411" t="s">
        <v>223</v>
      </c>
      <c r="O411" s="145" t="s">
        <v>226</v>
      </c>
      <c r="P411" t="s">
        <v>514</v>
      </c>
      <c r="Q411" t="s">
        <v>257</v>
      </c>
      <c r="R411" s="264" t="s">
        <v>224</v>
      </c>
      <c r="S411" s="1" t="s">
        <v>1937</v>
      </c>
      <c r="T411" s="143" t="s">
        <v>3176</v>
      </c>
      <c r="U411" s="143" t="s">
        <v>1157</v>
      </c>
      <c r="V411">
        <v>0</v>
      </c>
      <c r="W411">
        <v>0</v>
      </c>
      <c r="X411">
        <v>0</v>
      </c>
      <c r="Y411">
        <v>0</v>
      </c>
      <c r="Z411">
        <v>0</v>
      </c>
      <c r="AA411">
        <v>0</v>
      </c>
      <c r="AB411">
        <v>0</v>
      </c>
      <c r="AC411">
        <v>1</v>
      </c>
      <c r="AD411">
        <v>0</v>
      </c>
      <c r="AE411">
        <v>0</v>
      </c>
      <c r="AF411">
        <v>0</v>
      </c>
      <c r="AG411">
        <v>0</v>
      </c>
      <c r="AH411">
        <v>0</v>
      </c>
      <c r="AI411">
        <v>0</v>
      </c>
      <c r="AJ411">
        <v>0</v>
      </c>
      <c r="AK411">
        <v>0</v>
      </c>
      <c r="AL411">
        <v>0</v>
      </c>
      <c r="AM411">
        <v>0</v>
      </c>
      <c r="AN411">
        <v>1</v>
      </c>
      <c r="AO411">
        <v>0</v>
      </c>
      <c r="AP411">
        <v>0</v>
      </c>
      <c r="AQ411">
        <v>0</v>
      </c>
      <c r="AR411">
        <v>0</v>
      </c>
      <c r="AS411">
        <v>0</v>
      </c>
      <c r="AT411">
        <v>0</v>
      </c>
      <c r="AU411">
        <v>0</v>
      </c>
      <c r="AV411">
        <v>0</v>
      </c>
      <c r="AW411">
        <v>0</v>
      </c>
      <c r="AX411" s="141">
        <f>COUNTIF(V411:AW411,"&lt;&gt;0")</f>
        <v>2</v>
      </c>
      <c r="AY411" s="141">
        <f>COUNTIF(V411:AL411,"&lt;&gt;0")</f>
        <v>1</v>
      </c>
      <c r="AZ411">
        <f>COUNTIF(V411:AC411,"&lt;&gt;0")</f>
        <v>1</v>
      </c>
      <c r="BA411">
        <f>COUNTIF(AD411:AI411,"&lt;&gt;0")</f>
        <v>0</v>
      </c>
      <c r="BB411">
        <f>COUNTIF(AJ411:AL411,"&lt;&gt;0")</f>
        <v>0</v>
      </c>
      <c r="BC411">
        <f>COUNTIF(AS411:AW411,"&lt;&gt;0")</f>
        <v>0</v>
      </c>
      <c r="BD411">
        <f>COUNTIF(AM411:AR411,"&lt;&gt;0")</f>
        <v>1</v>
      </c>
      <c r="BE411" t="str">
        <f t="array" ref="BE411">IF(AY411=1,INDEX($V$7:$AL$7,MATCH(TRUE,INDEX($V411:$AW411&lt;&gt;0,),0)),IF(AY411=0,INDEX($AM$7:$AW$7,MATCH(1,$AM411:$AW411,0)),IF(BF411="Multiple strategies","mixed drivers",IF(BF411="Supply chain","multiple supply","multiple silviculture"))))</f>
        <v>site fertility</v>
      </c>
      <c r="BF411" s="2" t="str" cm="1">
        <f t="array" ref="BF411">IF(COUNTIF(AZ411:BB411,"&lt;&gt;0")=1,INDEX($V$4:$AW$4,MATCH(TRUE,INDEX($V411:$AW411&lt;&gt;0,),0)),IF(COUNTIF(AZ411:BB411,"&lt;&gt;0")=0,INDEX($AM$4:$AW$4,MATCH(1,$AM411:$AW411,0)),"Multiple strategies"))</f>
        <v>SilvicultureProd</v>
      </c>
      <c r="BG411" s="142" t="s">
        <v>322</v>
      </c>
      <c r="BH411" s="267" t="s">
        <v>3165</v>
      </c>
      <c r="BI411" s="266" t="s">
        <v>3166</v>
      </c>
      <c r="BJ411" s="143" t="s">
        <v>3167</v>
      </c>
      <c r="BK411">
        <f>53.247*(1-0.23/100)</f>
        <v>53.124531900000001</v>
      </c>
      <c r="BL411">
        <f>53.247</f>
        <v>53.247</v>
      </c>
      <c r="BM411"/>
      <c r="BN411">
        <f>BL411-BK411</f>
        <v>0.12246809999999897</v>
      </c>
      <c r="BO411" s="143">
        <f>BN411*10^6</f>
        <v>122468.09999999897</v>
      </c>
      <c r="BP411" t="s">
        <v>233</v>
      </c>
      <c r="BQ411" s="266" t="s">
        <v>3168</v>
      </c>
      <c r="BR411" s="143" t="s">
        <v>1931</v>
      </c>
      <c r="BS411">
        <v>88.869557699999987</v>
      </c>
      <c r="BT411">
        <v>89.468999999999994</v>
      </c>
      <c r="BU411" s="144">
        <f>IFERROR(BT411/BS411,"")</f>
        <v>1.0067451927917046</v>
      </c>
      <c r="BV411">
        <f>BT411-BS411</f>
        <v>0.59944230000000687</v>
      </c>
      <c r="BW411"/>
      <c r="BX411">
        <f>BV411*10^6</f>
        <v>599442.30000000692</v>
      </c>
      <c r="BY411">
        <f>IFERROR(BX411/BO411,"")</f>
        <v>4.8946811455392218</v>
      </c>
      <c r="BZ411">
        <v>0</v>
      </c>
      <c r="CA411">
        <v>0</v>
      </c>
      <c r="CB411">
        <v>0</v>
      </c>
      <c r="CC411">
        <v>0</v>
      </c>
      <c r="CD411">
        <v>0</v>
      </c>
      <c r="CE411">
        <v>0</v>
      </c>
      <c r="CF411">
        <v>0</v>
      </c>
      <c r="CG411">
        <v>0</v>
      </c>
      <c r="CH411">
        <v>0</v>
      </c>
      <c r="CI411">
        <v>0</v>
      </c>
      <c r="CJ411">
        <v>0</v>
      </c>
      <c r="CK411">
        <v>0</v>
      </c>
      <c r="CL411">
        <v>0</v>
      </c>
      <c r="CM411">
        <v>0</v>
      </c>
      <c r="CN411" t="str">
        <f>IF($BL411&lt;$BK411,"refNeedCorrection","refOK")</f>
        <v>refOK</v>
      </c>
      <c r="CO411">
        <f>IF($CN411="refOK",$BK411,$BL411)</f>
        <v>53.124531900000001</v>
      </c>
      <c r="CP411">
        <f>IF($CN411="refOK",$BL411,$BK411)</f>
        <v>53.247</v>
      </c>
      <c r="CQ411">
        <f>IF($CN411="refOK",$BO411,-$BO411)</f>
        <v>122468.09999999897</v>
      </c>
      <c r="CR411">
        <f>IF($CN411="refOK",$BS411,$BT411)*IF($BP411="Emissions positive",-1,1)</f>
        <v>88.869557699999987</v>
      </c>
      <c r="CS411">
        <f>IF($CN411="refOK",$BT411,$BS411)*IF($BP411="Emissions positive",-1,1)</f>
        <v>89.468999999999994</v>
      </c>
      <c r="CT411">
        <f>IF($CN411="refNeedCorrection",-BX411,BX411)*IF($BP411="Emissions positive",-1,1)</f>
        <v>599442.30000000692</v>
      </c>
      <c r="CU411">
        <f>IFERROR(CT411/CQ411,"")</f>
        <v>4.8946811455392218</v>
      </c>
      <c r="CV411" s="2">
        <f>IFERROR((CS411-CR411)/ABS(CR411),"")</f>
        <v>6.7451927917044976E-3</v>
      </c>
      <c r="CW411" s="1" t="s">
        <v>1201</v>
      </c>
      <c r="CX411" t="str">
        <f>IF(OR($CW411="prd",$CW411="std",$CW411="cit"),"loc",IF(OR($CW411="eur",$CW411="reg",$CW411="coy"),"reg",$CW411))</f>
        <v>reg</v>
      </c>
      <c r="CY411" t="s">
        <v>731</v>
      </c>
      <c r="CZ411">
        <v>2007</v>
      </c>
      <c r="DA411" s="143">
        <v>2100</v>
      </c>
      <c r="DB411" s="143">
        <f>DA411-CZ411</f>
        <v>93</v>
      </c>
      <c r="DC411" t="str">
        <f>IF(DB411=0,"0",IF(AND(DB411&gt;=1,DB411&lt;=30),"1-30",IF(AND(DB411&gt;30,DB411&lt;=70),"31-70",IF(AND(DB411&gt;70,DB411&lt;=100),"71-100",IF(DB411&gt;100,"+100")))))</f>
        <v>71-100</v>
      </c>
      <c r="DD411">
        <v>0</v>
      </c>
      <c r="DE411">
        <v>1</v>
      </c>
      <c r="DF411">
        <v>0</v>
      </c>
      <c r="DG411">
        <v>1</v>
      </c>
      <c r="DH411">
        <v>1</v>
      </c>
      <c r="DI411">
        <f>SUM(DD411:DG411)</f>
        <v>2</v>
      </c>
      <c r="DJ411" t="str">
        <f>IF(DI411=1,INDEX($DD$7:$DG$7,MATCH(1,$DD411:$DG411,0)),"mixedProduct")</f>
        <v>mixedProduct</v>
      </c>
      <c r="DK411">
        <f>IF(DD411=1,DK$7,0)</f>
        <v>0</v>
      </c>
      <c r="DL411" t="str">
        <f>IF(DE411=1,DL$7,0)</f>
        <v>Energy</v>
      </c>
      <c r="DM411">
        <f>IF(DF411=1,DM$7,0)</f>
        <v>0</v>
      </c>
      <c r="DN411" t="str">
        <f>IF(DG411=1,DN$7,0)</f>
        <v>Timber</v>
      </c>
      <c r="DO411">
        <v>0</v>
      </c>
      <c r="DP411" s="143">
        <v>0</v>
      </c>
      <c r="DQ411" s="143">
        <v>0</v>
      </c>
      <c r="DR411">
        <v>0</v>
      </c>
      <c r="DS411" s="143">
        <v>0</v>
      </c>
      <c r="DT411">
        <f>SUM(DO411:DP411)</f>
        <v>0</v>
      </c>
      <c r="DU411" s="143" t="str">
        <f>IF(DO411=1,"self-calculated DF",IF(DP411=1,"external DF used","explicit C balance"))</f>
        <v>explicit C balance</v>
      </c>
      <c r="DV411" s="143">
        <v>0</v>
      </c>
      <c r="DW411" s="143">
        <v>0</v>
      </c>
      <c r="DX411" s="143">
        <v>1</v>
      </c>
      <c r="DY411" s="143">
        <v>1</v>
      </c>
      <c r="DZ411">
        <v>0</v>
      </c>
      <c r="EA411" s="143">
        <v>0</v>
      </c>
      <c r="EB411" s="143">
        <v>0</v>
      </c>
      <c r="EC411" s="143">
        <v>0</v>
      </c>
      <c r="ED411" s="143">
        <v>0</v>
      </c>
      <c r="EE411">
        <v>0</v>
      </c>
      <c r="EF411">
        <v>1</v>
      </c>
      <c r="EG411" s="143">
        <v>0</v>
      </c>
      <c r="EH411">
        <v>0</v>
      </c>
      <c r="EI411" s="2">
        <v>1</v>
      </c>
      <c r="EJ411" s="1"/>
      <c r="EK411" t="str">
        <f>IF(AND(AND(AND(OR($DX411=1,$DW411=1),OR($EC411=1,$EA411=1)),SUM($DV411:$DZ411,$EF411)&gt;=4),SUM($EA411:$EE411)&gt;=2),"Whole sector","")</f>
        <v/>
      </c>
      <c r="EL411" t="str">
        <f>IF(AND(AND(OR($DX411=1,$DW411=1),AND($EC411=0,$EA411=0)),SUM($DV411:$DZ411,$EF411)&gt;=4),"Ecosystem approach","")</f>
        <v/>
      </c>
      <c r="EM411" s="2" t="str">
        <f>IF(AND(AND(AND($DX411=0,$DW411=0),OR($EC411=1,$EA411=1)),SUM($EB411:$EE411)&gt;=2),"Technology approach","")</f>
        <v/>
      </c>
      <c r="EN411"/>
      <c r="EO411"/>
      <c r="EP411" t="str">
        <f>IF(ISNUMBER(BU411),IF(ABS(BU411-[2]QC_indicators!$B$2)&gt;3*[2]QC_indicators!$C$2,"C ratio",IF(ISNUMBER(BY411),IF(ABS(BY411-[2]QC_indicators!$B$1)&gt;3*[2]QC_indicators!$C$1,"DF","no"))),IF(ISNUMBER(BY411),IF(ABS(BY411-[2]QC_indicators!$B$1)&gt;3*[2]QC_indicators!$C$1,"DF","no")))</f>
        <v>no</v>
      </c>
      <c r="EQ411"/>
      <c r="ER411"/>
      <c r="ES411"/>
      <c r="ET411" s="266" t="s">
        <v>3169</v>
      </c>
      <c r="EU411"/>
    </row>
    <row r="412" spans="1:151" s="139" customFormat="1" ht="15" hidden="1" customHeight="1">
      <c r="A412" s="1" t="s">
        <v>1380</v>
      </c>
      <c r="B412" t="s">
        <v>1924</v>
      </c>
      <c r="C412" t="s">
        <v>1925</v>
      </c>
      <c r="D412" t="s">
        <v>1926</v>
      </c>
      <c r="E412" t="s">
        <v>1927</v>
      </c>
      <c r="F412" t="s">
        <v>1928</v>
      </c>
      <c r="G412" t="s">
        <v>1386</v>
      </c>
      <c r="H412" t="s">
        <v>255</v>
      </c>
      <c r="I412">
        <v>2016</v>
      </c>
      <c r="J412">
        <v>12</v>
      </c>
      <c r="K412" t="s">
        <v>1929</v>
      </c>
      <c r="L412"/>
      <c r="M412" t="str">
        <f>LEFT($D412,FIND(",",$D412)-1)&amp;"_"&amp;I412&amp;L412</f>
        <v>Lobianco_2016</v>
      </c>
      <c r="N412" t="s">
        <v>223</v>
      </c>
      <c r="O412" s="145" t="s">
        <v>226</v>
      </c>
      <c r="P412" t="s">
        <v>514</v>
      </c>
      <c r="Q412" t="s">
        <v>257</v>
      </c>
      <c r="R412" s="264" t="s">
        <v>224</v>
      </c>
      <c r="S412" s="1" t="s">
        <v>1935</v>
      </c>
      <c r="T412" s="143" t="s">
        <v>1936</v>
      </c>
      <c r="U412" s="143" t="s">
        <v>3173</v>
      </c>
      <c r="V412">
        <v>0</v>
      </c>
      <c r="W412">
        <v>0</v>
      </c>
      <c r="X412">
        <v>0</v>
      </c>
      <c r="Y412">
        <v>0</v>
      </c>
      <c r="Z412">
        <v>0</v>
      </c>
      <c r="AA412">
        <v>0</v>
      </c>
      <c r="AB412">
        <v>0</v>
      </c>
      <c r="AC412">
        <v>1</v>
      </c>
      <c r="AD412">
        <v>0</v>
      </c>
      <c r="AE412">
        <v>0</v>
      </c>
      <c r="AF412">
        <v>0</v>
      </c>
      <c r="AG412">
        <v>0</v>
      </c>
      <c r="AH412">
        <v>0</v>
      </c>
      <c r="AI412">
        <v>0</v>
      </c>
      <c r="AJ412">
        <v>0</v>
      </c>
      <c r="AK412">
        <v>0</v>
      </c>
      <c r="AL412">
        <v>0</v>
      </c>
      <c r="AM412">
        <v>0</v>
      </c>
      <c r="AN412">
        <v>1</v>
      </c>
      <c r="AO412">
        <v>0</v>
      </c>
      <c r="AP412">
        <v>0</v>
      </c>
      <c r="AQ412">
        <v>0</v>
      </c>
      <c r="AR412">
        <v>0</v>
      </c>
      <c r="AS412">
        <v>0</v>
      </c>
      <c r="AT412">
        <v>0</v>
      </c>
      <c r="AU412">
        <v>1</v>
      </c>
      <c r="AV412">
        <v>0</v>
      </c>
      <c r="AW412">
        <v>0</v>
      </c>
      <c r="AX412" s="141">
        <f>COUNTIF(V412:AW412,"&lt;&gt;0")</f>
        <v>3</v>
      </c>
      <c r="AY412" s="141">
        <f>COUNTIF(V412:AL412,"&lt;&gt;0")</f>
        <v>1</v>
      </c>
      <c r="AZ412">
        <f>COUNTIF(V412:AC412,"&lt;&gt;0")</f>
        <v>1</v>
      </c>
      <c r="BA412">
        <f>COUNTIF(AD412:AI412,"&lt;&gt;0")</f>
        <v>0</v>
      </c>
      <c r="BB412">
        <f>COUNTIF(AJ412:AL412,"&lt;&gt;0")</f>
        <v>0</v>
      </c>
      <c r="BC412">
        <f>COUNTIF(AS412:AW412,"&lt;&gt;0")</f>
        <v>1</v>
      </c>
      <c r="BD412">
        <f>COUNTIF(AM412:AR412,"&lt;&gt;0")</f>
        <v>1</v>
      </c>
      <c r="BE412" t="str">
        <f t="array" ref="BE412">IF(AY412=1,INDEX($V$7:$AL$7,MATCH(TRUE,INDEX($V412:$AW412&lt;&gt;0,),0)),IF(AY412=0,INDEX($AM$7:$AW$7,MATCH(1,$AM412:$AW412,0)),IF(BF412="Multiple strategies","mixed drivers",IF(BF412="Supply chain","multiple supply","multiple silviculture"))))</f>
        <v>site fertility</v>
      </c>
      <c r="BF412" s="2" t="str" cm="1">
        <f t="array" ref="BF412">IF(COUNTIF(AZ412:BB412,"&lt;&gt;0")=1,INDEX($V$4:$AW$4,MATCH(TRUE,INDEX($V412:$AW412&lt;&gt;0,),0)),IF(COUNTIF(AZ412:BB412,"&lt;&gt;0")=0,INDEX($AM$4:$AW$4,MATCH(1,$AM412:$AW412,0)),"Multiple strategies"))</f>
        <v>SilvicultureProd</v>
      </c>
      <c r="BG412" s="142" t="s">
        <v>322</v>
      </c>
      <c r="BH412" s="267" t="s">
        <v>3165</v>
      </c>
      <c r="BI412" s="266" t="s">
        <v>3174</v>
      </c>
      <c r="BJ412" s="143" t="s">
        <v>3167</v>
      </c>
      <c r="BK412">
        <v>52.988999999999997</v>
      </c>
      <c r="BL412">
        <f>53.247</f>
        <v>53.247</v>
      </c>
      <c r="BM412"/>
      <c r="BN412">
        <f>BL412-BK412</f>
        <v>0.25800000000000267</v>
      </c>
      <c r="BO412" s="143">
        <f>BN412*10^6</f>
        <v>258000.00000000268</v>
      </c>
      <c r="BP412" t="s">
        <v>233</v>
      </c>
      <c r="BQ412" s="266" t="s">
        <v>3175</v>
      </c>
      <c r="BR412" s="143" t="s">
        <v>1931</v>
      </c>
      <c r="BS412">
        <v>149.31399999999999</v>
      </c>
      <c r="BT412" s="144">
        <v>117.962</v>
      </c>
      <c r="BU412" s="144">
        <f>IFERROR(BT412/BS412,"")</f>
        <v>0.79002638734479025</v>
      </c>
      <c r="BV412">
        <f>BT412-BS412</f>
        <v>-31.35199999999999</v>
      </c>
      <c r="BW412"/>
      <c r="BX412">
        <f>BV412*10^6</f>
        <v>-31351999.999999989</v>
      </c>
      <c r="BY412">
        <f>IFERROR(BX412/BO412,"")</f>
        <v>-121.51937984495994</v>
      </c>
      <c r="BZ412">
        <v>0</v>
      </c>
      <c r="CA412">
        <v>0</v>
      </c>
      <c r="CB412">
        <v>0</v>
      </c>
      <c r="CC412">
        <v>0</v>
      </c>
      <c r="CD412">
        <v>0</v>
      </c>
      <c r="CE412">
        <v>0</v>
      </c>
      <c r="CF412">
        <v>0</v>
      </c>
      <c r="CG412">
        <v>0</v>
      </c>
      <c r="CH412">
        <v>0</v>
      </c>
      <c r="CI412">
        <v>0</v>
      </c>
      <c r="CJ412">
        <v>0</v>
      </c>
      <c r="CK412">
        <v>0</v>
      </c>
      <c r="CL412">
        <v>0</v>
      </c>
      <c r="CM412">
        <v>0</v>
      </c>
      <c r="CN412" t="str">
        <f>IF($BL412&lt;$BK412,"refNeedCorrection","refOK")</f>
        <v>refOK</v>
      </c>
      <c r="CO412">
        <f>IF($CN412="refOK",$BK412,$BL412)</f>
        <v>52.988999999999997</v>
      </c>
      <c r="CP412">
        <f>IF($CN412="refOK",$BL412,$BK412)</f>
        <v>53.247</v>
      </c>
      <c r="CQ412">
        <f>IF($CN412="refOK",$BO412,-$BO412)</f>
        <v>258000.00000000268</v>
      </c>
      <c r="CR412">
        <f>IF($CN412="refOK",$BS412,$BT412)*IF($BP412="Emissions positive",-1,1)</f>
        <v>149.31399999999999</v>
      </c>
      <c r="CS412">
        <f>IF($CN412="refOK",$BS412,#REF!)*IF($BP412="Emissions positive",-1,1)</f>
        <v>149.31399999999999</v>
      </c>
      <c r="CT412">
        <f>IF($CN412="refNeedCorrection",-BX412,BX412)*IF($BP412="Emissions positive",-1,1)</f>
        <v>-31351999.999999989</v>
      </c>
      <c r="CU412">
        <f>IFERROR(CT412/CQ412,"")</f>
        <v>-121.51937984495994</v>
      </c>
      <c r="CV412" s="2">
        <f>IFERROR((CS412-CR412)/ABS(CR412),"")</f>
        <v>0</v>
      </c>
      <c r="CW412" s="1" t="s">
        <v>1201</v>
      </c>
      <c r="CX412" t="str">
        <f>IF(OR($CW412="prd",$CW412="std",$CW412="cit"),"loc",IF(OR($CW412="eur",$CW412="reg",$CW412="coy"),"reg",$CW412))</f>
        <v>reg</v>
      </c>
      <c r="CY412" t="s">
        <v>731</v>
      </c>
      <c r="CZ412">
        <v>2007</v>
      </c>
      <c r="DA412" s="143">
        <v>2100</v>
      </c>
      <c r="DB412" s="143">
        <f>DA412-CZ412</f>
        <v>93</v>
      </c>
      <c r="DC412" t="str">
        <f>IF(DB412=0,"0",IF(AND(DB412&gt;=1,DB412&lt;=30),"1-30",IF(AND(DB412&gt;30,DB412&lt;=70),"31-70",IF(AND(DB412&gt;70,DB412&lt;=100),"71-100",IF(DB412&gt;100,"+100")))))</f>
        <v>71-100</v>
      </c>
      <c r="DD412">
        <v>0</v>
      </c>
      <c r="DE412">
        <v>1</v>
      </c>
      <c r="DF412">
        <v>0</v>
      </c>
      <c r="DG412">
        <v>1</v>
      </c>
      <c r="DH412">
        <v>1</v>
      </c>
      <c r="DI412">
        <f>SUM(DD412:DG412)</f>
        <v>2</v>
      </c>
      <c r="DJ412" t="str">
        <f>IF(DI412=1,INDEX($DD$7:$DG$7,MATCH(1,$DD412:$DG412,0)),"mixedProduct")</f>
        <v>mixedProduct</v>
      </c>
      <c r="DK412">
        <f>IF(DD412=1,DK$7,0)</f>
        <v>0</v>
      </c>
      <c r="DL412" t="str">
        <f>IF(DE412=1,DL$7,0)</f>
        <v>Energy</v>
      </c>
      <c r="DM412">
        <f>IF(DF412=1,DM$7,0)</f>
        <v>0</v>
      </c>
      <c r="DN412" t="str">
        <f>IF(DG412=1,DN$7,0)</f>
        <v>Timber</v>
      </c>
      <c r="DO412">
        <v>0</v>
      </c>
      <c r="DP412" s="143">
        <v>0</v>
      </c>
      <c r="DQ412" s="143">
        <v>0</v>
      </c>
      <c r="DR412">
        <v>0</v>
      </c>
      <c r="DS412" s="143">
        <v>0</v>
      </c>
      <c r="DT412">
        <f>SUM(DO412:DP412)</f>
        <v>0</v>
      </c>
      <c r="DU412" s="143" t="str">
        <f>IF(DO412=1,"self-calculated DF",IF(DP412=1,"external DF used","explicit C balance"))</f>
        <v>explicit C balance</v>
      </c>
      <c r="DV412" s="143">
        <v>0</v>
      </c>
      <c r="DW412" s="143">
        <v>0</v>
      </c>
      <c r="DX412" s="143">
        <v>1</v>
      </c>
      <c r="DY412" s="143">
        <v>1</v>
      </c>
      <c r="DZ412">
        <v>0</v>
      </c>
      <c r="EA412" s="143">
        <v>1</v>
      </c>
      <c r="EB412" s="143">
        <v>1</v>
      </c>
      <c r="EC412" s="143">
        <v>0</v>
      </c>
      <c r="ED412" s="143">
        <v>0</v>
      </c>
      <c r="EE412">
        <v>0</v>
      </c>
      <c r="EF412">
        <v>1</v>
      </c>
      <c r="EG412" s="143">
        <v>0</v>
      </c>
      <c r="EH412">
        <v>0</v>
      </c>
      <c r="EI412" s="2">
        <v>1</v>
      </c>
      <c r="EJ412" s="1"/>
      <c r="EK412" t="str">
        <f>IF(AND(AND(AND(OR($DX412=1,$DW412=1),OR($EC412=1,$EA412=1)),SUM($DV412:$DZ412,$EF412)&gt;=4),SUM($EA412:$EE412)&gt;=2),"Whole sector","")</f>
        <v/>
      </c>
      <c r="EL412" t="str">
        <f>IF(AND(AND(OR($DX412=1,$DW412=1),AND($EC412=0,$EA412=0)),SUM($DV412:$DZ412,$EF412)&gt;=4),"Ecosystem approach","")</f>
        <v/>
      </c>
      <c r="EM412" s="2" t="str">
        <f>IF(AND(AND(AND($DX412=0,$DW412=0),OR($EC412=1,$EA412=1)),SUM($EB412:$EE412)&gt;=2),"Technology approach","")</f>
        <v/>
      </c>
      <c r="EN412"/>
      <c r="EO412"/>
      <c r="EP412" t="str">
        <f>IF(ISNUMBER(BT412),IF(ABS(BT412-[2]QC_indicators!$B$2)&gt;3*[2]QC_indicators!$C$2,"C ratio",IF(ISNUMBER(BY412),IF(ABS(BY412-[2]QC_indicators!$B$1)&gt;3*[2]QC_indicators!$C$1,"DF","no"))),IF(ISNUMBER(BY412),IF(ABS(BY412-[2]QC_indicators!$B$1)&gt;3*[2]QC_indicators!$C$1,"DF","no")))</f>
        <v>C ratio</v>
      </c>
      <c r="EQ412"/>
      <c r="ER412"/>
      <c r="ES412"/>
      <c r="ET412" s="266" t="s">
        <v>3169</v>
      </c>
      <c r="EU412"/>
    </row>
    <row r="413" spans="1:151" s="139" customFormat="1" ht="15" hidden="1" customHeight="1">
      <c r="A413" s="1" t="s">
        <v>1380</v>
      </c>
      <c r="B413" t="s">
        <v>1924</v>
      </c>
      <c r="C413" t="s">
        <v>1925</v>
      </c>
      <c r="D413" t="s">
        <v>1926</v>
      </c>
      <c r="E413" t="s">
        <v>1927</v>
      </c>
      <c r="F413" t="s">
        <v>1928</v>
      </c>
      <c r="G413" t="s">
        <v>1386</v>
      </c>
      <c r="H413" t="s">
        <v>255</v>
      </c>
      <c r="I413">
        <v>2016</v>
      </c>
      <c r="J413">
        <v>12</v>
      </c>
      <c r="K413" t="s">
        <v>1929</v>
      </c>
      <c r="L413"/>
      <c r="M413" t="str">
        <f>LEFT($D413,FIND(",",$D413)-1)&amp;"_"&amp;I413&amp;L413</f>
        <v>Lobianco_2016</v>
      </c>
      <c r="N413" t="s">
        <v>223</v>
      </c>
      <c r="O413" s="145" t="s">
        <v>226</v>
      </c>
      <c r="P413" t="s">
        <v>514</v>
      </c>
      <c r="Q413" t="s">
        <v>257</v>
      </c>
      <c r="R413" s="264" t="s">
        <v>224</v>
      </c>
      <c r="S413" s="1" t="s">
        <v>1937</v>
      </c>
      <c r="T413" s="143" t="s">
        <v>3176</v>
      </c>
      <c r="U413" s="143" t="s">
        <v>1157</v>
      </c>
      <c r="V413">
        <v>0</v>
      </c>
      <c r="W413">
        <v>0</v>
      </c>
      <c r="X413">
        <v>0</v>
      </c>
      <c r="Y413">
        <v>0</v>
      </c>
      <c r="Z413">
        <v>0</v>
      </c>
      <c r="AA413">
        <v>0</v>
      </c>
      <c r="AB413">
        <v>0</v>
      </c>
      <c r="AC413">
        <v>1</v>
      </c>
      <c r="AD413">
        <v>0</v>
      </c>
      <c r="AE413">
        <v>0</v>
      </c>
      <c r="AF413">
        <v>0</v>
      </c>
      <c r="AG413">
        <v>0</v>
      </c>
      <c r="AH413">
        <v>0</v>
      </c>
      <c r="AI413">
        <v>0</v>
      </c>
      <c r="AJ413">
        <v>0</v>
      </c>
      <c r="AK413">
        <v>0</v>
      </c>
      <c r="AL413">
        <v>0</v>
      </c>
      <c r="AM413">
        <v>0</v>
      </c>
      <c r="AN413">
        <v>1</v>
      </c>
      <c r="AO413">
        <v>0</v>
      </c>
      <c r="AP413">
        <v>0</v>
      </c>
      <c r="AQ413">
        <v>0</v>
      </c>
      <c r="AR413">
        <v>0</v>
      </c>
      <c r="AS413">
        <v>0</v>
      </c>
      <c r="AT413">
        <v>0</v>
      </c>
      <c r="AU413">
        <v>0</v>
      </c>
      <c r="AV413">
        <v>0</v>
      </c>
      <c r="AW413">
        <v>0</v>
      </c>
      <c r="AX413" s="141">
        <f>COUNTIF(V413:AW413,"&lt;&gt;0")</f>
        <v>2</v>
      </c>
      <c r="AY413" s="141">
        <f>COUNTIF(V413:AL413,"&lt;&gt;0")</f>
        <v>1</v>
      </c>
      <c r="AZ413">
        <f>COUNTIF(V413:AC413,"&lt;&gt;0")</f>
        <v>1</v>
      </c>
      <c r="BA413">
        <f>COUNTIF(AD413:AI413,"&lt;&gt;0")</f>
        <v>0</v>
      </c>
      <c r="BB413">
        <f>COUNTIF(AJ413:AL413,"&lt;&gt;0")</f>
        <v>0</v>
      </c>
      <c r="BC413">
        <f>COUNTIF(AS413:AW413,"&lt;&gt;0")</f>
        <v>0</v>
      </c>
      <c r="BD413">
        <f>COUNTIF(AM413:AR413,"&lt;&gt;0")</f>
        <v>1</v>
      </c>
      <c r="BE413" t="str">
        <f t="array" ref="BE413">IF(AY413=1,INDEX($V$7:$AL$7,MATCH(TRUE,INDEX($V413:$AW413&lt;&gt;0,),0)),IF(AY413=0,INDEX($AM$7:$AW$7,MATCH(1,$AM413:$AW413,0)),IF(BF413="Multiple strategies","mixed drivers",IF(BF413="Supply chain","multiple supply","multiple silviculture"))))</f>
        <v>site fertility</v>
      </c>
      <c r="BF413" s="2" t="str" cm="1">
        <f t="array" ref="BF413">IF(COUNTIF(AZ413:BB413,"&lt;&gt;0")=1,INDEX($V$4:$AW$4,MATCH(TRUE,INDEX($V413:$AW413&lt;&gt;0,),0)),IF(COUNTIF(AZ413:BB413,"&lt;&gt;0")=0,INDEX($AM$4:$AW$4,MATCH(1,$AM413:$AW413,0)),"Multiple strategies"))</f>
        <v>SilvicultureProd</v>
      </c>
      <c r="BG413" s="142" t="s">
        <v>322</v>
      </c>
      <c r="BH413" s="267" t="s">
        <v>3165</v>
      </c>
      <c r="BI413" s="266" t="s">
        <v>3166</v>
      </c>
      <c r="BJ413" s="143" t="s">
        <v>3167</v>
      </c>
      <c r="BK413">
        <f>53.247*(1-0.23/100)</f>
        <v>53.124531900000001</v>
      </c>
      <c r="BL413">
        <f>53.247</f>
        <v>53.247</v>
      </c>
      <c r="BM413"/>
      <c r="BN413">
        <f>BL413-BK413</f>
        <v>0.12246809999999897</v>
      </c>
      <c r="BO413" s="143">
        <f>BN413*10^6</f>
        <v>122468.09999999897</v>
      </c>
      <c r="BP413" t="s">
        <v>233</v>
      </c>
      <c r="BQ413" s="266" t="s">
        <v>3168</v>
      </c>
      <c r="BR413" s="143" t="s">
        <v>1931</v>
      </c>
      <c r="BS413">
        <f>117.96*(1-0.57/100)</f>
        <v>117.28762799999998</v>
      </c>
      <c r="BT413" s="144">
        <v>117.962</v>
      </c>
      <c r="BU413"/>
      <c r="BV413">
        <f>BT413-BS413</f>
        <v>0.67437200000001951</v>
      </c>
      <c r="BW413"/>
      <c r="BX413">
        <f>BV413*10^6</f>
        <v>674372.00000001956</v>
      </c>
      <c r="BY413">
        <f>IFERROR(BX413/BO413,"")</f>
        <v>5.5065114915641313</v>
      </c>
      <c r="BZ413">
        <v>0</v>
      </c>
      <c r="CA413">
        <v>0</v>
      </c>
      <c r="CB413">
        <v>0</v>
      </c>
      <c r="CC413">
        <v>0</v>
      </c>
      <c r="CD413">
        <v>0</v>
      </c>
      <c r="CE413">
        <v>0</v>
      </c>
      <c r="CF413">
        <v>0</v>
      </c>
      <c r="CG413">
        <v>0</v>
      </c>
      <c r="CH413">
        <v>0</v>
      </c>
      <c r="CI413">
        <v>0</v>
      </c>
      <c r="CJ413">
        <v>0</v>
      </c>
      <c r="CK413">
        <v>0</v>
      </c>
      <c r="CL413">
        <v>0</v>
      </c>
      <c r="CM413">
        <v>0</v>
      </c>
      <c r="CN413" t="str">
        <f>IF($BL413&lt;$BK413,"refNeedCorrection","refOK")</f>
        <v>refOK</v>
      </c>
      <c r="CO413">
        <f>IF($CN413="refOK",$BK413,$BL413)</f>
        <v>53.124531900000001</v>
      </c>
      <c r="CP413">
        <f>IF($CN413="refOK",$BL413,$BK413)</f>
        <v>53.247</v>
      </c>
      <c r="CQ413">
        <f>IF($CN413="refOK",$BO413,-$BO413)</f>
        <v>122468.09999999897</v>
      </c>
      <c r="CR413">
        <f>IF($CN413="refOK",$BS413,$BT413)*IF($BP413="Emissions positive",-1,1)</f>
        <v>117.28762799999998</v>
      </c>
      <c r="CS413">
        <f>IF($CN413="refOK",$BS413,#REF!)*IF($BP413="Emissions positive",-1,1)</f>
        <v>117.28762799999998</v>
      </c>
      <c r="CT413">
        <f>IF($CN413="refNeedCorrection",-BX413,BX413)*IF($BP413="Emissions positive",-1,1)</f>
        <v>674372.00000001956</v>
      </c>
      <c r="CU413">
        <f>IFERROR(CT413/CQ413,"")</f>
        <v>5.5065114915641313</v>
      </c>
      <c r="CV413" s="2">
        <f>IFERROR((CS413-CR413)/ABS(CR413),"")</f>
        <v>0</v>
      </c>
      <c r="CW413" s="1" t="s">
        <v>1201</v>
      </c>
      <c r="CX413" t="str">
        <f>IF(OR($CW413="prd",$CW413="std",$CW413="cit"),"loc",IF(OR($CW413="eur",$CW413="reg",$CW413="coy"),"reg",$CW413))</f>
        <v>reg</v>
      </c>
      <c r="CY413" t="s">
        <v>731</v>
      </c>
      <c r="CZ413">
        <v>2007</v>
      </c>
      <c r="DA413" s="143">
        <v>2100</v>
      </c>
      <c r="DB413" s="143">
        <f>DA413-CZ413</f>
        <v>93</v>
      </c>
      <c r="DC413" t="str">
        <f>IF(DB413=0,"0",IF(AND(DB413&gt;=1,DB413&lt;=30),"1-30",IF(AND(DB413&gt;30,DB413&lt;=70),"31-70",IF(AND(DB413&gt;70,DB413&lt;=100),"71-100",IF(DB413&gt;100,"+100")))))</f>
        <v>71-100</v>
      </c>
      <c r="DD413">
        <v>0</v>
      </c>
      <c r="DE413">
        <v>1</v>
      </c>
      <c r="DF413">
        <v>0</v>
      </c>
      <c r="DG413">
        <v>1</v>
      </c>
      <c r="DH413">
        <v>1</v>
      </c>
      <c r="DI413">
        <f>SUM(DD413:DG413)</f>
        <v>2</v>
      </c>
      <c r="DJ413" t="str">
        <f>IF(DI413=1,INDEX($DD$7:$DG$7,MATCH(1,$DD413:$DG413,0)),"mixedProduct")</f>
        <v>mixedProduct</v>
      </c>
      <c r="DK413">
        <f>IF(DD413=1,DK$7,0)</f>
        <v>0</v>
      </c>
      <c r="DL413" t="str">
        <f>IF(DE413=1,DL$7,0)</f>
        <v>Energy</v>
      </c>
      <c r="DM413">
        <f>IF(DF413=1,DM$7,0)</f>
        <v>0</v>
      </c>
      <c r="DN413" t="str">
        <f>IF(DG413=1,DN$7,0)</f>
        <v>Timber</v>
      </c>
      <c r="DO413">
        <v>0</v>
      </c>
      <c r="DP413" s="143">
        <v>0</v>
      </c>
      <c r="DQ413" s="143">
        <v>0</v>
      </c>
      <c r="DR413">
        <v>0</v>
      </c>
      <c r="DS413" s="143">
        <v>0</v>
      </c>
      <c r="DT413">
        <f>SUM(DO413:DP413)</f>
        <v>0</v>
      </c>
      <c r="DU413" s="143" t="str">
        <f>IF(DO413=1,"self-calculated DF",IF(DP413=1,"external DF used","explicit C balance"))</f>
        <v>explicit C balance</v>
      </c>
      <c r="DV413" s="143">
        <v>0</v>
      </c>
      <c r="DW413" s="143">
        <v>0</v>
      </c>
      <c r="DX413" s="143">
        <v>1</v>
      </c>
      <c r="DY413" s="143">
        <v>1</v>
      </c>
      <c r="DZ413">
        <v>0</v>
      </c>
      <c r="EA413" s="143">
        <v>1</v>
      </c>
      <c r="EB413" s="143">
        <v>1</v>
      </c>
      <c r="EC413" s="143">
        <v>0</v>
      </c>
      <c r="ED413" s="143">
        <v>0</v>
      </c>
      <c r="EE413">
        <v>0</v>
      </c>
      <c r="EF413">
        <v>1</v>
      </c>
      <c r="EG413" s="143">
        <v>0</v>
      </c>
      <c r="EH413">
        <v>0</v>
      </c>
      <c r="EI413" s="2">
        <v>1</v>
      </c>
      <c r="EJ413" s="1"/>
      <c r="EK413" t="str">
        <f>IF(AND(AND(AND(OR($DX413=1,$DW413=1),OR($EC413=1,$EA413=1)),SUM($DV413:$DZ413,$EF413)&gt;=4),SUM($EA413:$EE413)&gt;=2),"Whole sector","")</f>
        <v/>
      </c>
      <c r="EL413" t="str">
        <f>IF(AND(AND(OR($DX413=1,$DW413=1),AND($EC413=0,$EA413=0)),SUM($DV413:$DZ413,$EF413)&gt;=4),"Ecosystem approach","")</f>
        <v/>
      </c>
      <c r="EM413" s="2" t="str">
        <f>IF(AND(AND(AND($DX413=0,$DW413=0),OR($EC413=1,$EA413=1)),SUM($EB413:$EE413)&gt;=2),"Technology approach","")</f>
        <v/>
      </c>
      <c r="EN413"/>
      <c r="EO413"/>
      <c r="EP413" t="str">
        <f>IF(ISNUMBER(BT413),IF(ABS(BT413-[2]QC_indicators!$B$2)&gt;3*[2]QC_indicators!$C$2,"C ratio",IF(ISNUMBER(BY413),IF(ABS(BY413-[2]QC_indicators!$B$1)&gt;3*[2]QC_indicators!$C$1,"DF","no"))),IF(ISNUMBER(BY413),IF(ABS(BY413-[2]QC_indicators!$B$1)&gt;3*[2]QC_indicators!$C$1,"DF","no")))</f>
        <v>C ratio</v>
      </c>
      <c r="EQ413"/>
      <c r="ER413"/>
      <c r="ES413"/>
      <c r="ET413" s="266" t="s">
        <v>3169</v>
      </c>
      <c r="EU413"/>
    </row>
    <row r="414" spans="1:151" s="139" customFormat="1" hidden="1">
      <c r="A414" s="1" t="s">
        <v>2116</v>
      </c>
      <c r="B414" t="s">
        <v>545</v>
      </c>
      <c r="C414" t="s">
        <v>2279</v>
      </c>
      <c r="D414" t="s">
        <v>2280</v>
      </c>
      <c r="E414" t="s">
        <v>2281</v>
      </c>
      <c r="F414" t="s">
        <v>2282</v>
      </c>
      <c r="G414" t="s">
        <v>2117</v>
      </c>
      <c r="H414" t="s">
        <v>255</v>
      </c>
      <c r="I414">
        <v>2014</v>
      </c>
      <c r="J414">
        <v>96</v>
      </c>
      <c r="K414" t="s">
        <v>2283</v>
      </c>
      <c r="L414"/>
      <c r="M414" t="str">
        <f>LEFT($D414,FIND(",",$D414)-1)&amp;"_"&amp;I414&amp;L414</f>
        <v>Smyth_2014</v>
      </c>
      <c r="N414" t="s">
        <v>223</v>
      </c>
      <c r="O414" s="145" t="s">
        <v>342</v>
      </c>
      <c r="P414"/>
      <c r="Q414" t="s">
        <v>257</v>
      </c>
      <c r="R414" s="264" t="s">
        <v>224</v>
      </c>
      <c r="S414" s="1" t="s">
        <v>2284</v>
      </c>
      <c r="T414" t="s">
        <v>1157</v>
      </c>
      <c r="U414" t="s">
        <v>2285</v>
      </c>
      <c r="V414">
        <v>0</v>
      </c>
      <c r="W414">
        <v>0</v>
      </c>
      <c r="X414">
        <v>0</v>
      </c>
      <c r="Y414">
        <v>0</v>
      </c>
      <c r="Z414">
        <v>0</v>
      </c>
      <c r="AA414">
        <v>0</v>
      </c>
      <c r="AB414">
        <v>1</v>
      </c>
      <c r="AC414">
        <v>0</v>
      </c>
      <c r="AD414">
        <v>0</v>
      </c>
      <c r="AE414">
        <v>0</v>
      </c>
      <c r="AF414">
        <v>0</v>
      </c>
      <c r="AG414">
        <v>0</v>
      </c>
      <c r="AH414">
        <v>0</v>
      </c>
      <c r="AI414">
        <v>0</v>
      </c>
      <c r="AJ414">
        <v>0</v>
      </c>
      <c r="AK414">
        <v>0</v>
      </c>
      <c r="AL414">
        <v>0</v>
      </c>
      <c r="AM414">
        <v>0</v>
      </c>
      <c r="AN414">
        <v>0</v>
      </c>
      <c r="AO414">
        <v>0</v>
      </c>
      <c r="AP414">
        <v>0</v>
      </c>
      <c r="AQ414">
        <v>0</v>
      </c>
      <c r="AR414">
        <v>0</v>
      </c>
      <c r="AS414">
        <v>0</v>
      </c>
      <c r="AT414">
        <v>0</v>
      </c>
      <c r="AU414">
        <v>0</v>
      </c>
      <c r="AV414">
        <v>0</v>
      </c>
      <c r="AW414">
        <v>0</v>
      </c>
      <c r="AX414" s="141">
        <f>COUNTIF(V414:AW414,"&lt;&gt;0")</f>
        <v>1</v>
      </c>
      <c r="AY414" s="141">
        <f>COUNTIF(V414:AL414,"&lt;&gt;0")</f>
        <v>1</v>
      </c>
      <c r="AZ414">
        <f>COUNTIF(V414:AC414,"&lt;&gt;0")</f>
        <v>1</v>
      </c>
      <c r="BA414">
        <f>COUNTIF(AD414:AI414,"&lt;&gt;0")</f>
        <v>0</v>
      </c>
      <c r="BB414">
        <f>COUNTIF(AJ414:AL414,"&lt;&gt;0")</f>
        <v>0</v>
      </c>
      <c r="BC414">
        <f>COUNTIF(AS414:AW414,"&lt;&gt;0")</f>
        <v>0</v>
      </c>
      <c r="BD414">
        <f>COUNTIF(AM414:AR414,"&lt;&gt;0")</f>
        <v>0</v>
      </c>
      <c r="BE414" t="str">
        <f t="array" ref="BE414">IF(AY414=1,INDEX($V$7:$AL$7,MATCH(TRUE,INDEX($V414:$AW414&lt;&gt;0,),0)),IF(AY414=0,INDEX($AM$7:$AW$7,MATCH(1,$AM414:$AW414,0)),IF(BF414="Multiple strategies","mixed drivers",IF(BF414="Supply chain","multiple supply","multiple silviculture"))))</f>
        <v>fertilisation</v>
      </c>
      <c r="BF414" s="2" t="str" cm="1">
        <f t="array" ref="BF414">IF(COUNTIF(AZ414:BB414,"&lt;&gt;0")=1,INDEX($V$4:$AW$4,MATCH(TRUE,INDEX($V414:$AW414&lt;&gt;0,),0)),IF(COUNTIF(AZ414:BB414,"&lt;&gt;0")=0,INDEX($AM$4:$AW$4,MATCH(1,$AM414:$AW414,0)),"Multiple strategies"))</f>
        <v>SilvicultureProd</v>
      </c>
      <c r="BG414" s="1"/>
      <c r="BH414"/>
      <c r="BI414"/>
      <c r="BJ414"/>
      <c r="BK414"/>
      <c r="BL414"/>
      <c r="BM414"/>
      <c r="BN414"/>
      <c r="BO414"/>
      <c r="BP414" t="s">
        <v>233</v>
      </c>
      <c r="BQ414"/>
      <c r="BR414" t="s">
        <v>1142</v>
      </c>
      <c r="BS414">
        <v>159.80000000000001</v>
      </c>
      <c r="BT414">
        <f>BV414+BS414</f>
        <v>169.8</v>
      </c>
      <c r="BU414" s="144">
        <f>IFERROR(BT414/BS414,"")</f>
        <v>1.062578222778473</v>
      </c>
      <c r="BV414">
        <v>10</v>
      </c>
      <c r="BW414"/>
      <c r="BX414">
        <f>BV414*10^6</f>
        <v>10000000</v>
      </c>
      <c r="BY414" t="str">
        <f>IFERROR(BX414/BO414,"")</f>
        <v/>
      </c>
      <c r="BZ414">
        <v>0</v>
      </c>
      <c r="CA414">
        <v>1</v>
      </c>
      <c r="CB414">
        <v>1</v>
      </c>
      <c r="CC414">
        <v>1</v>
      </c>
      <c r="CD414">
        <v>0</v>
      </c>
      <c r="CE414">
        <v>0</v>
      </c>
      <c r="CF414">
        <v>0</v>
      </c>
      <c r="CG414">
        <v>0</v>
      </c>
      <c r="CH414">
        <v>0</v>
      </c>
      <c r="CI414">
        <v>0</v>
      </c>
      <c r="CJ414">
        <v>0</v>
      </c>
      <c r="CK414">
        <v>0</v>
      </c>
      <c r="CL414">
        <v>0</v>
      </c>
      <c r="CM414">
        <v>0</v>
      </c>
      <c r="CN414" t="str">
        <f>IF(BL414&lt;BK414,"refNeedCorrection","refOK")</f>
        <v>refOK</v>
      </c>
      <c r="CO414"/>
      <c r="CP414"/>
      <c r="CQ414"/>
      <c r="CR414">
        <f>IF($CN414="refOK",$BS414,$BT414)*IF($BP414="Emissions positive",-1,1)</f>
        <v>159.80000000000001</v>
      </c>
      <c r="CS414">
        <f>IF($CN414="refOK",$BT414,$BS414)*IF($BP414="Emissions positive",-1,1)</f>
        <v>169.8</v>
      </c>
      <c r="CT414">
        <f>IF($CN414="refNeedCorrection",-BX414,BX414)*IF($BP414="Emissions positive",-1,1)</f>
        <v>10000000</v>
      </c>
      <c r="CU414" t="str">
        <f>IFERROR(CT414/CQ414,"")</f>
        <v/>
      </c>
      <c r="CV414" s="2">
        <f>IFERROR((CS414-CR414)/ABS(CR414),"")</f>
        <v>6.257822277847308E-2</v>
      </c>
      <c r="CW414" s="1" t="s">
        <v>1205</v>
      </c>
      <c r="CX414" t="str">
        <f>IF(OR($CW414="prd",$CW414="std",$CW414="cit"),"loc",IF(OR($CW414="eur",$CW414="reg",$CW414="coy"),"reg",$CW414))</f>
        <v>reg</v>
      </c>
      <c r="CY414" t="s">
        <v>541</v>
      </c>
      <c r="CZ414">
        <v>2015</v>
      </c>
      <c r="DA414">
        <v>2050</v>
      </c>
      <c r="DB414">
        <v>35</v>
      </c>
      <c r="DC414" t="str">
        <f>IF(DB414=0,"0",IF(AND(DB414&gt;=1,DB414&lt;=30),"1-30",IF(AND(DB414&gt;30,DB414&lt;=70),"31-70",IF(AND(DB414&gt;70,DB414&lt;=100),"71-100",IF(DB414&gt;100,"+100")))))</f>
        <v>31-70</v>
      </c>
      <c r="DD414">
        <v>0</v>
      </c>
      <c r="DE414">
        <v>1</v>
      </c>
      <c r="DF414">
        <v>1</v>
      </c>
      <c r="DG414">
        <v>1</v>
      </c>
      <c r="DH414"/>
      <c r="DI414">
        <f>SUM(DD414:DG414)</f>
        <v>3</v>
      </c>
      <c r="DJ414" t="str">
        <f>IF(DI414=1,INDEX($DD$7:$DG$7,MATCH(1,$DD414:$DG414,0)),"mixedProduct")</f>
        <v>mixedProduct</v>
      </c>
      <c r="DK414">
        <f>IF(DD414=1,DK$7,0)</f>
        <v>0</v>
      </c>
      <c r="DL414" t="str">
        <f>IF(DE414=1,DL$7,0)</f>
        <v>Energy</v>
      </c>
      <c r="DM414" t="str">
        <f>IF(DF414=1,DM$7,0)</f>
        <v>Pulp/Paper</v>
      </c>
      <c r="DN414" t="str">
        <f>IF(DG414=1,DN$7,0)</f>
        <v>Timber</v>
      </c>
      <c r="DO414">
        <v>1</v>
      </c>
      <c r="DP414">
        <v>1</v>
      </c>
      <c r="DQ414" t="s">
        <v>2286</v>
      </c>
      <c r="DR414">
        <v>0</v>
      </c>
      <c r="DS414">
        <v>0</v>
      </c>
      <c r="DT414">
        <f>SUM(DO414:DP414)</f>
        <v>2</v>
      </c>
      <c r="DU414" s="143" t="str">
        <f>IF(DO414=1,"self-calculated DF",IF(DP414=1,"external DF used","explicit C balance"))</f>
        <v>self-calculated DF</v>
      </c>
      <c r="DV414">
        <v>1</v>
      </c>
      <c r="DW414">
        <v>1</v>
      </c>
      <c r="DX414">
        <v>1</v>
      </c>
      <c r="DY414">
        <v>1</v>
      </c>
      <c r="DZ414">
        <v>1</v>
      </c>
      <c r="EA414">
        <v>1</v>
      </c>
      <c r="EB414">
        <v>0</v>
      </c>
      <c r="EC414">
        <v>0</v>
      </c>
      <c r="ED414">
        <v>0</v>
      </c>
      <c r="EE414">
        <v>0</v>
      </c>
      <c r="EF414">
        <v>1</v>
      </c>
      <c r="EG414">
        <v>0</v>
      </c>
      <c r="EH414">
        <v>0</v>
      </c>
      <c r="EI414" s="2">
        <v>0</v>
      </c>
      <c r="EJ414" s="1"/>
      <c r="EK414" t="str">
        <f>IF(AND(AND(AND(OR($DX414=1,$DW414=1),OR($EC414=1,$EA414=1)),SUM($DV414:$DZ414,$EF414)&gt;=4),SUM($EA414:$EE414)&gt;=2),"Whole sector","")</f>
        <v/>
      </c>
      <c r="EL414" t="str">
        <f>IF(AND(AND(OR($DX414=1,$DW414=1),AND($EC414=0,$EA414=0)),SUM($DV414:$DZ414,$EF414)&gt;=4),"Ecosystem approach","")</f>
        <v/>
      </c>
      <c r="EM414" s="2" t="str">
        <f>IF(AND(AND(AND($DX414=0,$DW414=0),OR($EC414=1,$EA414=1)),SUM($EB414:$EE414)&gt;=2),"Technology approach","")</f>
        <v/>
      </c>
      <c r="EN414"/>
      <c r="EO414"/>
      <c r="EP414" t="b">
        <f>IF(ISNUMBER(BU414),IF(ABS(BU414-[2]QC_indicators!$B$2)&gt;3*[2]QC_indicators!$C$2,"C ratio",IF(ISNUMBER(BY414),IF(ABS(BY414-[2]QC_indicators!$B$1)&gt;3*[2]QC_indicators!$C$1,"DF","no"))),IF(ISNUMBER(BY414),IF(ABS(BY414-[2]QC_indicators!$B$1)&gt;3*[2]QC_indicators!$C$1,"DF","no")))</f>
        <v>0</v>
      </c>
      <c r="EQ414"/>
      <c r="ER414"/>
      <c r="ES414"/>
      <c r="ET414" s="270" t="s">
        <v>3244</v>
      </c>
      <c r="EU414"/>
    </row>
    <row r="415" spans="1:151" s="139" customFormat="1" hidden="1">
      <c r="A415" s="1" t="s">
        <v>2116</v>
      </c>
      <c r="B415" t="s">
        <v>545</v>
      </c>
      <c r="C415" t="s">
        <v>2279</v>
      </c>
      <c r="D415" t="s">
        <v>2280</v>
      </c>
      <c r="E415" t="s">
        <v>2281</v>
      </c>
      <c r="F415" t="s">
        <v>2282</v>
      </c>
      <c r="G415" t="s">
        <v>2117</v>
      </c>
      <c r="H415" t="s">
        <v>255</v>
      </c>
      <c r="I415">
        <v>2014</v>
      </c>
      <c r="J415">
        <v>96</v>
      </c>
      <c r="K415" t="s">
        <v>2283</v>
      </c>
      <c r="L415"/>
      <c r="M415" t="str">
        <f>LEFT($D415,FIND(",",$D415)-1)&amp;"_"&amp;I415&amp;L415</f>
        <v>Smyth_2014</v>
      </c>
      <c r="N415" t="s">
        <v>223</v>
      </c>
      <c r="O415" s="145" t="s">
        <v>342</v>
      </c>
      <c r="P415"/>
      <c r="Q415" t="s">
        <v>257</v>
      </c>
      <c r="R415" s="264" t="s">
        <v>224</v>
      </c>
      <c r="S415" s="1" t="s">
        <v>2302</v>
      </c>
      <c r="T415" t="s">
        <v>1157</v>
      </c>
      <c r="U415" t="s">
        <v>2303</v>
      </c>
      <c r="V415">
        <v>0</v>
      </c>
      <c r="W415">
        <v>0</v>
      </c>
      <c r="X415">
        <v>0</v>
      </c>
      <c r="Y415">
        <v>0</v>
      </c>
      <c r="Z415">
        <v>0</v>
      </c>
      <c r="AA415">
        <v>1</v>
      </c>
      <c r="AB415">
        <v>0</v>
      </c>
      <c r="AC415">
        <v>0</v>
      </c>
      <c r="AD415">
        <v>0</v>
      </c>
      <c r="AE415">
        <v>0</v>
      </c>
      <c r="AF415">
        <v>0</v>
      </c>
      <c r="AG415">
        <v>0</v>
      </c>
      <c r="AH415">
        <v>0</v>
      </c>
      <c r="AI415">
        <v>0</v>
      </c>
      <c r="AJ415">
        <v>0</v>
      </c>
      <c r="AK415">
        <v>0</v>
      </c>
      <c r="AL415">
        <v>0</v>
      </c>
      <c r="AM415">
        <v>0</v>
      </c>
      <c r="AN415">
        <v>0</v>
      </c>
      <c r="AO415">
        <v>0</v>
      </c>
      <c r="AP415">
        <v>0</v>
      </c>
      <c r="AQ415">
        <v>0</v>
      </c>
      <c r="AR415">
        <v>0</v>
      </c>
      <c r="AS415">
        <v>0</v>
      </c>
      <c r="AT415">
        <v>0</v>
      </c>
      <c r="AU415">
        <v>0</v>
      </c>
      <c r="AV415">
        <v>0</v>
      </c>
      <c r="AW415">
        <v>0</v>
      </c>
      <c r="AX415" s="141">
        <f>COUNTIF(V415:AW415,"&lt;&gt;0")</f>
        <v>1</v>
      </c>
      <c r="AY415" s="141">
        <f>COUNTIF(V415:AL415,"&lt;&gt;0")</f>
        <v>1</v>
      </c>
      <c r="AZ415">
        <f>COUNTIF(V415:AC415,"&lt;&gt;0")</f>
        <v>1</v>
      </c>
      <c r="BA415">
        <f>COUNTIF(AD415:AI415,"&lt;&gt;0")</f>
        <v>0</v>
      </c>
      <c r="BB415">
        <f>COUNTIF(AJ415:AL415,"&lt;&gt;0")</f>
        <v>0</v>
      </c>
      <c r="BC415">
        <f>COUNTIF(AS415:AW415,"&lt;&gt;0")</f>
        <v>0</v>
      </c>
      <c r="BD415">
        <f>COUNTIF(AM415:AR415,"&lt;&gt;0")</f>
        <v>0</v>
      </c>
      <c r="BE415" t="str">
        <f t="array" ref="BE415">IF(AY415=1,INDEX($V$7:$AL$7,MATCH(TRUE,INDEX($V415:$AW415&lt;&gt;0,),0)),IF(AY415=0,INDEX($AM$7:$AW$7,MATCH(1,$AM415:$AW415,0)),IF(BF415="Multiple strategies","mixed drivers",IF(BF415="Supply chain","multiple supply","multiple silviculture"))))</f>
        <v>plantation density</v>
      </c>
      <c r="BF415" s="2" t="str" cm="1">
        <f t="array" ref="BF415">IF(COUNTIF(AZ415:BB415,"&lt;&gt;0")=1,INDEX($V$4:$AW$4,MATCH(TRUE,INDEX($V415:$AW415&lt;&gt;0,),0)),IF(COUNTIF(AZ415:BB415,"&lt;&gt;0")=0,INDEX($AM$4:$AW$4,MATCH(1,$AM415:$AW415,0)),"Multiple strategies"))</f>
        <v>SilvicultureProd</v>
      </c>
      <c r="BG415" s="1"/>
      <c r="BH415"/>
      <c r="BI415"/>
      <c r="BJ415"/>
      <c r="BK415"/>
      <c r="BL415"/>
      <c r="BM415"/>
      <c r="BN415"/>
      <c r="BO415"/>
      <c r="BP415" t="s">
        <v>233</v>
      </c>
      <c r="BQ415"/>
      <c r="BR415" t="s">
        <v>1142</v>
      </c>
      <c r="BS415">
        <v>159.80000000000001</v>
      </c>
      <c r="BT415">
        <f>BV415+BS415</f>
        <v>164.8</v>
      </c>
      <c r="BU415" s="144">
        <f>IFERROR(BT415/BS415,"")</f>
        <v>1.0312891113892366</v>
      </c>
      <c r="BV415">
        <v>5</v>
      </c>
      <c r="BW415"/>
      <c r="BX415">
        <f>BV415*10^6</f>
        <v>5000000</v>
      </c>
      <c r="BY415" t="str">
        <f>IFERROR(BX415/BO415,"")</f>
        <v/>
      </c>
      <c r="BZ415">
        <v>0</v>
      </c>
      <c r="CA415">
        <v>1</v>
      </c>
      <c r="CB415">
        <v>1</v>
      </c>
      <c r="CC415">
        <v>1</v>
      </c>
      <c r="CD415">
        <v>0</v>
      </c>
      <c r="CE415">
        <v>0</v>
      </c>
      <c r="CF415">
        <v>0</v>
      </c>
      <c r="CG415">
        <v>0</v>
      </c>
      <c r="CH415">
        <v>0</v>
      </c>
      <c r="CI415">
        <v>0</v>
      </c>
      <c r="CJ415">
        <v>0</v>
      </c>
      <c r="CK415">
        <v>0</v>
      </c>
      <c r="CL415">
        <v>0</v>
      </c>
      <c r="CM415">
        <v>0</v>
      </c>
      <c r="CN415" t="str">
        <f>IF(BL415&lt;BK415,"refNeedCorrection","refOK")</f>
        <v>refOK</v>
      </c>
      <c r="CO415"/>
      <c r="CP415"/>
      <c r="CQ415"/>
      <c r="CR415">
        <f>IF($CN415="refOK",$BS415,$BT415)*IF($BP415="Emissions positive",-1,1)</f>
        <v>159.80000000000001</v>
      </c>
      <c r="CS415">
        <f>IF($CN415="refOK",$BT415,$BS415)*IF($BP415="Emissions positive",-1,1)</f>
        <v>164.8</v>
      </c>
      <c r="CT415">
        <f>IF($CN415="refNeedCorrection",-BX415,BX415)*IF($BP415="Emissions positive",-1,1)</f>
        <v>5000000</v>
      </c>
      <c r="CU415" t="str">
        <f>IFERROR(CT415/CQ415,"")</f>
        <v/>
      </c>
      <c r="CV415" s="2">
        <f>IFERROR((CS415-CR415)/ABS(CR415),"")</f>
        <v>3.128911138923654E-2</v>
      </c>
      <c r="CW415" s="1" t="s">
        <v>1205</v>
      </c>
      <c r="CX415" t="str">
        <f>IF(OR($CW415="prd",$CW415="std",$CW415="cit"),"loc",IF(OR($CW415="eur",$CW415="reg",$CW415="coy"),"reg",$CW415))</f>
        <v>reg</v>
      </c>
      <c r="CY415" t="s">
        <v>541</v>
      </c>
      <c r="CZ415">
        <v>2015</v>
      </c>
      <c r="DA415">
        <v>2050</v>
      </c>
      <c r="DB415">
        <v>35</v>
      </c>
      <c r="DC415" t="str">
        <f>IF(DB415=0,"0",IF(AND(DB415&gt;=1,DB415&lt;=30),"1-30",IF(AND(DB415&gt;30,DB415&lt;=70),"31-70",IF(AND(DB415&gt;70,DB415&lt;=100),"71-100",IF(DB415&gt;100,"+100")))))</f>
        <v>31-70</v>
      </c>
      <c r="DD415">
        <v>0</v>
      </c>
      <c r="DE415">
        <v>1</v>
      </c>
      <c r="DF415">
        <v>1</v>
      </c>
      <c r="DG415">
        <v>1</v>
      </c>
      <c r="DH415"/>
      <c r="DI415">
        <f>SUM(DD415:DG415)</f>
        <v>3</v>
      </c>
      <c r="DJ415" t="str">
        <f>IF(DI415=1,INDEX($DD$7:$DG$7,MATCH(1,$DD415:$DG415,0)),"mixedProduct")</f>
        <v>mixedProduct</v>
      </c>
      <c r="DK415">
        <f>IF(DD415=1,DK$7,0)</f>
        <v>0</v>
      </c>
      <c r="DL415" t="str">
        <f>IF(DE415=1,DL$7,0)</f>
        <v>Energy</v>
      </c>
      <c r="DM415" t="str">
        <f>IF(DF415=1,DM$7,0)</f>
        <v>Pulp/Paper</v>
      </c>
      <c r="DN415" t="str">
        <f>IF(DG415=1,DN$7,0)</f>
        <v>Timber</v>
      </c>
      <c r="DO415">
        <v>1</v>
      </c>
      <c r="DP415">
        <v>1</v>
      </c>
      <c r="DQ415" t="s">
        <v>2286</v>
      </c>
      <c r="DR415">
        <v>0</v>
      </c>
      <c r="DS415">
        <v>0</v>
      </c>
      <c r="DT415">
        <f>SUM(DO415:DP415)</f>
        <v>2</v>
      </c>
      <c r="DU415" s="143" t="str">
        <f>IF(DO415=1,"self-calculated DF",IF(DP415=1,"external DF used","explicit C balance"))</f>
        <v>self-calculated DF</v>
      </c>
      <c r="DV415">
        <v>1</v>
      </c>
      <c r="DW415">
        <v>1</v>
      </c>
      <c r="DX415">
        <v>1</v>
      </c>
      <c r="DY415">
        <v>1</v>
      </c>
      <c r="DZ415">
        <v>1</v>
      </c>
      <c r="EA415">
        <v>1</v>
      </c>
      <c r="EB415">
        <v>0</v>
      </c>
      <c r="EC415">
        <v>0</v>
      </c>
      <c r="ED415">
        <v>0</v>
      </c>
      <c r="EE415">
        <v>0</v>
      </c>
      <c r="EF415">
        <v>1</v>
      </c>
      <c r="EG415">
        <v>0</v>
      </c>
      <c r="EH415">
        <v>0</v>
      </c>
      <c r="EI415" s="2">
        <v>0</v>
      </c>
      <c r="EJ415" s="1"/>
      <c r="EK415" t="str">
        <f>IF(AND(AND(AND(OR($DX415=1,$DW415=1),OR($EC415=1,$EA415=1)),SUM($DV415:$DZ415,$EF415)&gt;=4),SUM($EA415:$EE415)&gt;=2),"Whole sector","")</f>
        <v/>
      </c>
      <c r="EL415" t="str">
        <f>IF(AND(AND(OR($DX415=1,$DW415=1),AND($EC415=0,$EA415=0)),SUM($DV415:$DZ415,$EF415)&gt;=4),"Ecosystem approach","")</f>
        <v/>
      </c>
      <c r="EM415" s="2" t="str">
        <f>IF(AND(AND(AND($DX415=0,$DW415=0),OR($EC415=1,$EA415=1)),SUM($EB415:$EE415)&gt;=2),"Technology approach","")</f>
        <v/>
      </c>
      <c r="EN415"/>
      <c r="EO415"/>
      <c r="EP415" t="b">
        <f>IF(ISNUMBER(BU415),IF(ABS(BU415-[2]QC_indicators!$B$2)&gt;3*[2]QC_indicators!$C$2,"C ratio",IF(ISNUMBER(BY415),IF(ABS(BY415-[2]QC_indicators!$B$1)&gt;3*[2]QC_indicators!$C$1,"DF","no"))),IF(ISNUMBER(BY415),IF(ABS(BY415-[2]QC_indicators!$B$1)&gt;3*[2]QC_indicators!$C$1,"DF","no")))</f>
        <v>0</v>
      </c>
      <c r="EQ415"/>
      <c r="ER415"/>
      <c r="ES415"/>
      <c r="ET415" s="270" t="s">
        <v>3244</v>
      </c>
      <c r="EU415"/>
    </row>
    <row r="416" spans="1:151" s="139" customFormat="1" ht="170" hidden="1">
      <c r="A416" s="1"/>
      <c r="B416"/>
      <c r="C416"/>
      <c r="D416" t="s">
        <v>2054</v>
      </c>
      <c r="E416" t="s">
        <v>2055</v>
      </c>
      <c r="F416"/>
      <c r="G416" t="s">
        <v>2056</v>
      </c>
      <c r="H416"/>
      <c r="I416">
        <v>2018</v>
      </c>
      <c r="J416"/>
      <c r="K416" s="150" t="s">
        <v>2057</v>
      </c>
      <c r="L416"/>
      <c r="M416" t="str">
        <f>LEFT($D416,FIND(",",$D416)-1)&amp;"_"&amp;I416&amp;L416</f>
        <v>Olguin_2018</v>
      </c>
      <c r="N416" t="s">
        <v>223</v>
      </c>
      <c r="O416" s="157" t="s">
        <v>275</v>
      </c>
      <c r="P416" t="s">
        <v>514</v>
      </c>
      <c r="Q416" t="s">
        <v>390</v>
      </c>
      <c r="R416" s="264" t="s">
        <v>224</v>
      </c>
      <c r="S416" s="265" t="s">
        <v>3190</v>
      </c>
      <c r="T416" t="s">
        <v>2058</v>
      </c>
      <c r="U416" t="s">
        <v>2067</v>
      </c>
      <c r="V416">
        <v>0</v>
      </c>
      <c r="W416">
        <v>0</v>
      </c>
      <c r="X416">
        <v>0</v>
      </c>
      <c r="Y416">
        <v>0</v>
      </c>
      <c r="Z416">
        <v>0</v>
      </c>
      <c r="AA416">
        <v>0</v>
      </c>
      <c r="AB416">
        <v>0</v>
      </c>
      <c r="AC416">
        <v>1</v>
      </c>
      <c r="AD416">
        <v>0</v>
      </c>
      <c r="AE416">
        <v>0</v>
      </c>
      <c r="AF416">
        <v>0</v>
      </c>
      <c r="AG416">
        <v>0</v>
      </c>
      <c r="AH416">
        <v>0</v>
      </c>
      <c r="AI416">
        <v>0</v>
      </c>
      <c r="AJ416">
        <v>0</v>
      </c>
      <c r="AK416">
        <v>0</v>
      </c>
      <c r="AL416">
        <v>0</v>
      </c>
      <c r="AM416">
        <v>0</v>
      </c>
      <c r="AN416">
        <v>0</v>
      </c>
      <c r="AO416">
        <v>0</v>
      </c>
      <c r="AP416">
        <v>0</v>
      </c>
      <c r="AQ416">
        <v>0</v>
      </c>
      <c r="AR416">
        <v>0</v>
      </c>
      <c r="AS416">
        <v>0</v>
      </c>
      <c r="AT416">
        <v>0</v>
      </c>
      <c r="AU416">
        <v>0</v>
      </c>
      <c r="AV416">
        <v>0</v>
      </c>
      <c r="AW416">
        <v>0</v>
      </c>
      <c r="AX416" s="141">
        <f>COUNTIF(V416:AW416,"&lt;&gt;0")</f>
        <v>1</v>
      </c>
      <c r="AY416" s="141">
        <f>COUNTIF(V416:AL416,"&lt;&gt;0")</f>
        <v>1</v>
      </c>
      <c r="AZ416">
        <f>COUNTIF(V416:AC416,"&lt;&gt;0")</f>
        <v>1</v>
      </c>
      <c r="BA416">
        <f>COUNTIF(AD416:AI416,"&lt;&gt;0")</f>
        <v>0</v>
      </c>
      <c r="BB416">
        <f>COUNTIF(AJ416:AL416,"&lt;&gt;0")</f>
        <v>0</v>
      </c>
      <c r="BC416">
        <f>COUNTIF(AS416:AW416,"&lt;&gt;0")</f>
        <v>0</v>
      </c>
      <c r="BD416">
        <f>COUNTIF(AM416:AR416,"&lt;&gt;0")</f>
        <v>0</v>
      </c>
      <c r="BE416" t="str">
        <f t="array" ref="BE416">IF(AY416=1,INDEX($V$7:$AL$7,MATCH(TRUE,INDEX($V416:$AW416&lt;&gt;0,),0)),IF(AY416=0,INDEX($AM$7:$AW$7,MATCH(1,$AM416:$AW416,0)),IF(BF416="Multiple strategies","mixed drivers",IF(BF416="Supply chain","multiple supply","multiple silviculture"))))</f>
        <v>site fertility</v>
      </c>
      <c r="BF416" s="2" t="str" cm="1">
        <f t="array" ref="BF416">IF(COUNTIF(AZ416:BB416,"&lt;&gt;0")=1,INDEX($V$4:$AW$4,MATCH(TRUE,INDEX($V416:$AW416&lt;&gt;0,),0)),IF(COUNTIF(AZ416:BB416,"&lt;&gt;0")=0,INDEX($AM$4:$AW$4,MATCH(1,$AM416:$AW416,0)),"Multiple strategies"))</f>
        <v>SilvicultureProd</v>
      </c>
      <c r="BG416" s="1" t="s">
        <v>322</v>
      </c>
      <c r="BH416"/>
      <c r="BI416" s="266" t="s">
        <v>1038</v>
      </c>
      <c r="BJ416" t="s">
        <v>2060</v>
      </c>
      <c r="BK416">
        <v>0</v>
      </c>
      <c r="BL416">
        <v>218025</v>
      </c>
      <c r="BM416" t="str">
        <f>IFERROR(BL416/BK416,"")</f>
        <v/>
      </c>
      <c r="BN416">
        <f>BL416-BK416</f>
        <v>218025</v>
      </c>
      <c r="BO416">
        <f>BN416*tC_to_m3</f>
        <v>946699.95657837612</v>
      </c>
      <c r="BP416" t="s">
        <v>233</v>
      </c>
      <c r="BQ416" t="s">
        <v>425</v>
      </c>
      <c r="BR416" t="s">
        <v>2065</v>
      </c>
      <c r="BS416"/>
      <c r="BT416"/>
      <c r="BU416" s="144"/>
      <c r="BV416">
        <v>-1.1200000000000001</v>
      </c>
      <c r="BW416"/>
      <c r="BX416">
        <f>BV416</f>
        <v>-1.1200000000000001</v>
      </c>
      <c r="BY416">
        <f>IFERROR(BX416/BO416,"")</f>
        <v>-1.1830569888774224E-6</v>
      </c>
      <c r="BZ416">
        <v>0</v>
      </c>
      <c r="CA416">
        <v>0</v>
      </c>
      <c r="CB416">
        <v>0</v>
      </c>
      <c r="CC416">
        <v>0</v>
      </c>
      <c r="CD416">
        <v>0</v>
      </c>
      <c r="CE416">
        <v>0</v>
      </c>
      <c r="CF416">
        <v>0</v>
      </c>
      <c r="CG416">
        <v>0</v>
      </c>
      <c r="CH416">
        <v>0</v>
      </c>
      <c r="CI416">
        <v>0</v>
      </c>
      <c r="CJ416">
        <v>0</v>
      </c>
      <c r="CK416">
        <v>0</v>
      </c>
      <c r="CL416">
        <v>0</v>
      </c>
      <c r="CM416">
        <v>0</v>
      </c>
      <c r="CN416" t="str">
        <f>IF($BL416&lt;$BK416,"refNeedCorrection","refOK")</f>
        <v>refOK</v>
      </c>
      <c r="CO416">
        <f>IF($CN416="refOK",$BK416,$BL416)</f>
        <v>0</v>
      </c>
      <c r="CP416">
        <f>IF($CN416="refOK",$BL416,$BK416)</f>
        <v>218025</v>
      </c>
      <c r="CQ416">
        <f>IF($CN416="refOK",$BO416,-$BO416)</f>
        <v>946699.95657837612</v>
      </c>
      <c r="CR416">
        <f>IF($CN416="refOK",$BS416,$BT416)*IF($BP416="Emissions positive",-1,1)</f>
        <v>0</v>
      </c>
      <c r="CS416">
        <f>IF($CN416="refOK",$BT416,$BS416)*IF($BP416="Emissions positive",-1,1)</f>
        <v>0</v>
      </c>
      <c r="CT416">
        <f>IF($CN416="refNeedCorrection",-BX416,BX416)*IF($BP416="Emissions positive",-1,1)</f>
        <v>-1.1200000000000001</v>
      </c>
      <c r="CU416">
        <f>IFERROR(CT416/CQ416,"")</f>
        <v>-1.1830569888774224E-6</v>
      </c>
      <c r="CV416" s="2" t="str">
        <f>IFERROR((CS416-CR416)/ABS(CR416),"")</f>
        <v/>
      </c>
      <c r="CW416" s="1" t="s">
        <v>2038</v>
      </c>
      <c r="CX416" t="str">
        <f>IF(OR($CW416="prd",$CW416="std",$CW416="cit"),"loc",IF(OR($CW416="eur",$CW416="reg",$CW416="coy"),"reg",$CW416))</f>
        <v>reg</v>
      </c>
      <c r="CY416" t="s">
        <v>2062</v>
      </c>
      <c r="CZ416">
        <v>2021</v>
      </c>
      <c r="DA416">
        <v>2030</v>
      </c>
      <c r="DB416">
        <f>DA416-CZ416</f>
        <v>9</v>
      </c>
      <c r="DC416" t="str">
        <f>IF(DB416=0,"0",IF(AND(DB416&gt;=1,DB416&lt;=30),"1-30",IF(AND(DB416&gt;30,DB416&lt;=70),"31-70",IF(AND(DB416&gt;70,DB416&lt;=100),"71-100",IF(DB416&gt;100,"+100")))))</f>
        <v>1-30</v>
      </c>
      <c r="DD416">
        <v>0</v>
      </c>
      <c r="DE416">
        <v>0</v>
      </c>
      <c r="DF416">
        <v>0</v>
      </c>
      <c r="DG416">
        <v>1</v>
      </c>
      <c r="DH416">
        <v>0</v>
      </c>
      <c r="DI416">
        <f>SUM(DD416:DH416)</f>
        <v>1</v>
      </c>
      <c r="DJ416" t="str">
        <f>IF(DI416=1,INDEX($DD$7:$DG$7,MATCH(1,$DD416:$DG416,0)),"mixedProduct")</f>
        <v>TimberInput</v>
      </c>
      <c r="DK416">
        <f>IF(DD416=1,DK$7,0)</f>
        <v>0</v>
      </c>
      <c r="DL416">
        <f>IF(DE416=1,DL$7,0)</f>
        <v>0</v>
      </c>
      <c r="DM416">
        <f>IF(DF416=1,DM$7,0)</f>
        <v>0</v>
      </c>
      <c r="DN416" t="str">
        <f>IF(DG416=1,DN$7,0)</f>
        <v>Timber</v>
      </c>
      <c r="DO416"/>
      <c r="DP416">
        <v>1</v>
      </c>
      <c r="DQ416"/>
      <c r="DR416"/>
      <c r="DS416" s="184" t="s">
        <v>2063</v>
      </c>
      <c r="DT416"/>
      <c r="DU416" s="143" t="str">
        <f>IF(DO416=1,"self-calculated DF",IF(DP416=1,"external DF used","explicit C balance"))</f>
        <v>external DF used</v>
      </c>
      <c r="DV416">
        <v>1</v>
      </c>
      <c r="DW416">
        <v>1</v>
      </c>
      <c r="DX416">
        <v>1</v>
      </c>
      <c r="DY416">
        <v>1</v>
      </c>
      <c r="DZ416">
        <v>1</v>
      </c>
      <c r="EA416">
        <v>1</v>
      </c>
      <c r="EB416">
        <v>0</v>
      </c>
      <c r="EC416">
        <v>0</v>
      </c>
      <c r="ED416">
        <v>0</v>
      </c>
      <c r="EE416">
        <v>0</v>
      </c>
      <c r="EF416">
        <v>1</v>
      </c>
      <c r="EG416">
        <v>0</v>
      </c>
      <c r="EH416">
        <v>1</v>
      </c>
      <c r="EI416" s="2">
        <v>0</v>
      </c>
      <c r="EJ416" s="1"/>
      <c r="EK416" t="str">
        <f>IF(AND(AND(AND(OR($DX416=1,$DW416=1),OR($EC416=1,$EA416=1)),SUM($DV416:$DZ416,$EF416)&gt;=4),SUM($EA416:$EE416)&gt;=2),"Whole sector","")</f>
        <v/>
      </c>
      <c r="EL416" t="str">
        <f>IF(AND(AND(OR($DX416=1,$DW416=1),AND($EC416=0,$EA416=0)),SUM($DV416:$DZ416,$EF416)&gt;=4),"Ecosystem approach","")</f>
        <v/>
      </c>
      <c r="EM416" s="2" t="str">
        <f>IF(AND(AND(AND($DX416=0,$DW416=0),OR($EC416=1,$EA416=1)),SUM($EB416:$EE416)&gt;=2),"Technology approach","")</f>
        <v/>
      </c>
      <c r="EN416"/>
      <c r="EO416"/>
      <c r="EP416" t="str">
        <f>IF(ISNUMBER(BU416),IF(ABS(BU416-[2]QC_indicators!$B$2)&gt;3*[2]QC_indicators!$C$2,"C ratio",IF(ISNUMBER(BY416),IF(ABS(BY416-[2]QC_indicators!$B$1)&gt;3*[2]QC_indicators!$C$1,"DF","no"))),IF(ISNUMBER(BY416),IF(ABS(BY416-[2]QC_indicators!$B$1)&gt;3*[2]QC_indicators!$C$1,"DF","no")))</f>
        <v>no</v>
      </c>
      <c r="EQ416"/>
      <c r="ER416"/>
      <c r="ES416"/>
      <c r="ET416" s="266" t="s">
        <v>3275</v>
      </c>
      <c r="EU416"/>
    </row>
    <row r="417" spans="1:151" s="139" customFormat="1" ht="15" hidden="1" customHeight="1">
      <c r="A417" s="1"/>
      <c r="B417"/>
      <c r="C417"/>
      <c r="D417" t="s">
        <v>2054</v>
      </c>
      <c r="E417" t="s">
        <v>2055</v>
      </c>
      <c r="F417"/>
      <c r="G417" t="s">
        <v>2056</v>
      </c>
      <c r="H417"/>
      <c r="I417">
        <v>2018</v>
      </c>
      <c r="J417"/>
      <c r="K417" s="150" t="s">
        <v>2057</v>
      </c>
      <c r="L417"/>
      <c r="M417" t="str">
        <f>LEFT($D417,FIND(",",$D417)-1)&amp;"_"&amp;I417&amp;L417</f>
        <v>Olguin_2018</v>
      </c>
      <c r="N417" t="s">
        <v>223</v>
      </c>
      <c r="O417" s="157" t="s">
        <v>275</v>
      </c>
      <c r="P417" t="s">
        <v>514</v>
      </c>
      <c r="Q417" t="s">
        <v>390</v>
      </c>
      <c r="R417" s="264" t="s">
        <v>224</v>
      </c>
      <c r="S417" s="265" t="s">
        <v>3191</v>
      </c>
      <c r="T417" t="s">
        <v>2058</v>
      </c>
      <c r="U417" t="s">
        <v>2067</v>
      </c>
      <c r="V417">
        <v>0</v>
      </c>
      <c r="W417">
        <v>0</v>
      </c>
      <c r="X417">
        <v>0</v>
      </c>
      <c r="Y417">
        <v>0</v>
      </c>
      <c r="Z417">
        <v>0</v>
      </c>
      <c r="AA417">
        <v>0</v>
      </c>
      <c r="AB417">
        <v>0</v>
      </c>
      <c r="AC417">
        <v>1</v>
      </c>
      <c r="AD417">
        <v>0</v>
      </c>
      <c r="AE417">
        <v>0</v>
      </c>
      <c r="AF417">
        <v>0</v>
      </c>
      <c r="AG417">
        <v>0</v>
      </c>
      <c r="AH417">
        <v>0</v>
      </c>
      <c r="AI417">
        <v>0</v>
      </c>
      <c r="AJ417">
        <v>0</v>
      </c>
      <c r="AK417">
        <v>0</v>
      </c>
      <c r="AL417">
        <v>0</v>
      </c>
      <c r="AM417">
        <v>0</v>
      </c>
      <c r="AN417">
        <v>0</v>
      </c>
      <c r="AO417">
        <v>0</v>
      </c>
      <c r="AP417">
        <v>0</v>
      </c>
      <c r="AQ417">
        <v>0</v>
      </c>
      <c r="AR417">
        <v>0</v>
      </c>
      <c r="AS417">
        <v>0</v>
      </c>
      <c r="AT417">
        <v>0</v>
      </c>
      <c r="AU417">
        <v>0</v>
      </c>
      <c r="AV417">
        <v>0</v>
      </c>
      <c r="AW417">
        <v>0</v>
      </c>
      <c r="AX417" s="141">
        <f>COUNTIF(V417:AW417,"&lt;&gt;0")</f>
        <v>1</v>
      </c>
      <c r="AY417" s="141">
        <f>COUNTIF(V417:AL417,"&lt;&gt;0")</f>
        <v>1</v>
      </c>
      <c r="AZ417">
        <f>COUNTIF(V417:AC417,"&lt;&gt;0")</f>
        <v>1</v>
      </c>
      <c r="BA417">
        <f>COUNTIF(AD417:AI417,"&lt;&gt;0")</f>
        <v>0</v>
      </c>
      <c r="BB417">
        <f>COUNTIF(AJ417:AL417,"&lt;&gt;0")</f>
        <v>0</v>
      </c>
      <c r="BC417">
        <f>COUNTIF(AS417:AW417,"&lt;&gt;0")</f>
        <v>0</v>
      </c>
      <c r="BD417">
        <f>COUNTIF(AM417:AR417,"&lt;&gt;0")</f>
        <v>0</v>
      </c>
      <c r="BE417" t="str">
        <f t="array" ref="BE417">IF(AY417=1,INDEX($V$7:$AL$7,MATCH(TRUE,INDEX($V417:$AW417&lt;&gt;0,),0)),IF(AY417=0,INDEX($AM$7:$AW$7,MATCH(1,$AM417:$AW417,0)),IF(BF417="Multiple strategies","mixed drivers",IF(BF417="Supply chain","multiple supply","multiple silviculture"))))</f>
        <v>site fertility</v>
      </c>
      <c r="BF417" s="2" t="str" cm="1">
        <f t="array" ref="BF417">IF(COUNTIF(AZ417:BB417,"&lt;&gt;0")=1,INDEX($V$4:$AW$4,MATCH(TRUE,INDEX($V417:$AW417&lt;&gt;0,),0)),IF(COUNTIF(AZ417:BB417,"&lt;&gt;0")=0,INDEX($AM$4:$AW$4,MATCH(1,$AM417:$AW417,0)),"Multiple strategies"))</f>
        <v>SilvicultureProd</v>
      </c>
      <c r="BG417" s="1" t="s">
        <v>322</v>
      </c>
      <c r="BH417"/>
      <c r="BI417" s="266" t="s">
        <v>1038</v>
      </c>
      <c r="BJ417" t="s">
        <v>2060</v>
      </c>
      <c r="BK417">
        <v>0</v>
      </c>
      <c r="BL417">
        <v>6788</v>
      </c>
      <c r="BM417" t="str">
        <f>IFERROR(BL417/BK417,"")</f>
        <v/>
      </c>
      <c r="BN417">
        <f>BL417-BK417</f>
        <v>6788</v>
      </c>
      <c r="BO417">
        <f>BN417*tC_to_m3</f>
        <v>29474.598349978292</v>
      </c>
      <c r="BP417" t="s">
        <v>233</v>
      </c>
      <c r="BQ417" t="s">
        <v>425</v>
      </c>
      <c r="BR417" t="s">
        <v>2065</v>
      </c>
      <c r="BS417"/>
      <c r="BT417"/>
      <c r="BU417" s="144"/>
      <c r="BV417">
        <v>1E-3</v>
      </c>
      <c r="BW417"/>
      <c r="BX417">
        <f>BV417</f>
        <v>1E-3</v>
      </c>
      <c r="BY417">
        <f>IFERROR(BX417/BO417,"")</f>
        <v>3.3927519151443721E-8</v>
      </c>
      <c r="BZ417">
        <v>0</v>
      </c>
      <c r="CA417">
        <v>0</v>
      </c>
      <c r="CB417">
        <v>0</v>
      </c>
      <c r="CC417">
        <v>0</v>
      </c>
      <c r="CD417">
        <v>0</v>
      </c>
      <c r="CE417">
        <v>0</v>
      </c>
      <c r="CF417">
        <v>0</v>
      </c>
      <c r="CG417">
        <v>0</v>
      </c>
      <c r="CH417">
        <v>0</v>
      </c>
      <c r="CI417">
        <v>0</v>
      </c>
      <c r="CJ417">
        <v>0</v>
      </c>
      <c r="CK417">
        <v>0</v>
      </c>
      <c r="CL417">
        <v>0</v>
      </c>
      <c r="CM417">
        <v>0</v>
      </c>
      <c r="CN417" t="str">
        <f>IF($BL417&lt;$BK417,"refNeedCorrection","refOK")</f>
        <v>refOK</v>
      </c>
      <c r="CO417">
        <f>IF($CN417="refOK",$BK417,$BL417)</f>
        <v>0</v>
      </c>
      <c r="CP417">
        <f>IF($CN417="refOK",$BL417,$BK417)</f>
        <v>6788</v>
      </c>
      <c r="CQ417">
        <f>IF($CN417="refOK",$BO417,-$BO417)</f>
        <v>29474.598349978292</v>
      </c>
      <c r="CR417">
        <f>IF($CN417="refOK",$BS417,$BT417)*IF($BP417="Emissions positive",-1,1)</f>
        <v>0</v>
      </c>
      <c r="CS417">
        <f>IF($CN417="refOK",$BT417,$BS417)*IF($BP417="Emissions positive",-1,1)</f>
        <v>0</v>
      </c>
      <c r="CT417">
        <f>IF($CN417="refNeedCorrection",-BX417,BX417)*IF($BP417="Emissions positive",-1,1)</f>
        <v>1E-3</v>
      </c>
      <c r="CU417">
        <f>IFERROR(CT417/CQ417,"")</f>
        <v>3.3927519151443721E-8</v>
      </c>
      <c r="CV417" s="2" t="str">
        <f>IFERROR((CS417-CR417)/ABS(CR417),"")</f>
        <v/>
      </c>
      <c r="CW417" s="1" t="s">
        <v>2038</v>
      </c>
      <c r="CX417" t="str">
        <f>IF(OR($CW417="prd",$CW417="std",$CW417="cit"),"loc",IF(OR($CW417="eur",$CW417="reg",$CW417="coy"),"reg",$CW417))</f>
        <v>reg</v>
      </c>
      <c r="CY417" t="s">
        <v>2062</v>
      </c>
      <c r="CZ417">
        <v>2021</v>
      </c>
      <c r="DA417">
        <v>2030</v>
      </c>
      <c r="DB417">
        <f>DA417-CZ417</f>
        <v>9</v>
      </c>
      <c r="DC417" t="str">
        <f>IF(DB417=0,"0",IF(AND(DB417&gt;=1,DB417&lt;=30),"1-30",IF(AND(DB417&gt;30,DB417&lt;=70),"31-70",IF(AND(DB417&gt;70,DB417&lt;=100),"71-100",IF(DB417&gt;100,"+100")))))</f>
        <v>1-30</v>
      </c>
      <c r="DD417">
        <v>0</v>
      </c>
      <c r="DE417">
        <v>0</v>
      </c>
      <c r="DF417">
        <v>0</v>
      </c>
      <c r="DG417">
        <v>1</v>
      </c>
      <c r="DH417">
        <v>0</v>
      </c>
      <c r="DI417">
        <f>SUM(DD417:DG417)</f>
        <v>1</v>
      </c>
      <c r="DJ417" t="str">
        <f>IF(DI417=1,INDEX($DD$7:$DG$7,MATCH(1,$DD417:$DG417,0)),"mixedProduct")</f>
        <v>TimberInput</v>
      </c>
      <c r="DK417">
        <f>IF(DD417=1,DK$7,0)</f>
        <v>0</v>
      </c>
      <c r="DL417">
        <f>IF(DE417=1,DL$7,0)</f>
        <v>0</v>
      </c>
      <c r="DM417">
        <f>IF(DF417=1,DM$7,0)</f>
        <v>0</v>
      </c>
      <c r="DN417" t="str">
        <f>IF(DG417=1,DN$7,0)</f>
        <v>Timber</v>
      </c>
      <c r="DO417"/>
      <c r="DP417">
        <v>1</v>
      </c>
      <c r="DQ417"/>
      <c r="DR417"/>
      <c r="DS417" s="184" t="s">
        <v>2063</v>
      </c>
      <c r="DT417"/>
      <c r="DU417" s="143" t="str">
        <f>IF(DO417=1,"self-calculated DF",IF(DP417=1,"external DF used","explicit C balance"))</f>
        <v>external DF used</v>
      </c>
      <c r="DV417">
        <v>1</v>
      </c>
      <c r="DW417">
        <v>1</v>
      </c>
      <c r="DX417">
        <v>1</v>
      </c>
      <c r="DY417">
        <v>1</v>
      </c>
      <c r="DZ417">
        <v>1</v>
      </c>
      <c r="EA417">
        <v>1</v>
      </c>
      <c r="EB417">
        <v>0</v>
      </c>
      <c r="EC417">
        <v>0</v>
      </c>
      <c r="ED417">
        <v>0</v>
      </c>
      <c r="EE417">
        <v>0</v>
      </c>
      <c r="EF417">
        <v>1</v>
      </c>
      <c r="EG417">
        <v>0</v>
      </c>
      <c r="EH417">
        <v>1</v>
      </c>
      <c r="EI417" s="2">
        <v>0</v>
      </c>
      <c r="EJ417" s="1"/>
      <c r="EK417" t="str">
        <f>IF(AND(AND(AND(OR($DX417=1,$DW417=1),OR($EC417=1,$EA417=1)),SUM($DV417:$DZ417,$EF417)&gt;=4),SUM($EA417:$EE417)&gt;=2),"Whole sector","")</f>
        <v/>
      </c>
      <c r="EL417" t="str">
        <f>IF(AND(AND(OR($DX417=1,$DW417=1),AND($EC417=0,$EA417=0)),SUM($DV417:$DZ417,$EF417)&gt;=4),"Ecosystem approach","")</f>
        <v/>
      </c>
      <c r="EM417" s="2" t="str">
        <f>IF(AND(AND(AND($DX417=0,$DW417=0),OR($EC417=1,$EA417=1)),SUM($EB417:$EE417)&gt;=2),"Technology approach","")</f>
        <v/>
      </c>
      <c r="EN417"/>
      <c r="EO417"/>
      <c r="EP417" t="str">
        <f>IF(ISNUMBER(BU417),IF(ABS(BU417-[2]QC_indicators!$B$2)&gt;3*[2]QC_indicators!$C$2,"C ratio",IF(ISNUMBER(BY417),IF(ABS(BY417-[2]QC_indicators!$B$1)&gt;3*[2]QC_indicators!$C$1,"DF","no"))),IF(ISNUMBER(BY417),IF(ABS(BY417-[2]QC_indicators!$B$1)&gt;3*[2]QC_indicators!$C$1,"DF","no")))</f>
        <v>no</v>
      </c>
      <c r="EQ417"/>
      <c r="ER417"/>
      <c r="ES417"/>
      <c r="ET417" s="266" t="s">
        <v>3275</v>
      </c>
      <c r="EU417"/>
    </row>
    <row r="418" spans="1:151" s="139" customFormat="1" ht="15" hidden="1" customHeight="1">
      <c r="A418" s="1"/>
      <c r="B418"/>
      <c r="C418"/>
      <c r="D418" t="s">
        <v>2054</v>
      </c>
      <c r="E418" t="s">
        <v>2055</v>
      </c>
      <c r="F418"/>
      <c r="G418" t="s">
        <v>2056</v>
      </c>
      <c r="H418"/>
      <c r="I418">
        <v>2018</v>
      </c>
      <c r="J418"/>
      <c r="K418" s="150" t="s">
        <v>2057</v>
      </c>
      <c r="L418"/>
      <c r="M418" t="str">
        <f>LEFT($D418,FIND(",",$D418)-1)&amp;"_"&amp;I418&amp;L418</f>
        <v>Olguin_2018</v>
      </c>
      <c r="N418" t="s">
        <v>223</v>
      </c>
      <c r="O418" s="157" t="s">
        <v>275</v>
      </c>
      <c r="P418" t="s">
        <v>514</v>
      </c>
      <c r="Q418" t="s">
        <v>390</v>
      </c>
      <c r="R418" s="264" t="s">
        <v>224</v>
      </c>
      <c r="S418" s="265" t="s">
        <v>3192</v>
      </c>
      <c r="T418" t="s">
        <v>2058</v>
      </c>
      <c r="U418" t="s">
        <v>2066</v>
      </c>
      <c r="V418">
        <v>0</v>
      </c>
      <c r="W418">
        <v>0</v>
      </c>
      <c r="X418">
        <v>0</v>
      </c>
      <c r="Y418">
        <v>0</v>
      </c>
      <c r="Z418">
        <v>0</v>
      </c>
      <c r="AA418">
        <v>0</v>
      </c>
      <c r="AB418">
        <v>0</v>
      </c>
      <c r="AC418">
        <v>1</v>
      </c>
      <c r="AD418">
        <v>0</v>
      </c>
      <c r="AE418">
        <v>0</v>
      </c>
      <c r="AF418">
        <v>0</v>
      </c>
      <c r="AG418">
        <v>0</v>
      </c>
      <c r="AH418">
        <v>0</v>
      </c>
      <c r="AI418">
        <v>0</v>
      </c>
      <c r="AJ418">
        <v>0</v>
      </c>
      <c r="AK418">
        <v>0</v>
      </c>
      <c r="AL418">
        <v>0</v>
      </c>
      <c r="AM418">
        <v>0</v>
      </c>
      <c r="AN418">
        <v>0</v>
      </c>
      <c r="AO418">
        <v>0</v>
      </c>
      <c r="AP418">
        <v>0</v>
      </c>
      <c r="AQ418">
        <v>0</v>
      </c>
      <c r="AR418">
        <v>0</v>
      </c>
      <c r="AS418">
        <v>0</v>
      </c>
      <c r="AT418">
        <v>0</v>
      </c>
      <c r="AU418">
        <v>0</v>
      </c>
      <c r="AV418">
        <v>0</v>
      </c>
      <c r="AW418">
        <v>0</v>
      </c>
      <c r="AX418" s="141">
        <f>COUNTIF(V418:AW418,"&lt;&gt;0")</f>
        <v>1</v>
      </c>
      <c r="AY418" s="141">
        <f>COUNTIF(V418:AL418,"&lt;&gt;0")</f>
        <v>1</v>
      </c>
      <c r="AZ418">
        <f>COUNTIF(V418:AC418,"&lt;&gt;0")</f>
        <v>1</v>
      </c>
      <c r="BA418">
        <f>COUNTIF(AD418:AI418,"&lt;&gt;0")</f>
        <v>0</v>
      </c>
      <c r="BB418">
        <f>COUNTIF(AJ418:AL418,"&lt;&gt;0")</f>
        <v>0</v>
      </c>
      <c r="BC418">
        <f>COUNTIF(AS418:AW418,"&lt;&gt;0")</f>
        <v>0</v>
      </c>
      <c r="BD418">
        <f>COUNTIF(AM418:AR418,"&lt;&gt;0")</f>
        <v>0</v>
      </c>
      <c r="BE418" t="str">
        <f t="array" ref="BE418">IF(AY418=1,INDEX($V$7:$AL$7,MATCH(TRUE,INDEX($V418:$AW418&lt;&gt;0,),0)),IF(AY418=0,INDEX($AM$7:$AW$7,MATCH(1,$AM418:$AW418,0)),IF(BF418="Multiple strategies","mixed drivers",IF(BF418="Supply chain","multiple supply","multiple silviculture"))))</f>
        <v>site fertility</v>
      </c>
      <c r="BF418" s="2" t="str" cm="1">
        <f t="array" ref="BF418">IF(COUNTIF(AZ418:BB418,"&lt;&gt;0")=1,INDEX($V$4:$AW$4,MATCH(TRUE,INDEX($V418:$AW418&lt;&gt;0,),0)),IF(COUNTIF(AZ418:BB418,"&lt;&gt;0")=0,INDEX($AM$4:$AW$4,MATCH(1,$AM418:$AW418,0)),"Multiple strategies"))</f>
        <v>SilvicultureProd</v>
      </c>
      <c r="BG418" s="1" t="s">
        <v>322</v>
      </c>
      <c r="BH418"/>
      <c r="BI418" s="266" t="s">
        <v>1038</v>
      </c>
      <c r="BJ418" t="s">
        <v>2060</v>
      </c>
      <c r="BK418">
        <v>0</v>
      </c>
      <c r="BL418">
        <v>6788</v>
      </c>
      <c r="BM418" t="str">
        <f>IFERROR(BL418/BK418,"")</f>
        <v/>
      </c>
      <c r="BN418">
        <f>BL418-BK418</f>
        <v>6788</v>
      </c>
      <c r="BO418">
        <f>BN418*tC_to_m3</f>
        <v>29474.598349978292</v>
      </c>
      <c r="BP418" t="s">
        <v>233</v>
      </c>
      <c r="BQ418" t="s">
        <v>425</v>
      </c>
      <c r="BR418" t="s">
        <v>2065</v>
      </c>
      <c r="BS418"/>
      <c r="BT418"/>
      <c r="BU418" s="144"/>
      <c r="BV418">
        <v>0.01</v>
      </c>
      <c r="BW418"/>
      <c r="BX418">
        <f>BV418</f>
        <v>0.01</v>
      </c>
      <c r="BY418">
        <f>IFERROR(BX418/BO418,"")</f>
        <v>3.3927519151443723E-7</v>
      </c>
      <c r="BZ418">
        <v>0</v>
      </c>
      <c r="CA418">
        <v>0</v>
      </c>
      <c r="CB418">
        <v>0</v>
      </c>
      <c r="CC418">
        <v>0</v>
      </c>
      <c r="CD418">
        <v>0</v>
      </c>
      <c r="CE418">
        <v>0</v>
      </c>
      <c r="CF418">
        <v>0</v>
      </c>
      <c r="CG418">
        <v>0</v>
      </c>
      <c r="CH418">
        <v>0</v>
      </c>
      <c r="CI418">
        <v>0</v>
      </c>
      <c r="CJ418">
        <v>0</v>
      </c>
      <c r="CK418">
        <v>0</v>
      </c>
      <c r="CL418">
        <v>0</v>
      </c>
      <c r="CM418">
        <v>0</v>
      </c>
      <c r="CN418" t="str">
        <f>IF($BL418&lt;$BK418,"refNeedCorrection","refOK")</f>
        <v>refOK</v>
      </c>
      <c r="CO418">
        <f>IF($CN418="refOK",$BK418,$BL418)</f>
        <v>0</v>
      </c>
      <c r="CP418">
        <f>IF($CN418="refOK",$BL418,$BK418)</f>
        <v>6788</v>
      </c>
      <c r="CQ418">
        <f>IF($CN418="refOK",$BO418,-$BO418)</f>
        <v>29474.598349978292</v>
      </c>
      <c r="CR418">
        <f>IF($CN418="refOK",$BS418,$BT418)*IF($BP418="Emissions positive",-1,1)</f>
        <v>0</v>
      </c>
      <c r="CS418">
        <f>IF($CN418="refOK",$BT418,$BS418)*IF($BP418="Emissions positive",-1,1)</f>
        <v>0</v>
      </c>
      <c r="CT418">
        <f>IF($CN418="refNeedCorrection",-BX418,BX418)*IF($BP418="Emissions positive",-1,1)</f>
        <v>0.01</v>
      </c>
      <c r="CU418">
        <f>IFERROR(CT418/CQ418,"")</f>
        <v>3.3927519151443723E-7</v>
      </c>
      <c r="CV418" s="2" t="str">
        <f>IFERROR((CS418-CR418)/ABS(CR418),"")</f>
        <v/>
      </c>
      <c r="CW418" s="1" t="s">
        <v>2038</v>
      </c>
      <c r="CX418" t="str">
        <f>IF(OR($CW418="prd",$CW418="std",$CW418="cit"),"loc",IF(OR($CW418="eur",$CW418="reg",$CW418="coy"),"reg",$CW418))</f>
        <v>reg</v>
      </c>
      <c r="CY418" t="s">
        <v>2062</v>
      </c>
      <c r="CZ418">
        <v>2021</v>
      </c>
      <c r="DA418">
        <v>2030</v>
      </c>
      <c r="DB418">
        <f>DA418-CZ418</f>
        <v>9</v>
      </c>
      <c r="DC418" t="str">
        <f>IF(DB418=0,"0",IF(AND(DB418&gt;=1,DB418&lt;=30),"1-30",IF(AND(DB418&gt;30,DB418&lt;=70),"31-70",IF(AND(DB418&gt;70,DB418&lt;=100),"71-100",IF(DB418&gt;100,"+100")))))</f>
        <v>1-30</v>
      </c>
      <c r="DD418">
        <v>0</v>
      </c>
      <c r="DE418">
        <v>0</v>
      </c>
      <c r="DF418">
        <v>0</v>
      </c>
      <c r="DG418">
        <v>1</v>
      </c>
      <c r="DH418">
        <v>0</v>
      </c>
      <c r="DI418">
        <f>SUM(DD418:DG418)</f>
        <v>1</v>
      </c>
      <c r="DJ418" t="str">
        <f>IF(DI418=1,INDEX($DD$7:$DG$7,MATCH(1,$DD418:$DG418,0)),"mixedProduct")</f>
        <v>TimberInput</v>
      </c>
      <c r="DK418">
        <f>IF(DD418=1,DK$7,0)</f>
        <v>0</v>
      </c>
      <c r="DL418">
        <f>IF(DE418=1,DL$7,0)</f>
        <v>0</v>
      </c>
      <c r="DM418">
        <f>IF(DF418=1,DM$7,0)</f>
        <v>0</v>
      </c>
      <c r="DN418" t="str">
        <f>IF(DG418=1,DN$7,0)</f>
        <v>Timber</v>
      </c>
      <c r="DO418"/>
      <c r="DP418">
        <v>1</v>
      </c>
      <c r="DQ418"/>
      <c r="DR418"/>
      <c r="DS418" s="184" t="s">
        <v>2063</v>
      </c>
      <c r="DT418"/>
      <c r="DU418" s="143" t="str">
        <f>IF(DO418=1,"self-calculated DF",IF(DP418=1,"external DF used","explicit C balance"))</f>
        <v>external DF used</v>
      </c>
      <c r="DV418">
        <v>1</v>
      </c>
      <c r="DW418">
        <v>1</v>
      </c>
      <c r="DX418">
        <v>1</v>
      </c>
      <c r="DY418">
        <v>1</v>
      </c>
      <c r="DZ418">
        <v>1</v>
      </c>
      <c r="EA418">
        <v>1</v>
      </c>
      <c r="EB418">
        <v>0</v>
      </c>
      <c r="EC418">
        <v>0</v>
      </c>
      <c r="ED418">
        <v>0</v>
      </c>
      <c r="EE418">
        <v>0</v>
      </c>
      <c r="EF418">
        <v>1</v>
      </c>
      <c r="EG418">
        <v>0</v>
      </c>
      <c r="EH418">
        <v>1</v>
      </c>
      <c r="EI418" s="2">
        <v>0</v>
      </c>
      <c r="EJ418" s="1"/>
      <c r="EK418" t="str">
        <f>IF(AND(AND(AND(OR($DX418=1,$DW418=1),OR($EC418=1,$EA418=1)),SUM($DV418:$DZ418,$EF418)&gt;=4),SUM($EA418:$EE418)&gt;=2),"Whole sector","")</f>
        <v/>
      </c>
      <c r="EL418" t="str">
        <f>IF(AND(AND(OR($DX418=1,$DW418=1),AND($EC418=0,$EA418=0)),SUM($DV418:$DZ418,$EF418)&gt;=4),"Ecosystem approach","")</f>
        <v/>
      </c>
      <c r="EM418" s="2" t="str">
        <f>IF(AND(AND(AND($DX418=0,$DW418=0),OR($EC418=1,$EA418=1)),SUM($EB418:$EE418)&gt;=2),"Technology approach","")</f>
        <v/>
      </c>
      <c r="EN418"/>
      <c r="EO418"/>
      <c r="EP418" t="str">
        <f>IF(ISNUMBER(BU418),IF(ABS(BU418-[2]QC_indicators!$B$2)&gt;3*[2]QC_indicators!$C$2,"C ratio",IF(ISNUMBER(BY418),IF(ABS(BY418-[2]QC_indicators!$B$1)&gt;3*[2]QC_indicators!$C$1,"DF","no"))),IF(ISNUMBER(BY418),IF(ABS(BY418-[2]QC_indicators!$B$1)&gt;3*[2]QC_indicators!$C$1,"DF","no")))</f>
        <v>no</v>
      </c>
      <c r="EQ418"/>
      <c r="ER418"/>
      <c r="ES418"/>
      <c r="ET418" s="266" t="s">
        <v>3275</v>
      </c>
      <c r="EU418"/>
    </row>
    <row r="419" spans="1:151" s="139" customFormat="1" ht="15" hidden="1" customHeight="1">
      <c r="A419" s="1"/>
      <c r="B419"/>
      <c r="C419"/>
      <c r="D419" t="s">
        <v>2054</v>
      </c>
      <c r="E419" t="s">
        <v>2055</v>
      </c>
      <c r="F419"/>
      <c r="G419" t="s">
        <v>2056</v>
      </c>
      <c r="H419"/>
      <c r="I419">
        <v>2018</v>
      </c>
      <c r="J419"/>
      <c r="K419" s="150" t="s">
        <v>2057</v>
      </c>
      <c r="L419"/>
      <c r="M419" t="str">
        <f>LEFT($D419,FIND(",",$D419)-1)&amp;"_"&amp;I419&amp;L419</f>
        <v>Olguin_2018</v>
      </c>
      <c r="N419" t="s">
        <v>223</v>
      </c>
      <c r="O419" s="157" t="s">
        <v>275</v>
      </c>
      <c r="P419" t="s">
        <v>514</v>
      </c>
      <c r="Q419" t="s">
        <v>390</v>
      </c>
      <c r="R419" s="264" t="s">
        <v>224</v>
      </c>
      <c r="S419" s="265" t="s">
        <v>3193</v>
      </c>
      <c r="T419" t="s">
        <v>2058</v>
      </c>
      <c r="U419" t="s">
        <v>2066</v>
      </c>
      <c r="V419">
        <v>0</v>
      </c>
      <c r="W419">
        <v>0</v>
      </c>
      <c r="X419">
        <v>0</v>
      </c>
      <c r="Y419">
        <v>0</v>
      </c>
      <c r="Z419">
        <v>0</v>
      </c>
      <c r="AA419">
        <v>0</v>
      </c>
      <c r="AB419">
        <v>0</v>
      </c>
      <c r="AC419">
        <v>1</v>
      </c>
      <c r="AD419">
        <v>0</v>
      </c>
      <c r="AE419">
        <v>0</v>
      </c>
      <c r="AF419">
        <v>0</v>
      </c>
      <c r="AG419">
        <v>0</v>
      </c>
      <c r="AH419">
        <v>0</v>
      </c>
      <c r="AI419">
        <v>0</v>
      </c>
      <c r="AJ419">
        <v>0</v>
      </c>
      <c r="AK419">
        <v>0</v>
      </c>
      <c r="AL419">
        <v>0</v>
      </c>
      <c r="AM419">
        <v>0</v>
      </c>
      <c r="AN419">
        <v>0</v>
      </c>
      <c r="AO419">
        <v>0</v>
      </c>
      <c r="AP419">
        <v>0</v>
      </c>
      <c r="AQ419">
        <v>0</v>
      </c>
      <c r="AR419">
        <v>0</v>
      </c>
      <c r="AS419">
        <v>0</v>
      </c>
      <c r="AT419">
        <v>0</v>
      </c>
      <c r="AU419">
        <v>0</v>
      </c>
      <c r="AV419">
        <v>0</v>
      </c>
      <c r="AW419">
        <v>0</v>
      </c>
      <c r="AX419" s="141">
        <f>COUNTIF(V419:AW419,"&lt;&gt;0")</f>
        <v>1</v>
      </c>
      <c r="AY419" s="141">
        <f>COUNTIF(V419:AL419,"&lt;&gt;0")</f>
        <v>1</v>
      </c>
      <c r="AZ419">
        <f>COUNTIF(V419:AC419,"&lt;&gt;0")</f>
        <v>1</v>
      </c>
      <c r="BA419">
        <f>COUNTIF(AD419:AI419,"&lt;&gt;0")</f>
        <v>0</v>
      </c>
      <c r="BB419">
        <f>COUNTIF(AJ419:AL419,"&lt;&gt;0")</f>
        <v>0</v>
      </c>
      <c r="BC419">
        <f>COUNTIF(AS419:AW419,"&lt;&gt;0")</f>
        <v>0</v>
      </c>
      <c r="BD419">
        <f>COUNTIF(AM419:AR419,"&lt;&gt;0")</f>
        <v>0</v>
      </c>
      <c r="BE419" t="str">
        <f t="array" ref="BE419">IF(AY419=1,INDEX($V$7:$AL$7,MATCH(TRUE,INDEX($V419:$AW419&lt;&gt;0,),0)),IF(AY419=0,INDEX($AM$7:$AW$7,MATCH(1,$AM419:$AW419,0)),IF(BF419="Multiple strategies","mixed drivers",IF(BF419="Supply chain","multiple supply","multiple silviculture"))))</f>
        <v>site fertility</v>
      </c>
      <c r="BF419" s="2" t="str" cm="1">
        <f t="array" ref="BF419">IF(COUNTIF(AZ419:BB419,"&lt;&gt;0")=1,INDEX($V$4:$AW$4,MATCH(TRUE,INDEX($V419:$AW419&lt;&gt;0,),0)),IF(COUNTIF(AZ419:BB419,"&lt;&gt;0")=0,INDEX($AM$4:$AW$4,MATCH(1,$AM419:$AW419,0)),"Multiple strategies"))</f>
        <v>SilvicultureProd</v>
      </c>
      <c r="BG419" s="1" t="s">
        <v>322</v>
      </c>
      <c r="BH419"/>
      <c r="BI419" s="266" t="s">
        <v>1038</v>
      </c>
      <c r="BJ419" t="s">
        <v>2060</v>
      </c>
      <c r="BK419">
        <v>0</v>
      </c>
      <c r="BL419">
        <v>218025</v>
      </c>
      <c r="BM419" t="str">
        <f>IFERROR(BL420/BK419,"")</f>
        <v/>
      </c>
      <c r="BN419">
        <f>BL419-BK419</f>
        <v>218025</v>
      </c>
      <c r="BO419">
        <f>BN419*tC_to_m3</f>
        <v>946699.95657837612</v>
      </c>
      <c r="BP419" t="s">
        <v>233</v>
      </c>
      <c r="BQ419" t="s">
        <v>425</v>
      </c>
      <c r="BR419" t="s">
        <v>2065</v>
      </c>
      <c r="BS419"/>
      <c r="BT419"/>
      <c r="BU419" s="144"/>
      <c r="BV419">
        <v>-0.83</v>
      </c>
      <c r="BW419"/>
      <c r="BX419">
        <f>BV419</f>
        <v>-0.83</v>
      </c>
      <c r="BY419">
        <f>IFERROR(BX419/BO419,"")</f>
        <v>-8.7672973282880392E-7</v>
      </c>
      <c r="BZ419">
        <v>0</v>
      </c>
      <c r="CA419">
        <v>0</v>
      </c>
      <c r="CB419">
        <v>0</v>
      </c>
      <c r="CC419">
        <v>0</v>
      </c>
      <c r="CD419">
        <v>0</v>
      </c>
      <c r="CE419">
        <v>0</v>
      </c>
      <c r="CF419">
        <v>0</v>
      </c>
      <c r="CG419">
        <v>0</v>
      </c>
      <c r="CH419">
        <v>0</v>
      </c>
      <c r="CI419">
        <v>0</v>
      </c>
      <c r="CJ419">
        <v>0</v>
      </c>
      <c r="CK419">
        <v>0</v>
      </c>
      <c r="CL419">
        <v>0</v>
      </c>
      <c r="CM419">
        <v>0</v>
      </c>
      <c r="CN419" t="str">
        <f>IF($BL420&lt;$BK419,"refNeedCorrection","refOK")</f>
        <v>refOK</v>
      </c>
      <c r="CO419">
        <f>IF($CN419="refOK",$BK419,$BL420)</f>
        <v>0</v>
      </c>
      <c r="CP419">
        <f>IF($CN419="refOK",$BL420,$BK419)</f>
        <v>218025</v>
      </c>
      <c r="CQ419">
        <f>IF($CN419="refOK",$BO419,-$BO419)</f>
        <v>946699.95657837612</v>
      </c>
      <c r="CR419">
        <f>IF($CN419="refOK",$BS419,$BT419)*IF($BP419="Emissions positive",-1,1)</f>
        <v>0</v>
      </c>
      <c r="CS419">
        <f>IF($CN419="refOK",$BT419,$BS419)*IF($BP419="Emissions positive",-1,1)</f>
        <v>0</v>
      </c>
      <c r="CT419">
        <f>IF($CN419="refNeedCorrection",-BX419,BX419)*IF($BP419="Emissions positive",-1,1)</f>
        <v>-0.83</v>
      </c>
      <c r="CU419">
        <f>IFERROR(CT419/CQ419,"")</f>
        <v>-8.7672973282880392E-7</v>
      </c>
      <c r="CV419" s="2" t="str">
        <f>IFERROR((CS419-CR419)/ABS(CR419),"")</f>
        <v/>
      </c>
      <c r="CW419" s="1" t="s">
        <v>2038</v>
      </c>
      <c r="CX419" t="str">
        <f>IF(OR($CW419="prd",$CW419="std",$CW419="cit"),"loc",IF(OR($CW419="eur",$CW419="reg",$CW419="coy"),"reg",$CW419))</f>
        <v>reg</v>
      </c>
      <c r="CY419" t="s">
        <v>2062</v>
      </c>
      <c r="CZ419">
        <v>2021</v>
      </c>
      <c r="DA419">
        <v>2030</v>
      </c>
      <c r="DB419">
        <f>DA419-CZ419</f>
        <v>9</v>
      </c>
      <c r="DC419" t="str">
        <f>IF(DB419=0,"0",IF(AND(DB419&gt;=1,DB419&lt;=30),"1-30",IF(AND(DB419&gt;30,DB419&lt;=70),"31-70",IF(AND(DB419&gt;70,DB419&lt;=100),"71-100",IF(DB419&gt;100,"+100")))))</f>
        <v>1-30</v>
      </c>
      <c r="DD419">
        <v>0</v>
      </c>
      <c r="DE419">
        <v>0</v>
      </c>
      <c r="DF419">
        <v>0</v>
      </c>
      <c r="DG419">
        <v>1</v>
      </c>
      <c r="DH419">
        <v>0</v>
      </c>
      <c r="DI419">
        <f>SUM(DD419:DG419)</f>
        <v>1</v>
      </c>
      <c r="DJ419" t="str">
        <f>IF(DI419=1,INDEX($DD$7:$DG$7,MATCH(1,$DD419:$DG419,0)),"mixedProduct")</f>
        <v>TimberInput</v>
      </c>
      <c r="DK419">
        <f>IF(DD419=1,DK$7,0)</f>
        <v>0</v>
      </c>
      <c r="DL419">
        <f>IF(DE419=1,DL$7,0)</f>
        <v>0</v>
      </c>
      <c r="DM419">
        <f>IF(DF419=1,DM$7,0)</f>
        <v>0</v>
      </c>
      <c r="DN419" t="str">
        <f>IF(DG419=1,DN$7,0)</f>
        <v>Timber</v>
      </c>
      <c r="DO419"/>
      <c r="DP419">
        <v>1</v>
      </c>
      <c r="DQ419"/>
      <c r="DR419"/>
      <c r="DS419" s="184" t="s">
        <v>2063</v>
      </c>
      <c r="DT419"/>
      <c r="DU419" s="143" t="str">
        <f>IF(DO419=1,"self-calculated DF",IF(DP419=1,"external DF used","explicit C balance"))</f>
        <v>external DF used</v>
      </c>
      <c r="DV419">
        <v>1</v>
      </c>
      <c r="DW419">
        <v>1</v>
      </c>
      <c r="DX419">
        <v>1</v>
      </c>
      <c r="DY419">
        <v>1</v>
      </c>
      <c r="DZ419">
        <v>1</v>
      </c>
      <c r="EA419">
        <v>1</v>
      </c>
      <c r="EB419">
        <v>0</v>
      </c>
      <c r="EC419">
        <v>0</v>
      </c>
      <c r="ED419">
        <v>0</v>
      </c>
      <c r="EE419">
        <v>0</v>
      </c>
      <c r="EF419">
        <v>1</v>
      </c>
      <c r="EG419">
        <v>0</v>
      </c>
      <c r="EH419">
        <v>1</v>
      </c>
      <c r="EI419" s="2">
        <v>0</v>
      </c>
      <c r="EJ419" s="1"/>
      <c r="EK419" t="str">
        <f>IF(AND(AND(AND(OR($DX419=1,$DW419=1),OR($EC419=1,$EA419=1)),SUM($DV419:$DZ419,$EF419)&gt;=4),SUM($EA419:$EE419)&gt;=2),"Whole sector","")</f>
        <v/>
      </c>
      <c r="EL419" t="str">
        <f>IF(AND(AND(OR($DX419=1,$DW419=1),AND($EC419=0,$EA419=0)),SUM($DV419:$DZ419,$EF419)&gt;=4),"Ecosystem approach","")</f>
        <v/>
      </c>
      <c r="EM419" s="2" t="str">
        <f>IF(AND(AND(AND($DX419=0,$DW419=0),OR($EC419=1,$EA419=1)),SUM($EB419:$EE419)&gt;=2),"Technology approach","")</f>
        <v/>
      </c>
      <c r="EN419"/>
      <c r="EO419"/>
      <c r="EP419" t="str">
        <f>IF(ISNUMBER(BU419),IF(ABS(BU419-[2]QC_indicators!$B$2)&gt;3*[2]QC_indicators!$C$2,"C ratio",IF(ISNUMBER(BY419),IF(ABS(BY419-[2]QC_indicators!$B$1)&gt;3*[2]QC_indicators!$C$1,"DF","no"))),IF(ISNUMBER(BY419),IF(ABS(BY419-[2]QC_indicators!$B$1)&gt;3*[2]QC_indicators!$C$1,"DF","no")))</f>
        <v>no</v>
      </c>
      <c r="EQ419"/>
      <c r="ER419"/>
      <c r="ES419"/>
      <c r="ET419" s="266" t="s">
        <v>3275</v>
      </c>
      <c r="EU419"/>
    </row>
    <row r="420" spans="1:151" s="139" customFormat="1" ht="15" hidden="1" customHeight="1">
      <c r="A420" s="1"/>
      <c r="B420"/>
      <c r="C420"/>
      <c r="D420" t="s">
        <v>2054</v>
      </c>
      <c r="E420" t="s">
        <v>2055</v>
      </c>
      <c r="F420"/>
      <c r="G420" t="s">
        <v>2056</v>
      </c>
      <c r="H420"/>
      <c r="I420">
        <v>2018</v>
      </c>
      <c r="J420"/>
      <c r="K420" s="150" t="s">
        <v>2057</v>
      </c>
      <c r="L420"/>
      <c r="M420" t="str">
        <f>LEFT($D420,FIND(",",$D420)-1)&amp;"_"&amp;I420&amp;L420</f>
        <v>Olguin_2018</v>
      </c>
      <c r="N420" t="s">
        <v>223</v>
      </c>
      <c r="O420" s="157" t="s">
        <v>275</v>
      </c>
      <c r="P420" t="s">
        <v>514</v>
      </c>
      <c r="Q420" t="s">
        <v>390</v>
      </c>
      <c r="R420" s="264" t="s">
        <v>224</v>
      </c>
      <c r="S420" s="265" t="s">
        <v>3199</v>
      </c>
      <c r="T420" t="s">
        <v>2058</v>
      </c>
      <c r="U420" t="s">
        <v>2067</v>
      </c>
      <c r="V420">
        <v>0</v>
      </c>
      <c r="W420">
        <v>0</v>
      </c>
      <c r="X420">
        <v>0</v>
      </c>
      <c r="Y420">
        <v>0</v>
      </c>
      <c r="Z420">
        <v>0</v>
      </c>
      <c r="AA420">
        <v>0</v>
      </c>
      <c r="AB420">
        <v>0</v>
      </c>
      <c r="AC420">
        <v>1</v>
      </c>
      <c r="AD420">
        <v>0</v>
      </c>
      <c r="AE420">
        <v>0</v>
      </c>
      <c r="AF420">
        <v>0</v>
      </c>
      <c r="AG420">
        <v>0</v>
      </c>
      <c r="AH420">
        <v>0</v>
      </c>
      <c r="AI420">
        <v>0</v>
      </c>
      <c r="AJ420">
        <v>0</v>
      </c>
      <c r="AK420">
        <v>0</v>
      </c>
      <c r="AL420">
        <v>0</v>
      </c>
      <c r="AM420">
        <v>0</v>
      </c>
      <c r="AN420">
        <v>0</v>
      </c>
      <c r="AO420">
        <v>0</v>
      </c>
      <c r="AP420">
        <v>0</v>
      </c>
      <c r="AQ420">
        <v>0</v>
      </c>
      <c r="AR420">
        <v>0</v>
      </c>
      <c r="AS420">
        <v>0</v>
      </c>
      <c r="AT420">
        <v>0</v>
      </c>
      <c r="AU420">
        <v>0</v>
      </c>
      <c r="AV420">
        <v>0</v>
      </c>
      <c r="AW420">
        <v>0</v>
      </c>
      <c r="AX420" s="141">
        <f>COUNTIF(V420:AW420,"&lt;&gt;0")</f>
        <v>1</v>
      </c>
      <c r="AY420" s="141">
        <f>COUNTIF(V420:AL420,"&lt;&gt;0")</f>
        <v>1</v>
      </c>
      <c r="AZ420">
        <f>COUNTIF(V420:AC420,"&lt;&gt;0")</f>
        <v>1</v>
      </c>
      <c r="BA420">
        <f>COUNTIF(AD420:AI420,"&lt;&gt;0")</f>
        <v>0</v>
      </c>
      <c r="BB420">
        <f>COUNTIF(AJ420:AL420,"&lt;&gt;0")</f>
        <v>0</v>
      </c>
      <c r="BC420">
        <f>COUNTIF(AS420:AW420,"&lt;&gt;0")</f>
        <v>0</v>
      </c>
      <c r="BD420">
        <f>COUNTIF(AM420:AR420,"&lt;&gt;0")</f>
        <v>0</v>
      </c>
      <c r="BE420" t="str">
        <f t="array" ref="BE420">IF(AY420=1,INDEX($V$7:$AL$7,MATCH(TRUE,INDEX($V420:$AW420&lt;&gt;0,),0)),IF(AY420=0,INDEX($AM$7:$AW$7,MATCH(1,$AM420:$AW420,0)),IF(BF420="Multiple strategies","mixed drivers",IF(BF420="Supply chain","multiple supply","multiple silviculture"))))</f>
        <v>site fertility</v>
      </c>
      <c r="BF420" s="2" t="str" cm="1">
        <f t="array" ref="BF420">IF(COUNTIF(AZ420:BB420,"&lt;&gt;0")=1,INDEX($V$4:$AW$4,MATCH(TRUE,INDEX($V420:$AW420&lt;&gt;0,),0)),IF(COUNTIF(AZ420:BB420,"&lt;&gt;0")=0,INDEX($AM$4:$AW$4,MATCH(1,$AM420:$AW420,0)),"Multiple strategies"))</f>
        <v>SilvicultureProd</v>
      </c>
      <c r="BG420" s="1" t="s">
        <v>322</v>
      </c>
      <c r="BH420"/>
      <c r="BI420" s="266" t="s">
        <v>1038</v>
      </c>
      <c r="BJ420" t="s">
        <v>2060</v>
      </c>
      <c r="BK420">
        <v>0</v>
      </c>
      <c r="BL420">
        <v>218025</v>
      </c>
      <c r="BM420" t="str">
        <f>IFERROR(BL420/BK420,"")</f>
        <v/>
      </c>
      <c r="BN420">
        <f>BL420-BK420</f>
        <v>218025</v>
      </c>
      <c r="BO420">
        <f>BN420*tC_to_m3</f>
        <v>946699.95657837612</v>
      </c>
      <c r="BP420" t="s">
        <v>233</v>
      </c>
      <c r="BQ420" t="s">
        <v>425</v>
      </c>
      <c r="BR420" t="s">
        <v>2065</v>
      </c>
      <c r="BS420"/>
      <c r="BT420"/>
      <c r="BU420" s="144"/>
      <c r="BV420">
        <v>-1.62</v>
      </c>
      <c r="BW420"/>
      <c r="BX420">
        <f>BV420</f>
        <v>-1.62</v>
      </c>
      <c r="BY420">
        <f>IFERROR(BX420/BO420,"")</f>
        <v>-1.7112074303405573E-6</v>
      </c>
      <c r="BZ420">
        <v>0</v>
      </c>
      <c r="CA420">
        <v>0</v>
      </c>
      <c r="CB420">
        <v>0</v>
      </c>
      <c r="CC420">
        <v>0</v>
      </c>
      <c r="CD420">
        <v>0</v>
      </c>
      <c r="CE420">
        <v>0</v>
      </c>
      <c r="CF420">
        <v>0</v>
      </c>
      <c r="CG420">
        <v>0</v>
      </c>
      <c r="CH420">
        <v>0</v>
      </c>
      <c r="CI420">
        <v>0</v>
      </c>
      <c r="CJ420">
        <v>0</v>
      </c>
      <c r="CK420">
        <v>0</v>
      </c>
      <c r="CL420">
        <v>0</v>
      </c>
      <c r="CM420">
        <v>0</v>
      </c>
      <c r="CN420" t="str">
        <f>IF($BL420&lt;$BK420,"refNeedCorrection","refOK")</f>
        <v>refOK</v>
      </c>
      <c r="CO420">
        <f>IF($CN420="refOK",$BK420,$BL420)</f>
        <v>0</v>
      </c>
      <c r="CP420">
        <f>IF($CN420="refOK",$BL420,$BK420)</f>
        <v>218025</v>
      </c>
      <c r="CQ420">
        <f>IF($CN420="refOK",$BO420,-$BO420)</f>
        <v>946699.95657837612</v>
      </c>
      <c r="CR420">
        <f>IF($CN420="refOK",$BS420,$BT420)*IF($BP420="Emissions positive",-1,1)</f>
        <v>0</v>
      </c>
      <c r="CS420">
        <f>IF($CN420="refOK",$BT420,$BS420)*IF($BP420="Emissions positive",-1,1)</f>
        <v>0</v>
      </c>
      <c r="CT420">
        <f>IF($CN420="refNeedCorrection",-BX420,BX420)*IF($BP420="Emissions positive",-1,1)</f>
        <v>-1.62</v>
      </c>
      <c r="CU420">
        <f>IFERROR(CT420/CQ420,"")</f>
        <v>-1.7112074303405573E-6</v>
      </c>
      <c r="CV420" s="2" t="str">
        <f>IFERROR((CS420-CR420)/ABS(CR420),"")</f>
        <v/>
      </c>
      <c r="CW420" s="1" t="s">
        <v>2038</v>
      </c>
      <c r="CX420" t="str">
        <f>IF(OR($CW420="prd",$CW420="std",$CW420="cit"),"loc",IF(OR($CW420="eur",$CW420="reg",$CW420="coy"),"reg",$CW420))</f>
        <v>reg</v>
      </c>
      <c r="CY420" t="s">
        <v>2062</v>
      </c>
      <c r="CZ420">
        <v>2021</v>
      </c>
      <c r="DA420">
        <v>2040</v>
      </c>
      <c r="DB420">
        <f>DA420-CZ420</f>
        <v>19</v>
      </c>
      <c r="DC420" t="str">
        <f>IF(DB420=0,"0",IF(AND(DB420&gt;=1,DB420&lt;=30),"1-30",IF(AND(DB420&gt;30,DB420&lt;=70),"31-70",IF(AND(DB420&gt;70,DB420&lt;=100),"71-100",IF(DB420&gt;100,"+100")))))</f>
        <v>1-30</v>
      </c>
      <c r="DD420">
        <v>0</v>
      </c>
      <c r="DE420">
        <v>0</v>
      </c>
      <c r="DF420">
        <v>0</v>
      </c>
      <c r="DG420">
        <v>1</v>
      </c>
      <c r="DH420">
        <v>0</v>
      </c>
      <c r="DI420">
        <f>SUM(DD420:DG420)</f>
        <v>1</v>
      </c>
      <c r="DJ420" t="str">
        <f>IF(DI420=1,INDEX($DD$7:$DG$7,MATCH(1,$DD420:$DG420,0)),"mixedProduct")</f>
        <v>TimberInput</v>
      </c>
      <c r="DK420">
        <f>IF(DD420=1,DK$7,0)</f>
        <v>0</v>
      </c>
      <c r="DL420">
        <f>IF(DE420=1,DL$7,0)</f>
        <v>0</v>
      </c>
      <c r="DM420">
        <f>IF(DF420=1,DM$7,0)</f>
        <v>0</v>
      </c>
      <c r="DN420" t="str">
        <f>IF(DG420=1,DN$7,0)</f>
        <v>Timber</v>
      </c>
      <c r="DO420"/>
      <c r="DP420">
        <v>1</v>
      </c>
      <c r="DQ420"/>
      <c r="DR420"/>
      <c r="DS420" s="184" t="s">
        <v>2063</v>
      </c>
      <c r="DT420"/>
      <c r="DU420" s="143" t="str">
        <f>IF(DO420=1,"self-calculated DF",IF(DP420=1,"external DF used","explicit C balance"))</f>
        <v>external DF used</v>
      </c>
      <c r="DV420">
        <v>1</v>
      </c>
      <c r="DW420">
        <v>1</v>
      </c>
      <c r="DX420">
        <v>1</v>
      </c>
      <c r="DY420">
        <v>1</v>
      </c>
      <c r="DZ420">
        <v>1</v>
      </c>
      <c r="EA420">
        <v>1</v>
      </c>
      <c r="EB420">
        <v>0</v>
      </c>
      <c r="EC420">
        <v>0</v>
      </c>
      <c r="ED420">
        <v>0</v>
      </c>
      <c r="EE420">
        <v>0</v>
      </c>
      <c r="EF420">
        <v>1</v>
      </c>
      <c r="EG420">
        <v>0</v>
      </c>
      <c r="EH420">
        <v>1</v>
      </c>
      <c r="EI420" s="2">
        <v>0</v>
      </c>
      <c r="EJ420" s="1"/>
      <c r="EK420" t="str">
        <f>IF(AND(AND(AND(OR($DX420=1,$DW420=1),OR($EC420=1,$EA420=1)),SUM($DV420:$DZ420,$EF420)&gt;=4),SUM($EA420:$EE420)&gt;=2),"Whole sector","")</f>
        <v/>
      </c>
      <c r="EL420" t="str">
        <f>IF(AND(AND(OR($DX420=1,$DW420=1),AND($EC420=0,$EA420=0)),SUM($DV420:$DZ420,$EF420)&gt;=4),"Ecosystem approach","")</f>
        <v/>
      </c>
      <c r="EM420" s="2" t="str">
        <f>IF(AND(AND(AND($DX420=0,$DW420=0),OR($EC420=1,$EA420=1)),SUM($EB420:$EE420)&gt;=2),"Technology approach","")</f>
        <v/>
      </c>
      <c r="EN420"/>
      <c r="EO420"/>
      <c r="EP420" t="str">
        <f>IF(ISNUMBER(BU420),IF(ABS(BU420-[2]QC_indicators!$B$2)&gt;3*[2]QC_indicators!$C$2,"C ratio",IF(ISNUMBER(BY420),IF(ABS(BY420-[2]QC_indicators!$B$1)&gt;3*[2]QC_indicators!$C$1,"DF","no"))),IF(ISNUMBER(BY420),IF(ABS(BY420-[2]QC_indicators!$B$1)&gt;3*[2]QC_indicators!$C$1,"DF","no")))</f>
        <v>no</v>
      </c>
      <c r="EQ420"/>
      <c r="ER420"/>
      <c r="ES420"/>
      <c r="ET420" s="266" t="s">
        <v>3275</v>
      </c>
      <c r="EU420"/>
    </row>
    <row r="421" spans="1:151" s="139" customFormat="1" ht="15" hidden="1" customHeight="1">
      <c r="A421" s="1"/>
      <c r="B421"/>
      <c r="C421"/>
      <c r="D421" t="s">
        <v>2054</v>
      </c>
      <c r="E421" t="s">
        <v>2055</v>
      </c>
      <c r="F421"/>
      <c r="G421" t="s">
        <v>2056</v>
      </c>
      <c r="H421"/>
      <c r="I421">
        <v>2018</v>
      </c>
      <c r="J421"/>
      <c r="K421" s="150" t="s">
        <v>2057</v>
      </c>
      <c r="L421"/>
      <c r="M421" t="str">
        <f>LEFT($D421,FIND(",",$D421)-1)&amp;"_"&amp;I421&amp;L421</f>
        <v>Olguin_2018</v>
      </c>
      <c r="N421" t="s">
        <v>223</v>
      </c>
      <c r="O421" s="157" t="s">
        <v>275</v>
      </c>
      <c r="P421" t="s">
        <v>514</v>
      </c>
      <c r="Q421" t="s">
        <v>390</v>
      </c>
      <c r="R421" s="264" t="s">
        <v>224</v>
      </c>
      <c r="S421" s="265" t="s">
        <v>3200</v>
      </c>
      <c r="T421" t="s">
        <v>2058</v>
      </c>
      <c r="U421" t="s">
        <v>2067</v>
      </c>
      <c r="V421">
        <v>0</v>
      </c>
      <c r="W421">
        <v>0</v>
      </c>
      <c r="X421">
        <v>0</v>
      </c>
      <c r="Y421">
        <v>0</v>
      </c>
      <c r="Z421">
        <v>0</v>
      </c>
      <c r="AA421">
        <v>0</v>
      </c>
      <c r="AB421">
        <v>0</v>
      </c>
      <c r="AC421">
        <v>1</v>
      </c>
      <c r="AD421">
        <v>0</v>
      </c>
      <c r="AE421">
        <v>0</v>
      </c>
      <c r="AF421">
        <v>0</v>
      </c>
      <c r="AG421">
        <v>0</v>
      </c>
      <c r="AH421">
        <v>0</v>
      </c>
      <c r="AI421">
        <v>0</v>
      </c>
      <c r="AJ421">
        <v>0</v>
      </c>
      <c r="AK421">
        <v>0</v>
      </c>
      <c r="AL421">
        <v>0</v>
      </c>
      <c r="AM421">
        <v>0</v>
      </c>
      <c r="AN421">
        <v>0</v>
      </c>
      <c r="AO421">
        <v>0</v>
      </c>
      <c r="AP421">
        <v>0</v>
      </c>
      <c r="AQ421">
        <v>0</v>
      </c>
      <c r="AR421">
        <v>0</v>
      </c>
      <c r="AS421">
        <v>0</v>
      </c>
      <c r="AT421">
        <v>0</v>
      </c>
      <c r="AU421">
        <v>0</v>
      </c>
      <c r="AV421">
        <v>0</v>
      </c>
      <c r="AW421">
        <v>0</v>
      </c>
      <c r="AX421" s="141">
        <f>COUNTIF(V421:AW421,"&lt;&gt;0")</f>
        <v>1</v>
      </c>
      <c r="AY421" s="141">
        <f>COUNTIF(V421:AL421,"&lt;&gt;0")</f>
        <v>1</v>
      </c>
      <c r="AZ421">
        <f>COUNTIF(V421:AC421,"&lt;&gt;0")</f>
        <v>1</v>
      </c>
      <c r="BA421">
        <f>COUNTIF(AD421:AI421,"&lt;&gt;0")</f>
        <v>0</v>
      </c>
      <c r="BB421">
        <f>COUNTIF(AJ421:AL421,"&lt;&gt;0")</f>
        <v>0</v>
      </c>
      <c r="BC421">
        <f>COUNTIF(AS421:AW421,"&lt;&gt;0")</f>
        <v>0</v>
      </c>
      <c r="BD421">
        <f>COUNTIF(AM421:AR421,"&lt;&gt;0")</f>
        <v>0</v>
      </c>
      <c r="BE421" t="str">
        <f t="array" ref="BE421">IF(AY421=1,INDEX($V$7:$AL$7,MATCH(TRUE,INDEX($V421:$AW421&lt;&gt;0,),0)),IF(AY421=0,INDEX($AM$7:$AW$7,MATCH(1,$AM421:$AW421,0)),IF(BF421="Multiple strategies","mixed drivers",IF(BF421="Supply chain","multiple supply","multiple silviculture"))))</f>
        <v>site fertility</v>
      </c>
      <c r="BF421" s="2" t="str" cm="1">
        <f t="array" ref="BF421">IF(COUNTIF(AZ421:BB421,"&lt;&gt;0")=1,INDEX($V$4:$AW$4,MATCH(TRUE,INDEX($V421:$AW421&lt;&gt;0,),0)),IF(COUNTIF(AZ421:BB421,"&lt;&gt;0")=0,INDEX($AM$4:$AW$4,MATCH(1,$AM421:$AW421,0)),"Multiple strategies"))</f>
        <v>SilvicultureProd</v>
      </c>
      <c r="BG421" s="1" t="s">
        <v>322</v>
      </c>
      <c r="BH421"/>
      <c r="BI421" s="266" t="s">
        <v>1038</v>
      </c>
      <c r="BJ421" t="s">
        <v>2060</v>
      </c>
      <c r="BK421">
        <v>0</v>
      </c>
      <c r="BL421">
        <v>6788</v>
      </c>
      <c r="BM421" t="str">
        <f>IFERROR(BL421/BK421,"")</f>
        <v/>
      </c>
      <c r="BN421">
        <f>BL421-BK421</f>
        <v>6788</v>
      </c>
      <c r="BO421">
        <f>BN421*tC_to_m3</f>
        <v>29474.598349978292</v>
      </c>
      <c r="BP421" t="s">
        <v>233</v>
      </c>
      <c r="BQ421" t="s">
        <v>425</v>
      </c>
      <c r="BR421" t="s">
        <v>2065</v>
      </c>
      <c r="BS421"/>
      <c r="BT421"/>
      <c r="BU421" s="144"/>
      <c r="BV421">
        <v>-0.19</v>
      </c>
      <c r="BW421"/>
      <c r="BX421">
        <f>BV421</f>
        <v>-0.19</v>
      </c>
      <c r="BY421">
        <f>IFERROR(BX421/BO421,"")</f>
        <v>-6.4462286387743068E-6</v>
      </c>
      <c r="BZ421">
        <v>0</v>
      </c>
      <c r="CA421">
        <v>0</v>
      </c>
      <c r="CB421">
        <v>0</v>
      </c>
      <c r="CC421">
        <v>0</v>
      </c>
      <c r="CD421">
        <v>0</v>
      </c>
      <c r="CE421">
        <v>0</v>
      </c>
      <c r="CF421">
        <v>0</v>
      </c>
      <c r="CG421">
        <v>0</v>
      </c>
      <c r="CH421">
        <v>0</v>
      </c>
      <c r="CI421">
        <v>0</v>
      </c>
      <c r="CJ421">
        <v>0</v>
      </c>
      <c r="CK421">
        <v>0</v>
      </c>
      <c r="CL421">
        <v>0</v>
      </c>
      <c r="CM421">
        <v>0</v>
      </c>
      <c r="CN421" t="str">
        <f>IF($BL421&lt;$BK421,"refNeedCorrection","refOK")</f>
        <v>refOK</v>
      </c>
      <c r="CO421">
        <f>IF($CN421="refOK",$BK421,$BL421)</f>
        <v>0</v>
      </c>
      <c r="CP421">
        <f>IF($CN421="refOK",$BL421,$BK421)</f>
        <v>6788</v>
      </c>
      <c r="CQ421">
        <f>IF($CN421="refOK",$BO421,-$BO421)</f>
        <v>29474.598349978292</v>
      </c>
      <c r="CR421">
        <f>IF($CN421="refOK",$BS421,$BT421)*IF($BP421="Emissions positive",-1,1)</f>
        <v>0</v>
      </c>
      <c r="CS421">
        <f>IF($CN421="refOK",$BT421,$BS421)*IF($BP421="Emissions positive",-1,1)</f>
        <v>0</v>
      </c>
      <c r="CT421">
        <f>IF($CN421="refNeedCorrection",-BX421,BX421)*IF($BP421="Emissions positive",-1,1)</f>
        <v>-0.19</v>
      </c>
      <c r="CU421">
        <f>IFERROR(CT421/CQ421,"")</f>
        <v>-6.4462286387743068E-6</v>
      </c>
      <c r="CV421" s="2" t="str">
        <f>IFERROR((CS421-CR421)/ABS(CR421),"")</f>
        <v/>
      </c>
      <c r="CW421" s="1" t="s">
        <v>2038</v>
      </c>
      <c r="CX421" t="str">
        <f>IF(OR($CW421="prd",$CW421="std",$CW421="cit"),"loc",IF(OR($CW421="eur",$CW421="reg",$CW421="coy"),"reg",$CW421))</f>
        <v>reg</v>
      </c>
      <c r="CY421" t="s">
        <v>2062</v>
      </c>
      <c r="CZ421">
        <v>2021</v>
      </c>
      <c r="DA421">
        <v>2040</v>
      </c>
      <c r="DB421">
        <f>DA421-CZ421</f>
        <v>19</v>
      </c>
      <c r="DC421" t="str">
        <f>IF(DB421=0,"0",IF(AND(DB421&gt;=1,DB421&lt;=30),"1-30",IF(AND(DB421&gt;30,DB421&lt;=70),"31-70",IF(AND(DB421&gt;70,DB421&lt;=100),"71-100",IF(DB421&gt;100,"+100")))))</f>
        <v>1-30</v>
      </c>
      <c r="DD421">
        <v>0</v>
      </c>
      <c r="DE421">
        <v>0</v>
      </c>
      <c r="DF421">
        <v>0</v>
      </c>
      <c r="DG421">
        <v>1</v>
      </c>
      <c r="DH421">
        <v>0</v>
      </c>
      <c r="DI421">
        <f>SUM(DD421:DG421)</f>
        <v>1</v>
      </c>
      <c r="DJ421" t="str">
        <f>IF(DI421=1,INDEX($DD$7:$DG$7,MATCH(1,$DD421:$DG421,0)),"mixedProduct")</f>
        <v>TimberInput</v>
      </c>
      <c r="DK421">
        <f>IF(DD421=1,DK$7,0)</f>
        <v>0</v>
      </c>
      <c r="DL421">
        <f>IF(DE421=1,DL$7,0)</f>
        <v>0</v>
      </c>
      <c r="DM421">
        <f>IF(DF421=1,DM$7,0)</f>
        <v>0</v>
      </c>
      <c r="DN421" t="str">
        <f>IF(DG421=1,DN$7,0)</f>
        <v>Timber</v>
      </c>
      <c r="DO421"/>
      <c r="DP421">
        <v>1</v>
      </c>
      <c r="DQ421"/>
      <c r="DR421"/>
      <c r="DS421" s="184" t="s">
        <v>2063</v>
      </c>
      <c r="DT421"/>
      <c r="DU421" s="143" t="str">
        <f>IF(DO421=1,"self-calculated DF",IF(DP421=1,"external DF used","explicit C balance"))</f>
        <v>external DF used</v>
      </c>
      <c r="DV421">
        <v>1</v>
      </c>
      <c r="DW421">
        <v>1</v>
      </c>
      <c r="DX421">
        <v>1</v>
      </c>
      <c r="DY421">
        <v>1</v>
      </c>
      <c r="DZ421">
        <v>1</v>
      </c>
      <c r="EA421">
        <v>1</v>
      </c>
      <c r="EB421">
        <v>0</v>
      </c>
      <c r="EC421">
        <v>0</v>
      </c>
      <c r="ED421">
        <v>0</v>
      </c>
      <c r="EE421">
        <v>0</v>
      </c>
      <c r="EF421">
        <v>1</v>
      </c>
      <c r="EG421">
        <v>0</v>
      </c>
      <c r="EH421">
        <v>1</v>
      </c>
      <c r="EI421" s="2">
        <v>0</v>
      </c>
      <c r="EJ421" s="1"/>
      <c r="EK421" t="str">
        <f>IF(AND(AND(AND(OR($DX421=1,$DW421=1),OR($EC421=1,$EA421=1)),SUM($DV421:$DZ421,$EF421)&gt;=4),SUM($EA421:$EE421)&gt;=2),"Whole sector","")</f>
        <v/>
      </c>
      <c r="EL421" t="str">
        <f>IF(AND(AND(OR($DX421=1,$DW421=1),AND($EC421=0,$EA421=0)),SUM($DV421:$DZ421,$EF421)&gt;=4),"Ecosystem approach","")</f>
        <v/>
      </c>
      <c r="EM421" s="2" t="str">
        <f>IF(AND(AND(AND($DX421=0,$DW421=0),OR($EC421=1,$EA421=1)),SUM($EB421:$EE421)&gt;=2),"Technology approach","")</f>
        <v/>
      </c>
      <c r="EN421"/>
      <c r="EO421"/>
      <c r="EP421" t="str">
        <f>IF(ISNUMBER(BU421),IF(ABS(BU421-[2]QC_indicators!$B$2)&gt;3*[2]QC_indicators!$C$2,"C ratio",IF(ISNUMBER(BY421),IF(ABS(BY421-[2]QC_indicators!$B$1)&gt;3*[2]QC_indicators!$C$1,"DF","no"))),IF(ISNUMBER(BY421),IF(ABS(BY421-[2]QC_indicators!$B$1)&gt;3*[2]QC_indicators!$C$1,"DF","no")))</f>
        <v>no</v>
      </c>
      <c r="EQ421"/>
      <c r="ER421"/>
      <c r="ES421"/>
      <c r="ET421" s="266" t="s">
        <v>3275</v>
      </c>
      <c r="EU421"/>
    </row>
    <row r="422" spans="1:151" s="139" customFormat="1" ht="15" hidden="1" customHeight="1">
      <c r="A422" s="1"/>
      <c r="B422"/>
      <c r="C422"/>
      <c r="D422" t="s">
        <v>2054</v>
      </c>
      <c r="E422" t="s">
        <v>2055</v>
      </c>
      <c r="F422"/>
      <c r="G422" t="s">
        <v>2056</v>
      </c>
      <c r="H422"/>
      <c r="I422">
        <v>2018</v>
      </c>
      <c r="J422"/>
      <c r="K422" s="150" t="s">
        <v>2057</v>
      </c>
      <c r="L422"/>
      <c r="M422" t="str">
        <f>LEFT($D422,FIND(",",$D422)-1)&amp;"_"&amp;I422&amp;L422</f>
        <v>Olguin_2018</v>
      </c>
      <c r="N422" t="s">
        <v>223</v>
      </c>
      <c r="O422" s="157" t="s">
        <v>275</v>
      </c>
      <c r="P422" t="s">
        <v>514</v>
      </c>
      <c r="Q422" t="s">
        <v>390</v>
      </c>
      <c r="R422" s="264" t="s">
        <v>224</v>
      </c>
      <c r="S422" s="265" t="s">
        <v>3201</v>
      </c>
      <c r="T422" t="s">
        <v>2058</v>
      </c>
      <c r="U422" t="s">
        <v>2066</v>
      </c>
      <c r="V422">
        <v>0</v>
      </c>
      <c r="W422">
        <v>0</v>
      </c>
      <c r="X422">
        <v>0</v>
      </c>
      <c r="Y422">
        <v>0</v>
      </c>
      <c r="Z422">
        <v>0</v>
      </c>
      <c r="AA422">
        <v>0</v>
      </c>
      <c r="AB422">
        <v>0</v>
      </c>
      <c r="AC422">
        <v>1</v>
      </c>
      <c r="AD422">
        <v>0</v>
      </c>
      <c r="AE422">
        <v>0</v>
      </c>
      <c r="AF422">
        <v>0</v>
      </c>
      <c r="AG422">
        <v>0</v>
      </c>
      <c r="AH422">
        <v>0</v>
      </c>
      <c r="AI422">
        <v>0</v>
      </c>
      <c r="AJ422">
        <v>0</v>
      </c>
      <c r="AK422">
        <v>0</v>
      </c>
      <c r="AL422">
        <v>0</v>
      </c>
      <c r="AM422">
        <v>0</v>
      </c>
      <c r="AN422">
        <v>0</v>
      </c>
      <c r="AO422">
        <v>0</v>
      </c>
      <c r="AP422">
        <v>0</v>
      </c>
      <c r="AQ422">
        <v>0</v>
      </c>
      <c r="AR422">
        <v>0</v>
      </c>
      <c r="AS422">
        <v>0</v>
      </c>
      <c r="AT422">
        <v>0</v>
      </c>
      <c r="AU422">
        <v>0</v>
      </c>
      <c r="AV422">
        <v>0</v>
      </c>
      <c r="AW422">
        <v>0</v>
      </c>
      <c r="AX422" s="141">
        <f>COUNTIF(V422:AW422,"&lt;&gt;0")</f>
        <v>1</v>
      </c>
      <c r="AY422" s="141">
        <f>COUNTIF(V422:AL422,"&lt;&gt;0")</f>
        <v>1</v>
      </c>
      <c r="AZ422">
        <f>COUNTIF(V422:AC422,"&lt;&gt;0")</f>
        <v>1</v>
      </c>
      <c r="BA422">
        <f>COUNTIF(AD422:AI422,"&lt;&gt;0")</f>
        <v>0</v>
      </c>
      <c r="BB422">
        <f>COUNTIF(AJ422:AL422,"&lt;&gt;0")</f>
        <v>0</v>
      </c>
      <c r="BC422">
        <f>COUNTIF(AS422:AW422,"&lt;&gt;0")</f>
        <v>0</v>
      </c>
      <c r="BD422">
        <f>COUNTIF(AM422:AR422,"&lt;&gt;0")</f>
        <v>0</v>
      </c>
      <c r="BE422" t="str">
        <f t="array" ref="BE422">IF(AY422=1,INDEX($V$7:$AL$7,MATCH(TRUE,INDEX($V422:$AW422&lt;&gt;0,),0)),IF(AY422=0,INDEX($AM$7:$AW$7,MATCH(1,$AM422:$AW422,0)),IF(BF422="Multiple strategies","mixed drivers",IF(BF422="Supply chain","multiple supply","multiple silviculture"))))</f>
        <v>site fertility</v>
      </c>
      <c r="BF422" s="2" t="str" cm="1">
        <f t="array" ref="BF422">IF(COUNTIF(AZ422:BB422,"&lt;&gt;0")=1,INDEX($V$4:$AW$4,MATCH(TRUE,INDEX($V422:$AW422&lt;&gt;0,),0)),IF(COUNTIF(AZ422:BB422,"&lt;&gt;0")=0,INDEX($AM$4:$AW$4,MATCH(1,$AM422:$AW422,0)),"Multiple strategies"))</f>
        <v>SilvicultureProd</v>
      </c>
      <c r="BG422" s="1" t="s">
        <v>322</v>
      </c>
      <c r="BH422"/>
      <c r="BI422" s="266" t="s">
        <v>1038</v>
      </c>
      <c r="BJ422" t="s">
        <v>2060</v>
      </c>
      <c r="BK422">
        <v>0</v>
      </c>
      <c r="BL422">
        <v>6788</v>
      </c>
      <c r="BM422" t="str">
        <f>IFERROR(BL422/BK422,"")</f>
        <v/>
      </c>
      <c r="BN422">
        <f>BL422-BK422</f>
        <v>6788</v>
      </c>
      <c r="BO422">
        <f>BN422*tC_to_m3</f>
        <v>29474.598349978292</v>
      </c>
      <c r="BP422" t="s">
        <v>233</v>
      </c>
      <c r="BQ422" t="s">
        <v>425</v>
      </c>
      <c r="BR422" t="s">
        <v>2065</v>
      </c>
      <c r="BS422"/>
      <c r="BT422"/>
      <c r="BU422" s="144"/>
      <c r="BV422">
        <v>-0.17</v>
      </c>
      <c r="BW422"/>
      <c r="BX422">
        <f>BV422</f>
        <v>-0.17</v>
      </c>
      <c r="BY422">
        <f>IFERROR(BX422/BO422,"")</f>
        <v>-5.7676782557454333E-6</v>
      </c>
      <c r="BZ422">
        <v>0</v>
      </c>
      <c r="CA422">
        <v>0</v>
      </c>
      <c r="CB422">
        <v>0</v>
      </c>
      <c r="CC422">
        <v>0</v>
      </c>
      <c r="CD422">
        <v>0</v>
      </c>
      <c r="CE422">
        <v>0</v>
      </c>
      <c r="CF422">
        <v>0</v>
      </c>
      <c r="CG422">
        <v>0</v>
      </c>
      <c r="CH422">
        <v>0</v>
      </c>
      <c r="CI422">
        <v>0</v>
      </c>
      <c r="CJ422">
        <v>0</v>
      </c>
      <c r="CK422">
        <v>0</v>
      </c>
      <c r="CL422">
        <v>0</v>
      </c>
      <c r="CM422">
        <v>0</v>
      </c>
      <c r="CN422" t="str">
        <f>IF($BL422&lt;$BK422,"refNeedCorrection","refOK")</f>
        <v>refOK</v>
      </c>
      <c r="CO422">
        <f>IF($CN422="refOK",$BK422,$BL422)</f>
        <v>0</v>
      </c>
      <c r="CP422">
        <f>IF($CN422="refOK",$BL422,$BK422)</f>
        <v>6788</v>
      </c>
      <c r="CQ422">
        <f>IF($CN422="refOK",$BO422,-$BO422)</f>
        <v>29474.598349978292</v>
      </c>
      <c r="CR422">
        <f>IF($CN422="refOK",$BS422,$BT422)*IF($BP422="Emissions positive",-1,1)</f>
        <v>0</v>
      </c>
      <c r="CS422">
        <f>IF($CN422="refOK",$BT422,$BS422)*IF($BP422="Emissions positive",-1,1)</f>
        <v>0</v>
      </c>
      <c r="CT422">
        <f>IF($CN422="refNeedCorrection",-BX422,BX422)*IF($BP422="Emissions positive",-1,1)</f>
        <v>-0.17</v>
      </c>
      <c r="CU422">
        <f>IFERROR(CT422/CQ422,"")</f>
        <v>-5.7676782557454333E-6</v>
      </c>
      <c r="CV422" s="2" t="str">
        <f>IFERROR((CS422-CR422)/ABS(CR422),"")</f>
        <v/>
      </c>
      <c r="CW422" s="1" t="s">
        <v>2038</v>
      </c>
      <c r="CX422" t="str">
        <f>IF(OR($CW422="prd",$CW422="std",$CW422="cit"),"loc",IF(OR($CW422="eur",$CW422="reg",$CW422="coy"),"reg",$CW422))</f>
        <v>reg</v>
      </c>
      <c r="CY422" t="s">
        <v>2062</v>
      </c>
      <c r="CZ422">
        <v>2021</v>
      </c>
      <c r="DA422">
        <v>2040</v>
      </c>
      <c r="DB422">
        <f>DA422-CZ422</f>
        <v>19</v>
      </c>
      <c r="DC422" t="str">
        <f>IF(DB422=0,"0",IF(AND(DB422&gt;=1,DB422&lt;=30),"1-30",IF(AND(DB422&gt;30,DB422&lt;=70),"31-70",IF(AND(DB422&gt;70,DB422&lt;=100),"71-100",IF(DB422&gt;100,"+100")))))</f>
        <v>1-30</v>
      </c>
      <c r="DD422">
        <v>0</v>
      </c>
      <c r="DE422">
        <v>0</v>
      </c>
      <c r="DF422">
        <v>0</v>
      </c>
      <c r="DG422">
        <v>1</v>
      </c>
      <c r="DH422">
        <v>0</v>
      </c>
      <c r="DI422">
        <f>SUM(DD422:DG422)</f>
        <v>1</v>
      </c>
      <c r="DJ422" t="str">
        <f>IF(DI422=1,INDEX($DD$7:$DG$7,MATCH(1,$DD422:$DG422,0)),"mixedProduct")</f>
        <v>TimberInput</v>
      </c>
      <c r="DK422">
        <f>IF(DD422=1,DK$7,0)</f>
        <v>0</v>
      </c>
      <c r="DL422">
        <f>IF(DE422=1,DL$7,0)</f>
        <v>0</v>
      </c>
      <c r="DM422">
        <f>IF(DF422=1,DM$7,0)</f>
        <v>0</v>
      </c>
      <c r="DN422" t="str">
        <f>IF(DG422=1,DN$7,0)</f>
        <v>Timber</v>
      </c>
      <c r="DO422"/>
      <c r="DP422">
        <v>1</v>
      </c>
      <c r="DQ422"/>
      <c r="DR422"/>
      <c r="DS422" s="184" t="s">
        <v>2063</v>
      </c>
      <c r="DT422"/>
      <c r="DU422" s="143" t="str">
        <f>IF(DO422=1,"self-calculated DF",IF(DP422=1,"external DF used","explicit C balance"))</f>
        <v>external DF used</v>
      </c>
      <c r="DV422">
        <v>1</v>
      </c>
      <c r="DW422">
        <v>1</v>
      </c>
      <c r="DX422">
        <v>1</v>
      </c>
      <c r="DY422">
        <v>1</v>
      </c>
      <c r="DZ422">
        <v>1</v>
      </c>
      <c r="EA422">
        <v>1</v>
      </c>
      <c r="EB422">
        <v>0</v>
      </c>
      <c r="EC422">
        <v>0</v>
      </c>
      <c r="ED422">
        <v>0</v>
      </c>
      <c r="EE422">
        <v>0</v>
      </c>
      <c r="EF422">
        <v>1</v>
      </c>
      <c r="EG422">
        <v>0</v>
      </c>
      <c r="EH422">
        <v>1</v>
      </c>
      <c r="EI422" s="2">
        <v>0</v>
      </c>
      <c r="EJ422" s="1"/>
      <c r="EK422" t="str">
        <f>IF(AND(AND(AND(OR($DX422=1,$DW422=1),OR($EC422=1,$EA422=1)),SUM($DV422:$DZ422,$EF422)&gt;=4),SUM($EA422:$EE422)&gt;=2),"Whole sector","")</f>
        <v/>
      </c>
      <c r="EL422" t="str">
        <f>IF(AND(AND(OR($DX422=1,$DW422=1),AND($EC422=0,$EA422=0)),SUM($DV422:$DZ422,$EF422)&gt;=4),"Ecosystem approach","")</f>
        <v/>
      </c>
      <c r="EM422" s="2" t="str">
        <f>IF(AND(AND(AND($DX422=0,$DW422=0),OR($EC422=1,$EA422=1)),SUM($EB422:$EE422)&gt;=2),"Technology approach","")</f>
        <v/>
      </c>
      <c r="EN422"/>
      <c r="EO422"/>
      <c r="EP422" t="str">
        <f>IF(ISNUMBER(BU422),IF(ABS(BU422-[2]QC_indicators!$B$2)&gt;3*[2]QC_indicators!$C$2,"C ratio",IF(ISNUMBER(BY422),IF(ABS(BY422-[2]QC_indicators!$B$1)&gt;3*[2]QC_indicators!$C$1,"DF","no"))),IF(ISNUMBER(BY422),IF(ABS(BY422-[2]QC_indicators!$B$1)&gt;3*[2]QC_indicators!$C$1,"DF","no")))</f>
        <v>no</v>
      </c>
      <c r="EQ422"/>
      <c r="ER422"/>
      <c r="ES422"/>
      <c r="ET422" s="266" t="s">
        <v>3275</v>
      </c>
      <c r="EU422"/>
    </row>
    <row r="423" spans="1:151" s="139" customFormat="1" ht="15" hidden="1" customHeight="1">
      <c r="A423" s="1"/>
      <c r="B423"/>
      <c r="C423"/>
      <c r="D423" t="s">
        <v>2054</v>
      </c>
      <c r="E423" t="s">
        <v>2055</v>
      </c>
      <c r="F423"/>
      <c r="G423" t="s">
        <v>2056</v>
      </c>
      <c r="H423"/>
      <c r="I423">
        <v>2018</v>
      </c>
      <c r="J423"/>
      <c r="K423" s="150" t="s">
        <v>2057</v>
      </c>
      <c r="L423"/>
      <c r="M423" t="str">
        <f>LEFT($D423,FIND(",",$D423)-1)&amp;"_"&amp;I423&amp;L423</f>
        <v>Olguin_2018</v>
      </c>
      <c r="N423" t="s">
        <v>223</v>
      </c>
      <c r="O423" s="157" t="s">
        <v>275</v>
      </c>
      <c r="P423" t="s">
        <v>514</v>
      </c>
      <c r="Q423" t="s">
        <v>390</v>
      </c>
      <c r="R423" s="264" t="s">
        <v>224</v>
      </c>
      <c r="S423" s="265" t="s">
        <v>3202</v>
      </c>
      <c r="T423" t="s">
        <v>2058</v>
      </c>
      <c r="U423" t="s">
        <v>2066</v>
      </c>
      <c r="V423">
        <v>0</v>
      </c>
      <c r="W423">
        <v>0</v>
      </c>
      <c r="X423">
        <v>0</v>
      </c>
      <c r="Y423">
        <v>0</v>
      </c>
      <c r="Z423">
        <v>0</v>
      </c>
      <c r="AA423">
        <v>0</v>
      </c>
      <c r="AB423">
        <v>0</v>
      </c>
      <c r="AC423">
        <v>1</v>
      </c>
      <c r="AD423">
        <v>0</v>
      </c>
      <c r="AE423">
        <v>0</v>
      </c>
      <c r="AF423">
        <v>0</v>
      </c>
      <c r="AG423">
        <v>0</v>
      </c>
      <c r="AH423">
        <v>0</v>
      </c>
      <c r="AI423">
        <v>0</v>
      </c>
      <c r="AJ423">
        <v>0</v>
      </c>
      <c r="AK423">
        <v>0</v>
      </c>
      <c r="AL423">
        <v>0</v>
      </c>
      <c r="AM423">
        <v>0</v>
      </c>
      <c r="AN423">
        <v>0</v>
      </c>
      <c r="AO423">
        <v>0</v>
      </c>
      <c r="AP423">
        <v>0</v>
      </c>
      <c r="AQ423">
        <v>0</v>
      </c>
      <c r="AR423">
        <v>0</v>
      </c>
      <c r="AS423">
        <v>0</v>
      </c>
      <c r="AT423">
        <v>0</v>
      </c>
      <c r="AU423">
        <v>0</v>
      </c>
      <c r="AV423">
        <v>0</v>
      </c>
      <c r="AW423">
        <v>0</v>
      </c>
      <c r="AX423" s="141">
        <f>COUNTIF(V423:AW423,"&lt;&gt;0")</f>
        <v>1</v>
      </c>
      <c r="AY423" s="141">
        <f>COUNTIF(V423:AL423,"&lt;&gt;0")</f>
        <v>1</v>
      </c>
      <c r="AZ423">
        <f>COUNTIF(V423:AC423,"&lt;&gt;0")</f>
        <v>1</v>
      </c>
      <c r="BA423">
        <f>COUNTIF(AD423:AI423,"&lt;&gt;0")</f>
        <v>0</v>
      </c>
      <c r="BB423">
        <f>COUNTIF(AJ423:AL423,"&lt;&gt;0")</f>
        <v>0</v>
      </c>
      <c r="BC423">
        <f>COUNTIF(AS423:AW423,"&lt;&gt;0")</f>
        <v>0</v>
      </c>
      <c r="BD423">
        <f>COUNTIF(AM423:AR423,"&lt;&gt;0")</f>
        <v>0</v>
      </c>
      <c r="BE423" t="str">
        <f t="array" ref="BE423">IF(AY423=1,INDEX($V$7:$AL$7,MATCH(TRUE,INDEX($V423:$AW423&lt;&gt;0,),0)),IF(AY423=0,INDEX($AM$7:$AW$7,MATCH(1,$AM423:$AW423,0)),IF(BF423="Multiple strategies","mixed drivers",IF(BF423="Supply chain","multiple supply","multiple silviculture"))))</f>
        <v>site fertility</v>
      </c>
      <c r="BF423" s="2" t="str" cm="1">
        <f t="array" ref="BF423">IF(COUNTIF(AZ423:BB423,"&lt;&gt;0")=1,INDEX($V$4:$AW$4,MATCH(TRUE,INDEX($V423:$AW423&lt;&gt;0,),0)),IF(COUNTIF(AZ423:BB423,"&lt;&gt;0")=0,INDEX($AM$4:$AW$4,MATCH(1,$AM423:$AW423,0)),"Multiple strategies"))</f>
        <v>SilvicultureProd</v>
      </c>
      <c r="BG423" s="1" t="s">
        <v>322</v>
      </c>
      <c r="BH423"/>
      <c r="BI423" s="266" t="s">
        <v>1038</v>
      </c>
      <c r="BJ423" t="s">
        <v>2060</v>
      </c>
      <c r="BK423">
        <v>0</v>
      </c>
      <c r="BL423">
        <v>218025</v>
      </c>
      <c r="BM423" t="str">
        <f>IFERROR(BL423/BK423,"")</f>
        <v/>
      </c>
      <c r="BN423">
        <f>BL423-BK423</f>
        <v>218025</v>
      </c>
      <c r="BO423">
        <f>BN423*tC_to_m3</f>
        <v>946699.95657837612</v>
      </c>
      <c r="BP423" t="s">
        <v>233</v>
      </c>
      <c r="BQ423" t="s">
        <v>425</v>
      </c>
      <c r="BR423" t="s">
        <v>2065</v>
      </c>
      <c r="BS423"/>
      <c r="BT423"/>
      <c r="BU423" s="144"/>
      <c r="BV423">
        <v>-1.1599999999999999</v>
      </c>
      <c r="BW423"/>
      <c r="BX423">
        <f>BV423</f>
        <v>-1.1599999999999999</v>
      </c>
      <c r="BY423">
        <f>IFERROR(BX423/BO423,"")</f>
        <v>-1.2253090241944729E-6</v>
      </c>
      <c r="BZ423">
        <v>0</v>
      </c>
      <c r="CA423">
        <v>0</v>
      </c>
      <c r="CB423">
        <v>0</v>
      </c>
      <c r="CC423">
        <v>0</v>
      </c>
      <c r="CD423">
        <v>0</v>
      </c>
      <c r="CE423">
        <v>0</v>
      </c>
      <c r="CF423">
        <v>0</v>
      </c>
      <c r="CG423">
        <v>0</v>
      </c>
      <c r="CH423">
        <v>0</v>
      </c>
      <c r="CI423">
        <v>0</v>
      </c>
      <c r="CJ423">
        <v>0</v>
      </c>
      <c r="CK423">
        <v>0</v>
      </c>
      <c r="CL423">
        <v>0</v>
      </c>
      <c r="CM423">
        <v>0</v>
      </c>
      <c r="CN423" t="str">
        <f>IF($BL423&lt;$BK423,"refNeedCorrection","refOK")</f>
        <v>refOK</v>
      </c>
      <c r="CO423">
        <f>IF($CN423="refOK",$BK423,$BL423)</f>
        <v>0</v>
      </c>
      <c r="CP423">
        <f>IF($CN423="refOK",$BL423,$BK423)</f>
        <v>218025</v>
      </c>
      <c r="CQ423">
        <f>IF($CN423="refOK",$BO423,-$BO423)</f>
        <v>946699.95657837612</v>
      </c>
      <c r="CR423">
        <f>IF($CN423="refOK",$BS423,$BT423)*IF($BP423="Emissions positive",-1,1)</f>
        <v>0</v>
      </c>
      <c r="CS423">
        <f>IF($CN423="refOK",$BT423,$BS423)*IF($BP423="Emissions positive",-1,1)</f>
        <v>0</v>
      </c>
      <c r="CT423">
        <f>IF($CN423="refNeedCorrection",-BX423,BX423)*IF($BP423="Emissions positive",-1,1)</f>
        <v>-1.1599999999999999</v>
      </c>
      <c r="CU423">
        <f>IFERROR(CT423/CQ423,"")</f>
        <v>-1.2253090241944729E-6</v>
      </c>
      <c r="CV423" s="2" t="str">
        <f>IFERROR((CS423-CR423)/ABS(CR423),"")</f>
        <v/>
      </c>
      <c r="CW423" s="1" t="s">
        <v>2038</v>
      </c>
      <c r="CX423" t="str">
        <f>IF(OR($CW423="prd",$CW423="std",$CW423="cit"),"loc",IF(OR($CW423="eur",$CW423="reg",$CW423="coy"),"reg",$CW423))</f>
        <v>reg</v>
      </c>
      <c r="CY423" t="s">
        <v>2062</v>
      </c>
      <c r="CZ423">
        <v>2021</v>
      </c>
      <c r="DA423">
        <v>2040</v>
      </c>
      <c r="DB423">
        <f>DA423-CZ423</f>
        <v>19</v>
      </c>
      <c r="DC423" t="str">
        <f>IF(DB423=0,"0",IF(AND(DB423&gt;=1,DB423&lt;=30),"1-30",IF(AND(DB423&gt;30,DB423&lt;=70),"31-70",IF(AND(DB423&gt;70,DB423&lt;=100),"71-100",IF(DB423&gt;100,"+100")))))</f>
        <v>1-30</v>
      </c>
      <c r="DD423">
        <v>0</v>
      </c>
      <c r="DE423">
        <v>0</v>
      </c>
      <c r="DF423">
        <v>0</v>
      </c>
      <c r="DG423">
        <v>1</v>
      </c>
      <c r="DH423">
        <v>0</v>
      </c>
      <c r="DI423">
        <f>SUM(DD423:DG423)</f>
        <v>1</v>
      </c>
      <c r="DJ423" t="str">
        <f>IF(DI423=1,INDEX($DD$7:$DG$7,MATCH(1,$DD423:$DG423,0)),"mixedProduct")</f>
        <v>TimberInput</v>
      </c>
      <c r="DK423">
        <f>IF(DD423=1,DK$7,0)</f>
        <v>0</v>
      </c>
      <c r="DL423">
        <f>IF(DE423=1,DL$7,0)</f>
        <v>0</v>
      </c>
      <c r="DM423">
        <f>IF(DF423=1,DM$7,0)</f>
        <v>0</v>
      </c>
      <c r="DN423" t="str">
        <f>IF(DG423=1,DN$7,0)</f>
        <v>Timber</v>
      </c>
      <c r="DO423"/>
      <c r="DP423">
        <v>1</v>
      </c>
      <c r="DQ423"/>
      <c r="DR423"/>
      <c r="DS423" s="184" t="s">
        <v>2063</v>
      </c>
      <c r="DT423"/>
      <c r="DU423" s="143" t="str">
        <f>IF(DO423=1,"self-calculated DF",IF(DP423=1,"external DF used","explicit C balance"))</f>
        <v>external DF used</v>
      </c>
      <c r="DV423">
        <v>1</v>
      </c>
      <c r="DW423">
        <v>1</v>
      </c>
      <c r="DX423">
        <v>1</v>
      </c>
      <c r="DY423">
        <v>1</v>
      </c>
      <c r="DZ423">
        <v>1</v>
      </c>
      <c r="EA423">
        <v>1</v>
      </c>
      <c r="EB423">
        <v>0</v>
      </c>
      <c r="EC423">
        <v>0</v>
      </c>
      <c r="ED423">
        <v>0</v>
      </c>
      <c r="EE423">
        <v>0</v>
      </c>
      <c r="EF423">
        <v>1</v>
      </c>
      <c r="EG423">
        <v>0</v>
      </c>
      <c r="EH423">
        <v>1</v>
      </c>
      <c r="EI423" s="2">
        <v>0</v>
      </c>
      <c r="EJ423" s="1"/>
      <c r="EK423" t="str">
        <f>IF(AND(AND(AND(OR($DX423=1,$DW423=1),OR($EC423=1,$EA423=1)),SUM($DV423:$DZ423,$EF423)&gt;=4),SUM($EA423:$EE423)&gt;=2),"Whole sector","")</f>
        <v/>
      </c>
      <c r="EL423" t="str">
        <f>IF(AND(AND(OR($DX423=1,$DW423=1),AND($EC423=0,$EA423=0)),SUM($DV423:$DZ423,$EF423)&gt;=4),"Ecosystem approach","")</f>
        <v/>
      </c>
      <c r="EM423" s="2" t="str">
        <f>IF(AND(AND(AND($DX423=0,$DW423=0),OR($EC423=1,$EA423=1)),SUM($EB423:$EE423)&gt;=2),"Technology approach","")</f>
        <v/>
      </c>
      <c r="EN423"/>
      <c r="EO423"/>
      <c r="EP423" t="str">
        <f>IF(ISNUMBER(BU423),IF(ABS(BU423-[2]QC_indicators!$B$2)&gt;3*[2]QC_indicators!$C$2,"C ratio",IF(ISNUMBER(BY423),IF(ABS(BY423-[2]QC_indicators!$B$1)&gt;3*[2]QC_indicators!$C$1,"DF","no"))),IF(ISNUMBER(BY423),IF(ABS(BY423-[2]QC_indicators!$B$1)&gt;3*[2]QC_indicators!$C$1,"DF","no")))</f>
        <v>no</v>
      </c>
      <c r="EQ423"/>
      <c r="ER423"/>
      <c r="ES423"/>
      <c r="ET423" s="266" t="s">
        <v>3275</v>
      </c>
      <c r="EU423"/>
    </row>
    <row r="424" spans="1:151" s="139" customFormat="1" ht="15" hidden="1" customHeight="1">
      <c r="A424" s="1"/>
      <c r="B424"/>
      <c r="C424"/>
      <c r="D424" t="s">
        <v>2054</v>
      </c>
      <c r="E424" t="s">
        <v>2055</v>
      </c>
      <c r="F424"/>
      <c r="G424" t="s">
        <v>2056</v>
      </c>
      <c r="H424"/>
      <c r="I424">
        <v>2018</v>
      </c>
      <c r="J424"/>
      <c r="K424" s="150" t="s">
        <v>2057</v>
      </c>
      <c r="L424"/>
      <c r="M424" t="str">
        <f>LEFT($D424,FIND(",",$D424)-1)&amp;"_"&amp;I424&amp;L424</f>
        <v>Olguin_2018</v>
      </c>
      <c r="N424" t="s">
        <v>223</v>
      </c>
      <c r="O424" s="157" t="s">
        <v>275</v>
      </c>
      <c r="P424" t="s">
        <v>514</v>
      </c>
      <c r="Q424" t="s">
        <v>390</v>
      </c>
      <c r="R424" s="264" t="s">
        <v>224</v>
      </c>
      <c r="S424" s="265" t="s">
        <v>3206</v>
      </c>
      <c r="T424" t="s">
        <v>2058</v>
      </c>
      <c r="U424" t="s">
        <v>2067</v>
      </c>
      <c r="V424">
        <v>0</v>
      </c>
      <c r="W424">
        <v>0</v>
      </c>
      <c r="X424">
        <v>0</v>
      </c>
      <c r="Y424">
        <v>0</v>
      </c>
      <c r="Z424">
        <v>0</v>
      </c>
      <c r="AA424">
        <v>0</v>
      </c>
      <c r="AB424">
        <v>0</v>
      </c>
      <c r="AC424">
        <v>1</v>
      </c>
      <c r="AD424">
        <v>0</v>
      </c>
      <c r="AE424">
        <v>0</v>
      </c>
      <c r="AF424">
        <v>0</v>
      </c>
      <c r="AG424">
        <v>0</v>
      </c>
      <c r="AH424">
        <v>0</v>
      </c>
      <c r="AI424">
        <v>0</v>
      </c>
      <c r="AJ424">
        <v>0</v>
      </c>
      <c r="AK424">
        <v>0</v>
      </c>
      <c r="AL424">
        <v>0</v>
      </c>
      <c r="AM424">
        <v>0</v>
      </c>
      <c r="AN424">
        <v>0</v>
      </c>
      <c r="AO424">
        <v>0</v>
      </c>
      <c r="AP424">
        <v>0</v>
      </c>
      <c r="AQ424">
        <v>0</v>
      </c>
      <c r="AR424">
        <v>0</v>
      </c>
      <c r="AS424">
        <v>0</v>
      </c>
      <c r="AT424">
        <v>0</v>
      </c>
      <c r="AU424">
        <v>0</v>
      </c>
      <c r="AV424">
        <v>0</v>
      </c>
      <c r="AW424">
        <v>0</v>
      </c>
      <c r="AX424" s="141">
        <f>COUNTIF(V424:AW424,"&lt;&gt;0")</f>
        <v>1</v>
      </c>
      <c r="AY424" s="141">
        <f>COUNTIF(V424:AL424,"&lt;&gt;0")</f>
        <v>1</v>
      </c>
      <c r="AZ424">
        <f>COUNTIF(V424:AC424,"&lt;&gt;0")</f>
        <v>1</v>
      </c>
      <c r="BA424">
        <f>COUNTIF(AD424:AI424,"&lt;&gt;0")</f>
        <v>0</v>
      </c>
      <c r="BB424">
        <f>COUNTIF(AJ424:AL424,"&lt;&gt;0")</f>
        <v>0</v>
      </c>
      <c r="BC424">
        <f>COUNTIF(AS424:AW424,"&lt;&gt;0")</f>
        <v>0</v>
      </c>
      <c r="BD424">
        <f>COUNTIF(AM424:AR424,"&lt;&gt;0")</f>
        <v>0</v>
      </c>
      <c r="BE424" t="str">
        <f t="array" ref="BE424">IF(AY424=1,INDEX($V$7:$AL$7,MATCH(TRUE,INDEX($V424:$AW424&lt;&gt;0,),0)),IF(AY424=0,INDEX($AM$7:$AW$7,MATCH(1,$AM424:$AW424,0)),IF(BF424="Multiple strategies","mixed drivers",IF(BF424="Supply chain","multiple supply","multiple silviculture"))))</f>
        <v>site fertility</v>
      </c>
      <c r="BF424" s="2" t="str" cm="1">
        <f t="array" ref="BF424">IF(COUNTIF(AZ424:BB424,"&lt;&gt;0")=1,INDEX($V$4:$AW$4,MATCH(TRUE,INDEX($V424:$AW424&lt;&gt;0,),0)),IF(COUNTIF(AZ424:BB424,"&lt;&gt;0")=0,INDEX($AM$4:$AW$4,MATCH(1,$AM424:$AW424,0)),"Multiple strategies"))</f>
        <v>SilvicultureProd</v>
      </c>
      <c r="BG424" s="1" t="s">
        <v>322</v>
      </c>
      <c r="BH424"/>
      <c r="BI424" s="266" t="s">
        <v>1038</v>
      </c>
      <c r="BJ424" t="s">
        <v>2060</v>
      </c>
      <c r="BK424">
        <v>0</v>
      </c>
      <c r="BL424">
        <v>218025</v>
      </c>
      <c r="BM424" t="str">
        <f>IFERROR(BL424/BK424,"")</f>
        <v/>
      </c>
      <c r="BN424">
        <f>BL424-BK424</f>
        <v>218025</v>
      </c>
      <c r="BO424">
        <f>BN424*tC_to_m3</f>
        <v>946699.95657837612</v>
      </c>
      <c r="BP424" t="s">
        <v>233</v>
      </c>
      <c r="BQ424" t="s">
        <v>425</v>
      </c>
      <c r="BR424" t="s">
        <v>2065</v>
      </c>
      <c r="BS424"/>
      <c r="BT424"/>
      <c r="BU424" s="144"/>
      <c r="BV424">
        <v>-1.49</v>
      </c>
      <c r="BW424"/>
      <c r="BX424">
        <f>BV424</f>
        <v>-1.49</v>
      </c>
      <c r="BY424">
        <f>IFERROR(BX424/BO424,"")</f>
        <v>-1.573888315560142E-6</v>
      </c>
      <c r="BZ424">
        <v>0</v>
      </c>
      <c r="CA424">
        <v>0</v>
      </c>
      <c r="CB424">
        <v>0</v>
      </c>
      <c r="CC424">
        <v>0</v>
      </c>
      <c r="CD424">
        <v>0</v>
      </c>
      <c r="CE424">
        <v>0</v>
      </c>
      <c r="CF424">
        <v>0</v>
      </c>
      <c r="CG424">
        <v>0</v>
      </c>
      <c r="CH424">
        <v>0</v>
      </c>
      <c r="CI424">
        <v>0</v>
      </c>
      <c r="CJ424">
        <v>0</v>
      </c>
      <c r="CK424">
        <v>0</v>
      </c>
      <c r="CL424">
        <v>0</v>
      </c>
      <c r="CM424">
        <v>0</v>
      </c>
      <c r="CN424" t="str">
        <f>IF($BL424&lt;$BK424,"refNeedCorrection","refOK")</f>
        <v>refOK</v>
      </c>
      <c r="CO424">
        <f>IF($CN424="refOK",$BK424,$BL424)</f>
        <v>0</v>
      </c>
      <c r="CP424">
        <f>IF($CN424="refOK",$BL424,$BK424)</f>
        <v>218025</v>
      </c>
      <c r="CQ424">
        <f>IF($CN424="refOK",$BO424,-$BO424)</f>
        <v>946699.95657837612</v>
      </c>
      <c r="CR424">
        <f>IF($CN424="refOK",$BS424,$BT424)*IF($BP424="Emissions positive",-1,1)</f>
        <v>0</v>
      </c>
      <c r="CS424">
        <f>IF($CN424="refOK",$BT424,$BS424)*IF($BP424="Emissions positive",-1,1)</f>
        <v>0</v>
      </c>
      <c r="CT424">
        <f>IF($CN424="refNeedCorrection",-BX424,BX424)*IF($BP424="Emissions positive",-1,1)</f>
        <v>-1.49</v>
      </c>
      <c r="CU424">
        <f>IFERROR(CT424/CQ424,"")</f>
        <v>-1.573888315560142E-6</v>
      </c>
      <c r="CV424" s="2" t="str">
        <f>IFERROR((CS424-CR424)/ABS(CR424),"")</f>
        <v/>
      </c>
      <c r="CW424" s="1" t="s">
        <v>2038</v>
      </c>
      <c r="CX424" t="str">
        <f>IF(OR($CW424="prd",$CW424="std",$CW424="cit"),"loc",IF(OR($CW424="eur",$CW424="reg",$CW424="coy"),"reg",$CW424))</f>
        <v>reg</v>
      </c>
      <c r="CY424" t="s">
        <v>2062</v>
      </c>
      <c r="CZ424">
        <v>2021</v>
      </c>
      <c r="DA424">
        <v>2050</v>
      </c>
      <c r="DB424">
        <f>DA424-CZ424</f>
        <v>29</v>
      </c>
      <c r="DC424" t="str">
        <f>IF(DB424=0,"0",IF(AND(DB424&gt;=1,DB424&lt;=30),"1-30",IF(AND(DB424&gt;30,DB424&lt;=70),"31-70",IF(AND(DB424&gt;70,DB424&lt;=100),"71-100",IF(DB424&gt;100,"+100")))))</f>
        <v>1-30</v>
      </c>
      <c r="DD424">
        <v>0</v>
      </c>
      <c r="DE424">
        <v>0</v>
      </c>
      <c r="DF424">
        <v>0</v>
      </c>
      <c r="DG424">
        <v>1</v>
      </c>
      <c r="DH424">
        <v>0</v>
      </c>
      <c r="DI424">
        <f>SUM(DD424:DG424)</f>
        <v>1</v>
      </c>
      <c r="DJ424" t="str">
        <f>IF(DI424=1,INDEX($DD$7:$DG$7,MATCH(1,$DD424:$DG424,0)),"mixedProduct")</f>
        <v>TimberInput</v>
      </c>
      <c r="DK424">
        <f>IF(DD424=1,DK$7,0)</f>
        <v>0</v>
      </c>
      <c r="DL424">
        <f>IF(DE424=1,DL$7,0)</f>
        <v>0</v>
      </c>
      <c r="DM424">
        <f>IF(DF424=1,DM$7,0)</f>
        <v>0</v>
      </c>
      <c r="DN424" t="str">
        <f>IF(DG424=1,DN$7,0)</f>
        <v>Timber</v>
      </c>
      <c r="DO424"/>
      <c r="DP424">
        <v>1</v>
      </c>
      <c r="DQ424"/>
      <c r="DR424"/>
      <c r="DS424" s="184" t="s">
        <v>2063</v>
      </c>
      <c r="DT424"/>
      <c r="DU424" s="143" t="str">
        <f>IF(DO424=1,"self-calculated DF",IF(DP424=1,"external DF used","explicit C balance"))</f>
        <v>external DF used</v>
      </c>
      <c r="DV424">
        <v>1</v>
      </c>
      <c r="DW424">
        <v>1</v>
      </c>
      <c r="DX424">
        <v>1</v>
      </c>
      <c r="DY424">
        <v>1</v>
      </c>
      <c r="DZ424">
        <v>1</v>
      </c>
      <c r="EA424">
        <v>1</v>
      </c>
      <c r="EB424">
        <v>0</v>
      </c>
      <c r="EC424">
        <v>0</v>
      </c>
      <c r="ED424">
        <v>0</v>
      </c>
      <c r="EE424">
        <v>0</v>
      </c>
      <c r="EF424">
        <v>1</v>
      </c>
      <c r="EG424">
        <v>0</v>
      </c>
      <c r="EH424">
        <v>1</v>
      </c>
      <c r="EI424" s="2">
        <v>0</v>
      </c>
      <c r="EJ424" s="1"/>
      <c r="EK424" t="str">
        <f>IF(AND(AND(AND(OR($DX424=1,$DW424=1),OR($EC424=1,$EA424=1)),SUM($DV424:$DZ424,$EF424)&gt;=4),SUM($EA424:$EE424)&gt;=2),"Whole sector","")</f>
        <v/>
      </c>
      <c r="EL424" t="str">
        <f>IF(AND(AND(OR($DX424=1,$DW424=1),AND($EC424=0,$EA424=0)),SUM($DV424:$DZ424,$EF424)&gt;=4),"Ecosystem approach","")</f>
        <v/>
      </c>
      <c r="EM424" s="2" t="str">
        <f>IF(AND(AND(AND($DX424=0,$DW424=0),OR($EC424=1,$EA424=1)),SUM($EB424:$EE424)&gt;=2),"Technology approach","")</f>
        <v/>
      </c>
      <c r="EN424"/>
      <c r="EO424"/>
      <c r="EP424" t="str">
        <f>IF(ISNUMBER(BU424),IF(ABS(BU424-[2]QC_indicators!$B$2)&gt;3*[2]QC_indicators!$C$2,"C ratio",IF(ISNUMBER(BY424),IF(ABS(BY424-[2]QC_indicators!$B$1)&gt;3*[2]QC_indicators!$C$1,"DF","no"))),IF(ISNUMBER(BY424),IF(ABS(BY424-[2]QC_indicators!$B$1)&gt;3*[2]QC_indicators!$C$1,"DF","no")))</f>
        <v>no</v>
      </c>
      <c r="EQ424"/>
      <c r="ER424"/>
      <c r="ES424"/>
      <c r="ET424" s="266" t="s">
        <v>3275</v>
      </c>
      <c r="EU424"/>
    </row>
    <row r="425" spans="1:151" s="139" customFormat="1" ht="15" hidden="1" customHeight="1">
      <c r="A425" s="1"/>
      <c r="B425"/>
      <c r="C425"/>
      <c r="D425" t="s">
        <v>2054</v>
      </c>
      <c r="E425" t="s">
        <v>2055</v>
      </c>
      <c r="F425"/>
      <c r="G425" t="s">
        <v>2056</v>
      </c>
      <c r="H425"/>
      <c r="I425">
        <v>2018</v>
      </c>
      <c r="J425"/>
      <c r="K425" s="150" t="s">
        <v>2057</v>
      </c>
      <c r="L425"/>
      <c r="M425" t="str">
        <f>LEFT($D425,FIND(",",$D425)-1)&amp;"_"&amp;I425&amp;L425</f>
        <v>Olguin_2018</v>
      </c>
      <c r="N425" t="s">
        <v>223</v>
      </c>
      <c r="O425" s="157" t="s">
        <v>275</v>
      </c>
      <c r="P425" t="s">
        <v>514</v>
      </c>
      <c r="Q425" t="s">
        <v>390</v>
      </c>
      <c r="R425" s="264" t="s">
        <v>224</v>
      </c>
      <c r="S425" s="265" t="s">
        <v>3207</v>
      </c>
      <c r="T425" t="s">
        <v>2058</v>
      </c>
      <c r="U425" t="s">
        <v>2067</v>
      </c>
      <c r="V425">
        <v>0</v>
      </c>
      <c r="W425">
        <v>0</v>
      </c>
      <c r="X425">
        <v>0</v>
      </c>
      <c r="Y425">
        <v>0</v>
      </c>
      <c r="Z425">
        <v>0</v>
      </c>
      <c r="AA425">
        <v>0</v>
      </c>
      <c r="AB425">
        <v>0</v>
      </c>
      <c r="AC425">
        <v>1</v>
      </c>
      <c r="AD425">
        <v>0</v>
      </c>
      <c r="AE425">
        <v>0</v>
      </c>
      <c r="AF425">
        <v>0</v>
      </c>
      <c r="AG425">
        <v>0</v>
      </c>
      <c r="AH425">
        <v>0</v>
      </c>
      <c r="AI425">
        <v>0</v>
      </c>
      <c r="AJ425">
        <v>0</v>
      </c>
      <c r="AK425">
        <v>0</v>
      </c>
      <c r="AL425">
        <v>0</v>
      </c>
      <c r="AM425">
        <v>0</v>
      </c>
      <c r="AN425">
        <v>0</v>
      </c>
      <c r="AO425">
        <v>0</v>
      </c>
      <c r="AP425">
        <v>0</v>
      </c>
      <c r="AQ425">
        <v>0</v>
      </c>
      <c r="AR425">
        <v>0</v>
      </c>
      <c r="AS425">
        <v>0</v>
      </c>
      <c r="AT425">
        <v>0</v>
      </c>
      <c r="AU425">
        <v>0</v>
      </c>
      <c r="AV425">
        <v>0</v>
      </c>
      <c r="AW425">
        <v>0</v>
      </c>
      <c r="AX425" s="141">
        <f>COUNTIF(V425:AW425,"&lt;&gt;0")</f>
        <v>1</v>
      </c>
      <c r="AY425" s="141">
        <f>COUNTIF(V425:AL425,"&lt;&gt;0")</f>
        <v>1</v>
      </c>
      <c r="AZ425">
        <f>COUNTIF(V425:AC425,"&lt;&gt;0")</f>
        <v>1</v>
      </c>
      <c r="BA425">
        <f>COUNTIF(AD425:AI425,"&lt;&gt;0")</f>
        <v>0</v>
      </c>
      <c r="BB425">
        <f>COUNTIF(AJ425:AL425,"&lt;&gt;0")</f>
        <v>0</v>
      </c>
      <c r="BC425">
        <f>COUNTIF(AS425:AW425,"&lt;&gt;0")</f>
        <v>0</v>
      </c>
      <c r="BD425">
        <f>COUNTIF(AM425:AR425,"&lt;&gt;0")</f>
        <v>0</v>
      </c>
      <c r="BE425" t="str">
        <f t="array" ref="BE425">IF(AY425=1,INDEX($V$7:$AL$7,MATCH(TRUE,INDEX($V425:$AW425&lt;&gt;0,),0)),IF(AY425=0,INDEX($AM$7:$AW$7,MATCH(1,$AM425:$AW425,0)),IF(BF425="Multiple strategies","mixed drivers",IF(BF425="Supply chain","multiple supply","multiple silviculture"))))</f>
        <v>site fertility</v>
      </c>
      <c r="BF425" s="2" t="str" cm="1">
        <f t="array" ref="BF425">IF(COUNTIF(AZ425:BB425,"&lt;&gt;0")=1,INDEX($V$4:$AW$4,MATCH(TRUE,INDEX($V425:$AW425&lt;&gt;0,),0)),IF(COUNTIF(AZ425:BB425,"&lt;&gt;0")=0,INDEX($AM$4:$AW$4,MATCH(1,$AM425:$AW425,0)),"Multiple strategies"))</f>
        <v>SilvicultureProd</v>
      </c>
      <c r="BG425" s="1" t="s">
        <v>322</v>
      </c>
      <c r="BH425"/>
      <c r="BI425" s="266" t="s">
        <v>1038</v>
      </c>
      <c r="BJ425" t="s">
        <v>2060</v>
      </c>
      <c r="BK425">
        <v>0</v>
      </c>
      <c r="BL425">
        <v>6788</v>
      </c>
      <c r="BM425" t="str">
        <f>IFERROR(BL425/BK425,"")</f>
        <v/>
      </c>
      <c r="BN425">
        <f>BL425-BK425</f>
        <v>6788</v>
      </c>
      <c r="BO425">
        <f>BN425*tC_to_m3</f>
        <v>29474.598349978292</v>
      </c>
      <c r="BP425" t="s">
        <v>233</v>
      </c>
      <c r="BQ425" t="s">
        <v>425</v>
      </c>
      <c r="BR425" t="s">
        <v>2065</v>
      </c>
      <c r="BS425"/>
      <c r="BT425"/>
      <c r="BU425" s="144"/>
      <c r="BV425">
        <v>-0.23</v>
      </c>
      <c r="BW425"/>
      <c r="BX425">
        <f>BV425</f>
        <v>-0.23</v>
      </c>
      <c r="BY425">
        <f>IFERROR(BX425/BO425,"")</f>
        <v>-7.8033294048320564E-6</v>
      </c>
      <c r="BZ425">
        <v>0</v>
      </c>
      <c r="CA425">
        <v>0</v>
      </c>
      <c r="CB425">
        <v>0</v>
      </c>
      <c r="CC425">
        <v>0</v>
      </c>
      <c r="CD425">
        <v>0</v>
      </c>
      <c r="CE425">
        <v>0</v>
      </c>
      <c r="CF425">
        <v>0</v>
      </c>
      <c r="CG425">
        <v>0</v>
      </c>
      <c r="CH425">
        <v>0</v>
      </c>
      <c r="CI425">
        <v>0</v>
      </c>
      <c r="CJ425">
        <v>0</v>
      </c>
      <c r="CK425">
        <v>0</v>
      </c>
      <c r="CL425">
        <v>0</v>
      </c>
      <c r="CM425">
        <v>0</v>
      </c>
      <c r="CN425" t="str">
        <f>IF($BL425&lt;$BK425,"refNeedCorrection","refOK")</f>
        <v>refOK</v>
      </c>
      <c r="CO425">
        <f>IF($CN425="refOK",$BK425,$BL425)</f>
        <v>0</v>
      </c>
      <c r="CP425">
        <f>IF($CN425="refOK",$BL425,$BK425)</f>
        <v>6788</v>
      </c>
      <c r="CQ425">
        <f>IF($CN425="refOK",$BO425,-$BO425)</f>
        <v>29474.598349978292</v>
      </c>
      <c r="CR425">
        <f>IF($CN425="refOK",$BS425,$BT425)*IF($BP425="Emissions positive",-1,1)</f>
        <v>0</v>
      </c>
      <c r="CS425">
        <f>IF($CN425="refOK",$BT425,$BS425)*IF($BP425="Emissions positive",-1,1)</f>
        <v>0</v>
      </c>
      <c r="CT425">
        <f>IF($CN425="refNeedCorrection",-BX425,BX425)*IF($BP425="Emissions positive",-1,1)</f>
        <v>-0.23</v>
      </c>
      <c r="CU425">
        <f>IFERROR(CT425/CQ425,"")</f>
        <v>-7.8033294048320564E-6</v>
      </c>
      <c r="CV425" s="2" t="str">
        <f>IFERROR((CS425-CR425)/ABS(CR425),"")</f>
        <v/>
      </c>
      <c r="CW425" s="1" t="s">
        <v>2038</v>
      </c>
      <c r="CX425" t="str">
        <f>IF(OR($CW425="prd",$CW425="std",$CW425="cit"),"loc",IF(OR($CW425="eur",$CW425="reg",$CW425="coy"),"reg",$CW425))</f>
        <v>reg</v>
      </c>
      <c r="CY425" t="s">
        <v>2062</v>
      </c>
      <c r="CZ425">
        <v>2021</v>
      </c>
      <c r="DA425">
        <v>2050</v>
      </c>
      <c r="DB425">
        <f>DA425-CZ425</f>
        <v>29</v>
      </c>
      <c r="DC425" t="str">
        <f>IF(DB425=0,"0",IF(AND(DB425&gt;=1,DB425&lt;=30),"1-30",IF(AND(DB425&gt;30,DB425&lt;=70),"31-70",IF(AND(DB425&gt;70,DB425&lt;=100),"71-100",IF(DB425&gt;100,"+100")))))</f>
        <v>1-30</v>
      </c>
      <c r="DD425">
        <v>0</v>
      </c>
      <c r="DE425">
        <v>0</v>
      </c>
      <c r="DF425">
        <v>0</v>
      </c>
      <c r="DG425">
        <v>1</v>
      </c>
      <c r="DH425">
        <v>0</v>
      </c>
      <c r="DI425">
        <f>SUM(DD425:DG425)</f>
        <v>1</v>
      </c>
      <c r="DJ425" t="str">
        <f>IF(DI425=1,INDEX($DD$7:$DG$7,MATCH(1,$DD425:$DG425,0)),"mixedProduct")</f>
        <v>TimberInput</v>
      </c>
      <c r="DK425">
        <f>IF(DD425=1,DK$7,0)</f>
        <v>0</v>
      </c>
      <c r="DL425">
        <f>IF(DE425=1,DL$7,0)</f>
        <v>0</v>
      </c>
      <c r="DM425">
        <f>IF(DF425=1,DM$7,0)</f>
        <v>0</v>
      </c>
      <c r="DN425" t="str">
        <f>IF(DG425=1,DN$7,0)</f>
        <v>Timber</v>
      </c>
      <c r="DO425"/>
      <c r="DP425">
        <v>1</v>
      </c>
      <c r="DQ425"/>
      <c r="DR425"/>
      <c r="DS425" s="184" t="s">
        <v>2068</v>
      </c>
      <c r="DT425"/>
      <c r="DU425" s="143" t="str">
        <f>IF(DO425=1,"self-calculated DF",IF(DP425=1,"external DF used","explicit C balance"))</f>
        <v>external DF used</v>
      </c>
      <c r="DV425">
        <v>1</v>
      </c>
      <c r="DW425">
        <v>1</v>
      </c>
      <c r="DX425">
        <v>1</v>
      </c>
      <c r="DY425">
        <v>1</v>
      </c>
      <c r="DZ425">
        <v>1</v>
      </c>
      <c r="EA425">
        <v>1</v>
      </c>
      <c r="EB425">
        <v>0</v>
      </c>
      <c r="EC425">
        <v>0</v>
      </c>
      <c r="ED425">
        <v>0</v>
      </c>
      <c r="EE425">
        <v>0</v>
      </c>
      <c r="EF425">
        <v>1</v>
      </c>
      <c r="EG425">
        <v>0</v>
      </c>
      <c r="EH425">
        <v>1</v>
      </c>
      <c r="EI425" s="2">
        <v>0</v>
      </c>
      <c r="EJ425" s="1"/>
      <c r="EK425" t="str">
        <f>IF(AND(AND(AND(OR($DX425=1,$DW425=1),OR($EC425=1,$EA425=1)),SUM($DV425:$DZ425,$EF425)&gt;=4),SUM($EA425:$EE425)&gt;=2),"Whole sector","")</f>
        <v/>
      </c>
      <c r="EL425" t="str">
        <f>IF(AND(AND(OR($DX425=1,$DW425=1),AND($EC425=0,$EA425=0)),SUM($DV425:$DZ425,$EF425)&gt;=4),"Ecosystem approach","")</f>
        <v/>
      </c>
      <c r="EM425" s="2" t="str">
        <f>IF(AND(AND(AND($DX425=0,$DW425=0),OR($EC425=1,$EA425=1)),SUM($EB425:$EE425)&gt;=2),"Technology approach","")</f>
        <v/>
      </c>
      <c r="EN425"/>
      <c r="EO425"/>
      <c r="EP425" t="str">
        <f>IF(ISNUMBER(BU425),IF(ABS(BU425-[2]QC_indicators!$B$2)&gt;3*[2]QC_indicators!$C$2,"C ratio",IF(ISNUMBER(BY425),IF(ABS(BY425-[2]QC_indicators!$B$1)&gt;3*[2]QC_indicators!$C$1,"DF","no"))),IF(ISNUMBER(BY425),IF(ABS(BY425-[2]QC_indicators!$B$1)&gt;3*[2]QC_indicators!$C$1,"DF","no")))</f>
        <v>no</v>
      </c>
      <c r="EQ425"/>
      <c r="ER425"/>
      <c r="ES425"/>
      <c r="ET425" s="266" t="s">
        <v>3275</v>
      </c>
      <c r="EU425"/>
    </row>
    <row r="426" spans="1:151" s="139" customFormat="1" ht="15" hidden="1" customHeight="1">
      <c r="A426" s="1"/>
      <c r="B426"/>
      <c r="C426"/>
      <c r="D426" t="s">
        <v>2054</v>
      </c>
      <c r="E426" t="s">
        <v>2055</v>
      </c>
      <c r="F426"/>
      <c r="G426" t="s">
        <v>2056</v>
      </c>
      <c r="H426"/>
      <c r="I426">
        <v>2018</v>
      </c>
      <c r="J426"/>
      <c r="K426" s="150" t="s">
        <v>2057</v>
      </c>
      <c r="L426"/>
      <c r="M426" t="str">
        <f>LEFT($D426,FIND(",",$D426)-1)&amp;"_"&amp;I426&amp;L426</f>
        <v>Olguin_2018</v>
      </c>
      <c r="N426" t="s">
        <v>223</v>
      </c>
      <c r="O426" s="157" t="s">
        <v>275</v>
      </c>
      <c r="P426" t="s">
        <v>514</v>
      </c>
      <c r="Q426" t="s">
        <v>390</v>
      </c>
      <c r="R426" s="264" t="s">
        <v>224</v>
      </c>
      <c r="S426" s="265" t="s">
        <v>3208</v>
      </c>
      <c r="T426" t="s">
        <v>2058</v>
      </c>
      <c r="U426" t="s">
        <v>2066</v>
      </c>
      <c r="V426">
        <v>0</v>
      </c>
      <c r="W426">
        <v>0</v>
      </c>
      <c r="X426">
        <v>0</v>
      </c>
      <c r="Y426">
        <v>0</v>
      </c>
      <c r="Z426">
        <v>0</v>
      </c>
      <c r="AA426">
        <v>0</v>
      </c>
      <c r="AB426">
        <v>0</v>
      </c>
      <c r="AC426">
        <v>1</v>
      </c>
      <c r="AD426">
        <v>0</v>
      </c>
      <c r="AE426">
        <v>0</v>
      </c>
      <c r="AF426">
        <v>0</v>
      </c>
      <c r="AG426">
        <v>0</v>
      </c>
      <c r="AH426">
        <v>0</v>
      </c>
      <c r="AI426">
        <v>0</v>
      </c>
      <c r="AJ426">
        <v>0</v>
      </c>
      <c r="AK426">
        <v>0</v>
      </c>
      <c r="AL426">
        <v>0</v>
      </c>
      <c r="AM426">
        <v>0</v>
      </c>
      <c r="AN426">
        <v>0</v>
      </c>
      <c r="AO426">
        <v>0</v>
      </c>
      <c r="AP426">
        <v>0</v>
      </c>
      <c r="AQ426">
        <v>0</v>
      </c>
      <c r="AR426">
        <v>0</v>
      </c>
      <c r="AS426">
        <v>0</v>
      </c>
      <c r="AT426">
        <v>0</v>
      </c>
      <c r="AU426">
        <v>0</v>
      </c>
      <c r="AV426">
        <v>0</v>
      </c>
      <c r="AW426">
        <v>0</v>
      </c>
      <c r="AX426" s="141">
        <f>COUNTIF(V426:AW426,"&lt;&gt;0")</f>
        <v>1</v>
      </c>
      <c r="AY426" s="141">
        <f>COUNTIF(V426:AL426,"&lt;&gt;0")</f>
        <v>1</v>
      </c>
      <c r="AZ426">
        <f>COUNTIF(V426:AC426,"&lt;&gt;0")</f>
        <v>1</v>
      </c>
      <c r="BA426">
        <f>COUNTIF(AD426:AI426,"&lt;&gt;0")</f>
        <v>0</v>
      </c>
      <c r="BB426">
        <f>COUNTIF(AJ426:AL426,"&lt;&gt;0")</f>
        <v>0</v>
      </c>
      <c r="BC426">
        <f>COUNTIF(AS426:AW426,"&lt;&gt;0")</f>
        <v>0</v>
      </c>
      <c r="BD426">
        <f>COUNTIF(AM426:AR426,"&lt;&gt;0")</f>
        <v>0</v>
      </c>
      <c r="BE426" t="str">
        <f t="array" ref="BE426">IF(AY426=1,INDEX($V$7:$AL$7,MATCH(TRUE,INDEX($V426:$AW426&lt;&gt;0,),0)),IF(AY426=0,INDEX($AM$7:$AW$7,MATCH(1,$AM426:$AW426,0)),IF(BF426="Multiple strategies","mixed drivers",IF(BF426="Supply chain","multiple supply","multiple silviculture"))))</f>
        <v>site fertility</v>
      </c>
      <c r="BF426" s="2" t="str" cm="1">
        <f t="array" ref="BF426">IF(COUNTIF(AZ426:BB426,"&lt;&gt;0")=1,INDEX($V$4:$AW$4,MATCH(TRUE,INDEX($V426:$AW426&lt;&gt;0,),0)),IF(COUNTIF(AZ426:BB426,"&lt;&gt;0")=0,INDEX($AM$4:$AW$4,MATCH(1,$AM426:$AW426,0)),"Multiple strategies"))</f>
        <v>SilvicultureProd</v>
      </c>
      <c r="BG426" s="1" t="s">
        <v>322</v>
      </c>
      <c r="BH426"/>
      <c r="BI426" s="266" t="s">
        <v>1038</v>
      </c>
      <c r="BJ426" t="s">
        <v>2060</v>
      </c>
      <c r="BK426">
        <v>0</v>
      </c>
      <c r="BL426">
        <v>218025</v>
      </c>
      <c r="BM426" t="str">
        <f>IFERROR(BL426/BK426,"")</f>
        <v/>
      </c>
      <c r="BN426">
        <f>BL426-BK426</f>
        <v>218025</v>
      </c>
      <c r="BO426">
        <f>BN426*tC_to_m3</f>
        <v>946699.95657837612</v>
      </c>
      <c r="BP426" t="s">
        <v>233</v>
      </c>
      <c r="BQ426" t="s">
        <v>425</v>
      </c>
      <c r="BR426" t="s">
        <v>2065</v>
      </c>
      <c r="BS426"/>
      <c r="BT426"/>
      <c r="BU426" s="144"/>
      <c r="BV426">
        <v>-1.03</v>
      </c>
      <c r="BW426"/>
      <c r="BX426">
        <f>BV426</f>
        <v>-1.03</v>
      </c>
      <c r="BY426">
        <f>IFERROR(BX426/BO426,"")</f>
        <v>-1.087989909414058E-6</v>
      </c>
      <c r="BZ426">
        <v>0</v>
      </c>
      <c r="CA426">
        <v>0</v>
      </c>
      <c r="CB426">
        <v>0</v>
      </c>
      <c r="CC426">
        <v>0</v>
      </c>
      <c r="CD426">
        <v>0</v>
      </c>
      <c r="CE426">
        <v>0</v>
      </c>
      <c r="CF426">
        <v>0</v>
      </c>
      <c r="CG426">
        <v>0</v>
      </c>
      <c r="CH426">
        <v>0</v>
      </c>
      <c r="CI426">
        <v>0</v>
      </c>
      <c r="CJ426">
        <v>0</v>
      </c>
      <c r="CK426">
        <v>0</v>
      </c>
      <c r="CL426">
        <v>0</v>
      </c>
      <c r="CM426">
        <v>0</v>
      </c>
      <c r="CN426" t="str">
        <f>IF($BL426&lt;$BK426,"refNeedCorrection","refOK")</f>
        <v>refOK</v>
      </c>
      <c r="CO426">
        <f>IF($CN426="refOK",$BK426,$BL426)</f>
        <v>0</v>
      </c>
      <c r="CP426">
        <f>IF($CN426="refOK",$BL426,$BK426)</f>
        <v>218025</v>
      </c>
      <c r="CQ426">
        <f>IF($CN426="refOK",$BO426,-$BO426)</f>
        <v>946699.95657837612</v>
      </c>
      <c r="CR426">
        <f>IF($CN426="refOK",$BS426,$BT426)*IF($BP426="Emissions positive",-1,1)</f>
        <v>0</v>
      </c>
      <c r="CS426">
        <f>IF($CN426="refOK",$BT426,$BS426)*IF($BP426="Emissions positive",-1,1)</f>
        <v>0</v>
      </c>
      <c r="CT426">
        <f>IF($CN426="refNeedCorrection",-BX426,BX426)*IF($BP426="Emissions positive",-1,1)</f>
        <v>-1.03</v>
      </c>
      <c r="CU426">
        <f>IFERROR(CT426/CQ426,"")</f>
        <v>-1.087989909414058E-6</v>
      </c>
      <c r="CV426" s="2" t="str">
        <f>IFERROR((CS426-CR426)/ABS(CR426),"")</f>
        <v/>
      </c>
      <c r="CW426" s="1" t="s">
        <v>2038</v>
      </c>
      <c r="CX426" t="str">
        <f>IF(OR($CW426="prd",$CW426="std",$CW426="cit"),"loc",IF(OR($CW426="eur",$CW426="reg",$CW426="coy"),"reg",$CW426))</f>
        <v>reg</v>
      </c>
      <c r="CY426" t="s">
        <v>2062</v>
      </c>
      <c r="CZ426">
        <v>2021</v>
      </c>
      <c r="DA426">
        <v>2050</v>
      </c>
      <c r="DB426">
        <f>DA426-CZ426</f>
        <v>29</v>
      </c>
      <c r="DC426" t="str">
        <f>IF(DB426=0,"0",IF(AND(DB426&gt;=1,DB426&lt;=30),"1-30",IF(AND(DB426&gt;30,DB426&lt;=70),"31-70",IF(AND(DB426&gt;70,DB426&lt;=100),"71-100",IF(DB426&gt;100,"+100")))))</f>
        <v>1-30</v>
      </c>
      <c r="DD426">
        <v>0</v>
      </c>
      <c r="DE426">
        <v>0</v>
      </c>
      <c r="DF426">
        <v>0</v>
      </c>
      <c r="DG426">
        <v>1</v>
      </c>
      <c r="DH426">
        <v>0</v>
      </c>
      <c r="DI426">
        <f>SUM(DD426:DG426)</f>
        <v>1</v>
      </c>
      <c r="DJ426" t="str">
        <f>IF(DI426=1,INDEX($DD$7:$DG$7,MATCH(1,$DD426:$DG426,0)),"mixedProduct")</f>
        <v>TimberInput</v>
      </c>
      <c r="DK426">
        <f>IF(DD426=1,DK$7,0)</f>
        <v>0</v>
      </c>
      <c r="DL426">
        <f>IF(DE426=1,DL$7,0)</f>
        <v>0</v>
      </c>
      <c r="DM426">
        <f>IF(DF426=1,DM$7,0)</f>
        <v>0</v>
      </c>
      <c r="DN426" t="str">
        <f>IF(DG426=1,DN$7,0)</f>
        <v>Timber</v>
      </c>
      <c r="DO426"/>
      <c r="DP426">
        <v>1</v>
      </c>
      <c r="DQ426"/>
      <c r="DR426"/>
      <c r="DS426" s="184" t="s">
        <v>2063</v>
      </c>
      <c r="DT426"/>
      <c r="DU426" s="143" t="str">
        <f>IF(DO426=1,"self-calculated DF",IF(DP426=1,"external DF used","explicit C balance"))</f>
        <v>external DF used</v>
      </c>
      <c r="DV426">
        <v>1</v>
      </c>
      <c r="DW426">
        <v>1</v>
      </c>
      <c r="DX426">
        <v>1</v>
      </c>
      <c r="DY426">
        <v>1</v>
      </c>
      <c r="DZ426">
        <v>1</v>
      </c>
      <c r="EA426">
        <v>1</v>
      </c>
      <c r="EB426">
        <v>0</v>
      </c>
      <c r="EC426">
        <v>0</v>
      </c>
      <c r="ED426">
        <v>0</v>
      </c>
      <c r="EE426">
        <v>0</v>
      </c>
      <c r="EF426">
        <v>1</v>
      </c>
      <c r="EG426">
        <v>0</v>
      </c>
      <c r="EH426">
        <v>1</v>
      </c>
      <c r="EI426" s="2">
        <v>0</v>
      </c>
      <c r="EJ426" s="1"/>
      <c r="EK426" t="str">
        <f>IF(AND(AND(AND(OR($DX426=1,$DW426=1),OR($EC426=1,$EA426=1)),SUM($DV426:$DZ426,$EF426)&gt;=4),SUM($EA426:$EE426)&gt;=2),"Whole sector","")</f>
        <v/>
      </c>
      <c r="EL426" t="str">
        <f>IF(AND(AND(OR($DX426=1,$DW426=1),AND($EC426=0,$EA426=0)),SUM($DV426:$DZ426,$EF426)&gt;=4),"Ecosystem approach","")</f>
        <v/>
      </c>
      <c r="EM426" s="2" t="str">
        <f>IF(AND(AND(AND($DX426=0,$DW426=0),OR($EC426=1,$EA426=1)),SUM($EB426:$EE426)&gt;=2),"Technology approach","")</f>
        <v/>
      </c>
      <c r="EN426"/>
      <c r="EO426"/>
      <c r="EP426" t="str">
        <f>IF(ISNUMBER(BU426),IF(ABS(BU426-[2]QC_indicators!$B$2)&gt;3*[2]QC_indicators!$C$2,"C ratio",IF(ISNUMBER(BY426),IF(ABS(BY426-[2]QC_indicators!$B$1)&gt;3*[2]QC_indicators!$C$1,"DF","no"))),IF(ISNUMBER(BY426),IF(ABS(BY426-[2]QC_indicators!$B$1)&gt;3*[2]QC_indicators!$C$1,"DF","no")))</f>
        <v>no</v>
      </c>
      <c r="EQ426"/>
      <c r="ER426"/>
      <c r="ES426"/>
      <c r="ET426" s="266" t="s">
        <v>3275</v>
      </c>
      <c r="EU426"/>
    </row>
    <row r="427" spans="1:151" s="139" customFormat="1" ht="15" hidden="1" customHeight="1">
      <c r="A427" s="1"/>
      <c r="B427"/>
      <c r="C427"/>
      <c r="D427" t="s">
        <v>2054</v>
      </c>
      <c r="E427" t="s">
        <v>2055</v>
      </c>
      <c r="F427"/>
      <c r="G427" t="s">
        <v>2056</v>
      </c>
      <c r="H427"/>
      <c r="I427">
        <v>2018</v>
      </c>
      <c r="J427"/>
      <c r="K427" s="150" t="s">
        <v>2057</v>
      </c>
      <c r="L427"/>
      <c r="M427" t="str">
        <f>LEFT($D427,FIND(",",$D427)-1)&amp;"_"&amp;I427&amp;L427</f>
        <v>Olguin_2018</v>
      </c>
      <c r="N427" t="s">
        <v>223</v>
      </c>
      <c r="O427" s="157" t="s">
        <v>275</v>
      </c>
      <c r="P427" t="s">
        <v>514</v>
      </c>
      <c r="Q427" t="s">
        <v>390</v>
      </c>
      <c r="R427" s="264" t="s">
        <v>224</v>
      </c>
      <c r="S427" s="265" t="s">
        <v>3209</v>
      </c>
      <c r="T427" t="s">
        <v>2058</v>
      </c>
      <c r="U427" t="s">
        <v>2066</v>
      </c>
      <c r="V427">
        <v>0</v>
      </c>
      <c r="W427">
        <v>0</v>
      </c>
      <c r="X427">
        <v>0</v>
      </c>
      <c r="Y427">
        <v>0</v>
      </c>
      <c r="Z427">
        <v>0</v>
      </c>
      <c r="AA427">
        <v>0</v>
      </c>
      <c r="AB427">
        <v>0</v>
      </c>
      <c r="AC427">
        <v>1</v>
      </c>
      <c r="AD427">
        <v>0</v>
      </c>
      <c r="AE427">
        <v>0</v>
      </c>
      <c r="AF427">
        <v>0</v>
      </c>
      <c r="AG427">
        <v>0</v>
      </c>
      <c r="AH427">
        <v>0</v>
      </c>
      <c r="AI427">
        <v>0</v>
      </c>
      <c r="AJ427">
        <v>0</v>
      </c>
      <c r="AK427">
        <v>0</v>
      </c>
      <c r="AL427">
        <v>0</v>
      </c>
      <c r="AM427">
        <v>0</v>
      </c>
      <c r="AN427">
        <v>0</v>
      </c>
      <c r="AO427">
        <v>0</v>
      </c>
      <c r="AP427">
        <v>0</v>
      </c>
      <c r="AQ427">
        <v>0</v>
      </c>
      <c r="AR427">
        <v>0</v>
      </c>
      <c r="AS427">
        <v>0</v>
      </c>
      <c r="AT427">
        <v>0</v>
      </c>
      <c r="AU427">
        <v>0</v>
      </c>
      <c r="AV427">
        <v>0</v>
      </c>
      <c r="AW427">
        <v>0</v>
      </c>
      <c r="AX427" s="141">
        <f>COUNTIF(V427:AW427,"&lt;&gt;0")</f>
        <v>1</v>
      </c>
      <c r="AY427" s="141">
        <f>COUNTIF(V427:AL427,"&lt;&gt;0")</f>
        <v>1</v>
      </c>
      <c r="AZ427">
        <f>COUNTIF(V427:AC427,"&lt;&gt;0")</f>
        <v>1</v>
      </c>
      <c r="BA427">
        <f>COUNTIF(AD427:AI427,"&lt;&gt;0")</f>
        <v>0</v>
      </c>
      <c r="BB427">
        <f>COUNTIF(AJ427:AL427,"&lt;&gt;0")</f>
        <v>0</v>
      </c>
      <c r="BC427">
        <f>COUNTIF(AS427:AW427,"&lt;&gt;0")</f>
        <v>0</v>
      </c>
      <c r="BD427">
        <f>COUNTIF(AM427:AR427,"&lt;&gt;0")</f>
        <v>0</v>
      </c>
      <c r="BE427" t="str">
        <f t="array" ref="BE427">IF(AY427=1,INDEX($V$7:$AL$7,MATCH(TRUE,INDEX($V427:$AW427&lt;&gt;0,),0)),IF(AY427=0,INDEX($AM$7:$AW$7,MATCH(1,$AM427:$AW427,0)),IF(BF427="Multiple strategies","mixed drivers",IF(BF427="Supply chain","multiple supply","multiple silviculture"))))</f>
        <v>site fertility</v>
      </c>
      <c r="BF427" s="2" t="str" cm="1">
        <f t="array" ref="BF427">IF(COUNTIF(AZ427:BB427,"&lt;&gt;0")=1,INDEX($V$4:$AW$4,MATCH(TRUE,INDEX($V427:$AW427&lt;&gt;0,),0)),IF(COUNTIF(AZ427:BB427,"&lt;&gt;0")=0,INDEX($AM$4:$AW$4,MATCH(1,$AM427:$AW427,0)),"Multiple strategies"))</f>
        <v>SilvicultureProd</v>
      </c>
      <c r="BG427" s="1" t="s">
        <v>322</v>
      </c>
      <c r="BH427"/>
      <c r="BI427" s="266" t="s">
        <v>1038</v>
      </c>
      <c r="BJ427" t="s">
        <v>2060</v>
      </c>
      <c r="BK427">
        <v>0</v>
      </c>
      <c r="BL427">
        <v>6788</v>
      </c>
      <c r="BM427" t="str">
        <f>IFERROR(BL427/BK427,"")</f>
        <v/>
      </c>
      <c r="BN427">
        <f>BL427-BK427</f>
        <v>6788</v>
      </c>
      <c r="BO427">
        <f>BN427*tC_to_m3</f>
        <v>29474.598349978292</v>
      </c>
      <c r="BP427" t="s">
        <v>233</v>
      </c>
      <c r="BQ427" t="s">
        <v>425</v>
      </c>
      <c r="BR427" t="s">
        <v>2065</v>
      </c>
      <c r="BS427"/>
      <c r="BT427"/>
      <c r="BU427" s="144"/>
      <c r="BV427">
        <v>-0.21</v>
      </c>
      <c r="BW427"/>
      <c r="BX427">
        <f>BV427</f>
        <v>-0.21</v>
      </c>
      <c r="BY427">
        <f>IFERROR(BX427/BO427,"")</f>
        <v>-7.1247790218031812E-6</v>
      </c>
      <c r="BZ427">
        <v>0</v>
      </c>
      <c r="CA427">
        <v>0</v>
      </c>
      <c r="CB427">
        <v>0</v>
      </c>
      <c r="CC427">
        <v>0</v>
      </c>
      <c r="CD427">
        <v>0</v>
      </c>
      <c r="CE427">
        <v>0</v>
      </c>
      <c r="CF427">
        <v>0</v>
      </c>
      <c r="CG427">
        <v>0</v>
      </c>
      <c r="CH427">
        <v>0</v>
      </c>
      <c r="CI427">
        <v>0</v>
      </c>
      <c r="CJ427">
        <v>0</v>
      </c>
      <c r="CK427">
        <v>0</v>
      </c>
      <c r="CL427">
        <v>0</v>
      </c>
      <c r="CM427">
        <v>0</v>
      </c>
      <c r="CN427" t="str">
        <f>IF($BL427&lt;$BK427,"refNeedCorrection","refOK")</f>
        <v>refOK</v>
      </c>
      <c r="CO427">
        <f>IF($CN427="refOK",$BK427,$BL427)</f>
        <v>0</v>
      </c>
      <c r="CP427">
        <f>IF($CN427="refOK",$BL427,$BK427)</f>
        <v>6788</v>
      </c>
      <c r="CQ427">
        <f>IF($CN427="refOK",$BO427,-$BO427)</f>
        <v>29474.598349978292</v>
      </c>
      <c r="CR427">
        <f>IF($CN427="refOK",$BS427,$BT427)*IF($BP427="Emissions positive",-1,1)</f>
        <v>0</v>
      </c>
      <c r="CS427">
        <f>IF($CN427="refOK",$BT427,$BS427)*IF($BP427="Emissions positive",-1,1)</f>
        <v>0</v>
      </c>
      <c r="CT427">
        <f>IF($CN427="refNeedCorrection",-BX427,BX427)*IF($BP427="Emissions positive",-1,1)</f>
        <v>-0.21</v>
      </c>
      <c r="CU427">
        <f>IFERROR(CT427/CQ427,"")</f>
        <v>-7.1247790218031812E-6</v>
      </c>
      <c r="CV427" s="2" t="str">
        <f>IFERROR((CS427-CR427)/ABS(CR427),"")</f>
        <v/>
      </c>
      <c r="CW427" s="1" t="s">
        <v>2038</v>
      </c>
      <c r="CX427" t="str">
        <f>IF(OR($CW427="prd",$CW427="std",$CW427="cit"),"loc",IF(OR($CW427="eur",$CW427="reg",$CW427="coy"),"reg",$CW427))</f>
        <v>reg</v>
      </c>
      <c r="CY427" t="s">
        <v>2062</v>
      </c>
      <c r="CZ427">
        <v>2021</v>
      </c>
      <c r="DA427">
        <v>2050</v>
      </c>
      <c r="DB427">
        <f>DA427-CZ427</f>
        <v>29</v>
      </c>
      <c r="DC427" t="str">
        <f>IF(DB427=0,"0",IF(AND(DB427&gt;=1,DB427&lt;=30),"1-30",IF(AND(DB427&gt;30,DB427&lt;=70),"31-70",IF(AND(DB427&gt;70,DB427&lt;=100),"71-100",IF(DB427&gt;100,"+100")))))</f>
        <v>1-30</v>
      </c>
      <c r="DD427">
        <v>0</v>
      </c>
      <c r="DE427">
        <v>0</v>
      </c>
      <c r="DF427">
        <v>0</v>
      </c>
      <c r="DG427">
        <v>1</v>
      </c>
      <c r="DH427">
        <v>0</v>
      </c>
      <c r="DI427">
        <f>SUM(DD427:DG427)</f>
        <v>1</v>
      </c>
      <c r="DJ427" t="str">
        <f>IF(DI427=1,INDEX($DD$7:$DG$7,MATCH(1,$DD427:$DG427,0)),"mixedProduct")</f>
        <v>TimberInput</v>
      </c>
      <c r="DK427">
        <f>IF(DD427=1,DK$7,0)</f>
        <v>0</v>
      </c>
      <c r="DL427">
        <f>IF(DE427=1,DL$7,0)</f>
        <v>0</v>
      </c>
      <c r="DM427">
        <f>IF(DF427=1,DM$7,0)</f>
        <v>0</v>
      </c>
      <c r="DN427" t="str">
        <f>IF(DG427=1,DN$7,0)</f>
        <v>Timber</v>
      </c>
      <c r="DO427"/>
      <c r="DP427">
        <v>1</v>
      </c>
      <c r="DQ427"/>
      <c r="DR427"/>
      <c r="DS427" s="184" t="s">
        <v>2063</v>
      </c>
      <c r="DT427"/>
      <c r="DU427" s="143" t="str">
        <f>IF(DO427=1,"self-calculated DF",IF(DP427=1,"external DF used","explicit C balance"))</f>
        <v>external DF used</v>
      </c>
      <c r="DV427">
        <v>1</v>
      </c>
      <c r="DW427">
        <v>1</v>
      </c>
      <c r="DX427">
        <v>1</v>
      </c>
      <c r="DY427">
        <v>1</v>
      </c>
      <c r="DZ427">
        <v>1</v>
      </c>
      <c r="EA427">
        <v>1</v>
      </c>
      <c r="EB427">
        <v>0</v>
      </c>
      <c r="EC427">
        <v>0</v>
      </c>
      <c r="ED427">
        <v>0</v>
      </c>
      <c r="EE427">
        <v>0</v>
      </c>
      <c r="EF427">
        <v>1</v>
      </c>
      <c r="EG427">
        <v>0</v>
      </c>
      <c r="EH427">
        <v>1</v>
      </c>
      <c r="EI427" s="2">
        <v>0</v>
      </c>
      <c r="EJ427" s="1"/>
      <c r="EK427" t="str">
        <f>IF(AND(AND(AND(OR($DX427=1,$DW427=1),OR($EC427=1,$EA427=1)),SUM($DV427:$DZ427,$EF427)&gt;=4),SUM($EA427:$EE427)&gt;=2),"Whole sector","")</f>
        <v/>
      </c>
      <c r="EL427" t="str">
        <f>IF(AND(AND(OR($DX427=1,$DW427=1),AND($EC427=0,$EA427=0)),SUM($DV427:$DZ427,$EF427)&gt;=4),"Ecosystem approach","")</f>
        <v/>
      </c>
      <c r="EM427" s="2" t="str">
        <f>IF(AND(AND(AND($DX427=0,$DW427=0),OR($EC427=1,$EA427=1)),SUM($EB427:$EE427)&gt;=2),"Technology approach","")</f>
        <v/>
      </c>
      <c r="EN427"/>
      <c r="EO427"/>
      <c r="EP427" t="str">
        <f>IF(ISNUMBER(BU427),IF(ABS(BU427-[2]QC_indicators!$B$2)&gt;3*[2]QC_indicators!$C$2,"C ratio",IF(ISNUMBER(BY427),IF(ABS(BY427-[2]QC_indicators!$B$1)&gt;3*[2]QC_indicators!$C$1,"DF","no"))),IF(ISNUMBER(BY427),IF(ABS(BY427-[2]QC_indicators!$B$1)&gt;3*[2]QC_indicators!$C$1,"DF","no")))</f>
        <v>no</v>
      </c>
      <c r="EQ427"/>
      <c r="ER427"/>
      <c r="ES427"/>
      <c r="ET427" s="266" t="s">
        <v>3275</v>
      </c>
      <c r="EU427"/>
    </row>
    <row r="428" spans="1:151" s="139" customFormat="1" ht="15" hidden="1" customHeight="1">
      <c r="A428" s="1" t="s">
        <v>266</v>
      </c>
      <c r="B428" t="s">
        <v>267</v>
      </c>
      <c r="C428" t="s">
        <v>268</v>
      </c>
      <c r="D428" t="s">
        <v>269</v>
      </c>
      <c r="E428" t="s">
        <v>270</v>
      </c>
      <c r="F428" t="s">
        <v>271</v>
      </c>
      <c r="G428" t="s">
        <v>272</v>
      </c>
      <c r="H428" t="s">
        <v>255</v>
      </c>
      <c r="I428">
        <v>2022</v>
      </c>
      <c r="J428">
        <v>0</v>
      </c>
      <c r="K428" t="s">
        <v>273</v>
      </c>
      <c r="L428"/>
      <c r="M428" t="s">
        <v>274</v>
      </c>
      <c r="N428" t="s">
        <v>223</v>
      </c>
      <c r="O428" s="145" t="s">
        <v>275</v>
      </c>
      <c r="P428"/>
      <c r="Q428" t="s">
        <v>225</v>
      </c>
      <c r="R428" s="264" t="s">
        <v>224</v>
      </c>
      <c r="S428" s="1" t="s">
        <v>288</v>
      </c>
      <c r="T428" t="s">
        <v>289</v>
      </c>
      <c r="U428" t="s">
        <v>290</v>
      </c>
      <c r="V428">
        <v>0</v>
      </c>
      <c r="W428">
        <v>0</v>
      </c>
      <c r="X428">
        <v>0</v>
      </c>
      <c r="Y428">
        <v>0</v>
      </c>
      <c r="Z428">
        <v>0</v>
      </c>
      <c r="AA428">
        <v>0</v>
      </c>
      <c r="AB428">
        <v>0</v>
      </c>
      <c r="AC428">
        <v>1</v>
      </c>
      <c r="AD428">
        <v>0</v>
      </c>
      <c r="AE428">
        <v>0</v>
      </c>
      <c r="AF428">
        <v>0</v>
      </c>
      <c r="AG428">
        <v>0</v>
      </c>
      <c r="AH428">
        <v>0</v>
      </c>
      <c r="AI428">
        <v>0</v>
      </c>
      <c r="AJ428">
        <v>0</v>
      </c>
      <c r="AK428">
        <v>0</v>
      </c>
      <c r="AL428">
        <v>0</v>
      </c>
      <c r="AM428">
        <v>0</v>
      </c>
      <c r="AN428">
        <v>0</v>
      </c>
      <c r="AO428">
        <v>0</v>
      </c>
      <c r="AP428">
        <v>0</v>
      </c>
      <c r="AQ428">
        <v>0</v>
      </c>
      <c r="AR428">
        <v>0</v>
      </c>
      <c r="AS428">
        <v>0</v>
      </c>
      <c r="AT428">
        <v>0</v>
      </c>
      <c r="AU428">
        <v>0</v>
      </c>
      <c r="AV428">
        <v>0</v>
      </c>
      <c r="AW428">
        <v>0</v>
      </c>
      <c r="AX428" s="141">
        <f>COUNTIF(V428:AW428,"&lt;&gt;0")</f>
        <v>1</v>
      </c>
      <c r="AY428" s="141">
        <f>COUNTIF(V428:AL428,"&lt;&gt;0")</f>
        <v>1</v>
      </c>
      <c r="AZ428">
        <f>COUNTIF(V428:AC428,"&lt;&gt;0")</f>
        <v>1</v>
      </c>
      <c r="BA428">
        <f>COUNTIF(AD428:AI428,"&lt;&gt;0")</f>
        <v>0</v>
      </c>
      <c r="BB428">
        <f>COUNTIF(AJ428:AL428,"&lt;&gt;0")</f>
        <v>0</v>
      </c>
      <c r="BC428">
        <f>COUNTIF(AS428:AW428,"&lt;&gt;0")</f>
        <v>0</v>
      </c>
      <c r="BD428">
        <f>COUNTIF(AM428:AR428,"&lt;&gt;0")</f>
        <v>0</v>
      </c>
      <c r="BE428" t="str">
        <f t="array" ref="BE428">IF(AY428=1,INDEX($V$7:$AL$7,MATCH(TRUE,INDEX($V428:$AW428&lt;&gt;0,),0)),IF(AY428=0,INDEX($AM$7:$AW$7,MATCH(1,$AM428:$AW428,0)),IF(BF428="Multiple strategies","mixed drivers",IF(BF428="Supply chain","multiple supply","multiple silviculture"))))</f>
        <v>site fertility</v>
      </c>
      <c r="BF428" s="2" t="str" cm="1">
        <f t="array" ref="BF428">IF(COUNTIF(AZ428:BB428,"&lt;&gt;0")=1,INDEX($V$4:$AW$4,MATCH(TRUE,INDEX($V428:$AW428&lt;&gt;0,),0)),IF(COUNTIF(AZ428:BB428,"&lt;&gt;0")=0,INDEX($AM$4:$AW$4,MATCH(1,$AM428:$AW428,0)),"Multiple strategies"))</f>
        <v>SilvicultureProd</v>
      </c>
      <c r="BG428" s="1" t="s">
        <v>230</v>
      </c>
      <c r="BH428" t="s">
        <v>278</v>
      </c>
      <c r="BI428" s="266" t="s">
        <v>3108</v>
      </c>
      <c r="BJ428" t="s">
        <v>279</v>
      </c>
      <c r="BK428">
        <v>656.10508355919967</v>
      </c>
      <c r="BL428">
        <v>757.78980054033161</v>
      </c>
      <c r="BM428"/>
      <c r="BN428">
        <f>BL428-BK428</f>
        <v>101.68471698113194</v>
      </c>
      <c r="BO428">
        <f>BN428*tC_to_m3</f>
        <v>441.53155441220991</v>
      </c>
      <c r="BP428" t="s">
        <v>233</v>
      </c>
      <c r="BQ428" s="153" t="s">
        <v>3109</v>
      </c>
      <c r="BR428" t="s">
        <v>280</v>
      </c>
      <c r="BS428">
        <v>-227.6520247861325</v>
      </c>
      <c r="BT428">
        <v>-1160.011828609915</v>
      </c>
      <c r="BU428" s="144">
        <f>IFERROR(BT428/BS428,"")</f>
        <v>5.0955480395998549</v>
      </c>
      <c r="BV428">
        <f>BT428-BS428</f>
        <v>-932.3598038237825</v>
      </c>
      <c r="BW428"/>
      <c r="BX428">
        <f>BV428</f>
        <v>-932.3598038237825</v>
      </c>
      <c r="BY428">
        <f>IFERROR(BX428/BO428,"")</f>
        <v>-2.1116493136373662</v>
      </c>
      <c r="BZ428">
        <v>0</v>
      </c>
      <c r="CA428">
        <v>0</v>
      </c>
      <c r="CB428">
        <v>0</v>
      </c>
      <c r="CC428">
        <v>0</v>
      </c>
      <c r="CD428">
        <v>0</v>
      </c>
      <c r="CE428">
        <v>0</v>
      </c>
      <c r="CF428">
        <v>0</v>
      </c>
      <c r="CG428">
        <v>0</v>
      </c>
      <c r="CH428">
        <v>0</v>
      </c>
      <c r="CI428">
        <v>0</v>
      </c>
      <c r="CJ428">
        <v>0</v>
      </c>
      <c r="CK428">
        <v>0</v>
      </c>
      <c r="CL428">
        <v>0</v>
      </c>
      <c r="CM428">
        <v>0</v>
      </c>
      <c r="CN428" t="str">
        <f>IF($BL428&lt;$BK428,"refNeedCorrection","refOK")</f>
        <v>refOK</v>
      </c>
      <c r="CO428">
        <f>IF($CN428="refOK",$BK428,$BL428)</f>
        <v>656.10508355919967</v>
      </c>
      <c r="CP428">
        <f>IF($CN428="refOK",$BL428,$BK428)</f>
        <v>757.78980054033161</v>
      </c>
      <c r="CQ428">
        <f>IF($CN428="refOK",$BO428,-$BO428)</f>
        <v>441.53155441220991</v>
      </c>
      <c r="CR428">
        <f>IF($CN428="refOK",$BS428,$BT428)*IF($BP428="Emissions positive",-1,1)</f>
        <v>-227.6520247861325</v>
      </c>
      <c r="CS428">
        <f>IF($CN428="refOK",$BT428,$BS428)*IF($BP428="Emissions positive",-1,1)</f>
        <v>-1160.011828609915</v>
      </c>
      <c r="CT428">
        <f>IF($CN428="refNeedCorrection",-BX428,BX428)*IF($BP428="Emissions positive",-1,1)</f>
        <v>-932.3598038237825</v>
      </c>
      <c r="CU428">
        <f>IFERROR(CT428/CQ428,"")</f>
        <v>-2.1116493136373662</v>
      </c>
      <c r="CV428" s="2">
        <f>IFERROR((CS428-CR428)/ABS(CR428),"")</f>
        <v>-4.0955480395998549</v>
      </c>
      <c r="CW428" s="1" t="s">
        <v>235</v>
      </c>
      <c r="CX428" t="str">
        <f>IF(OR($CW428="prd",$CW428="std",$CW428="cit"),"loc",IF(OR($CW428="eur",$CW428="reg",$CW428="coy"),"reg",$CW428))</f>
        <v>loc</v>
      </c>
      <c r="CY428" t="s">
        <v>281</v>
      </c>
      <c r="CZ428"/>
      <c r="DA428"/>
      <c r="DB428">
        <v>200</v>
      </c>
      <c r="DC428" t="str">
        <f>IF(DB428=0,"0",IF(AND(DB428&gt;=1,DB428&lt;=30),"1-30",IF(AND(DB428&gt;30,DB428&lt;=70),"31-70",IF(AND(DB428&gt;70,DB428&lt;=100),"71-100",IF(DB428&gt;100,"+100")))))</f>
        <v>+100</v>
      </c>
      <c r="DD428">
        <v>0</v>
      </c>
      <c r="DE428">
        <v>0</v>
      </c>
      <c r="DF428">
        <v>0</v>
      </c>
      <c r="DG428">
        <v>1</v>
      </c>
      <c r="DH428"/>
      <c r="DI428">
        <v>1</v>
      </c>
      <c r="DJ428" t="s">
        <v>176</v>
      </c>
      <c r="DK428">
        <v>0</v>
      </c>
      <c r="DL428">
        <v>0</v>
      </c>
      <c r="DM428">
        <v>0</v>
      </c>
      <c r="DN428" t="s">
        <v>183</v>
      </c>
      <c r="DO428">
        <v>0</v>
      </c>
      <c r="DP428">
        <v>1</v>
      </c>
      <c r="DQ428">
        <v>0</v>
      </c>
      <c r="DR428" t="s">
        <v>282</v>
      </c>
      <c r="DS428">
        <v>0</v>
      </c>
      <c r="DT428">
        <v>1</v>
      </c>
      <c r="DU428" s="143" t="s">
        <v>283</v>
      </c>
      <c r="DV428">
        <v>0</v>
      </c>
      <c r="DW428">
        <v>1</v>
      </c>
      <c r="DX428">
        <v>1</v>
      </c>
      <c r="DY428">
        <v>1</v>
      </c>
      <c r="DZ428">
        <v>1</v>
      </c>
      <c r="EA428" s="143">
        <v>0</v>
      </c>
      <c r="EB428">
        <v>1</v>
      </c>
      <c r="EC428">
        <v>1</v>
      </c>
      <c r="ED428">
        <v>0</v>
      </c>
      <c r="EE428">
        <v>1</v>
      </c>
      <c r="EF428">
        <v>1</v>
      </c>
      <c r="EG428">
        <v>1</v>
      </c>
      <c r="EH428">
        <v>0</v>
      </c>
      <c r="EI428" s="2">
        <v>0</v>
      </c>
      <c r="EJ428" s="1"/>
      <c r="EK428" t="str">
        <f>IF(AND(AND(AND(OR($DX428=1,$DW428=1),OR($EC428=1,$EA428=1)),SUM($DV428:$DZ428,$EF428)&gt;=4),SUM($EA428:$EE428)&gt;=2),"Whole sector","")</f>
        <v>Whole sector</v>
      </c>
      <c r="EL428" t="str">
        <f>IF(AND(AND(OR($DX428=1,$DW428=1),AND($EC428=0,$EA428=0)),SUM($DV428:$DZ428,$EF428)&gt;=4),"Ecosystem approach","")</f>
        <v/>
      </c>
      <c r="EM428" s="2" t="str">
        <f>IF(AND(AND(AND($DX428=0,$DW428=0),OR($EC428=1,$EA428=1)),SUM($EB428:$EE428)&gt;=2),"Technology approach","")</f>
        <v/>
      </c>
      <c r="EN428"/>
      <c r="EO428"/>
      <c r="EP428"/>
      <c r="EQ428"/>
      <c r="ER428" t="s">
        <v>291</v>
      </c>
      <c r="ES428"/>
      <c r="ET428" s="266" t="s">
        <v>3275</v>
      </c>
      <c r="EU428"/>
    </row>
    <row r="429" spans="1:151" s="139" customFormat="1" ht="15" hidden="1" customHeight="1">
      <c r="A429" s="1" t="s">
        <v>616</v>
      </c>
      <c r="B429" t="s">
        <v>1721</v>
      </c>
      <c r="C429" t="s">
        <v>1722</v>
      </c>
      <c r="D429" t="s">
        <v>1723</v>
      </c>
      <c r="E429" t="s">
        <v>1724</v>
      </c>
      <c r="F429" t="s">
        <v>1725</v>
      </c>
      <c r="G429" t="s">
        <v>622</v>
      </c>
      <c r="H429" t="s">
        <v>255</v>
      </c>
      <c r="I429">
        <v>2021</v>
      </c>
      <c r="J429">
        <v>2</v>
      </c>
      <c r="K429" t="s">
        <v>1726</v>
      </c>
      <c r="L429"/>
      <c r="M429" t="str">
        <f>LEFT($D429,FIND(",",$D429)-1)&amp;"_"&amp;I429&amp;L429</f>
        <v>Hawkins_2021</v>
      </c>
      <c r="N429" t="s">
        <v>223</v>
      </c>
      <c r="O429" s="145" t="s">
        <v>514</v>
      </c>
      <c r="P429"/>
      <c r="Q429" t="s">
        <v>257</v>
      </c>
      <c r="R429" s="2" t="s">
        <v>275</v>
      </c>
      <c r="S429" s="1" t="s">
        <v>1735</v>
      </c>
      <c r="T429" t="s">
        <v>1733</v>
      </c>
      <c r="U429" t="s">
        <v>1728</v>
      </c>
      <c r="V429">
        <v>0</v>
      </c>
      <c r="W429">
        <v>0</v>
      </c>
      <c r="X429">
        <v>0</v>
      </c>
      <c r="Y429">
        <v>0</v>
      </c>
      <c r="Z429">
        <v>0</v>
      </c>
      <c r="AA429">
        <v>1</v>
      </c>
      <c r="AB429">
        <v>0</v>
      </c>
      <c r="AC429">
        <v>0</v>
      </c>
      <c r="AD429">
        <v>0</v>
      </c>
      <c r="AE429">
        <v>0</v>
      </c>
      <c r="AF429">
        <v>0</v>
      </c>
      <c r="AG429">
        <v>0</v>
      </c>
      <c r="AH429">
        <v>0</v>
      </c>
      <c r="AI429">
        <v>0</v>
      </c>
      <c r="AJ429">
        <v>0</v>
      </c>
      <c r="AK429">
        <v>0</v>
      </c>
      <c r="AL429">
        <v>0</v>
      </c>
      <c r="AM429">
        <v>0</v>
      </c>
      <c r="AN429">
        <v>0</v>
      </c>
      <c r="AO429">
        <v>0</v>
      </c>
      <c r="AP429">
        <v>0</v>
      </c>
      <c r="AQ429">
        <v>0</v>
      </c>
      <c r="AR429">
        <v>0</v>
      </c>
      <c r="AS429">
        <v>0</v>
      </c>
      <c r="AT429">
        <v>0</v>
      </c>
      <c r="AU429">
        <v>0</v>
      </c>
      <c r="AV429">
        <v>0</v>
      </c>
      <c r="AW429">
        <v>0</v>
      </c>
      <c r="AX429" s="141">
        <f>COUNTIF(V429:AW429,"&lt;&gt;0")</f>
        <v>1</v>
      </c>
      <c r="AY429" s="141">
        <f>COUNTIF(V429:AL429,"&lt;&gt;0")</f>
        <v>1</v>
      </c>
      <c r="AZ429">
        <f>COUNTIF(V429:AC429,"&lt;&gt;0")</f>
        <v>1</v>
      </c>
      <c r="BA429">
        <f>COUNTIF(AD429:AI429,"&lt;&gt;0")</f>
        <v>0</v>
      </c>
      <c r="BB429">
        <f>COUNTIF(AJ429:AL429,"&lt;&gt;0")</f>
        <v>0</v>
      </c>
      <c r="BC429">
        <f>COUNTIF(AS429:AW429,"&lt;&gt;0")</f>
        <v>0</v>
      </c>
      <c r="BD429">
        <f>COUNTIF(AM429:AR429,"&lt;&gt;0")</f>
        <v>0</v>
      </c>
      <c r="BE429" t="str">
        <f t="array" ref="BE429">IF(AY429=1,INDEX($V$7:$AL$7,MATCH(TRUE,INDEX($V429:$AW429&lt;&gt;0,),0)),IF(AY429=0,INDEX($AM$7:$AW$7,MATCH(1,$AM429:$AW429,0)),IF(BF429="Multiple strategies","mixed drivers",IF(BF429="Supply chain","multiple supply","multiple silviculture"))))</f>
        <v>plantation density</v>
      </c>
      <c r="BF429" s="2" t="str" cm="1">
        <f t="array" ref="BF429">IF(COUNTIF(AZ429:BB429,"&lt;&gt;0")=1,INDEX($V$4:$AW$4,MATCH(TRUE,INDEX($V429:$AW429&lt;&gt;0,),0)),IF(COUNTIF(AZ429:BB429,"&lt;&gt;0")=0,INDEX($AM$4:$AW$4,MATCH(1,$AM429:$AW429,0)),"Multiple strategies"))</f>
        <v>SilvicultureProd</v>
      </c>
      <c r="BG429" s="1" t="s">
        <v>230</v>
      </c>
      <c r="BH429" t="s">
        <v>230</v>
      </c>
      <c r="BI429"/>
      <c r="BJ429" t="s">
        <v>758</v>
      </c>
      <c r="BK429">
        <v>1105.3</v>
      </c>
      <c r="BL429">
        <v>1105.3</v>
      </c>
      <c r="BM429"/>
      <c r="BN429">
        <f>BL429-BK429</f>
        <v>0</v>
      </c>
      <c r="BO429">
        <f>BN429*t_to_m3</f>
        <v>0</v>
      </c>
      <c r="BP429" t="s">
        <v>233</v>
      </c>
      <c r="BQ429" s="266" t="s">
        <v>3263</v>
      </c>
      <c r="BR429" t="s">
        <v>730</v>
      </c>
      <c r="BS429" s="179">
        <v>-1400000</v>
      </c>
      <c r="BT429" s="179">
        <v>-816000</v>
      </c>
      <c r="BU429" s="144">
        <f>IFERROR(BT429/BS429,"")</f>
        <v>0.58285714285714285</v>
      </c>
      <c r="BV429" s="179">
        <f>BT429-BS429</f>
        <v>584000</v>
      </c>
      <c r="BW429" s="179"/>
      <c r="BX429">
        <f>BV429/1000</f>
        <v>584</v>
      </c>
      <c r="BY429" t="str">
        <f>IFERROR(BX429/BO429,"")</f>
        <v/>
      </c>
      <c r="BZ429">
        <v>0</v>
      </c>
      <c r="CA429">
        <v>1</v>
      </c>
      <c r="CB429">
        <v>0</v>
      </c>
      <c r="CC429">
        <v>1</v>
      </c>
      <c r="CD429">
        <v>0</v>
      </c>
      <c r="CE429">
        <v>0</v>
      </c>
      <c r="CF429">
        <v>0</v>
      </c>
      <c r="CG429">
        <v>1</v>
      </c>
      <c r="CH429">
        <v>0</v>
      </c>
      <c r="CI429">
        <v>0</v>
      </c>
      <c r="CJ429">
        <v>0</v>
      </c>
      <c r="CK429">
        <v>0</v>
      </c>
      <c r="CL429">
        <v>0</v>
      </c>
      <c r="CM429">
        <v>0</v>
      </c>
      <c r="CN429" t="str">
        <f>IF($BL429&lt;$BK429,"refNeedCorrection","refOK")</f>
        <v>refOK</v>
      </c>
      <c r="CO429">
        <f>IF($CN429="refNeedCorrection",BL429,BK429)</f>
        <v>1105.3</v>
      </c>
      <c r="CP429">
        <f>IF($CN429="refNeedCorrection",BK429,BL429)</f>
        <v>1105.3</v>
      </c>
      <c r="CQ429">
        <f>IF($CN429="refOK",$BO429,-$BO429)</f>
        <v>0</v>
      </c>
      <c r="CR429">
        <f>IF($CN429="refOK",$BS429,$BT429)*IF($BP429="Emissions positive",-1,1)</f>
        <v>-1400000</v>
      </c>
      <c r="CS429">
        <f>IF($CN429="refOK",$BT429,$BS429)*IF($BP429="Emissions positive",-1,1)</f>
        <v>-816000</v>
      </c>
      <c r="CT429">
        <f>IF($CN429="refNeedCorrection",-BX429,BX429)*IF($BP429="Emissions positive",-1,1)</f>
        <v>584</v>
      </c>
      <c r="CU429" t="str">
        <f>IFERROR(CT429/CQ429,"")</f>
        <v/>
      </c>
      <c r="CV429" s="2">
        <f>IFERROR((CS429-CR429)/ABS(CR429),"")</f>
        <v>0.41714285714285715</v>
      </c>
      <c r="CW429" s="1" t="s">
        <v>1205</v>
      </c>
      <c r="CX429" t="str">
        <f>IF(OR($CW429="prd",$CW429="std",$CW429="cit"),"loc",IF(OR($CW429="eur",$CW429="reg",$CW429="coy"),"reg",$CW429))</f>
        <v>reg</v>
      </c>
      <c r="CY429" t="s">
        <v>600</v>
      </c>
      <c r="CZ429"/>
      <c r="DA429"/>
      <c r="DB429">
        <v>100</v>
      </c>
      <c r="DC429" t="str">
        <f>IF(DB429=0,"0",IF(AND(DB429&gt;=1,DB429&lt;=30),"1-30",IF(AND(DB429&gt;30,DB429&lt;=70),"31-70",IF(AND(DB429&gt;70,DB429&lt;=100),"71-100",IF(DB429&gt;100,"+100")))))</f>
        <v>71-100</v>
      </c>
      <c r="DD429">
        <v>0</v>
      </c>
      <c r="DE429">
        <v>0</v>
      </c>
      <c r="DF429">
        <v>0</v>
      </c>
      <c r="DG429">
        <v>1</v>
      </c>
      <c r="DH429"/>
      <c r="DI429">
        <f>SUM(DD429:DG429)</f>
        <v>1</v>
      </c>
      <c r="DJ429" t="str">
        <f>IF(DI429=1,INDEX($DD$7:$DG$7,MATCH(1,$DD429:$DG429,0)),"mixedProduct")</f>
        <v>TimberInput</v>
      </c>
      <c r="DK429">
        <f>IF(DD429=1,DK$7,0)</f>
        <v>0</v>
      </c>
      <c r="DL429">
        <f>IF(DE429=1,DL$7,0)</f>
        <v>0</v>
      </c>
      <c r="DM429">
        <f>IF(DF429=1,DM$7,0)</f>
        <v>0</v>
      </c>
      <c r="DN429" t="str">
        <f>IF(DG429=1,DN$7,0)</f>
        <v>Timber</v>
      </c>
      <c r="DO429">
        <v>0</v>
      </c>
      <c r="DP429">
        <v>0</v>
      </c>
      <c r="DQ429">
        <v>0</v>
      </c>
      <c r="DR429">
        <v>0</v>
      </c>
      <c r="DS429">
        <v>0</v>
      </c>
      <c r="DT429">
        <f>SUM(DO429:DP429)</f>
        <v>0</v>
      </c>
      <c r="DU429" s="143" t="str">
        <f>IF(DO429=1,"self-calculated DF",IF(DP429=1,"external DF used","explicit C balance"))</f>
        <v>explicit C balance</v>
      </c>
      <c r="DV429">
        <v>0</v>
      </c>
      <c r="DW429">
        <v>0</v>
      </c>
      <c r="DX429">
        <v>1</v>
      </c>
      <c r="DY429">
        <v>1</v>
      </c>
      <c r="DZ429">
        <v>1</v>
      </c>
      <c r="EA429">
        <v>1</v>
      </c>
      <c r="EB429">
        <v>1</v>
      </c>
      <c r="EC429">
        <v>1</v>
      </c>
      <c r="ED429">
        <v>1</v>
      </c>
      <c r="EE429">
        <v>1</v>
      </c>
      <c r="EF429">
        <v>1</v>
      </c>
      <c r="EG429">
        <v>1</v>
      </c>
      <c r="EH429">
        <v>0</v>
      </c>
      <c r="EI429" s="2">
        <v>0</v>
      </c>
      <c r="EJ429" s="1"/>
      <c r="EK429" t="str">
        <f>IF(AND(AND(AND(OR($DX429=1,$DW429=1),OR($EC429=1,$EA429=1)),SUM($DV429:$DZ429,$EF429)&gt;=4),SUM($EA429:$EE429)&gt;=2),"Whole sector","")</f>
        <v>Whole sector</v>
      </c>
      <c r="EL429" t="str">
        <f>IF(AND(AND(OR($DX429=1,$DW429=1),AND($EC429=0,$EA429=0)),SUM($DV429:$DZ429,$EF429)&gt;=4),"Ecosystem approach","")</f>
        <v/>
      </c>
      <c r="EM429" s="2" t="str">
        <f>IF(AND(AND(AND($DX429=0,$DW429=0),OR($EC429=1,$EA429=1)),SUM($EB429:$EE429)&gt;=2),"Technology approach","")</f>
        <v/>
      </c>
      <c r="EN429" t="s">
        <v>1734</v>
      </c>
      <c r="EO429"/>
      <c r="EP429" t="b">
        <f>IF(ISNUMBER(BU429),IF(ABS(BU429-[3]QC_indicators!$B$2)&gt;3*[3]QC_indicators!$C$2,"C ratio",IF(ISNUMBER(BY429),IF(ABS(BY429-[3]QC_indicators!$B$1)&gt;3*[3]QC_indicators!$C$1,"DF","no"))),IF(ISNUMBER(BY429),IF(ABS(BY429-[3]QC_indicators!$B$1)&gt;3*[3]QC_indicators!$C$1,"DF","no")))</f>
        <v>0</v>
      </c>
      <c r="EQ429"/>
      <c r="ER429"/>
      <c r="ES429"/>
      <c r="ET429" s="266" t="s">
        <v>3153</v>
      </c>
      <c r="EU429"/>
    </row>
    <row r="430" spans="1:151" s="139" customFormat="1" ht="15" hidden="1" customHeight="1">
      <c r="A430" s="1" t="s">
        <v>616</v>
      </c>
      <c r="B430" t="s">
        <v>1721</v>
      </c>
      <c r="C430" t="s">
        <v>1722</v>
      </c>
      <c r="D430" t="s">
        <v>1723</v>
      </c>
      <c r="E430" t="s">
        <v>1724</v>
      </c>
      <c r="F430" t="s">
        <v>1725</v>
      </c>
      <c r="G430" t="s">
        <v>622</v>
      </c>
      <c r="H430" t="s">
        <v>255</v>
      </c>
      <c r="I430">
        <v>2021</v>
      </c>
      <c r="J430">
        <v>2</v>
      </c>
      <c r="K430" t="s">
        <v>1726</v>
      </c>
      <c r="L430"/>
      <c r="M430" t="str">
        <f>LEFT($D430,FIND(",",$D430)-1)&amp;"_"&amp;I430&amp;L430</f>
        <v>Hawkins_2021</v>
      </c>
      <c r="N430" t="s">
        <v>223</v>
      </c>
      <c r="O430" s="145" t="s">
        <v>514</v>
      </c>
      <c r="P430"/>
      <c r="Q430" t="s">
        <v>257</v>
      </c>
      <c r="R430" s="2" t="s">
        <v>275</v>
      </c>
      <c r="S430" s="1" t="s">
        <v>1732</v>
      </c>
      <c r="T430" t="s">
        <v>1733</v>
      </c>
      <c r="U430" t="s">
        <v>1728</v>
      </c>
      <c r="V430">
        <v>0</v>
      </c>
      <c r="W430">
        <v>0</v>
      </c>
      <c r="X430">
        <v>0</v>
      </c>
      <c r="Y430">
        <v>0</v>
      </c>
      <c r="Z430">
        <v>0</v>
      </c>
      <c r="AA430">
        <v>1</v>
      </c>
      <c r="AB430">
        <v>0</v>
      </c>
      <c r="AC430">
        <v>0</v>
      </c>
      <c r="AD430">
        <v>0</v>
      </c>
      <c r="AE430">
        <v>0</v>
      </c>
      <c r="AF430">
        <v>0</v>
      </c>
      <c r="AG430">
        <v>0</v>
      </c>
      <c r="AH430">
        <v>0</v>
      </c>
      <c r="AI430">
        <v>0</v>
      </c>
      <c r="AJ430">
        <v>0</v>
      </c>
      <c r="AK430">
        <v>0</v>
      </c>
      <c r="AL430">
        <v>0</v>
      </c>
      <c r="AM430">
        <v>0</v>
      </c>
      <c r="AN430">
        <v>0</v>
      </c>
      <c r="AO430">
        <v>0</v>
      </c>
      <c r="AP430">
        <v>0</v>
      </c>
      <c r="AQ430">
        <v>0</v>
      </c>
      <c r="AR430">
        <v>0</v>
      </c>
      <c r="AS430">
        <v>0</v>
      </c>
      <c r="AT430">
        <v>0</v>
      </c>
      <c r="AU430">
        <v>0</v>
      </c>
      <c r="AV430">
        <v>0</v>
      </c>
      <c r="AW430">
        <v>0</v>
      </c>
      <c r="AX430" s="141">
        <f>COUNTIF(V430:AW430,"&lt;&gt;0")</f>
        <v>1</v>
      </c>
      <c r="AY430" s="141">
        <f>COUNTIF(V430:AL430,"&lt;&gt;0")</f>
        <v>1</v>
      </c>
      <c r="AZ430">
        <f>COUNTIF(V430:AC430,"&lt;&gt;0")</f>
        <v>1</v>
      </c>
      <c r="BA430">
        <f>COUNTIF(AD430:AI430,"&lt;&gt;0")</f>
        <v>0</v>
      </c>
      <c r="BB430">
        <f>COUNTIF(AJ430:AL430,"&lt;&gt;0")</f>
        <v>0</v>
      </c>
      <c r="BC430">
        <f>COUNTIF(AS430:AW430,"&lt;&gt;0")</f>
        <v>0</v>
      </c>
      <c r="BD430">
        <f>COUNTIF(AM430:AR430,"&lt;&gt;0")</f>
        <v>0</v>
      </c>
      <c r="BE430" t="str">
        <f t="array" ref="BE430">IF(AY430=1,INDEX($V$7:$AL$7,MATCH(TRUE,INDEX($V430:$AW430&lt;&gt;0,),0)),IF(AY430=0,INDEX($AM$7:$AW$7,MATCH(1,$AM430:$AW430,0)),IF(BF430="Multiple strategies","mixed drivers",IF(BF430="Supply chain","multiple supply","multiple silviculture"))))</f>
        <v>plantation density</v>
      </c>
      <c r="BF430" s="2" t="str" cm="1">
        <f t="array" ref="BF430">IF(COUNTIF(AZ430:BB430,"&lt;&gt;0")=1,INDEX($V$4:$AW$4,MATCH(TRUE,INDEX($V430:$AW430&lt;&gt;0,),0)),IF(COUNTIF(AZ430:BB430,"&lt;&gt;0")=0,INDEX($AM$4:$AW$4,MATCH(1,$AM430:$AW430,0)),"Multiple strategies"))</f>
        <v>SilvicultureProd</v>
      </c>
      <c r="BG430" s="1" t="s">
        <v>230</v>
      </c>
      <c r="BH430" t="s">
        <v>230</v>
      </c>
      <c r="BI430"/>
      <c r="BJ430" t="s">
        <v>758</v>
      </c>
      <c r="BK430">
        <v>1105.3</v>
      </c>
      <c r="BL430">
        <v>1105.3</v>
      </c>
      <c r="BM430"/>
      <c r="BN430">
        <f>BL430-BK430</f>
        <v>0</v>
      </c>
      <c r="BO430">
        <f>BN430*t_to_m3</f>
        <v>0</v>
      </c>
      <c r="BP430" t="s">
        <v>233</v>
      </c>
      <c r="BQ430" s="266" t="s">
        <v>3263</v>
      </c>
      <c r="BR430" t="s">
        <v>730</v>
      </c>
      <c r="BS430" s="179">
        <v>-745000</v>
      </c>
      <c r="BT430" s="179">
        <v>10200</v>
      </c>
      <c r="BU430" s="144">
        <f>IFERROR(BT430/BS430,"")</f>
        <v>-1.3691275167785235E-2</v>
      </c>
      <c r="BV430" s="179">
        <f>BT430-BS430</f>
        <v>755200</v>
      </c>
      <c r="BW430" s="179"/>
      <c r="BX430">
        <f>BV430/1000</f>
        <v>755.2</v>
      </c>
      <c r="BY430" t="str">
        <f>IFERROR(BX430/BO430,"")</f>
        <v/>
      </c>
      <c r="BZ430">
        <v>0</v>
      </c>
      <c r="CA430">
        <v>1</v>
      </c>
      <c r="CB430">
        <v>0</v>
      </c>
      <c r="CC430">
        <v>1</v>
      </c>
      <c r="CD430">
        <v>0</v>
      </c>
      <c r="CE430">
        <v>0</v>
      </c>
      <c r="CF430">
        <v>0</v>
      </c>
      <c r="CG430">
        <v>1</v>
      </c>
      <c r="CH430">
        <v>0</v>
      </c>
      <c r="CI430">
        <v>0</v>
      </c>
      <c r="CJ430">
        <v>0</v>
      </c>
      <c r="CK430">
        <v>0</v>
      </c>
      <c r="CL430">
        <v>0</v>
      </c>
      <c r="CM430">
        <v>0</v>
      </c>
      <c r="CN430" t="str">
        <f>IF($BL430&lt;$BK430,"refNeedCorrection","refOK")</f>
        <v>refOK</v>
      </c>
      <c r="CO430">
        <f>IF($CN430="refNeedCorrection",BL430,BK430)</f>
        <v>1105.3</v>
      </c>
      <c r="CP430">
        <f>IF($CN430="refNeedCorrection",BK430,BL430)</f>
        <v>1105.3</v>
      </c>
      <c r="CQ430">
        <f>IF($CN430="refOK",$BO430,-$BO430)</f>
        <v>0</v>
      </c>
      <c r="CR430">
        <f>IF($CN430="refOK",$BS430,$BT430)*IF($BP430="Emissions positive",-1,1)</f>
        <v>-745000</v>
      </c>
      <c r="CS430">
        <f>IF($CN430="refOK",$BT430,$BS430)*IF($BP430="Emissions positive",-1,1)</f>
        <v>10200</v>
      </c>
      <c r="CT430">
        <f>IF($CN430="refNeedCorrection",-BX430,BX430)*IF($BP430="Emissions positive",-1,1)</f>
        <v>755.2</v>
      </c>
      <c r="CU430" t="str">
        <f>IFERROR(CT430/CQ430,"")</f>
        <v/>
      </c>
      <c r="CV430" s="2">
        <f>IFERROR((CS430-CR430)/ABS(CR430),"")</f>
        <v>1.0136912751677853</v>
      </c>
      <c r="CW430" s="1" t="s">
        <v>1205</v>
      </c>
      <c r="CX430" t="str">
        <f>IF(OR($CW430="prd",$CW430="std",$CW430="cit"),"loc",IF(OR($CW430="eur",$CW430="reg",$CW430="coy"),"reg",$CW430))</f>
        <v>reg</v>
      </c>
      <c r="CY430" t="s">
        <v>600</v>
      </c>
      <c r="CZ430"/>
      <c r="DA430"/>
      <c r="DB430">
        <v>35</v>
      </c>
      <c r="DC430" t="str">
        <f>IF(DB430=0,"0",IF(AND(DB430&gt;=1,DB430&lt;=30),"1-30",IF(AND(DB430&gt;30,DB430&lt;=70),"31-70",IF(AND(DB430&gt;70,DB430&lt;=100),"71-100",IF(DB430&gt;100,"+100")))))</f>
        <v>31-70</v>
      </c>
      <c r="DD430">
        <v>0</v>
      </c>
      <c r="DE430">
        <v>0</v>
      </c>
      <c r="DF430">
        <v>0</v>
      </c>
      <c r="DG430">
        <v>1</v>
      </c>
      <c r="DH430"/>
      <c r="DI430">
        <f>SUM(DD430:DG430)</f>
        <v>1</v>
      </c>
      <c r="DJ430" t="str">
        <f>IF(DI430=1,INDEX($DD$7:$DG$7,MATCH(1,$DD430:$DG430,0)),"mixedProduct")</f>
        <v>TimberInput</v>
      </c>
      <c r="DK430">
        <f>IF(DD430=1,DK$7,0)</f>
        <v>0</v>
      </c>
      <c r="DL430">
        <f>IF(DE430=1,DL$7,0)</f>
        <v>0</v>
      </c>
      <c r="DM430">
        <f>IF(DF430=1,DM$7,0)</f>
        <v>0</v>
      </c>
      <c r="DN430" t="str">
        <f>IF(DG430=1,DN$7,0)</f>
        <v>Timber</v>
      </c>
      <c r="DO430">
        <v>0</v>
      </c>
      <c r="DP430">
        <v>0</v>
      </c>
      <c r="DQ430">
        <v>0</v>
      </c>
      <c r="DR430">
        <v>0</v>
      </c>
      <c r="DS430">
        <v>0</v>
      </c>
      <c r="DT430">
        <f>SUM(DO430:DP430)</f>
        <v>0</v>
      </c>
      <c r="DU430" s="143" t="str">
        <f>IF(DO430=1,"self-calculated DF",IF(DP430=1,"external DF used","explicit C balance"))</f>
        <v>explicit C balance</v>
      </c>
      <c r="DV430">
        <v>0</v>
      </c>
      <c r="DW430">
        <v>0</v>
      </c>
      <c r="DX430">
        <v>1</v>
      </c>
      <c r="DY430">
        <v>1</v>
      </c>
      <c r="DZ430">
        <v>1</v>
      </c>
      <c r="EA430">
        <v>1</v>
      </c>
      <c r="EB430">
        <v>1</v>
      </c>
      <c r="EC430">
        <v>1</v>
      </c>
      <c r="ED430">
        <v>1</v>
      </c>
      <c r="EE430">
        <v>1</v>
      </c>
      <c r="EF430">
        <v>1</v>
      </c>
      <c r="EG430">
        <v>1</v>
      </c>
      <c r="EH430">
        <v>0</v>
      </c>
      <c r="EI430" s="2">
        <v>0</v>
      </c>
      <c r="EJ430" s="1"/>
      <c r="EK430" t="str">
        <f>IF(AND(AND(AND(OR($DX430=1,$DW430=1),OR($EC430=1,$EA430=1)),SUM($DV430:$DZ430,$EF430)&gt;=4),SUM($EA430:$EE430)&gt;=2),"Whole sector","")</f>
        <v>Whole sector</v>
      </c>
      <c r="EL430" t="str">
        <f>IF(AND(AND(OR($DX430=1,$DW430=1),AND($EC430=0,$EA430=0)),SUM($DV430:$DZ430,$EF430)&gt;=4),"Ecosystem approach","")</f>
        <v/>
      </c>
      <c r="EM430" s="2" t="str">
        <f>IF(AND(AND(AND($DX430=0,$DW430=0),OR($EC430=1,$EA430=1)),SUM($EB430:$EE430)&gt;=2),"Technology approach","")</f>
        <v/>
      </c>
      <c r="EN430" t="s">
        <v>1734</v>
      </c>
      <c r="EO430"/>
      <c r="EP430" t="b">
        <f>IF(ISNUMBER(BU430),IF(ABS(BU430-[3]QC_indicators!$B$2)&gt;3*[3]QC_indicators!$C$2,"C ratio",IF(ISNUMBER(BY430),IF(ABS(BY430-[3]QC_indicators!$B$1)&gt;3*[3]QC_indicators!$C$1,"DF","no"))),IF(ISNUMBER(BY430),IF(ABS(BY430-[3]QC_indicators!$B$1)&gt;3*[3]QC_indicators!$C$1,"DF","no")))</f>
        <v>0</v>
      </c>
      <c r="EQ430"/>
      <c r="ER430"/>
      <c r="ES430"/>
      <c r="ET430" s="266" t="s">
        <v>3153</v>
      </c>
      <c r="EU430"/>
    </row>
    <row r="431" spans="1:151" s="139" customFormat="1" ht="15" hidden="1" customHeight="1">
      <c r="A431" s="1" t="s">
        <v>616</v>
      </c>
      <c r="B431" t="s">
        <v>1721</v>
      </c>
      <c r="C431" t="s">
        <v>1722</v>
      </c>
      <c r="D431" t="s">
        <v>1723</v>
      </c>
      <c r="E431" t="s">
        <v>1724</v>
      </c>
      <c r="F431" t="s">
        <v>1725</v>
      </c>
      <c r="G431" t="s">
        <v>622</v>
      </c>
      <c r="H431" t="s">
        <v>255</v>
      </c>
      <c r="I431">
        <v>2021</v>
      </c>
      <c r="J431">
        <v>2</v>
      </c>
      <c r="K431" t="s">
        <v>1726</v>
      </c>
      <c r="L431"/>
      <c r="M431" t="str">
        <f>LEFT($D431,FIND(",",$D431)-1)&amp;"_"&amp;I431&amp;L431</f>
        <v>Hawkins_2021</v>
      </c>
      <c r="N431" t="s">
        <v>223</v>
      </c>
      <c r="O431" s="145" t="s">
        <v>514</v>
      </c>
      <c r="P431"/>
      <c r="Q431" t="s">
        <v>257</v>
      </c>
      <c r="R431" s="2" t="s">
        <v>275</v>
      </c>
      <c r="S431" s="1" t="s">
        <v>1736</v>
      </c>
      <c r="T431" t="s">
        <v>1733</v>
      </c>
      <c r="U431" t="s">
        <v>1728</v>
      </c>
      <c r="V431">
        <v>0</v>
      </c>
      <c r="W431">
        <v>0</v>
      </c>
      <c r="X431">
        <v>0</v>
      </c>
      <c r="Y431">
        <v>0</v>
      </c>
      <c r="Z431">
        <v>0</v>
      </c>
      <c r="AA431">
        <v>1</v>
      </c>
      <c r="AB431">
        <v>0</v>
      </c>
      <c r="AC431">
        <v>0</v>
      </c>
      <c r="AD431">
        <v>0</v>
      </c>
      <c r="AE431">
        <v>0</v>
      </c>
      <c r="AF431">
        <v>0</v>
      </c>
      <c r="AG431">
        <v>0</v>
      </c>
      <c r="AH431">
        <v>0</v>
      </c>
      <c r="AI431">
        <v>0</v>
      </c>
      <c r="AJ431">
        <v>0</v>
      </c>
      <c r="AK431">
        <v>0</v>
      </c>
      <c r="AL431">
        <v>0</v>
      </c>
      <c r="AM431">
        <v>0</v>
      </c>
      <c r="AN431">
        <v>0</v>
      </c>
      <c r="AO431">
        <v>0</v>
      </c>
      <c r="AP431">
        <v>0</v>
      </c>
      <c r="AQ431">
        <v>0</v>
      </c>
      <c r="AR431">
        <v>0</v>
      </c>
      <c r="AS431">
        <v>0</v>
      </c>
      <c r="AT431">
        <v>0</v>
      </c>
      <c r="AU431">
        <v>0</v>
      </c>
      <c r="AV431">
        <v>0</v>
      </c>
      <c r="AW431">
        <v>0</v>
      </c>
      <c r="AX431" s="141">
        <f>COUNTIF(V431:AW431,"&lt;&gt;0")</f>
        <v>1</v>
      </c>
      <c r="AY431" s="141">
        <f>COUNTIF(V431:AL431,"&lt;&gt;0")</f>
        <v>1</v>
      </c>
      <c r="AZ431">
        <f>COUNTIF(V431:AC431,"&lt;&gt;0")</f>
        <v>1</v>
      </c>
      <c r="BA431">
        <f>COUNTIF(AD431:AI431,"&lt;&gt;0")</f>
        <v>0</v>
      </c>
      <c r="BB431">
        <f>COUNTIF(AJ431:AL431,"&lt;&gt;0")</f>
        <v>0</v>
      </c>
      <c r="BC431">
        <f>COUNTIF(AS431:AW431,"&lt;&gt;0")</f>
        <v>0</v>
      </c>
      <c r="BD431">
        <f>COUNTIF(AM431:AR431,"&lt;&gt;0")</f>
        <v>0</v>
      </c>
      <c r="BE431" t="str">
        <f t="array" ref="BE431">IF(AY431=1,INDEX($V$7:$AL$7,MATCH(TRUE,INDEX($V431:$AW431&lt;&gt;0,),0)),IF(AY431=0,INDEX($AM$7:$AW$7,MATCH(1,$AM431:$AW431,0)),IF(BF431="Multiple strategies","mixed drivers",IF(BF431="Supply chain","multiple supply","multiple silviculture"))))</f>
        <v>plantation density</v>
      </c>
      <c r="BF431" s="2" t="str" cm="1">
        <f t="array" ref="BF431">IF(COUNTIF(AZ431:BB431,"&lt;&gt;0")=1,INDEX($V$4:$AW$4,MATCH(TRUE,INDEX($V431:$AW431&lt;&gt;0,),0)),IF(COUNTIF(AZ431:BB431,"&lt;&gt;0")=0,INDEX($AM$4:$AW$4,MATCH(1,$AM431:$AW431,0)),"Multiple strategies"))</f>
        <v>SilvicultureProd</v>
      </c>
      <c r="BG431" s="1" t="s">
        <v>230</v>
      </c>
      <c r="BH431" t="s">
        <v>230</v>
      </c>
      <c r="BI431"/>
      <c r="BJ431" t="s">
        <v>758</v>
      </c>
      <c r="BK431">
        <v>1105.3</v>
      </c>
      <c r="BL431">
        <v>1105.3</v>
      </c>
      <c r="BM431"/>
      <c r="BN431">
        <f>BL431-BK431</f>
        <v>0</v>
      </c>
      <c r="BO431">
        <f>BN431*t_to_m3</f>
        <v>0</v>
      </c>
      <c r="BP431" t="s">
        <v>233</v>
      </c>
      <c r="BQ431" s="266" t="s">
        <v>3263</v>
      </c>
      <c r="BR431" t="s">
        <v>730</v>
      </c>
      <c r="BS431" s="179">
        <v>-1310000</v>
      </c>
      <c r="BT431" s="179">
        <v>-1310000</v>
      </c>
      <c r="BU431" s="144">
        <f>IFERROR(BT431/BS431,"")</f>
        <v>1</v>
      </c>
      <c r="BV431" s="179">
        <f>BT431-BS431</f>
        <v>0</v>
      </c>
      <c r="BW431" s="179"/>
      <c r="BX431">
        <f>BV431/1000</f>
        <v>0</v>
      </c>
      <c r="BY431" t="str">
        <f>IFERROR(BX431/BO431,"")</f>
        <v/>
      </c>
      <c r="BZ431">
        <v>0</v>
      </c>
      <c r="CA431">
        <v>1</v>
      </c>
      <c r="CB431">
        <v>0</v>
      </c>
      <c r="CC431">
        <v>1</v>
      </c>
      <c r="CD431">
        <v>0</v>
      </c>
      <c r="CE431">
        <v>0</v>
      </c>
      <c r="CF431">
        <v>0</v>
      </c>
      <c r="CG431">
        <v>1</v>
      </c>
      <c r="CH431">
        <v>0</v>
      </c>
      <c r="CI431">
        <v>0</v>
      </c>
      <c r="CJ431">
        <v>0</v>
      </c>
      <c r="CK431">
        <v>0</v>
      </c>
      <c r="CL431">
        <v>0</v>
      </c>
      <c r="CM431">
        <v>0</v>
      </c>
      <c r="CN431" t="str">
        <f>IF($BL431&lt;$BK431,"refNeedCorrection","refOK")</f>
        <v>refOK</v>
      </c>
      <c r="CO431">
        <f>IF($CN431="refNeedCorrection",BL431,BK431)</f>
        <v>1105.3</v>
      </c>
      <c r="CP431">
        <f>IF($CN431="refNeedCorrection",BK431,BL431)</f>
        <v>1105.3</v>
      </c>
      <c r="CQ431">
        <f>IF($CN431="refOK",$BO431,-$BO431)</f>
        <v>0</v>
      </c>
      <c r="CR431">
        <f>IF($CN431="refOK",$BS431,$BT431)*IF($BP431="Emissions positive",-1,1)</f>
        <v>-1310000</v>
      </c>
      <c r="CS431">
        <f>IF($CN431="refOK",$BT431,$BS431)*IF($BP431="Emissions positive",-1,1)</f>
        <v>-1310000</v>
      </c>
      <c r="CT431">
        <f>IF($CN431="refNeedCorrection",-BX431,BX431)*IF($BP431="Emissions positive",-1,1)</f>
        <v>0</v>
      </c>
      <c r="CU431" t="str">
        <f>IFERROR(CT431/CQ431,"")</f>
        <v/>
      </c>
      <c r="CV431" s="2">
        <f>IFERROR((CS431-CR431)/ABS(CR431),"")</f>
        <v>0</v>
      </c>
      <c r="CW431" s="1" t="s">
        <v>1205</v>
      </c>
      <c r="CX431" t="str">
        <f>IF(OR($CW431="prd",$CW431="std",$CW431="cit"),"loc",IF(OR($CW431="eur",$CW431="reg",$CW431="coy"),"reg",$CW431))</f>
        <v>reg</v>
      </c>
      <c r="CY431" t="s">
        <v>600</v>
      </c>
      <c r="CZ431"/>
      <c r="DA431"/>
      <c r="DB431">
        <v>2</v>
      </c>
      <c r="DC431" t="str">
        <f>IF(DB431=0,"0",IF(AND(DB431&gt;=1,DB431&lt;=30),"1-30",IF(AND(DB431&gt;30,DB431&lt;=70),"31-70",IF(AND(DB431&gt;70,DB431&lt;=100),"71-100",IF(DB431&gt;100,"+100")))))</f>
        <v>1-30</v>
      </c>
      <c r="DD431">
        <v>0</v>
      </c>
      <c r="DE431">
        <v>0</v>
      </c>
      <c r="DF431">
        <v>0</v>
      </c>
      <c r="DG431">
        <v>1</v>
      </c>
      <c r="DH431"/>
      <c r="DI431">
        <f>SUM(DD431:DG431)</f>
        <v>1</v>
      </c>
      <c r="DJ431" t="str">
        <f>IF(DI431=1,INDEX($DD$7:$DG$7,MATCH(1,$DD431:$DG431,0)),"mixedProduct")</f>
        <v>TimberInput</v>
      </c>
      <c r="DK431">
        <f>IF(DD431=1,DK$7,0)</f>
        <v>0</v>
      </c>
      <c r="DL431">
        <f>IF(DE431=1,DL$7,0)</f>
        <v>0</v>
      </c>
      <c r="DM431">
        <f>IF(DF431=1,DM$7,0)</f>
        <v>0</v>
      </c>
      <c r="DN431" t="str">
        <f>IF(DG431=1,DN$7,0)</f>
        <v>Timber</v>
      </c>
      <c r="DO431">
        <v>0</v>
      </c>
      <c r="DP431">
        <v>0</v>
      </c>
      <c r="DQ431">
        <v>0</v>
      </c>
      <c r="DR431">
        <v>0</v>
      </c>
      <c r="DS431">
        <v>0</v>
      </c>
      <c r="DT431">
        <f>SUM(DO431:DP431)</f>
        <v>0</v>
      </c>
      <c r="DU431" s="143" t="str">
        <f>IF(DO431=1,"self-calculated DF",IF(DP431=1,"external DF used","explicit C balance"))</f>
        <v>explicit C balance</v>
      </c>
      <c r="DV431">
        <v>0</v>
      </c>
      <c r="DW431">
        <v>0</v>
      </c>
      <c r="DX431">
        <v>1</v>
      </c>
      <c r="DY431">
        <v>1</v>
      </c>
      <c r="DZ431">
        <v>1</v>
      </c>
      <c r="EA431">
        <v>1</v>
      </c>
      <c r="EB431">
        <v>1</v>
      </c>
      <c r="EC431">
        <v>1</v>
      </c>
      <c r="ED431">
        <v>1</v>
      </c>
      <c r="EE431">
        <v>1</v>
      </c>
      <c r="EF431">
        <v>1</v>
      </c>
      <c r="EG431">
        <v>1</v>
      </c>
      <c r="EH431">
        <v>0</v>
      </c>
      <c r="EI431" s="2">
        <v>0</v>
      </c>
      <c r="EJ431" s="1"/>
      <c r="EK431" t="str">
        <f>IF(AND(AND(AND(OR($DX431=1,$DW431=1),OR($EC431=1,$EA431=1)),SUM($DV431:$DZ431,$EF431)&gt;=4),SUM($EA431:$EE431)&gt;=2),"Whole sector","")</f>
        <v>Whole sector</v>
      </c>
      <c r="EL431" t="str">
        <f>IF(AND(AND(OR($DX431=1,$DW431=1),AND($EC431=0,$EA431=0)),SUM($DV431:$DZ431,$EF431)&gt;=4),"Ecosystem approach","")</f>
        <v/>
      </c>
      <c r="EM431" s="2" t="str">
        <f>IF(AND(AND(AND($DX431=0,$DW431=0),OR($EC431=1,$EA431=1)),SUM($EB431:$EE431)&gt;=2),"Technology approach","")</f>
        <v/>
      </c>
      <c r="EN431" t="s">
        <v>1734</v>
      </c>
      <c r="EO431"/>
      <c r="EP431" t="b">
        <f>IF(ISNUMBER(BU431),IF(ABS(BU431-[3]QC_indicators!$B$2)&gt;3*[3]QC_indicators!$C$2,"C ratio",IF(ISNUMBER(BY431),IF(ABS(BY431-[3]QC_indicators!$B$1)&gt;3*[3]QC_indicators!$C$1,"DF","no"))),IF(ISNUMBER(BY431),IF(ABS(BY431-[3]QC_indicators!$B$1)&gt;3*[3]QC_indicators!$C$1,"DF","no")))</f>
        <v>0</v>
      </c>
      <c r="EQ431"/>
      <c r="ER431"/>
      <c r="ES431"/>
      <c r="ET431" s="266" t="s">
        <v>3153</v>
      </c>
      <c r="EU431"/>
    </row>
    <row r="432" spans="1:151" s="139" customFormat="1" ht="15" hidden="1" customHeight="1">
      <c r="A432" s="1"/>
      <c r="B432"/>
      <c r="C432"/>
      <c r="D432" t="s">
        <v>735</v>
      </c>
      <c r="E432" t="s">
        <v>736</v>
      </c>
      <c r="F432"/>
      <c r="G432" t="s">
        <v>737</v>
      </c>
      <c r="H432"/>
      <c r="I432">
        <v>2005</v>
      </c>
      <c r="J432"/>
      <c r="K432" s="156" t="s">
        <v>738</v>
      </c>
      <c r="L432"/>
      <c r="M432" t="str">
        <f>LEFT($D432,FIND(",",$D432)-1)&amp;"_"&amp;I432&amp;L432</f>
        <v>Gustavsson_2005</v>
      </c>
      <c r="N432" t="s">
        <v>223</v>
      </c>
      <c r="O432" t="s">
        <v>224</v>
      </c>
      <c r="P432"/>
      <c r="Q432" t="s">
        <v>257</v>
      </c>
      <c r="R432" s="255" t="s">
        <v>226</v>
      </c>
      <c r="S432" s="1" t="s">
        <v>751</v>
      </c>
      <c r="T432" t="s">
        <v>752</v>
      </c>
      <c r="U432" s="266" t="s">
        <v>753</v>
      </c>
      <c r="V432">
        <v>0</v>
      </c>
      <c r="W432">
        <v>0</v>
      </c>
      <c r="X432">
        <v>0</v>
      </c>
      <c r="Y432">
        <v>0</v>
      </c>
      <c r="Z432">
        <v>0</v>
      </c>
      <c r="AA432">
        <v>0</v>
      </c>
      <c r="AB432">
        <v>0</v>
      </c>
      <c r="AC432">
        <v>1</v>
      </c>
      <c r="AD432">
        <v>0</v>
      </c>
      <c r="AE432">
        <v>0</v>
      </c>
      <c r="AF432">
        <v>0</v>
      </c>
      <c r="AG432">
        <v>0</v>
      </c>
      <c r="AH432">
        <v>0</v>
      </c>
      <c r="AI432">
        <v>0</v>
      </c>
      <c r="AJ432">
        <v>0</v>
      </c>
      <c r="AK432">
        <v>0</v>
      </c>
      <c r="AL432">
        <v>0</v>
      </c>
      <c r="AM432">
        <v>0</v>
      </c>
      <c r="AN432">
        <v>0</v>
      </c>
      <c r="AO432">
        <v>0</v>
      </c>
      <c r="AP432">
        <v>0</v>
      </c>
      <c r="AQ432">
        <v>0</v>
      </c>
      <c r="AR432">
        <v>0</v>
      </c>
      <c r="AS432">
        <v>0</v>
      </c>
      <c r="AT432">
        <v>0</v>
      </c>
      <c r="AU432">
        <v>0</v>
      </c>
      <c r="AV432">
        <v>0</v>
      </c>
      <c r="AW432">
        <v>0</v>
      </c>
      <c r="AX432" s="141">
        <f>COUNTIF(V432:AW432,"&lt;&gt;0")</f>
        <v>1</v>
      </c>
      <c r="AY432" s="141">
        <f>COUNTIF(V432:AL432,"&lt;&gt;0")</f>
        <v>1</v>
      </c>
      <c r="AZ432">
        <f>COUNTIF(V432:AC432,"&lt;&gt;0")</f>
        <v>1</v>
      </c>
      <c r="BA432">
        <f>COUNTIF(AD432:AI432,"&lt;&gt;0")</f>
        <v>0</v>
      </c>
      <c r="BB432">
        <f>COUNTIF(AJ432:AL432,"&lt;&gt;0")</f>
        <v>0</v>
      </c>
      <c r="BC432">
        <f>COUNTIF(AS432:AW432,"&lt;&gt;0")</f>
        <v>0</v>
      </c>
      <c r="BD432">
        <f>COUNTIF(AM432:AR432,"&lt;&gt;0")</f>
        <v>0</v>
      </c>
      <c r="BE432" t="str">
        <f t="array" ref="BE432">IF(AY432=1,INDEX($V$7:$AL$7,MATCH(TRUE,INDEX($V432:$AW432&lt;&gt;0,),0)),IF(AY432=0,INDEX($AM$7:$AW$7,MATCH(1,$AM432:$AW432,0)),IF(BF432="Multiple strategies","mixed drivers",IF(BF432="Supply chain","multiple supply","multiple silviculture"))))</f>
        <v>site fertility</v>
      </c>
      <c r="BF432" s="2" t="str" cm="1">
        <f t="array" ref="BF432">IF(COUNTIF(AZ432:BB432,"&lt;&gt;0")=1,INDEX($V$4:$AW$4,MATCH(TRUE,INDEX($V432:$AW432&lt;&gt;0,),0)),IF(COUNTIF(AZ432:BB432,"&lt;&gt;0")=0,INDEX($AM$4:$AW$4,MATCH(1,$AM432:$AW432,0)),"Multiple strategies"))</f>
        <v>SilvicultureProd</v>
      </c>
      <c r="BG432" s="265" t="s">
        <v>322</v>
      </c>
      <c r="BH432" s="266" t="s">
        <v>742</v>
      </c>
      <c r="BI432" s="266" t="s">
        <v>3338</v>
      </c>
      <c r="BJ432" s="266" t="s">
        <v>743</v>
      </c>
      <c r="BK432" s="266">
        <v>107.6</v>
      </c>
      <c r="BL432" s="266">
        <v>107.6</v>
      </c>
      <c r="BM432" s="266">
        <f>BL432/BK432</f>
        <v>1</v>
      </c>
      <c r="BN432" s="266">
        <f>BL432-BK432</f>
        <v>0</v>
      </c>
      <c r="BO432" s="266">
        <f>BN432*t_to_m3</f>
        <v>0</v>
      </c>
      <c r="BP432" t="s">
        <v>233</v>
      </c>
      <c r="BQ432" s="306" t="s">
        <v>3335</v>
      </c>
      <c r="BR432" t="s">
        <v>443</v>
      </c>
      <c r="BS432" s="266">
        <v>16.5</v>
      </c>
      <c r="BT432" s="266">
        <v>-9.1</v>
      </c>
      <c r="BU432"/>
      <c r="BV432">
        <v>-25.6</v>
      </c>
      <c r="BW432"/>
      <c r="BX432">
        <f>BV432*C_to_CO2</f>
        <v>-93.951999999999998</v>
      </c>
      <c r="BY432" t="str">
        <f>IFERROR(BX432/BO432,"")</f>
        <v/>
      </c>
      <c r="BZ432" s="143">
        <v>0</v>
      </c>
      <c r="CA432" s="143">
        <v>0</v>
      </c>
      <c r="CB432" s="143">
        <v>0</v>
      </c>
      <c r="CC432" s="143">
        <v>0</v>
      </c>
      <c r="CD432" s="143">
        <v>0</v>
      </c>
      <c r="CE432" s="143">
        <v>0</v>
      </c>
      <c r="CF432" s="143">
        <v>0</v>
      </c>
      <c r="CG432" s="143">
        <v>0</v>
      </c>
      <c r="CH432" s="143">
        <v>0</v>
      </c>
      <c r="CI432" s="143">
        <v>0</v>
      </c>
      <c r="CJ432" s="143">
        <v>0</v>
      </c>
      <c r="CK432" s="143">
        <v>0</v>
      </c>
      <c r="CL432" s="143">
        <v>0</v>
      </c>
      <c r="CM432">
        <v>0</v>
      </c>
      <c r="CN432" t="str">
        <f>IF($BL432&lt;$BK432,"refNeedCorrection","refOK")</f>
        <v>refOK</v>
      </c>
      <c r="CO432">
        <f>IF($CN432="refOK",$BK432,$BL432)</f>
        <v>107.6</v>
      </c>
      <c r="CP432">
        <f>IF($CN432="refOK",$BL432,$BK432)</f>
        <v>107.6</v>
      </c>
      <c r="CQ432">
        <f>IF($CN432="refOK",$BO432,-$BO432)</f>
        <v>0</v>
      </c>
      <c r="CR432">
        <f>IF($CN432="refOK",$BS432,$BT432)*IF($BP432="Emissions positive",-1,1)</f>
        <v>16.5</v>
      </c>
      <c r="CS432">
        <f>IF($CN432="refOK",$BT432,$BS432)*IF($BP432="Emissions positive",-1,1)</f>
        <v>-9.1</v>
      </c>
      <c r="CT432">
        <f>IF($CN432="refNeedCorrection",-BX432,BX432)*IF($BP432="Emissions positive",-1,1)</f>
        <v>-93.951999999999998</v>
      </c>
      <c r="CU432" t="str">
        <f>IFERROR(CT432/CQ432,"")</f>
        <v/>
      </c>
      <c r="CV432" s="2">
        <f>IFERROR((CS432-CR432)/ABS(CR432),"")</f>
        <v>-1.5515151515151515</v>
      </c>
      <c r="CW432" s="1" t="s">
        <v>264</v>
      </c>
      <c r="CX432" t="str">
        <f>IF(OR($CW432="prd",$CW432="std",$CW432="cit"),"loc",IF(OR($CW432="eur",$CW432="reg",$CW432="coy"),"reg",$CW432))</f>
        <v>loc</v>
      </c>
      <c r="CY432" t="s">
        <v>745</v>
      </c>
      <c r="CZ432"/>
      <c r="DA432" s="143"/>
      <c r="DB432" s="143">
        <v>0</v>
      </c>
      <c r="DC432" t="str">
        <f>IF(DB432=0,"0",IF(AND(DB432&gt;=1,DB432&lt;=30),"1-30",IF(AND(DB432&gt;30,DB432&lt;=70),"31-70",IF(AND(DB432&gt;70,DB432&lt;=100),"71-100",IF(DB432&gt;100,"+100")))))</f>
        <v>0</v>
      </c>
      <c r="DD432">
        <v>0</v>
      </c>
      <c r="DE432">
        <v>0</v>
      </c>
      <c r="DF432">
        <v>0</v>
      </c>
      <c r="DG432">
        <v>1</v>
      </c>
      <c r="DH432"/>
      <c r="DI432">
        <f>SUM(DD432:DG432)</f>
        <v>1</v>
      </c>
      <c r="DJ432" t="str">
        <f>IF(DI432=1,INDEX($DD$7:$DG$7,MATCH(1,$DD432:$DG432,0)),"mixedProduct")</f>
        <v>TimberInput</v>
      </c>
      <c r="DK432">
        <f>IF(DD432=1,DK$7,0)</f>
        <v>0</v>
      </c>
      <c r="DL432">
        <f>IF(DE432=1,DL$7,0)</f>
        <v>0</v>
      </c>
      <c r="DM432">
        <f>IF(DF432=1,DM$7,0)</f>
        <v>0</v>
      </c>
      <c r="DN432" t="str">
        <f>IF(DG432=1,DN$7,0)</f>
        <v>Timber</v>
      </c>
      <c r="DO432">
        <v>1</v>
      </c>
      <c r="DP432" s="143">
        <v>0</v>
      </c>
      <c r="DQ432" s="143">
        <v>0</v>
      </c>
      <c r="DR432">
        <v>0</v>
      </c>
      <c r="DS432" s="143">
        <v>0</v>
      </c>
      <c r="DT432">
        <f>SUM(DO432:DP432)</f>
        <v>1</v>
      </c>
      <c r="DU432" s="143" t="str">
        <f>IF(DO432=1,"self-calculated DF",IF(DP432=1,"external DF used","explicit C balance"))</f>
        <v>self-calculated DF</v>
      </c>
      <c r="DV432" s="143">
        <v>0</v>
      </c>
      <c r="DW432" s="266">
        <v>1</v>
      </c>
      <c r="DX432" s="266">
        <v>1</v>
      </c>
      <c r="DY432" s="266">
        <v>0</v>
      </c>
      <c r="DZ432" s="266">
        <v>0</v>
      </c>
      <c r="EA432" s="266">
        <v>1</v>
      </c>
      <c r="EB432" s="266">
        <v>1</v>
      </c>
      <c r="EC432" s="266">
        <v>1</v>
      </c>
      <c r="ED432" s="143">
        <v>0</v>
      </c>
      <c r="EE432">
        <v>0</v>
      </c>
      <c r="EF432">
        <v>0</v>
      </c>
      <c r="EG432" s="143">
        <v>0</v>
      </c>
      <c r="EH432" s="143">
        <v>0</v>
      </c>
      <c r="EI432" s="2">
        <v>0</v>
      </c>
      <c r="EJ432" s="1"/>
      <c r="EK432" t="str">
        <f>IF(AND(AND(AND(OR($DX432=1,$DW432=1),OR($EC432=1,$EA432=1)),SUM($DV432:$DZ432,$EF432)&gt;=4),SUM($EA432:$EE432)&gt;=2),"Whole sector","")</f>
        <v/>
      </c>
      <c r="EL432" t="str">
        <f>IF(AND(AND(OR($DX432=1,$DW432=1),AND($EC432=0,$EA432=0)),SUM($DV432:$DZ432,$EF432)&gt;=4),"Ecosystem approach","")</f>
        <v/>
      </c>
      <c r="EM432" s="2" t="str">
        <f>IF(AND(AND(AND($DX432=0,$DW432=0),OR($EC432=1,$EA432=1)),SUM($EB432:$EE432)&gt;=2),"Technology approach","")</f>
        <v/>
      </c>
      <c r="EN432"/>
      <c r="EO432"/>
      <c r="EP432" t="b">
        <f>IF(ISNUMBER(BU432),IF(ABS(BU432-[4]QC_indicators!$B$2)&gt;3*[4]QC_indicators!$C$2,"C ratio",IF(ISNUMBER(BY432),IF(ABS(BY432-[4]QC_indicators!$B$1)&gt;3*[4]QC_indicators!$C$1,"DF","no"))),IF(ISNUMBER(BY432),IF(ABS(BY432-[4]QC_indicators!$B$1)&gt;3*[4]QC_indicators!$C$1,"DF","no")))</f>
        <v>0</v>
      </c>
      <c r="EQ432"/>
      <c r="ER432" s="149" t="s">
        <v>350</v>
      </c>
      <c r="ES432"/>
      <c r="ET432" s="266" t="s">
        <v>3275</v>
      </c>
      <c r="EU432"/>
    </row>
    <row r="433" spans="1:151" s="139" customFormat="1" ht="15" hidden="1" customHeight="1">
      <c r="A433" s="1" t="s">
        <v>1104</v>
      </c>
      <c r="B433" t="s">
        <v>2383</v>
      </c>
      <c r="C433" t="s">
        <v>2384</v>
      </c>
      <c r="D433" t="s">
        <v>2385</v>
      </c>
      <c r="E433" t="s">
        <v>2386</v>
      </c>
      <c r="F433" t="s">
        <v>2387</v>
      </c>
      <c r="G433" t="s">
        <v>1110</v>
      </c>
      <c r="H433" t="s">
        <v>255</v>
      </c>
      <c r="I433">
        <v>2016</v>
      </c>
      <c r="J433">
        <v>13</v>
      </c>
      <c r="K433" t="s">
        <v>2388</v>
      </c>
      <c r="L433"/>
      <c r="M433" t="str">
        <f>LEFT($D433,FIND(",",$D433)-1)&amp;"_"&amp;I433&amp;L433</f>
        <v>Torssonen_2016</v>
      </c>
      <c r="N433" t="s">
        <v>223</v>
      </c>
      <c r="O433" s="145" t="s">
        <v>1156</v>
      </c>
      <c r="P433"/>
      <c r="Q433" s="266" t="s">
        <v>257</v>
      </c>
      <c r="R433" s="271" t="s">
        <v>342</v>
      </c>
      <c r="S433" s="310" t="s">
        <v>3422</v>
      </c>
      <c r="T433" t="s">
        <v>2400</v>
      </c>
      <c r="U433" s="266" t="s">
        <v>2417</v>
      </c>
      <c r="V433">
        <v>0</v>
      </c>
      <c r="W433">
        <v>0</v>
      </c>
      <c r="X433">
        <v>0</v>
      </c>
      <c r="Y433">
        <v>0</v>
      </c>
      <c r="Z433">
        <v>0</v>
      </c>
      <c r="AA433">
        <v>0</v>
      </c>
      <c r="AB433">
        <v>1</v>
      </c>
      <c r="AC433">
        <v>0</v>
      </c>
      <c r="AD433">
        <v>0</v>
      </c>
      <c r="AE433">
        <v>0</v>
      </c>
      <c r="AF433">
        <v>0</v>
      </c>
      <c r="AG433">
        <v>0</v>
      </c>
      <c r="AH433">
        <v>0</v>
      </c>
      <c r="AI433">
        <v>0</v>
      </c>
      <c r="AJ433">
        <v>0</v>
      </c>
      <c r="AK433">
        <v>0</v>
      </c>
      <c r="AL433">
        <v>0</v>
      </c>
      <c r="AM433">
        <v>0</v>
      </c>
      <c r="AN433">
        <v>0</v>
      </c>
      <c r="AO433">
        <v>0</v>
      </c>
      <c r="AP433">
        <v>0</v>
      </c>
      <c r="AQ433">
        <v>0</v>
      </c>
      <c r="AR433">
        <v>0</v>
      </c>
      <c r="AS433">
        <v>0</v>
      </c>
      <c r="AT433">
        <v>0</v>
      </c>
      <c r="AU433">
        <v>0</v>
      </c>
      <c r="AV433">
        <v>0</v>
      </c>
      <c r="AW433">
        <v>0</v>
      </c>
      <c r="AX433" s="141">
        <f>COUNTIF(V433:AW433,"&lt;&gt;0")</f>
        <v>1</v>
      </c>
      <c r="AY433" s="141">
        <f>COUNTIF(V433:AL433,"&lt;&gt;0")</f>
        <v>1</v>
      </c>
      <c r="AZ433">
        <f>COUNTIF(V433:AC433,"&lt;&gt;0")</f>
        <v>1</v>
      </c>
      <c r="BA433">
        <f>COUNTIF(AD433:AI433,"&lt;&gt;0")</f>
        <v>0</v>
      </c>
      <c r="BB433">
        <f>COUNTIF(AJ433:AL433,"&lt;&gt;0")</f>
        <v>0</v>
      </c>
      <c r="BC433">
        <f>COUNTIF(AS433:AW433,"&lt;&gt;0")</f>
        <v>0</v>
      </c>
      <c r="BD433">
        <f>COUNTIF(AM433:AR433,"&lt;&gt;0")</f>
        <v>0</v>
      </c>
      <c r="BE433" t="str" cm="1">
        <f t="array" ref="BE433">IF(AY433=1,INDEX($V$7:$AL$7,MATCH(TRUE,INDEX($V433:$AW433&lt;&gt;0,),0)),IF(AY433=0,INDEX($AM$7:$AW$7,MATCH(1,$AM433:$AW433,0)),IF(BF433="Multiple strategies","mixed drivers",IF(BF433="Supply chain","multiple supply","multiple silviculture"))))</f>
        <v>fertilisation</v>
      </c>
      <c r="BF433" s="2" t="str" cm="1">
        <f t="array" ref="BF433">IF(COUNTIF(AZ433:BB433,"&lt;&gt;0")=1,INDEX($V$4:$AW$4,MATCH(TRUE,INDEX($V433:$AW433&lt;&gt;0,),0)),IF(COUNTIF(AZ433:BB433,"&lt;&gt;0")=0,INDEX($AM$4:$AW$4,MATCH(1,$AM433:$AW433,0)),"Multiple strategies"))</f>
        <v>SilvicultureProd</v>
      </c>
      <c r="BG433" s="1" t="s">
        <v>230</v>
      </c>
      <c r="BH433" s="308" t="s">
        <v>2146</v>
      </c>
      <c r="BI433" s="266" t="s">
        <v>2393</v>
      </c>
      <c r="BJ433" s="308" t="s">
        <v>1060</v>
      </c>
      <c r="BK433">
        <v>6.697959172</v>
      </c>
      <c r="BL433">
        <v>6.9183673350000001</v>
      </c>
      <c r="BM433" s="143">
        <f>BL433/BK433</f>
        <v>1.0329067641859313</v>
      </c>
      <c r="BN433">
        <f>BL433-BK433</f>
        <v>0.2204081630000001</v>
      </c>
      <c r="BO433">
        <f>BN433</f>
        <v>0.2204081630000001</v>
      </c>
      <c r="BP433" s="308" t="s">
        <v>396</v>
      </c>
      <c r="BQ433" s="153" t="s">
        <v>3423</v>
      </c>
      <c r="BR433" s="266" t="s">
        <v>2395</v>
      </c>
      <c r="BS433">
        <v>-302.54545454545399</v>
      </c>
      <c r="BT433">
        <v>-353.45454545454498</v>
      </c>
      <c r="BU433" s="144"/>
      <c r="BV433" s="144">
        <f>BT433-BS433</f>
        <v>-50.909090909090992</v>
      </c>
      <c r="BW433" s="144"/>
      <c r="BX433" s="144">
        <f>BV433*10^4/10^6</f>
        <v>-0.50909090909090993</v>
      </c>
      <c r="BY433">
        <f>IFERROR(BX433/BO433,"")</f>
        <v>-2.3097643125445844</v>
      </c>
      <c r="BZ433">
        <v>0</v>
      </c>
      <c r="CA433">
        <v>0</v>
      </c>
      <c r="CB433">
        <v>0</v>
      </c>
      <c r="CC433">
        <v>0</v>
      </c>
      <c r="CD433">
        <v>0</v>
      </c>
      <c r="CE433">
        <v>0</v>
      </c>
      <c r="CF433">
        <v>0</v>
      </c>
      <c r="CG433">
        <v>0</v>
      </c>
      <c r="CH433">
        <v>0</v>
      </c>
      <c r="CI433">
        <v>0</v>
      </c>
      <c r="CJ433">
        <v>0</v>
      </c>
      <c r="CK433">
        <v>0</v>
      </c>
      <c r="CL433">
        <v>0</v>
      </c>
      <c r="CM433">
        <v>1</v>
      </c>
      <c r="CN433" t="str">
        <f>IF($BL433&lt;$BK433,"refNeedCorrection","refOK")</f>
        <v>refOK</v>
      </c>
      <c r="CO433">
        <f>IF($CN433="refOK",$BK433,$BL433)</f>
        <v>6.697959172</v>
      </c>
      <c r="CP433">
        <f>IF($CN433="refOK",$BL433,$BK433)</f>
        <v>6.9183673350000001</v>
      </c>
      <c r="CQ433">
        <f>IF($CN433="refOK",$BO433,-$BO433)</f>
        <v>0.2204081630000001</v>
      </c>
      <c r="CR433">
        <f>IF($CN433="refOK",$BS433,$BT433)*IF($BP433="Emissions positive",-1,1)</f>
        <v>302.54545454545399</v>
      </c>
      <c r="CS433">
        <f>IF($CN433="refOK",$BT433,$BS433)*IF($BP433="Emissions positive",-1,1)</f>
        <v>353.45454545454498</v>
      </c>
      <c r="CT433">
        <f>IF($CN433="refNeedCorrection",-BX433,BX433)*IF($BP433="Emissions positive",-1,1)</f>
        <v>0.50909090909090993</v>
      </c>
      <c r="CU433">
        <f>IFERROR(CT433/CQ433,"")</f>
        <v>2.3097643125445844</v>
      </c>
      <c r="CV433" s="2">
        <f>IFERROR((CS433-CR433)/ABS(CR433),"")</f>
        <v>0.16826923076923134</v>
      </c>
      <c r="CW433" s="1" t="s">
        <v>1201</v>
      </c>
      <c r="CX433" s="266" t="str">
        <f>IF(OR($CW433="prd",$CW433="std",$CW433="cit"),"loc",IF(OR($CW433="eur",$CW433="reg",$CW433="coy"),"reg",$CW433))</f>
        <v>reg</v>
      </c>
      <c r="CY433" t="s">
        <v>236</v>
      </c>
      <c r="CZ433">
        <v>2020</v>
      </c>
      <c r="DA433">
        <v>2100</v>
      </c>
      <c r="DB433">
        <f>DA433-CZ433</f>
        <v>80</v>
      </c>
      <c r="DC433" t="str">
        <f>IF(DB433=0,"0",IF(AND(DB433&gt;=1,DB433&lt;=30),"1-30",IF(AND(DB433&gt;30,DB433&lt;=70),"31-70",IF(AND(DB433&gt;70,DB433&lt;=100),"71-100",IF(DB433&gt;100,"+100")))))</f>
        <v>71-100</v>
      </c>
      <c r="DD433">
        <v>0</v>
      </c>
      <c r="DE433">
        <v>1</v>
      </c>
      <c r="DF433">
        <v>0</v>
      </c>
      <c r="DG433">
        <v>1</v>
      </c>
      <c r="DH433"/>
      <c r="DI433">
        <f>SUM(DD433:DG433)</f>
        <v>2</v>
      </c>
      <c r="DJ433" t="str">
        <f>IF(DI433=1,INDEX($DD$7:$DG$7,MATCH(1,$DD433:$DG433,0)),"mixedProduct")</f>
        <v>mixedProduct</v>
      </c>
      <c r="DK433">
        <f>IF(DD433=1,DK$7,0)</f>
        <v>0</v>
      </c>
      <c r="DL433" t="str">
        <f>IF(DE433=1,DL$7,0)</f>
        <v>Energy</v>
      </c>
      <c r="DM433">
        <f>IF(DF433=1,DM$7,0)</f>
        <v>0</v>
      </c>
      <c r="DN433" t="str">
        <f>IF(DG433=1,DN$7,0)</f>
        <v>Timber</v>
      </c>
      <c r="DO433">
        <v>1</v>
      </c>
      <c r="DP433">
        <v>0</v>
      </c>
      <c r="DQ433">
        <v>0</v>
      </c>
      <c r="DR433">
        <v>0</v>
      </c>
      <c r="DS433">
        <v>0</v>
      </c>
      <c r="DT433">
        <f>SUM(DO433:DP433)</f>
        <v>1</v>
      </c>
      <c r="DU433" s="143" t="str">
        <f>IF(DO433=1,"self-calculated DF",IF(DP433=1,"external DF used","explicit C balance"))</f>
        <v>self-calculated DF</v>
      </c>
      <c r="DV433">
        <v>1</v>
      </c>
      <c r="DW433">
        <v>0</v>
      </c>
      <c r="DX433">
        <v>1</v>
      </c>
      <c r="DY433">
        <v>0</v>
      </c>
      <c r="DZ433">
        <v>0</v>
      </c>
      <c r="EA433" s="143">
        <v>0</v>
      </c>
      <c r="EB433">
        <v>0</v>
      </c>
      <c r="EC433">
        <v>0</v>
      </c>
      <c r="ED433">
        <v>0</v>
      </c>
      <c r="EE433">
        <v>0</v>
      </c>
      <c r="EF433">
        <v>1</v>
      </c>
      <c r="EG433">
        <v>0</v>
      </c>
      <c r="EH433">
        <v>0</v>
      </c>
      <c r="EI433" s="2">
        <v>0</v>
      </c>
      <c r="EJ433" s="1"/>
      <c r="EK433" t="str">
        <f>IF(AND(AND(AND(OR($DX433=1,$DW433=1),OR($EC433=1,$EA433=1)),SUM($DV433:$DZ433,$EF433)&gt;=4),SUM($EA433:$EE433)&gt;=2),"Whole sector","")</f>
        <v/>
      </c>
      <c r="EL433" t="str">
        <f>IF(AND(AND(OR($DX433=1,$DW433=1),AND($EC433=0,$EA433=0)),SUM($DV433:$DZ433,$EF433)&gt;=4),"Ecosystem approach","")</f>
        <v/>
      </c>
      <c r="EM433" s="2" t="str">
        <f>IF(AND(AND(AND($DX433=0,$DW433=0),OR($EC433=1,$EA433=1)),SUM($EB433:$EE433)&gt;=2),"Technology approach","")</f>
        <v/>
      </c>
      <c r="EN433"/>
      <c r="EO433"/>
      <c r="EP433" t="str">
        <f>IF(ISNUMBER(BU433),IF(ABS(BU433-[1]QC_indicators!$B$2)&gt;3*[1]QC_indicators!$C$2,"C ratio",IF(ISNUMBER(BY433),IF(ABS(BY433-[1]QC_indicators!$B$1)&gt;3*[1]QC_indicators!$C$1,"DF","no"))),IF(ISNUMBER(BY433),IF(ABS(BY433-[1]QC_indicators!$B$1)&gt;3*[1]QC_indicators!$C$1,"DF","no")))</f>
        <v>no</v>
      </c>
      <c r="EQ433"/>
      <c r="ER433" s="266" t="s">
        <v>2418</v>
      </c>
      <c r="ES433"/>
      <c r="ET433" s="308" t="s">
        <v>3424</v>
      </c>
      <c r="EU433"/>
    </row>
    <row r="434" spans="1:151" s="139" customFormat="1" ht="15" hidden="1" customHeight="1">
      <c r="A434" s="1" t="s">
        <v>1104</v>
      </c>
      <c r="B434" t="s">
        <v>2383</v>
      </c>
      <c r="C434" t="s">
        <v>2384</v>
      </c>
      <c r="D434" t="s">
        <v>2385</v>
      </c>
      <c r="E434" t="s">
        <v>2386</v>
      </c>
      <c r="F434" t="s">
        <v>2387</v>
      </c>
      <c r="G434" t="s">
        <v>1110</v>
      </c>
      <c r="H434" t="s">
        <v>255</v>
      </c>
      <c r="I434">
        <v>2016</v>
      </c>
      <c r="J434">
        <v>13</v>
      </c>
      <c r="K434" t="s">
        <v>2388</v>
      </c>
      <c r="L434"/>
      <c r="M434" t="str">
        <f>LEFT($D434,FIND(",",$D434)-1)&amp;"_"&amp;I434&amp;L434</f>
        <v>Torssonen_2016</v>
      </c>
      <c r="N434" t="s">
        <v>223</v>
      </c>
      <c r="O434" s="145" t="s">
        <v>1156</v>
      </c>
      <c r="P434"/>
      <c r="Q434" s="266" t="s">
        <v>257</v>
      </c>
      <c r="R434" s="271" t="s">
        <v>342</v>
      </c>
      <c r="S434" s="1" t="s">
        <v>2389</v>
      </c>
      <c r="T434" t="s">
        <v>2397</v>
      </c>
      <c r="U434" s="266" t="s">
        <v>2419</v>
      </c>
      <c r="V434">
        <v>0</v>
      </c>
      <c r="W434">
        <v>0</v>
      </c>
      <c r="X434">
        <v>0</v>
      </c>
      <c r="Y434">
        <v>0</v>
      </c>
      <c r="Z434">
        <v>0</v>
      </c>
      <c r="AA434">
        <v>0</v>
      </c>
      <c r="AB434">
        <v>1</v>
      </c>
      <c r="AC434">
        <v>0</v>
      </c>
      <c r="AD434">
        <v>0</v>
      </c>
      <c r="AE434">
        <v>0</v>
      </c>
      <c r="AF434">
        <v>0</v>
      </c>
      <c r="AG434">
        <v>0</v>
      </c>
      <c r="AH434">
        <v>0</v>
      </c>
      <c r="AI434">
        <v>0</v>
      </c>
      <c r="AJ434">
        <v>0</v>
      </c>
      <c r="AK434">
        <v>0</v>
      </c>
      <c r="AL434">
        <v>0</v>
      </c>
      <c r="AM434">
        <v>0</v>
      </c>
      <c r="AN434">
        <v>0</v>
      </c>
      <c r="AO434">
        <v>0</v>
      </c>
      <c r="AP434">
        <v>0</v>
      </c>
      <c r="AQ434">
        <v>0</v>
      </c>
      <c r="AR434">
        <v>0</v>
      </c>
      <c r="AS434">
        <v>0</v>
      </c>
      <c r="AT434">
        <v>0</v>
      </c>
      <c r="AU434">
        <v>0</v>
      </c>
      <c r="AV434">
        <v>0</v>
      </c>
      <c r="AW434">
        <v>0</v>
      </c>
      <c r="AX434" s="141">
        <f>COUNTIF(V434:AW434,"&lt;&gt;0")</f>
        <v>1</v>
      </c>
      <c r="AY434" s="141">
        <f>COUNTIF(V434:AL434,"&lt;&gt;0")</f>
        <v>1</v>
      </c>
      <c r="AZ434">
        <f>COUNTIF(V434:AC434,"&lt;&gt;0")</f>
        <v>1</v>
      </c>
      <c r="BA434">
        <f>COUNTIF(AD434:AI434,"&lt;&gt;0")</f>
        <v>0</v>
      </c>
      <c r="BB434">
        <f>COUNTIF(AJ434:AL434,"&lt;&gt;0")</f>
        <v>0</v>
      </c>
      <c r="BC434">
        <f>COUNTIF(AS434:AW434,"&lt;&gt;0")</f>
        <v>0</v>
      </c>
      <c r="BD434">
        <f>COUNTIF(AM434:AR434,"&lt;&gt;0")</f>
        <v>0</v>
      </c>
      <c r="BE434" t="str" cm="1">
        <f t="array" ref="BE434">IF(AY434=1,INDEX($V$7:$AL$7,MATCH(TRUE,INDEX($V434:$AW434&lt;&gt;0,),0)),IF(AY434=0,INDEX($AM$7:$AW$7,MATCH(1,$AM434:$AW434,0)),IF(BF434="Multiple strategies","mixed drivers",IF(BF434="Supply chain","multiple supply","multiple silviculture"))))</f>
        <v>fertilisation</v>
      </c>
      <c r="BF434" s="2" t="str" cm="1">
        <f t="array" ref="BF434">IF(COUNTIF(AZ434:BB434,"&lt;&gt;0")=1,INDEX($V$4:$AW$4,MATCH(TRUE,INDEX($V434:$AW434&lt;&gt;0,),0)),IF(COUNTIF(AZ434:BB434,"&lt;&gt;0")=0,INDEX($AM$4:$AW$4,MATCH(1,$AM434:$AW434,0)),"Multiple strategies"))</f>
        <v>SilvicultureProd</v>
      </c>
      <c r="BG434" s="1" t="s">
        <v>230</v>
      </c>
      <c r="BH434" s="308" t="s">
        <v>2146</v>
      </c>
      <c r="BI434" s="266" t="s">
        <v>2393</v>
      </c>
      <c r="BJ434" s="308" t="s">
        <v>1060</v>
      </c>
      <c r="BK434">
        <v>7.9367346699999999</v>
      </c>
      <c r="BL434">
        <v>8.0775509959999994</v>
      </c>
      <c r="BM434" s="143">
        <f>BL434/BK434</f>
        <v>1.0177423502050875</v>
      </c>
      <c r="BN434">
        <f>BL434-BK434</f>
        <v>0.14081632599999949</v>
      </c>
      <c r="BO434">
        <f>BN434</f>
        <v>0.14081632599999949</v>
      </c>
      <c r="BP434" s="308" t="s">
        <v>396</v>
      </c>
      <c r="BQ434" s="153" t="s">
        <v>3423</v>
      </c>
      <c r="BR434" s="266" t="s">
        <v>2395</v>
      </c>
      <c r="BS434">
        <v>-402.90909090909099</v>
      </c>
      <c r="BT434">
        <v>-421.81818181818102</v>
      </c>
      <c r="BU434" s="144"/>
      <c r="BV434" s="144">
        <f>BT434-BS434</f>
        <v>-18.909090909090025</v>
      </c>
      <c r="BW434" s="144"/>
      <c r="BX434" s="144">
        <f>BV434*10^4/10^6</f>
        <v>-0.18909090909090023</v>
      </c>
      <c r="BY434">
        <f>IFERROR(BX434/BO434,"")</f>
        <v>-1.34281950440108</v>
      </c>
      <c r="BZ434">
        <v>0</v>
      </c>
      <c r="CA434">
        <v>0</v>
      </c>
      <c r="CB434">
        <v>0</v>
      </c>
      <c r="CC434">
        <v>0</v>
      </c>
      <c r="CD434">
        <v>0</v>
      </c>
      <c r="CE434">
        <v>0</v>
      </c>
      <c r="CF434">
        <v>0</v>
      </c>
      <c r="CG434">
        <v>0</v>
      </c>
      <c r="CH434">
        <v>0</v>
      </c>
      <c r="CI434">
        <v>0</v>
      </c>
      <c r="CJ434">
        <v>0</v>
      </c>
      <c r="CK434">
        <v>0</v>
      </c>
      <c r="CL434">
        <v>0</v>
      </c>
      <c r="CM434">
        <v>1</v>
      </c>
      <c r="CN434" t="str">
        <f>IF($BL434&lt;$BK434,"refNeedCorrection","refOK")</f>
        <v>refOK</v>
      </c>
      <c r="CO434">
        <f>IF($CN434="refOK",$BK434,$BL434)</f>
        <v>7.9367346699999999</v>
      </c>
      <c r="CP434">
        <f>IF($CN434="refOK",$BL434,$BK434)</f>
        <v>8.0775509959999994</v>
      </c>
      <c r="CQ434">
        <f>IF($CN434="refOK",$BO434,-$BO434)</f>
        <v>0.14081632599999949</v>
      </c>
      <c r="CR434">
        <f>IF($CN434="refOK",$BS434,$BT434)*IF($BP434="Emissions positive",-1,1)</f>
        <v>402.90909090909099</v>
      </c>
      <c r="CS434">
        <f>IF($CN434="refOK",$BT434,$BS434)*IF($BP434="Emissions positive",-1,1)</f>
        <v>421.81818181818102</v>
      </c>
      <c r="CT434">
        <f>IF($CN434="refNeedCorrection",-BX434,BX434)*IF($BP434="Emissions positive",-1,1)</f>
        <v>0.18909090909090023</v>
      </c>
      <c r="CU434">
        <f>IFERROR(CT434/CQ434,"")</f>
        <v>1.34281950440108</v>
      </c>
      <c r="CV434" s="2">
        <f>IFERROR((CS434-CR434)/ABS(CR434),"")</f>
        <v>4.6931407942236061E-2</v>
      </c>
      <c r="CW434" s="1" t="s">
        <v>1201</v>
      </c>
      <c r="CX434" s="266" t="str">
        <f>IF(OR($CW434="prd",$CW434="std",$CW434="cit"),"loc",IF(OR($CW434="eur",$CW434="reg",$CW434="coy"),"reg",$CW434))</f>
        <v>reg</v>
      </c>
      <c r="CY434" t="s">
        <v>236</v>
      </c>
      <c r="CZ434">
        <v>2020</v>
      </c>
      <c r="DA434">
        <v>2100</v>
      </c>
      <c r="DB434">
        <f>DA434-CZ434</f>
        <v>80</v>
      </c>
      <c r="DC434" t="str">
        <f>IF(DB434=0,"0",IF(AND(DB434&gt;=1,DB434&lt;=30),"1-30",IF(AND(DB434&gt;30,DB434&lt;=70),"31-70",IF(AND(DB434&gt;70,DB434&lt;=100),"71-100",IF(DB434&gt;100,"+100")))))</f>
        <v>71-100</v>
      </c>
      <c r="DD434">
        <v>0</v>
      </c>
      <c r="DE434">
        <v>1</v>
      </c>
      <c r="DF434">
        <v>0</v>
      </c>
      <c r="DG434">
        <v>1</v>
      </c>
      <c r="DH434"/>
      <c r="DI434">
        <f>SUM(DD434:DG434)</f>
        <v>2</v>
      </c>
      <c r="DJ434" t="str">
        <f>IF(DI434=1,INDEX($DD$7:$DG$7,MATCH(1,$DD434:$DG434,0)),"mixedProduct")</f>
        <v>mixedProduct</v>
      </c>
      <c r="DK434">
        <f>IF(DD434=1,DK$7,0)</f>
        <v>0</v>
      </c>
      <c r="DL434" t="str">
        <f>IF(DE434=1,DL$7,0)</f>
        <v>Energy</v>
      </c>
      <c r="DM434">
        <f>IF(DF434=1,DM$7,0)</f>
        <v>0</v>
      </c>
      <c r="DN434" t="str">
        <f>IF(DG434=1,DN$7,0)</f>
        <v>Timber</v>
      </c>
      <c r="DO434">
        <v>1</v>
      </c>
      <c r="DP434">
        <v>0</v>
      </c>
      <c r="DQ434">
        <v>0</v>
      </c>
      <c r="DR434">
        <v>0</v>
      </c>
      <c r="DS434">
        <v>0</v>
      </c>
      <c r="DT434">
        <f>SUM(DO434:DP434)</f>
        <v>1</v>
      </c>
      <c r="DU434" s="143" t="str">
        <f>IF(DO434=1,"self-calculated DF",IF(DP434=1,"external DF used","explicit C balance"))</f>
        <v>self-calculated DF</v>
      </c>
      <c r="DV434">
        <v>1</v>
      </c>
      <c r="DW434">
        <v>0</v>
      </c>
      <c r="DX434">
        <v>1</v>
      </c>
      <c r="DY434">
        <v>0</v>
      </c>
      <c r="DZ434">
        <v>0</v>
      </c>
      <c r="EA434" s="143">
        <v>0</v>
      </c>
      <c r="EB434">
        <v>0</v>
      </c>
      <c r="EC434">
        <v>0</v>
      </c>
      <c r="ED434">
        <v>0</v>
      </c>
      <c r="EE434">
        <v>0</v>
      </c>
      <c r="EF434">
        <v>1</v>
      </c>
      <c r="EG434">
        <v>0</v>
      </c>
      <c r="EH434">
        <v>0</v>
      </c>
      <c r="EI434" s="2">
        <v>0</v>
      </c>
      <c r="EJ434" s="1"/>
      <c r="EK434" t="str">
        <f>IF(AND(AND(AND(OR($DX434=1,$DW434=1),OR($EC434=1,$EA434=1)),SUM($DV434:$DZ434,$EF434)&gt;=4),SUM($EA434:$EE434)&gt;=2),"Whole sector","")</f>
        <v/>
      </c>
      <c r="EL434" t="str">
        <f>IF(AND(AND(OR($DX434=1,$DW434=1),AND($EC434=0,$EA434=0)),SUM($DV434:$DZ434,$EF434)&gt;=4),"Ecosystem approach","")</f>
        <v/>
      </c>
      <c r="EM434" s="2" t="str">
        <f>IF(AND(AND(AND($DX434=0,$DW434=0),OR($EC434=1,$EA434=1)),SUM($EB434:$EE434)&gt;=2),"Technology approach","")</f>
        <v/>
      </c>
      <c r="EN434"/>
      <c r="EO434"/>
      <c r="EP434" t="str">
        <f>IF(ISNUMBER(BU434),IF(ABS(BU434-[1]QC_indicators!$B$2)&gt;3*[1]QC_indicators!$C$2,"C ratio",IF(ISNUMBER(BY434),IF(ABS(BY434-[1]QC_indicators!$B$1)&gt;3*[1]QC_indicators!$C$1,"DF","no"))),IF(ISNUMBER(BY434),IF(ABS(BY434-[1]QC_indicators!$B$1)&gt;3*[1]QC_indicators!$C$1,"DF","no")))</f>
        <v>no</v>
      </c>
      <c r="EQ434"/>
      <c r="ER434" s="266" t="s">
        <v>2418</v>
      </c>
      <c r="ES434"/>
      <c r="ET434" s="308" t="s">
        <v>3424</v>
      </c>
      <c r="EU434"/>
    </row>
    <row r="435" spans="1:151" s="139" customFormat="1" ht="15" hidden="1" customHeight="1">
      <c r="A435" s="1" t="s">
        <v>1104</v>
      </c>
      <c r="B435" t="s">
        <v>2383</v>
      </c>
      <c r="C435" t="s">
        <v>2384</v>
      </c>
      <c r="D435" t="s">
        <v>2385</v>
      </c>
      <c r="E435" t="s">
        <v>2386</v>
      </c>
      <c r="F435" t="s">
        <v>2387</v>
      </c>
      <c r="G435" t="s">
        <v>1110</v>
      </c>
      <c r="H435" t="s">
        <v>255</v>
      </c>
      <c r="I435">
        <v>2016</v>
      </c>
      <c r="J435">
        <v>13</v>
      </c>
      <c r="K435" t="s">
        <v>2388</v>
      </c>
      <c r="L435"/>
      <c r="M435" t="str">
        <f>LEFT($D435,FIND(",",$D435)-1)&amp;"_"&amp;I435&amp;L435</f>
        <v>Torssonen_2016</v>
      </c>
      <c r="N435" t="s">
        <v>223</v>
      </c>
      <c r="O435" s="145" t="s">
        <v>1156</v>
      </c>
      <c r="P435"/>
      <c r="Q435" s="266" t="s">
        <v>257</v>
      </c>
      <c r="R435" s="271" t="s">
        <v>342</v>
      </c>
      <c r="S435" s="1" t="s">
        <v>2389</v>
      </c>
      <c r="T435" t="s">
        <v>2398</v>
      </c>
      <c r="U435" s="266" t="s">
        <v>2420</v>
      </c>
      <c r="V435">
        <v>0</v>
      </c>
      <c r="W435">
        <v>0</v>
      </c>
      <c r="X435">
        <v>0</v>
      </c>
      <c r="Y435">
        <v>0</v>
      </c>
      <c r="Z435">
        <v>0</v>
      </c>
      <c r="AA435">
        <v>0</v>
      </c>
      <c r="AB435">
        <v>1</v>
      </c>
      <c r="AC435">
        <v>0</v>
      </c>
      <c r="AD435">
        <v>0</v>
      </c>
      <c r="AE435">
        <v>0</v>
      </c>
      <c r="AF435">
        <v>0</v>
      </c>
      <c r="AG435">
        <v>0</v>
      </c>
      <c r="AH435">
        <v>0</v>
      </c>
      <c r="AI435">
        <v>0</v>
      </c>
      <c r="AJ435">
        <v>0</v>
      </c>
      <c r="AK435">
        <v>0</v>
      </c>
      <c r="AL435">
        <v>0</v>
      </c>
      <c r="AM435">
        <v>0</v>
      </c>
      <c r="AN435">
        <v>0</v>
      </c>
      <c r="AO435">
        <v>0</v>
      </c>
      <c r="AP435">
        <v>0</v>
      </c>
      <c r="AQ435">
        <v>0</v>
      </c>
      <c r="AR435">
        <v>0</v>
      </c>
      <c r="AS435">
        <v>0</v>
      </c>
      <c r="AT435">
        <v>0</v>
      </c>
      <c r="AU435">
        <v>0</v>
      </c>
      <c r="AV435">
        <v>0</v>
      </c>
      <c r="AW435">
        <v>0</v>
      </c>
      <c r="AX435" s="141">
        <f>COUNTIF(V435:AW435,"&lt;&gt;0")</f>
        <v>1</v>
      </c>
      <c r="AY435" s="141">
        <f>COUNTIF(V435:AL435,"&lt;&gt;0")</f>
        <v>1</v>
      </c>
      <c r="AZ435">
        <f>COUNTIF(V435:AC435,"&lt;&gt;0")</f>
        <v>1</v>
      </c>
      <c r="BA435">
        <f>COUNTIF(AD435:AI435,"&lt;&gt;0")</f>
        <v>0</v>
      </c>
      <c r="BB435">
        <f>COUNTIF(AJ435:AL435,"&lt;&gt;0")</f>
        <v>0</v>
      </c>
      <c r="BC435">
        <f>COUNTIF(AS435:AW435,"&lt;&gt;0")</f>
        <v>0</v>
      </c>
      <c r="BD435">
        <f>COUNTIF(AM435:AR435,"&lt;&gt;0")</f>
        <v>0</v>
      </c>
      <c r="BE435" t="str" cm="1">
        <f t="array" ref="BE435">IF(AY435=1,INDEX($V$7:$AL$7,MATCH(TRUE,INDEX($V435:$AW435&lt;&gt;0,),0)),IF(AY435=0,INDEX($AM$7:$AW$7,MATCH(1,$AM435:$AW435,0)),IF(BF435="Multiple strategies","mixed drivers",IF(BF435="Supply chain","multiple supply","multiple silviculture"))))</f>
        <v>fertilisation</v>
      </c>
      <c r="BF435" s="2" t="str" cm="1">
        <f t="array" ref="BF435">IF(COUNTIF(AZ435:BB435,"&lt;&gt;0")=1,INDEX($V$4:$AW$4,MATCH(TRUE,INDEX($V435:$AW435&lt;&gt;0,),0)),IF(COUNTIF(AZ435:BB435,"&lt;&gt;0")=0,INDEX($AM$4:$AW$4,MATCH(1,$AM435:$AW435,0)),"Multiple strategies"))</f>
        <v>SilvicultureProd</v>
      </c>
      <c r="BG435" s="1" t="s">
        <v>230</v>
      </c>
      <c r="BH435" s="308" t="s">
        <v>2146</v>
      </c>
      <c r="BI435" s="266" t="s">
        <v>2393</v>
      </c>
      <c r="BJ435" s="308" t="s">
        <v>1060</v>
      </c>
      <c r="BK435">
        <v>8.0857142559999993</v>
      </c>
      <c r="BL435">
        <v>8.3265305820000002</v>
      </c>
      <c r="BM435" s="143">
        <f>BL435/BK435</f>
        <v>1.0297829379539727</v>
      </c>
      <c r="BN435">
        <f>BL435-BK435</f>
        <v>0.24081632600000091</v>
      </c>
      <c r="BO435">
        <f>BN435</f>
        <v>0.24081632600000091</v>
      </c>
      <c r="BP435" s="308" t="s">
        <v>396</v>
      </c>
      <c r="BQ435" s="153" t="s">
        <v>3423</v>
      </c>
      <c r="BR435" s="266" t="s">
        <v>2395</v>
      </c>
      <c r="BS435">
        <v>-456.72727272727298</v>
      </c>
      <c r="BT435">
        <v>-478.54545454545399</v>
      </c>
      <c r="BU435" s="144"/>
      <c r="BV435" s="144">
        <f>BT435-BS435</f>
        <v>-21.818181818181017</v>
      </c>
      <c r="BW435" s="144"/>
      <c r="BX435" s="144">
        <f>BV435*10^4/10^6</f>
        <v>-0.21818181818181018</v>
      </c>
      <c r="BY435">
        <f>IFERROR(BX435/BO435,"")</f>
        <v>-0.90600924698855068</v>
      </c>
      <c r="BZ435">
        <v>0</v>
      </c>
      <c r="CA435">
        <v>0</v>
      </c>
      <c r="CB435">
        <v>0</v>
      </c>
      <c r="CC435">
        <v>0</v>
      </c>
      <c r="CD435">
        <v>0</v>
      </c>
      <c r="CE435">
        <v>0</v>
      </c>
      <c r="CF435">
        <v>0</v>
      </c>
      <c r="CG435">
        <v>0</v>
      </c>
      <c r="CH435">
        <v>0</v>
      </c>
      <c r="CI435">
        <v>0</v>
      </c>
      <c r="CJ435">
        <v>0</v>
      </c>
      <c r="CK435">
        <v>0</v>
      </c>
      <c r="CL435">
        <v>0</v>
      </c>
      <c r="CM435">
        <v>1</v>
      </c>
      <c r="CN435" t="str">
        <f>IF($BL435&lt;$BK435,"refNeedCorrection","refOK")</f>
        <v>refOK</v>
      </c>
      <c r="CO435">
        <f>IF($CN435="refOK",$BK435,$BL435)</f>
        <v>8.0857142559999993</v>
      </c>
      <c r="CP435">
        <f>IF($CN435="refOK",$BL435,$BK435)</f>
        <v>8.3265305820000002</v>
      </c>
      <c r="CQ435">
        <f>IF($CN435="refOK",$BO435,-$BO435)</f>
        <v>0.24081632600000091</v>
      </c>
      <c r="CR435">
        <f>IF($CN435="refOK",$BS435,$BT435)*IF($BP435="Emissions positive",-1,1)</f>
        <v>456.72727272727298</v>
      </c>
      <c r="CS435">
        <f>IF($CN435="refOK",$BT435,$BS435)*IF($BP435="Emissions positive",-1,1)</f>
        <v>478.54545454545399</v>
      </c>
      <c r="CT435">
        <f>IF($CN435="refNeedCorrection",-BX435,BX435)*IF($BP435="Emissions positive",-1,1)</f>
        <v>0.21818181818181018</v>
      </c>
      <c r="CU435">
        <f>IFERROR(CT435/CQ435,"")</f>
        <v>0.90600924698855068</v>
      </c>
      <c r="CV435" s="2">
        <f>IFERROR((CS435-CR435)/ABS(CR435),"")</f>
        <v>4.7770700636940895E-2</v>
      </c>
      <c r="CW435" s="1" t="s">
        <v>1201</v>
      </c>
      <c r="CX435" s="266" t="str">
        <f>IF(OR($CW435="prd",$CW435="std",$CW435="cit"),"loc",IF(OR($CW435="eur",$CW435="reg",$CW435="coy"),"reg",$CW435))</f>
        <v>reg</v>
      </c>
      <c r="CY435" t="s">
        <v>236</v>
      </c>
      <c r="CZ435">
        <v>2020</v>
      </c>
      <c r="DA435">
        <v>2100</v>
      </c>
      <c r="DB435">
        <f>DA435-CZ435</f>
        <v>80</v>
      </c>
      <c r="DC435" t="str">
        <f>IF(DB435=0,"0",IF(AND(DB435&gt;=1,DB435&lt;=30),"1-30",IF(AND(DB435&gt;30,DB435&lt;=70),"31-70",IF(AND(DB435&gt;70,DB435&lt;=100),"71-100",IF(DB435&gt;100,"+100")))))</f>
        <v>71-100</v>
      </c>
      <c r="DD435">
        <v>0</v>
      </c>
      <c r="DE435">
        <v>1</v>
      </c>
      <c r="DF435">
        <v>0</v>
      </c>
      <c r="DG435">
        <v>1</v>
      </c>
      <c r="DH435"/>
      <c r="DI435">
        <f>SUM(DD435:DG435)</f>
        <v>2</v>
      </c>
      <c r="DJ435" t="str">
        <f>IF(DI435=1,INDEX($DD$7:$DG$7,MATCH(1,$DD435:$DG435,0)),"mixedProduct")</f>
        <v>mixedProduct</v>
      </c>
      <c r="DK435">
        <f>IF(DD435=1,DK$7,0)</f>
        <v>0</v>
      </c>
      <c r="DL435" t="str">
        <f>IF(DE435=1,DL$7,0)</f>
        <v>Energy</v>
      </c>
      <c r="DM435">
        <f>IF(DF435=1,DM$7,0)</f>
        <v>0</v>
      </c>
      <c r="DN435" t="str">
        <f>IF(DG435=1,DN$7,0)</f>
        <v>Timber</v>
      </c>
      <c r="DO435">
        <v>1</v>
      </c>
      <c r="DP435">
        <v>0</v>
      </c>
      <c r="DQ435">
        <v>0</v>
      </c>
      <c r="DR435">
        <v>0</v>
      </c>
      <c r="DS435">
        <v>0</v>
      </c>
      <c r="DT435">
        <f>SUM(DO435:DP435)</f>
        <v>1</v>
      </c>
      <c r="DU435" s="143" t="str">
        <f>IF(DO435=1,"self-calculated DF",IF(DP435=1,"external DF used","explicit C balance"))</f>
        <v>self-calculated DF</v>
      </c>
      <c r="DV435">
        <v>1</v>
      </c>
      <c r="DW435">
        <v>0</v>
      </c>
      <c r="DX435">
        <v>1</v>
      </c>
      <c r="DY435">
        <v>0</v>
      </c>
      <c r="DZ435">
        <v>0</v>
      </c>
      <c r="EA435" s="143">
        <v>0</v>
      </c>
      <c r="EB435">
        <v>0</v>
      </c>
      <c r="EC435">
        <v>0</v>
      </c>
      <c r="ED435">
        <v>0</v>
      </c>
      <c r="EE435">
        <v>0</v>
      </c>
      <c r="EF435">
        <v>1</v>
      </c>
      <c r="EG435">
        <v>0</v>
      </c>
      <c r="EH435">
        <v>0</v>
      </c>
      <c r="EI435" s="2">
        <v>0</v>
      </c>
      <c r="EJ435" s="1"/>
      <c r="EK435" t="str">
        <f>IF(AND(AND(AND(OR($DX435=1,$DW435=1),OR($EC435=1,$EA435=1)),SUM($DV435:$DZ435,$EF435)&gt;=4),SUM($EA435:$EE435)&gt;=2),"Whole sector","")</f>
        <v/>
      </c>
      <c r="EL435" t="str">
        <f>IF(AND(AND(OR($DX435=1,$DW435=1),AND($EC435=0,$EA435=0)),SUM($DV435:$DZ435,$EF435)&gt;=4),"Ecosystem approach","")</f>
        <v/>
      </c>
      <c r="EM435" s="2" t="str">
        <f>IF(AND(AND(AND($DX435=0,$DW435=0),OR($EC435=1,$EA435=1)),SUM($EB435:$EE435)&gt;=2),"Technology approach","")</f>
        <v/>
      </c>
      <c r="EN435"/>
      <c r="EO435"/>
      <c r="EP435" t="str">
        <f>IF(ISNUMBER(BU435),IF(ABS(BU435-[1]QC_indicators!$B$2)&gt;3*[1]QC_indicators!$C$2,"C ratio",IF(ISNUMBER(BY435),IF(ABS(BY435-[1]QC_indicators!$B$1)&gt;3*[1]QC_indicators!$C$1,"DF","no"))),IF(ISNUMBER(BY435),IF(ABS(BY435-[1]QC_indicators!$B$1)&gt;3*[1]QC_indicators!$C$1,"DF","no")))</f>
        <v>no</v>
      </c>
      <c r="EQ435"/>
      <c r="ER435" s="266" t="s">
        <v>2418</v>
      </c>
      <c r="ES435"/>
      <c r="ET435" s="308" t="s">
        <v>3424</v>
      </c>
      <c r="EU435"/>
    </row>
    <row r="436" spans="1:151" s="139" customFormat="1" ht="15" hidden="1" customHeight="1">
      <c r="A436" s="1" t="s">
        <v>1355</v>
      </c>
      <c r="B436" t="s">
        <v>545</v>
      </c>
      <c r="C436" t="s">
        <v>2245</v>
      </c>
      <c r="D436" t="s">
        <v>2246</v>
      </c>
      <c r="E436" t="s">
        <v>2247</v>
      </c>
      <c r="F436" t="s">
        <v>2248</v>
      </c>
      <c r="G436" t="s">
        <v>1356</v>
      </c>
      <c r="H436" t="s">
        <v>255</v>
      </c>
      <c r="I436">
        <v>2021</v>
      </c>
      <c r="J436">
        <v>1</v>
      </c>
      <c r="K436" t="s">
        <v>2249</v>
      </c>
      <c r="L436"/>
      <c r="M436" t="str">
        <f>LEFT($D436,FIND(",",$D436)-1)&amp;"_"&amp;I436&amp;L436</f>
        <v>Riviere_2021</v>
      </c>
      <c r="N436" t="s">
        <v>223</v>
      </c>
      <c r="O436" s="145" t="s">
        <v>342</v>
      </c>
      <c r="P436"/>
      <c r="Q436" t="s">
        <v>257</v>
      </c>
      <c r="R436" s="264" t="s">
        <v>224</v>
      </c>
      <c r="S436" s="1" t="s">
        <v>2250</v>
      </c>
      <c r="T436" t="s">
        <v>2251</v>
      </c>
      <c r="U436" t="s">
        <v>1113</v>
      </c>
      <c r="V436">
        <v>0</v>
      </c>
      <c r="W436">
        <v>0</v>
      </c>
      <c r="X436">
        <v>0</v>
      </c>
      <c r="Y436">
        <v>1</v>
      </c>
      <c r="Z436">
        <v>0</v>
      </c>
      <c r="AA436">
        <v>0</v>
      </c>
      <c r="AB436">
        <v>0</v>
      </c>
      <c r="AC436">
        <v>0</v>
      </c>
      <c r="AD436">
        <v>0</v>
      </c>
      <c r="AE436">
        <v>0</v>
      </c>
      <c r="AF436">
        <v>0</v>
      </c>
      <c r="AG436">
        <v>0</v>
      </c>
      <c r="AH436">
        <v>0</v>
      </c>
      <c r="AI436">
        <v>0</v>
      </c>
      <c r="AJ436">
        <v>0</v>
      </c>
      <c r="AK436">
        <v>0</v>
      </c>
      <c r="AL436">
        <v>0</v>
      </c>
      <c r="AM436">
        <v>0</v>
      </c>
      <c r="AN436">
        <v>0</v>
      </c>
      <c r="AO436">
        <v>0</v>
      </c>
      <c r="AP436">
        <v>0</v>
      </c>
      <c r="AQ436">
        <v>0</v>
      </c>
      <c r="AR436">
        <v>0</v>
      </c>
      <c r="AS436">
        <v>0</v>
      </c>
      <c r="AT436">
        <v>0</v>
      </c>
      <c r="AU436">
        <v>0</v>
      </c>
      <c r="AV436">
        <v>1</v>
      </c>
      <c r="AW436">
        <v>0</v>
      </c>
      <c r="AX436" s="141">
        <f>COUNTIF(V436:AW436,"&lt;&gt;0")</f>
        <v>2</v>
      </c>
      <c r="AY436" s="141">
        <f>COUNTIF(V436:AL436,"&lt;&gt;0")</f>
        <v>1</v>
      </c>
      <c r="AZ436">
        <f>COUNTIF(V436:AC436,"&lt;&gt;0")</f>
        <v>1</v>
      </c>
      <c r="BA436">
        <f>COUNTIF(AD436:AI436,"&lt;&gt;0")</f>
        <v>0</v>
      </c>
      <c r="BB436">
        <f>COUNTIF(AJ436:AL436,"&lt;&gt;0")</f>
        <v>0</v>
      </c>
      <c r="BC436">
        <f>COUNTIF(AS436:AW436,"&lt;&gt;0")</f>
        <v>1</v>
      </c>
      <c r="BD436">
        <f>COUNTIF(AM436:AR436,"&lt;&gt;0")</f>
        <v>0</v>
      </c>
      <c r="BE436" t="str">
        <f t="array" ref="BE436">IF(AY436=1,INDEX($V$7:$AL$7,MATCH(TRUE,INDEX($V436:$AW436&lt;&gt;0,),0)),IF(AY436=0,INDEX($AM$7:$AW$7,MATCH(1,$AM436:$AW436,0)),IF(BF436="Multiple strategies","mixed drivers",IF(BF436="Supply chain","multiple supply","multiple silviculture"))))</f>
        <v xml:space="preserve">cutting intensity </v>
      </c>
      <c r="BF436" s="2" t="str" cm="1">
        <f t="array" ref="BF436">IF(COUNTIF(AZ436:BB436,"&lt;&gt;0")=1,INDEX($V$4:$AW$4,MATCH(TRUE,INDEX($V436:$AW436&lt;&gt;0,),0)),IF(COUNTIF(AZ436:BB436,"&lt;&gt;0")=0,INDEX($AM$4:$AW$4,MATCH(1,$AM436:$AW436,0)),"Multiple strategies"))</f>
        <v>SilvicultureRemov</v>
      </c>
      <c r="BG436" s="1" t="s">
        <v>322</v>
      </c>
      <c r="BH436" t="s">
        <v>2252</v>
      </c>
      <c r="BI436" s="266" t="s">
        <v>425</v>
      </c>
      <c r="BJ436" t="s">
        <v>1357</v>
      </c>
      <c r="BK436">
        <f>45.53*80</f>
        <v>3642.4</v>
      </c>
      <c r="BL436">
        <f>47.33*80</f>
        <v>3786.3999999999996</v>
      </c>
      <c r="BM436"/>
      <c r="BN436">
        <f>BL436-BK436</f>
        <v>143.99999999999955</v>
      </c>
      <c r="BO436">
        <f>BN436*10^6</f>
        <v>143999999.99999955</v>
      </c>
      <c r="BP436" t="s">
        <v>233</v>
      </c>
      <c r="BQ436" s="153" t="s">
        <v>427</v>
      </c>
      <c r="BR436" s="266" t="s">
        <v>2327</v>
      </c>
      <c r="BS436">
        <v>390</v>
      </c>
      <c r="BT436">
        <v>0</v>
      </c>
      <c r="BU436" s="144">
        <f>IFERROR(BT436/BS436,"")</f>
        <v>0</v>
      </c>
      <c r="BV436">
        <f>BT436-BS436</f>
        <v>-390</v>
      </c>
      <c r="BW436"/>
      <c r="BX436">
        <f>BV436*10^6</f>
        <v>-390000000</v>
      </c>
      <c r="BY436">
        <f>IFERROR(BX436/BO436,"")</f>
        <v>-2.7083333333333419</v>
      </c>
      <c r="BZ436">
        <v>0</v>
      </c>
      <c r="CA436">
        <v>0</v>
      </c>
      <c r="CB436">
        <v>0</v>
      </c>
      <c r="CC436">
        <v>0</v>
      </c>
      <c r="CD436">
        <v>0</v>
      </c>
      <c r="CE436">
        <v>0</v>
      </c>
      <c r="CF436">
        <v>0</v>
      </c>
      <c r="CG436">
        <v>0</v>
      </c>
      <c r="CH436">
        <v>0</v>
      </c>
      <c r="CI436">
        <v>0</v>
      </c>
      <c r="CJ436">
        <v>0</v>
      </c>
      <c r="CK436">
        <v>0</v>
      </c>
      <c r="CL436">
        <v>0</v>
      </c>
      <c r="CM436">
        <v>1</v>
      </c>
      <c r="CN436" t="str">
        <f>IF($BL436&lt;$BK436,"refNeedCorrection","refOK")</f>
        <v>refOK</v>
      </c>
      <c r="CO436">
        <f>IF($CN436="refNeedCorrection",BK436,BL436)</f>
        <v>3786.3999999999996</v>
      </c>
      <c r="CP436">
        <f>IF($CN436="refNeedCorrection",BL436,BK436)</f>
        <v>3642.4</v>
      </c>
      <c r="CQ436">
        <f>IF($CN436="refOK",$BO436,-$BO436)</f>
        <v>143999999.99999955</v>
      </c>
      <c r="CR436">
        <f>IF($CN436="refOK",$BS436,$BT436)*IF($BP436="Emissions positive",-1,1)</f>
        <v>390</v>
      </c>
      <c r="CS436">
        <f>IF($CN436="refOK",$BT436,$BS436)*IF($BP436="Emissions positive",-1,1)</f>
        <v>0</v>
      </c>
      <c r="CT436">
        <f>IF($CN436="refNeedCorrection",-BX436,BX436)*IF($BP436="Emissions positive",-1,1)</f>
        <v>-390000000</v>
      </c>
      <c r="CU436">
        <f>IFERROR(CT436/CQ436,"")</f>
        <v>-2.7083333333333419</v>
      </c>
      <c r="CV436" s="2">
        <f>IFERROR((CS436-CR436)/ABS(CR436),"")</f>
        <v>-1</v>
      </c>
      <c r="CW436" s="1" t="s">
        <v>1205</v>
      </c>
      <c r="CX436" t="str">
        <f>IF(OR($CW436="prd",$CW436="std",$CW436="cit"),"loc",IF(OR($CW436="eur",$CW436="reg",$CW436="coy"),"reg",$CW436))</f>
        <v>reg</v>
      </c>
      <c r="CY436" t="s">
        <v>731</v>
      </c>
      <c r="CZ436">
        <v>2020</v>
      </c>
      <c r="DA436">
        <v>2100</v>
      </c>
      <c r="DB436">
        <v>81</v>
      </c>
      <c r="DC436" t="str">
        <f>IF(DB436=0,"0",IF(AND(DB436&gt;=1,DB436&lt;=30),"1-30",IF(AND(DB436&gt;30,DB436&lt;=70),"31-70",IF(AND(DB436&gt;70,DB436&lt;=100),"71-100",IF(DB436&gt;100,"+100")))))</f>
        <v>71-100</v>
      </c>
      <c r="DD436">
        <v>0</v>
      </c>
      <c r="DE436">
        <v>0</v>
      </c>
      <c r="DF436">
        <v>1</v>
      </c>
      <c r="DG436">
        <v>1</v>
      </c>
      <c r="DH436"/>
      <c r="DI436">
        <f>SUM(DD436:DG436)</f>
        <v>2</v>
      </c>
      <c r="DJ436" t="str">
        <f>IF(DI436=1,INDEX($DD$7:$DG$7,MATCH(1,$DD436:$DG436,0)),"mixedProduct")</f>
        <v>mixedProduct</v>
      </c>
      <c r="DK436">
        <f>IF(DD436=1,DK$7,0)</f>
        <v>0</v>
      </c>
      <c r="DL436">
        <f>IF(DE436=1,DL$7,0)</f>
        <v>0</v>
      </c>
      <c r="DM436" t="str">
        <f>IF(DF436=1,DM$7,0)</f>
        <v>Pulp/Paper</v>
      </c>
      <c r="DN436" t="str">
        <f>IF(DG436=1,DN$7,0)</f>
        <v>Timber</v>
      </c>
      <c r="DO436">
        <v>0</v>
      </c>
      <c r="DP436">
        <v>0</v>
      </c>
      <c r="DQ436">
        <v>0</v>
      </c>
      <c r="DR436">
        <v>0</v>
      </c>
      <c r="DS436">
        <v>0</v>
      </c>
      <c r="DT436">
        <f>SUM(DO436:DP436)</f>
        <v>0</v>
      </c>
      <c r="DU436" s="143" t="str">
        <f>IF(DO436=1,"self-calculated DF",IF(DP436=1,"external DF used","explicit C balance"))</f>
        <v>explicit C balance</v>
      </c>
      <c r="DV436">
        <v>0</v>
      </c>
      <c r="DW436">
        <v>0</v>
      </c>
      <c r="DX436">
        <v>1</v>
      </c>
      <c r="DY436">
        <v>0</v>
      </c>
      <c r="DZ436">
        <v>0</v>
      </c>
      <c r="EA436" s="143">
        <v>0</v>
      </c>
      <c r="EB436">
        <v>0</v>
      </c>
      <c r="EC436">
        <v>0</v>
      </c>
      <c r="ED436">
        <v>0</v>
      </c>
      <c r="EE436">
        <v>0</v>
      </c>
      <c r="EF436">
        <v>1</v>
      </c>
      <c r="EG436">
        <v>0</v>
      </c>
      <c r="EH436">
        <v>0</v>
      </c>
      <c r="EI436" s="2">
        <v>0</v>
      </c>
      <c r="EJ436" s="1"/>
      <c r="EK436" t="str">
        <f>IF(AND(AND(AND(OR($DX436=1,$DW436=1),OR($EC436=1,$EA436=1)),SUM($DV436:$DZ436,$EF436)&gt;=4),SUM($EA436:$EE436)&gt;=2),"Whole sector","")</f>
        <v/>
      </c>
      <c r="EL436" t="str">
        <f>IF(AND(AND(OR($DX436=1,$DW436=1),AND($EC436=0,$EA436=0)),SUM($DV436:$DZ436,$EF436)&gt;=4),"Ecosystem approach","")</f>
        <v/>
      </c>
      <c r="EM436" s="2" t="str">
        <f>IF(AND(AND(AND($DX436=0,$DW436=0),OR($EC436=1,$EA436=1)),SUM($EB436:$EE436)&gt;=2),"Technology approach","")</f>
        <v/>
      </c>
      <c r="EN436"/>
      <c r="EO436"/>
      <c r="EP436" t="str">
        <f>IF(ISNUMBER(BU436),IF(ABS(BU436-[2]QC_indicators!$B$2)&gt;3*[2]QC_indicators!$C$2,"C ratio",IF(ISNUMBER(BY436),IF(ABS(BY436-[2]QC_indicators!$B$1)&gt;3*[2]QC_indicators!$C$1,"DF","no"))),IF(ISNUMBER(BY436),IF(ABS(BY436-[2]QC_indicators!$B$1)&gt;3*[2]QC_indicators!$C$1,"DF","no")))</f>
        <v>no</v>
      </c>
      <c r="EQ436"/>
      <c r="ER436" s="266" t="s">
        <v>3238</v>
      </c>
      <c r="ES436"/>
      <c r="ET436" s="307" t="s">
        <v>3411</v>
      </c>
      <c r="EU436"/>
    </row>
    <row r="437" spans="1:151" s="139" customFormat="1" ht="15" hidden="1" customHeight="1">
      <c r="A437" s="1" t="s">
        <v>1355</v>
      </c>
      <c r="B437" t="s">
        <v>545</v>
      </c>
      <c r="C437" t="s">
        <v>2245</v>
      </c>
      <c r="D437" t="s">
        <v>2246</v>
      </c>
      <c r="E437" t="s">
        <v>2247</v>
      </c>
      <c r="F437" t="s">
        <v>2248</v>
      </c>
      <c r="G437" t="s">
        <v>1356</v>
      </c>
      <c r="H437" t="s">
        <v>255</v>
      </c>
      <c r="I437">
        <v>2021</v>
      </c>
      <c r="J437">
        <v>1</v>
      </c>
      <c r="K437" t="s">
        <v>2249</v>
      </c>
      <c r="L437"/>
      <c r="M437" t="str">
        <f>LEFT($D437,FIND(",",$D437)-1)&amp;"_"&amp;I437&amp;L437</f>
        <v>Riviere_2021</v>
      </c>
      <c r="N437" t="s">
        <v>223</v>
      </c>
      <c r="O437" s="145" t="s">
        <v>342</v>
      </c>
      <c r="P437"/>
      <c r="Q437" t="s">
        <v>257</v>
      </c>
      <c r="R437" s="264" t="s">
        <v>224</v>
      </c>
      <c r="S437" s="1" t="s">
        <v>2253</v>
      </c>
      <c r="T437" t="s">
        <v>2254</v>
      </c>
      <c r="U437" t="s">
        <v>1113</v>
      </c>
      <c r="V437">
        <v>0</v>
      </c>
      <c r="W437">
        <v>0</v>
      </c>
      <c r="X437">
        <v>0</v>
      </c>
      <c r="Y437">
        <v>1</v>
      </c>
      <c r="Z437">
        <v>0</v>
      </c>
      <c r="AA437">
        <v>0</v>
      </c>
      <c r="AB437">
        <v>0</v>
      </c>
      <c r="AC437">
        <v>0</v>
      </c>
      <c r="AD437">
        <v>0</v>
      </c>
      <c r="AE437">
        <v>0</v>
      </c>
      <c r="AF437">
        <v>0</v>
      </c>
      <c r="AG437">
        <v>0</v>
      </c>
      <c r="AH437">
        <v>0</v>
      </c>
      <c r="AI437">
        <v>0</v>
      </c>
      <c r="AJ437">
        <v>0</v>
      </c>
      <c r="AK437">
        <v>0</v>
      </c>
      <c r="AL437">
        <v>0</v>
      </c>
      <c r="AM437">
        <v>0</v>
      </c>
      <c r="AN437">
        <v>0</v>
      </c>
      <c r="AO437">
        <v>0</v>
      </c>
      <c r="AP437">
        <v>0</v>
      </c>
      <c r="AQ437">
        <v>0</v>
      </c>
      <c r="AR437">
        <v>0</v>
      </c>
      <c r="AS437">
        <v>0</v>
      </c>
      <c r="AT437">
        <v>0</v>
      </c>
      <c r="AU437">
        <v>0</v>
      </c>
      <c r="AV437">
        <v>1</v>
      </c>
      <c r="AW437">
        <v>0</v>
      </c>
      <c r="AX437" s="141">
        <f>COUNTIF(V437:AW437,"&lt;&gt;0")</f>
        <v>2</v>
      </c>
      <c r="AY437" s="141">
        <f>COUNTIF(V437:AL437,"&lt;&gt;0")</f>
        <v>1</v>
      </c>
      <c r="AZ437">
        <f>COUNTIF(V437:AC437,"&lt;&gt;0")</f>
        <v>1</v>
      </c>
      <c r="BA437">
        <f>COUNTIF(AD437:AI437,"&lt;&gt;0")</f>
        <v>0</v>
      </c>
      <c r="BB437">
        <f>COUNTIF(AJ437:AL437,"&lt;&gt;0")</f>
        <v>0</v>
      </c>
      <c r="BC437">
        <f>COUNTIF(AS437:AW437,"&lt;&gt;0")</f>
        <v>1</v>
      </c>
      <c r="BD437">
        <f>COUNTIF(AM437:AR437,"&lt;&gt;0")</f>
        <v>0</v>
      </c>
      <c r="BE437" t="str">
        <f t="array" ref="BE437">IF(AY437=1,INDEX($V$7:$AL$7,MATCH(TRUE,INDEX($V437:$AW437&lt;&gt;0,),0)),IF(AY437=0,INDEX($AM$7:$AW$7,MATCH(1,$AM437:$AW437,0)),IF(BF437="Multiple strategies","mixed drivers",IF(BF437="Supply chain","multiple supply","multiple silviculture"))))</f>
        <v xml:space="preserve">cutting intensity </v>
      </c>
      <c r="BF437" s="2" t="str" cm="1">
        <f t="array" ref="BF437">IF(COUNTIF(AZ437:BB437,"&lt;&gt;0")=1,INDEX($V$4:$AW$4,MATCH(TRUE,INDEX($V437:$AW437&lt;&gt;0,),0)),IF(COUNTIF(AZ437:BB437,"&lt;&gt;0")=0,INDEX($AM$4:$AW$4,MATCH(1,$AM437:$AW437,0)),"Multiple strategies"))</f>
        <v>SilvicultureRemov</v>
      </c>
      <c r="BG437" s="1" t="s">
        <v>322</v>
      </c>
      <c r="BH437" t="s">
        <v>2252</v>
      </c>
      <c r="BI437" s="266" t="s">
        <v>425</v>
      </c>
      <c r="BJ437" t="s">
        <v>1357</v>
      </c>
      <c r="BK437">
        <f>45.04*80</f>
        <v>3603.2</v>
      </c>
      <c r="BL437">
        <f>47.33*80</f>
        <v>3786.3999999999996</v>
      </c>
      <c r="BM437"/>
      <c r="BN437">
        <f>BL437-BK437</f>
        <v>183.19999999999982</v>
      </c>
      <c r="BO437">
        <f>BN437*10^6</f>
        <v>183199999.99999982</v>
      </c>
      <c r="BP437" t="s">
        <v>233</v>
      </c>
      <c r="BQ437" s="153" t="s">
        <v>427</v>
      </c>
      <c r="BR437" s="266" t="s">
        <v>2327</v>
      </c>
      <c r="BS437">
        <v>490</v>
      </c>
      <c r="BT437">
        <v>0</v>
      </c>
      <c r="BU437" s="144">
        <f>IFERROR(BT437/BS437,"")</f>
        <v>0</v>
      </c>
      <c r="BV437">
        <f>BT437-BS437</f>
        <v>-490</v>
      </c>
      <c r="BW437"/>
      <c r="BX437">
        <f>BV437*10^6</f>
        <v>-490000000</v>
      </c>
      <c r="BY437">
        <f>IFERROR(BX437/BO437,"")</f>
        <v>-2.6746724890829721</v>
      </c>
      <c r="BZ437">
        <v>0</v>
      </c>
      <c r="CA437">
        <v>0</v>
      </c>
      <c r="CB437">
        <v>0</v>
      </c>
      <c r="CC437">
        <v>0</v>
      </c>
      <c r="CD437">
        <v>0</v>
      </c>
      <c r="CE437">
        <v>0</v>
      </c>
      <c r="CF437">
        <v>0</v>
      </c>
      <c r="CG437">
        <v>0</v>
      </c>
      <c r="CH437">
        <v>0</v>
      </c>
      <c r="CI437">
        <v>0</v>
      </c>
      <c r="CJ437">
        <v>0</v>
      </c>
      <c r="CK437">
        <v>0</v>
      </c>
      <c r="CL437">
        <v>0</v>
      </c>
      <c r="CM437">
        <v>1</v>
      </c>
      <c r="CN437" t="str">
        <f>IF($BL437&lt;$BK437,"refNeedCorrection","refOK")</f>
        <v>refOK</v>
      </c>
      <c r="CO437">
        <f>IF($CN437="refNeedCorrection",BK437,BL437)</f>
        <v>3786.3999999999996</v>
      </c>
      <c r="CP437">
        <f>IF($CN437="refNeedCorrection",BL437,BK437)</f>
        <v>3603.2</v>
      </c>
      <c r="CQ437">
        <f>IF($CN437="refOK",$BO437,-$BO437)</f>
        <v>183199999.99999982</v>
      </c>
      <c r="CR437">
        <f>IF($CN437="refOK",$BS437,$BT437)*IF($BP437="Emissions positive",-1,1)</f>
        <v>490</v>
      </c>
      <c r="CS437">
        <f>IF($CN437="refOK",$BT437,$BS437)*IF($BP437="Emissions positive",-1,1)</f>
        <v>0</v>
      </c>
      <c r="CT437">
        <f>IF($CN437="refNeedCorrection",-BX437,BX437)*IF($BP437="Emissions positive",-1,1)</f>
        <v>-490000000</v>
      </c>
      <c r="CU437">
        <f>IFERROR(CT437/CQ437,"")</f>
        <v>-2.6746724890829721</v>
      </c>
      <c r="CV437" s="2">
        <f>IFERROR((CS437-CR437)/ABS(CR437),"")</f>
        <v>-1</v>
      </c>
      <c r="CW437" s="1" t="s">
        <v>1205</v>
      </c>
      <c r="CX437" t="str">
        <f>IF(OR($CW437="prd",$CW437="std",$CW437="cit"),"loc",IF(OR($CW437="eur",$CW437="reg",$CW437="coy"),"reg",$CW437))</f>
        <v>reg</v>
      </c>
      <c r="CY437" t="s">
        <v>731</v>
      </c>
      <c r="CZ437">
        <v>2020</v>
      </c>
      <c r="DA437">
        <v>2100</v>
      </c>
      <c r="DB437">
        <v>81</v>
      </c>
      <c r="DC437" t="str">
        <f>IF(DB437=0,"0",IF(AND(DB437&gt;=1,DB437&lt;=30),"1-30",IF(AND(DB437&gt;30,DB437&lt;=70),"31-70",IF(AND(DB437&gt;70,DB437&lt;=100),"71-100",IF(DB437&gt;100,"+100")))))</f>
        <v>71-100</v>
      </c>
      <c r="DD437">
        <v>0</v>
      </c>
      <c r="DE437">
        <v>0</v>
      </c>
      <c r="DF437">
        <v>1</v>
      </c>
      <c r="DG437">
        <v>1</v>
      </c>
      <c r="DH437"/>
      <c r="DI437">
        <f>SUM(DD437:DG437)</f>
        <v>2</v>
      </c>
      <c r="DJ437" t="str">
        <f>IF(DI437=1,INDEX($DD$7:$DG$7,MATCH(1,$DD437:$DG437,0)),"mixedProduct")</f>
        <v>mixedProduct</v>
      </c>
      <c r="DK437">
        <f>IF(DD437=1,DK$7,0)</f>
        <v>0</v>
      </c>
      <c r="DL437">
        <f>IF(DE437=1,DL$7,0)</f>
        <v>0</v>
      </c>
      <c r="DM437" t="str">
        <f>IF(DF437=1,DM$7,0)</f>
        <v>Pulp/Paper</v>
      </c>
      <c r="DN437" t="str">
        <f>IF(DG437=1,DN$7,0)</f>
        <v>Timber</v>
      </c>
      <c r="DO437">
        <v>0</v>
      </c>
      <c r="DP437">
        <v>0</v>
      </c>
      <c r="DQ437">
        <v>0</v>
      </c>
      <c r="DR437">
        <v>0</v>
      </c>
      <c r="DS437">
        <v>0</v>
      </c>
      <c r="DT437">
        <f>SUM(DO437:DP437)</f>
        <v>0</v>
      </c>
      <c r="DU437" s="143" t="str">
        <f>IF(DO437=1,"self-calculated DF",IF(DP437=1,"external DF used","explicit C balance"))</f>
        <v>explicit C balance</v>
      </c>
      <c r="DV437">
        <v>0</v>
      </c>
      <c r="DW437">
        <v>0</v>
      </c>
      <c r="DX437">
        <v>1</v>
      </c>
      <c r="DY437">
        <v>0</v>
      </c>
      <c r="DZ437">
        <v>0</v>
      </c>
      <c r="EA437" s="143">
        <v>0</v>
      </c>
      <c r="EB437">
        <v>0</v>
      </c>
      <c r="EC437">
        <v>0</v>
      </c>
      <c r="ED437">
        <v>0</v>
      </c>
      <c r="EE437">
        <v>0</v>
      </c>
      <c r="EF437">
        <v>1</v>
      </c>
      <c r="EG437">
        <v>0</v>
      </c>
      <c r="EH437">
        <v>0</v>
      </c>
      <c r="EI437" s="2">
        <v>0</v>
      </c>
      <c r="EJ437" s="1"/>
      <c r="EK437" t="str">
        <f>IF(AND(AND(AND(OR($DX437=1,$DW437=1),OR($EC437=1,$EA437=1)),SUM($DV437:$DZ437,$EF437)&gt;=4),SUM($EA437:$EE437)&gt;=2),"Whole sector","")</f>
        <v/>
      </c>
      <c r="EL437" t="str">
        <f>IF(AND(AND(OR($DX437=1,$DW437=1),AND($EC437=0,$EA437=0)),SUM($DV437:$DZ437,$EF437)&gt;=4),"Ecosystem approach","")</f>
        <v/>
      </c>
      <c r="EM437" s="2" t="str">
        <f>IF(AND(AND(AND($DX437=0,$DW437=0),OR($EC437=1,$EA437=1)),SUM($EB437:$EE437)&gt;=2),"Technology approach","")</f>
        <v/>
      </c>
      <c r="EN437"/>
      <c r="EO437"/>
      <c r="EP437" t="str">
        <f>IF(ISNUMBER(BU437),IF(ABS(BU437-[2]QC_indicators!$B$2)&gt;3*[2]QC_indicators!$C$2,"C ratio",IF(ISNUMBER(BY437),IF(ABS(BY437-[2]QC_indicators!$B$1)&gt;3*[2]QC_indicators!$C$1,"DF","no"))),IF(ISNUMBER(BY437),IF(ABS(BY437-[2]QC_indicators!$B$1)&gt;3*[2]QC_indicators!$C$1,"DF","no")))</f>
        <v>no</v>
      </c>
      <c r="EQ437"/>
      <c r="ER437" s="266" t="s">
        <v>3238</v>
      </c>
      <c r="ES437"/>
      <c r="ET437" s="307" t="s">
        <v>3411</v>
      </c>
      <c r="EU437"/>
    </row>
    <row r="438" spans="1:151" s="139" customFormat="1" ht="15" hidden="1" customHeight="1">
      <c r="A438" s="1" t="s">
        <v>1355</v>
      </c>
      <c r="B438" t="s">
        <v>545</v>
      </c>
      <c r="C438" t="s">
        <v>2245</v>
      </c>
      <c r="D438" t="s">
        <v>2246</v>
      </c>
      <c r="E438" t="s">
        <v>2247</v>
      </c>
      <c r="F438" t="s">
        <v>2248</v>
      </c>
      <c r="G438" t="s">
        <v>1356</v>
      </c>
      <c r="H438" t="s">
        <v>255</v>
      </c>
      <c r="I438">
        <v>2021</v>
      </c>
      <c r="J438">
        <v>1</v>
      </c>
      <c r="K438" t="s">
        <v>2249</v>
      </c>
      <c r="L438"/>
      <c r="M438" t="str">
        <f>LEFT($D438,FIND(",",$D438)-1)&amp;"_"&amp;I438&amp;L438</f>
        <v>Riviere_2021</v>
      </c>
      <c r="N438" t="s">
        <v>223</v>
      </c>
      <c r="O438" s="145" t="s">
        <v>342</v>
      </c>
      <c r="P438"/>
      <c r="Q438" t="s">
        <v>257</v>
      </c>
      <c r="R438" s="264" t="s">
        <v>224</v>
      </c>
      <c r="S438" s="1" t="s">
        <v>2255</v>
      </c>
      <c r="T438" t="s">
        <v>2256</v>
      </c>
      <c r="U438" t="s">
        <v>1113</v>
      </c>
      <c r="V438">
        <v>0</v>
      </c>
      <c r="W438">
        <v>0</v>
      </c>
      <c r="X438">
        <v>0</v>
      </c>
      <c r="Y438">
        <v>1</v>
      </c>
      <c r="Z438">
        <v>0</v>
      </c>
      <c r="AA438">
        <v>0</v>
      </c>
      <c r="AB438">
        <v>0</v>
      </c>
      <c r="AC438">
        <v>0</v>
      </c>
      <c r="AD438">
        <v>0</v>
      </c>
      <c r="AE438">
        <v>0</v>
      </c>
      <c r="AF438">
        <v>0</v>
      </c>
      <c r="AG438">
        <v>0</v>
      </c>
      <c r="AH438">
        <v>0</v>
      </c>
      <c r="AI438">
        <v>0</v>
      </c>
      <c r="AJ438">
        <v>0</v>
      </c>
      <c r="AK438">
        <v>0</v>
      </c>
      <c r="AL438">
        <v>0</v>
      </c>
      <c r="AM438">
        <v>0</v>
      </c>
      <c r="AN438">
        <v>0</v>
      </c>
      <c r="AO438">
        <v>0</v>
      </c>
      <c r="AP438">
        <v>0</v>
      </c>
      <c r="AQ438">
        <v>0</v>
      </c>
      <c r="AR438">
        <v>0</v>
      </c>
      <c r="AS438">
        <v>0</v>
      </c>
      <c r="AT438">
        <v>0</v>
      </c>
      <c r="AU438">
        <v>0</v>
      </c>
      <c r="AV438">
        <v>1</v>
      </c>
      <c r="AW438">
        <v>0</v>
      </c>
      <c r="AX438" s="141">
        <f>COUNTIF(V438:AW438,"&lt;&gt;0")</f>
        <v>2</v>
      </c>
      <c r="AY438" s="141">
        <f>COUNTIF(V438:AL438,"&lt;&gt;0")</f>
        <v>1</v>
      </c>
      <c r="AZ438">
        <f>COUNTIF(V438:AC438,"&lt;&gt;0")</f>
        <v>1</v>
      </c>
      <c r="BA438">
        <f>COUNTIF(AD438:AI438,"&lt;&gt;0")</f>
        <v>0</v>
      </c>
      <c r="BB438">
        <f>COUNTIF(AJ438:AL438,"&lt;&gt;0")</f>
        <v>0</v>
      </c>
      <c r="BC438">
        <f>COUNTIF(AS438:AW438,"&lt;&gt;0")</f>
        <v>1</v>
      </c>
      <c r="BD438">
        <f>COUNTIF(AM438:AR438,"&lt;&gt;0")</f>
        <v>0</v>
      </c>
      <c r="BE438" t="str">
        <f t="array" ref="BE438">IF(AY438=1,INDEX($V$7:$AL$7,MATCH(TRUE,INDEX($V438:$AW438&lt;&gt;0,),0)),IF(AY438=0,INDEX($AM$7:$AW$7,MATCH(1,$AM438:$AW438,0)),IF(BF438="Multiple strategies","mixed drivers",IF(BF438="Supply chain","multiple supply","multiple silviculture"))))</f>
        <v xml:space="preserve">cutting intensity </v>
      </c>
      <c r="BF438" s="2" t="str" cm="1">
        <f t="array" ref="BF438">IF(COUNTIF(AZ438:BB438,"&lt;&gt;0")=1,INDEX($V$4:$AW$4,MATCH(TRUE,INDEX($V438:$AW438&lt;&gt;0,),0)),IF(COUNTIF(AZ438:BB438,"&lt;&gt;0")=0,INDEX($AM$4:$AW$4,MATCH(1,$AM438:$AW438,0)),"Multiple strategies"))</f>
        <v>SilvicultureRemov</v>
      </c>
      <c r="BG438" s="1" t="s">
        <v>322</v>
      </c>
      <c r="BH438" t="s">
        <v>2252</v>
      </c>
      <c r="BI438" s="266" t="s">
        <v>425</v>
      </c>
      <c r="BJ438" t="s">
        <v>1357</v>
      </c>
      <c r="BK438">
        <f>44.68*80</f>
        <v>3574.4</v>
      </c>
      <c r="BL438">
        <f>47.33*80</f>
        <v>3786.3999999999996</v>
      </c>
      <c r="BM438"/>
      <c r="BN438">
        <f>BL438-BK438</f>
        <v>211.99999999999955</v>
      </c>
      <c r="BO438">
        <f>BN438*10^6</f>
        <v>211999999.99999955</v>
      </c>
      <c r="BP438" t="s">
        <v>233</v>
      </c>
      <c r="BQ438" s="153" t="s">
        <v>427</v>
      </c>
      <c r="BR438" s="266" t="s">
        <v>2327</v>
      </c>
      <c r="BS438">
        <v>550</v>
      </c>
      <c r="BT438">
        <v>0</v>
      </c>
      <c r="BU438" s="144">
        <f>IFERROR(BT438/BS438,"")</f>
        <v>0</v>
      </c>
      <c r="BV438">
        <f>BT438-BS438</f>
        <v>-550</v>
      </c>
      <c r="BW438"/>
      <c r="BX438">
        <f>BV438*10^6</f>
        <v>-550000000</v>
      </c>
      <c r="BY438">
        <f>IFERROR(BX438/BO438,"")</f>
        <v>-2.594339622641515</v>
      </c>
      <c r="BZ438">
        <v>0</v>
      </c>
      <c r="CA438">
        <v>0</v>
      </c>
      <c r="CB438">
        <v>0</v>
      </c>
      <c r="CC438">
        <v>0</v>
      </c>
      <c r="CD438">
        <v>0</v>
      </c>
      <c r="CE438">
        <v>0</v>
      </c>
      <c r="CF438">
        <v>0</v>
      </c>
      <c r="CG438">
        <v>0</v>
      </c>
      <c r="CH438">
        <v>0</v>
      </c>
      <c r="CI438">
        <v>0</v>
      </c>
      <c r="CJ438">
        <v>0</v>
      </c>
      <c r="CK438">
        <v>0</v>
      </c>
      <c r="CL438">
        <v>0</v>
      </c>
      <c r="CM438">
        <v>1</v>
      </c>
      <c r="CN438" t="str">
        <f>IF($BL438&lt;$BK438,"refNeedCorrection","refOK")</f>
        <v>refOK</v>
      </c>
      <c r="CO438">
        <f>IF($CN438="refNeedCorrection",BK438,BL438)</f>
        <v>3786.3999999999996</v>
      </c>
      <c r="CP438">
        <f>IF($CN438="refNeedCorrection",BL438,BK438)</f>
        <v>3574.4</v>
      </c>
      <c r="CQ438">
        <f>IF($CN438="refOK",$BO438,-$BO438)</f>
        <v>211999999.99999955</v>
      </c>
      <c r="CR438">
        <f>IF($CN438="refOK",$BS438,$BT438)*IF($BP438="Emissions positive",-1,1)</f>
        <v>550</v>
      </c>
      <c r="CS438">
        <f>IF($CN438="refOK",$BT438,$BS438)*IF($BP438="Emissions positive",-1,1)</f>
        <v>0</v>
      </c>
      <c r="CT438">
        <f>IF($CN438="refNeedCorrection",-BX438,BX438)*IF($BP438="Emissions positive",-1,1)</f>
        <v>-550000000</v>
      </c>
      <c r="CU438">
        <f>IFERROR(CT438/CQ438,"")</f>
        <v>-2.594339622641515</v>
      </c>
      <c r="CV438" s="2">
        <f>IFERROR((CS438-CR438)/ABS(CR438),"")</f>
        <v>-1</v>
      </c>
      <c r="CW438" s="1" t="s">
        <v>1205</v>
      </c>
      <c r="CX438" t="str">
        <f>IF(OR($CW438="prd",$CW438="std",$CW438="cit"),"loc",IF(OR($CW438="eur",$CW438="reg",$CW438="coy"),"reg",$CW438))</f>
        <v>reg</v>
      </c>
      <c r="CY438" t="s">
        <v>731</v>
      </c>
      <c r="CZ438">
        <v>2020</v>
      </c>
      <c r="DA438">
        <v>2100</v>
      </c>
      <c r="DB438">
        <v>81</v>
      </c>
      <c r="DC438" t="str">
        <f>IF(DB438=0,"0",IF(AND(DB438&gt;=1,DB438&lt;=30),"1-30",IF(AND(DB438&gt;30,DB438&lt;=70),"31-70",IF(AND(DB438&gt;70,DB438&lt;=100),"71-100",IF(DB438&gt;100,"+100")))))</f>
        <v>71-100</v>
      </c>
      <c r="DD438">
        <v>0</v>
      </c>
      <c r="DE438">
        <v>0</v>
      </c>
      <c r="DF438">
        <v>1</v>
      </c>
      <c r="DG438">
        <v>1</v>
      </c>
      <c r="DH438"/>
      <c r="DI438">
        <f>SUM(DD438:DG438)</f>
        <v>2</v>
      </c>
      <c r="DJ438" t="str">
        <f>IF(DI438=1,INDEX($DD$7:$DG$7,MATCH(1,$DD438:$DG438,0)),"mixedProduct")</f>
        <v>mixedProduct</v>
      </c>
      <c r="DK438">
        <f>IF(DD438=1,DK$7,0)</f>
        <v>0</v>
      </c>
      <c r="DL438">
        <f>IF(DE438=1,DL$7,0)</f>
        <v>0</v>
      </c>
      <c r="DM438" t="str">
        <f>IF(DF438=1,DM$7,0)</f>
        <v>Pulp/Paper</v>
      </c>
      <c r="DN438" t="str">
        <f>IF(DG438=1,DN$7,0)</f>
        <v>Timber</v>
      </c>
      <c r="DO438">
        <v>0</v>
      </c>
      <c r="DP438">
        <v>0</v>
      </c>
      <c r="DQ438">
        <v>0</v>
      </c>
      <c r="DR438">
        <v>0</v>
      </c>
      <c r="DS438">
        <v>0</v>
      </c>
      <c r="DT438">
        <f>SUM(DO438:DP438)</f>
        <v>0</v>
      </c>
      <c r="DU438" s="143" t="str">
        <f>IF(DO438=1,"self-calculated DF",IF(DP438=1,"external DF used","explicit C balance"))</f>
        <v>explicit C balance</v>
      </c>
      <c r="DV438">
        <v>0</v>
      </c>
      <c r="DW438">
        <v>0</v>
      </c>
      <c r="DX438">
        <v>1</v>
      </c>
      <c r="DY438">
        <v>0</v>
      </c>
      <c r="DZ438">
        <v>0</v>
      </c>
      <c r="EA438" s="143">
        <v>0</v>
      </c>
      <c r="EB438">
        <v>0</v>
      </c>
      <c r="EC438">
        <v>0</v>
      </c>
      <c r="ED438">
        <v>0</v>
      </c>
      <c r="EE438">
        <v>0</v>
      </c>
      <c r="EF438">
        <v>1</v>
      </c>
      <c r="EG438">
        <v>0</v>
      </c>
      <c r="EH438">
        <v>0</v>
      </c>
      <c r="EI438" s="2">
        <v>0</v>
      </c>
      <c r="EJ438" s="1"/>
      <c r="EK438" t="str">
        <f>IF(AND(AND(AND(OR($DX438=1,$DW438=1),OR($EC438=1,$EA438=1)),SUM($DV438:$DZ438,$EF438)&gt;=4),SUM($EA438:$EE438)&gt;=2),"Whole sector","")</f>
        <v/>
      </c>
      <c r="EL438" t="str">
        <f>IF(AND(AND(OR($DX438=1,$DW438=1),AND($EC438=0,$EA438=0)),SUM($DV438:$DZ438,$EF438)&gt;=4),"Ecosystem approach","")</f>
        <v/>
      </c>
      <c r="EM438" s="2" t="str">
        <f>IF(AND(AND(AND($DX438=0,$DW438=0),OR($EC438=1,$EA438=1)),SUM($EB438:$EE438)&gt;=2),"Technology approach","")</f>
        <v/>
      </c>
      <c r="EN438"/>
      <c r="EO438"/>
      <c r="EP438" t="str">
        <f>IF(ISNUMBER(BU438),IF(ABS(BU438-[2]QC_indicators!$B$2)&gt;3*[2]QC_indicators!$C$2,"C ratio",IF(ISNUMBER(BY438),IF(ABS(BY438-[2]QC_indicators!$B$1)&gt;3*[2]QC_indicators!$C$1,"DF","no"))),IF(ISNUMBER(BY438),IF(ABS(BY438-[2]QC_indicators!$B$1)&gt;3*[2]QC_indicators!$C$1,"DF","no")))</f>
        <v>no</v>
      </c>
      <c r="EQ438"/>
      <c r="ER438" s="266" t="s">
        <v>3238</v>
      </c>
      <c r="ES438"/>
      <c r="ET438" s="307" t="s">
        <v>3411</v>
      </c>
      <c r="EU438"/>
    </row>
    <row r="439" spans="1:151" s="139" customFormat="1" ht="15" hidden="1" customHeight="1">
      <c r="A439" s="1" t="s">
        <v>1355</v>
      </c>
      <c r="B439" t="s">
        <v>545</v>
      </c>
      <c r="C439" t="s">
        <v>2245</v>
      </c>
      <c r="D439" t="s">
        <v>2246</v>
      </c>
      <c r="E439" t="s">
        <v>2247</v>
      </c>
      <c r="F439" t="s">
        <v>2248</v>
      </c>
      <c r="G439" t="s">
        <v>1356</v>
      </c>
      <c r="H439" t="s">
        <v>255</v>
      </c>
      <c r="I439">
        <v>2021</v>
      </c>
      <c r="J439">
        <v>1</v>
      </c>
      <c r="K439" t="s">
        <v>2249</v>
      </c>
      <c r="L439"/>
      <c r="M439" t="str">
        <f>LEFT($D439,FIND(",",$D439)-1)&amp;"_"&amp;I439&amp;L439</f>
        <v>Riviere_2021</v>
      </c>
      <c r="N439" t="s">
        <v>223</v>
      </c>
      <c r="O439" s="145" t="s">
        <v>342</v>
      </c>
      <c r="P439"/>
      <c r="Q439" t="s">
        <v>257</v>
      </c>
      <c r="R439" s="264" t="s">
        <v>224</v>
      </c>
      <c r="S439" s="1" t="s">
        <v>2257</v>
      </c>
      <c r="T439" t="s">
        <v>2258</v>
      </c>
      <c r="U439" t="s">
        <v>1113</v>
      </c>
      <c r="V439">
        <v>0</v>
      </c>
      <c r="W439">
        <v>0</v>
      </c>
      <c r="X439">
        <v>0</v>
      </c>
      <c r="Y439">
        <v>1</v>
      </c>
      <c r="Z439">
        <v>0</v>
      </c>
      <c r="AA439">
        <v>0</v>
      </c>
      <c r="AB439">
        <v>0</v>
      </c>
      <c r="AC439">
        <v>0</v>
      </c>
      <c r="AD439">
        <v>0</v>
      </c>
      <c r="AE439">
        <v>0</v>
      </c>
      <c r="AF439">
        <v>0</v>
      </c>
      <c r="AG439">
        <v>0</v>
      </c>
      <c r="AH439">
        <v>0</v>
      </c>
      <c r="AI439">
        <v>0</v>
      </c>
      <c r="AJ439">
        <v>0</v>
      </c>
      <c r="AK439">
        <v>0</v>
      </c>
      <c r="AL439">
        <v>0</v>
      </c>
      <c r="AM439">
        <v>0</v>
      </c>
      <c r="AN439">
        <v>0</v>
      </c>
      <c r="AO439">
        <v>0</v>
      </c>
      <c r="AP439">
        <v>0</v>
      </c>
      <c r="AQ439">
        <v>0</v>
      </c>
      <c r="AR439">
        <v>0</v>
      </c>
      <c r="AS439">
        <v>0</v>
      </c>
      <c r="AT439">
        <v>0</v>
      </c>
      <c r="AU439">
        <v>0</v>
      </c>
      <c r="AV439">
        <v>1</v>
      </c>
      <c r="AW439">
        <v>0</v>
      </c>
      <c r="AX439" s="141">
        <f>COUNTIF(V439:AW439,"&lt;&gt;0")</f>
        <v>2</v>
      </c>
      <c r="AY439" s="141">
        <f>COUNTIF(V439:AL439,"&lt;&gt;0")</f>
        <v>1</v>
      </c>
      <c r="AZ439">
        <f>COUNTIF(V439:AC439,"&lt;&gt;0")</f>
        <v>1</v>
      </c>
      <c r="BA439">
        <f>COUNTIF(AD439:AI439,"&lt;&gt;0")</f>
        <v>0</v>
      </c>
      <c r="BB439">
        <f>COUNTIF(AJ439:AL439,"&lt;&gt;0")</f>
        <v>0</v>
      </c>
      <c r="BC439">
        <f>COUNTIF(AS439:AW439,"&lt;&gt;0")</f>
        <v>1</v>
      </c>
      <c r="BD439">
        <f>COUNTIF(AM439:AR439,"&lt;&gt;0")</f>
        <v>0</v>
      </c>
      <c r="BE439" t="str">
        <f t="array" ref="BE439">IF(AY439=1,INDEX($V$7:$AL$7,MATCH(TRUE,INDEX($V439:$AW439&lt;&gt;0,),0)),IF(AY439=0,INDEX($AM$7:$AW$7,MATCH(1,$AM439:$AW439,0)),IF(BF439="Multiple strategies","mixed drivers",IF(BF439="Supply chain","multiple supply","multiple silviculture"))))</f>
        <v xml:space="preserve">cutting intensity </v>
      </c>
      <c r="BF439" s="2" t="str" cm="1">
        <f t="array" ref="BF439">IF(COUNTIF(AZ439:BB439,"&lt;&gt;0")=1,INDEX($V$4:$AW$4,MATCH(TRUE,INDEX($V439:$AW439&lt;&gt;0,),0)),IF(COUNTIF(AZ439:BB439,"&lt;&gt;0")=0,INDEX($AM$4:$AW$4,MATCH(1,$AM439:$AW439,0)),"Multiple strategies"))</f>
        <v>SilvicultureRemov</v>
      </c>
      <c r="BG439" s="1" t="s">
        <v>322</v>
      </c>
      <c r="BH439" t="s">
        <v>2252</v>
      </c>
      <c r="BI439" s="266" t="s">
        <v>425</v>
      </c>
      <c r="BJ439" t="s">
        <v>1357</v>
      </c>
      <c r="BK439">
        <f>45.09*80</f>
        <v>3607.2000000000003</v>
      </c>
      <c r="BL439">
        <f>47.33*80</f>
        <v>3786.3999999999996</v>
      </c>
      <c r="BM439"/>
      <c r="BN439">
        <f>BL439-BK439</f>
        <v>179.19999999999936</v>
      </c>
      <c r="BO439">
        <f>BN439*10^6</f>
        <v>179199999.99999937</v>
      </c>
      <c r="BP439" t="s">
        <v>233</v>
      </c>
      <c r="BQ439" s="153" t="s">
        <v>427</v>
      </c>
      <c r="BR439" s="266" t="s">
        <v>2327</v>
      </c>
      <c r="BS439">
        <v>420</v>
      </c>
      <c r="BT439">
        <v>0</v>
      </c>
      <c r="BU439" s="144">
        <f>IFERROR(BT439/BS439,"")</f>
        <v>0</v>
      </c>
      <c r="BV439">
        <f>BT439-BS439</f>
        <v>-420</v>
      </c>
      <c r="BW439"/>
      <c r="BX439">
        <f>BV439*10^6</f>
        <v>-420000000</v>
      </c>
      <c r="BY439">
        <f>IFERROR(BX439/BO439,"")</f>
        <v>-2.343750000000008</v>
      </c>
      <c r="BZ439">
        <v>0</v>
      </c>
      <c r="CA439">
        <v>0</v>
      </c>
      <c r="CB439">
        <v>0</v>
      </c>
      <c r="CC439">
        <v>0</v>
      </c>
      <c r="CD439">
        <v>0</v>
      </c>
      <c r="CE439">
        <v>0</v>
      </c>
      <c r="CF439">
        <v>0</v>
      </c>
      <c r="CG439">
        <v>0</v>
      </c>
      <c r="CH439">
        <v>0</v>
      </c>
      <c r="CI439">
        <v>0</v>
      </c>
      <c r="CJ439">
        <v>0</v>
      </c>
      <c r="CK439">
        <v>0</v>
      </c>
      <c r="CL439">
        <v>0</v>
      </c>
      <c r="CM439">
        <v>1</v>
      </c>
      <c r="CN439" t="str">
        <f>IF($BL439&lt;$BK439,"refNeedCorrection","refOK")</f>
        <v>refOK</v>
      </c>
      <c r="CO439">
        <f>IF($CN439="refNeedCorrection",BK439,BL439)</f>
        <v>3786.3999999999996</v>
      </c>
      <c r="CP439">
        <f>IF($CN439="refNeedCorrection",BL439,BK439)</f>
        <v>3607.2000000000003</v>
      </c>
      <c r="CQ439">
        <f>IF($CN439="refOK",$BO439,-$BO439)</f>
        <v>179199999.99999937</v>
      </c>
      <c r="CR439">
        <f>IF($CN439="refOK",$BS439,$BT439)*IF($BP439="Emissions positive",-1,1)</f>
        <v>420</v>
      </c>
      <c r="CS439">
        <f>IF($CN439="refOK",$BT439,$BS439)*IF($BP439="Emissions positive",-1,1)</f>
        <v>0</v>
      </c>
      <c r="CT439">
        <f>IF($CN439="refNeedCorrection",-BX439,BX439)*IF($BP439="Emissions positive",-1,1)</f>
        <v>-420000000</v>
      </c>
      <c r="CU439">
        <f>IFERROR(CT439/CQ439,"")</f>
        <v>-2.343750000000008</v>
      </c>
      <c r="CV439" s="2">
        <f>IFERROR((CS439-CR439)/ABS(CR439),"")</f>
        <v>-1</v>
      </c>
      <c r="CW439" s="1" t="s">
        <v>1205</v>
      </c>
      <c r="CX439" t="str">
        <f>IF(OR($CW439="prd",$CW439="std",$CW439="cit"),"loc",IF(OR($CW439="eur",$CW439="reg",$CW439="coy"),"reg",$CW439))</f>
        <v>reg</v>
      </c>
      <c r="CY439" t="s">
        <v>731</v>
      </c>
      <c r="CZ439">
        <v>2020</v>
      </c>
      <c r="DA439">
        <v>2100</v>
      </c>
      <c r="DB439">
        <v>81</v>
      </c>
      <c r="DC439" t="str">
        <f>IF(DB439=0,"0",IF(AND(DB439&gt;=1,DB439&lt;=30),"1-30",IF(AND(DB439&gt;30,DB439&lt;=70),"31-70",IF(AND(DB439&gt;70,DB439&lt;=100),"71-100",IF(DB439&gt;100,"+100")))))</f>
        <v>71-100</v>
      </c>
      <c r="DD439">
        <v>0</v>
      </c>
      <c r="DE439">
        <v>0</v>
      </c>
      <c r="DF439">
        <v>1</v>
      </c>
      <c r="DG439">
        <v>1</v>
      </c>
      <c r="DH439"/>
      <c r="DI439">
        <f>SUM(DD439:DG439)</f>
        <v>2</v>
      </c>
      <c r="DJ439" t="str">
        <f>IF(DI439=1,INDEX($DD$7:$DG$7,MATCH(1,$DD439:$DG439,0)),"mixedProduct")</f>
        <v>mixedProduct</v>
      </c>
      <c r="DK439">
        <f>IF(DD439=1,DK$7,0)</f>
        <v>0</v>
      </c>
      <c r="DL439">
        <f>IF(DE439=1,DL$7,0)</f>
        <v>0</v>
      </c>
      <c r="DM439" t="str">
        <f>IF(DF439=1,DM$7,0)</f>
        <v>Pulp/Paper</v>
      </c>
      <c r="DN439" t="str">
        <f>IF(DG439=1,DN$7,0)</f>
        <v>Timber</v>
      </c>
      <c r="DO439">
        <v>0</v>
      </c>
      <c r="DP439">
        <v>0</v>
      </c>
      <c r="DQ439">
        <v>0</v>
      </c>
      <c r="DR439">
        <v>0</v>
      </c>
      <c r="DS439">
        <v>0</v>
      </c>
      <c r="DT439">
        <f>SUM(DO439:DP439)</f>
        <v>0</v>
      </c>
      <c r="DU439" s="143" t="str">
        <f>IF(DO439=1,"self-calculated DF",IF(DP439=1,"external DF used","explicit C balance"))</f>
        <v>explicit C balance</v>
      </c>
      <c r="DV439">
        <v>0</v>
      </c>
      <c r="DW439">
        <v>0</v>
      </c>
      <c r="DX439">
        <v>1</v>
      </c>
      <c r="DY439">
        <v>0</v>
      </c>
      <c r="DZ439">
        <v>0</v>
      </c>
      <c r="EA439" s="143">
        <v>0</v>
      </c>
      <c r="EB439">
        <v>0</v>
      </c>
      <c r="EC439">
        <v>0</v>
      </c>
      <c r="ED439">
        <v>0</v>
      </c>
      <c r="EE439">
        <v>0</v>
      </c>
      <c r="EF439">
        <v>1</v>
      </c>
      <c r="EG439">
        <v>0</v>
      </c>
      <c r="EH439">
        <v>0</v>
      </c>
      <c r="EI439" s="2">
        <v>0</v>
      </c>
      <c r="EJ439" s="1"/>
      <c r="EK439" t="str">
        <f>IF(AND(AND(AND(OR($DX439=1,$DW439=1),OR($EC439=1,$EA439=1)),SUM($DV439:$DZ439,$EF439)&gt;=4),SUM($EA439:$EE439)&gt;=2),"Whole sector","")</f>
        <v/>
      </c>
      <c r="EL439" t="str">
        <f>IF(AND(AND(OR($DX439=1,$DW439=1),AND($EC439=0,$EA439=0)),SUM($DV439:$DZ439,$EF439)&gt;=4),"Ecosystem approach","")</f>
        <v/>
      </c>
      <c r="EM439" s="2" t="str">
        <f>IF(AND(AND(AND($DX439=0,$DW439=0),OR($EC439=1,$EA439=1)),SUM($EB439:$EE439)&gt;=2),"Technology approach","")</f>
        <v/>
      </c>
      <c r="EN439"/>
      <c r="EO439"/>
      <c r="EP439" t="str">
        <f>IF(ISNUMBER(BU439),IF(ABS(BU439-[2]QC_indicators!$B$2)&gt;3*[2]QC_indicators!$C$2,"C ratio",IF(ISNUMBER(BY439),IF(ABS(BY439-[2]QC_indicators!$B$1)&gt;3*[2]QC_indicators!$C$1,"DF","no"))),IF(ISNUMBER(BY439),IF(ABS(BY439-[2]QC_indicators!$B$1)&gt;3*[2]QC_indicators!$C$1,"DF","no")))</f>
        <v>no</v>
      </c>
      <c r="EQ439"/>
      <c r="ER439" s="266" t="s">
        <v>3238</v>
      </c>
      <c r="ES439"/>
      <c r="ET439" s="307" t="s">
        <v>3411</v>
      </c>
      <c r="EU439"/>
    </row>
    <row r="440" spans="1:151" s="139" customFormat="1" ht="15" hidden="1" customHeight="1">
      <c r="A440" s="1" t="s">
        <v>1140</v>
      </c>
      <c r="B440" t="s">
        <v>2208</v>
      </c>
      <c r="C440" t="s">
        <v>2209</v>
      </c>
      <c r="D440" t="s">
        <v>2210</v>
      </c>
      <c r="E440" t="s">
        <v>2211</v>
      </c>
      <c r="F440" t="s">
        <v>2212</v>
      </c>
      <c r="G440" t="s">
        <v>1141</v>
      </c>
      <c r="H440" t="s">
        <v>255</v>
      </c>
      <c r="I440">
        <v>2017</v>
      </c>
      <c r="J440">
        <v>12</v>
      </c>
      <c r="K440" t="s">
        <v>2213</v>
      </c>
      <c r="L440"/>
      <c r="M440" t="str">
        <f>LEFT($D440,FIND(",",$D440)-1)&amp;"_"&amp;I440&amp;L440</f>
        <v>Qin_2017</v>
      </c>
      <c r="N440" t="s">
        <v>223</v>
      </c>
      <c r="O440" s="145" t="s">
        <v>342</v>
      </c>
      <c r="P440"/>
      <c r="Q440" t="s">
        <v>257</v>
      </c>
      <c r="R440" s="264" t="s">
        <v>224</v>
      </c>
      <c r="S440" s="1" t="s">
        <v>2214</v>
      </c>
      <c r="T440" s="266" t="s">
        <v>3226</v>
      </c>
      <c r="U440" t="s">
        <v>2215</v>
      </c>
      <c r="V440">
        <v>0</v>
      </c>
      <c r="W440">
        <v>0</v>
      </c>
      <c r="X440">
        <v>0</v>
      </c>
      <c r="Y440">
        <v>1</v>
      </c>
      <c r="Z440">
        <v>0</v>
      </c>
      <c r="AA440">
        <v>0</v>
      </c>
      <c r="AB440">
        <v>0</v>
      </c>
      <c r="AC440">
        <v>0</v>
      </c>
      <c r="AD440">
        <v>0</v>
      </c>
      <c r="AE440">
        <v>0</v>
      </c>
      <c r="AF440">
        <v>0</v>
      </c>
      <c r="AG440">
        <v>0</v>
      </c>
      <c r="AH440">
        <v>0</v>
      </c>
      <c r="AI440">
        <v>0</v>
      </c>
      <c r="AJ440">
        <v>0</v>
      </c>
      <c r="AK440">
        <v>0</v>
      </c>
      <c r="AL440">
        <v>0</v>
      </c>
      <c r="AM440">
        <v>0</v>
      </c>
      <c r="AN440">
        <v>0</v>
      </c>
      <c r="AO440">
        <v>0</v>
      </c>
      <c r="AP440">
        <v>0</v>
      </c>
      <c r="AQ440">
        <v>0</v>
      </c>
      <c r="AR440">
        <v>0</v>
      </c>
      <c r="AS440">
        <v>0</v>
      </c>
      <c r="AT440">
        <v>0</v>
      </c>
      <c r="AU440">
        <v>0</v>
      </c>
      <c r="AV440">
        <v>1</v>
      </c>
      <c r="AW440">
        <v>0</v>
      </c>
      <c r="AX440" s="141">
        <f>COUNTIF(V440:AW440,"&lt;&gt;0")</f>
        <v>2</v>
      </c>
      <c r="AY440" s="141">
        <f>COUNTIF(V440:AL440,"&lt;&gt;0")</f>
        <v>1</v>
      </c>
      <c r="AZ440">
        <f>COUNTIF(V440:AC440,"&lt;&gt;0")</f>
        <v>1</v>
      </c>
      <c r="BA440">
        <f>COUNTIF(AD440:AI440,"&lt;&gt;0")</f>
        <v>0</v>
      </c>
      <c r="BB440">
        <f>COUNTIF(AJ440:AL440,"&lt;&gt;0")</f>
        <v>0</v>
      </c>
      <c r="BC440">
        <f>COUNTIF(AS440:AW440,"&lt;&gt;0")</f>
        <v>1</v>
      </c>
      <c r="BD440">
        <f>COUNTIF(AM440:AR440,"&lt;&gt;0")</f>
        <v>0</v>
      </c>
      <c r="BE440" t="str">
        <f t="array" ref="BE440">IF(AY440=1,INDEX($V$7:$AL$7,MATCH(TRUE,INDEX($V440:$AW440&lt;&gt;0,),0)),IF(AY440=0,INDEX($AM$7:$AW$7,MATCH(1,$AM440:$AW440,0)),IF(BF440="Multiple strategies","mixed drivers",IF(BF440="Supply chain","multiple supply","multiple silviculture"))))</f>
        <v xml:space="preserve">cutting intensity </v>
      </c>
      <c r="BF440" s="2" t="str" cm="1">
        <f t="array" ref="BF440">IF(COUNTIF(AZ440:BB440,"&lt;&gt;0")=1,INDEX($V$4:$AW$4,MATCH(TRUE,INDEX($V440:$AW440&lt;&gt;0,),0)),IF(COUNTIF(AZ440:BB440,"&lt;&gt;0")=0,INDEX($AM$4:$AW$4,MATCH(1,$AM440:$AW440,0)),"Multiple strategies"))</f>
        <v>SilvicultureRemov</v>
      </c>
      <c r="BG440" s="1" t="s">
        <v>322</v>
      </c>
      <c r="BH440" s="266" t="s">
        <v>3227</v>
      </c>
      <c r="BI440" s="266" t="s">
        <v>3228</v>
      </c>
      <c r="BJ440" s="266" t="s">
        <v>1325</v>
      </c>
      <c r="BK440">
        <v>0.14000000000000001</v>
      </c>
      <c r="BL440">
        <v>3.7</v>
      </c>
      <c r="BM440"/>
      <c r="BN440">
        <f>BL440-BK440</f>
        <v>3.56</v>
      </c>
      <c r="BO440" s="143">
        <f>BN440*10^6</f>
        <v>3560000</v>
      </c>
      <c r="BP440" t="s">
        <v>233</v>
      </c>
      <c r="BQ440" s="153" t="s">
        <v>3229</v>
      </c>
      <c r="BR440" s="266" t="s">
        <v>3230</v>
      </c>
      <c r="BS440">
        <v>1.9</v>
      </c>
      <c r="BT440">
        <v>-0.57999999999999996</v>
      </c>
      <c r="BU440" s="144">
        <f>IFERROR(BT440/BS440,"")</f>
        <v>-0.30526315789473685</v>
      </c>
      <c r="BV440">
        <f>BT440-BS440</f>
        <v>-2.48</v>
      </c>
      <c r="BW440"/>
      <c r="BX440">
        <f>BV440*C_to_CO2</f>
        <v>-9.1015999999999995</v>
      </c>
      <c r="BY440">
        <f>IFERROR(BX440/BO440,"")</f>
        <v>-2.5566292134831461E-6</v>
      </c>
      <c r="BZ440">
        <v>0</v>
      </c>
      <c r="CA440">
        <v>0</v>
      </c>
      <c r="CB440">
        <v>0</v>
      </c>
      <c r="CC440">
        <v>0</v>
      </c>
      <c r="CD440">
        <v>0</v>
      </c>
      <c r="CE440">
        <v>0</v>
      </c>
      <c r="CF440">
        <v>0</v>
      </c>
      <c r="CG440">
        <v>0</v>
      </c>
      <c r="CH440">
        <v>0</v>
      </c>
      <c r="CI440">
        <v>0</v>
      </c>
      <c r="CJ440">
        <v>0</v>
      </c>
      <c r="CK440">
        <v>0</v>
      </c>
      <c r="CL440">
        <v>0</v>
      </c>
      <c r="CM440">
        <v>0</v>
      </c>
      <c r="CN440" t="str">
        <f>IF($BL440&lt;$BK440,"refNeedCorrection","refOK")</f>
        <v>refOK</v>
      </c>
      <c r="CO440">
        <f>IF($CN440="refOK",$BK440,$BL440)</f>
        <v>0.14000000000000001</v>
      </c>
      <c r="CP440">
        <f>IF($CN440="refOK",$BL440,$BK440)</f>
        <v>3.7</v>
      </c>
      <c r="CQ440">
        <f>IF($CN440="refOK",$BO440,-$BO440)</f>
        <v>3560000</v>
      </c>
      <c r="CR440">
        <f>IF($CN440="refOK",$BS440,$BT440)*IF($BP440="Emissions positive",-1,1)</f>
        <v>1.9</v>
      </c>
      <c r="CS440">
        <f>IF($CN440="refOK",$BT440,$BS440)*IF($BP440="Emissions positive",-1,1)</f>
        <v>-0.57999999999999996</v>
      </c>
      <c r="CT440">
        <f>IF($CN440="refNeedCorrection",-BX440,BX440)*IF($BP440="Emissions positive",-1,1)</f>
        <v>-9.1015999999999995</v>
      </c>
      <c r="CU440">
        <f>IFERROR(CT440/CQ440,"")</f>
        <v>-2.5566292134831461E-6</v>
      </c>
      <c r="CV440" s="2">
        <f>IFERROR((CS440-CR440)/ABS(CR440),"")</f>
        <v>-1.3052631578947369</v>
      </c>
      <c r="CW440" s="1" t="s">
        <v>1201</v>
      </c>
      <c r="CX440" t="str">
        <f>IF(OR($CW440="prd",$CW440="std",$CW440="cit"),"loc",IF(OR($CW440="eur",$CW440="reg",$CW440="coy"),"reg",$CW440))</f>
        <v>reg</v>
      </c>
      <c r="CY440" t="s">
        <v>692</v>
      </c>
      <c r="CZ440"/>
      <c r="DA440"/>
      <c r="DB440">
        <v>30</v>
      </c>
      <c r="DC440" t="str">
        <f>IF(DB440=0,"0",IF(AND(DB440&gt;=1,DB440&lt;=30),"1-30",IF(AND(DB440&gt;30,DB440&lt;=70),"31-70",IF(AND(DB440&gt;70,DB440&lt;=100),"71-100",IF(DB440&gt;100,"+100")))))</f>
        <v>1-30</v>
      </c>
      <c r="DD440">
        <v>1</v>
      </c>
      <c r="DE440">
        <v>0</v>
      </c>
      <c r="DF440">
        <v>0</v>
      </c>
      <c r="DG440">
        <v>0</v>
      </c>
      <c r="DH440"/>
      <c r="DI440">
        <f>SUM(DD440:DG440)</f>
        <v>1</v>
      </c>
      <c r="DJ440" t="str">
        <f>IF(DI440=1,INDEX($DD$7:$DG$7,MATCH(1,$DD440:$DG440,0)),"mixedProduct")</f>
        <v>UpstreamInput</v>
      </c>
      <c r="DK440" t="str">
        <f>IF(DD440=1,DK$7,0)</f>
        <v>Upstream</v>
      </c>
      <c r="DL440">
        <f>IF(DE440=1,DL$7,0)</f>
        <v>0</v>
      </c>
      <c r="DM440">
        <f>IF(DF440=1,DM$7,0)</f>
        <v>0</v>
      </c>
      <c r="DN440">
        <f>IF(DG440=1,DN$7,0)</f>
        <v>0</v>
      </c>
      <c r="DO440">
        <v>1</v>
      </c>
      <c r="DP440">
        <v>0</v>
      </c>
      <c r="DQ440">
        <v>0</v>
      </c>
      <c r="DR440">
        <v>0</v>
      </c>
      <c r="DS440">
        <v>0</v>
      </c>
      <c r="DT440">
        <f>SUM(DO440:DP440)</f>
        <v>1</v>
      </c>
      <c r="DU440" s="143" t="str">
        <f>IF(DO440=1,"self-calculated DF",IF(DP440=1,"external DF used","explicit C balance"))</f>
        <v>self-calculated DF</v>
      </c>
      <c r="DV440">
        <v>0</v>
      </c>
      <c r="DW440">
        <v>0</v>
      </c>
      <c r="DX440">
        <v>1</v>
      </c>
      <c r="DY440">
        <v>0</v>
      </c>
      <c r="DZ440">
        <v>0</v>
      </c>
      <c r="EA440" s="143">
        <v>0</v>
      </c>
      <c r="EB440">
        <v>0</v>
      </c>
      <c r="EC440">
        <v>0</v>
      </c>
      <c r="ED440">
        <v>0</v>
      </c>
      <c r="EE440">
        <v>0</v>
      </c>
      <c r="EF440">
        <v>1</v>
      </c>
      <c r="EG440">
        <v>0</v>
      </c>
      <c r="EH440">
        <v>0</v>
      </c>
      <c r="EI440" s="2">
        <v>0</v>
      </c>
      <c r="EJ440" s="1"/>
      <c r="EK440" t="str">
        <f>IF(AND(AND(AND(OR($DX440=1,$DW440=1),OR($EC440=1,$EA440=1)),SUM($DV440:$DZ440,$EF440)&gt;=4),SUM($EA440:$EE440)&gt;=2),"Whole sector","")</f>
        <v/>
      </c>
      <c r="EL440" t="str">
        <f>IF(AND(AND(OR($DX440=1,$DW440=1),AND($EC440=0,$EA440=0)),SUM($DV440:$DZ440,$EF440)&gt;=4),"Ecosystem approach","")</f>
        <v/>
      </c>
      <c r="EM440" s="2" t="str">
        <f>IF(AND(AND(AND($DX440=0,$DW440=0),OR($EC440=1,$EA440=1)),SUM($EB440:$EE440)&gt;=2),"Technology approach","")</f>
        <v/>
      </c>
      <c r="EN440"/>
      <c r="EO440"/>
      <c r="EP440" t="str">
        <f>IF(ISNUMBER(BU440),IF(ABS(BU440-[2]QC_indicators!$B$2)&gt;3*[2]QC_indicators!$C$2,"C ratio",IF(ISNUMBER(BY440),IF(ABS(BY440-[2]QC_indicators!$B$1)&gt;3*[2]QC_indicators!$C$1,"DF","no"))),IF(ISNUMBER(BY440),IF(ABS(BY440-[2]QC_indicators!$B$1)&gt;3*[2]QC_indicators!$C$1,"DF","no")))</f>
        <v>no</v>
      </c>
      <c r="EQ440"/>
      <c r="ER440"/>
      <c r="ES440"/>
      <c r="ET440" s="307" t="s">
        <v>3412</v>
      </c>
      <c r="EU440"/>
    </row>
    <row r="441" spans="1:151" s="139" customFormat="1" ht="15" hidden="1" customHeight="1">
      <c r="A441" s="1" t="s">
        <v>1140</v>
      </c>
      <c r="B441" t="s">
        <v>2208</v>
      </c>
      <c r="C441" t="s">
        <v>2209</v>
      </c>
      <c r="D441" t="s">
        <v>2210</v>
      </c>
      <c r="E441" t="s">
        <v>2211</v>
      </c>
      <c r="F441" t="s">
        <v>2212</v>
      </c>
      <c r="G441" t="s">
        <v>1141</v>
      </c>
      <c r="H441" t="s">
        <v>255</v>
      </c>
      <c r="I441">
        <v>2017</v>
      </c>
      <c r="J441">
        <v>12</v>
      </c>
      <c r="K441" t="s">
        <v>2213</v>
      </c>
      <c r="L441"/>
      <c r="M441" t="str">
        <f>LEFT($D441,FIND(",",$D441)-1)&amp;"_"&amp;I441&amp;L441</f>
        <v>Qin_2017</v>
      </c>
      <c r="N441" t="s">
        <v>223</v>
      </c>
      <c r="O441" s="145" t="s">
        <v>342</v>
      </c>
      <c r="P441"/>
      <c r="Q441" t="s">
        <v>257</v>
      </c>
      <c r="R441" s="264" t="s">
        <v>224</v>
      </c>
      <c r="S441" s="1" t="s">
        <v>2216</v>
      </c>
      <c r="T441" s="266" t="s">
        <v>3232</v>
      </c>
      <c r="U441" t="s">
        <v>2215</v>
      </c>
      <c r="V441">
        <v>0</v>
      </c>
      <c r="W441">
        <v>0</v>
      </c>
      <c r="X441">
        <v>0</v>
      </c>
      <c r="Y441">
        <v>1</v>
      </c>
      <c r="Z441">
        <v>0</v>
      </c>
      <c r="AA441">
        <v>0</v>
      </c>
      <c r="AB441">
        <v>0</v>
      </c>
      <c r="AC441">
        <v>0</v>
      </c>
      <c r="AD441">
        <v>0</v>
      </c>
      <c r="AE441">
        <v>0</v>
      </c>
      <c r="AF441">
        <v>0</v>
      </c>
      <c r="AG441">
        <v>0</v>
      </c>
      <c r="AH441">
        <v>0</v>
      </c>
      <c r="AI441">
        <v>0</v>
      </c>
      <c r="AJ441">
        <v>0</v>
      </c>
      <c r="AK441">
        <v>0</v>
      </c>
      <c r="AL441">
        <v>0</v>
      </c>
      <c r="AM441">
        <v>0</v>
      </c>
      <c r="AN441">
        <v>0</v>
      </c>
      <c r="AO441">
        <v>0</v>
      </c>
      <c r="AP441">
        <v>0</v>
      </c>
      <c r="AQ441">
        <v>0</v>
      </c>
      <c r="AR441">
        <v>0</v>
      </c>
      <c r="AS441">
        <v>0</v>
      </c>
      <c r="AT441">
        <v>0</v>
      </c>
      <c r="AU441">
        <v>0</v>
      </c>
      <c r="AV441">
        <v>1</v>
      </c>
      <c r="AW441">
        <v>0</v>
      </c>
      <c r="AX441" s="141">
        <f>COUNTIF(V441:AW441,"&lt;&gt;0")</f>
        <v>2</v>
      </c>
      <c r="AY441" s="141">
        <f>COUNTIF(V441:AL441,"&lt;&gt;0")</f>
        <v>1</v>
      </c>
      <c r="AZ441">
        <f>COUNTIF(V441:AC441,"&lt;&gt;0")</f>
        <v>1</v>
      </c>
      <c r="BA441">
        <f>COUNTIF(AD441:AI441,"&lt;&gt;0")</f>
        <v>0</v>
      </c>
      <c r="BB441">
        <f>COUNTIF(AJ441:AL441,"&lt;&gt;0")</f>
        <v>0</v>
      </c>
      <c r="BC441">
        <f>COUNTIF(AS441:AW441,"&lt;&gt;0")</f>
        <v>1</v>
      </c>
      <c r="BD441">
        <f>COUNTIF(AM441:AR441,"&lt;&gt;0")</f>
        <v>0</v>
      </c>
      <c r="BE441" t="str">
        <f t="array" ref="BE441">IF(AY441=1,INDEX($V$7:$AL$7,MATCH(TRUE,INDEX($V441:$AW441&lt;&gt;0,),0)),IF(AY441=0,INDEX($AM$7:$AW$7,MATCH(1,$AM441:$AW441,0)),IF(BF441="Multiple strategies","mixed drivers",IF(BF441="Supply chain","multiple supply","multiple silviculture"))))</f>
        <v xml:space="preserve">cutting intensity </v>
      </c>
      <c r="BF441" s="2" t="str" cm="1">
        <f t="array" ref="BF441">IF(COUNTIF(AZ441:BB441,"&lt;&gt;0")=1,INDEX($V$4:$AW$4,MATCH(TRUE,INDEX($V441:$AW441&lt;&gt;0,),0)),IF(COUNTIF(AZ441:BB441,"&lt;&gt;0")=0,INDEX($AM$4:$AW$4,MATCH(1,$AM441:$AW441,0)),"Multiple strategies"))</f>
        <v>SilvicultureRemov</v>
      </c>
      <c r="BG441" s="1" t="s">
        <v>322</v>
      </c>
      <c r="BH441" s="266" t="s">
        <v>3227</v>
      </c>
      <c r="BI441" s="266" t="s">
        <v>3228</v>
      </c>
      <c r="BJ441" s="266" t="s">
        <v>1325</v>
      </c>
      <c r="BK441">
        <v>0.65</v>
      </c>
      <c r="BL441">
        <v>3.7</v>
      </c>
      <c r="BM441"/>
      <c r="BN441">
        <f>BL441-BK441</f>
        <v>3.0500000000000003</v>
      </c>
      <c r="BO441" s="143">
        <f>BN441*10^6</f>
        <v>3050000.0000000005</v>
      </c>
      <c r="BP441" t="s">
        <v>233</v>
      </c>
      <c r="BQ441" s="153" t="s">
        <v>3229</v>
      </c>
      <c r="BR441" s="266" t="s">
        <v>3233</v>
      </c>
      <c r="BS441">
        <v>1.76</v>
      </c>
      <c r="BT441">
        <v>-0.57999999999999996</v>
      </c>
      <c r="BU441" s="144">
        <f>IFERROR(BT441/BS441,"")</f>
        <v>-0.32954545454545453</v>
      </c>
      <c r="BV441">
        <f>BT441-BS441</f>
        <v>-2.34</v>
      </c>
      <c r="BW441"/>
      <c r="BX441">
        <f>BV441*C_to_CO2</f>
        <v>-8.5877999999999997</v>
      </c>
      <c r="BY441">
        <f>IFERROR(BX441/BO441,"")</f>
        <v>-2.8156721311475402E-6</v>
      </c>
      <c r="BZ441">
        <v>0</v>
      </c>
      <c r="CA441">
        <v>0</v>
      </c>
      <c r="CB441">
        <v>0</v>
      </c>
      <c r="CC441">
        <v>0</v>
      </c>
      <c r="CD441">
        <v>0</v>
      </c>
      <c r="CE441">
        <v>0</v>
      </c>
      <c r="CF441">
        <v>0</v>
      </c>
      <c r="CG441">
        <v>0</v>
      </c>
      <c r="CH441">
        <v>0</v>
      </c>
      <c r="CI441">
        <v>0</v>
      </c>
      <c r="CJ441">
        <v>0</v>
      </c>
      <c r="CK441">
        <v>0</v>
      </c>
      <c r="CL441">
        <v>0</v>
      </c>
      <c r="CM441">
        <v>0</v>
      </c>
      <c r="CN441" t="str">
        <f>IF($BL441&lt;$BK441,"refNeedCorrection","refOK")</f>
        <v>refOK</v>
      </c>
      <c r="CO441">
        <f>IF($CN441="refOK",$BK441,$BL441)</f>
        <v>0.65</v>
      </c>
      <c r="CP441">
        <f>IF($CN441="refOK",$BL441,$BK441)</f>
        <v>3.7</v>
      </c>
      <c r="CQ441">
        <f>IF($CN441="refOK",$BO441,-$BO441)</f>
        <v>3050000.0000000005</v>
      </c>
      <c r="CR441">
        <f>IF($CN441="refOK",$BS441,$BT441)*IF($BP441="Emissions positive",-1,1)</f>
        <v>1.76</v>
      </c>
      <c r="CS441">
        <f>IF($CN441="refOK",$BT441,$BS441)*IF($BP441="Emissions positive",-1,1)</f>
        <v>-0.57999999999999996</v>
      </c>
      <c r="CT441">
        <f>IF($CN441="refNeedCorrection",-BX441,BX441)*IF($BP441="Emissions positive",-1,1)</f>
        <v>-8.5877999999999997</v>
      </c>
      <c r="CU441">
        <f>IFERROR(CT441/CQ441,"")</f>
        <v>-2.8156721311475402E-6</v>
      </c>
      <c r="CV441" s="2">
        <f>IFERROR((CS441-CR441)/ABS(CR441),"")</f>
        <v>-1.3295454545454544</v>
      </c>
      <c r="CW441" s="1" t="s">
        <v>1201</v>
      </c>
      <c r="CX441" t="str">
        <f>IF(OR($CW441="prd",$CW441="std",$CW441="cit"),"loc",IF(OR($CW441="eur",$CW441="reg",$CW441="coy"),"reg",$CW441))</f>
        <v>reg</v>
      </c>
      <c r="CY441" t="s">
        <v>692</v>
      </c>
      <c r="CZ441"/>
      <c r="DA441"/>
      <c r="DB441">
        <v>30</v>
      </c>
      <c r="DC441" t="str">
        <f>IF(DB441=0,"0",IF(AND(DB441&gt;=1,DB441&lt;=30),"1-30",IF(AND(DB441&gt;30,DB441&lt;=70),"31-70",IF(AND(DB441&gt;70,DB441&lt;=100),"71-100",IF(DB441&gt;100,"+100")))))</f>
        <v>1-30</v>
      </c>
      <c r="DD441">
        <v>1</v>
      </c>
      <c r="DE441">
        <v>0</v>
      </c>
      <c r="DF441">
        <v>0</v>
      </c>
      <c r="DG441">
        <v>0</v>
      </c>
      <c r="DH441"/>
      <c r="DI441">
        <f>SUM(DD441:DG441)</f>
        <v>1</v>
      </c>
      <c r="DJ441" t="str">
        <f>IF(DI441=1,INDEX($DD$7:$DG$7,MATCH(1,$DD441:$DG441,0)),"mixedProduct")</f>
        <v>UpstreamInput</v>
      </c>
      <c r="DK441" t="str">
        <f>IF(DD441=1,DK$7,0)</f>
        <v>Upstream</v>
      </c>
      <c r="DL441">
        <f>IF(DE441=1,DL$7,0)</f>
        <v>0</v>
      </c>
      <c r="DM441">
        <f>IF(DF441=1,DM$7,0)</f>
        <v>0</v>
      </c>
      <c r="DN441">
        <f>IF(DG441=1,DN$7,0)</f>
        <v>0</v>
      </c>
      <c r="DO441">
        <v>1</v>
      </c>
      <c r="DP441">
        <v>0</v>
      </c>
      <c r="DQ441">
        <v>0</v>
      </c>
      <c r="DR441">
        <v>0</v>
      </c>
      <c r="DS441">
        <v>0</v>
      </c>
      <c r="DT441">
        <f>SUM(DO441:DP441)</f>
        <v>1</v>
      </c>
      <c r="DU441" s="143" t="str">
        <f>IF(DO441=1,"self-calculated DF",IF(DP441=1,"external DF used","explicit C balance"))</f>
        <v>self-calculated DF</v>
      </c>
      <c r="DV441">
        <v>0</v>
      </c>
      <c r="DW441">
        <v>0</v>
      </c>
      <c r="DX441">
        <v>1</v>
      </c>
      <c r="DY441">
        <v>0</v>
      </c>
      <c r="DZ441">
        <v>0</v>
      </c>
      <c r="EA441" s="143">
        <v>0</v>
      </c>
      <c r="EB441">
        <v>0</v>
      </c>
      <c r="EC441">
        <v>0</v>
      </c>
      <c r="ED441">
        <v>0</v>
      </c>
      <c r="EE441">
        <v>0</v>
      </c>
      <c r="EF441">
        <v>1</v>
      </c>
      <c r="EG441">
        <v>0</v>
      </c>
      <c r="EH441">
        <v>0</v>
      </c>
      <c r="EI441" s="2">
        <v>0</v>
      </c>
      <c r="EJ441" s="1"/>
      <c r="EK441" t="str">
        <f>IF(AND(AND(AND(OR($DX441=1,$DW441=1),OR($EC441=1,$EA441=1)),SUM($DV441:$DZ441,$EF441)&gt;=4),SUM($EA441:$EE441)&gt;=2),"Whole sector","")</f>
        <v/>
      </c>
      <c r="EL441" t="str">
        <f>IF(AND(AND(OR($DX441=1,$DW441=1),AND($EC441=0,$EA441=0)),SUM($DV441:$DZ441,$EF441)&gt;=4),"Ecosystem approach","")</f>
        <v/>
      </c>
      <c r="EM441" s="2" t="str">
        <f>IF(AND(AND(AND($DX441=0,$DW441=0),OR($EC441=1,$EA441=1)),SUM($EB441:$EE441)&gt;=2),"Technology approach","")</f>
        <v/>
      </c>
      <c r="EN441"/>
      <c r="EO441"/>
      <c r="EP441" t="str">
        <f>IF(ISNUMBER(BU441),IF(ABS(BU441-[2]QC_indicators!$B$2)&gt;3*[2]QC_indicators!$C$2,"C ratio",IF(ISNUMBER(BY441),IF(ABS(BY441-[2]QC_indicators!$B$1)&gt;3*[2]QC_indicators!$C$1,"DF","no"))),IF(ISNUMBER(BY441),IF(ABS(BY441-[2]QC_indicators!$B$1)&gt;3*[2]QC_indicators!$C$1,"DF","no")))</f>
        <v>no</v>
      </c>
      <c r="EQ441"/>
      <c r="ER441"/>
      <c r="ES441"/>
      <c r="ET441" s="266" t="s">
        <v>3231</v>
      </c>
      <c r="EU441"/>
    </row>
    <row r="442" spans="1:151" s="139" customFormat="1" ht="15" hidden="1" customHeight="1">
      <c r="A442" s="1" t="s">
        <v>1140</v>
      </c>
      <c r="B442" t="s">
        <v>2208</v>
      </c>
      <c r="C442" t="s">
        <v>2209</v>
      </c>
      <c r="D442" t="s">
        <v>2210</v>
      </c>
      <c r="E442" t="s">
        <v>2211</v>
      </c>
      <c r="F442" t="s">
        <v>2212</v>
      </c>
      <c r="G442" t="s">
        <v>1141</v>
      </c>
      <c r="H442" t="s">
        <v>255</v>
      </c>
      <c r="I442">
        <v>2017</v>
      </c>
      <c r="J442">
        <v>12</v>
      </c>
      <c r="K442" t="s">
        <v>2213</v>
      </c>
      <c r="L442"/>
      <c r="M442" t="str">
        <f>LEFT($D442,FIND(",",$D442)-1)&amp;"_"&amp;I442&amp;L442</f>
        <v>Qin_2017</v>
      </c>
      <c r="N442" t="s">
        <v>223</v>
      </c>
      <c r="O442" s="145" t="s">
        <v>342</v>
      </c>
      <c r="P442"/>
      <c r="Q442" t="s">
        <v>257</v>
      </c>
      <c r="R442" s="264" t="s">
        <v>224</v>
      </c>
      <c r="S442" s="1" t="s">
        <v>2217</v>
      </c>
      <c r="T442" s="266" t="s">
        <v>3234</v>
      </c>
      <c r="U442" t="s">
        <v>2215</v>
      </c>
      <c r="V442">
        <v>0</v>
      </c>
      <c r="W442">
        <v>0</v>
      </c>
      <c r="X442">
        <v>0</v>
      </c>
      <c r="Y442">
        <v>1</v>
      </c>
      <c r="Z442">
        <v>0</v>
      </c>
      <c r="AA442">
        <v>0</v>
      </c>
      <c r="AB442">
        <v>0</v>
      </c>
      <c r="AC442">
        <v>0</v>
      </c>
      <c r="AD442">
        <v>0</v>
      </c>
      <c r="AE442">
        <v>0</v>
      </c>
      <c r="AF442">
        <v>0</v>
      </c>
      <c r="AG442">
        <v>0</v>
      </c>
      <c r="AH442">
        <v>0</v>
      </c>
      <c r="AI442">
        <v>0</v>
      </c>
      <c r="AJ442">
        <v>0</v>
      </c>
      <c r="AK442">
        <v>0</v>
      </c>
      <c r="AL442">
        <v>0</v>
      </c>
      <c r="AM442">
        <v>0</v>
      </c>
      <c r="AN442">
        <v>0</v>
      </c>
      <c r="AO442">
        <v>0</v>
      </c>
      <c r="AP442">
        <v>0</v>
      </c>
      <c r="AQ442">
        <v>0</v>
      </c>
      <c r="AR442">
        <v>0</v>
      </c>
      <c r="AS442">
        <v>0</v>
      </c>
      <c r="AT442">
        <v>0</v>
      </c>
      <c r="AU442">
        <v>0</v>
      </c>
      <c r="AV442">
        <v>1</v>
      </c>
      <c r="AW442">
        <v>0</v>
      </c>
      <c r="AX442" s="141">
        <f>COUNTIF(V442:AW442,"&lt;&gt;0")</f>
        <v>2</v>
      </c>
      <c r="AY442" s="141">
        <f>COUNTIF(V442:AL442,"&lt;&gt;0")</f>
        <v>1</v>
      </c>
      <c r="AZ442">
        <f>COUNTIF(V442:AC442,"&lt;&gt;0")</f>
        <v>1</v>
      </c>
      <c r="BA442">
        <f>COUNTIF(AD442:AI442,"&lt;&gt;0")</f>
        <v>0</v>
      </c>
      <c r="BB442">
        <f>COUNTIF(AJ442:AL442,"&lt;&gt;0")</f>
        <v>0</v>
      </c>
      <c r="BC442">
        <f>COUNTIF(AS442:AW442,"&lt;&gt;0")</f>
        <v>1</v>
      </c>
      <c r="BD442">
        <f>COUNTIF(AM442:AR442,"&lt;&gt;0")</f>
        <v>0</v>
      </c>
      <c r="BE442" t="str">
        <f t="array" ref="BE442">IF(AY442=1,INDEX($V$7:$AL$7,MATCH(TRUE,INDEX($V442:$AW442&lt;&gt;0,),0)),IF(AY442=0,INDEX($AM$7:$AW$7,MATCH(1,$AM442:$AW442,0)),IF(BF442="Multiple strategies","mixed drivers",IF(BF442="Supply chain","multiple supply","multiple silviculture"))))</f>
        <v xml:space="preserve">cutting intensity </v>
      </c>
      <c r="BF442" s="2" t="str" cm="1">
        <f t="array" ref="BF442">IF(COUNTIF(AZ442:BB442,"&lt;&gt;0")=1,INDEX($V$4:$AW$4,MATCH(TRUE,INDEX($V442:$AW442&lt;&gt;0,),0)),IF(COUNTIF(AZ442:BB442,"&lt;&gt;0")=0,INDEX($AM$4:$AW$4,MATCH(1,$AM442:$AW442,0)),"Multiple strategies"))</f>
        <v>SilvicultureRemov</v>
      </c>
      <c r="BG442" s="1" t="s">
        <v>322</v>
      </c>
      <c r="BH442" s="266" t="s">
        <v>3227</v>
      </c>
      <c r="BI442" s="266" t="s">
        <v>3228</v>
      </c>
      <c r="BJ442" s="266" t="s">
        <v>1325</v>
      </c>
      <c r="BK442">
        <v>1.95</v>
      </c>
      <c r="BL442">
        <v>3.7</v>
      </c>
      <c r="BM442"/>
      <c r="BN442">
        <f>BL442-BK442</f>
        <v>1.7500000000000002</v>
      </c>
      <c r="BO442" s="143">
        <f>BN442*10^6</f>
        <v>1750000.0000000002</v>
      </c>
      <c r="BP442" t="s">
        <v>233</v>
      </c>
      <c r="BQ442" s="153" t="s">
        <v>3229</v>
      </c>
      <c r="BR442" s="266" t="s">
        <v>3230</v>
      </c>
      <c r="BS442">
        <v>1.18</v>
      </c>
      <c r="BT442">
        <v>-0.57999999999999996</v>
      </c>
      <c r="BU442" s="144">
        <f>IFERROR(BT442/BS442,"")</f>
        <v>-0.49152542372881353</v>
      </c>
      <c r="BV442">
        <f>BT442-BS442</f>
        <v>-1.7599999999999998</v>
      </c>
      <c r="BW442"/>
      <c r="BX442">
        <f>BV442*C_to_CO2</f>
        <v>-6.4591999999999992</v>
      </c>
      <c r="BY442">
        <f>IFERROR(BX442/BO442,"")</f>
        <v>-3.6909714285714275E-6</v>
      </c>
      <c r="BZ442">
        <v>0</v>
      </c>
      <c r="CA442">
        <v>0</v>
      </c>
      <c r="CB442">
        <v>0</v>
      </c>
      <c r="CC442">
        <v>0</v>
      </c>
      <c r="CD442">
        <v>0</v>
      </c>
      <c r="CE442">
        <v>0</v>
      </c>
      <c r="CF442">
        <v>0</v>
      </c>
      <c r="CG442">
        <v>0</v>
      </c>
      <c r="CH442">
        <v>0</v>
      </c>
      <c r="CI442">
        <v>0</v>
      </c>
      <c r="CJ442">
        <v>0</v>
      </c>
      <c r="CK442">
        <v>0</v>
      </c>
      <c r="CL442">
        <v>0</v>
      </c>
      <c r="CM442">
        <v>0</v>
      </c>
      <c r="CN442" t="str">
        <f>IF($BL442&lt;$BK442,"refNeedCorrection","refOK")</f>
        <v>refOK</v>
      </c>
      <c r="CO442">
        <f>IF($CN442="refOK",$BK442,$BL442)</f>
        <v>1.95</v>
      </c>
      <c r="CP442">
        <f>IF($CN442="refOK",$BL442,$BK442)</f>
        <v>3.7</v>
      </c>
      <c r="CQ442">
        <f>IF($CN442="refOK",$BO442,-$BO442)</f>
        <v>1750000.0000000002</v>
      </c>
      <c r="CR442">
        <f>IF($CN442="refOK",$BS442,$BT442)*IF($BP442="Emissions positive",-1,1)</f>
        <v>1.18</v>
      </c>
      <c r="CS442">
        <f>IF($CN442="refOK",$BT442,$BS442)*IF($BP442="Emissions positive",-1,1)</f>
        <v>-0.57999999999999996</v>
      </c>
      <c r="CT442">
        <f>IF($CN442="refNeedCorrection",-BX442,BX442)*IF($BP442="Emissions positive",-1,1)</f>
        <v>-6.4591999999999992</v>
      </c>
      <c r="CU442">
        <f>IFERROR(CT442/CQ442,"")</f>
        <v>-3.6909714285714275E-6</v>
      </c>
      <c r="CV442" s="2">
        <f>IFERROR((CS442-CR442)/ABS(CR442),"")</f>
        <v>-1.4915254237288134</v>
      </c>
      <c r="CW442" s="1" t="s">
        <v>1201</v>
      </c>
      <c r="CX442" t="str">
        <f>IF(OR($CW442="prd",$CW442="std",$CW442="cit"),"loc",IF(OR($CW442="eur",$CW442="reg",$CW442="coy"),"reg",$CW442))</f>
        <v>reg</v>
      </c>
      <c r="CY442" t="s">
        <v>692</v>
      </c>
      <c r="CZ442"/>
      <c r="DA442"/>
      <c r="DB442">
        <v>30</v>
      </c>
      <c r="DC442" t="str">
        <f>IF(DB442=0,"0",IF(AND(DB442&gt;=1,DB442&lt;=30),"1-30",IF(AND(DB442&gt;30,DB442&lt;=70),"31-70",IF(AND(DB442&gt;70,DB442&lt;=100),"71-100",IF(DB442&gt;100,"+100")))))</f>
        <v>1-30</v>
      </c>
      <c r="DD442">
        <v>1</v>
      </c>
      <c r="DE442">
        <v>0</v>
      </c>
      <c r="DF442">
        <v>0</v>
      </c>
      <c r="DG442">
        <v>0</v>
      </c>
      <c r="DH442"/>
      <c r="DI442">
        <f>SUM(DD442:DG442)</f>
        <v>1</v>
      </c>
      <c r="DJ442" t="str">
        <f>IF(DI442=1,INDEX($DD$7:$DG$7,MATCH(1,$DD442:$DG442,0)),"mixedProduct")</f>
        <v>UpstreamInput</v>
      </c>
      <c r="DK442" t="str">
        <f>IF(DD442=1,DK$7,0)</f>
        <v>Upstream</v>
      </c>
      <c r="DL442">
        <f>IF(DE442=1,DL$7,0)</f>
        <v>0</v>
      </c>
      <c r="DM442">
        <f>IF(DF442=1,DM$7,0)</f>
        <v>0</v>
      </c>
      <c r="DN442">
        <f>IF(DG442=1,DN$7,0)</f>
        <v>0</v>
      </c>
      <c r="DO442">
        <v>1</v>
      </c>
      <c r="DP442">
        <v>0</v>
      </c>
      <c r="DQ442">
        <v>0</v>
      </c>
      <c r="DR442">
        <v>0</v>
      </c>
      <c r="DS442">
        <v>0</v>
      </c>
      <c r="DT442">
        <f>SUM(DO442:DP442)</f>
        <v>1</v>
      </c>
      <c r="DU442" s="143" t="str">
        <f>IF(DO442=1,"self-calculated DF",IF(DP442=1,"external DF used","explicit C balance"))</f>
        <v>self-calculated DF</v>
      </c>
      <c r="DV442">
        <v>0</v>
      </c>
      <c r="DW442">
        <v>0</v>
      </c>
      <c r="DX442">
        <v>1</v>
      </c>
      <c r="DY442">
        <v>0</v>
      </c>
      <c r="DZ442">
        <v>0</v>
      </c>
      <c r="EA442" s="143">
        <v>0</v>
      </c>
      <c r="EB442">
        <v>0</v>
      </c>
      <c r="EC442">
        <v>0</v>
      </c>
      <c r="ED442">
        <v>0</v>
      </c>
      <c r="EE442">
        <v>0</v>
      </c>
      <c r="EF442">
        <v>1</v>
      </c>
      <c r="EG442">
        <v>0</v>
      </c>
      <c r="EH442">
        <v>0</v>
      </c>
      <c r="EI442" s="2">
        <v>0</v>
      </c>
      <c r="EJ442" s="1"/>
      <c r="EK442" t="str">
        <f>IF(AND(AND(AND(OR($DX442=1,$DW442=1),OR($EC442=1,$EA442=1)),SUM($DV442:$DZ442,$EF442)&gt;=4),SUM($EA442:$EE442)&gt;=2),"Whole sector","")</f>
        <v/>
      </c>
      <c r="EL442" t="str">
        <f>IF(AND(AND(OR($DX442=1,$DW442=1),AND($EC442=0,$EA442=0)),SUM($DV442:$DZ442,$EF442)&gt;=4),"Ecosystem approach","")</f>
        <v/>
      </c>
      <c r="EM442" s="2" t="str">
        <f>IF(AND(AND(AND($DX442=0,$DW442=0),OR($EC442=1,$EA442=1)),SUM($EB442:$EE442)&gt;=2),"Technology approach","")</f>
        <v/>
      </c>
      <c r="EN442"/>
      <c r="EO442"/>
      <c r="EP442" t="str">
        <f>IF(ISNUMBER(BU442),IF(ABS(BU442-[2]QC_indicators!$B$2)&gt;3*[2]QC_indicators!$C$2,"C ratio",IF(ISNUMBER(BY442),IF(ABS(BY442-[2]QC_indicators!$B$1)&gt;3*[2]QC_indicators!$C$1,"DF","no"))),IF(ISNUMBER(BY442),IF(ABS(BY442-[2]QC_indicators!$B$1)&gt;3*[2]QC_indicators!$C$1,"DF","no")))</f>
        <v>no</v>
      </c>
      <c r="EQ442"/>
      <c r="ER442"/>
      <c r="ES442"/>
      <c r="ET442" s="266" t="s">
        <v>3231</v>
      </c>
      <c r="EU442"/>
    </row>
    <row r="443" spans="1:151" s="139" customFormat="1" ht="15" hidden="1" customHeight="1">
      <c r="A443" s="1" t="s">
        <v>1140</v>
      </c>
      <c r="B443" t="s">
        <v>2208</v>
      </c>
      <c r="C443" t="s">
        <v>2209</v>
      </c>
      <c r="D443" t="s">
        <v>2210</v>
      </c>
      <c r="E443" t="s">
        <v>2211</v>
      </c>
      <c r="F443" t="s">
        <v>2212</v>
      </c>
      <c r="G443" t="s">
        <v>1141</v>
      </c>
      <c r="H443" t="s">
        <v>255</v>
      </c>
      <c r="I443">
        <v>2017</v>
      </c>
      <c r="J443">
        <v>12</v>
      </c>
      <c r="K443" t="s">
        <v>2213</v>
      </c>
      <c r="L443"/>
      <c r="M443" t="str">
        <f>LEFT($D443,FIND(",",$D443)-1)&amp;"_"&amp;I443&amp;L443</f>
        <v>Qin_2017</v>
      </c>
      <c r="N443" t="s">
        <v>223</v>
      </c>
      <c r="O443" s="145" t="s">
        <v>342</v>
      </c>
      <c r="P443"/>
      <c r="Q443" t="s">
        <v>257</v>
      </c>
      <c r="R443" s="264" t="s">
        <v>224</v>
      </c>
      <c r="S443" s="1" t="s">
        <v>2218</v>
      </c>
      <c r="T443" s="266" t="s">
        <v>3235</v>
      </c>
      <c r="U443" t="s">
        <v>2215</v>
      </c>
      <c r="V443">
        <v>0</v>
      </c>
      <c r="W443">
        <v>0</v>
      </c>
      <c r="X443">
        <v>0</v>
      </c>
      <c r="Y443">
        <v>1</v>
      </c>
      <c r="Z443">
        <v>0</v>
      </c>
      <c r="AA443">
        <v>0</v>
      </c>
      <c r="AB443">
        <v>0</v>
      </c>
      <c r="AC443">
        <v>0</v>
      </c>
      <c r="AD443">
        <v>0</v>
      </c>
      <c r="AE443">
        <v>0</v>
      </c>
      <c r="AF443">
        <v>0</v>
      </c>
      <c r="AG443">
        <v>0</v>
      </c>
      <c r="AH443">
        <v>0</v>
      </c>
      <c r="AI443">
        <v>0</v>
      </c>
      <c r="AJ443">
        <v>0</v>
      </c>
      <c r="AK443">
        <v>0</v>
      </c>
      <c r="AL443">
        <v>0</v>
      </c>
      <c r="AM443">
        <v>0</v>
      </c>
      <c r="AN443">
        <v>0</v>
      </c>
      <c r="AO443">
        <v>0</v>
      </c>
      <c r="AP443">
        <v>0</v>
      </c>
      <c r="AQ443">
        <v>0</v>
      </c>
      <c r="AR443">
        <v>0</v>
      </c>
      <c r="AS443">
        <v>0</v>
      </c>
      <c r="AT443">
        <v>0</v>
      </c>
      <c r="AU443">
        <v>0</v>
      </c>
      <c r="AV443">
        <v>1</v>
      </c>
      <c r="AW443">
        <v>0</v>
      </c>
      <c r="AX443" s="141">
        <f>COUNTIF(V443:AW443,"&lt;&gt;0")</f>
        <v>2</v>
      </c>
      <c r="AY443" s="141">
        <f>COUNTIF(V443:AL443,"&lt;&gt;0")</f>
        <v>1</v>
      </c>
      <c r="AZ443">
        <f>COUNTIF(V443:AC443,"&lt;&gt;0")</f>
        <v>1</v>
      </c>
      <c r="BA443">
        <f>COUNTIF(AD443:AI443,"&lt;&gt;0")</f>
        <v>0</v>
      </c>
      <c r="BB443">
        <f>COUNTIF(AJ443:AL443,"&lt;&gt;0")</f>
        <v>0</v>
      </c>
      <c r="BC443">
        <f>COUNTIF(AS443:AW443,"&lt;&gt;0")</f>
        <v>1</v>
      </c>
      <c r="BD443">
        <f>COUNTIF(AM443:AR443,"&lt;&gt;0")</f>
        <v>0</v>
      </c>
      <c r="BE443" t="str">
        <f t="array" ref="BE443">IF(AY443=1,INDEX($V$7:$AL$7,MATCH(TRUE,INDEX($V443:$AW443&lt;&gt;0,),0)),IF(AY443=0,INDEX($AM$7:$AW$7,MATCH(1,$AM443:$AW443,0)),IF(BF443="Multiple strategies","mixed drivers",IF(BF443="Supply chain","multiple supply","multiple silviculture"))))</f>
        <v xml:space="preserve">cutting intensity </v>
      </c>
      <c r="BF443" s="2" t="str" cm="1">
        <f t="array" ref="BF443">IF(COUNTIF(AZ443:BB443,"&lt;&gt;0")=1,INDEX($V$4:$AW$4,MATCH(TRUE,INDEX($V443:$AW443&lt;&gt;0,),0)),IF(COUNTIF(AZ443:BB443,"&lt;&gt;0")=0,INDEX($AM$4:$AW$4,MATCH(1,$AM443:$AW443,0)),"Multiple strategies"))</f>
        <v>SilvicultureRemov</v>
      </c>
      <c r="BG443" s="1" t="s">
        <v>322</v>
      </c>
      <c r="BH443" s="266" t="s">
        <v>3227</v>
      </c>
      <c r="BI443" s="266" t="s">
        <v>3228</v>
      </c>
      <c r="BJ443" s="266" t="s">
        <v>1325</v>
      </c>
      <c r="BK443">
        <v>3.67</v>
      </c>
      <c r="BL443">
        <v>3.7</v>
      </c>
      <c r="BM443"/>
      <c r="BN443">
        <f>BL443-BK443</f>
        <v>3.0000000000000249E-2</v>
      </c>
      <c r="BO443" s="143">
        <f>BN443*10^6</f>
        <v>30000.000000000247</v>
      </c>
      <c r="BP443" t="s">
        <v>233</v>
      </c>
      <c r="BQ443" s="153" t="s">
        <v>3229</v>
      </c>
      <c r="BR443" s="266" t="s">
        <v>3230</v>
      </c>
      <c r="BS443">
        <v>-0.57999999999999996</v>
      </c>
      <c r="BT443">
        <v>-0.57999999999999996</v>
      </c>
      <c r="BU443" s="144">
        <f>IFERROR(BT443/BS443,"")</f>
        <v>1</v>
      </c>
      <c r="BV443">
        <f>BT443-BS443</f>
        <v>0</v>
      </c>
      <c r="BW443"/>
      <c r="BX443">
        <f>BV443*C_to_CO2</f>
        <v>0</v>
      </c>
      <c r="BY443">
        <f>IFERROR(BX443/BO443,"")</f>
        <v>0</v>
      </c>
      <c r="BZ443">
        <v>0</v>
      </c>
      <c r="CA443">
        <v>0</v>
      </c>
      <c r="CB443">
        <v>0</v>
      </c>
      <c r="CC443">
        <v>0</v>
      </c>
      <c r="CD443">
        <v>0</v>
      </c>
      <c r="CE443">
        <v>0</v>
      </c>
      <c r="CF443">
        <v>0</v>
      </c>
      <c r="CG443">
        <v>0</v>
      </c>
      <c r="CH443">
        <v>0</v>
      </c>
      <c r="CI443">
        <v>0</v>
      </c>
      <c r="CJ443">
        <v>0</v>
      </c>
      <c r="CK443">
        <v>0</v>
      </c>
      <c r="CL443">
        <v>0</v>
      </c>
      <c r="CM443">
        <v>0</v>
      </c>
      <c r="CN443" t="str">
        <f>IF($BL443&lt;$BK443,"refNeedCorrection","refOK")</f>
        <v>refOK</v>
      </c>
      <c r="CO443">
        <f>IF($CN443="refOK",$BK443,$BL443)</f>
        <v>3.67</v>
      </c>
      <c r="CP443">
        <f>IF($CN443="refOK",$BL443,$BK443)</f>
        <v>3.7</v>
      </c>
      <c r="CQ443">
        <f>IF($CN443="refOK",$BO443,-$BO443)</f>
        <v>30000.000000000247</v>
      </c>
      <c r="CR443">
        <f>IF($CN443="refOK",$BS443,$BT443)*IF($BP443="Emissions positive",-1,1)</f>
        <v>-0.57999999999999996</v>
      </c>
      <c r="CS443">
        <f>IF($CN443="refOK",$BT443,$BS443)*IF($BP443="Emissions positive",-1,1)</f>
        <v>-0.57999999999999996</v>
      </c>
      <c r="CT443">
        <f>IF($CN443="refNeedCorrection",-BX443,BX443)*IF($BP443="Emissions positive",-1,1)</f>
        <v>0</v>
      </c>
      <c r="CU443">
        <f>IFERROR(CT443/CQ443,"")</f>
        <v>0</v>
      </c>
      <c r="CV443" s="2">
        <f>IFERROR((CS443-CR443)/ABS(CR443),"")</f>
        <v>0</v>
      </c>
      <c r="CW443" s="1" t="s">
        <v>1201</v>
      </c>
      <c r="CX443" t="str">
        <f>IF(OR($CW443="prd",$CW443="std",$CW443="cit"),"loc",IF(OR($CW443="eur",$CW443="reg",$CW443="coy"),"reg",$CW443))</f>
        <v>reg</v>
      </c>
      <c r="CY443" t="s">
        <v>692</v>
      </c>
      <c r="CZ443"/>
      <c r="DA443"/>
      <c r="DB443">
        <v>30</v>
      </c>
      <c r="DC443" t="str">
        <f>IF(DB443=0,"0",IF(AND(DB443&gt;=1,DB443&lt;=30),"1-30",IF(AND(DB443&gt;30,DB443&lt;=70),"31-70",IF(AND(DB443&gt;70,DB443&lt;=100),"71-100",IF(DB443&gt;100,"+100")))))</f>
        <v>1-30</v>
      </c>
      <c r="DD443">
        <v>1</v>
      </c>
      <c r="DE443">
        <v>0</v>
      </c>
      <c r="DF443">
        <v>0</v>
      </c>
      <c r="DG443">
        <v>0</v>
      </c>
      <c r="DH443"/>
      <c r="DI443">
        <f>SUM(DD443:DG443)</f>
        <v>1</v>
      </c>
      <c r="DJ443" t="str">
        <f>IF(DI443=1,INDEX($DD$7:$DG$7,MATCH(1,$DD443:$DG443,0)),"mixedProduct")</f>
        <v>UpstreamInput</v>
      </c>
      <c r="DK443" t="str">
        <f>IF(DD443=1,DK$7,0)</f>
        <v>Upstream</v>
      </c>
      <c r="DL443">
        <f>IF(DE443=1,DL$7,0)</f>
        <v>0</v>
      </c>
      <c r="DM443">
        <f>IF(DF443=1,DM$7,0)</f>
        <v>0</v>
      </c>
      <c r="DN443">
        <f>IF(DG443=1,DN$7,0)</f>
        <v>0</v>
      </c>
      <c r="DO443">
        <v>1</v>
      </c>
      <c r="DP443">
        <v>0</v>
      </c>
      <c r="DQ443">
        <v>0</v>
      </c>
      <c r="DR443">
        <v>0</v>
      </c>
      <c r="DS443">
        <v>0</v>
      </c>
      <c r="DT443">
        <f>SUM(DO443:DP443)</f>
        <v>1</v>
      </c>
      <c r="DU443" s="143" t="str">
        <f>IF(DO443=1,"self-calculated DF",IF(DP443=1,"external DF used","explicit C balance"))</f>
        <v>self-calculated DF</v>
      </c>
      <c r="DV443">
        <v>0</v>
      </c>
      <c r="DW443">
        <v>0</v>
      </c>
      <c r="DX443">
        <v>1</v>
      </c>
      <c r="DY443">
        <v>0</v>
      </c>
      <c r="DZ443">
        <v>0</v>
      </c>
      <c r="EA443" s="143">
        <v>0</v>
      </c>
      <c r="EB443">
        <v>0</v>
      </c>
      <c r="EC443">
        <v>0</v>
      </c>
      <c r="ED443">
        <v>0</v>
      </c>
      <c r="EE443">
        <v>0</v>
      </c>
      <c r="EF443">
        <v>1</v>
      </c>
      <c r="EG443">
        <v>0</v>
      </c>
      <c r="EH443">
        <v>0</v>
      </c>
      <c r="EI443" s="2">
        <v>0</v>
      </c>
      <c r="EJ443" s="1"/>
      <c r="EK443" t="str">
        <f>IF(AND(AND(AND(OR($DX443=1,$DW443=1),OR($EC443=1,$EA443=1)),SUM($DV443:$DZ443,$EF443)&gt;=4),SUM($EA443:$EE443)&gt;=2),"Whole sector","")</f>
        <v/>
      </c>
      <c r="EL443" t="str">
        <f>IF(AND(AND(OR($DX443=1,$DW443=1),AND($EC443=0,$EA443=0)),SUM($DV443:$DZ443,$EF443)&gt;=4),"Ecosystem approach","")</f>
        <v/>
      </c>
      <c r="EM443" s="2" t="str">
        <f>IF(AND(AND(AND($DX443=0,$DW443=0),OR($EC443=1,$EA443=1)),SUM($EB443:$EE443)&gt;=2),"Technology approach","")</f>
        <v/>
      </c>
      <c r="EN443"/>
      <c r="EO443"/>
      <c r="EP443" t="str">
        <f>IF(ISNUMBER(BU443),IF(ABS(BU443-[2]QC_indicators!$B$2)&gt;3*[2]QC_indicators!$C$2,"C ratio",IF(ISNUMBER(BY443),IF(ABS(BY443-[2]QC_indicators!$B$1)&gt;3*[2]QC_indicators!$C$1,"DF","no"))),IF(ISNUMBER(BY443),IF(ABS(BY443-[2]QC_indicators!$B$1)&gt;3*[2]QC_indicators!$C$1,"DF","no")))</f>
        <v>no</v>
      </c>
      <c r="EQ443"/>
      <c r="ER443"/>
      <c r="ES443"/>
      <c r="ET443" s="266" t="s">
        <v>3231</v>
      </c>
      <c r="EU443"/>
    </row>
    <row r="444" spans="1:151" s="139" customFormat="1" ht="15" hidden="1" customHeight="1">
      <c r="A444" s="1" t="s">
        <v>1328</v>
      </c>
      <c r="B444" t="s">
        <v>1329</v>
      </c>
      <c r="C444" t="s">
        <v>545</v>
      </c>
      <c r="D444" t="s">
        <v>1316</v>
      </c>
      <c r="E444" s="266" t="s">
        <v>1330</v>
      </c>
      <c r="F444" t="s">
        <v>1331</v>
      </c>
      <c r="G444" t="s">
        <v>545</v>
      </c>
      <c r="H444" t="s">
        <v>1332</v>
      </c>
      <c r="I444">
        <v>2017</v>
      </c>
      <c r="J444">
        <v>1</v>
      </c>
      <c r="K444" t="s">
        <v>1333</v>
      </c>
      <c r="L444"/>
      <c r="M444" t="str">
        <f>LEFT($D444,FIND(",",$D444)-1)&amp;"_"&amp;I444&amp;L444</f>
        <v>Bouyer_2017</v>
      </c>
      <c r="N444" t="s">
        <v>2586</v>
      </c>
      <c r="O444" s="161" t="s">
        <v>1156</v>
      </c>
      <c r="P444"/>
      <c r="Q444" t="s">
        <v>390</v>
      </c>
      <c r="R444" s="264" t="s">
        <v>224</v>
      </c>
      <c r="S444" s="154" t="s">
        <v>1334</v>
      </c>
      <c r="T444" s="149" t="s">
        <v>1322</v>
      </c>
      <c r="U444" t="s">
        <v>706</v>
      </c>
      <c r="V444">
        <v>0</v>
      </c>
      <c r="W444">
        <v>0</v>
      </c>
      <c r="X444">
        <v>0</v>
      </c>
      <c r="Y444">
        <v>1</v>
      </c>
      <c r="Z444">
        <v>0</v>
      </c>
      <c r="AA444">
        <v>0</v>
      </c>
      <c r="AB444">
        <v>0</v>
      </c>
      <c r="AC444">
        <v>0</v>
      </c>
      <c r="AD444">
        <v>0</v>
      </c>
      <c r="AE444">
        <v>0</v>
      </c>
      <c r="AF444">
        <v>0</v>
      </c>
      <c r="AG444">
        <v>0</v>
      </c>
      <c r="AH444">
        <v>0</v>
      </c>
      <c r="AI444">
        <v>0</v>
      </c>
      <c r="AJ444">
        <v>0</v>
      </c>
      <c r="AK444">
        <v>0</v>
      </c>
      <c r="AL444">
        <v>0</v>
      </c>
      <c r="AM444">
        <v>0</v>
      </c>
      <c r="AN444">
        <v>0</v>
      </c>
      <c r="AO444">
        <v>0</v>
      </c>
      <c r="AP444">
        <v>0</v>
      </c>
      <c r="AQ444">
        <v>0</v>
      </c>
      <c r="AR444">
        <v>0</v>
      </c>
      <c r="AS444">
        <v>0</v>
      </c>
      <c r="AT444">
        <v>0</v>
      </c>
      <c r="AU444">
        <v>0</v>
      </c>
      <c r="AV444">
        <v>0</v>
      </c>
      <c r="AW444">
        <v>0</v>
      </c>
      <c r="AX444" s="141">
        <f>COUNTIF(V444:AW444,"&lt;&gt;0")</f>
        <v>1</v>
      </c>
      <c r="AY444" s="141">
        <f>COUNTIF(V444:AL444,"&lt;&gt;0")</f>
        <v>1</v>
      </c>
      <c r="AZ444">
        <f>COUNTIF(V444:AC444,"&lt;&gt;0")</f>
        <v>1</v>
      </c>
      <c r="BA444">
        <f>COUNTIF(AD444:AI444,"&lt;&gt;0")</f>
        <v>0</v>
      </c>
      <c r="BB444">
        <f>COUNTIF(AJ444:AL444,"&lt;&gt;0")</f>
        <v>0</v>
      </c>
      <c r="BC444">
        <f>COUNTIF(AS444:AW444,"&lt;&gt;0")</f>
        <v>0</v>
      </c>
      <c r="BD444">
        <f>COUNTIF(AM444:AR444,"&lt;&gt;0")</f>
        <v>0</v>
      </c>
      <c r="BE444" t="str">
        <f t="array" ref="BE444">IF(AY444=1,INDEX($V$7:$AL$7,MATCH(TRUE,INDEX($V444:$AW444&lt;&gt;0,),0)),IF(AY444=0,INDEX($AM$7:$AW$7,MATCH(1,$AM444:$AW444,0)),IF(BF444="Multiple strategies","mixed drivers",IF(BF444="Supply chain","multiple supply","multiple silviculture"))))</f>
        <v xml:space="preserve">cutting intensity </v>
      </c>
      <c r="BF444" s="2" t="str" cm="1">
        <f t="array" ref="BF444">IF(COUNTIF(AZ444:BB444,"&lt;&gt;0")=1,INDEX($V$4:$AW$4,MATCH(TRUE,INDEX($V444:$AW444&lt;&gt;0,),0)),IF(COUNTIF(AZ444:BB444,"&lt;&gt;0")=0,INDEX($AM$4:$AW$4,MATCH(1,$AM444:$AW444,0)),"Multiple strategies"))</f>
        <v>SilvicultureRemov</v>
      </c>
      <c r="BG444" s="178" t="s">
        <v>322</v>
      </c>
      <c r="BH444" t="s">
        <v>1299</v>
      </c>
      <c r="BI444" t="s">
        <v>1335</v>
      </c>
      <c r="BJ444" t="s">
        <v>1216</v>
      </c>
      <c r="BK444">
        <v>21.542968750001261</v>
      </c>
      <c r="BL444">
        <v>24.025869919478485</v>
      </c>
      <c r="BM444">
        <f>BL444/BK444</f>
        <v>1.1152534359721</v>
      </c>
      <c r="BN444">
        <f>BL444-BK444</f>
        <v>2.4829011694772234</v>
      </c>
      <c r="BO444">
        <f>BN444*1000000</f>
        <v>2482901.1694772234</v>
      </c>
      <c r="BP444" s="155" t="s">
        <v>233</v>
      </c>
      <c r="BQ444" t="s">
        <v>1336</v>
      </c>
      <c r="BR444" t="s">
        <v>1337</v>
      </c>
      <c r="BS444">
        <v>15.160763391344325</v>
      </c>
      <c r="BT444">
        <v>11.996175827266081</v>
      </c>
      <c r="BU444" s="144">
        <f>BT444/BS444</f>
        <v>0.79126462946549314</v>
      </c>
      <c r="BV444">
        <f>BT444-BS444</f>
        <v>-3.1645875640782446</v>
      </c>
      <c r="BW444"/>
      <c r="BX444">
        <f>BV444*1000000</f>
        <v>-3164587.5640782444</v>
      </c>
      <c r="BY444">
        <f>IFERROR(BX444/BO444,"")</f>
        <v>-1.2745523676017079</v>
      </c>
      <c r="BZ444" s="143">
        <v>0</v>
      </c>
      <c r="CA444" s="143">
        <v>0</v>
      </c>
      <c r="CB444" s="143">
        <v>0</v>
      </c>
      <c r="CC444" s="143">
        <v>0</v>
      </c>
      <c r="CD444" s="143">
        <v>0</v>
      </c>
      <c r="CE444" s="143">
        <v>0</v>
      </c>
      <c r="CF444" s="143">
        <v>0</v>
      </c>
      <c r="CG444" s="143">
        <v>0</v>
      </c>
      <c r="CH444" s="143">
        <v>0</v>
      </c>
      <c r="CI444" s="143">
        <v>0</v>
      </c>
      <c r="CJ444" s="143">
        <v>0</v>
      </c>
      <c r="CK444" s="143">
        <v>0</v>
      </c>
      <c r="CL444" s="143">
        <v>0</v>
      </c>
      <c r="CM444">
        <v>0</v>
      </c>
      <c r="CN444" t="str">
        <f>IF($BL444&lt;$BK444,"refNeedCorrection","refOK")</f>
        <v>refOK</v>
      </c>
      <c r="CO444">
        <f>IF($CN444="refOK",$BK444,$BL444)</f>
        <v>21.542968750001261</v>
      </c>
      <c r="CP444">
        <f>IF($CN444="refOK",$BL444,$BK444)</f>
        <v>24.025869919478485</v>
      </c>
      <c r="CQ444">
        <f>IF($CN444="refOK",$BO444,-$BO444)</f>
        <v>2482901.1694772234</v>
      </c>
      <c r="CR444">
        <f>IF($CN444="refOK",$BS444,$BT444)*IF($BP444="Emissions positive",-1,1)</f>
        <v>15.160763391344325</v>
      </c>
      <c r="CS444">
        <f>IF($CN444="refOK",$BT444,$BS444)*IF($BP444="Emissions positive",-1,1)</f>
        <v>11.996175827266081</v>
      </c>
      <c r="CT444">
        <f>IF($CN444="refNeedCorrection",-BX444,BX444)*IF($BP444="Emissions positive",-1,1)</f>
        <v>-3164587.5640782444</v>
      </c>
      <c r="CU444">
        <f>IFERROR(CT444/CQ444,"")</f>
        <v>-1.2745523676017079</v>
      </c>
      <c r="CV444" s="2">
        <f>IFERROR((CS444-CR444)/ABS(CR444),"")</f>
        <v>-0.20873537053450686</v>
      </c>
      <c r="CW444" s="162" t="s">
        <v>1205</v>
      </c>
      <c r="CX444" t="str">
        <f>IF(OR($CW444="prd",$CW444="std",$CW444="cit"),"loc",IF(OR($CW444="eur",$CW444="reg",$CW444="coy"),"reg",$CW444))</f>
        <v>reg</v>
      </c>
      <c r="CY444" s="155" t="s">
        <v>1283</v>
      </c>
      <c r="CZ444">
        <v>2013</v>
      </c>
      <c r="DA444">
        <v>2020</v>
      </c>
      <c r="DB444">
        <f>DA444-CZ444</f>
        <v>7</v>
      </c>
      <c r="DC444" t="str">
        <f>IF(DB444=0,"0",IF(AND(DB444&gt;=1,DB444&lt;=30),"1-30",IF(AND(DB444&gt;30,DB444&lt;=70),"31-70",IF(AND(DB444&gt;70,DB444&lt;=100),"71-100",IF(DB444&gt;100,"+100")))))</f>
        <v>1-30</v>
      </c>
      <c r="DD444">
        <v>1</v>
      </c>
      <c r="DE444">
        <v>0</v>
      </c>
      <c r="DF444">
        <v>0</v>
      </c>
      <c r="DG444">
        <v>0</v>
      </c>
      <c r="DH444">
        <v>0</v>
      </c>
      <c r="DI444">
        <f>SUM(DD444:DG444)</f>
        <v>1</v>
      </c>
      <c r="DJ444" t="str">
        <f>IF(DI444=1,INDEX($DD$7:$DG$7,MATCH(1,$DD444:$DG444,0)),"mixedProduct")</f>
        <v>UpstreamInput</v>
      </c>
      <c r="DK444" t="str">
        <f>IF(DD444=1,DK$7,0)</f>
        <v>Upstream</v>
      </c>
      <c r="DL444">
        <f>IF(DE444=1,DL$7,0)</f>
        <v>0</v>
      </c>
      <c r="DM444">
        <f>IF(DF444=1,DM$7,0)</f>
        <v>0</v>
      </c>
      <c r="DN444">
        <f>IF(DG444=1,DN$7,0)</f>
        <v>0</v>
      </c>
      <c r="DO444">
        <v>0</v>
      </c>
      <c r="DP444">
        <v>0</v>
      </c>
      <c r="DQ444">
        <v>0</v>
      </c>
      <c r="DR444">
        <v>0</v>
      </c>
      <c r="DS444">
        <v>0</v>
      </c>
      <c r="DT444"/>
      <c r="DU444"/>
      <c r="DV444">
        <v>0</v>
      </c>
      <c r="DW444">
        <v>0</v>
      </c>
      <c r="DX444">
        <v>1</v>
      </c>
      <c r="DY444">
        <v>1</v>
      </c>
      <c r="DZ444">
        <v>0</v>
      </c>
      <c r="EA444">
        <v>0</v>
      </c>
      <c r="EB444">
        <v>0</v>
      </c>
      <c r="EC444">
        <v>0</v>
      </c>
      <c r="ED444">
        <v>0</v>
      </c>
      <c r="EE444">
        <v>0</v>
      </c>
      <c r="EF444">
        <v>1</v>
      </c>
      <c r="EG444">
        <v>0</v>
      </c>
      <c r="EH444">
        <v>0</v>
      </c>
      <c r="EI444" s="2">
        <v>0</v>
      </c>
      <c r="EJ444" s="1"/>
      <c r="EK444" t="str">
        <f>IF(AND(AND(AND(OR($DX444=1,$DW444=1),OR($EC444=1,$EA444=1)),SUM($DV444:$DZ444,$EF444)&gt;=4),SUM($EA444:$EE444)&gt;=2),"Whole sector","")</f>
        <v/>
      </c>
      <c r="EL444" t="str">
        <f>IF(AND(AND(OR($DX444=1,$DW444=1),AND($EC444=0,$EA444=0)),SUM($DV444:$DZ444,$EF444)&gt;=4),"Ecosystem approach","")</f>
        <v/>
      </c>
      <c r="EM444" s="2" t="str">
        <f>IF(AND(AND(AND($DX444=0,$DW444=0),OR($EC444=1,$EA444=1)),SUM($EB444:$EE444)&gt;=2),"Technology approach","")</f>
        <v/>
      </c>
      <c r="EN444"/>
      <c r="EO444"/>
      <c r="EP444" t="str">
        <f>IF(ISNUMBER(BU444),IF(ABS(BU444-[2]QC_indicators!$B$2)&gt;3*[2]QC_indicators!$C$2,"C ratio",IF(ISNUMBER(BY444),IF(ABS(BY444-[2]QC_indicators!$B$1)&gt;3*[2]QC_indicators!$C$1,"DF","no"))),IF(ISNUMBER(BY444),IF(ABS(BY444-[2]QC_indicators!$B$1)&gt;3*[2]QC_indicators!$C$1,"DF","no")))</f>
        <v>no</v>
      </c>
      <c r="EQ444"/>
      <c r="ER444"/>
      <c r="ES444"/>
      <c r="ET444" s="307" t="s">
        <v>3413</v>
      </c>
      <c r="EU444"/>
    </row>
    <row r="445" spans="1:151" s="139" customFormat="1" ht="15" hidden="1" customHeight="1">
      <c r="A445" s="1" t="s">
        <v>1359</v>
      </c>
      <c r="B445" t="s">
        <v>2370</v>
      </c>
      <c r="C445" t="s">
        <v>2371</v>
      </c>
      <c r="D445" t="s">
        <v>2372</v>
      </c>
      <c r="E445" t="s">
        <v>2373</v>
      </c>
      <c r="F445" t="s">
        <v>2374</v>
      </c>
      <c r="G445" t="s">
        <v>1360</v>
      </c>
      <c r="H445" t="s">
        <v>255</v>
      </c>
      <c r="I445">
        <v>2021</v>
      </c>
      <c r="J445">
        <v>0</v>
      </c>
      <c r="K445" t="s">
        <v>2375</v>
      </c>
      <c r="L445"/>
      <c r="M445" t="str">
        <f>LEFT($D445,FIND(",",$D445)-1)&amp;"_"&amp;I445&amp;L445</f>
        <v>Ter-Mikaelian_2021</v>
      </c>
      <c r="N445" t="s">
        <v>223</v>
      </c>
      <c r="O445" s="145" t="s">
        <v>1156</v>
      </c>
      <c r="P445"/>
      <c r="Q445" t="s">
        <v>257</v>
      </c>
      <c r="R445" s="295" t="s">
        <v>226</v>
      </c>
      <c r="S445" s="1" t="s">
        <v>1334</v>
      </c>
      <c r="T445" t="s">
        <v>2377</v>
      </c>
      <c r="U445" t="s">
        <v>2381</v>
      </c>
      <c r="V445">
        <v>0</v>
      </c>
      <c r="W445">
        <v>0</v>
      </c>
      <c r="X445">
        <v>0</v>
      </c>
      <c r="Y445">
        <v>1</v>
      </c>
      <c r="Z445">
        <v>0</v>
      </c>
      <c r="AA445">
        <v>0</v>
      </c>
      <c r="AB445">
        <v>0</v>
      </c>
      <c r="AC445">
        <v>0</v>
      </c>
      <c r="AD445">
        <v>0</v>
      </c>
      <c r="AE445">
        <v>0</v>
      </c>
      <c r="AF445">
        <v>0</v>
      </c>
      <c r="AG445">
        <v>0</v>
      </c>
      <c r="AH445">
        <v>0</v>
      </c>
      <c r="AI445">
        <v>0</v>
      </c>
      <c r="AJ445">
        <v>0</v>
      </c>
      <c r="AK445">
        <v>0</v>
      </c>
      <c r="AL445">
        <v>0</v>
      </c>
      <c r="AM445">
        <v>0</v>
      </c>
      <c r="AN445">
        <v>0</v>
      </c>
      <c r="AO445">
        <v>0</v>
      </c>
      <c r="AP445">
        <v>0</v>
      </c>
      <c r="AQ445">
        <v>0</v>
      </c>
      <c r="AR445">
        <v>0</v>
      </c>
      <c r="AS445">
        <v>0</v>
      </c>
      <c r="AT445">
        <v>0</v>
      </c>
      <c r="AU445">
        <v>0</v>
      </c>
      <c r="AV445">
        <v>0</v>
      </c>
      <c r="AW445">
        <v>0</v>
      </c>
      <c r="AX445" s="141">
        <f>COUNTIF(V445:AW445,"&lt;&gt;0")</f>
        <v>1</v>
      </c>
      <c r="AY445" s="141">
        <f>COUNTIF(V445:AL445,"&lt;&gt;0")</f>
        <v>1</v>
      </c>
      <c r="AZ445">
        <f>COUNTIF(V445:AC445,"&lt;&gt;0")</f>
        <v>1</v>
      </c>
      <c r="BA445">
        <f>COUNTIF(AD445:AI445,"&lt;&gt;0")</f>
        <v>0</v>
      </c>
      <c r="BB445">
        <f>COUNTIF(AJ445:AL445,"&lt;&gt;0")</f>
        <v>0</v>
      </c>
      <c r="BC445">
        <f>COUNTIF(AS445:AW445,"&lt;&gt;0")</f>
        <v>0</v>
      </c>
      <c r="BD445">
        <f>COUNTIF(AM445:AR445,"&lt;&gt;0")</f>
        <v>0</v>
      </c>
      <c r="BE445" t="str">
        <f t="array" ref="BE445">IF(AY445=1,INDEX($V$7:$AL$7,MATCH(TRUE,INDEX($V445:$AW445&lt;&gt;0,),0)),IF(AY445=0,INDEX($AM$7:$AW$7,MATCH(1,$AM445:$AW445,0)),IF(BF445="Multiple strategies","mixed drivers",IF(BF445="Supply chain","multiple supply","multiple silviculture"))))</f>
        <v xml:space="preserve">cutting intensity </v>
      </c>
      <c r="BF445" s="2" t="str" cm="1">
        <f t="array" ref="BF445">IF(COUNTIF(AZ445:BB445,"&lt;&gt;0")=1,INDEX($V$4:$AW$4,MATCH(TRUE,INDEX($V445:$AW445&lt;&gt;0,),0)),IF(COUNTIF(AZ445:BB445,"&lt;&gt;0")=0,INDEX($AM$4:$AW$4,MATCH(1,$AM445:$AW445,0)),"Multiple strategies"))</f>
        <v>SilvicultureRemov</v>
      </c>
      <c r="BG445" s="1" t="s">
        <v>322</v>
      </c>
      <c r="BH445" t="s">
        <v>2378</v>
      </c>
      <c r="BI445"/>
      <c r="BJ445" t="s">
        <v>1325</v>
      </c>
      <c r="BK445">
        <v>433.26389999999998</v>
      </c>
      <c r="BL445">
        <v>866.52779999999996</v>
      </c>
      <c r="BM445" s="143">
        <f>BL445/BK445</f>
        <v>2</v>
      </c>
      <c r="BN445">
        <f>BL445-BK445</f>
        <v>433.26389999999998</v>
      </c>
      <c r="BO445">
        <f>BN445*10^6</f>
        <v>433263900</v>
      </c>
      <c r="BP445" t="s">
        <v>233</v>
      </c>
      <c r="BQ445" s="260" t="s">
        <v>3398</v>
      </c>
      <c r="BR445" t="s">
        <v>1361</v>
      </c>
      <c r="BS445">
        <v>3644.6402286000002</v>
      </c>
      <c r="BT445">
        <v>3532.2804572</v>
      </c>
      <c r="BU445" s="144">
        <f>IFERROR(BT445/BS445,"")</f>
        <v>0.96917123108110992</v>
      </c>
      <c r="BV445" s="144">
        <f>BT445-BS445</f>
        <v>-112.35977140000023</v>
      </c>
      <c r="BW445" s="144"/>
      <c r="BX445">
        <f>BV445*10^6*C_to_CO2</f>
        <v>-412360361.03800082</v>
      </c>
      <c r="BY445">
        <f>IFERROR(BX445/BO445,"")</f>
        <v>-0.95175333333333523</v>
      </c>
      <c r="BZ445">
        <v>0</v>
      </c>
      <c r="CA445">
        <v>0</v>
      </c>
      <c r="CB445">
        <v>0</v>
      </c>
      <c r="CC445">
        <v>0</v>
      </c>
      <c r="CD445">
        <v>0</v>
      </c>
      <c r="CE445">
        <v>0</v>
      </c>
      <c r="CF445">
        <v>0</v>
      </c>
      <c r="CG445">
        <v>0</v>
      </c>
      <c r="CH445">
        <v>0</v>
      </c>
      <c r="CI445">
        <v>0</v>
      </c>
      <c r="CJ445">
        <v>0</v>
      </c>
      <c r="CK445">
        <v>0</v>
      </c>
      <c r="CL445">
        <v>0</v>
      </c>
      <c r="CM445">
        <v>0</v>
      </c>
      <c r="CN445" t="str">
        <f>IF($BL445&lt;$BK445,"refNeedCorrection","refOK")</f>
        <v>refOK</v>
      </c>
      <c r="CO445">
        <f>IF($CN445="refNeedCorrection",BL445,BK445)</f>
        <v>433.26389999999998</v>
      </c>
      <c r="CP445">
        <f>IF($CN445="refNeedCorrection",BK445,BL445)</f>
        <v>866.52779999999996</v>
      </c>
      <c r="CQ445">
        <f>IF($CN445="refOK",$BO445,-$BO445)</f>
        <v>433263900</v>
      </c>
      <c r="CR445">
        <f>IF($CN445="refOK",$BS445,$BT445)*IF($BP445="Emissions positive",-1,1)</f>
        <v>3644.6402286000002</v>
      </c>
      <c r="CS445">
        <f>IF($CN445="refOK",$BT445,$BS445)*IF($BP445="Emissions positive",-1,1)</f>
        <v>3532.2804572</v>
      </c>
      <c r="CT445">
        <f>IF($CN445="refNeedCorrection",-BX445,BX445)*IF($BP445="Emissions positive",-1,1)</f>
        <v>-412360361.03800082</v>
      </c>
      <c r="CU445">
        <f>IFERROR(CT445/CQ445,"")</f>
        <v>-0.95175333333333523</v>
      </c>
      <c r="CV445" s="2">
        <f>IFERROR((CS445-CR445)/ABS(CR445),"")</f>
        <v>-3.0828768918890109E-2</v>
      </c>
      <c r="CW445" s="1" t="s">
        <v>1201</v>
      </c>
      <c r="CX445" t="str">
        <f>IF(OR($CW445="prd",$CW445="std",$CW445="cit"),"loc",IF(OR($CW445="eur",$CW445="reg",$CW445="coy"),"reg",$CW445))</f>
        <v>reg</v>
      </c>
      <c r="CY445" t="s">
        <v>541</v>
      </c>
      <c r="CZ445">
        <v>2020</v>
      </c>
      <c r="DA445">
        <v>2050</v>
      </c>
      <c r="DB445">
        <f>DA445-CZ445</f>
        <v>30</v>
      </c>
      <c r="DC445" t="str">
        <f>IF(DB445=0,"0",IF(AND(DB445&gt;=1,DB445&lt;=30),"1-30",IF(AND(DB445&gt;30,DB445&lt;=70),"31-70",IF(AND(DB445&gt;70,DB445&lt;=100),"71-100",IF(DB445&gt;100,"+100")))))</f>
        <v>1-30</v>
      </c>
      <c r="DD445">
        <v>1</v>
      </c>
      <c r="DE445">
        <v>1</v>
      </c>
      <c r="DF445">
        <v>1</v>
      </c>
      <c r="DG445">
        <v>1</v>
      </c>
      <c r="DH445"/>
      <c r="DI445">
        <f>SUM(DD445:DG445)</f>
        <v>4</v>
      </c>
      <c r="DJ445" t="str">
        <f>IF(DI445=1,INDEX($DD$7:$DG$7,MATCH(1,$DD445:$DG445,0)),"mixedProduct")</f>
        <v>mixedProduct</v>
      </c>
      <c r="DK445" t="str">
        <f>IF(DD445=1,DK$7,0)</f>
        <v>Upstream</v>
      </c>
      <c r="DL445" t="str">
        <f>IF(DE445=1,DL$7,0)</f>
        <v>Energy</v>
      </c>
      <c r="DM445" t="str">
        <f>IF(DF445=1,DM$7,0)</f>
        <v>Pulp/Paper</v>
      </c>
      <c r="DN445" t="str">
        <f>IF(DG445=1,DN$7,0)</f>
        <v>Timber</v>
      </c>
      <c r="DO445">
        <v>0</v>
      </c>
      <c r="DP445">
        <v>0</v>
      </c>
      <c r="DQ445">
        <v>0</v>
      </c>
      <c r="DR445">
        <v>0</v>
      </c>
      <c r="DS445">
        <v>0</v>
      </c>
      <c r="DT445">
        <f>SUM(DO445:DP445)</f>
        <v>0</v>
      </c>
      <c r="DU445" s="143" t="str">
        <f>IF(DO445=1,"self-calculated DF",IF(DP445=1,"external DF used","explicit C balance"))</f>
        <v>explicit C balance</v>
      </c>
      <c r="DV445">
        <v>1</v>
      </c>
      <c r="DW445">
        <v>1</v>
      </c>
      <c r="DX445">
        <v>1</v>
      </c>
      <c r="DY445">
        <v>1</v>
      </c>
      <c r="DZ445">
        <v>1</v>
      </c>
      <c r="EA445" s="143">
        <v>1</v>
      </c>
      <c r="EB445">
        <v>0</v>
      </c>
      <c r="EC445">
        <v>0</v>
      </c>
      <c r="ED445">
        <v>0</v>
      </c>
      <c r="EE445">
        <v>0</v>
      </c>
      <c r="EF445">
        <v>1</v>
      </c>
      <c r="EG445">
        <v>0</v>
      </c>
      <c r="EH445">
        <v>0</v>
      </c>
      <c r="EI445" s="2">
        <v>0</v>
      </c>
      <c r="EJ445" s="1"/>
      <c r="EK445" t="str">
        <f>IF(AND(AND(AND(OR($DX445=1,$DW445=1),OR($EC445=1,$EA445=1)),SUM($DV445:$DZ445,$EF445)&gt;=4),SUM($EA445:$EE445)&gt;=2),"Whole sector","")</f>
        <v/>
      </c>
      <c r="EL445" t="str">
        <f>IF(AND(AND(OR($DX445=1,$DW445=1),AND($EC445=0,$EA445=0)),SUM($DV445:$DZ445,$EF445)&gt;=4),"Ecosystem approach","")</f>
        <v/>
      </c>
      <c r="EM445" s="2" t="str">
        <f>IF(AND(AND(AND($DX445=0,$DW445=0),OR($EC445=1,$EA445=1)),SUM($EB445:$EE445)&gt;=2),"Technology approach","")</f>
        <v/>
      </c>
      <c r="EN445" t="s">
        <v>2379</v>
      </c>
      <c r="EO445"/>
      <c r="EP445" t="str">
        <f>IF(ISNUMBER(BU445),IF(ABS(BU445-[4]QC_indicators!$B$2)&gt;3*[4]QC_indicators!$C$2,"C ratio",IF(ISNUMBER(BY445),IF(ABS(BY445-[4]QC_indicators!$B$1)&gt;3*[4]QC_indicators!$C$1,"DF","no"))),IF(ISNUMBER(BY445),IF(ABS(BY445-[4]QC_indicators!$B$1)&gt;3*[4]QC_indicators!$C$1,"DF","no")))</f>
        <v>no</v>
      </c>
      <c r="EQ445" t="s">
        <v>2380</v>
      </c>
      <c r="ER445"/>
      <c r="ES445"/>
      <c r="ET445" s="307" t="s">
        <v>3410</v>
      </c>
      <c r="EU445"/>
    </row>
    <row r="446" spans="1:151" s="139" customFormat="1" ht="15" hidden="1" customHeight="1">
      <c r="A446" s="1" t="s">
        <v>1359</v>
      </c>
      <c r="B446" t="s">
        <v>2370</v>
      </c>
      <c r="C446" t="s">
        <v>2371</v>
      </c>
      <c r="D446" t="s">
        <v>2372</v>
      </c>
      <c r="E446" t="s">
        <v>2373</v>
      </c>
      <c r="F446" t="s">
        <v>2374</v>
      </c>
      <c r="G446" t="s">
        <v>1360</v>
      </c>
      <c r="H446" t="s">
        <v>255</v>
      </c>
      <c r="I446">
        <v>2021</v>
      </c>
      <c r="J446">
        <v>0</v>
      </c>
      <c r="K446" t="s">
        <v>2375</v>
      </c>
      <c r="L446"/>
      <c r="M446" t="str">
        <f>LEFT($D446,FIND(",",$D446)-1)&amp;"_"&amp;I446&amp;L446</f>
        <v>Ter-Mikaelian_2021</v>
      </c>
      <c r="N446" t="s">
        <v>223</v>
      </c>
      <c r="O446" s="145" t="s">
        <v>1156</v>
      </c>
      <c r="P446"/>
      <c r="Q446" t="s">
        <v>257</v>
      </c>
      <c r="R446" s="295" t="s">
        <v>226</v>
      </c>
      <c r="S446" s="1" t="s">
        <v>1334</v>
      </c>
      <c r="T446" t="s">
        <v>2376</v>
      </c>
      <c r="U446" t="s">
        <v>2377</v>
      </c>
      <c r="V446">
        <v>1</v>
      </c>
      <c r="W446">
        <v>0</v>
      </c>
      <c r="X446">
        <v>0</v>
      </c>
      <c r="Y446">
        <v>0</v>
      </c>
      <c r="Z446">
        <v>0</v>
      </c>
      <c r="AA446">
        <v>0</v>
      </c>
      <c r="AB446">
        <v>0</v>
      </c>
      <c r="AC446">
        <v>0</v>
      </c>
      <c r="AD446">
        <v>0</v>
      </c>
      <c r="AE446">
        <v>0</v>
      </c>
      <c r="AF446">
        <v>0</v>
      </c>
      <c r="AG446">
        <v>0</v>
      </c>
      <c r="AH446">
        <v>0</v>
      </c>
      <c r="AI446">
        <v>0</v>
      </c>
      <c r="AJ446">
        <v>0</v>
      </c>
      <c r="AK446">
        <v>0</v>
      </c>
      <c r="AL446">
        <v>0</v>
      </c>
      <c r="AM446">
        <v>0</v>
      </c>
      <c r="AN446">
        <v>0</v>
      </c>
      <c r="AO446">
        <v>0</v>
      </c>
      <c r="AP446">
        <v>0</v>
      </c>
      <c r="AQ446">
        <v>0</v>
      </c>
      <c r="AR446">
        <v>0</v>
      </c>
      <c r="AS446">
        <v>0</v>
      </c>
      <c r="AT446">
        <v>0</v>
      </c>
      <c r="AU446">
        <v>0</v>
      </c>
      <c r="AV446">
        <v>0</v>
      </c>
      <c r="AW446">
        <v>0</v>
      </c>
      <c r="AX446" s="141">
        <f>COUNTIF(V446:AW446,"&lt;&gt;0")</f>
        <v>1</v>
      </c>
      <c r="AY446" s="141">
        <f>COUNTIF(V446:AL446,"&lt;&gt;0")</f>
        <v>1</v>
      </c>
      <c r="AZ446">
        <f>COUNTIF(V446:AC446,"&lt;&gt;0")</f>
        <v>1</v>
      </c>
      <c r="BA446">
        <f>COUNTIF(AD446:AI446,"&lt;&gt;0")</f>
        <v>0</v>
      </c>
      <c r="BB446">
        <f>COUNTIF(AJ446:AL446,"&lt;&gt;0")</f>
        <v>0</v>
      </c>
      <c r="BC446">
        <f>COUNTIF(AS446:AW446,"&lt;&gt;0")</f>
        <v>0</v>
      </c>
      <c r="BD446">
        <f>COUNTIF(AM446:AR446,"&lt;&gt;0")</f>
        <v>0</v>
      </c>
      <c r="BE446" t="str">
        <f t="array" ref="BE446">IF(AY446=1,INDEX($V$7:$AL$7,MATCH(TRUE,INDEX($V446:$AW446&lt;&gt;0,),0)),IF(AY446=0,INDEX($AM$7:$AW$7,MATCH(1,$AM446:$AW446,0)),IF(BF446="Multiple strategies","mixed drivers",IF(BF446="Supply chain","multiple supply","multiple silviculture"))))</f>
        <v>area subject to harvest</v>
      </c>
      <c r="BF446" s="2" t="str" cm="1">
        <f t="array" ref="BF446">IF(COUNTIF(AZ446:BB446,"&lt;&gt;0")=1,INDEX($V$4:$AW$4,MATCH(TRUE,INDEX($V446:$AW446&lt;&gt;0,),0)),IF(COUNTIF(AZ446:BB446,"&lt;&gt;0")=0,INDEX($AM$4:$AW$4,MATCH(1,$AM446:$AW446,0)),"Multiple strategies"))</f>
        <v>SilvicultureRemov</v>
      </c>
      <c r="BG446" s="1" t="s">
        <v>322</v>
      </c>
      <c r="BH446" t="s">
        <v>2378</v>
      </c>
      <c r="BI446"/>
      <c r="BJ446" t="s">
        <v>1325</v>
      </c>
      <c r="BK446">
        <v>0</v>
      </c>
      <c r="BL446">
        <v>433.26389999999998</v>
      </c>
      <c r="BM446" s="143" t="e">
        <f>BL446/BK446</f>
        <v>#DIV/0!</v>
      </c>
      <c r="BN446">
        <f>BL446-BK446</f>
        <v>433.26389999999998</v>
      </c>
      <c r="BO446">
        <f>BN446*10^6</f>
        <v>433263900</v>
      </c>
      <c r="BP446" t="s">
        <v>233</v>
      </c>
      <c r="BQ446" s="260" t="s">
        <v>3399</v>
      </c>
      <c r="BR446" t="s">
        <v>1361</v>
      </c>
      <c r="BS446">
        <v>3757</v>
      </c>
      <c r="BT446">
        <v>3644.6402286000002</v>
      </c>
      <c r="BU446" s="144">
        <f>IFERROR(BT446/BS446,"")</f>
        <v>0.97009322028214007</v>
      </c>
      <c r="BV446" s="144">
        <f>BT446-BS446</f>
        <v>-112.35977139999977</v>
      </c>
      <c r="BW446" s="144"/>
      <c r="BX446">
        <f>BV446*10^6*C_to_CO2</f>
        <v>-412360361.03799915</v>
      </c>
      <c r="BY446">
        <f>IFERROR(BX446/BO446,"")</f>
        <v>-0.95175333333333134</v>
      </c>
      <c r="BZ446">
        <v>0</v>
      </c>
      <c r="CA446">
        <v>0</v>
      </c>
      <c r="CB446">
        <v>0</v>
      </c>
      <c r="CC446">
        <v>0</v>
      </c>
      <c r="CD446">
        <v>0</v>
      </c>
      <c r="CE446">
        <v>0</v>
      </c>
      <c r="CF446">
        <v>0</v>
      </c>
      <c r="CG446">
        <v>0</v>
      </c>
      <c r="CH446">
        <v>0</v>
      </c>
      <c r="CI446">
        <v>0</v>
      </c>
      <c r="CJ446">
        <v>0</v>
      </c>
      <c r="CK446">
        <v>0</v>
      </c>
      <c r="CL446">
        <v>0</v>
      </c>
      <c r="CM446">
        <v>0</v>
      </c>
      <c r="CN446" t="str">
        <f>IF($BL446&lt;$BK446,"refNeedCorrection","refOK")</f>
        <v>refOK</v>
      </c>
      <c r="CO446">
        <f>IF($CN446="refOK",$BK446,$BL446)</f>
        <v>0</v>
      </c>
      <c r="CP446">
        <f>IF($CN446="refOK",$BL446,$BK446)</f>
        <v>433.26389999999998</v>
      </c>
      <c r="CQ446">
        <f>IF($CN446="refOK",$BO446,-$BO446)</f>
        <v>433263900</v>
      </c>
      <c r="CR446">
        <f>IF($CN446="refOK",$BS446,$BT446)*IF($BP446="Emissions positive",-1,1)</f>
        <v>3757</v>
      </c>
      <c r="CS446">
        <f>IF($CN446="refOK",$BT446,$BS446)*IF($BP446="Emissions positive",-1,1)</f>
        <v>3644.6402286000002</v>
      </c>
      <c r="CT446">
        <f>IF($CN446="refNeedCorrection",-BX446,BX446)*IF($BP446="Emissions positive",-1,1)</f>
        <v>-412360361.03799915</v>
      </c>
      <c r="CU446">
        <f>IFERROR(CT446/CQ446,"")</f>
        <v>-0.95175333333333134</v>
      </c>
      <c r="CV446" s="2">
        <f>IFERROR((CS446-CR446)/ABS(CR446),"")</f>
        <v>-2.9906779717859933E-2</v>
      </c>
      <c r="CW446" s="1" t="s">
        <v>1201</v>
      </c>
      <c r="CX446" t="str">
        <f>IF(OR($CW446="prd",$CW446="std",$CW446="cit"),"loc",IF(OR($CW446="eur",$CW446="reg",$CW446="coy"),"reg",$CW446))</f>
        <v>reg</v>
      </c>
      <c r="CY446" t="s">
        <v>541</v>
      </c>
      <c r="CZ446">
        <v>2020</v>
      </c>
      <c r="DA446">
        <v>2050</v>
      </c>
      <c r="DB446">
        <f>DA446-CZ446</f>
        <v>30</v>
      </c>
      <c r="DC446" t="str">
        <f>IF(DB446=0,"0",IF(AND(DB446&gt;=1,DB446&lt;=30),"1-30",IF(AND(DB446&gt;30,DB446&lt;=70),"31-70",IF(AND(DB446&gt;70,DB446&lt;=100),"71-100",IF(DB446&gt;100,"+100")))))</f>
        <v>1-30</v>
      </c>
      <c r="DD446">
        <v>1</v>
      </c>
      <c r="DE446">
        <v>1</v>
      </c>
      <c r="DF446">
        <v>1</v>
      </c>
      <c r="DG446">
        <v>1</v>
      </c>
      <c r="DH446"/>
      <c r="DI446">
        <f>SUM(DD446:DG446)</f>
        <v>4</v>
      </c>
      <c r="DJ446" t="str">
        <f>IF(DI446=1,INDEX($DD$7:$DG$7,MATCH(1,$DD446:$DG446,0)),"mixedProduct")</f>
        <v>mixedProduct</v>
      </c>
      <c r="DK446" t="str">
        <f>IF(DD446=1,DK$7,0)</f>
        <v>Upstream</v>
      </c>
      <c r="DL446" t="str">
        <f>IF(DE446=1,DL$7,0)</f>
        <v>Energy</v>
      </c>
      <c r="DM446" t="str">
        <f>IF(DF446=1,DM$7,0)</f>
        <v>Pulp/Paper</v>
      </c>
      <c r="DN446" t="str">
        <f>IF(DG446=1,DN$7,0)</f>
        <v>Timber</v>
      </c>
      <c r="DO446">
        <v>0</v>
      </c>
      <c r="DP446">
        <v>0</v>
      </c>
      <c r="DQ446">
        <v>0</v>
      </c>
      <c r="DR446">
        <v>0</v>
      </c>
      <c r="DS446">
        <v>0</v>
      </c>
      <c r="DT446">
        <f>SUM(DO446:DP446)</f>
        <v>0</v>
      </c>
      <c r="DU446" s="143" t="str">
        <f>IF(DO446=1,"self-calculated DF",IF(DP446=1,"external DF used","explicit C balance"))</f>
        <v>explicit C balance</v>
      </c>
      <c r="DV446">
        <v>1</v>
      </c>
      <c r="DW446">
        <v>1</v>
      </c>
      <c r="DX446">
        <v>1</v>
      </c>
      <c r="DY446">
        <v>1</v>
      </c>
      <c r="DZ446">
        <v>1</v>
      </c>
      <c r="EA446" s="143">
        <v>1</v>
      </c>
      <c r="EB446">
        <v>0</v>
      </c>
      <c r="EC446">
        <v>0</v>
      </c>
      <c r="ED446">
        <v>0</v>
      </c>
      <c r="EE446">
        <v>0</v>
      </c>
      <c r="EF446">
        <v>1</v>
      </c>
      <c r="EG446">
        <v>0</v>
      </c>
      <c r="EH446">
        <v>0</v>
      </c>
      <c r="EI446" s="2">
        <v>0</v>
      </c>
      <c r="EJ446" s="1"/>
      <c r="EK446" t="str">
        <f>IF(AND(AND(AND(OR($DX446=1,$DW446=1),OR($EC446=1,$EA446=1)),SUM($DV446:$DZ446,$EF446)&gt;=4),SUM($EA446:$EE446)&gt;=2),"Whole sector","")</f>
        <v/>
      </c>
      <c r="EL446" t="str">
        <f>IF(AND(AND(OR($DX446=1,$DW446=1),AND($EC446=0,$EA446=0)),SUM($DV446:$DZ446,$EF446)&gt;=4),"Ecosystem approach","")</f>
        <v/>
      </c>
      <c r="EM446" s="2" t="str">
        <f>IF(AND(AND(AND($DX446=0,$DW446=0),OR($EC446=1,$EA446=1)),SUM($EB446:$EE446)&gt;=2),"Technology approach","")</f>
        <v/>
      </c>
      <c r="EN446" t="s">
        <v>2379</v>
      </c>
      <c r="EO446"/>
      <c r="EP446" t="str">
        <f>IF(ISNUMBER(BU446),IF(ABS(BU446-[4]QC_indicators!$B$2)&gt;3*[4]QC_indicators!$C$2,"C ratio",IF(ISNUMBER(BY446),IF(ABS(BY446-[4]QC_indicators!$B$1)&gt;3*[4]QC_indicators!$C$1,"DF","no"))),IF(ISNUMBER(BY446),IF(ABS(BY446-[4]QC_indicators!$B$1)&gt;3*[4]QC_indicators!$C$1,"DF","no")))</f>
        <v>no</v>
      </c>
      <c r="EQ446" t="s">
        <v>2380</v>
      </c>
      <c r="ER446"/>
      <c r="ES446"/>
      <c r="ET446" s="307" t="s">
        <v>3410</v>
      </c>
      <c r="EU446"/>
    </row>
    <row r="447" spans="1:151" s="139" customFormat="1" ht="15" hidden="1" customHeight="1">
      <c r="A447" s="1" t="s">
        <v>1359</v>
      </c>
      <c r="B447" t="s">
        <v>2370</v>
      </c>
      <c r="C447" t="s">
        <v>2371</v>
      </c>
      <c r="D447" t="s">
        <v>2372</v>
      </c>
      <c r="E447" t="s">
        <v>2373</v>
      </c>
      <c r="F447" t="s">
        <v>2374</v>
      </c>
      <c r="G447" t="s">
        <v>1360</v>
      </c>
      <c r="H447" t="s">
        <v>255</v>
      </c>
      <c r="I447">
        <v>2021</v>
      </c>
      <c r="J447">
        <v>0</v>
      </c>
      <c r="K447" t="s">
        <v>2375</v>
      </c>
      <c r="L447"/>
      <c r="M447" t="str">
        <f>LEFT($D447,FIND(",",$D447)-1)&amp;"_"&amp;I447&amp;L447</f>
        <v>Ter-Mikaelian_2021</v>
      </c>
      <c r="N447" t="s">
        <v>223</v>
      </c>
      <c r="O447" s="145" t="s">
        <v>1156</v>
      </c>
      <c r="P447"/>
      <c r="Q447" t="s">
        <v>257</v>
      </c>
      <c r="R447" s="295" t="s">
        <v>226</v>
      </c>
      <c r="S447" s="1" t="s">
        <v>1334</v>
      </c>
      <c r="T447" t="s">
        <v>2376</v>
      </c>
      <c r="U447" t="s">
        <v>2377</v>
      </c>
      <c r="V447">
        <v>1</v>
      </c>
      <c r="W447">
        <v>0</v>
      </c>
      <c r="X447">
        <v>0</v>
      </c>
      <c r="Y447">
        <v>0</v>
      </c>
      <c r="Z447">
        <v>0</v>
      </c>
      <c r="AA447">
        <v>0</v>
      </c>
      <c r="AB447">
        <v>0</v>
      </c>
      <c r="AC447">
        <v>0</v>
      </c>
      <c r="AD447">
        <v>0</v>
      </c>
      <c r="AE447">
        <v>0</v>
      </c>
      <c r="AF447">
        <v>0</v>
      </c>
      <c r="AG447">
        <v>0</v>
      </c>
      <c r="AH447">
        <v>0</v>
      </c>
      <c r="AI447">
        <v>0</v>
      </c>
      <c r="AJ447">
        <v>0</v>
      </c>
      <c r="AK447">
        <v>0</v>
      </c>
      <c r="AL447">
        <v>0</v>
      </c>
      <c r="AM447">
        <v>0</v>
      </c>
      <c r="AN447">
        <v>0</v>
      </c>
      <c r="AO447">
        <v>0</v>
      </c>
      <c r="AP447">
        <v>0</v>
      </c>
      <c r="AQ447">
        <v>0</v>
      </c>
      <c r="AR447">
        <v>0</v>
      </c>
      <c r="AS447">
        <v>0</v>
      </c>
      <c r="AT447">
        <v>0</v>
      </c>
      <c r="AU447">
        <v>0</v>
      </c>
      <c r="AV447">
        <v>0</v>
      </c>
      <c r="AW447">
        <v>0</v>
      </c>
      <c r="AX447" s="141">
        <f>COUNTIF(V447:AW447,"&lt;&gt;0")</f>
        <v>1</v>
      </c>
      <c r="AY447" s="141">
        <f>COUNTIF(V447:AL447,"&lt;&gt;0")</f>
        <v>1</v>
      </c>
      <c r="AZ447">
        <f>COUNTIF(V447:AC447,"&lt;&gt;0")</f>
        <v>1</v>
      </c>
      <c r="BA447">
        <f>COUNTIF(AD447:AI447,"&lt;&gt;0")</f>
        <v>0</v>
      </c>
      <c r="BB447">
        <f>COUNTIF(AJ447:AL447,"&lt;&gt;0")</f>
        <v>0</v>
      </c>
      <c r="BC447">
        <f>COUNTIF(AS447:AW447,"&lt;&gt;0")</f>
        <v>0</v>
      </c>
      <c r="BD447">
        <f>COUNTIF(AM447:AR447,"&lt;&gt;0")</f>
        <v>0</v>
      </c>
      <c r="BE447" t="str">
        <f t="array" ref="BE447">IF(AY447=1,INDEX($V$7:$AL$7,MATCH(TRUE,INDEX($V447:$AW447&lt;&gt;0,),0)),IF(AY447=0,INDEX($AM$7:$AW$7,MATCH(1,$AM447:$AW447,0)),IF(BF447="Multiple strategies","mixed drivers",IF(BF447="Supply chain","multiple supply","multiple silviculture"))))</f>
        <v>area subject to harvest</v>
      </c>
      <c r="BF447" s="2" t="str" cm="1">
        <f t="array" ref="BF447">IF(COUNTIF(AZ447:BB447,"&lt;&gt;0")=1,INDEX($V$4:$AW$4,MATCH(TRUE,INDEX($V447:$AW447&lt;&gt;0,),0)),IF(COUNTIF(AZ447:BB447,"&lt;&gt;0")=0,INDEX($AM$4:$AW$4,MATCH(1,$AM447:$AW447,0)),"Multiple strategies"))</f>
        <v>SilvicultureRemov</v>
      </c>
      <c r="BG447" s="1" t="s">
        <v>322</v>
      </c>
      <c r="BH447" t="s">
        <v>2378</v>
      </c>
      <c r="BI447"/>
      <c r="BJ447" t="s">
        <v>1325</v>
      </c>
      <c r="BK447">
        <v>0</v>
      </c>
      <c r="BL447">
        <v>433.26389999999998</v>
      </c>
      <c r="BM447" s="143" t="e">
        <f>BL447/BK447</f>
        <v>#DIV/0!</v>
      </c>
      <c r="BN447">
        <f>BL447-BK447</f>
        <v>433.26389999999998</v>
      </c>
      <c r="BO447">
        <f>BN447*10^6</f>
        <v>433263900</v>
      </c>
      <c r="BP447" t="s">
        <v>233</v>
      </c>
      <c r="BQ447" s="260" t="s">
        <v>3400</v>
      </c>
      <c r="BR447" t="s">
        <v>1361</v>
      </c>
      <c r="BS447">
        <v>3757</v>
      </c>
      <c r="BT447">
        <v>3668.4697431</v>
      </c>
      <c r="BU447" s="144">
        <f>IFERROR(BT447/BS447,"")</f>
        <v>0.97643591778014371</v>
      </c>
      <c r="BV447" s="144">
        <f>BT447-BS447</f>
        <v>-88.53025690000004</v>
      </c>
      <c r="BW447" s="144"/>
      <c r="BX447">
        <f>BV447*10^6*C_to_CO2</f>
        <v>-324906042.82300013</v>
      </c>
      <c r="BY447">
        <f>IFERROR(BX447/BO447,"")</f>
        <v>-0.74990333333333359</v>
      </c>
      <c r="BZ447">
        <v>0</v>
      </c>
      <c r="CA447">
        <v>0</v>
      </c>
      <c r="CB447">
        <v>0</v>
      </c>
      <c r="CC447">
        <v>0</v>
      </c>
      <c r="CD447">
        <v>0</v>
      </c>
      <c r="CE447">
        <v>0</v>
      </c>
      <c r="CF447">
        <v>0</v>
      </c>
      <c r="CG447">
        <v>0</v>
      </c>
      <c r="CH447">
        <v>0</v>
      </c>
      <c r="CI447">
        <v>0</v>
      </c>
      <c r="CJ447">
        <v>0</v>
      </c>
      <c r="CK447">
        <v>0</v>
      </c>
      <c r="CL447">
        <v>0</v>
      </c>
      <c r="CM447">
        <v>0</v>
      </c>
      <c r="CN447" t="str">
        <f>IF($BL447&lt;$BK447,"refNeedCorrection","refOK")</f>
        <v>refOK</v>
      </c>
      <c r="CO447">
        <f>IF($CN447="refOK",$BK447,$BL447)</f>
        <v>0</v>
      </c>
      <c r="CP447">
        <f>IF($CN447="refOK",$BL447,$BK447)</f>
        <v>433.26389999999998</v>
      </c>
      <c r="CQ447">
        <f>IF($CN447="refOK",$BO447,-$BO447)</f>
        <v>433263900</v>
      </c>
      <c r="CR447">
        <f>IF($CN447="refOK",$BS447,$BT447)*IF($BP447="Emissions positive",-1,1)</f>
        <v>3757</v>
      </c>
      <c r="CS447">
        <f>IF($CN447="refOK",$BT447,$BS447)*IF($BP447="Emissions positive",-1,1)</f>
        <v>3668.4697431</v>
      </c>
      <c r="CT447">
        <f>IF($CN447="refNeedCorrection",-BX447,BX447)*IF($BP447="Emissions positive",-1,1)</f>
        <v>-324906042.82300013</v>
      </c>
      <c r="CU447">
        <f>IFERROR(CT447/CQ447,"")</f>
        <v>-0.74990333333333359</v>
      </c>
      <c r="CV447" s="2">
        <f>IFERROR((CS447-CR447)/ABS(CR447),"")</f>
        <v>-2.3564082219856279E-2</v>
      </c>
      <c r="CW447" s="1" t="s">
        <v>1201</v>
      </c>
      <c r="CX447" t="str">
        <f>IF(OR($CW447="prd",$CW447="std",$CW447="cit"),"loc",IF(OR($CW447="eur",$CW447="reg",$CW447="coy"),"reg",$CW447))</f>
        <v>reg</v>
      </c>
      <c r="CY447" t="s">
        <v>541</v>
      </c>
      <c r="CZ447">
        <v>2020</v>
      </c>
      <c r="DA447">
        <v>2050</v>
      </c>
      <c r="DB447">
        <f>DA447-CZ447</f>
        <v>30</v>
      </c>
      <c r="DC447" t="str">
        <f>IF(DB447=0,"0",IF(AND(DB447&gt;=1,DB447&lt;=30),"1-30",IF(AND(DB447&gt;30,DB447&lt;=70),"31-70",IF(AND(DB447&gt;70,DB447&lt;=100),"71-100",IF(DB447&gt;100,"+100")))))</f>
        <v>1-30</v>
      </c>
      <c r="DD447">
        <v>1</v>
      </c>
      <c r="DE447">
        <v>1</v>
      </c>
      <c r="DF447">
        <v>1</v>
      </c>
      <c r="DG447">
        <v>1</v>
      </c>
      <c r="DH447"/>
      <c r="DI447">
        <f>SUM(DD447:DG447)</f>
        <v>4</v>
      </c>
      <c r="DJ447" t="str">
        <f>IF(DI447=1,INDEX($DD$7:$DG$7,MATCH(1,$DD447:$DG447,0)),"mixedProduct")</f>
        <v>mixedProduct</v>
      </c>
      <c r="DK447" t="str">
        <f>IF(DD447=1,DK$7,0)</f>
        <v>Upstream</v>
      </c>
      <c r="DL447" t="str">
        <f>IF(DE447=1,DL$7,0)</f>
        <v>Energy</v>
      </c>
      <c r="DM447" t="str">
        <f>IF(DF447=1,DM$7,0)</f>
        <v>Pulp/Paper</v>
      </c>
      <c r="DN447" t="str">
        <f>IF(DG447=1,DN$7,0)</f>
        <v>Timber</v>
      </c>
      <c r="DO447">
        <v>0</v>
      </c>
      <c r="DP447">
        <v>1</v>
      </c>
      <c r="DQ447">
        <v>0</v>
      </c>
      <c r="DR447" t="s">
        <v>2382</v>
      </c>
      <c r="DS447">
        <v>0</v>
      </c>
      <c r="DT447">
        <f>SUM(DO447:DP447)</f>
        <v>1</v>
      </c>
      <c r="DU447" s="143" t="str">
        <f>IF(DO447=1,"self-calculated DF",IF(DP447=1,"external DF used","explicit C balance"))</f>
        <v>external DF used</v>
      </c>
      <c r="DV447">
        <v>1</v>
      </c>
      <c r="DW447">
        <v>1</v>
      </c>
      <c r="DX447">
        <v>1</v>
      </c>
      <c r="DY447">
        <v>1</v>
      </c>
      <c r="DZ447">
        <v>1</v>
      </c>
      <c r="EA447" s="143">
        <v>1</v>
      </c>
      <c r="EB447">
        <v>1</v>
      </c>
      <c r="EC447">
        <v>1</v>
      </c>
      <c r="ED447">
        <v>0</v>
      </c>
      <c r="EE447">
        <v>0</v>
      </c>
      <c r="EF447">
        <v>1</v>
      </c>
      <c r="EG447">
        <v>0</v>
      </c>
      <c r="EH447">
        <v>0</v>
      </c>
      <c r="EI447" s="2">
        <v>0</v>
      </c>
      <c r="EJ447" s="1"/>
      <c r="EK447" t="str">
        <f>IF(AND(AND(AND(OR($DX447=1,$DW447=1),OR($EC447=1,$EA447=1)),SUM($DV447:$DZ447,$EF447)&gt;=4),SUM($EA447:$EE447)&gt;=2),"Whole sector","")</f>
        <v>Whole sector</v>
      </c>
      <c r="EL447" t="str">
        <f>IF(AND(AND(OR($DX447=1,$DW447=1),AND($EC447=0,$EA447=0)),SUM($DV447:$DZ447,$EF447)&gt;=4),"Ecosystem approach","")</f>
        <v/>
      </c>
      <c r="EM447" s="2" t="str">
        <f>IF(AND(AND(AND($DX447=0,$DW447=0),OR($EC447=1,$EA447=1)),SUM($EB447:$EE447)&gt;=2),"Technology approach","")</f>
        <v/>
      </c>
      <c r="EN447" s="266" t="s">
        <v>2379</v>
      </c>
      <c r="EO447"/>
      <c r="EP447" t="str">
        <f>IF(ISNUMBER(BU447),IF(ABS(BU447-[4]QC_indicators!$B$2)&gt;3*[4]QC_indicators!$C$2,"C ratio",IF(ISNUMBER(BY447),IF(ABS(BY447-[4]QC_indicators!$B$1)&gt;3*[4]QC_indicators!$C$1,"DF","no"))),IF(ISNUMBER(BY447),IF(ABS(BY447-[4]QC_indicators!$B$1)&gt;3*[4]QC_indicators!$C$1,"DF","no")))</f>
        <v>no</v>
      </c>
      <c r="EQ447" t="s">
        <v>2380</v>
      </c>
      <c r="ER447"/>
      <c r="ES447"/>
      <c r="ET447" s="307" t="s">
        <v>3410</v>
      </c>
      <c r="EU447"/>
    </row>
    <row r="448" spans="1:151" s="139" customFormat="1" ht="15" hidden="1" customHeight="1">
      <c r="A448" s="1" t="s">
        <v>1359</v>
      </c>
      <c r="B448" t="s">
        <v>2370</v>
      </c>
      <c r="C448" t="s">
        <v>2371</v>
      </c>
      <c r="D448" t="s">
        <v>2372</v>
      </c>
      <c r="E448" t="s">
        <v>2373</v>
      </c>
      <c r="F448" t="s">
        <v>2374</v>
      </c>
      <c r="G448" t="s">
        <v>1360</v>
      </c>
      <c r="H448" t="s">
        <v>255</v>
      </c>
      <c r="I448">
        <v>2021</v>
      </c>
      <c r="J448">
        <v>0</v>
      </c>
      <c r="K448" t="s">
        <v>2375</v>
      </c>
      <c r="L448"/>
      <c r="M448" t="str">
        <f>LEFT($D448,FIND(",",$D448)-1)&amp;"_"&amp;I448&amp;L448</f>
        <v>Ter-Mikaelian_2021</v>
      </c>
      <c r="N448" t="s">
        <v>223</v>
      </c>
      <c r="O448" s="145" t="s">
        <v>1156</v>
      </c>
      <c r="P448"/>
      <c r="Q448" t="s">
        <v>257</v>
      </c>
      <c r="R448" s="295" t="s">
        <v>226</v>
      </c>
      <c r="S448" s="1" t="s">
        <v>1334</v>
      </c>
      <c r="T448" t="s">
        <v>2377</v>
      </c>
      <c r="U448" t="s">
        <v>2381</v>
      </c>
      <c r="V448">
        <v>0</v>
      </c>
      <c r="W448">
        <v>0</v>
      </c>
      <c r="X448">
        <v>0</v>
      </c>
      <c r="Y448">
        <v>1</v>
      </c>
      <c r="Z448">
        <v>0</v>
      </c>
      <c r="AA448">
        <v>0</v>
      </c>
      <c r="AB448">
        <v>0</v>
      </c>
      <c r="AC448">
        <v>0</v>
      </c>
      <c r="AD448">
        <v>0</v>
      </c>
      <c r="AE448">
        <v>0</v>
      </c>
      <c r="AF448">
        <v>0</v>
      </c>
      <c r="AG448">
        <v>0</v>
      </c>
      <c r="AH448">
        <v>0</v>
      </c>
      <c r="AI448">
        <v>0</v>
      </c>
      <c r="AJ448">
        <v>0</v>
      </c>
      <c r="AK448">
        <v>0</v>
      </c>
      <c r="AL448">
        <v>0</v>
      </c>
      <c r="AM448">
        <v>0</v>
      </c>
      <c r="AN448">
        <v>0</v>
      </c>
      <c r="AO448">
        <v>0</v>
      </c>
      <c r="AP448">
        <v>0</v>
      </c>
      <c r="AQ448">
        <v>0</v>
      </c>
      <c r="AR448">
        <v>0</v>
      </c>
      <c r="AS448">
        <v>0</v>
      </c>
      <c r="AT448">
        <v>0</v>
      </c>
      <c r="AU448">
        <v>0</v>
      </c>
      <c r="AV448">
        <v>0</v>
      </c>
      <c r="AW448">
        <v>0</v>
      </c>
      <c r="AX448" s="141">
        <f>COUNTIF(V448:AW448,"&lt;&gt;0")</f>
        <v>1</v>
      </c>
      <c r="AY448" s="141">
        <f>COUNTIF(V448:AL448,"&lt;&gt;0")</f>
        <v>1</v>
      </c>
      <c r="AZ448">
        <f>COUNTIF(V448:AC448,"&lt;&gt;0")</f>
        <v>1</v>
      </c>
      <c r="BA448">
        <f>COUNTIF(AD448:AI448,"&lt;&gt;0")</f>
        <v>0</v>
      </c>
      <c r="BB448">
        <f>COUNTIF(AJ448:AL448,"&lt;&gt;0")</f>
        <v>0</v>
      </c>
      <c r="BC448">
        <f>COUNTIF(AS448:AW448,"&lt;&gt;0")</f>
        <v>0</v>
      </c>
      <c r="BD448">
        <f>COUNTIF(AM448:AR448,"&lt;&gt;0")</f>
        <v>0</v>
      </c>
      <c r="BE448" t="str">
        <f t="array" ref="BE448">IF(AY448=1,INDEX($V$7:$AL$7,MATCH(TRUE,INDEX($V448:$AW448&lt;&gt;0,),0)),IF(AY448=0,INDEX($AM$7:$AW$7,MATCH(1,$AM448:$AW448,0)),IF(BF448="Multiple strategies","mixed drivers",IF(BF448="Supply chain","multiple supply","multiple silviculture"))))</f>
        <v xml:space="preserve">cutting intensity </v>
      </c>
      <c r="BF448" s="2" t="str" cm="1">
        <f t="array" ref="BF448">IF(COUNTIF(AZ448:BB448,"&lt;&gt;0")=1,INDEX($V$4:$AW$4,MATCH(TRUE,INDEX($V448:$AW448&lt;&gt;0,),0)),IF(COUNTIF(AZ448:BB448,"&lt;&gt;0")=0,INDEX($AM$4:$AW$4,MATCH(1,$AM448:$AW448,0)),"Multiple strategies"))</f>
        <v>SilvicultureRemov</v>
      </c>
      <c r="BG448" s="1" t="s">
        <v>322</v>
      </c>
      <c r="BH448" t="s">
        <v>2378</v>
      </c>
      <c r="BI448" s="260"/>
      <c r="BJ448" t="s">
        <v>1325</v>
      </c>
      <c r="BK448">
        <v>433.26389999999998</v>
      </c>
      <c r="BL448">
        <v>866.52779999999996</v>
      </c>
      <c r="BM448" s="143">
        <f>BL448/BK448</f>
        <v>2</v>
      </c>
      <c r="BN448">
        <f>BL448-BK448</f>
        <v>433.26389999999998</v>
      </c>
      <c r="BO448">
        <f>BN448*10^6</f>
        <v>433263900</v>
      </c>
      <c r="BP448" t="s">
        <v>233</v>
      </c>
      <c r="BQ448" s="260" t="s">
        <v>3400</v>
      </c>
      <c r="BR448" t="s">
        <v>1361</v>
      </c>
      <c r="BS448">
        <v>3668.4697431</v>
      </c>
      <c r="BT448">
        <v>3579.9394861999999</v>
      </c>
      <c r="BU448" s="144">
        <f>IFERROR(BT448/BS448,"")</f>
        <v>0.9758672517153737</v>
      </c>
      <c r="BV448" s="144">
        <f>BT448-BS448</f>
        <v>-88.53025690000004</v>
      </c>
      <c r="BW448" s="144"/>
      <c r="BX448">
        <f>BV448*10^6*C_to_CO2</f>
        <v>-324906042.82300013</v>
      </c>
      <c r="BY448">
        <f>IFERROR(BX448/BO448,"")</f>
        <v>-0.74990333333333359</v>
      </c>
      <c r="BZ448">
        <v>0</v>
      </c>
      <c r="CA448">
        <v>0</v>
      </c>
      <c r="CB448">
        <v>0</v>
      </c>
      <c r="CC448">
        <v>0</v>
      </c>
      <c r="CD448">
        <v>0</v>
      </c>
      <c r="CE448">
        <v>0</v>
      </c>
      <c r="CF448">
        <v>0</v>
      </c>
      <c r="CG448">
        <v>0</v>
      </c>
      <c r="CH448">
        <v>0</v>
      </c>
      <c r="CI448">
        <v>0</v>
      </c>
      <c r="CJ448">
        <v>0</v>
      </c>
      <c r="CK448">
        <v>0</v>
      </c>
      <c r="CL448">
        <v>0</v>
      </c>
      <c r="CM448">
        <v>0</v>
      </c>
      <c r="CN448" t="str">
        <f>IF($BL448&lt;$BK448,"refNeedCorrection","refOK")</f>
        <v>refOK</v>
      </c>
      <c r="CO448">
        <f>IF($CN448="refNeedCorrection",BL448,BK448)</f>
        <v>433.26389999999998</v>
      </c>
      <c r="CP448">
        <f>IF($CN448="refNeedCorrection",BK448,BL448)</f>
        <v>866.52779999999996</v>
      </c>
      <c r="CQ448">
        <f>IF($CN448="refOK",$BO448,-$BO448)</f>
        <v>433263900</v>
      </c>
      <c r="CR448">
        <f>IF($CN448="refOK",$BS448,$BT448)*IF($BP448="Emissions positive",-1,1)</f>
        <v>3668.4697431</v>
      </c>
      <c r="CS448">
        <f>IF($CN448="refOK",$BT448,$BS448)*IF($BP448="Emissions positive",-1,1)</f>
        <v>3579.9394861999999</v>
      </c>
      <c r="CT448">
        <f>IF($CN448="refNeedCorrection",-BX448,BX448)*IF($BP448="Emissions positive",-1,1)</f>
        <v>-324906042.82300013</v>
      </c>
      <c r="CU448">
        <f>IFERROR(CT448/CQ448,"")</f>
        <v>-0.74990333333333359</v>
      </c>
      <c r="CV448" s="2">
        <f>IFERROR((CS448-CR448)/ABS(CR448),"")</f>
        <v>-2.4132748284626308E-2</v>
      </c>
      <c r="CW448" s="1" t="s">
        <v>1201</v>
      </c>
      <c r="CX448" t="str">
        <f>IF(OR($CW448="prd",$CW448="std",$CW448="cit"),"loc",IF(OR($CW448="eur",$CW448="reg",$CW448="coy"),"reg",$CW448))</f>
        <v>reg</v>
      </c>
      <c r="CY448" t="s">
        <v>541</v>
      </c>
      <c r="CZ448">
        <v>2020</v>
      </c>
      <c r="DA448">
        <v>2050</v>
      </c>
      <c r="DB448">
        <f>DA448-CZ448</f>
        <v>30</v>
      </c>
      <c r="DC448" t="str">
        <f>IF(DB448=0,"0",IF(AND(DB448&gt;=1,DB448&lt;=30),"1-30",IF(AND(DB448&gt;30,DB448&lt;=70),"31-70",IF(AND(DB448&gt;70,DB448&lt;=100),"71-100",IF(DB448&gt;100,"+100")))))</f>
        <v>1-30</v>
      </c>
      <c r="DD448">
        <v>1</v>
      </c>
      <c r="DE448">
        <v>1</v>
      </c>
      <c r="DF448">
        <v>1</v>
      </c>
      <c r="DG448">
        <v>1</v>
      </c>
      <c r="DH448"/>
      <c r="DI448">
        <f>SUM(DD448:DG448)</f>
        <v>4</v>
      </c>
      <c r="DJ448" t="str">
        <f>IF(DI448=1,INDEX($DD$7:$DG$7,MATCH(1,$DD448:$DG448,0)),"mixedProduct")</f>
        <v>mixedProduct</v>
      </c>
      <c r="DK448" t="str">
        <f>IF(DD448=1,DK$7,0)</f>
        <v>Upstream</v>
      </c>
      <c r="DL448" t="str">
        <f>IF(DE448=1,DL$7,0)</f>
        <v>Energy</v>
      </c>
      <c r="DM448" t="str">
        <f>IF(DF448=1,DM$7,0)</f>
        <v>Pulp/Paper</v>
      </c>
      <c r="DN448" t="str">
        <f>IF(DG448=1,DN$7,0)</f>
        <v>Timber</v>
      </c>
      <c r="DO448">
        <v>0</v>
      </c>
      <c r="DP448">
        <v>1</v>
      </c>
      <c r="DQ448">
        <v>0</v>
      </c>
      <c r="DR448" t="s">
        <v>2382</v>
      </c>
      <c r="DS448">
        <v>0</v>
      </c>
      <c r="DT448">
        <f>SUM(DO448:DP448)</f>
        <v>1</v>
      </c>
      <c r="DU448" s="143" t="str">
        <f>IF(DO448=1,"self-calculated DF",IF(DP448=1,"external DF used","explicit C balance"))</f>
        <v>external DF used</v>
      </c>
      <c r="DV448">
        <v>1</v>
      </c>
      <c r="DW448">
        <v>1</v>
      </c>
      <c r="DX448">
        <v>1</v>
      </c>
      <c r="DY448">
        <v>1</v>
      </c>
      <c r="DZ448">
        <v>1</v>
      </c>
      <c r="EA448" s="143">
        <v>1</v>
      </c>
      <c r="EB448">
        <v>1</v>
      </c>
      <c r="EC448">
        <v>1</v>
      </c>
      <c r="ED448">
        <v>0</v>
      </c>
      <c r="EE448">
        <v>0</v>
      </c>
      <c r="EF448">
        <v>1</v>
      </c>
      <c r="EG448">
        <v>0</v>
      </c>
      <c r="EH448">
        <v>0</v>
      </c>
      <c r="EI448" s="2">
        <v>0</v>
      </c>
      <c r="EJ448" s="1"/>
      <c r="EK448" t="str">
        <f>IF(AND(AND(AND(OR($DX448=1,$DW448=1),OR($EC448=1,$EA448=1)),SUM($DV448:$DZ448,$EF448)&gt;=4),SUM($EA448:$EE448)&gt;=2),"Whole sector","")</f>
        <v>Whole sector</v>
      </c>
      <c r="EL448" t="str">
        <f>IF(AND(AND(OR($DX448=1,$DW448=1),AND($EC448=0,$EA448=0)),SUM($DV448:$DZ448,$EF448)&gt;=4),"Ecosystem approach","")</f>
        <v/>
      </c>
      <c r="EM448" s="2" t="str">
        <f>IF(AND(AND(AND($DX448=0,$DW448=0),OR($EC448=1,$EA448=1)),SUM($EB448:$EE448)&gt;=2),"Technology approach","")</f>
        <v/>
      </c>
      <c r="EN448" t="s">
        <v>2379</v>
      </c>
      <c r="EO448"/>
      <c r="EP448" t="str">
        <f>IF(ISNUMBER(BU448),IF(ABS(BU448-[4]QC_indicators!$B$2)&gt;3*[4]QC_indicators!$C$2,"C ratio",IF(ISNUMBER(BY448),IF(ABS(BY448-[4]QC_indicators!$B$1)&gt;3*[4]QC_indicators!$C$1,"DF","no"))),IF(ISNUMBER(BY448),IF(ABS(BY448-[4]QC_indicators!$B$1)&gt;3*[4]QC_indicators!$C$1,"DF","no")))</f>
        <v>no</v>
      </c>
      <c r="EQ448" t="s">
        <v>2380</v>
      </c>
      <c r="ER448"/>
      <c r="ES448"/>
      <c r="ET448" s="307" t="s">
        <v>3410</v>
      </c>
      <c r="EU448"/>
    </row>
    <row r="449" spans="1:151" s="139" customFormat="1" ht="15" customHeight="1">
      <c r="A449" s="1" t="s">
        <v>1425</v>
      </c>
      <c r="B449" t="s">
        <v>2492</v>
      </c>
      <c r="C449" t="s">
        <v>2493</v>
      </c>
      <c r="D449" t="s">
        <v>2494</v>
      </c>
      <c r="E449" t="s">
        <v>2495</v>
      </c>
      <c r="F449" t="s">
        <v>2496</v>
      </c>
      <c r="G449" t="s">
        <v>1431</v>
      </c>
      <c r="H449" t="s">
        <v>255</v>
      </c>
      <c r="I449">
        <v>2016</v>
      </c>
      <c r="J449">
        <v>24</v>
      </c>
      <c r="K449" t="s">
        <v>2497</v>
      </c>
      <c r="L449"/>
      <c r="M449" t="str">
        <f>LEFT($D449,FIND(",",$D449)-1)&amp;"_"&amp;I449&amp;L449</f>
        <v>Zubizarreta-Gerendiain_2016</v>
      </c>
      <c r="N449" t="s">
        <v>223</v>
      </c>
      <c r="O449" s="145" t="s">
        <v>1156</v>
      </c>
      <c r="P449"/>
      <c r="Q449" t="s">
        <v>257</v>
      </c>
      <c r="R449" s="264" t="s">
        <v>224</v>
      </c>
      <c r="S449" s="1" t="s">
        <v>2508</v>
      </c>
      <c r="T449" t="s">
        <v>2509</v>
      </c>
      <c r="U449" t="s">
        <v>2506</v>
      </c>
      <c r="V449">
        <v>0</v>
      </c>
      <c r="W449">
        <v>0</v>
      </c>
      <c r="X449">
        <v>0</v>
      </c>
      <c r="Y449">
        <v>2</v>
      </c>
      <c r="Z449">
        <v>0</v>
      </c>
      <c r="AA449">
        <v>0</v>
      </c>
      <c r="AB449">
        <v>0</v>
      </c>
      <c r="AC449">
        <v>0</v>
      </c>
      <c r="AD449">
        <v>0</v>
      </c>
      <c r="AE449">
        <v>0</v>
      </c>
      <c r="AF449">
        <v>1</v>
      </c>
      <c r="AG449">
        <v>0</v>
      </c>
      <c r="AH449">
        <v>0</v>
      </c>
      <c r="AI449">
        <v>0</v>
      </c>
      <c r="AJ449">
        <v>0</v>
      </c>
      <c r="AK449">
        <v>0</v>
      </c>
      <c r="AL449">
        <v>0</v>
      </c>
      <c r="AM449">
        <v>0</v>
      </c>
      <c r="AN449">
        <v>0</v>
      </c>
      <c r="AO449">
        <v>0</v>
      </c>
      <c r="AP449">
        <v>0</v>
      </c>
      <c r="AQ449">
        <v>0</v>
      </c>
      <c r="AR449">
        <v>0</v>
      </c>
      <c r="AS449">
        <v>0</v>
      </c>
      <c r="AT449">
        <v>0</v>
      </c>
      <c r="AU449">
        <v>0</v>
      </c>
      <c r="AV449">
        <v>0</v>
      </c>
      <c r="AW449">
        <v>0</v>
      </c>
      <c r="AX449" s="141">
        <f>COUNTIF(V449:AW449,"&lt;&gt;0")</f>
        <v>2</v>
      </c>
      <c r="AY449" s="141">
        <f>COUNTIF(V449:AL449,"&lt;&gt;0")</f>
        <v>2</v>
      </c>
      <c r="AZ449">
        <f>COUNTIF(V449:AC449,"&lt;&gt;0")</f>
        <v>1</v>
      </c>
      <c r="BA449">
        <f>COUNTIF(AD449:AI449,"&lt;&gt;0")</f>
        <v>1</v>
      </c>
      <c r="BB449">
        <f>COUNTIF(AJ449:AL449,"&lt;&gt;0")</f>
        <v>0</v>
      </c>
      <c r="BC449">
        <f>COUNTIF(AS449:AW449,"&lt;&gt;0")</f>
        <v>0</v>
      </c>
      <c r="BD449">
        <f>COUNTIF(AM449:AR449,"&lt;&gt;0")</f>
        <v>0</v>
      </c>
      <c r="BE449" t="str">
        <f t="array" ref="BE449">IF(AY449=1,INDEX($V$7:$AL$7,MATCH(TRUE,INDEX($V449:$AW449&lt;&gt;0,),0)),IF(AY449=0,INDEX($AM$7:$AW$7,MATCH(1,$AM449:$AW449,0)),IF(BF449="Multiple strategies","mixed drivers",IF(BF449="Supply chain","multiple supply","multiple silviculture"))))</f>
        <v>mixed drivers</v>
      </c>
      <c r="BF449" s="2" t="str">
        <f t="array" ref="BF449">IF(COUNTIF(AZ449:BB449,"&lt;&gt;0")=1,INDEX($V$4:$AW$4,MATCH(TRUE,INDEX($V449:$AW449&lt;&gt;0,),0)),IF(COUNTIF(AZ449:BB449,"&lt;&gt;0")=0,INDEX($AM$4:$AW$4,MATCH(1,$AM449:$AW449,0)),"Multiple strategies"))</f>
        <v>Multiple strategies</v>
      </c>
      <c r="BG449" s="1" t="s">
        <v>322</v>
      </c>
      <c r="BH449" t="s">
        <v>2501</v>
      </c>
      <c r="BI449" s="266" t="s">
        <v>2115</v>
      </c>
      <c r="BJ449" t="s">
        <v>2502</v>
      </c>
      <c r="BK449">
        <v>64.910485933503793</v>
      </c>
      <c r="BL449">
        <v>82.634271099744197</v>
      </c>
      <c r="BM449" s="143">
        <f>BL449/BK449</f>
        <v>1.273049645390071</v>
      </c>
      <c r="BN449">
        <f>BL449-BK449</f>
        <v>17.723785166240404</v>
      </c>
      <c r="BO449">
        <f>BN449*1000*t_to_m3</f>
        <v>36170.990135184496</v>
      </c>
      <c r="BP449" s="143" t="s">
        <v>233</v>
      </c>
      <c r="BQ449" s="143" t="s">
        <v>3258</v>
      </c>
      <c r="BR449" t="s">
        <v>1197</v>
      </c>
      <c r="BS449">
        <v>103859.82747603832</v>
      </c>
      <c r="BT449">
        <v>-22456.178913738113</v>
      </c>
      <c r="BU449" s="144">
        <f>IFERROR(BT449/BS449,"")</f>
        <v>-0.21621621621621714</v>
      </c>
      <c r="BV449" s="144">
        <f>BT449-BS449</f>
        <v>-126316.00638977643</v>
      </c>
      <c r="BW449" s="144"/>
      <c r="BX449" s="144">
        <f>BV449</f>
        <v>-126316.00638977643</v>
      </c>
      <c r="BY449">
        <f>IFERROR(BX449/BO449,"")</f>
        <v>-3.4921910049375575</v>
      </c>
      <c r="BZ449">
        <v>0</v>
      </c>
      <c r="CA449">
        <v>0</v>
      </c>
      <c r="CB449">
        <v>0</v>
      </c>
      <c r="CC449">
        <v>0</v>
      </c>
      <c r="CD449">
        <v>0</v>
      </c>
      <c r="CE449">
        <v>0</v>
      </c>
      <c r="CF449">
        <v>0</v>
      </c>
      <c r="CG449">
        <v>0</v>
      </c>
      <c r="CH449">
        <v>0</v>
      </c>
      <c r="CI449">
        <v>0</v>
      </c>
      <c r="CJ449">
        <v>0</v>
      </c>
      <c r="CK449">
        <v>0</v>
      </c>
      <c r="CL449">
        <v>0</v>
      </c>
      <c r="CM449">
        <v>1</v>
      </c>
      <c r="CN449" t="str">
        <f>IF($BL449&lt;$BK449,"refNeedCorrection","refOK")</f>
        <v>refOK</v>
      </c>
      <c r="CO449">
        <f>IF($CN449="refOK",$BK449,$BL449)</f>
        <v>64.910485933503793</v>
      </c>
      <c r="CP449">
        <f>IF($CN449="refOK",$BL449,$BK449)</f>
        <v>82.634271099744197</v>
      </c>
      <c r="CQ449">
        <f>IF($CN449="refOK",$BO449,-$BO449)</f>
        <v>36170.990135184496</v>
      </c>
      <c r="CR449">
        <f>IF($CN449="refOK",$BS449,$BT449)*IF($BP449="Emissions positive",-1,1)</f>
        <v>103859.82747603832</v>
      </c>
      <c r="CS449">
        <f>IF($CN449="refOK",$BT449,$BS449)*IF($BP449="Emissions positive",-1,1)</f>
        <v>-22456.178913738113</v>
      </c>
      <c r="CT449">
        <f>IF($CN449="refNeedCorrection",-BX449,BX449)*IF($BP449="Emissions positive",-1,1)</f>
        <v>-126316.00638977643</v>
      </c>
      <c r="CU449">
        <f>IFERROR(CT449/CQ449,"")</f>
        <v>-3.4921910049375575</v>
      </c>
      <c r="CV449" s="2">
        <f>IFERROR((CS449-CR449)/ABS(CR449),"")</f>
        <v>-1.2162162162162171</v>
      </c>
      <c r="CW449" s="1" t="s">
        <v>1201</v>
      </c>
      <c r="CX449" t="str">
        <f>IF(OR($CW449="prd",$CW449="std",$CW449="cit"),"loc",IF(OR($CW449="eur",$CW449="reg",$CW449="coy"),"reg",$CW449))</f>
        <v>reg</v>
      </c>
      <c r="CY449" t="s">
        <v>236</v>
      </c>
      <c r="CZ449">
        <v>2010</v>
      </c>
      <c r="DA449">
        <v>2070</v>
      </c>
      <c r="DB449">
        <f>DA449-CZ449</f>
        <v>60</v>
      </c>
      <c r="DC449" t="str">
        <f>IF(DB449=0,"0",IF(AND(DB449&gt;=1,DB449&lt;=30),"1-30",IF(AND(DB449&gt;30,DB449&lt;=70),"31-70",IF(AND(DB449&gt;70,DB449&lt;=100),"71-100",IF(DB449&gt;100,"+100")))))</f>
        <v>31-70</v>
      </c>
      <c r="DD449">
        <v>1</v>
      </c>
      <c r="DE449">
        <v>0</v>
      </c>
      <c r="DF449">
        <v>0</v>
      </c>
      <c r="DG449">
        <v>0</v>
      </c>
      <c r="DH449">
        <v>0</v>
      </c>
      <c r="DI449">
        <f>SUM(DD449:DG449)</f>
        <v>1</v>
      </c>
      <c r="DJ449" t="str">
        <f>IF(DI449=1,INDEX($DD$7:$DG$7,MATCH(1,$DD449:$DG449,0)),"mixedProduct")</f>
        <v>UpstreamInput</v>
      </c>
      <c r="DK449" t="str">
        <f>IF(DD449=1,DK$7,0)</f>
        <v>Upstream</v>
      </c>
      <c r="DL449">
        <f>IF(DE449=1,DL$7,0)</f>
        <v>0</v>
      </c>
      <c r="DM449">
        <f>IF(DF449=1,DM$7,0)</f>
        <v>0</v>
      </c>
      <c r="DN449">
        <f>IF(DG449=1,DN$7,0)</f>
        <v>0</v>
      </c>
      <c r="DO449">
        <v>0</v>
      </c>
      <c r="DP449">
        <v>0</v>
      </c>
      <c r="DQ449">
        <v>0</v>
      </c>
      <c r="DR449">
        <v>0</v>
      </c>
      <c r="DS449">
        <v>0</v>
      </c>
      <c r="DT449">
        <f>SUM(DO449:DP449)</f>
        <v>0</v>
      </c>
      <c r="DU449" s="143" t="str">
        <f>IF(DO449=1,"self-calculated DF",IF(DP449=1,"external DF used","explicit C balance"))</f>
        <v>explicit C balance</v>
      </c>
      <c r="DV449">
        <v>1</v>
      </c>
      <c r="DW449">
        <v>1</v>
      </c>
      <c r="DX449">
        <v>1</v>
      </c>
      <c r="DY449">
        <v>1</v>
      </c>
      <c r="DZ449">
        <v>0</v>
      </c>
      <c r="EA449" s="143">
        <v>0</v>
      </c>
      <c r="EB449">
        <v>0</v>
      </c>
      <c r="EC449">
        <v>0</v>
      </c>
      <c r="ED449">
        <v>0</v>
      </c>
      <c r="EE449">
        <v>0</v>
      </c>
      <c r="EF449">
        <v>1</v>
      </c>
      <c r="EG449">
        <v>0</v>
      </c>
      <c r="EH449">
        <v>0</v>
      </c>
      <c r="EI449" s="2">
        <v>0</v>
      </c>
      <c r="EJ449" s="1"/>
      <c r="EK449" t="str">
        <f>IF(AND(AND(AND(OR($DX449=1,$DW449=1),OR($EC449=1,$EA449=1)),SUM($DV449:$DZ449,$EF449)&gt;=4),SUM($EA449:$EE449)&gt;=2),"Whole sector","")</f>
        <v/>
      </c>
      <c r="EL449" t="str">
        <f>IF(AND(AND(OR($DX449=1,$DW449=1),AND($EC449=0,$EA449=0)),SUM($DV449:$DZ449,$EF449)&gt;=4),"Ecosystem approach","")</f>
        <v>Ecosystem approach</v>
      </c>
      <c r="EM449" s="2" t="str">
        <f>IF(AND(AND(AND($DX449=0,$DW449=0),OR($EC449=1,$EA449=1)),SUM($EB449:$EE449)&gt;=2),"Technology approach","")</f>
        <v/>
      </c>
      <c r="EN449" t="s">
        <v>2510</v>
      </c>
      <c r="EO449"/>
      <c r="EP449" t="str">
        <f>IF(ISNUMBER(BU449),IF(ABS(BU449-[2]QC_indicators!$B$2)&gt;3*[2]QC_indicators!$C$2,"C ratio",IF(ISNUMBER(BY449),IF(ABS(BY449-[2]QC_indicators!$B$1)&gt;3*[2]QC_indicators!$C$1,"DF","no"))),IF(ISNUMBER(BY449),IF(ABS(BY449-[2]QC_indicators!$B$1)&gt;3*[2]QC_indicators!$C$1,"DF","no")))</f>
        <v>no</v>
      </c>
      <c r="EQ449"/>
      <c r="ER449"/>
      <c r="ES449"/>
      <c r="ET449" s="266" t="s">
        <v>3259</v>
      </c>
      <c r="EU449"/>
    </row>
    <row r="450" spans="1:151" s="139" customFormat="1" ht="15" customHeight="1">
      <c r="A450" s="1" t="s">
        <v>1425</v>
      </c>
      <c r="B450" t="s">
        <v>2492</v>
      </c>
      <c r="C450" t="s">
        <v>2493</v>
      </c>
      <c r="D450" t="s">
        <v>2494</v>
      </c>
      <c r="E450" t="s">
        <v>2495</v>
      </c>
      <c r="F450" t="s">
        <v>2496</v>
      </c>
      <c r="G450" t="s">
        <v>1431</v>
      </c>
      <c r="H450" t="s">
        <v>255</v>
      </c>
      <c r="I450">
        <v>2016</v>
      </c>
      <c r="J450">
        <v>24</v>
      </c>
      <c r="K450" t="s">
        <v>2497</v>
      </c>
      <c r="L450"/>
      <c r="M450" t="str">
        <f>LEFT($D450,FIND(",",$D450)-1)&amp;"_"&amp;I450&amp;L450</f>
        <v>Zubizarreta-Gerendiain_2016</v>
      </c>
      <c r="N450" t="s">
        <v>223</v>
      </c>
      <c r="O450" s="145" t="s">
        <v>1156</v>
      </c>
      <c r="P450"/>
      <c r="Q450" t="s">
        <v>257</v>
      </c>
      <c r="R450" s="264" t="s">
        <v>224</v>
      </c>
      <c r="S450" s="1" t="s">
        <v>2508</v>
      </c>
      <c r="T450" t="s">
        <v>2511</v>
      </c>
      <c r="U450" t="s">
        <v>2500</v>
      </c>
      <c r="V450">
        <v>0</v>
      </c>
      <c r="W450">
        <v>0</v>
      </c>
      <c r="X450">
        <v>0</v>
      </c>
      <c r="Y450">
        <v>2</v>
      </c>
      <c r="Z450">
        <v>0</v>
      </c>
      <c r="AA450">
        <v>0</v>
      </c>
      <c r="AB450">
        <v>0</v>
      </c>
      <c r="AC450">
        <v>0</v>
      </c>
      <c r="AD450">
        <v>0</v>
      </c>
      <c r="AE450">
        <v>0</v>
      </c>
      <c r="AF450">
        <v>1</v>
      </c>
      <c r="AG450">
        <v>0</v>
      </c>
      <c r="AH450">
        <v>0</v>
      </c>
      <c r="AI450">
        <v>0</v>
      </c>
      <c r="AJ450">
        <v>0</v>
      </c>
      <c r="AK450">
        <v>0</v>
      </c>
      <c r="AL450">
        <v>0</v>
      </c>
      <c r="AM450">
        <v>0</v>
      </c>
      <c r="AN450">
        <v>0</v>
      </c>
      <c r="AO450">
        <v>0</v>
      </c>
      <c r="AP450">
        <v>0</v>
      </c>
      <c r="AQ450">
        <v>0</v>
      </c>
      <c r="AR450">
        <v>0</v>
      </c>
      <c r="AS450">
        <v>0</v>
      </c>
      <c r="AT450">
        <v>0</v>
      </c>
      <c r="AU450">
        <v>0</v>
      </c>
      <c r="AV450">
        <v>0</v>
      </c>
      <c r="AW450">
        <v>0</v>
      </c>
      <c r="AX450" s="141">
        <f>COUNTIF(V450:AW450,"&lt;&gt;0")</f>
        <v>2</v>
      </c>
      <c r="AY450" s="141">
        <f>COUNTIF(V450:AL450,"&lt;&gt;0")</f>
        <v>2</v>
      </c>
      <c r="AZ450">
        <f>COUNTIF(V450:AC450,"&lt;&gt;0")</f>
        <v>1</v>
      </c>
      <c r="BA450">
        <f>COUNTIF(AD450:AI450,"&lt;&gt;0")</f>
        <v>1</v>
      </c>
      <c r="BB450">
        <f>COUNTIF(AJ450:AL450,"&lt;&gt;0")</f>
        <v>0</v>
      </c>
      <c r="BC450">
        <f>COUNTIF(AS450:AW450,"&lt;&gt;0")</f>
        <v>0</v>
      </c>
      <c r="BD450">
        <f>COUNTIF(AM450:AR450,"&lt;&gt;0")</f>
        <v>0</v>
      </c>
      <c r="BE450" t="str">
        <f t="array" ref="BE450">IF(AY450=1,INDEX($V$7:$AL$7,MATCH(TRUE,INDEX($V450:$AW450&lt;&gt;0,),0)),IF(AY450=0,INDEX($AM$7:$AW$7,MATCH(1,$AM450:$AW450,0)),IF(BF450="Multiple strategies","mixed drivers",IF(BF450="Supply chain","multiple supply","multiple silviculture"))))</f>
        <v>mixed drivers</v>
      </c>
      <c r="BF450" s="2" t="str">
        <f t="array" ref="BF450">IF(COUNTIF(AZ450:BB450,"&lt;&gt;0")=1,INDEX($V$4:$AW$4,MATCH(TRUE,INDEX($V450:$AW450&lt;&gt;0,),0)),IF(COUNTIF(AZ450:BB450,"&lt;&gt;0")=0,INDEX($AM$4:$AW$4,MATCH(1,$AM450:$AW450,0)),"Multiple strategies"))</f>
        <v>Multiple strategies</v>
      </c>
      <c r="BG450" s="1" t="s">
        <v>322</v>
      </c>
      <c r="BH450" t="s">
        <v>2501</v>
      </c>
      <c r="BI450" s="266" t="s">
        <v>2115</v>
      </c>
      <c r="BJ450" t="s">
        <v>2502</v>
      </c>
      <c r="BK450">
        <v>64.910485933503793</v>
      </c>
      <c r="BL450">
        <v>82.946708463949804</v>
      </c>
      <c r="BM450" s="143">
        <f>BL450/BK450</f>
        <v>1.2778630027346098</v>
      </c>
      <c r="BN450">
        <f>BL450-BK450</f>
        <v>18.036222530446011</v>
      </c>
      <c r="BO450">
        <f>BN450*1000*t_to_m3</f>
        <v>36808.617409073493</v>
      </c>
      <c r="BP450" s="143" t="s">
        <v>233</v>
      </c>
      <c r="BQ450" s="143" t="s">
        <v>3258</v>
      </c>
      <c r="BR450" t="s">
        <v>1197</v>
      </c>
      <c r="BS450">
        <v>78941.884525139583</v>
      </c>
      <c r="BT450">
        <v>-46788.009888268192</v>
      </c>
      <c r="BU450" s="144">
        <f>IFERROR(BT450/BS450,"")</f>
        <v>-0.59268929503916556</v>
      </c>
      <c r="BV450" s="144">
        <f>BT450-BS450</f>
        <v>-125729.89441340778</v>
      </c>
      <c r="BW450" s="144"/>
      <c r="BX450" s="144">
        <f>BV450</f>
        <v>-125729.89441340778</v>
      </c>
      <c r="BY450">
        <f>IFERROR(BX450/BO450,"")</f>
        <v>-3.4157733504658823</v>
      </c>
      <c r="BZ450">
        <v>0</v>
      </c>
      <c r="CA450">
        <v>0</v>
      </c>
      <c r="CB450">
        <v>0</v>
      </c>
      <c r="CC450">
        <v>0</v>
      </c>
      <c r="CD450">
        <v>0</v>
      </c>
      <c r="CE450">
        <v>0</v>
      </c>
      <c r="CF450">
        <v>0</v>
      </c>
      <c r="CG450">
        <v>0</v>
      </c>
      <c r="CH450">
        <v>0</v>
      </c>
      <c r="CI450">
        <v>0</v>
      </c>
      <c r="CJ450">
        <v>0</v>
      </c>
      <c r="CK450">
        <v>0</v>
      </c>
      <c r="CL450">
        <v>0</v>
      </c>
      <c r="CM450">
        <v>1</v>
      </c>
      <c r="CN450" t="str">
        <f>IF($BL450&lt;$BK450,"refNeedCorrection","refOK")</f>
        <v>refOK</v>
      </c>
      <c r="CO450">
        <f>IF($CN450="refOK",$BK450,$BL450)</f>
        <v>64.910485933503793</v>
      </c>
      <c r="CP450">
        <f>IF($CN450="refOK",$BL450,$BK450)</f>
        <v>82.946708463949804</v>
      </c>
      <c r="CQ450">
        <f>IF($CN450="refOK",$BO450,-$BO450)</f>
        <v>36808.617409073493</v>
      </c>
      <c r="CR450">
        <f>IF($CN450="refOK",$BS450,$BT450)*IF($BP450="Emissions positive",-1,1)</f>
        <v>78941.884525139583</v>
      </c>
      <c r="CS450">
        <f>IF($CN450="refOK",$BT450,$BS450)*IF($BP450="Emissions positive",-1,1)</f>
        <v>-46788.009888268192</v>
      </c>
      <c r="CT450">
        <f>IF($CN450="refNeedCorrection",-BX450,BX450)*IF($BP450="Emissions positive",-1,1)</f>
        <v>-125729.89441340778</v>
      </c>
      <c r="CU450">
        <f>IFERROR(CT450/CQ450,"")</f>
        <v>-3.4157733504658823</v>
      </c>
      <c r="CV450" s="2">
        <f>IFERROR((CS450-CR450)/ABS(CR450),"")</f>
        <v>-1.5926892950391656</v>
      </c>
      <c r="CW450" s="1" t="s">
        <v>1201</v>
      </c>
      <c r="CX450" t="str">
        <f>IF(OR($CW450="prd",$CW450="std",$CW450="cit"),"loc",IF(OR($CW450="eur",$CW450="reg",$CW450="coy"),"reg",$CW450))</f>
        <v>reg</v>
      </c>
      <c r="CY450" t="s">
        <v>236</v>
      </c>
      <c r="CZ450">
        <v>2010</v>
      </c>
      <c r="DA450">
        <v>2070</v>
      </c>
      <c r="DB450">
        <f>DA450-CZ450</f>
        <v>60</v>
      </c>
      <c r="DC450" t="str">
        <f>IF(DB450=0,"0",IF(AND(DB450&gt;=1,DB450&lt;=30),"1-30",IF(AND(DB450&gt;30,DB450&lt;=70),"31-70",IF(AND(DB450&gt;70,DB450&lt;=100),"71-100",IF(DB450&gt;100,"+100")))))</f>
        <v>31-70</v>
      </c>
      <c r="DD450">
        <v>1</v>
      </c>
      <c r="DE450">
        <v>0</v>
      </c>
      <c r="DF450">
        <v>0</v>
      </c>
      <c r="DG450">
        <v>0</v>
      </c>
      <c r="DH450">
        <v>0</v>
      </c>
      <c r="DI450">
        <f>SUM(DD450:DG450)</f>
        <v>1</v>
      </c>
      <c r="DJ450" t="str">
        <f>IF(DI450=1,INDEX($DD$7:$DG$7,MATCH(1,$DD450:$DG450,0)),"mixedProduct")</f>
        <v>UpstreamInput</v>
      </c>
      <c r="DK450" t="str">
        <f>IF(DD450=1,DK$7,0)</f>
        <v>Upstream</v>
      </c>
      <c r="DL450">
        <f>IF(DE450=1,DL$7,0)</f>
        <v>0</v>
      </c>
      <c r="DM450">
        <f>IF(DF450=1,DM$7,0)</f>
        <v>0</v>
      </c>
      <c r="DN450">
        <f>IF(DG450=1,DN$7,0)</f>
        <v>0</v>
      </c>
      <c r="DO450">
        <v>0</v>
      </c>
      <c r="DP450">
        <v>0</v>
      </c>
      <c r="DQ450">
        <v>0</v>
      </c>
      <c r="DR450">
        <v>0</v>
      </c>
      <c r="DS450">
        <v>0</v>
      </c>
      <c r="DT450">
        <f>SUM(DO450:DP450)</f>
        <v>0</v>
      </c>
      <c r="DU450" s="143" t="str">
        <f>IF(DO450=1,"self-calculated DF",IF(DP450=1,"external DF used","explicit C balance"))</f>
        <v>explicit C balance</v>
      </c>
      <c r="DV450">
        <v>1</v>
      </c>
      <c r="DW450">
        <v>1</v>
      </c>
      <c r="DX450">
        <v>1</v>
      </c>
      <c r="DY450">
        <v>1</v>
      </c>
      <c r="DZ450">
        <v>0</v>
      </c>
      <c r="EA450" s="143">
        <v>0</v>
      </c>
      <c r="EB450">
        <v>0</v>
      </c>
      <c r="EC450">
        <v>0</v>
      </c>
      <c r="ED450">
        <v>0</v>
      </c>
      <c r="EE450">
        <v>0</v>
      </c>
      <c r="EF450">
        <v>1</v>
      </c>
      <c r="EG450">
        <v>0</v>
      </c>
      <c r="EH450">
        <v>0</v>
      </c>
      <c r="EI450" s="2">
        <v>0</v>
      </c>
      <c r="EJ450" s="1"/>
      <c r="EK450" t="str">
        <f>IF(AND(AND(AND(OR($DX450=1,$DW450=1),OR($EC450=1,$EA450=1)),SUM($DV450:$DZ450,$EF450)&gt;=4),SUM($EA450:$EE450)&gt;=2),"Whole sector","")</f>
        <v/>
      </c>
      <c r="EL450" t="str">
        <f>IF(AND(AND(OR($DX450=1,$DW450=1),AND($EC450=0,$EA450=0)),SUM($DV450:$DZ450,$EF450)&gt;=4),"Ecosystem approach","")</f>
        <v>Ecosystem approach</v>
      </c>
      <c r="EM450" s="2" t="str">
        <f>IF(AND(AND(AND($DX450=0,$DW450=0),OR($EC450=1,$EA450=1)),SUM($EB450:$EE450)&gt;=2),"Technology approach","")</f>
        <v/>
      </c>
      <c r="EN450" t="s">
        <v>2510</v>
      </c>
      <c r="EO450"/>
      <c r="EP450" t="str">
        <f>IF(ISNUMBER(BU450),IF(ABS(BU450-[2]QC_indicators!$B$2)&gt;3*[2]QC_indicators!$C$2,"C ratio",IF(ISNUMBER(BY450),IF(ABS(BY450-[2]QC_indicators!$B$1)&gt;3*[2]QC_indicators!$C$1,"DF","no"))),IF(ISNUMBER(BY450),IF(ABS(BY450-[2]QC_indicators!$B$1)&gt;3*[2]QC_indicators!$C$1,"DF","no")))</f>
        <v>no</v>
      </c>
      <c r="EQ450"/>
      <c r="ER450"/>
      <c r="ES450"/>
      <c r="ET450" s="266" t="s">
        <v>3259</v>
      </c>
      <c r="EU450"/>
    </row>
    <row r="451" spans="1:151" s="139" customFormat="1" ht="15" customHeight="1">
      <c r="A451" s="1" t="s">
        <v>1425</v>
      </c>
      <c r="B451" t="s">
        <v>2492</v>
      </c>
      <c r="C451" t="s">
        <v>2493</v>
      </c>
      <c r="D451" t="s">
        <v>2494</v>
      </c>
      <c r="E451" t="s">
        <v>2495</v>
      </c>
      <c r="F451" t="s">
        <v>2496</v>
      </c>
      <c r="G451" t="s">
        <v>1431</v>
      </c>
      <c r="H451" t="s">
        <v>255</v>
      </c>
      <c r="I451">
        <v>2016</v>
      </c>
      <c r="J451">
        <v>24</v>
      </c>
      <c r="K451" t="s">
        <v>2497</v>
      </c>
      <c r="L451"/>
      <c r="M451" t="str">
        <f>LEFT($D451,FIND(",",$D451)-1)&amp;"_"&amp;I451&amp;L451</f>
        <v>Zubizarreta-Gerendiain_2016</v>
      </c>
      <c r="N451" t="s">
        <v>223</v>
      </c>
      <c r="O451" s="145" t="s">
        <v>1156</v>
      </c>
      <c r="P451"/>
      <c r="Q451" t="s">
        <v>257</v>
      </c>
      <c r="R451" s="264" t="s">
        <v>224</v>
      </c>
      <c r="S451" s="1" t="s">
        <v>2498</v>
      </c>
      <c r="T451" t="s">
        <v>2514</v>
      </c>
      <c r="U451" t="s">
        <v>2513</v>
      </c>
      <c r="V451">
        <v>0</v>
      </c>
      <c r="W451">
        <v>0</v>
      </c>
      <c r="X451">
        <v>0</v>
      </c>
      <c r="Y451">
        <v>2</v>
      </c>
      <c r="Z451">
        <v>0</v>
      </c>
      <c r="AA451">
        <v>0</v>
      </c>
      <c r="AB451">
        <v>0</v>
      </c>
      <c r="AC451">
        <v>0</v>
      </c>
      <c r="AD451">
        <v>0</v>
      </c>
      <c r="AE451">
        <v>0</v>
      </c>
      <c r="AF451">
        <v>1</v>
      </c>
      <c r="AG451">
        <v>0</v>
      </c>
      <c r="AH451">
        <v>0</v>
      </c>
      <c r="AI451">
        <v>0</v>
      </c>
      <c r="AJ451">
        <v>0</v>
      </c>
      <c r="AK451">
        <v>0</v>
      </c>
      <c r="AL451">
        <v>0</v>
      </c>
      <c r="AM451">
        <v>0</v>
      </c>
      <c r="AN451">
        <v>2</v>
      </c>
      <c r="AO451">
        <v>2</v>
      </c>
      <c r="AP451">
        <v>0</v>
      </c>
      <c r="AQ451">
        <v>0</v>
      </c>
      <c r="AR451">
        <v>0</v>
      </c>
      <c r="AS451">
        <v>0</v>
      </c>
      <c r="AT451">
        <v>0</v>
      </c>
      <c r="AU451">
        <v>0</v>
      </c>
      <c r="AV451">
        <v>0</v>
      </c>
      <c r="AW451">
        <v>0</v>
      </c>
      <c r="AX451" s="141">
        <f>COUNTIF(V451:AW451,"&lt;&gt;0")</f>
        <v>4</v>
      </c>
      <c r="AY451" s="141">
        <f>COUNTIF(V451:AL451,"&lt;&gt;0")</f>
        <v>2</v>
      </c>
      <c r="AZ451">
        <f>COUNTIF(V451:AC451,"&lt;&gt;0")</f>
        <v>1</v>
      </c>
      <c r="BA451">
        <f>COUNTIF(AD451:AI451,"&lt;&gt;0")</f>
        <v>1</v>
      </c>
      <c r="BB451">
        <f>COUNTIF(AJ451:AL451,"&lt;&gt;0")</f>
        <v>0</v>
      </c>
      <c r="BC451">
        <f>COUNTIF(AS451:AW451,"&lt;&gt;0")</f>
        <v>0</v>
      </c>
      <c r="BD451">
        <f>COUNTIF(AM451:AR451,"&lt;&gt;0")</f>
        <v>2</v>
      </c>
      <c r="BE451" t="str">
        <f t="array" ref="BE451">IF(AY451=1,INDEX($V$7:$AL$7,MATCH(TRUE,INDEX($V451:$AW451&lt;&gt;0,),0)),IF(AY451=0,INDEX($AM$7:$AW$7,MATCH(1,$AM451:$AW451,0)),IF(BF451="Multiple strategies","mixed drivers",IF(BF451="Supply chain","multiple supply","multiple silviculture"))))</f>
        <v>mixed drivers</v>
      </c>
      <c r="BF451" s="2" t="str">
        <f t="array" ref="BF451">IF(COUNTIF(AZ451:BB451,"&lt;&gt;0")=1,INDEX($V$4:$AW$4,MATCH(TRUE,INDEX($V451:$AW451&lt;&gt;0,),0)),IF(COUNTIF(AZ451:BB451,"&lt;&gt;0")=0,INDEX($AM$4:$AW$4,MATCH(1,$AM451:$AW451,0)),"Multiple strategies"))</f>
        <v>Multiple strategies</v>
      </c>
      <c r="BG451" s="1"/>
      <c r="BH451"/>
      <c r="BI451"/>
      <c r="BJ451"/>
      <c r="BK451"/>
      <c r="BL451"/>
      <c r="BM451" s="143"/>
      <c r="BN451" s="143"/>
      <c r="BO451"/>
      <c r="BP451" s="143" t="s">
        <v>233</v>
      </c>
      <c r="BQ451" s="143"/>
      <c r="BR451" t="s">
        <v>1197</v>
      </c>
      <c r="BS451">
        <v>96842.271565495292</v>
      </c>
      <c r="BT451">
        <v>-3408.5271565495204</v>
      </c>
      <c r="BU451" s="144">
        <f>IFERROR(BT451/BS451,"")</f>
        <v>-3.5196687370600381E-2</v>
      </c>
      <c r="BV451" s="144">
        <f>BT451-BS451</f>
        <v>-100250.79872204481</v>
      </c>
      <c r="BW451" s="144"/>
      <c r="BX451" s="144">
        <f>BV451</f>
        <v>-100250.79872204481</v>
      </c>
      <c r="BY451" t="str">
        <f>IFERROR(BX451/BO451,"")</f>
        <v/>
      </c>
      <c r="BZ451">
        <v>0</v>
      </c>
      <c r="CA451">
        <v>0</v>
      </c>
      <c r="CB451">
        <v>0</v>
      </c>
      <c r="CC451">
        <v>0</v>
      </c>
      <c r="CD451">
        <v>0</v>
      </c>
      <c r="CE451">
        <v>0</v>
      </c>
      <c r="CF451">
        <v>0</v>
      </c>
      <c r="CG451">
        <v>0</v>
      </c>
      <c r="CH451">
        <v>0</v>
      </c>
      <c r="CI451">
        <v>0</v>
      </c>
      <c r="CJ451">
        <v>0</v>
      </c>
      <c r="CK451">
        <v>0</v>
      </c>
      <c r="CL451">
        <v>0</v>
      </c>
      <c r="CM451">
        <v>1</v>
      </c>
      <c r="CN451" t="str">
        <f>IF(BL451&lt;BK451,"refNeedCorrection","refOK")</f>
        <v>refOK</v>
      </c>
      <c r="CO451"/>
      <c r="CP451"/>
      <c r="CQ451"/>
      <c r="CR451">
        <f>IF($CN451="refOK",$BS451,$BT451)*IF($BP451="Emissions positive",-1,1)</f>
        <v>96842.271565495292</v>
      </c>
      <c r="CS451">
        <f>IF($CN451="refOK",$BT451,$BS451)*IF($BP451="Emissions positive",-1,1)</f>
        <v>-3408.5271565495204</v>
      </c>
      <c r="CT451">
        <f>IF($CN451="refNeedCorrection",-BX451,BX451)*IF($BP451="Emissions positive",-1,1)</f>
        <v>-100250.79872204481</v>
      </c>
      <c r="CU451" t="str">
        <f>IFERROR(CT451/CQ451,"")</f>
        <v/>
      </c>
      <c r="CV451" s="2">
        <f>IFERROR((CS451-CR451)/ABS(CR451),"")</f>
        <v>-1.0351966873706004</v>
      </c>
      <c r="CW451" s="1" t="s">
        <v>1201</v>
      </c>
      <c r="CX451" t="str">
        <f>IF(OR($CW451="prd",$CW451="std",$CW451="cit"),"loc",IF(OR($CW451="eur",$CW451="reg",$CW451="coy"),"reg",$CW451))</f>
        <v>reg</v>
      </c>
      <c r="CY451" t="s">
        <v>236</v>
      </c>
      <c r="CZ451">
        <v>2010</v>
      </c>
      <c r="DA451">
        <v>2070</v>
      </c>
      <c r="DB451">
        <f>DA451-CZ451</f>
        <v>60</v>
      </c>
      <c r="DC451" t="str">
        <f>IF(DB451=0,"0",IF(AND(DB451&gt;=1,DB451&lt;=30),"1-30",IF(AND(DB451&gt;30,DB451&lt;=70),"31-70",IF(AND(DB451&gt;70,DB451&lt;=100),"71-100",IF(DB451&gt;100,"+100")))))</f>
        <v>31-70</v>
      </c>
      <c r="DD451">
        <v>1</v>
      </c>
      <c r="DE451">
        <v>0</v>
      </c>
      <c r="DF451">
        <v>0</v>
      </c>
      <c r="DG451">
        <v>0</v>
      </c>
      <c r="DH451">
        <v>0</v>
      </c>
      <c r="DI451">
        <f>SUM(DD451:DG451)</f>
        <v>1</v>
      </c>
      <c r="DJ451" t="str">
        <f>IF(DI451=1,INDEX($DD$7:$DG$7,MATCH(1,$DD451:$DG451,0)),"mixedProduct")</f>
        <v>UpstreamInput</v>
      </c>
      <c r="DK451" t="str">
        <f>IF(DD451=1,DK$7,0)</f>
        <v>Upstream</v>
      </c>
      <c r="DL451">
        <f>IF(DE451=1,DL$7,0)</f>
        <v>0</v>
      </c>
      <c r="DM451">
        <f>IF(DF451=1,DM$7,0)</f>
        <v>0</v>
      </c>
      <c r="DN451">
        <f>IF(DG451=1,DN$7,0)</f>
        <v>0</v>
      </c>
      <c r="DO451">
        <v>0</v>
      </c>
      <c r="DP451">
        <v>0</v>
      </c>
      <c r="DQ451">
        <v>0</v>
      </c>
      <c r="DR451">
        <v>0</v>
      </c>
      <c r="DS451">
        <v>0</v>
      </c>
      <c r="DT451">
        <f>SUM(DO451:DP451)</f>
        <v>0</v>
      </c>
      <c r="DU451" s="143" t="str">
        <f>IF(DO451=1,"self-calculated DF",IF(DP451=1,"external DF used","explicit C balance"))</f>
        <v>explicit C balance</v>
      </c>
      <c r="DV451">
        <v>1</v>
      </c>
      <c r="DW451">
        <v>1</v>
      </c>
      <c r="DX451">
        <v>1</v>
      </c>
      <c r="DY451">
        <v>1</v>
      </c>
      <c r="DZ451">
        <v>0</v>
      </c>
      <c r="EA451" s="143">
        <v>0</v>
      </c>
      <c r="EB451">
        <v>0</v>
      </c>
      <c r="EC451">
        <v>0</v>
      </c>
      <c r="ED451">
        <v>0</v>
      </c>
      <c r="EE451">
        <v>0</v>
      </c>
      <c r="EF451">
        <v>1</v>
      </c>
      <c r="EG451">
        <v>0</v>
      </c>
      <c r="EH451">
        <v>0</v>
      </c>
      <c r="EI451" s="2">
        <v>0</v>
      </c>
      <c r="EJ451" s="1"/>
      <c r="EK451" t="str">
        <f>IF(AND(AND(AND(OR($DX451=1,$DW451=1),OR($EC451=1,$EA451=1)),SUM($DV451:$DZ451,$EF451)&gt;=4),SUM($EA451:$EE451)&gt;=2),"Whole sector","")</f>
        <v/>
      </c>
      <c r="EL451" t="str">
        <f>IF(AND(AND(OR($DX451=1,$DW451=1),AND($EC451=0,$EA451=0)),SUM($DV451:$DZ451,$EF451)&gt;=4),"Ecosystem approach","")</f>
        <v>Ecosystem approach</v>
      </c>
      <c r="EM451" s="2" t="str">
        <f>IF(AND(AND(AND($DX451=0,$DW451=0),OR($EC451=1,$EA451=1)),SUM($EB451:$EE451)&gt;=2),"Technology approach","")</f>
        <v/>
      </c>
      <c r="EN451"/>
      <c r="EO451"/>
      <c r="EP451" t="b">
        <f>IF(ISNUMBER(BU451),IF(ABS(BU451-[2]QC_indicators!$B$2)&gt;3*[2]QC_indicators!$C$2,"C ratio",IF(ISNUMBER(BY451),IF(ABS(BY451-[2]QC_indicators!$B$1)&gt;3*[2]QC_indicators!$C$1,"DF","no"))),IF(ISNUMBER(BY451),IF(ABS(BY451-[2]QC_indicators!$B$1)&gt;3*[2]QC_indicators!$C$1,"DF","no")))</f>
        <v>0</v>
      </c>
      <c r="EQ451"/>
      <c r="ER451"/>
      <c r="ES451"/>
      <c r="ET451" s="266" t="s">
        <v>3275</v>
      </c>
      <c r="EU451"/>
    </row>
    <row r="452" spans="1:151" s="139" customFormat="1" ht="15" hidden="1" customHeight="1">
      <c r="A452" s="1" t="s">
        <v>1402</v>
      </c>
      <c r="B452" t="s">
        <v>1403</v>
      </c>
      <c r="C452" t="s">
        <v>1404</v>
      </c>
      <c r="D452" t="s">
        <v>1405</v>
      </c>
      <c r="E452" t="s">
        <v>1406</v>
      </c>
      <c r="F452" t="s">
        <v>1407</v>
      </c>
      <c r="G452" t="s">
        <v>1408</v>
      </c>
      <c r="H452" t="s">
        <v>255</v>
      </c>
      <c r="I452">
        <v>2021</v>
      </c>
      <c r="J452">
        <v>0</v>
      </c>
      <c r="K452" t="s">
        <v>1409</v>
      </c>
      <c r="L452"/>
      <c r="M452" t="str">
        <f>LEFT($D452,FIND(",",$D452)-1)&amp;"_"&amp;I452&amp;L452</f>
        <v>Dugan_2021</v>
      </c>
      <c r="N452" t="s">
        <v>223</v>
      </c>
      <c r="O452" s="145" t="s">
        <v>275</v>
      </c>
      <c r="P452"/>
      <c r="Q452" t="s">
        <v>257</v>
      </c>
      <c r="R452" s="255" t="s">
        <v>226</v>
      </c>
      <c r="S452" s="1" t="s">
        <v>1410</v>
      </c>
      <c r="T452" t="s">
        <v>1113</v>
      </c>
      <c r="U452" t="s">
        <v>1411</v>
      </c>
      <c r="V452">
        <v>0</v>
      </c>
      <c r="W452">
        <v>0</v>
      </c>
      <c r="X452">
        <v>2</v>
      </c>
      <c r="Y452">
        <v>1</v>
      </c>
      <c r="Z452">
        <v>2</v>
      </c>
      <c r="AA452">
        <v>0</v>
      </c>
      <c r="AB452">
        <v>0</v>
      </c>
      <c r="AC452">
        <v>0</v>
      </c>
      <c r="AD452">
        <v>0</v>
      </c>
      <c r="AE452">
        <v>0</v>
      </c>
      <c r="AF452">
        <v>0</v>
      </c>
      <c r="AG452">
        <v>0</v>
      </c>
      <c r="AH452">
        <v>0</v>
      </c>
      <c r="AI452">
        <v>0</v>
      </c>
      <c r="AJ452">
        <v>0</v>
      </c>
      <c r="AK452">
        <v>0</v>
      </c>
      <c r="AL452">
        <v>0</v>
      </c>
      <c r="AM452">
        <v>0</v>
      </c>
      <c r="AN452">
        <v>0</v>
      </c>
      <c r="AO452">
        <v>0</v>
      </c>
      <c r="AP452">
        <v>0</v>
      </c>
      <c r="AQ452">
        <v>0</v>
      </c>
      <c r="AR452">
        <v>0</v>
      </c>
      <c r="AS452">
        <v>0</v>
      </c>
      <c r="AT452">
        <v>0</v>
      </c>
      <c r="AU452">
        <v>0</v>
      </c>
      <c r="AV452">
        <v>0</v>
      </c>
      <c r="AW452">
        <v>0</v>
      </c>
      <c r="AX452" s="141">
        <f>COUNTIF(V452:AW452,"&lt;&gt;0")</f>
        <v>3</v>
      </c>
      <c r="AY452" s="141">
        <f>COUNTIF(V452:AL452,"&lt;&gt;0")</f>
        <v>3</v>
      </c>
      <c r="AZ452">
        <f>COUNTIF(V452:AC452,"&lt;&gt;0")</f>
        <v>3</v>
      </c>
      <c r="BA452">
        <f>COUNTIF(AD452:AI452,"&lt;&gt;0")</f>
        <v>0</v>
      </c>
      <c r="BB452">
        <f>COUNTIF(AJ452:AL452,"&lt;&gt;0")</f>
        <v>0</v>
      </c>
      <c r="BC452">
        <f>COUNTIF(AS452:AW452,"&lt;&gt;0")</f>
        <v>0</v>
      </c>
      <c r="BD452">
        <f>COUNTIF(AM452:AR452,"&lt;&gt;0")</f>
        <v>0</v>
      </c>
      <c r="BE452" t="str">
        <f t="array" ref="BE452">IF(AY452=1,INDEX($V$7:$AL$7,MATCH(TRUE,INDEX($V452:$AW452&lt;&gt;0,),0)),IF(AY452=0,INDEX($AM$7:$AW$7,MATCH(1,$AM452:$AW452,0)),IF(BF452="Multiple strategies","mixed drivers",IF(BF452="Supply chain","multiple supply","multiple silviculture"))))</f>
        <v>multiple silviculture</v>
      </c>
      <c r="BF452" s="2" t="str" cm="1">
        <f t="array" ref="BF452">IF(COUNTIF(AZ452:BB452,"&lt;&gt;0")=1,INDEX($V$4:$AW$4,MATCH(TRUE,INDEX($V452:$AW452&lt;&gt;0,),0)),IF(COUNTIF(AZ452:BB452,"&lt;&gt;0")=0,INDEX($AM$4:$AW$4,MATCH(1,$AM452:$AW452,0)),"Multiple strategies"))</f>
        <v>SilvicultureRemov</v>
      </c>
      <c r="BG452" s="1" t="s">
        <v>322</v>
      </c>
      <c r="BH452" t="s">
        <v>1412</v>
      </c>
      <c r="BI452" s="260" t="s">
        <v>3320</v>
      </c>
      <c r="BJ452" t="s">
        <v>1361</v>
      </c>
      <c r="BK452" s="266">
        <v>14.61</v>
      </c>
      <c r="BL452">
        <f>BK452*1.1</f>
        <v>16.071000000000002</v>
      </c>
      <c r="BM452"/>
      <c r="BN452" s="227">
        <f>BL452-BK452</f>
        <v>1.4610000000000021</v>
      </c>
      <c r="BO452">
        <f>BN452*10^6*tC_to_m3</f>
        <v>6343899.2618324021</v>
      </c>
      <c r="BP452" t="s">
        <v>233</v>
      </c>
      <c r="BQ452" s="260" t="s">
        <v>3322</v>
      </c>
      <c r="BR452" t="s">
        <v>1302</v>
      </c>
      <c r="BS452" s="152"/>
      <c r="BT452" s="152"/>
      <c r="BU452" s="144"/>
      <c r="BV452" s="286">
        <v>8.3661190387317106</v>
      </c>
      <c r="BW452"/>
      <c r="BX452">
        <f>BV452*10^6</f>
        <v>8366119.038731711</v>
      </c>
      <c r="BY452">
        <f>IFERROR(BX452/BO452,"")</f>
        <v>1.3187660606570226</v>
      </c>
      <c r="BZ452">
        <v>0</v>
      </c>
      <c r="CA452">
        <v>0</v>
      </c>
      <c r="CB452">
        <v>0</v>
      </c>
      <c r="CC452">
        <v>0</v>
      </c>
      <c r="CD452">
        <v>0</v>
      </c>
      <c r="CE452">
        <v>0</v>
      </c>
      <c r="CF452">
        <v>0</v>
      </c>
      <c r="CG452">
        <v>0</v>
      </c>
      <c r="CH452">
        <v>0</v>
      </c>
      <c r="CI452">
        <v>0</v>
      </c>
      <c r="CJ452">
        <v>0</v>
      </c>
      <c r="CK452">
        <v>0</v>
      </c>
      <c r="CL452">
        <v>0</v>
      </c>
      <c r="CM452">
        <v>0</v>
      </c>
      <c r="CN452" t="str">
        <f>IF(BL452&lt;BK452,"refNeedCorrection","refOK")</f>
        <v>refOK</v>
      </c>
      <c r="CO452"/>
      <c r="CP452"/>
      <c r="CQ452">
        <f>IF($CN452="refNeedCorrection",-BO452,BO452)</f>
        <v>6343899.2618324021</v>
      </c>
      <c r="CR452">
        <f>IF($CN452="refOK",$BS452,$BT452)*IF($BP452="Emissions positive",-1,1)</f>
        <v>0</v>
      </c>
      <c r="CS452">
        <f>IF($CN452="refOK",$BT452,$BS452)*IF($BP452="Emissions positive",-1,1)</f>
        <v>0</v>
      </c>
      <c r="CT452">
        <f>IF($CN452="refNeedCorrection",-BX452,BX452)*IF($BP452="Emissions positive",-1,1)</f>
        <v>8366119.038731711</v>
      </c>
      <c r="CU452">
        <f>IFERROR(CT452/CQ452,"")</f>
        <v>1.3187660606570226</v>
      </c>
      <c r="CV452" s="2" t="str">
        <f>IFERROR((CS452-CR452)/ABS(CR452),"")</f>
        <v/>
      </c>
      <c r="CW452" s="1" t="s">
        <v>1201</v>
      </c>
      <c r="CX452" t="str">
        <f>IF(OR($CW452="prd",$CW452="std",$CW452="cit"),"loc",IF(OR($CW452="eur",$CW452="reg",$CW452="coy"),"reg",$CW452))</f>
        <v>reg</v>
      </c>
      <c r="CY452" t="s">
        <v>429</v>
      </c>
      <c r="CZ452">
        <v>2020</v>
      </c>
      <c r="DA452">
        <v>2050</v>
      </c>
      <c r="DB452">
        <v>30</v>
      </c>
      <c r="DC452" t="str">
        <f>IF(DB452=0,"0",IF(AND(DB452&gt;=1,DB452&lt;=30),"1-30",IF(AND(DB452&gt;30,DB452&lt;=70),"31-70",IF(AND(DB452&gt;70,DB452&lt;=100),"71-100",IF(DB452&gt;100,"+100")))))</f>
        <v>1-30</v>
      </c>
      <c r="DD452">
        <v>0</v>
      </c>
      <c r="DE452">
        <v>1</v>
      </c>
      <c r="DF452">
        <v>1</v>
      </c>
      <c r="DG452">
        <v>1</v>
      </c>
      <c r="DH452"/>
      <c r="DI452">
        <f>SUM(DD452:DG452)</f>
        <v>3</v>
      </c>
      <c r="DJ452" t="str">
        <f>IF(DI452=1,INDEX($DD$7:$DG$7,MATCH(1,$DD452:$DG452,0)),"mixedProduct")</f>
        <v>mixedProduct</v>
      </c>
      <c r="DK452">
        <f>IF(DD452=1,DK$7,0)</f>
        <v>0</v>
      </c>
      <c r="DL452" t="str">
        <f>IF(DE452=1,DL$7,0)</f>
        <v>Energy</v>
      </c>
      <c r="DM452" t="str">
        <f>IF(DF452=1,DM$7,0)</f>
        <v>Pulp/Paper</v>
      </c>
      <c r="DN452" t="str">
        <f>IF(DG452=1,DN$7,0)</f>
        <v>Timber</v>
      </c>
      <c r="DO452">
        <v>0</v>
      </c>
      <c r="DP452">
        <v>1</v>
      </c>
      <c r="DQ452" t="s">
        <v>1413</v>
      </c>
      <c r="DR452" t="s">
        <v>1414</v>
      </c>
      <c r="DS452">
        <v>0</v>
      </c>
      <c r="DT452">
        <f>SUM(DO452:DP452)</f>
        <v>1</v>
      </c>
      <c r="DU452" s="143" t="str">
        <f>IF(DO452=1,"self-calculated DF",IF(DP452=1,"external DF used","explicit C balance"))</f>
        <v>external DF used</v>
      </c>
      <c r="DV452">
        <v>1</v>
      </c>
      <c r="DW452">
        <v>1</v>
      </c>
      <c r="DX452">
        <v>1</v>
      </c>
      <c r="DY452">
        <v>1</v>
      </c>
      <c r="DZ452">
        <v>0</v>
      </c>
      <c r="EA452" s="143">
        <v>1</v>
      </c>
      <c r="EB452">
        <v>0</v>
      </c>
      <c r="EC452">
        <v>1</v>
      </c>
      <c r="ED452">
        <v>0</v>
      </c>
      <c r="EE452">
        <v>0</v>
      </c>
      <c r="EF452">
        <v>1</v>
      </c>
      <c r="EG452" s="143">
        <v>0</v>
      </c>
      <c r="EH452" s="143">
        <v>0</v>
      </c>
      <c r="EI452" s="2">
        <v>0</v>
      </c>
      <c r="EJ452" s="1"/>
      <c r="EK452" t="str">
        <f>IF(AND(AND(AND(OR($DX452=1,$DW452=1),OR($EC452=1,$EA452=1)),SUM($DV452:$DZ452,$EF452)&gt;=4),SUM($EA452:$EE452)&gt;=2),"Whole sector","")</f>
        <v>Whole sector</v>
      </c>
      <c r="EL452" t="str">
        <f>IF(AND(AND(OR($DX452=1,$DW452=1),AND($EC452=0,$EA452=0)),SUM($DV452:$DZ452,$EF452)&gt;=4),"Ecosystem approach","")</f>
        <v/>
      </c>
      <c r="EM452" s="2" t="str">
        <f>IF(AND(AND(AND($DX452=0,$DW452=0),OR($EC452=1,$EA452=1)),SUM($EB452:$EE452)&gt;=2),"Technology approach","")</f>
        <v/>
      </c>
      <c r="EN452"/>
      <c r="EO452"/>
      <c r="EP452" t="str">
        <f>IF(ISNUMBER(BU452),IF(ABS(BU452-[4]QC_indicators!$B$2)&gt;3*[4]QC_indicators!$C$2,"C ratio",IF(ISNUMBER(BY452),IF(ABS(BY452-[4]QC_indicators!$B$1)&gt;3*[4]QC_indicators!$C$1,"DF","no"))),IF(ISNUMBER(BY452),IF(ABS(BY452-[4]QC_indicators!$B$1)&gt;3*[4]QC_indicators!$C$1,"DF","no")))</f>
        <v>no</v>
      </c>
      <c r="EQ452" t="s">
        <v>287</v>
      </c>
      <c r="ER452" s="149" t="s">
        <v>350</v>
      </c>
      <c r="ES452"/>
      <c r="ET452" s="266" t="s">
        <v>3275</v>
      </c>
      <c r="EU452"/>
    </row>
    <row r="453" spans="1:151" s="139" customFormat="1" ht="15" customHeight="1">
      <c r="A453" s="1" t="s">
        <v>1425</v>
      </c>
      <c r="B453" t="s">
        <v>2492</v>
      </c>
      <c r="C453" t="s">
        <v>2493</v>
      </c>
      <c r="D453" t="s">
        <v>2494</v>
      </c>
      <c r="E453" t="s">
        <v>2495</v>
      </c>
      <c r="F453" t="s">
        <v>2496</v>
      </c>
      <c r="G453" t="s">
        <v>1431</v>
      </c>
      <c r="H453" t="s">
        <v>255</v>
      </c>
      <c r="I453">
        <v>2016</v>
      </c>
      <c r="J453">
        <v>24</v>
      </c>
      <c r="K453" t="s">
        <v>2497</v>
      </c>
      <c r="L453"/>
      <c r="M453" t="str">
        <f>LEFT($D453,FIND(",",$D453)-1)&amp;"_"&amp;I453&amp;L453</f>
        <v>Zubizarreta-Gerendiain_2016</v>
      </c>
      <c r="N453" t="s">
        <v>223</v>
      </c>
      <c r="O453" s="145" t="s">
        <v>1156</v>
      </c>
      <c r="P453"/>
      <c r="Q453" t="s">
        <v>257</v>
      </c>
      <c r="R453" s="264" t="s">
        <v>224</v>
      </c>
      <c r="S453" s="1" t="s">
        <v>2508</v>
      </c>
      <c r="T453" t="s">
        <v>2512</v>
      </c>
      <c r="U453" t="s">
        <v>2513</v>
      </c>
      <c r="V453">
        <v>0</v>
      </c>
      <c r="W453">
        <v>0</v>
      </c>
      <c r="X453">
        <v>0</v>
      </c>
      <c r="Y453">
        <v>2</v>
      </c>
      <c r="Z453">
        <v>0</v>
      </c>
      <c r="AA453">
        <v>0</v>
      </c>
      <c r="AB453">
        <v>0</v>
      </c>
      <c r="AC453">
        <v>0</v>
      </c>
      <c r="AD453">
        <v>0</v>
      </c>
      <c r="AE453">
        <v>0</v>
      </c>
      <c r="AF453">
        <v>1</v>
      </c>
      <c r="AG453">
        <v>0</v>
      </c>
      <c r="AH453">
        <v>0</v>
      </c>
      <c r="AI453">
        <v>0</v>
      </c>
      <c r="AJ453">
        <v>0</v>
      </c>
      <c r="AK453">
        <v>0</v>
      </c>
      <c r="AL453">
        <v>0</v>
      </c>
      <c r="AM453">
        <v>0</v>
      </c>
      <c r="AN453">
        <v>2</v>
      </c>
      <c r="AO453">
        <v>2</v>
      </c>
      <c r="AP453">
        <v>0</v>
      </c>
      <c r="AQ453">
        <v>0</v>
      </c>
      <c r="AR453">
        <v>0</v>
      </c>
      <c r="AS453">
        <v>0</v>
      </c>
      <c r="AT453">
        <v>0</v>
      </c>
      <c r="AU453">
        <v>0</v>
      </c>
      <c r="AV453">
        <v>0</v>
      </c>
      <c r="AW453">
        <v>0</v>
      </c>
      <c r="AX453" s="141">
        <f>COUNTIF(V453:AW453,"&lt;&gt;0")</f>
        <v>4</v>
      </c>
      <c r="AY453" s="141">
        <f>COUNTIF(V453:AL453,"&lt;&gt;0")</f>
        <v>2</v>
      </c>
      <c r="AZ453">
        <f>COUNTIF(V453:AC453,"&lt;&gt;0")</f>
        <v>1</v>
      </c>
      <c r="BA453">
        <f>COUNTIF(AD453:AI453,"&lt;&gt;0")</f>
        <v>1</v>
      </c>
      <c r="BB453">
        <f>COUNTIF(AJ453:AL453,"&lt;&gt;0")</f>
        <v>0</v>
      </c>
      <c r="BC453">
        <f>COUNTIF(AS453:AW453,"&lt;&gt;0")</f>
        <v>0</v>
      </c>
      <c r="BD453">
        <f>COUNTIF(AM453:AR453,"&lt;&gt;0")</f>
        <v>2</v>
      </c>
      <c r="BE453" t="str">
        <f t="array" ref="BE453">IF(AY453=1,INDEX($V$7:$AL$7,MATCH(TRUE,INDEX($V453:$AW453&lt;&gt;0,),0)),IF(AY453=0,INDEX($AM$7:$AW$7,MATCH(1,$AM453:$AW453,0)),IF(BF453="Multiple strategies","mixed drivers",IF(BF453="Supply chain","multiple supply","multiple silviculture"))))</f>
        <v>mixed drivers</v>
      </c>
      <c r="BF453" s="2" t="str">
        <f t="array" ref="BF453">IF(COUNTIF(AZ453:BB453,"&lt;&gt;0")=1,INDEX($V$4:$AW$4,MATCH(TRUE,INDEX($V453:$AW453&lt;&gt;0,),0)),IF(COUNTIF(AZ453:BB453,"&lt;&gt;0")=0,INDEX($AM$4:$AW$4,MATCH(1,$AM453:$AW453,0)),"Multiple strategies"))</f>
        <v>Multiple strategies</v>
      </c>
      <c r="BG453" s="1"/>
      <c r="BH453"/>
      <c r="BI453"/>
      <c r="BJ453"/>
      <c r="BK453"/>
      <c r="BL453"/>
      <c r="BM453" s="143"/>
      <c r="BN453" s="143"/>
      <c r="BO453"/>
      <c r="BP453" s="143" t="s">
        <v>233</v>
      </c>
      <c r="BQ453" s="143"/>
      <c r="BR453" t="s">
        <v>1197</v>
      </c>
      <c r="BS453">
        <v>121904.97124600642</v>
      </c>
      <c r="BT453">
        <v>-3408.5271565495204</v>
      </c>
      <c r="BU453" s="144">
        <f>IFERROR(BT453/BS453,"")</f>
        <v>-2.7960526315789463E-2</v>
      </c>
      <c r="BV453" s="144">
        <f>BT453-BS453</f>
        <v>-125313.49840255594</v>
      </c>
      <c r="BW453" s="144"/>
      <c r="BX453" s="144">
        <f>BV453</f>
        <v>-125313.49840255594</v>
      </c>
      <c r="BY453" t="str">
        <f>IFERROR(BX453/BO453,"")</f>
        <v/>
      </c>
      <c r="BZ453">
        <v>0</v>
      </c>
      <c r="CA453">
        <v>0</v>
      </c>
      <c r="CB453">
        <v>0</v>
      </c>
      <c r="CC453">
        <v>0</v>
      </c>
      <c r="CD453">
        <v>0</v>
      </c>
      <c r="CE453">
        <v>0</v>
      </c>
      <c r="CF453">
        <v>0</v>
      </c>
      <c r="CG453">
        <v>0</v>
      </c>
      <c r="CH453">
        <v>0</v>
      </c>
      <c r="CI453">
        <v>0</v>
      </c>
      <c r="CJ453">
        <v>0</v>
      </c>
      <c r="CK453">
        <v>0</v>
      </c>
      <c r="CL453">
        <v>0</v>
      </c>
      <c r="CM453">
        <v>1</v>
      </c>
      <c r="CN453" t="str">
        <f>IF(BL453&lt;BK453,"refNeedCorrection","refOK")</f>
        <v>refOK</v>
      </c>
      <c r="CO453"/>
      <c r="CP453"/>
      <c r="CQ453"/>
      <c r="CR453">
        <f>IF($CN453="refOK",$BS453,$BT453)*IF($BP453="Emissions positive",-1,1)</f>
        <v>121904.97124600642</v>
      </c>
      <c r="CS453">
        <f>IF($CN453="refOK",$BT453,$BS453)*IF($BP453="Emissions positive",-1,1)</f>
        <v>-3408.5271565495204</v>
      </c>
      <c r="CT453">
        <f>IF($CN453="refNeedCorrection",-BX453,BX453)*IF($BP453="Emissions positive",-1,1)</f>
        <v>-125313.49840255594</v>
      </c>
      <c r="CU453" t="str">
        <f>IFERROR(CT453/CQ453,"")</f>
        <v/>
      </c>
      <c r="CV453" s="2">
        <f>IFERROR((CS453-CR453)/ABS(CR453),"")</f>
        <v>-1.0279605263157894</v>
      </c>
      <c r="CW453" s="1" t="s">
        <v>1201</v>
      </c>
      <c r="CX453" t="str">
        <f>IF(OR($CW453="prd",$CW453="std",$CW453="cit"),"loc",IF(OR($CW453="eur",$CW453="reg",$CW453="coy"),"reg",$CW453))</f>
        <v>reg</v>
      </c>
      <c r="CY453" t="s">
        <v>236</v>
      </c>
      <c r="CZ453">
        <v>2010</v>
      </c>
      <c r="DA453">
        <v>2070</v>
      </c>
      <c r="DB453">
        <f>DA453-CZ453</f>
        <v>60</v>
      </c>
      <c r="DC453" t="str">
        <f>IF(DB453=0,"0",IF(AND(DB453&gt;=1,DB453&lt;=30),"1-30",IF(AND(DB453&gt;30,DB453&lt;=70),"31-70",IF(AND(DB453&gt;70,DB453&lt;=100),"71-100",IF(DB453&gt;100,"+100")))))</f>
        <v>31-70</v>
      </c>
      <c r="DD453">
        <v>1</v>
      </c>
      <c r="DE453">
        <v>0</v>
      </c>
      <c r="DF453">
        <v>0</v>
      </c>
      <c r="DG453">
        <v>0</v>
      </c>
      <c r="DH453">
        <v>0</v>
      </c>
      <c r="DI453">
        <f>SUM(DD453:DG453)</f>
        <v>1</v>
      </c>
      <c r="DJ453" t="str">
        <f>IF(DI453=1,INDEX($DD$7:$DG$7,MATCH(1,$DD453:$DG453,0)),"mixedProduct")</f>
        <v>UpstreamInput</v>
      </c>
      <c r="DK453" t="str">
        <f>IF(DD453=1,DK$7,0)</f>
        <v>Upstream</v>
      </c>
      <c r="DL453">
        <f>IF(DE453=1,DL$7,0)</f>
        <v>0</v>
      </c>
      <c r="DM453">
        <f>IF(DF453=1,DM$7,0)</f>
        <v>0</v>
      </c>
      <c r="DN453">
        <f>IF(DG453=1,DN$7,0)</f>
        <v>0</v>
      </c>
      <c r="DO453">
        <v>0</v>
      </c>
      <c r="DP453">
        <v>0</v>
      </c>
      <c r="DQ453">
        <v>0</v>
      </c>
      <c r="DR453">
        <v>0</v>
      </c>
      <c r="DS453">
        <v>0</v>
      </c>
      <c r="DT453">
        <f>SUM(DO453:DP453)</f>
        <v>0</v>
      </c>
      <c r="DU453" s="143" t="str">
        <f>IF(DO453=1,"self-calculated DF",IF(DP453=1,"external DF used","explicit C balance"))</f>
        <v>explicit C balance</v>
      </c>
      <c r="DV453">
        <v>1</v>
      </c>
      <c r="DW453">
        <v>1</v>
      </c>
      <c r="DX453">
        <v>1</v>
      </c>
      <c r="DY453">
        <v>1</v>
      </c>
      <c r="DZ453">
        <v>0</v>
      </c>
      <c r="EA453" s="143">
        <v>0</v>
      </c>
      <c r="EB453">
        <v>0</v>
      </c>
      <c r="EC453">
        <v>0</v>
      </c>
      <c r="ED453">
        <v>0</v>
      </c>
      <c r="EE453">
        <v>0</v>
      </c>
      <c r="EF453">
        <v>1</v>
      </c>
      <c r="EG453">
        <v>0</v>
      </c>
      <c r="EH453">
        <v>0</v>
      </c>
      <c r="EI453" s="2">
        <v>0</v>
      </c>
      <c r="EJ453" s="1"/>
      <c r="EK453" t="str">
        <f>IF(AND(AND(AND(OR($DX453=1,$DW453=1),OR($EC453=1,$EA453=1)),SUM($DV453:$DZ453,$EF453)&gt;=4),SUM($EA453:$EE453)&gt;=2),"Whole sector","")</f>
        <v/>
      </c>
      <c r="EL453" t="str">
        <f>IF(AND(AND(OR($DX453=1,$DW453=1),AND($EC453=0,$EA453=0)),SUM($DV453:$DZ453,$EF453)&gt;=4),"Ecosystem approach","")</f>
        <v>Ecosystem approach</v>
      </c>
      <c r="EM453" s="2" t="str">
        <f>IF(AND(AND(AND($DX453=0,$DW453=0),OR($EC453=1,$EA453=1)),SUM($EB453:$EE453)&gt;=2),"Technology approach","")</f>
        <v/>
      </c>
      <c r="EN453" t="s">
        <v>2510</v>
      </c>
      <c r="EO453"/>
      <c r="EP453" t="b">
        <f>IF(ISNUMBER(BU453),IF(ABS(BU453-[2]QC_indicators!$B$2)&gt;3*[2]QC_indicators!$C$2,"C ratio",IF(ISNUMBER(BY453),IF(ABS(BY453-[2]QC_indicators!$B$1)&gt;3*[2]QC_indicators!$C$1,"DF","no"))),IF(ISNUMBER(BY453),IF(ABS(BY453-[2]QC_indicators!$B$1)&gt;3*[2]QC_indicators!$C$1,"DF","no")))</f>
        <v>0</v>
      </c>
      <c r="EQ453"/>
      <c r="ER453"/>
      <c r="ES453"/>
      <c r="ET453" s="266" t="s">
        <v>3275</v>
      </c>
      <c r="EU453"/>
    </row>
    <row r="454" spans="1:151" s="139" customFormat="1" ht="15" hidden="1" customHeight="1">
      <c r="A454" s="1" t="s">
        <v>928</v>
      </c>
      <c r="B454" t="s">
        <v>929</v>
      </c>
      <c r="C454" t="s">
        <v>930</v>
      </c>
      <c r="D454" t="s">
        <v>931</v>
      </c>
      <c r="E454" t="s">
        <v>932</v>
      </c>
      <c r="F454" t="s">
        <v>933</v>
      </c>
      <c r="G454" t="s">
        <v>934</v>
      </c>
      <c r="H454" t="s">
        <v>255</v>
      </c>
      <c r="I454">
        <v>2015</v>
      </c>
      <c r="J454">
        <v>19</v>
      </c>
      <c r="K454" t="s">
        <v>935</v>
      </c>
      <c r="L454"/>
      <c r="M454" t="str">
        <f>LEFT($D454,FIND(",",$D454)-1)&amp;"_"&amp;I454&amp;L454</f>
        <v>Makipaa_2015</v>
      </c>
      <c r="N454" t="s">
        <v>223</v>
      </c>
      <c r="O454" s="145" t="s">
        <v>226</v>
      </c>
      <c r="P454"/>
      <c r="Q454" t="s">
        <v>257</v>
      </c>
      <c r="R454" s="255" t="s">
        <v>224</v>
      </c>
      <c r="S454" s="1" t="s">
        <v>936</v>
      </c>
      <c r="T454" t="s">
        <v>937</v>
      </c>
      <c r="U454" s="143" t="s">
        <v>938</v>
      </c>
      <c r="V454">
        <v>0</v>
      </c>
      <c r="W454">
        <v>0</v>
      </c>
      <c r="X454">
        <v>0</v>
      </c>
      <c r="Y454">
        <v>1</v>
      </c>
      <c r="Z454">
        <v>0</v>
      </c>
      <c r="AA454">
        <v>0</v>
      </c>
      <c r="AB454">
        <v>0</v>
      </c>
      <c r="AC454">
        <v>0</v>
      </c>
      <c r="AD454">
        <v>0</v>
      </c>
      <c r="AE454">
        <v>0</v>
      </c>
      <c r="AF454">
        <v>0</v>
      </c>
      <c r="AG454">
        <v>0</v>
      </c>
      <c r="AH454">
        <v>0</v>
      </c>
      <c r="AI454">
        <v>0</v>
      </c>
      <c r="AJ454">
        <v>0</v>
      </c>
      <c r="AK454">
        <v>0</v>
      </c>
      <c r="AL454">
        <v>0</v>
      </c>
      <c r="AM454">
        <v>0</v>
      </c>
      <c r="AN454">
        <v>0</v>
      </c>
      <c r="AO454">
        <v>0</v>
      </c>
      <c r="AP454">
        <v>0</v>
      </c>
      <c r="AQ454">
        <v>0</v>
      </c>
      <c r="AR454">
        <v>0</v>
      </c>
      <c r="AS454">
        <v>0</v>
      </c>
      <c r="AT454">
        <v>0</v>
      </c>
      <c r="AU454">
        <v>0</v>
      </c>
      <c r="AV454">
        <v>0</v>
      </c>
      <c r="AW454">
        <v>0</v>
      </c>
      <c r="AX454" s="141">
        <f>COUNTIF(V454:AW454,"&lt;&gt;0")</f>
        <v>1</v>
      </c>
      <c r="AY454" s="141">
        <f>COUNTIF(V454:AL454,"&lt;&gt;0")</f>
        <v>1</v>
      </c>
      <c r="AZ454">
        <f>COUNTIF(V454:AC454,"&lt;&gt;0")</f>
        <v>1</v>
      </c>
      <c r="BA454">
        <f>COUNTIF(AD454:AI454,"&lt;&gt;0")</f>
        <v>0</v>
      </c>
      <c r="BB454">
        <f>COUNTIF(AJ454:AL454,"&lt;&gt;0")</f>
        <v>0</v>
      </c>
      <c r="BC454">
        <f>COUNTIF(AS454:AW454,"&lt;&gt;0")</f>
        <v>0</v>
      </c>
      <c r="BD454">
        <f>COUNTIF(AM454:AR454,"&lt;&gt;0")</f>
        <v>0</v>
      </c>
      <c r="BE454" t="str">
        <f t="array" ref="BE454">IF(AY454=1,INDEX($V$7:$AL$7,MATCH(TRUE,INDEX($V454:$AW454&lt;&gt;0,),0)),IF(AY454=0,INDEX($AM$7:$AW$7,MATCH(1,$AM454:$AW454,0)),IF(BF454="Multiple strategies","mixed drivers",IF(BF454="Supply chain","multiple supply","multiple silviculture"))))</f>
        <v xml:space="preserve">cutting intensity </v>
      </c>
      <c r="BF454" s="2" t="str" cm="1">
        <f t="array" ref="BF454">IF(COUNTIF(AZ454:BB454,"&lt;&gt;0")=1,INDEX($V$4:$AW$4,MATCH(TRUE,INDEX($V454:$AW454&lt;&gt;0,),0)),IF(COUNTIF(AZ454:BB454,"&lt;&gt;0")=0,INDEX($AM$4:$AW$4,MATCH(1,$AM454:$AW454,0)),"Multiple strategies"))</f>
        <v>SilvicultureRemov</v>
      </c>
      <c r="BG454" s="142" t="s">
        <v>322</v>
      </c>
      <c r="BH454" t="s">
        <v>939</v>
      </c>
      <c r="BI454" s="266" t="s">
        <v>425</v>
      </c>
      <c r="BJ454" s="143" t="s">
        <v>499</v>
      </c>
      <c r="BK454">
        <v>625.20000000000005</v>
      </c>
      <c r="BL454" s="143">
        <v>743.1</v>
      </c>
      <c r="BM454" s="163">
        <f>BL454/BK454</f>
        <v>1.1885796545105565</v>
      </c>
      <c r="BN454">
        <f>BL454-BK454</f>
        <v>117.89999999999998</v>
      </c>
      <c r="BO454" s="159">
        <f>BN454</f>
        <v>117.89999999999998</v>
      </c>
      <c r="BP454" t="s">
        <v>233</v>
      </c>
      <c r="BQ454" s="153" t="s">
        <v>430</v>
      </c>
      <c r="BR454" t="s">
        <v>940</v>
      </c>
      <c r="BS454" s="143">
        <v>139.5</v>
      </c>
      <c r="BT454">
        <v>118.2</v>
      </c>
      <c r="BU454" s="144">
        <f>IFERROR(BT454/BS454,"")</f>
        <v>0.84731182795698923</v>
      </c>
      <c r="BV454">
        <f>BT454-BS454</f>
        <v>-21.299999999999997</v>
      </c>
      <c r="BW454"/>
      <c r="BX454">
        <f>BV454*C_to_CO2</f>
        <v>-78.170999999999992</v>
      </c>
      <c r="BY454">
        <f>IFERROR(BX454/BO454,"")</f>
        <v>-0.66302798982188305</v>
      </c>
      <c r="BZ454">
        <v>0</v>
      </c>
      <c r="CA454">
        <v>0</v>
      </c>
      <c r="CB454">
        <v>0</v>
      </c>
      <c r="CC454">
        <v>0</v>
      </c>
      <c r="CD454">
        <v>0</v>
      </c>
      <c r="CE454">
        <v>0</v>
      </c>
      <c r="CF454">
        <v>0</v>
      </c>
      <c r="CG454">
        <v>0</v>
      </c>
      <c r="CH454">
        <v>0</v>
      </c>
      <c r="CI454">
        <v>0</v>
      </c>
      <c r="CJ454">
        <v>0</v>
      </c>
      <c r="CK454">
        <v>0</v>
      </c>
      <c r="CL454">
        <v>0</v>
      </c>
      <c r="CM454">
        <v>0</v>
      </c>
      <c r="CN454" t="str">
        <f>IF($BL454&lt;$BK454,"refNeedCorrection","refOK")</f>
        <v>refOK</v>
      </c>
      <c r="CO454">
        <f>IF($CN454="refNeedCorrection",BL454,BK454)</f>
        <v>625.20000000000005</v>
      </c>
      <c r="CP454">
        <f>IF($CN454="refNeedCorrection",BK454,BL454)</f>
        <v>743.1</v>
      </c>
      <c r="CQ454">
        <f>IF($CN454="refOK",$BO454,-$BO454)</f>
        <v>117.89999999999998</v>
      </c>
      <c r="CR454">
        <f>IF($CN454="refOK",$BS454,$BT454)*IF($BP454="Emissions positive",-1,1)</f>
        <v>139.5</v>
      </c>
      <c r="CS454">
        <f>IF($CN454="refOK",$BT454,$BS454)*IF($BP454="Emissions positive",-1,1)</f>
        <v>118.2</v>
      </c>
      <c r="CT454">
        <f>IF($CN454="refNeedCorrection",-BX454,BX454)*IF($BP454="Emissions positive",-1,1)</f>
        <v>-78.170999999999992</v>
      </c>
      <c r="CU454">
        <f>IFERROR(CT454/CQ454,"")</f>
        <v>-0.66302798982188305</v>
      </c>
      <c r="CV454" s="2">
        <f>IFERROR((CS454-CR454)/ABS(CR454),"")</f>
        <v>-0.15268817204301074</v>
      </c>
      <c r="CW454" s="1" t="s">
        <v>235</v>
      </c>
      <c r="CX454" t="str">
        <f>IF(OR($CW454="prd",$CW454="std",$CW454="cit"),"loc",IF(OR($CW454="eur",$CW454="reg",$CW454="coy"),"reg",$CW454))</f>
        <v>loc</v>
      </c>
      <c r="CY454" t="s">
        <v>236</v>
      </c>
      <c r="CZ454"/>
      <c r="DA454" s="143"/>
      <c r="DB454" s="143">
        <v>80</v>
      </c>
      <c r="DC454" t="str">
        <f>IF(DB454=0,"0",IF(AND(DB454&gt;=1,DB454&lt;=30),"1-30",IF(AND(DB454&gt;30,DB454&lt;=70),"31-70",IF(AND(DB454&gt;70,DB454&lt;=100),"71-100",IF(DB454&gt;100,"+100")))))</f>
        <v>71-100</v>
      </c>
      <c r="DD454">
        <v>1</v>
      </c>
      <c r="DE454">
        <v>1</v>
      </c>
      <c r="DF454">
        <v>0</v>
      </c>
      <c r="DG454">
        <v>0</v>
      </c>
      <c r="DH454"/>
      <c r="DI454">
        <f>SUM(DD454:DG454)</f>
        <v>2</v>
      </c>
      <c r="DJ454" t="str">
        <f>IF(DI454=1,INDEX($DD$7:$DG$7,MATCH(1,$DD454:$DG454,0)),"mixedProduct")</f>
        <v>mixedProduct</v>
      </c>
      <c r="DK454" t="str">
        <f>IF(DD454=1,DK$7,0)</f>
        <v>Upstream</v>
      </c>
      <c r="DL454" t="str">
        <f>IF(DE454=1,DL$7,0)</f>
        <v>Energy</v>
      </c>
      <c r="DM454">
        <f>IF(DF454=1,DM$7,0)</f>
        <v>0</v>
      </c>
      <c r="DN454">
        <f>IF(DG454=1,DN$7,0)</f>
        <v>0</v>
      </c>
      <c r="DO454">
        <v>0</v>
      </c>
      <c r="DP454" s="143">
        <v>1</v>
      </c>
      <c r="DQ454" s="143" t="s">
        <v>941</v>
      </c>
      <c r="DR454">
        <v>0</v>
      </c>
      <c r="DS454" s="143">
        <v>0</v>
      </c>
      <c r="DT454">
        <f>SUM(DO454:DP454)</f>
        <v>1</v>
      </c>
      <c r="DU454" s="143" t="str">
        <f>IF(DO454=1,"self-calculated DF",IF(DP454=1,"external DF used","explicit C balance"))</f>
        <v>external DF used</v>
      </c>
      <c r="DV454" s="143">
        <v>1</v>
      </c>
      <c r="DW454" s="143">
        <v>1</v>
      </c>
      <c r="DX454" s="143">
        <v>1</v>
      </c>
      <c r="DY454" s="143">
        <v>0</v>
      </c>
      <c r="DZ454">
        <v>1</v>
      </c>
      <c r="EA454" s="143">
        <v>1</v>
      </c>
      <c r="EB454" s="143">
        <v>0</v>
      </c>
      <c r="EC454" s="143">
        <v>0</v>
      </c>
      <c r="ED454" s="143">
        <v>0</v>
      </c>
      <c r="EE454">
        <v>0</v>
      </c>
      <c r="EF454">
        <v>1</v>
      </c>
      <c r="EG454" s="143">
        <v>0</v>
      </c>
      <c r="EH454">
        <v>0</v>
      </c>
      <c r="EI454" s="2">
        <v>0</v>
      </c>
      <c r="EJ454" s="1"/>
      <c r="EK454" t="str">
        <f>IF(AND(AND(AND(OR($DX454=1,$DW454=1),OR($EC454=1,$EA454=1)),SUM($DV454:$DZ454,$EF454)&gt;=4),SUM($EA454:$EE454)&gt;=2),"Whole sector","")</f>
        <v/>
      </c>
      <c r="EL454" t="str">
        <f>IF(AND(AND(OR($DX454=1,$DW454=1),AND($EC454=0,$EA454=0)),SUM($DV454:$DZ454,$EF454)&gt;=4),"Ecosystem approach","")</f>
        <v/>
      </c>
      <c r="EM454" s="2" t="str">
        <f>IF(AND(AND(AND($DX454=0,$DW454=0),OR($EC454=1,$EA454=1)),SUM($EB454:$EE454)&gt;=2),"Technology approach","")</f>
        <v/>
      </c>
      <c r="EN454"/>
      <c r="EO454"/>
      <c r="EP454" t="str">
        <f>IF(ISNUMBER(BU454),IF(ABS(BU454-[2]QC_indicators!$B$2)&gt;3*[2]QC_indicators!$C$2,"C ratio",IF(ISNUMBER(BY454),IF(ABS(BY454-[2]QC_indicators!$B$1)&gt;3*[2]QC_indicators!$C$1,"DF","no"))),IF(ISNUMBER(BY454),IF(ABS(BY454-[2]QC_indicators!$B$1)&gt;3*[2]QC_indicators!$C$1,"DF","no")))</f>
        <v>no</v>
      </c>
      <c r="EQ454"/>
      <c r="ER454"/>
      <c r="ES454"/>
      <c r="ET454" s="266" t="s">
        <v>3096</v>
      </c>
    </row>
    <row r="455" spans="1:151" s="139" customFormat="1" ht="15" hidden="1" customHeight="1">
      <c r="A455" s="1" t="s">
        <v>1810</v>
      </c>
      <c r="B455" t="s">
        <v>2477</v>
      </c>
      <c r="C455" t="s">
        <v>2478</v>
      </c>
      <c r="D455" t="s">
        <v>2479</v>
      </c>
      <c r="E455" t="s">
        <v>2480</v>
      </c>
      <c r="F455" t="s">
        <v>2481</v>
      </c>
      <c r="G455" t="s">
        <v>1816</v>
      </c>
      <c r="H455" t="s">
        <v>255</v>
      </c>
      <c r="I455">
        <v>2010</v>
      </c>
      <c r="J455">
        <v>100</v>
      </c>
      <c r="K455" t="s">
        <v>2482</v>
      </c>
      <c r="L455"/>
      <c r="M455" t="str">
        <f>LEFT($D455,FIND(",",$D455)-1)&amp;"_"&amp;I455&amp;L455</f>
        <v>Werner_2010</v>
      </c>
      <c r="N455" t="s">
        <v>223</v>
      </c>
      <c r="O455" s="145" t="s">
        <v>1156</v>
      </c>
      <c r="P455"/>
      <c r="Q455" t="s">
        <v>257</v>
      </c>
      <c r="R455" s="264" t="s">
        <v>224</v>
      </c>
      <c r="S455" s="1" t="s">
        <v>2483</v>
      </c>
      <c r="T455" t="s">
        <v>2484</v>
      </c>
      <c r="U455" t="s">
        <v>1157</v>
      </c>
      <c r="V455">
        <v>1</v>
      </c>
      <c r="W455">
        <v>0</v>
      </c>
      <c r="X455">
        <v>2</v>
      </c>
      <c r="Y455">
        <v>0</v>
      </c>
      <c r="Z455">
        <v>0</v>
      </c>
      <c r="AA455">
        <v>0</v>
      </c>
      <c r="AB455">
        <v>0</v>
      </c>
      <c r="AC455">
        <v>0</v>
      </c>
      <c r="AD455">
        <v>0</v>
      </c>
      <c r="AE455">
        <v>0</v>
      </c>
      <c r="AF455">
        <v>0</v>
      </c>
      <c r="AG455">
        <v>0</v>
      </c>
      <c r="AH455">
        <v>0</v>
      </c>
      <c r="AI455">
        <v>0</v>
      </c>
      <c r="AJ455">
        <v>0</v>
      </c>
      <c r="AK455">
        <v>0</v>
      </c>
      <c r="AL455">
        <v>0</v>
      </c>
      <c r="AM455">
        <v>0</v>
      </c>
      <c r="AN455">
        <v>0</v>
      </c>
      <c r="AO455">
        <v>0</v>
      </c>
      <c r="AP455">
        <v>0</v>
      </c>
      <c r="AQ455">
        <v>0</v>
      </c>
      <c r="AR455">
        <v>0</v>
      </c>
      <c r="AS455">
        <v>0</v>
      </c>
      <c r="AT455">
        <v>0</v>
      </c>
      <c r="AU455">
        <v>0</v>
      </c>
      <c r="AV455">
        <v>0</v>
      </c>
      <c r="AW455">
        <v>0</v>
      </c>
      <c r="AX455" s="141">
        <f>COUNTIF(V455:AW455,"&lt;&gt;0")</f>
        <v>2</v>
      </c>
      <c r="AY455" s="141">
        <f>COUNTIF(V455:AL455,"&lt;&gt;0")</f>
        <v>2</v>
      </c>
      <c r="AZ455">
        <f>COUNTIF(V455:AC455,"&lt;&gt;0")</f>
        <v>2</v>
      </c>
      <c r="BA455">
        <f>COUNTIF(AD455:AI455,"&lt;&gt;0")</f>
        <v>0</v>
      </c>
      <c r="BB455">
        <f>COUNTIF(AJ455:AL455,"&lt;&gt;0")</f>
        <v>0</v>
      </c>
      <c r="BC455">
        <f>COUNTIF(AS455:AW455,"&lt;&gt;0")</f>
        <v>0</v>
      </c>
      <c r="BD455">
        <f>COUNTIF(AM455:AR455,"&lt;&gt;0")</f>
        <v>0</v>
      </c>
      <c r="BE455" t="str">
        <f t="array" ref="BE455">IF(AY455=1,INDEX($V$7:$AL$7,MATCH(TRUE,INDEX($V455:$AW455&lt;&gt;0,),0)),IF(AY455=0,INDEX($AM$7:$AW$7,MATCH(1,$AM455:$AW455,0)),IF(BF455="Multiple strategies","mixed drivers",IF(BF455="Supply chain","multiple supply","multiple silviculture"))))</f>
        <v>multiple silviculture</v>
      </c>
      <c r="BF455" s="2" t="str" cm="1">
        <f t="array" ref="BF455">IF(COUNTIF(AZ455:BB455,"&lt;&gt;0")=1,INDEX($V$4:$AW$4,MATCH(TRUE,INDEX($V455:$AW455&lt;&gt;0,),0)),IF(COUNTIF(AZ455:BB455,"&lt;&gt;0")=0,INDEX($AM$4:$AW$4,MATCH(1,$AM455:$AW455,0)),"Multiple strategies"))</f>
        <v>SilvicultureRemov</v>
      </c>
      <c r="BG455" s="1" t="s">
        <v>322</v>
      </c>
      <c r="BH455" t="s">
        <v>2455</v>
      </c>
      <c r="BI455" s="266" t="s">
        <v>3254</v>
      </c>
      <c r="BJ455" t="s">
        <v>1325</v>
      </c>
      <c r="BK455">
        <v>300</v>
      </c>
      <c r="BL455">
        <v>517.5</v>
      </c>
      <c r="BM455" s="143">
        <f>BL455/BK455</f>
        <v>1.7250000000000001</v>
      </c>
      <c r="BN455">
        <f>BL455-BK455</f>
        <v>217.5</v>
      </c>
      <c r="BO455">
        <f>BN455*1000000</f>
        <v>217500000</v>
      </c>
      <c r="BP455" t="s">
        <v>233</v>
      </c>
      <c r="BQ455" s="153" t="s">
        <v>3255</v>
      </c>
      <c r="BR455" t="s">
        <v>2327</v>
      </c>
      <c r="BS455">
        <v>728.49390504704797</v>
      </c>
      <c r="BT455">
        <v>662.23802395209498</v>
      </c>
      <c r="BU455" s="144">
        <f>IFERROR(BT455/BS455,"")</f>
        <v>0.90905087793332462</v>
      </c>
      <c r="BV455" s="144">
        <f>BT455-BS455</f>
        <v>-66.255881094952997</v>
      </c>
      <c r="BW455" s="144"/>
      <c r="BX455">
        <f>BV455*10^6</f>
        <v>-66255881.094953001</v>
      </c>
      <c r="BY455">
        <f>IFERROR(BX455/BO455,"")</f>
        <v>-0.30462474066645057</v>
      </c>
      <c r="BZ455">
        <v>0</v>
      </c>
      <c r="CA455">
        <v>0</v>
      </c>
      <c r="CB455">
        <v>0</v>
      </c>
      <c r="CC455">
        <v>0</v>
      </c>
      <c r="CD455">
        <v>0</v>
      </c>
      <c r="CE455">
        <v>0</v>
      </c>
      <c r="CF455">
        <v>0</v>
      </c>
      <c r="CG455">
        <v>0</v>
      </c>
      <c r="CH455">
        <v>0</v>
      </c>
      <c r="CI455">
        <v>0</v>
      </c>
      <c r="CJ455">
        <v>0</v>
      </c>
      <c r="CK455">
        <v>0</v>
      </c>
      <c r="CL455">
        <v>0</v>
      </c>
      <c r="CM455">
        <v>1</v>
      </c>
      <c r="CN455" t="str">
        <f>IF($BL455&lt;$BK455,"refNeedCorrection","refOK")</f>
        <v>refOK</v>
      </c>
      <c r="CO455">
        <f>IF($CN455="refNeedCorrection",BL455,BK455)</f>
        <v>300</v>
      </c>
      <c r="CP455">
        <f>IF($CN455="refNeedCorrection",BK455,BL455)</f>
        <v>517.5</v>
      </c>
      <c r="CQ455">
        <f>IF($CN455="refOK",$BO455,-$BO455)</f>
        <v>217500000</v>
      </c>
      <c r="CR455">
        <f>IF($CN455="refOK",$BS455,$BT455)*IF($BP455="Emissions positive",-1,1)</f>
        <v>728.49390504704797</v>
      </c>
      <c r="CS455">
        <f>IF($CN455="refOK",$BT455,$BS455)*IF($BP455="Emissions positive",-1,1)</f>
        <v>662.23802395209498</v>
      </c>
      <c r="CT455">
        <f>IF($CN455="refNeedCorrection",-BX455,BX455)*IF($BP455="Emissions positive",-1,1)</f>
        <v>-66255881.094953001</v>
      </c>
      <c r="CU455">
        <f>IFERROR(CT455/CQ455,"")</f>
        <v>-0.30462474066645057</v>
      </c>
      <c r="CV455" s="2">
        <f>IFERROR((CS455-CR455)/ABS(CR455),"")</f>
        <v>-9.0949122066675395E-2</v>
      </c>
      <c r="CW455" s="1" t="s">
        <v>1205</v>
      </c>
      <c r="CX455" t="str">
        <f>IF(OR($CW455="prd",$CW455="std",$CW455="cit"),"loc",IF(OR($CW455="eur",$CW455="reg",$CW455="coy"),"reg",$CW455))</f>
        <v>reg</v>
      </c>
      <c r="CY455" t="s">
        <v>641</v>
      </c>
      <c r="CZ455">
        <v>2000</v>
      </c>
      <c r="DA455">
        <v>2090</v>
      </c>
      <c r="DB455">
        <f>DA455-CZ455</f>
        <v>90</v>
      </c>
      <c r="DC455" t="str">
        <f>IF(DB455=0,"0",IF(AND(DB455&gt;=1,DB455&lt;=30),"1-30",IF(AND(DB455&gt;30,DB455&lt;=70),"31-70",IF(AND(DB455&gt;70,DB455&lt;=100),"71-100",IF(DB455&gt;100,"+100")))))</f>
        <v>71-100</v>
      </c>
      <c r="DD455">
        <v>1</v>
      </c>
      <c r="DE455">
        <v>1</v>
      </c>
      <c r="DF455">
        <v>1</v>
      </c>
      <c r="DG455">
        <v>1</v>
      </c>
      <c r="DH455">
        <v>0</v>
      </c>
      <c r="DI455">
        <f>SUM(DD455:DG455)</f>
        <v>4</v>
      </c>
      <c r="DJ455" t="str">
        <f>IF(DI455=1,INDEX($DD$7:$DG$7,MATCH(1,$DD455:$DG455,0)),"mixedProduct")</f>
        <v>mixedProduct</v>
      </c>
      <c r="DK455" t="str">
        <f>IF(DD455=1,DK$7,0)</f>
        <v>Upstream</v>
      </c>
      <c r="DL455" t="str">
        <f>IF(DE455=1,DL$7,0)</f>
        <v>Energy</v>
      </c>
      <c r="DM455" t="str">
        <f>IF(DF455=1,DM$7,0)</f>
        <v>Pulp/Paper</v>
      </c>
      <c r="DN455" t="str">
        <f>IF(DG455=1,DN$7,0)</f>
        <v>Timber</v>
      </c>
      <c r="DO455">
        <v>0</v>
      </c>
      <c r="DP455">
        <v>1</v>
      </c>
      <c r="DQ455" t="s">
        <v>2485</v>
      </c>
      <c r="DR455" t="s">
        <v>2486</v>
      </c>
      <c r="DS455"/>
      <c r="DT455">
        <f>SUM(DO455:DP455)</f>
        <v>1</v>
      </c>
      <c r="DU455" s="143" t="str">
        <f>IF(DO455=1,"self-calculated DF",IF(DP455=1,"external DF used","explicit C balance"))</f>
        <v>external DF used</v>
      </c>
      <c r="DV455">
        <v>1</v>
      </c>
      <c r="DW455">
        <v>1</v>
      </c>
      <c r="DX455">
        <v>1</v>
      </c>
      <c r="DY455">
        <v>1</v>
      </c>
      <c r="DZ455">
        <v>1</v>
      </c>
      <c r="EA455" s="143">
        <v>1</v>
      </c>
      <c r="EB455">
        <v>1</v>
      </c>
      <c r="EC455">
        <v>1</v>
      </c>
      <c r="ED455">
        <v>0</v>
      </c>
      <c r="EE455">
        <v>0</v>
      </c>
      <c r="EF455">
        <v>1</v>
      </c>
      <c r="EG455">
        <v>0</v>
      </c>
      <c r="EH455">
        <v>0</v>
      </c>
      <c r="EI455" s="2">
        <v>0</v>
      </c>
      <c r="EJ455" s="1"/>
      <c r="EK455" t="str">
        <f>IF(AND(AND(AND(OR($DX455=1,$DW455=1),OR($EC455=1,$EA455=1)),SUM($DV455:$DZ455,$EF455)&gt;=4),SUM($EA455:$EE455)&gt;=2),"Whole sector","")</f>
        <v>Whole sector</v>
      </c>
      <c r="EL455" t="str">
        <f>IF(AND(AND(OR($DX455=1,$DW455=1),AND($EC455=0,$EA455=0)),SUM($DV455:$DZ455,$EF455)&gt;=4),"Ecosystem approach","")</f>
        <v/>
      </c>
      <c r="EM455" s="2" t="str">
        <f>IF(AND(AND(AND($DX455=0,$DW455=0),OR($EC455=1,$EA455=1)),SUM($EB455:$EE455)&gt;=2),"Technology approach","")</f>
        <v/>
      </c>
      <c r="EN455" t="s">
        <v>2487</v>
      </c>
      <c r="EO455"/>
      <c r="EP455" t="str">
        <f>IF(ISNUMBER(BU455),IF(ABS(BU455-[2]QC_indicators!$B$2)&gt;3*[2]QC_indicators!$C$2,"C ratio",IF(ISNUMBER(BY455),IF(ABS(BY455-[2]QC_indicators!$B$1)&gt;3*[2]QC_indicators!$C$1,"DF","no"))),IF(ISNUMBER(BY455),IF(ABS(BY455-[2]QC_indicators!$B$1)&gt;3*[2]QC_indicators!$C$1,"DF","no")))</f>
        <v>no</v>
      </c>
      <c r="EQ455"/>
      <c r="ER455"/>
      <c r="ES455"/>
      <c r="ET455" s="266" t="s">
        <v>3256</v>
      </c>
      <c r="EU455"/>
    </row>
    <row r="456" spans="1:151" s="139" customFormat="1" ht="15" hidden="1" customHeight="1">
      <c r="A456" s="1" t="s">
        <v>1810</v>
      </c>
      <c r="B456" t="s">
        <v>2477</v>
      </c>
      <c r="C456" t="s">
        <v>2478</v>
      </c>
      <c r="D456" t="s">
        <v>2479</v>
      </c>
      <c r="E456" t="s">
        <v>2480</v>
      </c>
      <c r="F456" t="s">
        <v>2481</v>
      </c>
      <c r="G456" t="s">
        <v>1816</v>
      </c>
      <c r="H456" t="s">
        <v>255</v>
      </c>
      <c r="I456">
        <v>2010</v>
      </c>
      <c r="J456">
        <v>100</v>
      </c>
      <c r="K456" t="s">
        <v>2482</v>
      </c>
      <c r="L456"/>
      <c r="M456" t="str">
        <f>LEFT($D456,FIND(",",$D456)-1)&amp;"_"&amp;I456&amp;L456</f>
        <v>Werner_2010</v>
      </c>
      <c r="N456" t="s">
        <v>223</v>
      </c>
      <c r="O456" s="145" t="s">
        <v>1156</v>
      </c>
      <c r="P456"/>
      <c r="Q456" t="s">
        <v>257</v>
      </c>
      <c r="R456" s="264" t="s">
        <v>224</v>
      </c>
      <c r="S456" s="265" t="s">
        <v>3257</v>
      </c>
      <c r="T456" t="s">
        <v>2484</v>
      </c>
      <c r="U456" t="s">
        <v>2490</v>
      </c>
      <c r="V456">
        <v>2</v>
      </c>
      <c r="W456">
        <v>0</v>
      </c>
      <c r="X456">
        <v>1</v>
      </c>
      <c r="Y456">
        <v>2</v>
      </c>
      <c r="Z456">
        <v>0</v>
      </c>
      <c r="AA456">
        <v>0</v>
      </c>
      <c r="AB456">
        <v>0</v>
      </c>
      <c r="AC456">
        <v>0</v>
      </c>
      <c r="AD456">
        <v>0</v>
      </c>
      <c r="AE456">
        <v>0</v>
      </c>
      <c r="AF456">
        <v>0</v>
      </c>
      <c r="AG456">
        <v>0</v>
      </c>
      <c r="AH456">
        <v>0</v>
      </c>
      <c r="AI456">
        <v>0</v>
      </c>
      <c r="AJ456">
        <v>0</v>
      </c>
      <c r="AK456">
        <v>0</v>
      </c>
      <c r="AL456">
        <v>0</v>
      </c>
      <c r="AM456">
        <v>0</v>
      </c>
      <c r="AN456">
        <v>0</v>
      </c>
      <c r="AO456">
        <v>0</v>
      </c>
      <c r="AP456">
        <v>0</v>
      </c>
      <c r="AQ456">
        <v>0</v>
      </c>
      <c r="AR456">
        <v>0</v>
      </c>
      <c r="AS456">
        <v>0</v>
      </c>
      <c r="AT456">
        <v>0</v>
      </c>
      <c r="AU456">
        <v>0</v>
      </c>
      <c r="AV456">
        <v>0</v>
      </c>
      <c r="AW456">
        <v>0</v>
      </c>
      <c r="AX456" s="141">
        <f>COUNTIF(V456:AW456,"&lt;&gt;0")</f>
        <v>3</v>
      </c>
      <c r="AY456" s="141">
        <f>COUNTIF(V456:AL456,"&lt;&gt;0")</f>
        <v>3</v>
      </c>
      <c r="AZ456">
        <f>COUNTIF(V456:AC456,"&lt;&gt;0")</f>
        <v>3</v>
      </c>
      <c r="BA456">
        <f>COUNTIF(AD456:AI456,"&lt;&gt;0")</f>
        <v>0</v>
      </c>
      <c r="BB456">
        <f>COUNTIF(AJ456:AL456,"&lt;&gt;0")</f>
        <v>0</v>
      </c>
      <c r="BC456">
        <f>COUNTIF(AS456:AW456,"&lt;&gt;0")</f>
        <v>0</v>
      </c>
      <c r="BD456">
        <f>COUNTIF(AM456:AR456,"&lt;&gt;0")</f>
        <v>0</v>
      </c>
      <c r="BE456" t="str">
        <f t="array" ref="BE456">IF(AY456=1,INDEX($V$7:$AL$7,MATCH(TRUE,INDEX($V456:$AW456&lt;&gt;0,),0)),IF(AY456=0,INDEX($AM$7:$AW$7,MATCH(1,$AM456:$AW456,0)),IF(BF456="Multiple strategies","mixed drivers",IF(BF456="Supply chain","multiple supply","multiple silviculture"))))</f>
        <v>multiple silviculture</v>
      </c>
      <c r="BF456" s="2" t="str" cm="1">
        <f t="array" ref="BF456">IF(COUNTIF(AZ456:BB456,"&lt;&gt;0")=1,INDEX($V$4:$AW$4,MATCH(TRUE,INDEX($V456:$AW456&lt;&gt;0,),0)),IF(COUNTIF(AZ456:BB456,"&lt;&gt;0")=0,INDEX($AM$4:$AW$4,MATCH(1,$AM456:$AW456,0)),"Multiple strategies"))</f>
        <v>SilvicultureRemov</v>
      </c>
      <c r="BG456" s="1" t="s">
        <v>322</v>
      </c>
      <c r="BH456" t="s">
        <v>2455</v>
      </c>
      <c r="BI456" s="266" t="s">
        <v>3254</v>
      </c>
      <c r="BJ456" t="s">
        <v>1325</v>
      </c>
      <c r="BK456">
        <v>300</v>
      </c>
      <c r="BL456">
        <v>765</v>
      </c>
      <c r="BM456" s="143">
        <f>BL456/BK456</f>
        <v>2.5499999999999998</v>
      </c>
      <c r="BN456">
        <f>BL456-BK456</f>
        <v>465</v>
      </c>
      <c r="BO456">
        <f>BN456*10^6</f>
        <v>465000000</v>
      </c>
      <c r="BP456" t="s">
        <v>233</v>
      </c>
      <c r="BQ456" s="153" t="s">
        <v>3255</v>
      </c>
      <c r="BR456" t="s">
        <v>2327</v>
      </c>
      <c r="BS456">
        <v>728.49390504704797</v>
      </c>
      <c r="BT456">
        <v>717.72749144568002</v>
      </c>
      <c r="BU456" s="144">
        <f>IFERROR(BT456/BS456,"")</f>
        <v>0.98522099700933996</v>
      </c>
      <c r="BV456" s="144">
        <f>BT456-BS456</f>
        <v>-10.766413601367958</v>
      </c>
      <c r="BW456" s="144"/>
      <c r="BX456">
        <f>BV456*10^6</f>
        <v>-10766413.601367958</v>
      </c>
      <c r="BY456">
        <f>IFERROR(BX456/BO456,"")</f>
        <v>-2.3153577637350448E-2</v>
      </c>
      <c r="BZ456">
        <v>0</v>
      </c>
      <c r="CA456">
        <v>0</v>
      </c>
      <c r="CB456">
        <v>0</v>
      </c>
      <c r="CC456">
        <v>0</v>
      </c>
      <c r="CD456">
        <v>0</v>
      </c>
      <c r="CE456">
        <v>0</v>
      </c>
      <c r="CF456">
        <v>0</v>
      </c>
      <c r="CG456">
        <v>0</v>
      </c>
      <c r="CH456">
        <v>0</v>
      </c>
      <c r="CI456">
        <v>0</v>
      </c>
      <c r="CJ456">
        <v>0</v>
      </c>
      <c r="CK456">
        <v>0</v>
      </c>
      <c r="CL456">
        <v>0</v>
      </c>
      <c r="CM456">
        <v>1</v>
      </c>
      <c r="CN456" t="str">
        <f>IF($BL456&lt;$BK456,"refNeedCorrection","refOK")</f>
        <v>refOK</v>
      </c>
      <c r="CO456">
        <f>IF($CN456="refNeedCorrection",BL456,BK456)</f>
        <v>300</v>
      </c>
      <c r="CP456">
        <f>IF($CN456="refNeedCorrection",BK456,BL456)</f>
        <v>765</v>
      </c>
      <c r="CQ456">
        <f>IF($CN456="refOK",$BO456,-$BO456)</f>
        <v>465000000</v>
      </c>
      <c r="CR456">
        <f>IF($CN456="refOK",$BS456,$BT456)*IF($BP456="Emissions positive",-1,1)</f>
        <v>728.49390504704797</v>
      </c>
      <c r="CS456">
        <f>IF($CN456="refOK",$BT456,$BS456)*IF($BP456="Emissions positive",-1,1)</f>
        <v>717.72749144568002</v>
      </c>
      <c r="CT456">
        <f>IF($CN456="refNeedCorrection",-BX456,BX456)*IF($BP456="Emissions positive",-1,1)</f>
        <v>-10766413.601367958</v>
      </c>
      <c r="CU456">
        <f>IFERROR(CT456/CQ456,"")</f>
        <v>-2.3153577637350448E-2</v>
      </c>
      <c r="CV456" s="2">
        <f>IFERROR((CS456-CR456)/ABS(CR456),"")</f>
        <v>-1.4779002990660074E-2</v>
      </c>
      <c r="CW456" s="1" t="s">
        <v>1205</v>
      </c>
      <c r="CX456" t="str">
        <f>IF(OR($CW456="prd",$CW456="std",$CW456="cit"),"loc",IF(OR($CW456="eur",$CW456="reg",$CW456="coy"),"reg",$CW456))</f>
        <v>reg</v>
      </c>
      <c r="CY456" t="s">
        <v>641</v>
      </c>
      <c r="CZ456">
        <v>2000</v>
      </c>
      <c r="DA456">
        <v>2090</v>
      </c>
      <c r="DB456">
        <f>DA456-CZ456</f>
        <v>90</v>
      </c>
      <c r="DC456" t="str">
        <f>IF(DB456=0,"0",IF(AND(DB456&gt;=1,DB456&lt;=30),"1-30",IF(AND(DB456&gt;30,DB456&lt;=70),"31-70",IF(AND(DB456&gt;70,DB456&lt;=100),"71-100",IF(DB456&gt;100,"+100")))))</f>
        <v>71-100</v>
      </c>
      <c r="DD456">
        <v>0</v>
      </c>
      <c r="DE456">
        <v>1</v>
      </c>
      <c r="DF456">
        <v>0</v>
      </c>
      <c r="DG456">
        <v>0</v>
      </c>
      <c r="DH456">
        <v>0</v>
      </c>
      <c r="DI456">
        <f>SUM(DD456:DG456)</f>
        <v>1</v>
      </c>
      <c r="DJ456" t="str">
        <f>IF(DI456=1,INDEX($DD$7:$DG$7,MATCH(1,$DD456:$DG456,0)),"mixedProduct")</f>
        <v>EnergyInput</v>
      </c>
      <c r="DK456">
        <f>IF(DD456=1,DK$7,0)</f>
        <v>0</v>
      </c>
      <c r="DL456" t="str">
        <f>IF(DE456=1,DL$7,0)</f>
        <v>Energy</v>
      </c>
      <c r="DM456">
        <f>IF(DF456=1,DM$7,0)</f>
        <v>0</v>
      </c>
      <c r="DN456">
        <f>IF(DG456=1,DN$7,0)</f>
        <v>0</v>
      </c>
      <c r="DO456">
        <v>0</v>
      </c>
      <c r="DP456">
        <v>1</v>
      </c>
      <c r="DQ456" t="s">
        <v>2485</v>
      </c>
      <c r="DR456" t="s">
        <v>2486</v>
      </c>
      <c r="DS456"/>
      <c r="DT456">
        <f>SUM(DO456:DP456)</f>
        <v>1</v>
      </c>
      <c r="DU456" s="143" t="str">
        <f>IF(DO456=1,"self-calculated DF",IF(DP456=1,"external DF used","explicit C balance"))</f>
        <v>external DF used</v>
      </c>
      <c r="DV456">
        <v>1</v>
      </c>
      <c r="DW456">
        <v>1</v>
      </c>
      <c r="DX456">
        <v>1</v>
      </c>
      <c r="DY456">
        <v>1</v>
      </c>
      <c r="DZ456">
        <v>1</v>
      </c>
      <c r="EA456" s="143">
        <v>1</v>
      </c>
      <c r="EB456">
        <v>1</v>
      </c>
      <c r="EC456">
        <v>1</v>
      </c>
      <c r="ED456">
        <v>0</v>
      </c>
      <c r="EE456">
        <v>0</v>
      </c>
      <c r="EF456">
        <v>1</v>
      </c>
      <c r="EG456">
        <v>0</v>
      </c>
      <c r="EH456">
        <v>0</v>
      </c>
      <c r="EI456" s="2">
        <v>0</v>
      </c>
      <c r="EJ456" s="1"/>
      <c r="EK456" t="str">
        <f>IF(AND(AND(AND(OR($DX456=1,$DW456=1),OR($EC456=1,$EA456=1)),SUM($DV456:$DZ456,$EF456)&gt;=4),SUM($EA456:$EE456)&gt;=2),"Whole sector","")</f>
        <v>Whole sector</v>
      </c>
      <c r="EL456" t="str">
        <f>IF(AND(AND(OR($DX456=1,$DW456=1),AND($EC456=0,$EA456=0)),SUM($DV456:$DZ456,$EF456)&gt;=4),"Ecosystem approach","")</f>
        <v/>
      </c>
      <c r="EM456" s="2" t="str">
        <f>IF(AND(AND(AND($DX456=0,$DW456=0),OR($EC456=1,$EA456=1)),SUM($EB456:$EE456)&gt;=2),"Technology approach","")</f>
        <v/>
      </c>
      <c r="EN456" t="s">
        <v>2487</v>
      </c>
      <c r="EO456"/>
      <c r="EP456" t="str">
        <f>IF(ISNUMBER(BU456),IF(ABS(BU456-[2]QC_indicators!$B$2)&gt;3*[2]QC_indicators!$C$2,"C ratio",IF(ISNUMBER(BY456),IF(ABS(BY456-[2]QC_indicators!$B$1)&gt;3*[2]QC_indicators!$C$1,"DF","no"))),IF(ISNUMBER(BY456),IF(ABS(BY456-[2]QC_indicators!$B$1)&gt;3*[2]QC_indicators!$C$1,"DF","no")))</f>
        <v>no</v>
      </c>
      <c r="EQ456"/>
      <c r="ER456"/>
      <c r="ES456"/>
      <c r="ET456" s="266" t="s">
        <v>3256</v>
      </c>
      <c r="EU456"/>
    </row>
    <row r="457" spans="1:151" s="139" customFormat="1" ht="15" hidden="1" customHeight="1">
      <c r="A457" s="1" t="s">
        <v>1810</v>
      </c>
      <c r="B457" t="s">
        <v>2477</v>
      </c>
      <c r="C457" t="s">
        <v>2478</v>
      </c>
      <c r="D457" t="s">
        <v>2479</v>
      </c>
      <c r="E457" t="s">
        <v>2480</v>
      </c>
      <c r="F457" t="s">
        <v>2481</v>
      </c>
      <c r="G457" t="s">
        <v>1816</v>
      </c>
      <c r="H457" t="s">
        <v>255</v>
      </c>
      <c r="I457">
        <v>2010</v>
      </c>
      <c r="J457">
        <v>100</v>
      </c>
      <c r="K457" t="s">
        <v>2482</v>
      </c>
      <c r="L457"/>
      <c r="M457" t="str">
        <f>LEFT($D457,FIND(",",$D457)-1)&amp;"_"&amp;I457&amp;L457</f>
        <v>Werner_2010</v>
      </c>
      <c r="N457" t="s">
        <v>223</v>
      </c>
      <c r="O457" s="145" t="s">
        <v>1156</v>
      </c>
      <c r="P457"/>
      <c r="Q457" t="s">
        <v>257</v>
      </c>
      <c r="R457" s="264" t="s">
        <v>224</v>
      </c>
      <c r="S457" s="265" t="s">
        <v>3257</v>
      </c>
      <c r="T457" t="s">
        <v>2484</v>
      </c>
      <c r="U457" t="s">
        <v>2489</v>
      </c>
      <c r="V457">
        <v>2</v>
      </c>
      <c r="W457">
        <v>0</v>
      </c>
      <c r="X457">
        <v>1</v>
      </c>
      <c r="Y457">
        <v>2</v>
      </c>
      <c r="Z457">
        <v>0</v>
      </c>
      <c r="AA457">
        <v>0</v>
      </c>
      <c r="AB457">
        <v>0</v>
      </c>
      <c r="AC457">
        <v>0</v>
      </c>
      <c r="AD457">
        <v>0</v>
      </c>
      <c r="AE457">
        <v>0</v>
      </c>
      <c r="AF457">
        <v>0</v>
      </c>
      <c r="AG457">
        <v>0</v>
      </c>
      <c r="AH457">
        <v>0</v>
      </c>
      <c r="AI457">
        <v>0</v>
      </c>
      <c r="AJ457">
        <v>0</v>
      </c>
      <c r="AK457">
        <v>0</v>
      </c>
      <c r="AL457">
        <v>0</v>
      </c>
      <c r="AM457">
        <v>0</v>
      </c>
      <c r="AN457">
        <v>0</v>
      </c>
      <c r="AO457">
        <v>0</v>
      </c>
      <c r="AP457">
        <v>0</v>
      </c>
      <c r="AQ457">
        <v>0</v>
      </c>
      <c r="AR457">
        <v>0</v>
      </c>
      <c r="AS457">
        <v>0</v>
      </c>
      <c r="AT457">
        <v>0</v>
      </c>
      <c r="AU457">
        <v>0</v>
      </c>
      <c r="AV457">
        <v>0</v>
      </c>
      <c r="AW457">
        <v>0</v>
      </c>
      <c r="AX457" s="141">
        <f>COUNTIF(V457:AW457,"&lt;&gt;0")</f>
        <v>3</v>
      </c>
      <c r="AY457" s="141">
        <f>COUNTIF(V457:AL457,"&lt;&gt;0")</f>
        <v>3</v>
      </c>
      <c r="AZ457">
        <f>COUNTIF(V457:AC457,"&lt;&gt;0")</f>
        <v>3</v>
      </c>
      <c r="BA457">
        <f>COUNTIF(AD457:AI457,"&lt;&gt;0")</f>
        <v>0</v>
      </c>
      <c r="BB457">
        <f>COUNTIF(AJ457:AL457,"&lt;&gt;0")</f>
        <v>0</v>
      </c>
      <c r="BC457">
        <f>COUNTIF(AS457:AW457,"&lt;&gt;0")</f>
        <v>0</v>
      </c>
      <c r="BD457">
        <f>COUNTIF(AM457:AR457,"&lt;&gt;0")</f>
        <v>0</v>
      </c>
      <c r="BE457" t="str">
        <f t="array" ref="BE457">IF(AY457=1,INDEX($V$7:$AL$7,MATCH(TRUE,INDEX($V457:$AW457&lt;&gt;0,),0)),IF(AY457=0,INDEX($AM$7:$AW$7,MATCH(1,$AM457:$AW457,0)),IF(BF457="Multiple strategies","mixed drivers",IF(BF457="Supply chain","multiple supply","multiple silviculture"))))</f>
        <v>multiple silviculture</v>
      </c>
      <c r="BF457" s="2" t="str" cm="1">
        <f t="array" ref="BF457">IF(COUNTIF(AZ457:BB457,"&lt;&gt;0")=1,INDEX($V$4:$AW$4,MATCH(TRUE,INDEX($V457:$AW457&lt;&gt;0,),0)),IF(COUNTIF(AZ457:BB457,"&lt;&gt;0")=0,INDEX($AM$4:$AW$4,MATCH(1,$AM457:$AW457,0)),"Multiple strategies"))</f>
        <v>SilvicultureRemov</v>
      </c>
      <c r="BG457" s="1" t="s">
        <v>322</v>
      </c>
      <c r="BH457" t="s">
        <v>2455</v>
      </c>
      <c r="BI457" s="266" t="s">
        <v>3254</v>
      </c>
      <c r="BJ457" t="s">
        <v>1325</v>
      </c>
      <c r="BK457">
        <v>300</v>
      </c>
      <c r="BL457">
        <v>765</v>
      </c>
      <c r="BM457" s="143">
        <f>BL457/BK457</f>
        <v>2.5499999999999998</v>
      </c>
      <c r="BN457">
        <f>BL457-BK457</f>
        <v>465</v>
      </c>
      <c r="BO457">
        <f>BN457*10^6</f>
        <v>465000000</v>
      </c>
      <c r="BP457" t="s">
        <v>233</v>
      </c>
      <c r="BQ457" s="153" t="s">
        <v>3255</v>
      </c>
      <c r="BR457" t="s">
        <v>2327</v>
      </c>
      <c r="BS457">
        <v>728.49390504704797</v>
      </c>
      <c r="BT457">
        <v>894.96230752780104</v>
      </c>
      <c r="BU457" s="144">
        <f>IFERROR(BT457/BS457,"")</f>
        <v>1.2285103572280431</v>
      </c>
      <c r="BV457" s="144">
        <f>BT457-BS457</f>
        <v>166.46840248075307</v>
      </c>
      <c r="BW457" s="144"/>
      <c r="BX457">
        <f>BV457*10^6</f>
        <v>166468402.48075306</v>
      </c>
      <c r="BY457">
        <f>IFERROR(BX457/BO457,"")</f>
        <v>0.35799656447473777</v>
      </c>
      <c r="BZ457">
        <v>0</v>
      </c>
      <c r="CA457">
        <v>0</v>
      </c>
      <c r="CB457">
        <v>0</v>
      </c>
      <c r="CC457">
        <v>0</v>
      </c>
      <c r="CD457">
        <v>0</v>
      </c>
      <c r="CE457">
        <v>0</v>
      </c>
      <c r="CF457">
        <v>0</v>
      </c>
      <c r="CG457">
        <v>0</v>
      </c>
      <c r="CH457">
        <v>0</v>
      </c>
      <c r="CI457">
        <v>0</v>
      </c>
      <c r="CJ457">
        <v>0</v>
      </c>
      <c r="CK457">
        <v>0</v>
      </c>
      <c r="CL457">
        <v>0</v>
      </c>
      <c r="CM457">
        <v>1</v>
      </c>
      <c r="CN457" t="str">
        <f>IF($BL457&lt;$BK457,"refNeedCorrection","refOK")</f>
        <v>refOK</v>
      </c>
      <c r="CO457">
        <f>IF($CN457="refNeedCorrection",BL457,BK457)</f>
        <v>300</v>
      </c>
      <c r="CP457">
        <f>IF($CN457="refNeedCorrection",BK457,BL457)</f>
        <v>765</v>
      </c>
      <c r="CQ457">
        <f>IF($CN457="refOK",$BO457,-$BO457)</f>
        <v>465000000</v>
      </c>
      <c r="CR457">
        <f>IF($CN457="refOK",$BS457,$BT457)*IF($BP457="Emissions positive",-1,1)</f>
        <v>728.49390504704797</v>
      </c>
      <c r="CS457">
        <f>IF($CN457="refOK",$BT457,$BS457)*IF($BP457="Emissions positive",-1,1)</f>
        <v>894.96230752780104</v>
      </c>
      <c r="CT457">
        <f>IF($CN457="refNeedCorrection",-BX457,BX457)*IF($BP457="Emissions positive",-1,1)</f>
        <v>166468402.48075306</v>
      </c>
      <c r="CU457">
        <f>IFERROR(CT457/CQ457,"")</f>
        <v>0.35799656447473777</v>
      </c>
      <c r="CV457" s="2">
        <f>IFERROR((CS457-CR457)/ABS(CR457),"")</f>
        <v>0.22851035722804314</v>
      </c>
      <c r="CW457" s="1" t="s">
        <v>1205</v>
      </c>
      <c r="CX457" t="str">
        <f>IF(OR($CW457="prd",$CW457="std",$CW457="cit"),"loc",IF(OR($CW457="eur",$CW457="reg",$CW457="coy"),"reg",$CW457))</f>
        <v>reg</v>
      </c>
      <c r="CY457" t="s">
        <v>641</v>
      </c>
      <c r="CZ457">
        <v>2000</v>
      </c>
      <c r="DA457">
        <v>2090</v>
      </c>
      <c r="DB457">
        <f>DA457-CZ457</f>
        <v>90</v>
      </c>
      <c r="DC457" t="str">
        <f>IF(DB457=0,"0",IF(AND(DB457&gt;=1,DB457&lt;=30),"1-30",IF(AND(DB457&gt;30,DB457&lt;=70),"31-70",IF(AND(DB457&gt;70,DB457&lt;=100),"71-100",IF(DB457&gt;100,"+100")))))</f>
        <v>71-100</v>
      </c>
      <c r="DD457">
        <v>0</v>
      </c>
      <c r="DE457">
        <v>0</v>
      </c>
      <c r="DF457">
        <v>0</v>
      </c>
      <c r="DG457">
        <v>1</v>
      </c>
      <c r="DH457">
        <v>0</v>
      </c>
      <c r="DI457">
        <f>SUM(DD457:DG457)</f>
        <v>1</v>
      </c>
      <c r="DJ457" t="str">
        <f>IF(DI457=1,INDEX($DD$7:$DG$7,MATCH(1,$DD457:$DG457,0)),"mixedProduct")</f>
        <v>TimberInput</v>
      </c>
      <c r="DK457">
        <f>IF(DD457=1,DK$7,0)</f>
        <v>0</v>
      </c>
      <c r="DL457">
        <f>IF(DE457=1,DL$7,0)</f>
        <v>0</v>
      </c>
      <c r="DM457">
        <f>IF(DF457=1,DM$7,0)</f>
        <v>0</v>
      </c>
      <c r="DN457" t="str">
        <f>IF(DG457=1,DN$7,0)</f>
        <v>Timber</v>
      </c>
      <c r="DO457">
        <v>0</v>
      </c>
      <c r="DP457">
        <v>1</v>
      </c>
      <c r="DQ457" t="s">
        <v>2485</v>
      </c>
      <c r="DR457" t="s">
        <v>2486</v>
      </c>
      <c r="DS457"/>
      <c r="DT457">
        <f>SUM(DO457:DP457)</f>
        <v>1</v>
      </c>
      <c r="DU457" s="143" t="str">
        <f>IF(DO457=1,"self-calculated DF",IF(DP457=1,"external DF used","explicit C balance"))</f>
        <v>external DF used</v>
      </c>
      <c r="DV457">
        <v>1</v>
      </c>
      <c r="DW457">
        <v>1</v>
      </c>
      <c r="DX457">
        <v>1</v>
      </c>
      <c r="DY457">
        <v>1</v>
      </c>
      <c r="DZ457">
        <v>1</v>
      </c>
      <c r="EA457" s="143">
        <v>1</v>
      </c>
      <c r="EB457">
        <v>1</v>
      </c>
      <c r="EC457">
        <v>1</v>
      </c>
      <c r="ED457">
        <v>0</v>
      </c>
      <c r="EE457">
        <v>0</v>
      </c>
      <c r="EF457">
        <v>1</v>
      </c>
      <c r="EG457">
        <v>0</v>
      </c>
      <c r="EH457">
        <v>0</v>
      </c>
      <c r="EI457" s="2">
        <v>0</v>
      </c>
      <c r="EJ457" s="1"/>
      <c r="EK457" t="str">
        <f>IF(AND(AND(AND(OR($DX457=1,$DW457=1),OR($EC457=1,$EA457=1)),SUM($DV457:$DZ457,$EF457)&gt;=4),SUM($EA457:$EE457)&gt;=2),"Whole sector","")</f>
        <v>Whole sector</v>
      </c>
      <c r="EL457" t="str">
        <f>IF(AND(AND(OR($DX457=1,$DW457=1),AND($EC457=0,$EA457=0)),SUM($DV457:$DZ457,$EF457)&gt;=4),"Ecosystem approach","")</f>
        <v/>
      </c>
      <c r="EM457" s="2" t="str">
        <f>IF(AND(AND(AND($DX457=0,$DW457=0),OR($EC457=1,$EA457=1)),SUM($EB457:$EE457)&gt;=2),"Technology approach","")</f>
        <v/>
      </c>
      <c r="EN457" t="s">
        <v>2487</v>
      </c>
      <c r="EO457"/>
      <c r="EP457" t="str">
        <f>IF(ISNUMBER(BU457),IF(ABS(BU457-[2]QC_indicators!$B$2)&gt;3*[2]QC_indicators!$C$2,"C ratio",IF(ISNUMBER(BY457),IF(ABS(BY457-[2]QC_indicators!$B$1)&gt;3*[2]QC_indicators!$C$1,"DF","no"))),IF(ISNUMBER(BY457),IF(ABS(BY457-[2]QC_indicators!$B$1)&gt;3*[2]QC_indicators!$C$1,"DF","no")))</f>
        <v>no</v>
      </c>
      <c r="EQ457"/>
      <c r="ER457"/>
      <c r="ES457"/>
      <c r="ET457" s="266" t="s">
        <v>3256</v>
      </c>
      <c r="EU457"/>
    </row>
    <row r="458" spans="1:151" s="139" customFormat="1" ht="15" hidden="1" customHeight="1">
      <c r="A458" s="1" t="s">
        <v>1810</v>
      </c>
      <c r="B458" t="s">
        <v>2477</v>
      </c>
      <c r="C458" t="s">
        <v>2478</v>
      </c>
      <c r="D458" t="s">
        <v>2479</v>
      </c>
      <c r="E458" t="s">
        <v>2480</v>
      </c>
      <c r="F458" t="s">
        <v>2481</v>
      </c>
      <c r="G458" t="s">
        <v>1816</v>
      </c>
      <c r="H458" t="s">
        <v>255</v>
      </c>
      <c r="I458">
        <v>2010</v>
      </c>
      <c r="J458">
        <v>100</v>
      </c>
      <c r="K458" t="s">
        <v>2482</v>
      </c>
      <c r="L458"/>
      <c r="M458" t="str">
        <f>LEFT($D458,FIND(",",$D458)-1)&amp;"_"&amp;I458&amp;L458</f>
        <v>Werner_2010</v>
      </c>
      <c r="N458" t="s">
        <v>223</v>
      </c>
      <c r="O458" s="145" t="s">
        <v>1156</v>
      </c>
      <c r="P458"/>
      <c r="Q458" t="s">
        <v>257</v>
      </c>
      <c r="R458" s="264" t="s">
        <v>224</v>
      </c>
      <c r="S458" s="1" t="s">
        <v>2483</v>
      </c>
      <c r="T458" t="s">
        <v>2484</v>
      </c>
      <c r="U458" t="s">
        <v>2488</v>
      </c>
      <c r="V458">
        <v>1</v>
      </c>
      <c r="W458">
        <v>0</v>
      </c>
      <c r="X458">
        <v>2</v>
      </c>
      <c r="Y458">
        <v>0</v>
      </c>
      <c r="Z458">
        <v>0</v>
      </c>
      <c r="AA458">
        <v>0</v>
      </c>
      <c r="AB458">
        <v>0</v>
      </c>
      <c r="AC458">
        <v>0</v>
      </c>
      <c r="AD458">
        <v>0</v>
      </c>
      <c r="AE458">
        <v>0</v>
      </c>
      <c r="AF458">
        <v>0</v>
      </c>
      <c r="AG458">
        <v>0</v>
      </c>
      <c r="AH458">
        <v>0</v>
      </c>
      <c r="AI458">
        <v>0</v>
      </c>
      <c r="AJ458">
        <v>0</v>
      </c>
      <c r="AK458">
        <v>0</v>
      </c>
      <c r="AL458">
        <v>0</v>
      </c>
      <c r="AM458">
        <v>0</v>
      </c>
      <c r="AN458">
        <v>0</v>
      </c>
      <c r="AO458">
        <v>0</v>
      </c>
      <c r="AP458">
        <v>0</v>
      </c>
      <c r="AQ458">
        <v>0</v>
      </c>
      <c r="AR458">
        <v>0</v>
      </c>
      <c r="AS458">
        <v>0</v>
      </c>
      <c r="AT458">
        <v>0</v>
      </c>
      <c r="AU458">
        <v>0</v>
      </c>
      <c r="AV458">
        <v>0</v>
      </c>
      <c r="AW458">
        <v>0</v>
      </c>
      <c r="AX458" s="141">
        <f>COUNTIF(V458:AW458,"&lt;&gt;0")</f>
        <v>2</v>
      </c>
      <c r="AY458" s="141">
        <f>COUNTIF(V458:AL458,"&lt;&gt;0")</f>
        <v>2</v>
      </c>
      <c r="AZ458">
        <f>COUNTIF(V458:AC458,"&lt;&gt;0")</f>
        <v>2</v>
      </c>
      <c r="BA458">
        <f>COUNTIF(AD458:AI458,"&lt;&gt;0")</f>
        <v>0</v>
      </c>
      <c r="BB458">
        <f>COUNTIF(AJ458:AL458,"&lt;&gt;0")</f>
        <v>0</v>
      </c>
      <c r="BC458">
        <f>COUNTIF(AS458:AW458,"&lt;&gt;0")</f>
        <v>0</v>
      </c>
      <c r="BD458">
        <f>COUNTIF(AM458:AR458,"&lt;&gt;0")</f>
        <v>0</v>
      </c>
      <c r="BE458" t="str">
        <f t="array" ref="BE458">IF(AY458=1,INDEX($V$7:$AL$7,MATCH(TRUE,INDEX($V458:$AW458&lt;&gt;0,),0)),IF(AY458=0,INDEX($AM$7:$AW$7,MATCH(1,$AM458:$AW458,0)),IF(BF458="Multiple strategies","mixed drivers",IF(BF458="Supply chain","multiple supply","multiple silviculture"))))</f>
        <v>multiple silviculture</v>
      </c>
      <c r="BF458" s="2" t="str" cm="1">
        <f t="array" ref="BF458">IF(COUNTIF(AZ458:BB458,"&lt;&gt;0")=1,INDEX($V$4:$AW$4,MATCH(TRUE,INDEX($V458:$AW458&lt;&gt;0,),0)),IF(COUNTIF(AZ458:BB458,"&lt;&gt;0")=0,INDEX($AM$4:$AW$4,MATCH(1,$AM458:$AW458,0)),"Multiple strategies"))</f>
        <v>SilvicultureRemov</v>
      </c>
      <c r="BG458" s="1" t="s">
        <v>322</v>
      </c>
      <c r="BH458" t="s">
        <v>2455</v>
      </c>
      <c r="BI458" s="266" t="s">
        <v>3254</v>
      </c>
      <c r="BJ458" t="s">
        <v>1325</v>
      </c>
      <c r="BK458">
        <v>300</v>
      </c>
      <c r="BL458">
        <v>712.5</v>
      </c>
      <c r="BM458" s="143">
        <f>BL458/BK458</f>
        <v>2.375</v>
      </c>
      <c r="BN458">
        <f>BL458-BK458</f>
        <v>412.5</v>
      </c>
      <c r="BO458">
        <f>BN458*1000000</f>
        <v>412500000</v>
      </c>
      <c r="BP458" t="s">
        <v>233</v>
      </c>
      <c r="BQ458" s="153" t="s">
        <v>3255</v>
      </c>
      <c r="BR458" t="s">
        <v>2327</v>
      </c>
      <c r="BS458">
        <v>728.49390504704797</v>
      </c>
      <c r="BT458">
        <v>932.44760479041895</v>
      </c>
      <c r="BU458" s="144">
        <f>IFERROR(BT458/BS458,"")</f>
        <v>1.2799662403904384</v>
      </c>
      <c r="BV458" s="144">
        <f>BT458-BS458</f>
        <v>203.95369974337098</v>
      </c>
      <c r="BW458" s="144"/>
      <c r="BX458">
        <f>BV458*10^6</f>
        <v>203953699.74337098</v>
      </c>
      <c r="BY458">
        <f>IFERROR(BX458/BO458,"")</f>
        <v>0.49443321149908115</v>
      </c>
      <c r="BZ458">
        <v>0</v>
      </c>
      <c r="CA458">
        <v>0</v>
      </c>
      <c r="CB458">
        <v>0</v>
      </c>
      <c r="CC458">
        <v>0</v>
      </c>
      <c r="CD458">
        <v>0</v>
      </c>
      <c r="CE458">
        <v>0</v>
      </c>
      <c r="CF458">
        <v>0</v>
      </c>
      <c r="CG458">
        <v>0</v>
      </c>
      <c r="CH458">
        <v>0</v>
      </c>
      <c r="CI458">
        <v>0</v>
      </c>
      <c r="CJ458">
        <v>0</v>
      </c>
      <c r="CK458">
        <v>0</v>
      </c>
      <c r="CL458">
        <v>0</v>
      </c>
      <c r="CM458">
        <v>1</v>
      </c>
      <c r="CN458" t="str">
        <f>IF($BL458&lt;$BK458,"refNeedCorrection","refOK")</f>
        <v>refOK</v>
      </c>
      <c r="CO458">
        <f>IF($CN458="refNeedCorrection",BL458,BK458)</f>
        <v>300</v>
      </c>
      <c r="CP458">
        <f>IF($CN458="refNeedCorrection",BK458,BL458)</f>
        <v>712.5</v>
      </c>
      <c r="CQ458">
        <f>IF($CN458="refOK",$BO458,-$BO458)</f>
        <v>412500000</v>
      </c>
      <c r="CR458">
        <f>IF($CN458="refOK",$BS458,$BT458)*IF($BP458="Emissions positive",-1,1)</f>
        <v>728.49390504704797</v>
      </c>
      <c r="CS458">
        <f>IF($CN458="refOK",$BT458,$BS458)*IF($BP458="Emissions positive",-1,1)</f>
        <v>932.44760479041895</v>
      </c>
      <c r="CT458">
        <f>IF($CN458="refNeedCorrection",-BX458,BX458)*IF($BP458="Emissions positive",-1,1)</f>
        <v>203953699.74337098</v>
      </c>
      <c r="CU458">
        <f>IFERROR(CT458/CQ458,"")</f>
        <v>0.49443321149908115</v>
      </c>
      <c r="CV458" s="2">
        <f>IFERROR((CS458-CR458)/ABS(CR458),"")</f>
        <v>0.27996624039043833</v>
      </c>
      <c r="CW458" s="1" t="s">
        <v>1205</v>
      </c>
      <c r="CX458" t="str">
        <f>IF(OR($CW458="prd",$CW458="std",$CW458="cit"),"loc",IF(OR($CW458="eur",$CW458="reg",$CW458="coy"),"reg",$CW458))</f>
        <v>reg</v>
      </c>
      <c r="CY458" t="s">
        <v>641</v>
      </c>
      <c r="CZ458">
        <v>2000</v>
      </c>
      <c r="DA458">
        <v>2090</v>
      </c>
      <c r="DB458">
        <f>DA458-CZ458</f>
        <v>90</v>
      </c>
      <c r="DC458" t="str">
        <f>IF(DB458=0,"0",IF(AND(DB458&gt;=1,DB458&lt;=30),"1-30",IF(AND(DB458&gt;30,DB458&lt;=70),"31-70",IF(AND(DB458&gt;70,DB458&lt;=100),"71-100",IF(DB458&gt;100,"+100")))))</f>
        <v>71-100</v>
      </c>
      <c r="DD458">
        <v>1</v>
      </c>
      <c r="DE458">
        <v>1</v>
      </c>
      <c r="DF458">
        <v>1</v>
      </c>
      <c r="DG458">
        <v>1</v>
      </c>
      <c r="DH458">
        <v>0</v>
      </c>
      <c r="DI458">
        <f>SUM(DD458:DG458)</f>
        <v>4</v>
      </c>
      <c r="DJ458" t="str">
        <f>IF(DI458=1,INDEX($DD$7:$DG$7,MATCH(1,$DD458:$DG458,0)),"mixedProduct")</f>
        <v>mixedProduct</v>
      </c>
      <c r="DK458" t="str">
        <f>IF(DD458=1,DK$7,0)</f>
        <v>Upstream</v>
      </c>
      <c r="DL458" t="str">
        <f>IF(DE458=1,DL$7,0)</f>
        <v>Energy</v>
      </c>
      <c r="DM458" t="str">
        <f>IF(DF458=1,DM$7,0)</f>
        <v>Pulp/Paper</v>
      </c>
      <c r="DN458" t="str">
        <f>IF(DG458=1,DN$7,0)</f>
        <v>Timber</v>
      </c>
      <c r="DO458">
        <v>0</v>
      </c>
      <c r="DP458">
        <v>1</v>
      </c>
      <c r="DQ458" t="s">
        <v>2485</v>
      </c>
      <c r="DR458" t="s">
        <v>2486</v>
      </c>
      <c r="DS458"/>
      <c r="DT458">
        <f>SUM(DO458:DP458)</f>
        <v>1</v>
      </c>
      <c r="DU458" s="143" t="str">
        <f>IF(DO458=1,"self-calculated DF",IF(DP458=1,"external DF used","explicit C balance"))</f>
        <v>external DF used</v>
      </c>
      <c r="DV458">
        <v>1</v>
      </c>
      <c r="DW458">
        <v>1</v>
      </c>
      <c r="DX458">
        <v>1</v>
      </c>
      <c r="DY458">
        <v>1</v>
      </c>
      <c r="DZ458">
        <v>1</v>
      </c>
      <c r="EA458" s="143">
        <v>1</v>
      </c>
      <c r="EB458">
        <v>1</v>
      </c>
      <c r="EC458">
        <v>1</v>
      </c>
      <c r="ED458">
        <v>0</v>
      </c>
      <c r="EE458">
        <v>0</v>
      </c>
      <c r="EF458">
        <v>1</v>
      </c>
      <c r="EG458">
        <v>0</v>
      </c>
      <c r="EH458">
        <v>0</v>
      </c>
      <c r="EI458" s="2">
        <v>0</v>
      </c>
      <c r="EJ458" s="1"/>
      <c r="EK458" t="str">
        <f>IF(AND(AND(AND(OR($DX458=1,$DW458=1),OR($EC458=1,$EA458=1)),SUM($DV458:$DZ458,$EF458)&gt;=4),SUM($EA458:$EE458)&gt;=2),"Whole sector","")</f>
        <v>Whole sector</v>
      </c>
      <c r="EL458" t="str">
        <f>IF(AND(AND(OR($DX458=1,$DW458=1),AND($EC458=0,$EA458=0)),SUM($DV458:$DZ458,$EF458)&gt;=4),"Ecosystem approach","")</f>
        <v/>
      </c>
      <c r="EM458" s="2" t="str">
        <f>IF(AND(AND(AND($DX458=0,$DW458=0),OR($EC458=1,$EA458=1)),SUM($EB458:$EE458)&gt;=2),"Technology approach","")</f>
        <v/>
      </c>
      <c r="EN458" t="s">
        <v>2487</v>
      </c>
      <c r="EO458"/>
      <c r="EP458" t="str">
        <f>IF(ISNUMBER(BU458),IF(ABS(BU458-[2]QC_indicators!$B$2)&gt;3*[2]QC_indicators!$C$2,"C ratio",IF(ISNUMBER(BY458),IF(ABS(BY458-[2]QC_indicators!$B$1)&gt;3*[2]QC_indicators!$C$1,"DF","no"))),IF(ISNUMBER(BY458),IF(ABS(BY458-[2]QC_indicators!$B$1)&gt;3*[2]QC_indicators!$C$1,"DF","no")))</f>
        <v>no</v>
      </c>
      <c r="EQ458"/>
      <c r="ER458"/>
      <c r="ES458"/>
      <c r="ET458" s="266" t="s">
        <v>3256</v>
      </c>
      <c r="EU458"/>
    </row>
    <row r="459" spans="1:151" s="139" customFormat="1" ht="15" hidden="1" customHeight="1">
      <c r="A459" s="1" t="s">
        <v>1206</v>
      </c>
      <c r="B459" t="s">
        <v>1207</v>
      </c>
      <c r="C459" t="s">
        <v>1208</v>
      </c>
      <c r="D459" t="s">
        <v>1209</v>
      </c>
      <c r="E459" t="s">
        <v>1210</v>
      </c>
      <c r="F459" t="s">
        <v>1211</v>
      </c>
      <c r="G459" t="s">
        <v>1212</v>
      </c>
      <c r="H459"/>
      <c r="I459">
        <v>2006</v>
      </c>
      <c r="J459"/>
      <c r="K459" t="s">
        <v>1213</v>
      </c>
      <c r="L459"/>
      <c r="M459" t="str">
        <f>LEFT($D459,FIND(",",$D459)-1)&amp;"_"&amp;I459&amp;L459</f>
        <v>Backeus_2006</v>
      </c>
      <c r="N459" t="s">
        <v>223</v>
      </c>
      <c r="O459" s="140" t="s">
        <v>275</v>
      </c>
      <c r="P459"/>
      <c r="Q459" t="s">
        <v>225</v>
      </c>
      <c r="R459" s="255" t="s">
        <v>224</v>
      </c>
      <c r="S459" s="265" t="s">
        <v>3089</v>
      </c>
      <c r="T459" t="s">
        <v>1214</v>
      </c>
      <c r="U459" t="s">
        <v>1215</v>
      </c>
      <c r="V459">
        <v>0</v>
      </c>
      <c r="W459">
        <v>0</v>
      </c>
      <c r="X459">
        <v>0</v>
      </c>
      <c r="Y459">
        <v>1</v>
      </c>
      <c r="Z459">
        <v>0</v>
      </c>
      <c r="AA459">
        <v>0</v>
      </c>
      <c r="AB459">
        <v>0</v>
      </c>
      <c r="AC459">
        <v>0</v>
      </c>
      <c r="AD459">
        <v>0</v>
      </c>
      <c r="AE459">
        <v>0</v>
      </c>
      <c r="AF459">
        <v>0</v>
      </c>
      <c r="AG459">
        <v>0</v>
      </c>
      <c r="AH459">
        <v>0</v>
      </c>
      <c r="AI459">
        <v>0</v>
      </c>
      <c r="AJ459">
        <v>0</v>
      </c>
      <c r="AK459">
        <v>0</v>
      </c>
      <c r="AL459">
        <v>0</v>
      </c>
      <c r="AM459">
        <v>0</v>
      </c>
      <c r="AN459">
        <v>0</v>
      </c>
      <c r="AO459">
        <v>0</v>
      </c>
      <c r="AP459">
        <v>0</v>
      </c>
      <c r="AQ459">
        <v>0</v>
      </c>
      <c r="AR459">
        <v>0</v>
      </c>
      <c r="AS459">
        <v>0</v>
      </c>
      <c r="AT459">
        <v>0</v>
      </c>
      <c r="AU459">
        <v>0</v>
      </c>
      <c r="AV459">
        <v>1</v>
      </c>
      <c r="AW459">
        <v>0</v>
      </c>
      <c r="AX459" s="141">
        <f>COUNTIF(V459:AW459,"&lt;&gt;0")</f>
        <v>2</v>
      </c>
      <c r="AY459" s="141">
        <f>COUNTIF(V459:AL459,"&lt;&gt;0")</f>
        <v>1</v>
      </c>
      <c r="AZ459">
        <f>COUNTIF(V459:AC459,"&lt;&gt;0")</f>
        <v>1</v>
      </c>
      <c r="BA459">
        <f>COUNTIF(AD459:AI459,"&lt;&gt;0")</f>
        <v>0</v>
      </c>
      <c r="BB459">
        <f>COUNTIF(AJ459:AL459,"&lt;&gt;0")</f>
        <v>0</v>
      </c>
      <c r="BC459">
        <f>COUNTIF(AS459:AW459,"&lt;&gt;0")</f>
        <v>1</v>
      </c>
      <c r="BD459">
        <f>COUNTIF(AM459:AR459,"&lt;&gt;0")</f>
        <v>0</v>
      </c>
      <c r="BE459" t="str">
        <f t="array" ref="BE459">IF(AY459=1,INDEX($V$7:$AL$7,MATCH(TRUE,INDEX($V459:$AW459&lt;&gt;0,),0)),IF(AY459=0,INDEX($AM$7:$AW$7,MATCH(1,$AM459:$AW459,0)),IF(BF459="Multiple strategies","mixed drivers",IF(BF459="Supply chain","multiple supply","multiple silviculture"))))</f>
        <v xml:space="preserve">cutting intensity </v>
      </c>
      <c r="BF459" s="2" t="str" cm="1">
        <f t="array" ref="BF459">IF(COUNTIF(AZ459:BB459,"&lt;&gt;0")=1,INDEX($V$4:$AW$4,MATCH(TRUE,INDEX($V459:$AW459&lt;&gt;0,),0)),IF(COUNTIF(AZ459:BB459,"&lt;&gt;0")=0,INDEX($AM$4:$AW$4,MATCH(1,$AM459:$AW459,0)),"Multiple strategies"))</f>
        <v>SilvicultureRemov</v>
      </c>
      <c r="BG459" s="1" t="s">
        <v>230</v>
      </c>
      <c r="BH459" t="s">
        <v>230</v>
      </c>
      <c r="BI459" s="266" t="s">
        <v>703</v>
      </c>
      <c r="BJ459" t="s">
        <v>1216</v>
      </c>
      <c r="BK459">
        <v>5.5978179484354129</v>
      </c>
      <c r="BL459">
        <v>5.6162990524021872</v>
      </c>
      <c r="BM459">
        <f>BL459/BK459</f>
        <v>1.0033014835668137</v>
      </c>
      <c r="BN459">
        <f>BL459-BK459</f>
        <v>1.848110396677427E-2</v>
      </c>
      <c r="BO459" s="143">
        <f>BN459*10^6</f>
        <v>18481.10396677427</v>
      </c>
      <c r="BP459" s="143" t="s">
        <v>233</v>
      </c>
      <c r="BQ459" s="143" t="s">
        <v>789</v>
      </c>
      <c r="BR459" s="152" t="s">
        <v>1217</v>
      </c>
      <c r="BS459" s="152">
        <v>1.48823529411764</v>
      </c>
      <c r="BT459" s="152">
        <v>1.47058823529411</v>
      </c>
      <c r="BU459" s="144">
        <f>IFERROR(BT459/BS459,"")</f>
        <v>0.98814229249011809</v>
      </c>
      <c r="BV459">
        <f>BT459-BS459</f>
        <v>-1.7647058823530015E-2</v>
      </c>
      <c r="BW459"/>
      <c r="BX459">
        <f>BV459*10^6*C_to_CO2</f>
        <v>-64764.705882355156</v>
      </c>
      <c r="BY459">
        <f>IFERROR(BX459/BO459,"")</f>
        <v>-3.5043743057119614</v>
      </c>
      <c r="BZ459">
        <v>0</v>
      </c>
      <c r="CA459">
        <v>0</v>
      </c>
      <c r="CB459">
        <v>0</v>
      </c>
      <c r="CC459">
        <v>0</v>
      </c>
      <c r="CD459">
        <v>0</v>
      </c>
      <c r="CE459">
        <v>0</v>
      </c>
      <c r="CF459">
        <v>0</v>
      </c>
      <c r="CG459">
        <v>0</v>
      </c>
      <c r="CH459">
        <v>0</v>
      </c>
      <c r="CI459">
        <v>0</v>
      </c>
      <c r="CJ459">
        <v>0</v>
      </c>
      <c r="CK459">
        <v>0</v>
      </c>
      <c r="CL459">
        <v>0</v>
      </c>
      <c r="CM459">
        <v>0</v>
      </c>
      <c r="CN459" t="str">
        <f>IF($BL459&lt;$BK459,"refNeedCorrection","refOK")</f>
        <v>refOK</v>
      </c>
      <c r="CO459">
        <f>IF($CN459="refOK",$BK459,$BL459)</f>
        <v>5.5978179484354129</v>
      </c>
      <c r="CP459">
        <f>IF($CN459="refOK",$BL459,$BK459)</f>
        <v>5.6162990524021872</v>
      </c>
      <c r="CQ459">
        <f>IF($CN459="refOK",$BO459,-$BO459)</f>
        <v>18481.10396677427</v>
      </c>
      <c r="CR459">
        <f>IF($CN459="refOK",$BS459,$BT459)*IF($BP459="Emissions positive",-1,1)</f>
        <v>1.48823529411764</v>
      </c>
      <c r="CS459">
        <f>IF($CN459="refOK",$BT459,$BS459)*IF($BP459="Emissions positive",-1,1)</f>
        <v>1.47058823529411</v>
      </c>
      <c r="CT459">
        <f>IF($CN459="refNeedCorrection",-BX459,BX459)*IF($BP459="Emissions positive",-1,1)</f>
        <v>-64764.705882355156</v>
      </c>
      <c r="CU459">
        <f>IFERROR(CT459/CQ459,"")</f>
        <v>-3.5043743057119614</v>
      </c>
      <c r="CV459" s="2">
        <f>IFERROR((CS459-CR459)/ABS(CR459),"")</f>
        <v>-1.1857707509881885E-2</v>
      </c>
      <c r="CW459" s="1" t="s">
        <v>1201</v>
      </c>
      <c r="CX459" t="str">
        <f>IF(OR($CW459="prd",$CW459="std",$CW459="cit"),"loc",IF(OR($CW459="eur",$CW459="reg",$CW459="coy"),"reg",$CW459))</f>
        <v>reg</v>
      </c>
      <c r="CY459" t="s">
        <v>445</v>
      </c>
      <c r="CZ459"/>
      <c r="DA459"/>
      <c r="DB459">
        <v>100</v>
      </c>
      <c r="DC459" t="str">
        <f>IF(DB459=0,"0",IF(AND(DB459&gt;=1,DB459&lt;=30),"1-30",IF(AND(DB459&gt;30,DB459&lt;=70),"31-70",IF(AND(DB459&gt;70,DB459&lt;=100),"71-100",IF(DB459&gt;100,"+100")))))</f>
        <v>71-100</v>
      </c>
      <c r="DD459">
        <v>0</v>
      </c>
      <c r="DE459">
        <v>1</v>
      </c>
      <c r="DF459">
        <v>1</v>
      </c>
      <c r="DG459">
        <v>1</v>
      </c>
      <c r="DH459"/>
      <c r="DI459">
        <f>SUM(DD459:DG459)</f>
        <v>3</v>
      </c>
      <c r="DJ459" t="str">
        <f>IF(DI459=1,INDEX($DD$7:$DG$7,MATCH(1,$DD459:$DG459,0)),"mixedProduct")</f>
        <v>mixedProduct</v>
      </c>
      <c r="DK459">
        <f>IF(DD459=1,DK$7,0)</f>
        <v>0</v>
      </c>
      <c r="DL459" t="str">
        <f>IF(DE459=1,DL$7,0)</f>
        <v>Energy</v>
      </c>
      <c r="DM459" t="str">
        <f>IF(DF459=1,DM$7,0)</f>
        <v>Pulp/Paper</v>
      </c>
      <c r="DN459" t="str">
        <f>IF(DG459=1,DN$7,0)</f>
        <v>Timber</v>
      </c>
      <c r="DO459">
        <v>0</v>
      </c>
      <c r="DP459">
        <v>0</v>
      </c>
      <c r="DQ459">
        <v>0</v>
      </c>
      <c r="DR459">
        <v>0</v>
      </c>
      <c r="DS459">
        <v>0</v>
      </c>
      <c r="DT459">
        <f>SUM(DO459:DP459)</f>
        <v>0</v>
      </c>
      <c r="DU459" s="143" t="str">
        <f>IF(DO459=1,"self-calculated DF",IF(DP459=1,"external DF used","explicit C balance"))</f>
        <v>explicit C balance</v>
      </c>
      <c r="DV459">
        <v>0</v>
      </c>
      <c r="DW459">
        <v>1</v>
      </c>
      <c r="DX459">
        <v>1</v>
      </c>
      <c r="DY459">
        <v>0</v>
      </c>
      <c r="DZ459">
        <v>0</v>
      </c>
      <c r="EA459" s="143">
        <v>0</v>
      </c>
      <c r="EB459">
        <v>0</v>
      </c>
      <c r="EC459">
        <v>0</v>
      </c>
      <c r="ED459">
        <v>0</v>
      </c>
      <c r="EE459">
        <v>0</v>
      </c>
      <c r="EF459">
        <v>1</v>
      </c>
      <c r="EG459">
        <v>1</v>
      </c>
      <c r="EH459">
        <v>0</v>
      </c>
      <c r="EI459" s="2">
        <v>0</v>
      </c>
      <c r="EJ459" s="1"/>
      <c r="EK459" t="str">
        <f>IF(AND(AND(AND(OR($DX459=1,$DW459=1),OR($EC459=1,$EA459=1)),SUM($DV459:$DZ459,$EF459)&gt;=4),SUM($EA459:$EE459)&gt;=2),"Whole sector","")</f>
        <v/>
      </c>
      <c r="EL459" t="str">
        <f>IF(AND(AND(OR($DX459=1,$DW459=1),AND($EC459=0,$EA459=0)),SUM($DV459:$DZ459,$EF459)&gt;=4),"Ecosystem approach","")</f>
        <v/>
      </c>
      <c r="EM459" s="2" t="str">
        <f>IF(AND(AND(AND($DX459=0,$DW459=0),OR($EC459=1,$EA459=1)),SUM($EB459:$EE459)&gt;=2),"Technology approach","")</f>
        <v/>
      </c>
      <c r="EN459"/>
      <c r="EO459"/>
      <c r="EP459" t="str">
        <f>IF(ISNUMBER(BU459),IF(ABS(BU459-[2]QC_indicators!$B$2)&gt;3*[2]QC_indicators!$C$2,"C ratio",IF(ISNUMBER(BY459),IF(ABS(BY459-[2]QC_indicators!$B$1)&gt;3*[2]QC_indicators!$C$1,"DF","no"))),IF(ISNUMBER(BY459),IF(ABS(BY459-[2]QC_indicators!$B$1)&gt;3*[2]QC_indicators!$C$1,"DF","no")))</f>
        <v>no</v>
      </c>
      <c r="EQ459" t="s">
        <v>287</v>
      </c>
      <c r="ER459"/>
      <c r="ES459"/>
      <c r="ET459" s="266" t="s">
        <v>3090</v>
      </c>
      <c r="EU459"/>
    </row>
    <row r="460" spans="1:151" ht="15" hidden="1" customHeight="1">
      <c r="A460" s="1" t="s">
        <v>1206</v>
      </c>
      <c r="B460" t="s">
        <v>1207</v>
      </c>
      <c r="C460" t="s">
        <v>1208</v>
      </c>
      <c r="D460" t="s">
        <v>1209</v>
      </c>
      <c r="E460" t="s">
        <v>1210</v>
      </c>
      <c r="F460" t="s">
        <v>1211</v>
      </c>
      <c r="G460" t="s">
        <v>1212</v>
      </c>
      <c r="I460">
        <v>2006</v>
      </c>
      <c r="K460" t="s">
        <v>1213</v>
      </c>
      <c r="M460" t="str">
        <f>LEFT($D460,FIND(",",$D460)-1)&amp;"_"&amp;I460&amp;L460</f>
        <v>Backeus_2006</v>
      </c>
      <c r="N460" t="s">
        <v>223</v>
      </c>
      <c r="O460" s="140" t="s">
        <v>275</v>
      </c>
      <c r="Q460" t="s">
        <v>225</v>
      </c>
      <c r="R460" s="255" t="s">
        <v>224</v>
      </c>
      <c r="S460" s="265" t="s">
        <v>3089</v>
      </c>
      <c r="T460" t="s">
        <v>1214</v>
      </c>
      <c r="U460" t="s">
        <v>1215</v>
      </c>
      <c r="V460">
        <v>0</v>
      </c>
      <c r="W460">
        <v>0</v>
      </c>
      <c r="X460">
        <v>0</v>
      </c>
      <c r="Y460">
        <v>1</v>
      </c>
      <c r="Z460">
        <v>0</v>
      </c>
      <c r="AA460">
        <v>0</v>
      </c>
      <c r="AB460">
        <v>0</v>
      </c>
      <c r="AC460">
        <v>0</v>
      </c>
      <c r="AD460">
        <v>0</v>
      </c>
      <c r="AE460">
        <v>0</v>
      </c>
      <c r="AF460">
        <v>0</v>
      </c>
      <c r="AG460">
        <v>0</v>
      </c>
      <c r="AH460">
        <v>0</v>
      </c>
      <c r="AI460">
        <v>0</v>
      </c>
      <c r="AJ460">
        <v>0</v>
      </c>
      <c r="AK460">
        <v>0</v>
      </c>
      <c r="AL460">
        <v>0</v>
      </c>
      <c r="AM460">
        <v>0</v>
      </c>
      <c r="AN460">
        <v>0</v>
      </c>
      <c r="AO460">
        <v>0</v>
      </c>
      <c r="AP460">
        <v>0</v>
      </c>
      <c r="AQ460">
        <v>0</v>
      </c>
      <c r="AR460">
        <v>0</v>
      </c>
      <c r="AS460">
        <v>0</v>
      </c>
      <c r="AT460">
        <v>0</v>
      </c>
      <c r="AU460">
        <v>0</v>
      </c>
      <c r="AV460">
        <v>1</v>
      </c>
      <c r="AW460">
        <v>0</v>
      </c>
      <c r="AX460" s="141">
        <f>COUNTIF(V460:AW460,"&lt;&gt;0")</f>
        <v>2</v>
      </c>
      <c r="AY460" s="141">
        <f>COUNTIF(V460:AL460,"&lt;&gt;0")</f>
        <v>1</v>
      </c>
      <c r="AZ460">
        <f>COUNTIF(V460:AC460,"&lt;&gt;0")</f>
        <v>1</v>
      </c>
      <c r="BA460">
        <f>COUNTIF(AD460:AI460,"&lt;&gt;0")</f>
        <v>0</v>
      </c>
      <c r="BB460">
        <f>COUNTIF(AJ460:AL460,"&lt;&gt;0")</f>
        <v>0</v>
      </c>
      <c r="BC460">
        <f>COUNTIF(AS460:AW460,"&lt;&gt;0")</f>
        <v>1</v>
      </c>
      <c r="BD460">
        <f>COUNTIF(AM460:AR460,"&lt;&gt;0")</f>
        <v>0</v>
      </c>
      <c r="BE460" t="str">
        <f t="array" ref="BE460">IF(AY460=1,INDEX($V$7:$AL$7,MATCH(TRUE,INDEX($V460:$AW460&lt;&gt;0,),0)),IF(AY460=0,INDEX($AM$7:$AW$7,MATCH(1,$AM460:$AW460,0)),IF(BF460="Multiple strategies","mixed drivers",IF(BF460="Supply chain","multiple supply","multiple silviculture"))))</f>
        <v xml:space="preserve">cutting intensity </v>
      </c>
      <c r="BF460" s="2" t="str" cm="1">
        <f t="array" ref="BF460">IF(COUNTIF(AZ460:BB460,"&lt;&gt;0")=1,INDEX($V$4:$AW$4,MATCH(TRUE,INDEX($V460:$AW460&lt;&gt;0,),0)),IF(COUNTIF(AZ460:BB460,"&lt;&gt;0")=0,INDEX($AM$4:$AW$4,MATCH(1,$AM460:$AW460,0)),"Multiple strategies"))</f>
        <v>SilvicultureRemov</v>
      </c>
      <c r="BG460" s="1" t="s">
        <v>230</v>
      </c>
      <c r="BH460" t="s">
        <v>230</v>
      </c>
      <c r="BI460" s="266" t="s">
        <v>703</v>
      </c>
      <c r="BJ460" t="s">
        <v>1216</v>
      </c>
      <c r="BK460">
        <v>5.5978179484354129</v>
      </c>
      <c r="BL460">
        <v>5.6162990524021872</v>
      </c>
      <c r="BM460">
        <f>BL460/BK460</f>
        <v>1.0033014835668137</v>
      </c>
      <c r="BN460">
        <f>BL460-BK460</f>
        <v>1.848110396677427E-2</v>
      </c>
      <c r="BO460" s="143">
        <f>BN460*10^6</f>
        <v>18481.10396677427</v>
      </c>
      <c r="BP460" s="143" t="s">
        <v>233</v>
      </c>
      <c r="BQ460" s="143" t="s">
        <v>789</v>
      </c>
      <c r="BR460" s="152" t="s">
        <v>1217</v>
      </c>
      <c r="BS460" s="152">
        <v>1.5579710144927537</v>
      </c>
      <c r="BT460" s="152">
        <v>1.5434782608695701</v>
      </c>
      <c r="BU460" s="144">
        <f>IFERROR(BT460/BS460,"")</f>
        <v>0.99069767441860779</v>
      </c>
      <c r="BV460">
        <f>BT460-BS460</f>
        <v>-1.4492753623183585E-2</v>
      </c>
      <c r="BX460">
        <f>BV460*10^6*C_to_CO2</f>
        <v>-53188.40579708376</v>
      </c>
      <c r="BY460">
        <f>IFERROR(BX460/BO460,"")</f>
        <v>-2.8779885602454827</v>
      </c>
      <c r="BZ460">
        <v>0</v>
      </c>
      <c r="CA460">
        <v>0</v>
      </c>
      <c r="CB460">
        <v>0</v>
      </c>
      <c r="CC460">
        <v>0</v>
      </c>
      <c r="CD460">
        <v>0</v>
      </c>
      <c r="CE460">
        <v>0</v>
      </c>
      <c r="CF460">
        <v>0</v>
      </c>
      <c r="CG460">
        <v>0</v>
      </c>
      <c r="CH460">
        <v>0</v>
      </c>
      <c r="CI460">
        <v>0</v>
      </c>
      <c r="CJ460">
        <v>0</v>
      </c>
      <c r="CK460">
        <v>0</v>
      </c>
      <c r="CL460">
        <v>0</v>
      </c>
      <c r="CM460">
        <v>0</v>
      </c>
      <c r="CN460" t="str">
        <f>IF($BL460&lt;$BK460,"refNeedCorrection","refOK")</f>
        <v>refOK</v>
      </c>
      <c r="CO460">
        <f>IF($CN460="refOK",$BK460,$BL460)</f>
        <v>5.5978179484354129</v>
      </c>
      <c r="CP460">
        <f>IF($CN460="refOK",$BL460,$BK460)</f>
        <v>5.6162990524021872</v>
      </c>
      <c r="CQ460">
        <f>IF($CN460="refOK",$BO460,-$BO460)</f>
        <v>18481.10396677427</v>
      </c>
      <c r="CR460">
        <f>IF($CN460="refOK",$BS460,$BT460)*IF($BP460="Emissions positive",-1,1)</f>
        <v>1.5579710144927537</v>
      </c>
      <c r="CS460">
        <f>IF($CN460="refOK",$BT460,$BS460)*IF($BP460="Emissions positive",-1,1)</f>
        <v>1.5434782608695701</v>
      </c>
      <c r="CT460">
        <f>IF($CN460="refNeedCorrection",-BX460,BX460)*IF($BP460="Emissions positive",-1,1)</f>
        <v>-53188.40579708376</v>
      </c>
      <c r="CU460">
        <f>IFERROR(CT460/CQ460,"")</f>
        <v>-2.8779885602454827</v>
      </c>
      <c r="CV460" s="2">
        <f>IFERROR((CS460-CR460)/ABS(CR460),"")</f>
        <v>-9.302325581392254E-3</v>
      </c>
      <c r="CW460" s="1" t="s">
        <v>1201</v>
      </c>
      <c r="CX460" t="str">
        <f>IF(OR($CW460="prd",$CW460="std",$CW460="cit"),"loc",IF(OR($CW460="eur",$CW460="reg",$CW460="coy"),"reg",$CW460))</f>
        <v>reg</v>
      </c>
      <c r="CY460" t="s">
        <v>445</v>
      </c>
      <c r="DB460">
        <v>100</v>
      </c>
      <c r="DC460" t="str">
        <f>IF(DB460=0,"0",IF(AND(DB460&gt;=1,DB460&lt;=30),"1-30",IF(AND(DB460&gt;30,DB460&lt;=70),"31-70",IF(AND(DB460&gt;70,DB460&lt;=100),"71-100",IF(DB460&gt;100,"+100")))))</f>
        <v>71-100</v>
      </c>
      <c r="DD460">
        <v>0</v>
      </c>
      <c r="DE460">
        <v>1</v>
      </c>
      <c r="DF460">
        <v>1</v>
      </c>
      <c r="DG460">
        <v>1</v>
      </c>
      <c r="DI460">
        <f>SUM(DD460:DG460)</f>
        <v>3</v>
      </c>
      <c r="DJ460" t="str">
        <f>IF(DI460=1,INDEX($DD$7:$DG$7,MATCH(1,$DD460:$DG460,0)),"mixedProduct")</f>
        <v>mixedProduct</v>
      </c>
      <c r="DK460">
        <f>IF(DD460=1,DK$7,0)</f>
        <v>0</v>
      </c>
      <c r="DL460" t="str">
        <f>IF(DE460=1,DL$7,0)</f>
        <v>Energy</v>
      </c>
      <c r="DM460" t="str">
        <f>IF(DF460=1,DM$7,0)</f>
        <v>Pulp/Paper</v>
      </c>
      <c r="DN460" t="str">
        <f>IF(DG460=1,DN$7,0)</f>
        <v>Timber</v>
      </c>
      <c r="DO460">
        <v>1</v>
      </c>
      <c r="DP460">
        <v>0</v>
      </c>
      <c r="DQ460">
        <v>0</v>
      </c>
      <c r="DR460">
        <v>0</v>
      </c>
      <c r="DS460">
        <v>0</v>
      </c>
      <c r="DT460">
        <f>SUM(DO460:DP460)</f>
        <v>1</v>
      </c>
      <c r="DU460" s="143" t="str">
        <f>IF(DO460=1,"self-calculated DF",IF(DP460=1,"external DF used","explicit C balance"))</f>
        <v>self-calculated DF</v>
      </c>
      <c r="DV460">
        <v>0</v>
      </c>
      <c r="DW460">
        <v>1</v>
      </c>
      <c r="DX460">
        <v>1</v>
      </c>
      <c r="DY460">
        <v>0</v>
      </c>
      <c r="DZ460">
        <v>0</v>
      </c>
      <c r="EA460" s="143">
        <v>1</v>
      </c>
      <c r="EB460">
        <v>0</v>
      </c>
      <c r="EC460">
        <v>0</v>
      </c>
      <c r="ED460">
        <v>0</v>
      </c>
      <c r="EE460">
        <v>0</v>
      </c>
      <c r="EF460">
        <v>1</v>
      </c>
      <c r="EG460">
        <v>1</v>
      </c>
      <c r="EH460">
        <v>0</v>
      </c>
      <c r="EI460" s="2">
        <v>0</v>
      </c>
      <c r="EK460" t="str">
        <f>IF(AND(AND(AND(OR($DX460=1,$DW460=1),OR($EC460=1,$EA460=1)),SUM($DV460:$DZ460,$EF460)&gt;=4),SUM($EA460:$EE460)&gt;=2),"Whole sector","")</f>
        <v/>
      </c>
      <c r="EL460" t="str">
        <f>IF(AND(AND(OR($DX460=1,$DW460=1),AND($EC460=0,$EA460=0)),SUM($DV460:$DZ460,$EF460)&gt;=4),"Ecosystem approach","")</f>
        <v/>
      </c>
      <c r="EM460" s="2" t="str">
        <f>IF(AND(AND(AND($DX460=0,$DW460=0),OR($EC460=1,$EA460=1)),SUM($EB460:$EE460)&gt;=2),"Technology approach","")</f>
        <v/>
      </c>
      <c r="EP460" t="str">
        <f>IF(ISNUMBER(BU460),IF(ABS(BU460-[2]QC_indicators!$B$2)&gt;3*[2]QC_indicators!$C$2,"C ratio",IF(ISNUMBER(BY460),IF(ABS(BY460-[2]QC_indicators!$B$1)&gt;3*[2]QC_indicators!$C$1,"DF","no"))),IF(ISNUMBER(BY460),IF(ABS(BY460-[2]QC_indicators!$B$1)&gt;3*[2]QC_indicators!$C$1,"DF","no")))</f>
        <v>no</v>
      </c>
      <c r="EQ460" t="s">
        <v>287</v>
      </c>
      <c r="ET460" s="266" t="s">
        <v>3090</v>
      </c>
    </row>
    <row r="461" spans="1:151" ht="15" hidden="1" customHeight="1">
      <c r="A461" s="1" t="s">
        <v>1206</v>
      </c>
      <c r="B461" t="s">
        <v>1207</v>
      </c>
      <c r="C461" t="s">
        <v>1208</v>
      </c>
      <c r="D461" t="s">
        <v>1209</v>
      </c>
      <c r="E461" t="s">
        <v>1210</v>
      </c>
      <c r="F461" t="s">
        <v>1211</v>
      </c>
      <c r="G461" t="s">
        <v>1212</v>
      </c>
      <c r="I461">
        <v>2006</v>
      </c>
      <c r="K461" t="s">
        <v>1213</v>
      </c>
      <c r="M461" t="str">
        <f>LEFT($D461,FIND(",",$D461)-1)&amp;"_"&amp;I461&amp;L461</f>
        <v>Backeus_2006</v>
      </c>
      <c r="N461" t="s">
        <v>223</v>
      </c>
      <c r="O461" s="140" t="s">
        <v>275</v>
      </c>
      <c r="Q461" t="s">
        <v>225</v>
      </c>
      <c r="R461" s="255" t="s">
        <v>224</v>
      </c>
      <c r="S461" s="265" t="s">
        <v>3089</v>
      </c>
      <c r="T461" t="s">
        <v>1218</v>
      </c>
      <c r="U461" t="s">
        <v>1215</v>
      </c>
      <c r="V461">
        <v>0</v>
      </c>
      <c r="W461">
        <v>0</v>
      </c>
      <c r="X461">
        <v>0</v>
      </c>
      <c r="Y461">
        <v>1</v>
      </c>
      <c r="Z461">
        <v>0</v>
      </c>
      <c r="AA461">
        <v>0</v>
      </c>
      <c r="AB461">
        <v>0</v>
      </c>
      <c r="AC461">
        <v>0</v>
      </c>
      <c r="AD461">
        <v>0</v>
      </c>
      <c r="AE461">
        <v>0</v>
      </c>
      <c r="AF461">
        <v>0</v>
      </c>
      <c r="AG461">
        <v>0</v>
      </c>
      <c r="AH461">
        <v>0</v>
      </c>
      <c r="AI461">
        <v>0</v>
      </c>
      <c r="AJ461">
        <v>0</v>
      </c>
      <c r="AK461">
        <v>0</v>
      </c>
      <c r="AL461">
        <v>0</v>
      </c>
      <c r="AM461">
        <v>0</v>
      </c>
      <c r="AN461">
        <v>0</v>
      </c>
      <c r="AO461">
        <v>0</v>
      </c>
      <c r="AP461">
        <v>0</v>
      </c>
      <c r="AQ461">
        <v>0</v>
      </c>
      <c r="AR461">
        <v>0</v>
      </c>
      <c r="AS461">
        <v>0</v>
      </c>
      <c r="AT461">
        <v>0</v>
      </c>
      <c r="AU461">
        <v>0</v>
      </c>
      <c r="AV461">
        <v>1</v>
      </c>
      <c r="AW461">
        <v>0</v>
      </c>
      <c r="AX461" s="141">
        <f>COUNTIF(V461:AW461,"&lt;&gt;0")</f>
        <v>2</v>
      </c>
      <c r="AY461" s="141">
        <f>COUNTIF(V461:AL461,"&lt;&gt;0")</f>
        <v>1</v>
      </c>
      <c r="AZ461">
        <f>COUNTIF(V461:AC461,"&lt;&gt;0")</f>
        <v>1</v>
      </c>
      <c r="BA461">
        <f>COUNTIF(AD461:AI461,"&lt;&gt;0")</f>
        <v>0</v>
      </c>
      <c r="BB461">
        <f>COUNTIF(AJ461:AL461,"&lt;&gt;0")</f>
        <v>0</v>
      </c>
      <c r="BC461">
        <f>COUNTIF(AS461:AW461,"&lt;&gt;0")</f>
        <v>1</v>
      </c>
      <c r="BD461">
        <f>COUNTIF(AM461:AR461,"&lt;&gt;0")</f>
        <v>0</v>
      </c>
      <c r="BE461" t="str">
        <f t="array" ref="BE461">IF(AY461=1,INDEX($V$7:$AL$7,MATCH(TRUE,INDEX($V461:$AW461&lt;&gt;0,),0)),IF(AY461=0,INDEX($AM$7:$AW$7,MATCH(1,$AM461:$AW461,0)),IF(BF461="Multiple strategies","mixed drivers",IF(BF461="Supply chain","multiple supply","multiple silviculture"))))</f>
        <v xml:space="preserve">cutting intensity </v>
      </c>
      <c r="BF461" s="2" t="str" cm="1">
        <f t="array" ref="BF461">IF(COUNTIF(AZ461:BB461,"&lt;&gt;0")=1,INDEX($V$4:$AW$4,MATCH(TRUE,INDEX($V461:$AW461&lt;&gt;0,),0)),IF(COUNTIF(AZ461:BB461,"&lt;&gt;0")=0,INDEX($AM$4:$AW$4,MATCH(1,$AM461:$AW461,0)),"Multiple strategies"))</f>
        <v>SilvicultureRemov</v>
      </c>
      <c r="BG461" s="1" t="s">
        <v>230</v>
      </c>
      <c r="BH461" t="s">
        <v>230</v>
      </c>
      <c r="BI461" s="266" t="s">
        <v>703</v>
      </c>
      <c r="BJ461" t="s">
        <v>1216</v>
      </c>
      <c r="BK461">
        <v>5.5285511609750859</v>
      </c>
      <c r="BL461">
        <v>5.6162990524021872</v>
      </c>
      <c r="BM461">
        <f>BL461/BK461</f>
        <v>1.0158717698131285</v>
      </c>
      <c r="BN461">
        <f>BL461-BK461</f>
        <v>8.7747891427101266E-2</v>
      </c>
      <c r="BO461" s="143">
        <f>BN461*10^6</f>
        <v>87747.891427101262</v>
      </c>
      <c r="BP461" s="143" t="s">
        <v>233</v>
      </c>
      <c r="BQ461" s="143" t="s">
        <v>789</v>
      </c>
      <c r="BR461" s="152" t="s">
        <v>1217</v>
      </c>
      <c r="BS461" s="152">
        <v>1.51176470588235</v>
      </c>
      <c r="BT461" s="152">
        <v>1.47058823529411</v>
      </c>
      <c r="BU461" s="144">
        <f>IFERROR(BT461/BS461,"")</f>
        <v>0.97276264591439365</v>
      </c>
      <c r="BV461">
        <f>BT461-BS461</f>
        <v>-4.1176470588240033E-2</v>
      </c>
      <c r="BX461">
        <f>BV461*10^6*C_to_CO2</f>
        <v>-151117.6470588409</v>
      </c>
      <c r="BY461">
        <f>IFERROR(BX461/BO461,"")</f>
        <v>-1.7221798108321</v>
      </c>
      <c r="BZ461">
        <v>0</v>
      </c>
      <c r="CA461">
        <v>0</v>
      </c>
      <c r="CB461">
        <v>0</v>
      </c>
      <c r="CC461">
        <v>0</v>
      </c>
      <c r="CD461">
        <v>0</v>
      </c>
      <c r="CE461">
        <v>0</v>
      </c>
      <c r="CF461">
        <v>0</v>
      </c>
      <c r="CG461">
        <v>0</v>
      </c>
      <c r="CH461">
        <v>0</v>
      </c>
      <c r="CI461">
        <v>0</v>
      </c>
      <c r="CJ461">
        <v>0</v>
      </c>
      <c r="CK461">
        <v>0</v>
      </c>
      <c r="CL461">
        <v>0</v>
      </c>
      <c r="CM461">
        <v>0</v>
      </c>
      <c r="CN461" t="str">
        <f>IF($BL461&lt;$BK461,"refNeedCorrection","refOK")</f>
        <v>refOK</v>
      </c>
      <c r="CO461">
        <f>IF($CN461="refOK",$BK461,$BL461)</f>
        <v>5.5285511609750859</v>
      </c>
      <c r="CP461">
        <f>IF($CN461="refOK",$BL461,$BK461)</f>
        <v>5.6162990524021872</v>
      </c>
      <c r="CQ461">
        <f>IF($CN461="refOK",$BO461,-$BO461)</f>
        <v>87747.891427101262</v>
      </c>
      <c r="CR461">
        <f>IF($CN461="refOK",$BS461,$BT461)*IF($BP461="Emissions positive",-1,1)</f>
        <v>1.51176470588235</v>
      </c>
      <c r="CS461">
        <f>IF($CN461="refOK",$BT461,$BS461)*IF($BP461="Emissions positive",-1,1)</f>
        <v>1.47058823529411</v>
      </c>
      <c r="CT461">
        <f>IF($CN461="refNeedCorrection",-BX461,BX461)*IF($BP461="Emissions positive",-1,1)</f>
        <v>-151117.6470588409</v>
      </c>
      <c r="CU461">
        <f>IFERROR(CT461/CQ461,"")</f>
        <v>-1.7221798108321</v>
      </c>
      <c r="CV461" s="2">
        <f>IFERROR((CS461-CR461)/ABS(CR461),"")</f>
        <v>-2.7237354085606302E-2</v>
      </c>
      <c r="CW461" s="1" t="s">
        <v>1201</v>
      </c>
      <c r="CX461" t="str">
        <f>IF(OR($CW461="prd",$CW461="std",$CW461="cit"),"loc",IF(OR($CW461="eur",$CW461="reg",$CW461="coy"),"reg",$CW461))</f>
        <v>reg</v>
      </c>
      <c r="CY461" t="s">
        <v>445</v>
      </c>
      <c r="DB461">
        <v>100</v>
      </c>
      <c r="DC461" t="str">
        <f>IF(DB461=0,"0",IF(AND(DB461&gt;=1,DB461&lt;=30),"1-30",IF(AND(DB461&gt;30,DB461&lt;=70),"31-70",IF(AND(DB461&gt;70,DB461&lt;=100),"71-100",IF(DB461&gt;100,"+100")))))</f>
        <v>71-100</v>
      </c>
      <c r="DD461">
        <v>0</v>
      </c>
      <c r="DE461">
        <v>1</v>
      </c>
      <c r="DF461">
        <v>1</v>
      </c>
      <c r="DG461">
        <v>1</v>
      </c>
      <c r="DI461">
        <f>SUM(DD461:DG461)</f>
        <v>3</v>
      </c>
      <c r="DJ461" t="str">
        <f>IF(DI461=1,INDEX($DD$7:$DG$7,MATCH(1,$DD461:$DG461,0)),"mixedProduct")</f>
        <v>mixedProduct</v>
      </c>
      <c r="DK461">
        <f>IF(DD461=1,DK$7,0)</f>
        <v>0</v>
      </c>
      <c r="DL461" t="str">
        <f>IF(DE461=1,DL$7,0)</f>
        <v>Energy</v>
      </c>
      <c r="DM461" t="str">
        <f>IF(DF461=1,DM$7,0)</f>
        <v>Pulp/Paper</v>
      </c>
      <c r="DN461" t="str">
        <f>IF(DG461=1,DN$7,0)</f>
        <v>Timber</v>
      </c>
      <c r="DO461">
        <v>0</v>
      </c>
      <c r="DP461">
        <v>0</v>
      </c>
      <c r="DQ461">
        <v>0</v>
      </c>
      <c r="DR461">
        <v>0</v>
      </c>
      <c r="DS461">
        <v>0</v>
      </c>
      <c r="DT461">
        <f>SUM(DO461:DP461)</f>
        <v>0</v>
      </c>
      <c r="DU461" s="143" t="str">
        <f>IF(DO461=1,"self-calculated DF",IF(DP461=1,"external DF used","explicit C balance"))</f>
        <v>explicit C balance</v>
      </c>
      <c r="DV461">
        <v>0</v>
      </c>
      <c r="DW461">
        <v>1</v>
      </c>
      <c r="DX461">
        <v>1</v>
      </c>
      <c r="DY461">
        <v>0</v>
      </c>
      <c r="DZ461">
        <v>0</v>
      </c>
      <c r="EA461" s="143">
        <v>0</v>
      </c>
      <c r="EB461">
        <v>0</v>
      </c>
      <c r="EC461">
        <v>0</v>
      </c>
      <c r="ED461">
        <v>0</v>
      </c>
      <c r="EE461">
        <v>0</v>
      </c>
      <c r="EF461">
        <v>1</v>
      </c>
      <c r="EG461">
        <v>1</v>
      </c>
      <c r="EH461">
        <v>0</v>
      </c>
      <c r="EI461" s="2">
        <v>0</v>
      </c>
      <c r="EK461" t="str">
        <f>IF(AND(AND(AND(OR($DX461=1,$DW461=1),OR($EC461=1,$EA461=1)),SUM($DV461:$DZ461,$EF461)&gt;=4),SUM($EA461:$EE461)&gt;=2),"Whole sector","")</f>
        <v/>
      </c>
      <c r="EL461" t="str">
        <f>IF(AND(AND(OR($DX461=1,$DW461=1),AND($EC461=0,$EA461=0)),SUM($DV461:$DZ461,$EF461)&gt;=4),"Ecosystem approach","")</f>
        <v/>
      </c>
      <c r="EM461" s="2" t="str">
        <f>IF(AND(AND(AND($DX461=0,$DW461=0),OR($EC461=1,$EA461=1)),SUM($EB461:$EE461)&gt;=2),"Technology approach","")</f>
        <v/>
      </c>
      <c r="EP461" t="str">
        <f>IF(ISNUMBER(BU461),IF(ABS(BU461-[2]QC_indicators!$B$2)&gt;3*[2]QC_indicators!$C$2,"C ratio",IF(ISNUMBER(BY461),IF(ABS(BY461-[2]QC_indicators!$B$1)&gt;3*[2]QC_indicators!$C$1,"DF","no"))),IF(ISNUMBER(BY461),IF(ABS(BY461-[2]QC_indicators!$B$1)&gt;3*[2]QC_indicators!$C$1,"DF","no")))</f>
        <v>no</v>
      </c>
      <c r="EQ461" t="s">
        <v>287</v>
      </c>
      <c r="ET461" s="266" t="s">
        <v>3090</v>
      </c>
    </row>
    <row r="462" spans="1:151" ht="15" hidden="1" customHeight="1">
      <c r="A462" s="1" t="s">
        <v>1206</v>
      </c>
      <c r="B462" t="s">
        <v>1207</v>
      </c>
      <c r="C462" t="s">
        <v>1208</v>
      </c>
      <c r="D462" t="s">
        <v>1209</v>
      </c>
      <c r="E462" t="s">
        <v>1210</v>
      </c>
      <c r="F462" t="s">
        <v>1211</v>
      </c>
      <c r="G462" t="s">
        <v>1212</v>
      </c>
      <c r="I462">
        <v>2006</v>
      </c>
      <c r="K462" t="s">
        <v>1213</v>
      </c>
      <c r="M462" t="str">
        <f>LEFT($D462,FIND(",",$D462)-1)&amp;"_"&amp;I462&amp;L462</f>
        <v>Backeus_2006</v>
      </c>
      <c r="N462" t="s">
        <v>223</v>
      </c>
      <c r="O462" s="140" t="s">
        <v>275</v>
      </c>
      <c r="Q462" t="s">
        <v>225</v>
      </c>
      <c r="R462" s="255" t="s">
        <v>224</v>
      </c>
      <c r="S462" s="265" t="s">
        <v>3089</v>
      </c>
      <c r="T462" t="s">
        <v>1218</v>
      </c>
      <c r="U462" t="s">
        <v>1215</v>
      </c>
      <c r="V462">
        <v>0</v>
      </c>
      <c r="W462">
        <v>0</v>
      </c>
      <c r="X462">
        <v>0</v>
      </c>
      <c r="Y462">
        <v>1</v>
      </c>
      <c r="Z462">
        <v>0</v>
      </c>
      <c r="AA462">
        <v>0</v>
      </c>
      <c r="AB462">
        <v>0</v>
      </c>
      <c r="AC462">
        <v>0</v>
      </c>
      <c r="AD462">
        <v>0</v>
      </c>
      <c r="AE462">
        <v>0</v>
      </c>
      <c r="AF462">
        <v>0</v>
      </c>
      <c r="AG462">
        <v>0</v>
      </c>
      <c r="AH462">
        <v>0</v>
      </c>
      <c r="AI462">
        <v>0</v>
      </c>
      <c r="AJ462">
        <v>0</v>
      </c>
      <c r="AK462">
        <v>0</v>
      </c>
      <c r="AL462">
        <v>0</v>
      </c>
      <c r="AM462">
        <v>0</v>
      </c>
      <c r="AN462">
        <v>0</v>
      </c>
      <c r="AO462">
        <v>0</v>
      </c>
      <c r="AP462">
        <v>0</v>
      </c>
      <c r="AQ462">
        <v>0</v>
      </c>
      <c r="AR462">
        <v>0</v>
      </c>
      <c r="AS462">
        <v>0</v>
      </c>
      <c r="AT462">
        <v>0</v>
      </c>
      <c r="AU462">
        <v>0</v>
      </c>
      <c r="AV462">
        <v>1</v>
      </c>
      <c r="AW462">
        <v>0</v>
      </c>
      <c r="AX462" s="141">
        <f>COUNTIF(V462:AW462,"&lt;&gt;0")</f>
        <v>2</v>
      </c>
      <c r="AY462" s="141">
        <f>COUNTIF(V462:AL462,"&lt;&gt;0")</f>
        <v>1</v>
      </c>
      <c r="AZ462">
        <f>COUNTIF(V462:AC462,"&lt;&gt;0")</f>
        <v>1</v>
      </c>
      <c r="BA462">
        <f>COUNTIF(AD462:AI462,"&lt;&gt;0")</f>
        <v>0</v>
      </c>
      <c r="BB462">
        <f>COUNTIF(AJ462:AL462,"&lt;&gt;0")</f>
        <v>0</v>
      </c>
      <c r="BC462">
        <f>COUNTIF(AS462:AW462,"&lt;&gt;0")</f>
        <v>1</v>
      </c>
      <c r="BD462">
        <f>COUNTIF(AM462:AR462,"&lt;&gt;0")</f>
        <v>0</v>
      </c>
      <c r="BE462" t="str">
        <f t="array" ref="BE462">IF(AY462=1,INDEX($V$7:$AL$7,MATCH(TRUE,INDEX($V462:$AW462&lt;&gt;0,),0)),IF(AY462=0,INDEX($AM$7:$AW$7,MATCH(1,$AM462:$AW462,0)),IF(BF462="Multiple strategies","mixed drivers",IF(BF462="Supply chain","multiple supply","multiple silviculture"))))</f>
        <v xml:space="preserve">cutting intensity </v>
      </c>
      <c r="BF462" s="2" t="str" cm="1">
        <f t="array" ref="BF462">IF(COUNTIF(AZ462:BB462,"&lt;&gt;0")=1,INDEX($V$4:$AW$4,MATCH(TRUE,INDEX($V462:$AW462&lt;&gt;0,),0)),IF(COUNTIF(AZ462:BB462,"&lt;&gt;0")=0,INDEX($AM$4:$AW$4,MATCH(1,$AM462:$AW462,0)),"Multiple strategies"))</f>
        <v>SilvicultureRemov</v>
      </c>
      <c r="BG462" s="1" t="s">
        <v>230</v>
      </c>
      <c r="BH462" t="s">
        <v>230</v>
      </c>
      <c r="BI462" s="266" t="s">
        <v>703</v>
      </c>
      <c r="BJ462" t="s">
        <v>1216</v>
      </c>
      <c r="BK462">
        <v>5.5285511609750859</v>
      </c>
      <c r="BL462">
        <v>5.6162990524021872</v>
      </c>
      <c r="BM462">
        <f>BL462/BK462</f>
        <v>1.0158717698131285</v>
      </c>
      <c r="BN462">
        <f>BL462-BK462</f>
        <v>8.7747891427101266E-2</v>
      </c>
      <c r="BO462" s="143">
        <f>BN462*10^6</f>
        <v>87747.891427101262</v>
      </c>
      <c r="BP462" s="143" t="s">
        <v>233</v>
      </c>
      <c r="BQ462" s="143" t="s">
        <v>789</v>
      </c>
      <c r="BR462" s="152" t="s">
        <v>1217</v>
      </c>
      <c r="BS462" s="152">
        <v>1.5797101449275361</v>
      </c>
      <c r="BT462" s="152">
        <v>1.5434782608695652</v>
      </c>
      <c r="BU462" s="144">
        <f>IFERROR(BT462/BS462,"")</f>
        <v>0.97706422018348627</v>
      </c>
      <c r="BV462">
        <f>BT462-BS462</f>
        <v>-3.6231884057970953E-2</v>
      </c>
      <c r="BX462">
        <f>BV462*10^6*C_to_CO2</f>
        <v>-132971.0144927534</v>
      </c>
      <c r="BY462">
        <f>IFERROR(BX462/BO462,"")</f>
        <v>-1.5153756099452529</v>
      </c>
      <c r="BZ462">
        <v>0</v>
      </c>
      <c r="CA462">
        <v>0</v>
      </c>
      <c r="CB462">
        <v>0</v>
      </c>
      <c r="CC462">
        <v>0</v>
      </c>
      <c r="CD462">
        <v>0</v>
      </c>
      <c r="CE462">
        <v>0</v>
      </c>
      <c r="CF462">
        <v>0</v>
      </c>
      <c r="CG462">
        <v>0</v>
      </c>
      <c r="CH462">
        <v>0</v>
      </c>
      <c r="CI462">
        <v>0</v>
      </c>
      <c r="CJ462">
        <v>0</v>
      </c>
      <c r="CK462">
        <v>0</v>
      </c>
      <c r="CL462">
        <v>0</v>
      </c>
      <c r="CM462">
        <v>0</v>
      </c>
      <c r="CN462" t="str">
        <f>IF($BL462&lt;$BK462,"refNeedCorrection","refOK")</f>
        <v>refOK</v>
      </c>
      <c r="CO462">
        <f>IF($CN462="refOK",$BK462,$BL462)</f>
        <v>5.5285511609750859</v>
      </c>
      <c r="CP462">
        <f>IF($CN462="refOK",$BL462,$BK462)</f>
        <v>5.6162990524021872</v>
      </c>
      <c r="CQ462">
        <f>IF($CN462="refOK",$BO462,-$BO462)</f>
        <v>87747.891427101262</v>
      </c>
      <c r="CR462">
        <f>IF($CN462="refOK",$BS462,$BT462)*IF($BP462="Emissions positive",-1,1)</f>
        <v>1.5797101449275361</v>
      </c>
      <c r="CS462">
        <f>IF($CN462="refOK",$BT462,$BS462)*IF($BP462="Emissions positive",-1,1)</f>
        <v>1.5434782608695652</v>
      </c>
      <c r="CT462">
        <f>IF($CN462="refNeedCorrection",-BX462,BX462)*IF($BP462="Emissions positive",-1,1)</f>
        <v>-132971.0144927534</v>
      </c>
      <c r="CU462">
        <f>IFERROR(CT462/CQ462,"")</f>
        <v>-1.5153756099452529</v>
      </c>
      <c r="CV462" s="2">
        <f>IFERROR((CS462-CR462)/ABS(CR462),"")</f>
        <v>-2.2935779816513725E-2</v>
      </c>
      <c r="CW462" s="1" t="s">
        <v>1201</v>
      </c>
      <c r="CX462" t="str">
        <f>IF(OR($CW462="prd",$CW462="std",$CW462="cit"),"loc",IF(OR($CW462="eur",$CW462="reg",$CW462="coy"),"reg",$CW462))</f>
        <v>reg</v>
      </c>
      <c r="CY462" t="s">
        <v>445</v>
      </c>
      <c r="DB462">
        <v>100</v>
      </c>
      <c r="DC462" t="str">
        <f>IF(DB462=0,"0",IF(AND(DB462&gt;=1,DB462&lt;=30),"1-30",IF(AND(DB462&gt;30,DB462&lt;=70),"31-70",IF(AND(DB462&gt;70,DB462&lt;=100),"71-100",IF(DB462&gt;100,"+100")))))</f>
        <v>71-100</v>
      </c>
      <c r="DD462">
        <v>0</v>
      </c>
      <c r="DE462">
        <v>1</v>
      </c>
      <c r="DF462">
        <v>1</v>
      </c>
      <c r="DG462">
        <v>1</v>
      </c>
      <c r="DI462">
        <f>SUM(DD462:DG462)</f>
        <v>3</v>
      </c>
      <c r="DJ462" t="str">
        <f>IF(DI462=1,INDEX($DD$7:$DG$7,MATCH(1,$DD462:$DG462,0)),"mixedProduct")</f>
        <v>mixedProduct</v>
      </c>
      <c r="DK462">
        <f>IF(DD462=1,DK$7,0)</f>
        <v>0</v>
      </c>
      <c r="DL462" t="str">
        <f>IF(DE462=1,DL$7,0)</f>
        <v>Energy</v>
      </c>
      <c r="DM462" t="str">
        <f>IF(DF462=1,DM$7,0)</f>
        <v>Pulp/Paper</v>
      </c>
      <c r="DN462" t="str">
        <f>IF(DG462=1,DN$7,0)</f>
        <v>Timber</v>
      </c>
      <c r="DO462">
        <v>1</v>
      </c>
      <c r="DP462">
        <v>0</v>
      </c>
      <c r="DQ462">
        <v>0</v>
      </c>
      <c r="DR462">
        <v>0</v>
      </c>
      <c r="DS462">
        <v>0</v>
      </c>
      <c r="DT462">
        <f>SUM(DO462:DP462)</f>
        <v>1</v>
      </c>
      <c r="DU462" s="143" t="str">
        <f>IF(DO462=1,"self-calculated DF",IF(DP462=1,"external DF used","explicit C balance"))</f>
        <v>self-calculated DF</v>
      </c>
      <c r="DV462">
        <v>0</v>
      </c>
      <c r="DW462">
        <v>1</v>
      </c>
      <c r="DX462">
        <v>1</v>
      </c>
      <c r="DY462">
        <v>0</v>
      </c>
      <c r="DZ462">
        <v>0</v>
      </c>
      <c r="EA462" s="143">
        <v>1</v>
      </c>
      <c r="EB462">
        <v>0</v>
      </c>
      <c r="EC462">
        <v>0</v>
      </c>
      <c r="ED462">
        <v>0</v>
      </c>
      <c r="EE462">
        <v>0</v>
      </c>
      <c r="EF462">
        <v>1</v>
      </c>
      <c r="EG462">
        <v>1</v>
      </c>
      <c r="EH462">
        <v>0</v>
      </c>
      <c r="EI462" s="2">
        <v>0</v>
      </c>
      <c r="EK462" t="str">
        <f>IF(AND(AND(AND(OR($DX462=1,$DW462=1),OR($EC462=1,$EA462=1)),SUM($DV462:$DZ462,$EF462)&gt;=4),SUM($EA462:$EE462)&gt;=2),"Whole sector","")</f>
        <v/>
      </c>
      <c r="EL462" t="str">
        <f>IF(AND(AND(OR($DX462=1,$DW462=1),AND($EC462=0,$EA462=0)),SUM($DV462:$DZ462,$EF462)&gt;=4),"Ecosystem approach","")</f>
        <v/>
      </c>
      <c r="EM462" s="2" t="str">
        <f>IF(AND(AND(AND($DX462=0,$DW462=0),OR($EC462=1,$EA462=1)),SUM($EB462:$EE462)&gt;=2),"Technology approach","")</f>
        <v/>
      </c>
      <c r="EP462" t="str">
        <f>IF(ISNUMBER(BU462),IF(ABS(BU462-[2]QC_indicators!$B$2)&gt;3*[2]QC_indicators!$C$2,"C ratio",IF(ISNUMBER(BY462),IF(ABS(BY462-[2]QC_indicators!$B$1)&gt;3*[2]QC_indicators!$C$1,"DF","no"))),IF(ISNUMBER(BY462),IF(ABS(BY462-[2]QC_indicators!$B$1)&gt;3*[2]QC_indicators!$C$1,"DF","no")))</f>
        <v>no</v>
      </c>
      <c r="EQ462" t="s">
        <v>287</v>
      </c>
      <c r="ET462" s="266" t="s">
        <v>3090</v>
      </c>
    </row>
    <row r="463" spans="1:151" ht="15" hidden="1" customHeight="1">
      <c r="A463" s="1" t="s">
        <v>1206</v>
      </c>
      <c r="B463" t="s">
        <v>1207</v>
      </c>
      <c r="C463" t="s">
        <v>1208</v>
      </c>
      <c r="D463" t="s">
        <v>1209</v>
      </c>
      <c r="E463" t="s">
        <v>1210</v>
      </c>
      <c r="F463" t="s">
        <v>1211</v>
      </c>
      <c r="G463" t="s">
        <v>1212</v>
      </c>
      <c r="I463">
        <v>2006</v>
      </c>
      <c r="K463" t="s">
        <v>1213</v>
      </c>
      <c r="M463" t="str">
        <f>LEFT($D463,FIND(",",$D463)-1)&amp;"_"&amp;I463&amp;L463</f>
        <v>Backeus_2006</v>
      </c>
      <c r="N463" t="s">
        <v>223</v>
      </c>
      <c r="O463" s="140" t="s">
        <v>275</v>
      </c>
      <c r="Q463" t="s">
        <v>225</v>
      </c>
      <c r="R463" s="255" t="s">
        <v>224</v>
      </c>
      <c r="S463" s="265" t="s">
        <v>3089</v>
      </c>
      <c r="T463" t="s">
        <v>1219</v>
      </c>
      <c r="U463" t="s">
        <v>1215</v>
      </c>
      <c r="V463">
        <v>0</v>
      </c>
      <c r="W463">
        <v>0</v>
      </c>
      <c r="X463">
        <v>0</v>
      </c>
      <c r="Y463">
        <v>1</v>
      </c>
      <c r="Z463">
        <v>0</v>
      </c>
      <c r="AA463">
        <v>0</v>
      </c>
      <c r="AB463">
        <v>0</v>
      </c>
      <c r="AC463">
        <v>0</v>
      </c>
      <c r="AD463">
        <v>0</v>
      </c>
      <c r="AE463">
        <v>0</v>
      </c>
      <c r="AF463">
        <v>0</v>
      </c>
      <c r="AG463">
        <v>0</v>
      </c>
      <c r="AH463">
        <v>0</v>
      </c>
      <c r="AI463">
        <v>0</v>
      </c>
      <c r="AJ463">
        <v>0</v>
      </c>
      <c r="AK463">
        <v>0</v>
      </c>
      <c r="AL463">
        <v>0</v>
      </c>
      <c r="AM463">
        <v>0</v>
      </c>
      <c r="AN463">
        <v>0</v>
      </c>
      <c r="AO463">
        <v>0</v>
      </c>
      <c r="AP463">
        <v>0</v>
      </c>
      <c r="AQ463">
        <v>0</v>
      </c>
      <c r="AR463">
        <v>0</v>
      </c>
      <c r="AS463">
        <v>0</v>
      </c>
      <c r="AT463">
        <v>0</v>
      </c>
      <c r="AU463">
        <v>0</v>
      </c>
      <c r="AV463">
        <v>1</v>
      </c>
      <c r="AW463">
        <v>0</v>
      </c>
      <c r="AX463" s="141">
        <f>COUNTIF(V463:AW463,"&lt;&gt;0")</f>
        <v>2</v>
      </c>
      <c r="AY463" s="141">
        <f>COUNTIF(V463:AL463,"&lt;&gt;0")</f>
        <v>1</v>
      </c>
      <c r="AZ463">
        <f>COUNTIF(V463:AC463,"&lt;&gt;0")</f>
        <v>1</v>
      </c>
      <c r="BA463">
        <f>COUNTIF(AD463:AI463,"&lt;&gt;0")</f>
        <v>0</v>
      </c>
      <c r="BB463">
        <f>COUNTIF(AJ463:AL463,"&lt;&gt;0")</f>
        <v>0</v>
      </c>
      <c r="BC463">
        <f>COUNTIF(AS463:AW463,"&lt;&gt;0")</f>
        <v>1</v>
      </c>
      <c r="BD463">
        <f>COUNTIF(AM463:AR463,"&lt;&gt;0")</f>
        <v>0</v>
      </c>
      <c r="BE463" t="str">
        <f t="array" ref="BE463">IF(AY463=1,INDEX($V$7:$AL$7,MATCH(TRUE,INDEX($V463:$AW463&lt;&gt;0,),0)),IF(AY463=0,INDEX($AM$7:$AW$7,MATCH(1,$AM463:$AW463,0)),IF(BF463="Multiple strategies","mixed drivers",IF(BF463="Supply chain","multiple supply","multiple silviculture"))))</f>
        <v xml:space="preserve">cutting intensity </v>
      </c>
      <c r="BF463" s="2" t="str" cm="1">
        <f t="array" ref="BF463">IF(COUNTIF(AZ463:BB463,"&lt;&gt;0")=1,INDEX($V$4:$AW$4,MATCH(TRUE,INDEX($V463:$AW463&lt;&gt;0,),0)),IF(COUNTIF(AZ463:BB463,"&lt;&gt;0")=0,INDEX($AM$4:$AW$4,MATCH(1,$AM463:$AW463,0)),"Multiple strategies"))</f>
        <v>SilvicultureRemov</v>
      </c>
      <c r="BG463" s="1" t="s">
        <v>230</v>
      </c>
      <c r="BH463" t="s">
        <v>230</v>
      </c>
      <c r="BI463" s="266" t="s">
        <v>703</v>
      </c>
      <c r="BJ463" t="s">
        <v>1216</v>
      </c>
      <c r="BK463">
        <v>5.0343605295810514</v>
      </c>
      <c r="BL463">
        <v>5.6162990524021872</v>
      </c>
      <c r="BM463">
        <f>BL463/BK463</f>
        <v>1.1155933349234255</v>
      </c>
      <c r="BN463">
        <f>BL463-BK463</f>
        <v>0.58193852282113578</v>
      </c>
      <c r="BO463" s="143">
        <f>BN463*10^6</f>
        <v>581938.52282113582</v>
      </c>
      <c r="BP463" s="143" t="s">
        <v>233</v>
      </c>
      <c r="BQ463" s="143" t="s">
        <v>789</v>
      </c>
      <c r="BR463" s="152" t="s">
        <v>1217</v>
      </c>
      <c r="BS463" s="152">
        <v>1.5941176470588201</v>
      </c>
      <c r="BT463" s="152">
        <v>1.47058823529411</v>
      </c>
      <c r="BU463" s="144">
        <f>IFERROR(BT463/BS463,"")</f>
        <v>0.92250922509224809</v>
      </c>
      <c r="BV463">
        <f>BT463-BS463</f>
        <v>-0.12352941176471011</v>
      </c>
      <c r="BX463">
        <f>BV463*10^6*C_to_CO2</f>
        <v>-453352.94117648609</v>
      </c>
      <c r="BY463">
        <f>IFERROR(BX463/BO463,"")</f>
        <v>-0.77903923421104793</v>
      </c>
      <c r="BZ463">
        <v>0</v>
      </c>
      <c r="CA463">
        <v>0</v>
      </c>
      <c r="CB463">
        <v>0</v>
      </c>
      <c r="CC463">
        <v>0</v>
      </c>
      <c r="CD463">
        <v>0</v>
      </c>
      <c r="CE463">
        <v>0</v>
      </c>
      <c r="CF463">
        <v>0</v>
      </c>
      <c r="CG463">
        <v>0</v>
      </c>
      <c r="CH463">
        <v>0</v>
      </c>
      <c r="CI463">
        <v>0</v>
      </c>
      <c r="CJ463">
        <v>0</v>
      </c>
      <c r="CK463">
        <v>0</v>
      </c>
      <c r="CL463">
        <v>0</v>
      </c>
      <c r="CM463">
        <v>0</v>
      </c>
      <c r="CN463" t="str">
        <f>IF($BL463&lt;$BK463,"refNeedCorrection","refOK")</f>
        <v>refOK</v>
      </c>
      <c r="CO463">
        <f>IF($CN463="refOK",$BK463,$BL463)</f>
        <v>5.0343605295810514</v>
      </c>
      <c r="CP463">
        <f>IF($CN463="refOK",$BL463,$BK463)</f>
        <v>5.6162990524021872</v>
      </c>
      <c r="CQ463">
        <f>IF($CN463="refOK",$BO463,-$BO463)</f>
        <v>581938.52282113582</v>
      </c>
      <c r="CR463">
        <f>IF($CN463="refOK",$BS463,$BT463)*IF($BP463="Emissions positive",-1,1)</f>
        <v>1.5941176470588201</v>
      </c>
      <c r="CS463">
        <f>IF($CN463="refOK",$BT463,$BS463)*IF($BP463="Emissions positive",-1,1)</f>
        <v>1.47058823529411</v>
      </c>
      <c r="CT463">
        <f>IF($CN463="refNeedCorrection",-BX463,BX463)*IF($BP463="Emissions positive",-1,1)</f>
        <v>-453352.94117648609</v>
      </c>
      <c r="CU463">
        <f>IFERROR(CT463/CQ463,"")</f>
        <v>-0.77903923421104793</v>
      </c>
      <c r="CV463" s="2">
        <f>IFERROR((CS463-CR463)/ABS(CR463),"")</f>
        <v>-7.74907749077519E-2</v>
      </c>
      <c r="CW463" s="1" t="s">
        <v>1201</v>
      </c>
      <c r="CX463" t="str">
        <f>IF(OR($CW463="prd",$CW463="std",$CW463="cit"),"loc",IF(OR($CW463="eur",$CW463="reg",$CW463="coy"),"reg",$CW463))</f>
        <v>reg</v>
      </c>
      <c r="CY463" t="s">
        <v>445</v>
      </c>
      <c r="DB463">
        <v>100</v>
      </c>
      <c r="DC463" t="str">
        <f>IF(DB463=0,"0",IF(AND(DB463&gt;=1,DB463&lt;=30),"1-30",IF(AND(DB463&gt;30,DB463&lt;=70),"31-70",IF(AND(DB463&gt;70,DB463&lt;=100),"71-100",IF(DB463&gt;100,"+100")))))</f>
        <v>71-100</v>
      </c>
      <c r="DD463">
        <v>0</v>
      </c>
      <c r="DE463">
        <v>1</v>
      </c>
      <c r="DF463">
        <v>1</v>
      </c>
      <c r="DG463">
        <v>1</v>
      </c>
      <c r="DI463">
        <f>SUM(DD463:DG463)</f>
        <v>3</v>
      </c>
      <c r="DJ463" t="str">
        <f>IF(DI463=1,INDEX($DD$7:$DG$7,MATCH(1,$DD463:$DG463,0)),"mixedProduct")</f>
        <v>mixedProduct</v>
      </c>
      <c r="DK463">
        <f>IF(DD463=1,DK$7,0)</f>
        <v>0</v>
      </c>
      <c r="DL463" t="str">
        <f>IF(DE463=1,DL$7,0)</f>
        <v>Energy</v>
      </c>
      <c r="DM463" t="str">
        <f>IF(DF463=1,DM$7,0)</f>
        <v>Pulp/Paper</v>
      </c>
      <c r="DN463" t="str">
        <f>IF(DG463=1,DN$7,0)</f>
        <v>Timber</v>
      </c>
      <c r="DO463">
        <v>0</v>
      </c>
      <c r="DP463">
        <v>0</v>
      </c>
      <c r="DQ463">
        <v>0</v>
      </c>
      <c r="DR463">
        <v>0</v>
      </c>
      <c r="DS463">
        <v>0</v>
      </c>
      <c r="DT463">
        <f>SUM(DO463:DP463)</f>
        <v>0</v>
      </c>
      <c r="DU463" s="143" t="str">
        <f>IF(DO463=1,"self-calculated DF",IF(DP463=1,"external DF used","explicit C balance"))</f>
        <v>explicit C balance</v>
      </c>
      <c r="DV463">
        <v>0</v>
      </c>
      <c r="DW463">
        <v>1</v>
      </c>
      <c r="DX463">
        <v>1</v>
      </c>
      <c r="DY463">
        <v>0</v>
      </c>
      <c r="DZ463">
        <v>0</v>
      </c>
      <c r="EA463" s="143">
        <v>0</v>
      </c>
      <c r="EB463">
        <v>0</v>
      </c>
      <c r="EC463">
        <v>0</v>
      </c>
      <c r="ED463">
        <v>0</v>
      </c>
      <c r="EE463">
        <v>0</v>
      </c>
      <c r="EF463">
        <v>1</v>
      </c>
      <c r="EG463">
        <v>1</v>
      </c>
      <c r="EH463">
        <v>0</v>
      </c>
      <c r="EI463" s="2">
        <v>0</v>
      </c>
      <c r="EK463" t="str">
        <f>IF(AND(AND(AND(OR($DX463=1,$DW463=1),OR($EC463=1,$EA463=1)),SUM($DV463:$DZ463,$EF463)&gt;=4),SUM($EA463:$EE463)&gt;=2),"Whole sector","")</f>
        <v/>
      </c>
      <c r="EL463" t="str">
        <f>IF(AND(AND(OR($DX463=1,$DW463=1),AND($EC463=0,$EA463=0)),SUM($DV463:$DZ463,$EF463)&gt;=4),"Ecosystem approach","")</f>
        <v/>
      </c>
      <c r="EM463" s="2" t="str">
        <f>IF(AND(AND(AND($DX463=0,$DW463=0),OR($EC463=1,$EA463=1)),SUM($EB463:$EE463)&gt;=2),"Technology approach","")</f>
        <v/>
      </c>
      <c r="EP463" t="str">
        <f>IF(ISNUMBER(BU463),IF(ABS(BU463-[2]QC_indicators!$B$2)&gt;3*[2]QC_indicators!$C$2,"C ratio",IF(ISNUMBER(BY463),IF(ABS(BY463-[2]QC_indicators!$B$1)&gt;3*[2]QC_indicators!$C$1,"DF","no"))),IF(ISNUMBER(BY463),IF(ABS(BY463-[2]QC_indicators!$B$1)&gt;3*[2]QC_indicators!$C$1,"DF","no")))</f>
        <v>no</v>
      </c>
      <c r="EQ463" t="s">
        <v>287</v>
      </c>
      <c r="ET463" s="266" t="s">
        <v>3090</v>
      </c>
    </row>
    <row r="464" spans="1:151" ht="15" hidden="1" customHeight="1">
      <c r="A464" s="1" t="s">
        <v>1206</v>
      </c>
      <c r="B464" t="s">
        <v>1207</v>
      </c>
      <c r="C464" t="s">
        <v>1208</v>
      </c>
      <c r="D464" t="s">
        <v>1209</v>
      </c>
      <c r="E464" t="s">
        <v>1210</v>
      </c>
      <c r="F464" t="s">
        <v>1211</v>
      </c>
      <c r="G464" t="s">
        <v>1212</v>
      </c>
      <c r="I464">
        <v>2006</v>
      </c>
      <c r="K464" t="s">
        <v>1213</v>
      </c>
      <c r="M464" t="str">
        <f>LEFT($D464,FIND(",",$D464)-1)&amp;"_"&amp;I464&amp;L464</f>
        <v>Backeus_2006</v>
      </c>
      <c r="N464" t="s">
        <v>223</v>
      </c>
      <c r="O464" s="140" t="s">
        <v>275</v>
      </c>
      <c r="Q464" t="s">
        <v>225</v>
      </c>
      <c r="R464" s="255" t="s">
        <v>224</v>
      </c>
      <c r="S464" s="265" t="s">
        <v>3089</v>
      </c>
      <c r="T464" t="s">
        <v>1219</v>
      </c>
      <c r="U464" t="s">
        <v>1215</v>
      </c>
      <c r="V464">
        <v>0</v>
      </c>
      <c r="W464">
        <v>0</v>
      </c>
      <c r="X464">
        <v>0</v>
      </c>
      <c r="Y464">
        <v>1</v>
      </c>
      <c r="Z464">
        <v>0</v>
      </c>
      <c r="AA464">
        <v>0</v>
      </c>
      <c r="AB464">
        <v>0</v>
      </c>
      <c r="AC464">
        <v>0</v>
      </c>
      <c r="AD464">
        <v>0</v>
      </c>
      <c r="AE464">
        <v>0</v>
      </c>
      <c r="AF464">
        <v>0</v>
      </c>
      <c r="AG464">
        <v>0</v>
      </c>
      <c r="AH464">
        <v>0</v>
      </c>
      <c r="AI464">
        <v>0</v>
      </c>
      <c r="AJ464">
        <v>0</v>
      </c>
      <c r="AK464">
        <v>0</v>
      </c>
      <c r="AL464">
        <v>0</v>
      </c>
      <c r="AM464">
        <v>0</v>
      </c>
      <c r="AN464">
        <v>0</v>
      </c>
      <c r="AO464">
        <v>0</v>
      </c>
      <c r="AP464">
        <v>0</v>
      </c>
      <c r="AQ464">
        <v>0</v>
      </c>
      <c r="AR464">
        <v>0</v>
      </c>
      <c r="AS464">
        <v>0</v>
      </c>
      <c r="AT464">
        <v>0</v>
      </c>
      <c r="AU464">
        <v>0</v>
      </c>
      <c r="AV464">
        <v>1</v>
      </c>
      <c r="AW464">
        <v>0</v>
      </c>
      <c r="AX464" s="141">
        <f>COUNTIF(V464:AW464,"&lt;&gt;0")</f>
        <v>2</v>
      </c>
      <c r="AY464" s="141">
        <f>COUNTIF(V464:AL464,"&lt;&gt;0")</f>
        <v>1</v>
      </c>
      <c r="AZ464">
        <f>COUNTIF(V464:AC464,"&lt;&gt;0")</f>
        <v>1</v>
      </c>
      <c r="BA464">
        <f>COUNTIF(AD464:AI464,"&lt;&gt;0")</f>
        <v>0</v>
      </c>
      <c r="BB464">
        <f>COUNTIF(AJ464:AL464,"&lt;&gt;0")</f>
        <v>0</v>
      </c>
      <c r="BC464">
        <f>COUNTIF(AS464:AW464,"&lt;&gt;0")</f>
        <v>1</v>
      </c>
      <c r="BD464">
        <f>COUNTIF(AM464:AR464,"&lt;&gt;0")</f>
        <v>0</v>
      </c>
      <c r="BE464" t="str">
        <f t="array" ref="BE464">IF(AY464=1,INDEX($V$7:$AL$7,MATCH(TRUE,INDEX($V464:$AW464&lt;&gt;0,),0)),IF(AY464=0,INDEX($AM$7:$AW$7,MATCH(1,$AM464:$AW464,0)),IF(BF464="Multiple strategies","mixed drivers",IF(BF464="Supply chain","multiple supply","multiple silviculture"))))</f>
        <v xml:space="preserve">cutting intensity </v>
      </c>
      <c r="BF464" s="2" t="str" cm="1">
        <f t="array" ref="BF464">IF(COUNTIF(AZ464:BB464,"&lt;&gt;0")=1,INDEX($V$4:$AW$4,MATCH(TRUE,INDEX($V464:$AW464&lt;&gt;0,),0)),IF(COUNTIF(AZ464:BB464,"&lt;&gt;0")=0,INDEX($AM$4:$AW$4,MATCH(1,$AM464:$AW464,0)),"Multiple strategies"))</f>
        <v>SilvicultureRemov</v>
      </c>
      <c r="BG464" s="1" t="s">
        <v>230</v>
      </c>
      <c r="BH464" t="s">
        <v>230</v>
      </c>
      <c r="BI464" s="266" t="s">
        <v>703</v>
      </c>
      <c r="BJ464" t="s">
        <v>1216</v>
      </c>
      <c r="BK464">
        <v>5.0343605295810514</v>
      </c>
      <c r="BL464">
        <v>5.6162990524021872</v>
      </c>
      <c r="BM464">
        <f>BL464/BK464</f>
        <v>1.1155933349234255</v>
      </c>
      <c r="BN464">
        <f>BL464-BK464</f>
        <v>0.58193852282113578</v>
      </c>
      <c r="BO464" s="143">
        <f>BN464*10^6</f>
        <v>581938.52282113582</v>
      </c>
      <c r="BP464" s="143" t="s">
        <v>233</v>
      </c>
      <c r="BQ464" s="143" t="s">
        <v>789</v>
      </c>
      <c r="BR464" s="152" t="s">
        <v>1217</v>
      </c>
      <c r="BS464" s="152">
        <v>1.6666666666666667</v>
      </c>
      <c r="BT464" s="152">
        <v>1.5434782608695652</v>
      </c>
      <c r="BU464" s="144">
        <f>IFERROR(BT464/BS464,"")</f>
        <v>0.92608695652173911</v>
      </c>
      <c r="BV464">
        <f>BT464-BS464</f>
        <v>-0.12318840579710155</v>
      </c>
      <c r="BX464">
        <f>BV464*10^6*C_to_CO2</f>
        <v>-452101.44927536271</v>
      </c>
      <c r="BY464">
        <f>IFERROR(BX464/BO464,"")</f>
        <v>-0.77688867731879008</v>
      </c>
      <c r="BZ464">
        <v>0</v>
      </c>
      <c r="CA464">
        <v>0</v>
      </c>
      <c r="CB464">
        <v>0</v>
      </c>
      <c r="CC464">
        <v>0</v>
      </c>
      <c r="CD464">
        <v>0</v>
      </c>
      <c r="CE464">
        <v>0</v>
      </c>
      <c r="CF464">
        <v>0</v>
      </c>
      <c r="CG464">
        <v>0</v>
      </c>
      <c r="CH464">
        <v>0</v>
      </c>
      <c r="CI464">
        <v>0</v>
      </c>
      <c r="CJ464">
        <v>0</v>
      </c>
      <c r="CK464">
        <v>0</v>
      </c>
      <c r="CL464">
        <v>0</v>
      </c>
      <c r="CM464">
        <v>0</v>
      </c>
      <c r="CN464" t="str">
        <f>IF($BL464&lt;$BK464,"refNeedCorrection","refOK")</f>
        <v>refOK</v>
      </c>
      <c r="CO464">
        <f>IF($CN464="refOK",$BK464,$BL464)</f>
        <v>5.0343605295810514</v>
      </c>
      <c r="CP464">
        <f>IF($CN464="refOK",$BL464,$BK464)</f>
        <v>5.6162990524021872</v>
      </c>
      <c r="CQ464">
        <f>IF($CN464="refOK",$BO464,-$BO464)</f>
        <v>581938.52282113582</v>
      </c>
      <c r="CR464">
        <f>IF($CN464="refOK",$BS464,$BT464)*IF($BP464="Emissions positive",-1,1)</f>
        <v>1.6666666666666667</v>
      </c>
      <c r="CS464">
        <f>IF($CN464="refOK",$BT464,$BS464)*IF($BP464="Emissions positive",-1,1)</f>
        <v>1.5434782608695652</v>
      </c>
      <c r="CT464">
        <f>IF($CN464="refNeedCorrection",-BX464,BX464)*IF($BP464="Emissions positive",-1,1)</f>
        <v>-452101.44927536271</v>
      </c>
      <c r="CU464">
        <f>IFERROR(CT464/CQ464,"")</f>
        <v>-0.77688867731879008</v>
      </c>
      <c r="CV464" s="2">
        <f>IFERROR((CS464-CR464)/ABS(CR464),"")</f>
        <v>-7.3913043478260929E-2</v>
      </c>
      <c r="CW464" s="1" t="s">
        <v>1201</v>
      </c>
      <c r="CX464" t="str">
        <f>IF(OR($CW464="prd",$CW464="std",$CW464="cit"),"loc",IF(OR($CW464="eur",$CW464="reg",$CW464="coy"),"reg",$CW464))</f>
        <v>reg</v>
      </c>
      <c r="CY464" t="s">
        <v>445</v>
      </c>
      <c r="DB464">
        <v>100</v>
      </c>
      <c r="DC464" t="str">
        <f>IF(DB464=0,"0",IF(AND(DB464&gt;=1,DB464&lt;=30),"1-30",IF(AND(DB464&gt;30,DB464&lt;=70),"31-70",IF(AND(DB464&gt;70,DB464&lt;=100),"71-100",IF(DB464&gt;100,"+100")))))</f>
        <v>71-100</v>
      </c>
      <c r="DD464">
        <v>0</v>
      </c>
      <c r="DE464">
        <v>1</v>
      </c>
      <c r="DF464">
        <v>1</v>
      </c>
      <c r="DG464">
        <v>1</v>
      </c>
      <c r="DI464">
        <f>SUM(DD464:DG464)</f>
        <v>3</v>
      </c>
      <c r="DJ464" t="str">
        <f>IF(DI464=1,INDEX($DD$7:$DG$7,MATCH(1,$DD464:$DG464,0)),"mixedProduct")</f>
        <v>mixedProduct</v>
      </c>
      <c r="DK464">
        <f>IF(DD464=1,DK$7,0)</f>
        <v>0</v>
      </c>
      <c r="DL464" t="str">
        <f>IF(DE464=1,DL$7,0)</f>
        <v>Energy</v>
      </c>
      <c r="DM464" t="str">
        <f>IF(DF464=1,DM$7,0)</f>
        <v>Pulp/Paper</v>
      </c>
      <c r="DN464" t="str">
        <f>IF(DG464=1,DN$7,0)</f>
        <v>Timber</v>
      </c>
      <c r="DO464">
        <v>1</v>
      </c>
      <c r="DP464">
        <v>0</v>
      </c>
      <c r="DQ464">
        <v>0</v>
      </c>
      <c r="DR464">
        <v>0</v>
      </c>
      <c r="DS464">
        <v>0</v>
      </c>
      <c r="DT464">
        <f>SUM(DO464:DP464)</f>
        <v>1</v>
      </c>
      <c r="DU464" s="143" t="str">
        <f>IF(DO464=1,"self-calculated DF",IF(DP464=1,"external DF used","explicit C balance"))</f>
        <v>self-calculated DF</v>
      </c>
      <c r="DV464">
        <v>0</v>
      </c>
      <c r="DW464">
        <v>1</v>
      </c>
      <c r="DX464">
        <v>1</v>
      </c>
      <c r="DY464">
        <v>0</v>
      </c>
      <c r="DZ464">
        <v>0</v>
      </c>
      <c r="EA464" s="143">
        <v>1</v>
      </c>
      <c r="EB464">
        <v>0</v>
      </c>
      <c r="EC464">
        <v>0</v>
      </c>
      <c r="ED464">
        <v>0</v>
      </c>
      <c r="EE464">
        <v>0</v>
      </c>
      <c r="EF464">
        <v>1</v>
      </c>
      <c r="EG464">
        <v>1</v>
      </c>
      <c r="EH464">
        <v>0</v>
      </c>
      <c r="EI464" s="2">
        <v>0</v>
      </c>
      <c r="EK464" t="str">
        <f>IF(AND(AND(AND(OR($DX464=1,$DW464=1),OR($EC464=1,$EA464=1)),SUM($DV464:$DZ464,$EF464)&gt;=4),SUM($EA464:$EE464)&gt;=2),"Whole sector","")</f>
        <v/>
      </c>
      <c r="EL464" t="str">
        <f>IF(AND(AND(OR($DX464=1,$DW464=1),AND($EC464=0,$EA464=0)),SUM($DV464:$DZ464,$EF464)&gt;=4),"Ecosystem approach","")</f>
        <v/>
      </c>
      <c r="EM464" s="2" t="str">
        <f>IF(AND(AND(AND($DX464=0,$DW464=0),OR($EC464=1,$EA464=1)),SUM($EB464:$EE464)&gt;=2),"Technology approach","")</f>
        <v/>
      </c>
      <c r="EP464" t="str">
        <f>IF(ISNUMBER(BU464),IF(ABS(BU464-[2]QC_indicators!$B$2)&gt;3*[2]QC_indicators!$C$2,"C ratio",IF(ISNUMBER(BY464),IF(ABS(BY464-[2]QC_indicators!$B$1)&gt;3*[2]QC_indicators!$C$1,"DF","no"))),IF(ISNUMBER(BY464),IF(ABS(BY464-[2]QC_indicators!$B$1)&gt;3*[2]QC_indicators!$C$1,"DF","no")))</f>
        <v>no</v>
      </c>
      <c r="EQ464" t="s">
        <v>287</v>
      </c>
      <c r="ET464" s="266" t="s">
        <v>3090</v>
      </c>
    </row>
    <row r="465" spans="1:150" ht="15" hidden="1" customHeight="1">
      <c r="A465" s="1" t="s">
        <v>1206</v>
      </c>
      <c r="B465" t="s">
        <v>1207</v>
      </c>
      <c r="C465" t="s">
        <v>1208</v>
      </c>
      <c r="D465" t="s">
        <v>1209</v>
      </c>
      <c r="E465" t="s">
        <v>1210</v>
      </c>
      <c r="F465" t="s">
        <v>1211</v>
      </c>
      <c r="G465" t="s">
        <v>1212</v>
      </c>
      <c r="I465">
        <v>2006</v>
      </c>
      <c r="K465" t="s">
        <v>1213</v>
      </c>
      <c r="M465" t="str">
        <f>LEFT($D465,FIND(",",$D465)-1)&amp;"_"&amp;I465&amp;L465</f>
        <v>Backeus_2006</v>
      </c>
      <c r="N465" t="s">
        <v>223</v>
      </c>
      <c r="O465" s="140" t="s">
        <v>275</v>
      </c>
      <c r="Q465" t="s">
        <v>225</v>
      </c>
      <c r="R465" s="255" t="s">
        <v>224</v>
      </c>
      <c r="S465" s="265" t="s">
        <v>3089</v>
      </c>
      <c r="T465" t="s">
        <v>1220</v>
      </c>
      <c r="U465" t="s">
        <v>1215</v>
      </c>
      <c r="V465">
        <v>0</v>
      </c>
      <c r="W465">
        <v>0</v>
      </c>
      <c r="X465">
        <v>0</v>
      </c>
      <c r="Y465">
        <v>1</v>
      </c>
      <c r="Z465">
        <v>0</v>
      </c>
      <c r="AA465">
        <v>0</v>
      </c>
      <c r="AB465">
        <v>0</v>
      </c>
      <c r="AC465">
        <v>0</v>
      </c>
      <c r="AD465">
        <v>0</v>
      </c>
      <c r="AE465">
        <v>0</v>
      </c>
      <c r="AF465">
        <v>0</v>
      </c>
      <c r="AG465">
        <v>0</v>
      </c>
      <c r="AH465">
        <v>0</v>
      </c>
      <c r="AI465">
        <v>0</v>
      </c>
      <c r="AJ465">
        <v>0</v>
      </c>
      <c r="AK465">
        <v>0</v>
      </c>
      <c r="AL465">
        <v>0</v>
      </c>
      <c r="AM465">
        <v>0</v>
      </c>
      <c r="AN465">
        <v>0</v>
      </c>
      <c r="AO465">
        <v>0</v>
      </c>
      <c r="AP465">
        <v>0</v>
      </c>
      <c r="AQ465">
        <v>0</v>
      </c>
      <c r="AR465">
        <v>0</v>
      </c>
      <c r="AS465">
        <v>0</v>
      </c>
      <c r="AT465">
        <v>0</v>
      </c>
      <c r="AU465">
        <v>0</v>
      </c>
      <c r="AV465">
        <v>1</v>
      </c>
      <c r="AW465">
        <v>0</v>
      </c>
      <c r="AX465" s="141">
        <f>COUNTIF(V465:AW465,"&lt;&gt;0")</f>
        <v>2</v>
      </c>
      <c r="AY465" s="141">
        <f>COUNTIF(V465:AL465,"&lt;&gt;0")</f>
        <v>1</v>
      </c>
      <c r="AZ465">
        <f>COUNTIF(V465:AC465,"&lt;&gt;0")</f>
        <v>1</v>
      </c>
      <c r="BA465">
        <f>COUNTIF(AD465:AI465,"&lt;&gt;0")</f>
        <v>0</v>
      </c>
      <c r="BB465">
        <f>COUNTIF(AJ465:AL465,"&lt;&gt;0")</f>
        <v>0</v>
      </c>
      <c r="BC465">
        <f>COUNTIF(AS465:AW465,"&lt;&gt;0")</f>
        <v>1</v>
      </c>
      <c r="BD465">
        <f>COUNTIF(AM465:AR465,"&lt;&gt;0")</f>
        <v>0</v>
      </c>
      <c r="BE465" t="str">
        <f t="array" ref="BE465">IF(AY465=1,INDEX($V$7:$AL$7,MATCH(TRUE,INDEX($V465:$AW465&lt;&gt;0,),0)),IF(AY465=0,INDEX($AM$7:$AW$7,MATCH(1,$AM465:$AW465,0)),IF(BF465="Multiple strategies","mixed drivers",IF(BF465="Supply chain","multiple supply","multiple silviculture"))))</f>
        <v xml:space="preserve">cutting intensity </v>
      </c>
      <c r="BF465" s="2" t="str" cm="1">
        <f t="array" ref="BF465">IF(COUNTIF(AZ465:BB465,"&lt;&gt;0")=1,INDEX($V$4:$AW$4,MATCH(TRUE,INDEX($V465:$AW465&lt;&gt;0,),0)),IF(COUNTIF(AZ465:BB465,"&lt;&gt;0")=0,INDEX($AM$4:$AW$4,MATCH(1,$AM465:$AW465,0)),"Multiple strategies"))</f>
        <v>SilvicultureRemov</v>
      </c>
      <c r="BG465" s="1" t="s">
        <v>230</v>
      </c>
      <c r="BH465" t="s">
        <v>230</v>
      </c>
      <c r="BI465" s="266" t="s">
        <v>703</v>
      </c>
      <c r="BJ465" t="s">
        <v>1216</v>
      </c>
      <c r="BK465">
        <v>1.8154092996757019</v>
      </c>
      <c r="BL465">
        <v>5.6162990524021872</v>
      </c>
      <c r="BM465">
        <f>BL465/BK465</f>
        <v>3.0936819886322398</v>
      </c>
      <c r="BN465">
        <f>BL465-BK465</f>
        <v>3.8008897527264853</v>
      </c>
      <c r="BO465" s="143">
        <f>BN465*10^6</f>
        <v>3800889.7527264855</v>
      </c>
      <c r="BP465" s="143" t="s">
        <v>233</v>
      </c>
      <c r="BQ465" s="143" t="s">
        <v>789</v>
      </c>
      <c r="BR465" s="152" t="s">
        <v>1217</v>
      </c>
      <c r="BS465" s="152">
        <v>1.98823529411764</v>
      </c>
      <c r="BT465" s="152">
        <v>1.47058823529411</v>
      </c>
      <c r="BU465" s="144">
        <f>IFERROR(BT465/BS465,"")</f>
        <v>0.73964497041419996</v>
      </c>
      <c r="BV465">
        <f>BT465-BS465</f>
        <v>-0.51764705882353002</v>
      </c>
      <c r="BX465">
        <f>BV465*10^6*C_to_CO2</f>
        <v>-1899764.7058823551</v>
      </c>
      <c r="BY465">
        <f>IFERROR(BX465/BO465,"")</f>
        <v>-0.49982104966859414</v>
      </c>
      <c r="BZ465">
        <v>0</v>
      </c>
      <c r="CA465">
        <v>0</v>
      </c>
      <c r="CB465">
        <v>0</v>
      </c>
      <c r="CC465">
        <v>0</v>
      </c>
      <c r="CD465">
        <v>0</v>
      </c>
      <c r="CE465">
        <v>0</v>
      </c>
      <c r="CF465">
        <v>0</v>
      </c>
      <c r="CG465">
        <v>0</v>
      </c>
      <c r="CH465">
        <v>0</v>
      </c>
      <c r="CI465">
        <v>0</v>
      </c>
      <c r="CJ465">
        <v>0</v>
      </c>
      <c r="CK465">
        <v>0</v>
      </c>
      <c r="CL465">
        <v>0</v>
      </c>
      <c r="CM465">
        <v>0</v>
      </c>
      <c r="CN465" t="str">
        <f>IF($BL465&lt;$BK465,"refNeedCorrection","refOK")</f>
        <v>refOK</v>
      </c>
      <c r="CO465">
        <f>IF($CN465="refOK",$BK465,$BL465)</f>
        <v>1.8154092996757019</v>
      </c>
      <c r="CP465">
        <f>IF($CN465="refOK",$BL465,$BK465)</f>
        <v>5.6162990524021872</v>
      </c>
      <c r="CQ465">
        <f>IF($CN465="refOK",$BO465,-$BO465)</f>
        <v>3800889.7527264855</v>
      </c>
      <c r="CR465">
        <f>IF($CN465="refOK",$BS465,$BT465)*IF($BP465="Emissions positive",-1,1)</f>
        <v>1.98823529411764</v>
      </c>
      <c r="CS465">
        <f>IF($CN465="refOK",$BT465,$BS465)*IF($BP465="Emissions positive",-1,1)</f>
        <v>1.47058823529411</v>
      </c>
      <c r="CT465">
        <f>IF($CN465="refNeedCorrection",-BX465,BX465)*IF($BP465="Emissions positive",-1,1)</f>
        <v>-1899764.7058823551</v>
      </c>
      <c r="CU465">
        <f>IFERROR(CT465/CQ465,"")</f>
        <v>-0.49982104966859414</v>
      </c>
      <c r="CV465" s="2">
        <f>IFERROR((CS465-CR465)/ABS(CR465),"")</f>
        <v>-0.26035502958580004</v>
      </c>
      <c r="CW465" s="1" t="s">
        <v>1201</v>
      </c>
      <c r="CX465" t="str">
        <f>IF(OR($CW465="prd",$CW465="std",$CW465="cit"),"loc",IF(OR($CW465="eur",$CW465="reg",$CW465="coy"),"reg",$CW465))</f>
        <v>reg</v>
      </c>
      <c r="CY465" t="s">
        <v>445</v>
      </c>
      <c r="DB465">
        <v>100</v>
      </c>
      <c r="DC465" t="str">
        <f>IF(DB465=0,"0",IF(AND(DB465&gt;=1,DB465&lt;=30),"1-30",IF(AND(DB465&gt;30,DB465&lt;=70),"31-70",IF(AND(DB465&gt;70,DB465&lt;=100),"71-100",IF(DB465&gt;100,"+100")))))</f>
        <v>71-100</v>
      </c>
      <c r="DD465">
        <v>0</v>
      </c>
      <c r="DE465">
        <v>1</v>
      </c>
      <c r="DF465">
        <v>1</v>
      </c>
      <c r="DG465">
        <v>1</v>
      </c>
      <c r="DI465">
        <f>SUM(DD465:DG465)</f>
        <v>3</v>
      </c>
      <c r="DJ465" t="str">
        <f>IF(DI465=1,INDEX($DD$7:$DG$7,MATCH(1,$DD465:$DG465,0)),"mixedProduct")</f>
        <v>mixedProduct</v>
      </c>
      <c r="DK465">
        <f>IF(DD465=1,DK$7,0)</f>
        <v>0</v>
      </c>
      <c r="DL465" t="str">
        <f>IF(DE465=1,DL$7,0)</f>
        <v>Energy</v>
      </c>
      <c r="DM465" t="str">
        <f>IF(DF465=1,DM$7,0)</f>
        <v>Pulp/Paper</v>
      </c>
      <c r="DN465" t="str">
        <f>IF(DG465=1,DN$7,0)</f>
        <v>Timber</v>
      </c>
      <c r="DO465">
        <v>0</v>
      </c>
      <c r="DP465">
        <v>0</v>
      </c>
      <c r="DQ465">
        <v>0</v>
      </c>
      <c r="DR465">
        <v>0</v>
      </c>
      <c r="DS465">
        <v>0</v>
      </c>
      <c r="DT465">
        <f>SUM(DO465:DP465)</f>
        <v>0</v>
      </c>
      <c r="DU465" s="143" t="str">
        <f>IF(DO465=1,"self-calculated DF",IF(DP465=1,"external DF used","explicit C balance"))</f>
        <v>explicit C balance</v>
      </c>
      <c r="DV465">
        <v>0</v>
      </c>
      <c r="DW465">
        <v>1</v>
      </c>
      <c r="DX465">
        <v>1</v>
      </c>
      <c r="DY465">
        <v>0</v>
      </c>
      <c r="DZ465">
        <v>0</v>
      </c>
      <c r="EA465" s="143">
        <v>0</v>
      </c>
      <c r="EB465">
        <v>0</v>
      </c>
      <c r="EC465">
        <v>0</v>
      </c>
      <c r="ED465">
        <v>0</v>
      </c>
      <c r="EE465">
        <v>0</v>
      </c>
      <c r="EF465">
        <v>1</v>
      </c>
      <c r="EG465">
        <v>1</v>
      </c>
      <c r="EH465">
        <v>0</v>
      </c>
      <c r="EI465" s="2">
        <v>0</v>
      </c>
      <c r="EK465" t="str">
        <f>IF(AND(AND(AND(OR($DX465=1,$DW465=1),OR($EC465=1,$EA465=1)),SUM($DV465:$DZ465,$EF465)&gt;=4),SUM($EA465:$EE465)&gt;=2),"Whole sector","")</f>
        <v/>
      </c>
      <c r="EL465" t="str">
        <f>IF(AND(AND(OR($DX465=1,$DW465=1),AND($EC465=0,$EA465=0)),SUM($DV465:$DZ465,$EF465)&gt;=4),"Ecosystem approach","")</f>
        <v/>
      </c>
      <c r="EM465" s="2" t="str">
        <f>IF(AND(AND(AND($DX465=0,$DW465=0),OR($EC465=1,$EA465=1)),SUM($EB465:$EE465)&gt;=2),"Technology approach","")</f>
        <v/>
      </c>
      <c r="EP465" t="str">
        <f>IF(ISNUMBER(BU465),IF(ABS(BU465-[2]QC_indicators!$B$2)&gt;3*[2]QC_indicators!$C$2,"C ratio",IF(ISNUMBER(BY465),IF(ABS(BY465-[2]QC_indicators!$B$1)&gt;3*[2]QC_indicators!$C$1,"DF","no"))),IF(ISNUMBER(BY465),IF(ABS(BY465-[2]QC_indicators!$B$1)&gt;3*[2]QC_indicators!$C$1,"DF","no")))</f>
        <v>no</v>
      </c>
      <c r="EQ465" t="s">
        <v>287</v>
      </c>
      <c r="ET465" s="266" t="s">
        <v>3090</v>
      </c>
    </row>
    <row r="466" spans="1:150" ht="15" hidden="1" customHeight="1">
      <c r="A466" s="1" t="s">
        <v>1206</v>
      </c>
      <c r="B466" t="s">
        <v>1207</v>
      </c>
      <c r="C466" t="s">
        <v>1208</v>
      </c>
      <c r="D466" t="s">
        <v>1209</v>
      </c>
      <c r="E466" t="s">
        <v>1210</v>
      </c>
      <c r="F466" t="s">
        <v>1211</v>
      </c>
      <c r="G466" t="s">
        <v>1212</v>
      </c>
      <c r="I466">
        <v>2006</v>
      </c>
      <c r="K466" t="s">
        <v>1213</v>
      </c>
      <c r="M466" t="str">
        <f>LEFT($D466,FIND(",",$D466)-1)&amp;"_"&amp;I466&amp;L466</f>
        <v>Backeus_2006</v>
      </c>
      <c r="N466" t="s">
        <v>223</v>
      </c>
      <c r="O466" s="140" t="s">
        <v>275</v>
      </c>
      <c r="Q466" t="s">
        <v>225</v>
      </c>
      <c r="R466" s="255" t="s">
        <v>224</v>
      </c>
      <c r="S466" s="265" t="s">
        <v>3089</v>
      </c>
      <c r="T466" t="s">
        <v>1220</v>
      </c>
      <c r="U466" t="s">
        <v>1215</v>
      </c>
      <c r="V466">
        <v>0</v>
      </c>
      <c r="W466">
        <v>0</v>
      </c>
      <c r="X466">
        <v>0</v>
      </c>
      <c r="Y466">
        <v>1</v>
      </c>
      <c r="Z466">
        <v>0</v>
      </c>
      <c r="AA466">
        <v>0</v>
      </c>
      <c r="AB466">
        <v>0</v>
      </c>
      <c r="AC466">
        <v>0</v>
      </c>
      <c r="AD466">
        <v>0</v>
      </c>
      <c r="AE466">
        <v>0</v>
      </c>
      <c r="AF466">
        <v>0</v>
      </c>
      <c r="AG466">
        <v>0</v>
      </c>
      <c r="AH466">
        <v>0</v>
      </c>
      <c r="AI466">
        <v>0</v>
      </c>
      <c r="AJ466">
        <v>0</v>
      </c>
      <c r="AK466">
        <v>0</v>
      </c>
      <c r="AL466">
        <v>0</v>
      </c>
      <c r="AM466">
        <v>0</v>
      </c>
      <c r="AN466">
        <v>0</v>
      </c>
      <c r="AO466">
        <v>0</v>
      </c>
      <c r="AP466">
        <v>0</v>
      </c>
      <c r="AQ466">
        <v>0</v>
      </c>
      <c r="AR466">
        <v>0</v>
      </c>
      <c r="AS466">
        <v>0</v>
      </c>
      <c r="AT466">
        <v>0</v>
      </c>
      <c r="AU466">
        <v>0</v>
      </c>
      <c r="AV466">
        <v>1</v>
      </c>
      <c r="AW466">
        <v>0</v>
      </c>
      <c r="AX466" s="141">
        <f>COUNTIF(V466:AW466,"&lt;&gt;0")</f>
        <v>2</v>
      </c>
      <c r="AY466" s="141">
        <f>COUNTIF(V466:AL466,"&lt;&gt;0")</f>
        <v>1</v>
      </c>
      <c r="AZ466">
        <f>COUNTIF(V466:AC466,"&lt;&gt;0")</f>
        <v>1</v>
      </c>
      <c r="BA466">
        <f>COUNTIF(AD466:AI466,"&lt;&gt;0")</f>
        <v>0</v>
      </c>
      <c r="BB466">
        <f>COUNTIF(AJ466:AL466,"&lt;&gt;0")</f>
        <v>0</v>
      </c>
      <c r="BC466">
        <f>COUNTIF(AS466:AW466,"&lt;&gt;0")</f>
        <v>1</v>
      </c>
      <c r="BD466">
        <f>COUNTIF(AM466:AR466,"&lt;&gt;0")</f>
        <v>0</v>
      </c>
      <c r="BE466" t="str">
        <f t="array" ref="BE466">IF(AY466=1,INDEX($V$7:$AL$7,MATCH(TRUE,INDEX($V466:$AW466&lt;&gt;0,),0)),IF(AY466=0,INDEX($AM$7:$AW$7,MATCH(1,$AM466:$AW466,0)),IF(BF466="Multiple strategies","mixed drivers",IF(BF466="Supply chain","multiple supply","multiple silviculture"))))</f>
        <v xml:space="preserve">cutting intensity </v>
      </c>
      <c r="BF466" s="2" t="str" cm="1">
        <f t="array" ref="BF466">IF(COUNTIF(AZ466:BB466,"&lt;&gt;0")=1,INDEX($V$4:$AW$4,MATCH(TRUE,INDEX($V466:$AW466&lt;&gt;0,),0)),IF(COUNTIF(AZ466:BB466,"&lt;&gt;0")=0,INDEX($AM$4:$AW$4,MATCH(1,$AM466:$AW466,0)),"Multiple strategies"))</f>
        <v>SilvicultureRemov</v>
      </c>
      <c r="BG466" s="1" t="s">
        <v>230</v>
      </c>
      <c r="BH466" t="s">
        <v>230</v>
      </c>
      <c r="BI466" s="266" t="s">
        <v>703</v>
      </c>
      <c r="BJ466" t="s">
        <v>1216</v>
      </c>
      <c r="BK466">
        <v>1.8154092996757019</v>
      </c>
      <c r="BL466">
        <v>5.6162990524021872</v>
      </c>
      <c r="BM466">
        <f>BL466/BK466</f>
        <v>3.0936819886322398</v>
      </c>
      <c r="BN466">
        <f>BL466-BK466</f>
        <v>3.8008897527264853</v>
      </c>
      <c r="BO466" s="143">
        <f>BN466*10^6</f>
        <v>3800889.7527264855</v>
      </c>
      <c r="BP466" s="143" t="s">
        <v>233</v>
      </c>
      <c r="BQ466" s="143" t="s">
        <v>789</v>
      </c>
      <c r="BR466" s="152" t="s">
        <v>1217</v>
      </c>
      <c r="BS466" s="152">
        <v>2.0289855072463769</v>
      </c>
      <c r="BT466" s="152">
        <v>1.5434782608695652</v>
      </c>
      <c r="BU466" s="144">
        <f>IFERROR(BT466/BS466,"")</f>
        <v>0.76071428571428568</v>
      </c>
      <c r="BV466">
        <f>BT466-BS466</f>
        <v>-0.48550724637681175</v>
      </c>
      <c r="BX466">
        <f>BV466*10^6*C_to_CO2</f>
        <v>-1781811.5942028991</v>
      </c>
      <c r="BY466">
        <f>IFERROR(BX466/BO466,"")</f>
        <v>-0.46878802336341258</v>
      </c>
      <c r="BZ466">
        <v>0</v>
      </c>
      <c r="CA466">
        <v>0</v>
      </c>
      <c r="CB466">
        <v>0</v>
      </c>
      <c r="CC466">
        <v>0</v>
      </c>
      <c r="CD466">
        <v>0</v>
      </c>
      <c r="CE466">
        <v>0</v>
      </c>
      <c r="CF466">
        <v>0</v>
      </c>
      <c r="CG466">
        <v>0</v>
      </c>
      <c r="CH466">
        <v>0</v>
      </c>
      <c r="CI466">
        <v>0</v>
      </c>
      <c r="CJ466">
        <v>0</v>
      </c>
      <c r="CK466">
        <v>0</v>
      </c>
      <c r="CL466">
        <v>0</v>
      </c>
      <c r="CM466">
        <v>0</v>
      </c>
      <c r="CN466" t="str">
        <f>IF($BL466&lt;$BK466,"refNeedCorrection","refOK")</f>
        <v>refOK</v>
      </c>
      <c r="CO466">
        <f>IF($CN466="refOK",$BK466,$BL466)</f>
        <v>1.8154092996757019</v>
      </c>
      <c r="CP466">
        <f>IF($CN466="refOK",$BL466,$BK466)</f>
        <v>5.6162990524021872</v>
      </c>
      <c r="CQ466">
        <f>IF($CN466="refOK",$BO466,-$BO466)</f>
        <v>3800889.7527264855</v>
      </c>
      <c r="CR466">
        <f>IF($CN466="refOK",$BS466,$BT466)*IF($BP466="Emissions positive",-1,1)</f>
        <v>2.0289855072463769</v>
      </c>
      <c r="CS466">
        <f>IF($CN466="refOK",$BT466,$BS466)*IF($BP466="Emissions positive",-1,1)</f>
        <v>1.5434782608695652</v>
      </c>
      <c r="CT466">
        <f>IF($CN466="refNeedCorrection",-BX466,BX466)*IF($BP466="Emissions positive",-1,1)</f>
        <v>-1781811.5942028991</v>
      </c>
      <c r="CU466">
        <f>IFERROR(CT466/CQ466,"")</f>
        <v>-0.46878802336341258</v>
      </c>
      <c r="CV466" s="2">
        <f>IFERROR((CS466-CR466)/ABS(CR466),"")</f>
        <v>-0.23928571428571435</v>
      </c>
      <c r="CW466" s="1" t="s">
        <v>1201</v>
      </c>
      <c r="CX466" t="str">
        <f>IF(OR($CW466="prd",$CW466="std",$CW466="cit"),"loc",IF(OR($CW466="eur",$CW466="reg",$CW466="coy"),"reg",$CW466))</f>
        <v>reg</v>
      </c>
      <c r="CY466" t="s">
        <v>445</v>
      </c>
      <c r="DB466">
        <v>100</v>
      </c>
      <c r="DC466" t="str">
        <f>IF(DB466=0,"0",IF(AND(DB466&gt;=1,DB466&lt;=30),"1-30",IF(AND(DB466&gt;30,DB466&lt;=70),"31-70",IF(AND(DB466&gt;70,DB466&lt;=100),"71-100",IF(DB466&gt;100,"+100")))))</f>
        <v>71-100</v>
      </c>
      <c r="DD466">
        <v>0</v>
      </c>
      <c r="DE466">
        <v>1</v>
      </c>
      <c r="DF466">
        <v>1</v>
      </c>
      <c r="DG466">
        <v>1</v>
      </c>
      <c r="DI466">
        <f>SUM(DD466:DG466)</f>
        <v>3</v>
      </c>
      <c r="DJ466" t="str">
        <f>IF(DI466=1,INDEX($DD$7:$DG$7,MATCH(1,$DD466:$DG466,0)),"mixedProduct")</f>
        <v>mixedProduct</v>
      </c>
      <c r="DK466">
        <f>IF(DD466=1,DK$7,0)</f>
        <v>0</v>
      </c>
      <c r="DL466" t="str">
        <f>IF(DE466=1,DL$7,0)</f>
        <v>Energy</v>
      </c>
      <c r="DM466" t="str">
        <f>IF(DF466=1,DM$7,0)</f>
        <v>Pulp/Paper</v>
      </c>
      <c r="DN466" t="str">
        <f>IF(DG466=1,DN$7,0)</f>
        <v>Timber</v>
      </c>
      <c r="DO466">
        <v>1</v>
      </c>
      <c r="DP466">
        <v>0</v>
      </c>
      <c r="DQ466">
        <v>0</v>
      </c>
      <c r="DR466">
        <v>0</v>
      </c>
      <c r="DS466">
        <v>0</v>
      </c>
      <c r="DT466">
        <f>SUM(DO466:DP466)</f>
        <v>1</v>
      </c>
      <c r="DU466" s="143" t="str">
        <f>IF(DO466=1,"self-calculated DF",IF(DP466=1,"external DF used","explicit C balance"))</f>
        <v>self-calculated DF</v>
      </c>
      <c r="DV466">
        <v>0</v>
      </c>
      <c r="DW466">
        <v>1</v>
      </c>
      <c r="DX466">
        <v>1</v>
      </c>
      <c r="DY466">
        <v>0</v>
      </c>
      <c r="DZ466">
        <v>0</v>
      </c>
      <c r="EA466" s="143">
        <v>1</v>
      </c>
      <c r="EB466">
        <v>0</v>
      </c>
      <c r="EC466">
        <v>0</v>
      </c>
      <c r="ED466">
        <v>0</v>
      </c>
      <c r="EE466">
        <v>0</v>
      </c>
      <c r="EF466">
        <v>1</v>
      </c>
      <c r="EG466">
        <v>1</v>
      </c>
      <c r="EH466">
        <v>0</v>
      </c>
      <c r="EI466" s="2">
        <v>0</v>
      </c>
      <c r="EK466" t="str">
        <f>IF(AND(AND(AND(OR($DX466=1,$DW466=1),OR($EC466=1,$EA466=1)),SUM($DV466:$DZ466,$EF466)&gt;=4),SUM($EA466:$EE466)&gt;=2),"Whole sector","")</f>
        <v/>
      </c>
      <c r="EL466" t="str">
        <f>IF(AND(AND(OR($DX466=1,$DW466=1),AND($EC466=0,$EA466=0)),SUM($DV466:$DZ466,$EF466)&gt;=4),"Ecosystem approach","")</f>
        <v/>
      </c>
      <c r="EM466" s="2" t="str">
        <f>IF(AND(AND(AND($DX466=0,$DW466=0),OR($EC466=1,$EA466=1)),SUM($EB466:$EE466)&gt;=2),"Technology approach","")</f>
        <v/>
      </c>
      <c r="EP466" t="str">
        <f>IF(ISNUMBER(BU466),IF(ABS(BU466-[2]QC_indicators!$B$2)&gt;3*[2]QC_indicators!$C$2,"C ratio",IF(ISNUMBER(BY466),IF(ABS(BY466-[2]QC_indicators!$B$1)&gt;3*[2]QC_indicators!$C$1,"DF","no"))),IF(ISNUMBER(BY466),IF(ABS(BY466-[2]QC_indicators!$B$1)&gt;3*[2]QC_indicators!$C$1,"DF","no")))</f>
        <v>no</v>
      </c>
      <c r="EQ466" t="s">
        <v>287</v>
      </c>
      <c r="ET466" s="266" t="s">
        <v>3090</v>
      </c>
    </row>
    <row r="467" spans="1:150" ht="15" hidden="1" customHeight="1">
      <c r="A467" s="1" t="s">
        <v>1206</v>
      </c>
      <c r="B467" t="s">
        <v>1207</v>
      </c>
      <c r="C467" t="s">
        <v>1208</v>
      </c>
      <c r="D467" t="s">
        <v>1209</v>
      </c>
      <c r="E467" t="s">
        <v>1210</v>
      </c>
      <c r="F467" t="s">
        <v>1211</v>
      </c>
      <c r="G467" t="s">
        <v>1212</v>
      </c>
      <c r="I467">
        <v>2006</v>
      </c>
      <c r="K467" t="s">
        <v>1213</v>
      </c>
      <c r="M467" t="str">
        <f>LEFT($D467,FIND(",",$D467)-1)&amp;"_"&amp;I467&amp;L467</f>
        <v>Backeus_2006</v>
      </c>
      <c r="N467" t="s">
        <v>223</v>
      </c>
      <c r="O467" s="140" t="s">
        <v>275</v>
      </c>
      <c r="Q467" t="s">
        <v>225</v>
      </c>
      <c r="R467" s="255" t="s">
        <v>224</v>
      </c>
      <c r="S467" s="265" t="s">
        <v>3089</v>
      </c>
      <c r="T467" t="s">
        <v>1221</v>
      </c>
      <c r="U467" t="s">
        <v>1215</v>
      </c>
      <c r="V467">
        <v>0</v>
      </c>
      <c r="W467">
        <v>0</v>
      </c>
      <c r="X467">
        <v>0</v>
      </c>
      <c r="Y467">
        <v>1</v>
      </c>
      <c r="Z467">
        <v>0</v>
      </c>
      <c r="AA467">
        <v>0</v>
      </c>
      <c r="AB467">
        <v>0</v>
      </c>
      <c r="AC467">
        <v>0</v>
      </c>
      <c r="AD467">
        <v>0</v>
      </c>
      <c r="AE467">
        <v>0</v>
      </c>
      <c r="AF467">
        <v>0</v>
      </c>
      <c r="AG467">
        <v>0</v>
      </c>
      <c r="AH467">
        <v>0</v>
      </c>
      <c r="AI467">
        <v>0</v>
      </c>
      <c r="AJ467">
        <v>0</v>
      </c>
      <c r="AK467">
        <v>0</v>
      </c>
      <c r="AL467">
        <v>0</v>
      </c>
      <c r="AM467">
        <v>0</v>
      </c>
      <c r="AN467">
        <v>0</v>
      </c>
      <c r="AO467">
        <v>0</v>
      </c>
      <c r="AP467">
        <v>0</v>
      </c>
      <c r="AQ467">
        <v>0</v>
      </c>
      <c r="AR467">
        <v>0</v>
      </c>
      <c r="AS467">
        <v>0</v>
      </c>
      <c r="AT467">
        <v>0</v>
      </c>
      <c r="AU467">
        <v>0</v>
      </c>
      <c r="AV467">
        <v>1</v>
      </c>
      <c r="AW467">
        <v>0</v>
      </c>
      <c r="AX467" s="141">
        <f>COUNTIF(V467:AW467,"&lt;&gt;0")</f>
        <v>2</v>
      </c>
      <c r="AY467" s="141">
        <f>COUNTIF(V467:AL467,"&lt;&gt;0")</f>
        <v>1</v>
      </c>
      <c r="AZ467">
        <f>COUNTIF(V467:AC467,"&lt;&gt;0")</f>
        <v>1</v>
      </c>
      <c r="BA467">
        <f>COUNTIF(AD467:AI467,"&lt;&gt;0")</f>
        <v>0</v>
      </c>
      <c r="BB467">
        <f>COUNTIF(AJ467:AL467,"&lt;&gt;0")</f>
        <v>0</v>
      </c>
      <c r="BC467">
        <f>COUNTIF(AS467:AW467,"&lt;&gt;0")</f>
        <v>1</v>
      </c>
      <c r="BD467">
        <f>COUNTIF(AM467:AR467,"&lt;&gt;0")</f>
        <v>0</v>
      </c>
      <c r="BE467" t="str">
        <f t="array" ref="BE467">IF(AY467=1,INDEX($V$7:$AL$7,MATCH(TRUE,INDEX($V467:$AW467&lt;&gt;0,),0)),IF(AY467=0,INDEX($AM$7:$AW$7,MATCH(1,$AM467:$AW467,0)),IF(BF467="Multiple strategies","mixed drivers",IF(BF467="Supply chain","multiple supply","multiple silviculture"))))</f>
        <v xml:space="preserve">cutting intensity </v>
      </c>
      <c r="BF467" s="2" t="str" cm="1">
        <f t="array" ref="BF467">IF(COUNTIF(AZ467:BB467,"&lt;&gt;0")=1,INDEX($V$4:$AW$4,MATCH(TRUE,INDEX($V467:$AW467&lt;&gt;0,),0)),IF(COUNTIF(AZ467:BB467,"&lt;&gt;0")=0,INDEX($AM$4:$AW$4,MATCH(1,$AM467:$AW467,0)),"Multiple strategies"))</f>
        <v>SilvicultureRemov</v>
      </c>
      <c r="BG467" s="1" t="s">
        <v>230</v>
      </c>
      <c r="BH467" t="s">
        <v>230</v>
      </c>
      <c r="BI467" s="266" t="s">
        <v>703</v>
      </c>
      <c r="BJ467" t="s">
        <v>1216</v>
      </c>
      <c r="BK467">
        <v>0</v>
      </c>
      <c r="BL467">
        <v>5.6162990524021872</v>
      </c>
      <c r="BN467">
        <f>BL467-BK467</f>
        <v>5.6162990524021872</v>
      </c>
      <c r="BO467" s="143">
        <f>BN467*10^6</f>
        <v>5616299.0524021871</v>
      </c>
      <c r="BP467" s="143" t="s">
        <v>233</v>
      </c>
      <c r="BQ467" s="143" t="s">
        <v>789</v>
      </c>
      <c r="BR467" s="152" t="s">
        <v>1217</v>
      </c>
      <c r="BS467" s="152">
        <v>2.04</v>
      </c>
      <c r="BT467" s="152">
        <v>1.47058823529411</v>
      </c>
      <c r="BU467" s="144">
        <f>IFERROR(BT467/BS466,"")</f>
        <v>0.72478991596638276</v>
      </c>
      <c r="BV467">
        <f>BT467-BS467</f>
        <v>-0.56941176470589006</v>
      </c>
      <c r="BX467">
        <f>BV467*10^6*C_to_CO2</f>
        <v>-2089741.1764706166</v>
      </c>
      <c r="BY467">
        <f>IFERROR(BX467/BO467,"")</f>
        <v>-0.37208509678215917</v>
      </c>
      <c r="BZ467">
        <v>0</v>
      </c>
      <c r="CA467">
        <v>0</v>
      </c>
      <c r="CB467">
        <v>0</v>
      </c>
      <c r="CC467">
        <v>0</v>
      </c>
      <c r="CD467">
        <v>0</v>
      </c>
      <c r="CE467">
        <v>0</v>
      </c>
      <c r="CF467">
        <v>0</v>
      </c>
      <c r="CG467">
        <v>0</v>
      </c>
      <c r="CH467">
        <v>0</v>
      </c>
      <c r="CI467">
        <v>0</v>
      </c>
      <c r="CJ467">
        <v>0</v>
      </c>
      <c r="CK467">
        <v>0</v>
      </c>
      <c r="CL467">
        <v>0</v>
      </c>
      <c r="CM467">
        <v>0</v>
      </c>
      <c r="CN467" t="str">
        <f>IF($BL467&lt;$BK467,"refNeedCorrection","refOK")</f>
        <v>refOK</v>
      </c>
      <c r="CO467">
        <f>IF($CN467="refOK",$BK467,$BL467)</f>
        <v>0</v>
      </c>
      <c r="CP467">
        <f>IF($CN467="refOK",$BL467,$BK467)</f>
        <v>5.6162990524021872</v>
      </c>
      <c r="CQ467">
        <f>IF($CN467="refOK",$BO467,-$BO467)</f>
        <v>5616299.0524021871</v>
      </c>
      <c r="CR467">
        <f>IF($CN467="refOK",$BS466,$BT467)*IF($BP467="Emissions positive",-1,1)</f>
        <v>2.0289855072463769</v>
      </c>
      <c r="CS467">
        <f>IF($CN467="refOK",$BT467,$BS466)*IF($BP467="Emissions positive",-1,1)</f>
        <v>1.47058823529411</v>
      </c>
      <c r="CT467">
        <f>IF($CN467="refNeedCorrection",-BX467,BX467)*IF($BP467="Emissions positive",-1,1)</f>
        <v>-2089741.1764706166</v>
      </c>
      <c r="CU467">
        <f>IFERROR(CT467/CQ467,"")</f>
        <v>-0.37208509678215917</v>
      </c>
      <c r="CV467" s="2">
        <f>IFERROR((CS467-CR467)/ABS(CR467),"")</f>
        <v>-0.2752100840336173</v>
      </c>
      <c r="CW467" s="1" t="s">
        <v>1201</v>
      </c>
      <c r="CX467" t="str">
        <f>IF(OR($CW467="prd",$CW467="std",$CW467="cit"),"loc",IF(OR($CW467="eur",$CW467="reg",$CW467="coy"),"reg",$CW467))</f>
        <v>reg</v>
      </c>
      <c r="CY467" t="s">
        <v>445</v>
      </c>
      <c r="DB467">
        <v>100</v>
      </c>
      <c r="DC467" t="str">
        <f>IF(DB467=0,"0",IF(AND(DB467&gt;=1,DB467&lt;=30),"1-30",IF(AND(DB467&gt;30,DB467&lt;=70),"31-70",IF(AND(DB467&gt;70,DB467&lt;=100),"71-100",IF(DB467&gt;100,"+100")))))</f>
        <v>71-100</v>
      </c>
      <c r="DD467">
        <v>0</v>
      </c>
      <c r="DE467">
        <v>1</v>
      </c>
      <c r="DF467">
        <v>1</v>
      </c>
      <c r="DG467">
        <v>1</v>
      </c>
      <c r="DI467">
        <f>SUM(DD467:DG467)</f>
        <v>3</v>
      </c>
      <c r="DJ467" t="str">
        <f>IF(DI467=1,INDEX($DD$7:$DG$7,MATCH(1,$DD467:$DG467,0)),"mixedProduct")</f>
        <v>mixedProduct</v>
      </c>
      <c r="DK467">
        <f>IF(DD467=1,DK$7,0)</f>
        <v>0</v>
      </c>
      <c r="DL467" t="str">
        <f>IF(DE467=1,DL$7,0)</f>
        <v>Energy</v>
      </c>
      <c r="DM467" t="str">
        <f>IF(DF467=1,DM$7,0)</f>
        <v>Pulp/Paper</v>
      </c>
      <c r="DN467" t="str">
        <f>IF(DG467=1,DN$7,0)</f>
        <v>Timber</v>
      </c>
      <c r="DO467">
        <v>0</v>
      </c>
      <c r="DP467">
        <v>0</v>
      </c>
      <c r="DQ467">
        <v>0</v>
      </c>
      <c r="DR467">
        <v>0</v>
      </c>
      <c r="DS467">
        <v>0</v>
      </c>
      <c r="DT467">
        <f>SUM(DO467:DP467)</f>
        <v>0</v>
      </c>
      <c r="DU467" s="143" t="str">
        <f>IF(DO467=1,"self-calculated DF",IF(DP467=1,"external DF used","explicit C balance"))</f>
        <v>explicit C balance</v>
      </c>
      <c r="DV467">
        <v>0</v>
      </c>
      <c r="DW467">
        <v>1</v>
      </c>
      <c r="DX467">
        <v>1</v>
      </c>
      <c r="DY467">
        <v>0</v>
      </c>
      <c r="DZ467">
        <v>0</v>
      </c>
      <c r="EA467" s="143">
        <v>0</v>
      </c>
      <c r="EB467">
        <v>0</v>
      </c>
      <c r="EC467">
        <v>0</v>
      </c>
      <c r="ED467">
        <v>0</v>
      </c>
      <c r="EE467">
        <v>0</v>
      </c>
      <c r="EF467">
        <v>1</v>
      </c>
      <c r="EG467">
        <v>1</v>
      </c>
      <c r="EH467">
        <v>0</v>
      </c>
      <c r="EI467" s="2">
        <v>0</v>
      </c>
      <c r="EK467" t="str">
        <f>IF(AND(AND(AND(OR($DX467=1,$DW467=1),OR($EC467=1,$EA467=1)),SUM($DV467:$DZ467,$EF467)&gt;=4),SUM($EA467:$EE467)&gt;=2),"Whole sector","")</f>
        <v/>
      </c>
      <c r="EL467" t="str">
        <f>IF(AND(AND(OR($DX467=1,$DW467=1),AND($EC467=0,$EA467=0)),SUM($DV467:$DZ467,$EF467)&gt;=4),"Ecosystem approach","")</f>
        <v/>
      </c>
      <c r="EM467" s="2" t="str">
        <f>IF(AND(AND(AND($DX467=0,$DW467=0),OR($EC467=1,$EA467=1)),SUM($EB467:$EE467)&gt;=2),"Technology approach","")</f>
        <v/>
      </c>
      <c r="EP467" t="str">
        <f>IF(ISNUMBER(BU467),IF(ABS(BU467-[2]QC_indicators!$B$2)&gt;3*[2]QC_indicators!$C$2,"C ratio",IF(ISNUMBER(BY467),IF(ABS(BY467-[2]QC_indicators!$B$1)&gt;3*[2]QC_indicators!$C$1,"DF","no"))),IF(ISNUMBER(BY467),IF(ABS(BY467-[2]QC_indicators!$B$1)&gt;3*[2]QC_indicators!$C$1,"DF","no")))</f>
        <v>no</v>
      </c>
      <c r="EQ467" t="s">
        <v>287</v>
      </c>
      <c r="ET467" s="266" t="s">
        <v>3090</v>
      </c>
    </row>
    <row r="468" spans="1:150" ht="15" hidden="1" customHeight="1">
      <c r="A468" s="1" t="s">
        <v>1206</v>
      </c>
      <c r="B468" t="s">
        <v>1207</v>
      </c>
      <c r="C468" t="s">
        <v>1208</v>
      </c>
      <c r="D468" t="s">
        <v>1209</v>
      </c>
      <c r="E468" t="s">
        <v>1210</v>
      </c>
      <c r="F468" t="s">
        <v>1211</v>
      </c>
      <c r="G468" t="s">
        <v>1212</v>
      </c>
      <c r="I468">
        <v>2006</v>
      </c>
      <c r="K468" t="s">
        <v>1213</v>
      </c>
      <c r="M468" t="str">
        <f>LEFT($D468,FIND(",",$D468)-1)&amp;"_"&amp;I468&amp;L468</f>
        <v>Backeus_2006</v>
      </c>
      <c r="N468" t="s">
        <v>223</v>
      </c>
      <c r="O468" s="140" t="s">
        <v>275</v>
      </c>
      <c r="Q468" t="s">
        <v>225</v>
      </c>
      <c r="R468" s="255" t="s">
        <v>224</v>
      </c>
      <c r="S468" s="265" t="s">
        <v>3089</v>
      </c>
      <c r="T468" t="s">
        <v>1221</v>
      </c>
      <c r="U468" t="s">
        <v>1215</v>
      </c>
      <c r="V468">
        <v>0</v>
      </c>
      <c r="W468">
        <v>0</v>
      </c>
      <c r="X468">
        <v>0</v>
      </c>
      <c r="Y468">
        <v>1</v>
      </c>
      <c r="Z468">
        <v>0</v>
      </c>
      <c r="AA468">
        <v>0</v>
      </c>
      <c r="AB468">
        <v>0</v>
      </c>
      <c r="AC468">
        <v>0</v>
      </c>
      <c r="AD468">
        <v>0</v>
      </c>
      <c r="AE468">
        <v>0</v>
      </c>
      <c r="AF468">
        <v>0</v>
      </c>
      <c r="AG468">
        <v>0</v>
      </c>
      <c r="AH468">
        <v>0</v>
      </c>
      <c r="AI468">
        <v>0</v>
      </c>
      <c r="AJ468">
        <v>0</v>
      </c>
      <c r="AK468">
        <v>0</v>
      </c>
      <c r="AL468">
        <v>0</v>
      </c>
      <c r="AM468">
        <v>0</v>
      </c>
      <c r="AN468">
        <v>0</v>
      </c>
      <c r="AO468">
        <v>0</v>
      </c>
      <c r="AP468">
        <v>0</v>
      </c>
      <c r="AQ468">
        <v>0</v>
      </c>
      <c r="AR468">
        <v>0</v>
      </c>
      <c r="AS468">
        <v>0</v>
      </c>
      <c r="AT468">
        <v>0</v>
      </c>
      <c r="AU468">
        <v>0</v>
      </c>
      <c r="AV468">
        <v>1</v>
      </c>
      <c r="AW468">
        <v>0</v>
      </c>
      <c r="AX468" s="141">
        <f>COUNTIF(V468:AW468,"&lt;&gt;0")</f>
        <v>2</v>
      </c>
      <c r="AY468" s="141">
        <f>COUNTIF(V468:AL468,"&lt;&gt;0")</f>
        <v>1</v>
      </c>
      <c r="AZ468">
        <f>COUNTIF(V468:AC468,"&lt;&gt;0")</f>
        <v>1</v>
      </c>
      <c r="BA468">
        <f>COUNTIF(AD468:AI468,"&lt;&gt;0")</f>
        <v>0</v>
      </c>
      <c r="BB468">
        <f>COUNTIF(AJ468:AL468,"&lt;&gt;0")</f>
        <v>0</v>
      </c>
      <c r="BC468">
        <f>COUNTIF(AS468:AW468,"&lt;&gt;0")</f>
        <v>1</v>
      </c>
      <c r="BD468">
        <f>COUNTIF(AM468:AR468,"&lt;&gt;0")</f>
        <v>0</v>
      </c>
      <c r="BE468" t="str">
        <f t="array" ref="BE468">IF(AY468=1,INDEX($V$7:$AL$7,MATCH(TRUE,INDEX($V468:$AW468&lt;&gt;0,),0)),IF(AY468=0,INDEX($AM$7:$AW$7,MATCH(1,$AM468:$AW468,0)),IF(BF468="Multiple strategies","mixed drivers",IF(BF468="Supply chain","multiple supply","multiple silviculture"))))</f>
        <v xml:space="preserve">cutting intensity </v>
      </c>
      <c r="BF468" s="2" t="str" cm="1">
        <f t="array" ref="BF468">IF(COUNTIF(AZ468:BB468,"&lt;&gt;0")=1,INDEX($V$4:$AW$4,MATCH(TRUE,INDEX($V468:$AW468&lt;&gt;0,),0)),IF(COUNTIF(AZ468:BB468,"&lt;&gt;0")=0,INDEX($AM$4:$AW$4,MATCH(1,$AM468:$AW468,0)),"Multiple strategies"))</f>
        <v>SilvicultureRemov</v>
      </c>
      <c r="BG468" s="1" t="s">
        <v>230</v>
      </c>
      <c r="BH468" t="s">
        <v>230</v>
      </c>
      <c r="BI468" s="266" t="s">
        <v>703</v>
      </c>
      <c r="BJ468" t="s">
        <v>1216</v>
      </c>
      <c r="BK468">
        <v>0</v>
      </c>
      <c r="BL468">
        <v>5.6162990524021872</v>
      </c>
      <c r="BN468">
        <f>BL468-BK468</f>
        <v>5.6162990524021872</v>
      </c>
      <c r="BO468" s="143">
        <f>BN468*10^6</f>
        <v>5616299.0524021871</v>
      </c>
      <c r="BP468" s="143" t="s">
        <v>233</v>
      </c>
      <c r="BQ468" s="143" t="s">
        <v>789</v>
      </c>
      <c r="BR468" s="152" t="s">
        <v>1217</v>
      </c>
      <c r="BS468" s="152">
        <v>2.0588235294117601</v>
      </c>
      <c r="BT468" s="152">
        <v>1.5434782608695652</v>
      </c>
      <c r="BU468" s="144">
        <f>IFERROR(BT468/BS468,"")</f>
        <v>0.74968944099379053</v>
      </c>
      <c r="BV468">
        <f>BT468-BS468</f>
        <v>-0.51534526854219487</v>
      </c>
      <c r="BX468">
        <f>BV468*10^6*C_to_CO2</f>
        <v>-1891317.1355498552</v>
      </c>
      <c r="BY468">
        <f>IFERROR(BX468/BO468,"")</f>
        <v>-0.33675506199067273</v>
      </c>
      <c r="BZ468">
        <v>0</v>
      </c>
      <c r="CA468">
        <v>0</v>
      </c>
      <c r="CB468">
        <v>0</v>
      </c>
      <c r="CC468">
        <v>0</v>
      </c>
      <c r="CD468">
        <v>0</v>
      </c>
      <c r="CE468">
        <v>0</v>
      </c>
      <c r="CF468">
        <v>0</v>
      </c>
      <c r="CG468">
        <v>0</v>
      </c>
      <c r="CH468">
        <v>0</v>
      </c>
      <c r="CI468">
        <v>0</v>
      </c>
      <c r="CJ468">
        <v>0</v>
      </c>
      <c r="CK468">
        <v>0</v>
      </c>
      <c r="CL468">
        <v>0</v>
      </c>
      <c r="CM468">
        <v>0</v>
      </c>
      <c r="CN468" t="str">
        <f>IF($BL468&lt;$BK468,"refNeedCorrection","refOK")</f>
        <v>refOK</v>
      </c>
      <c r="CO468">
        <f>IF($CN468="refOK",$BK468,$BL468)</f>
        <v>0</v>
      </c>
      <c r="CP468">
        <f>IF($CN468="refOK",$BL468,$BK468)</f>
        <v>5.6162990524021872</v>
      </c>
      <c r="CQ468">
        <f>IF($CN468="refOK",$BO468,-$BO468)</f>
        <v>5616299.0524021871</v>
      </c>
      <c r="CR468" t="e">
        <f>IF($CN468="refOK",#REF!,$BT468)*IF($BP468="Emissions positive",-1,1)</f>
        <v>#REF!</v>
      </c>
      <c r="CS468">
        <f>IF($CN468="refOK",$BT468,#REF!)*IF($BP468="Emissions positive",-1,1)</f>
        <v>1.5434782608695652</v>
      </c>
      <c r="CT468">
        <f>IF($CN468="refNeedCorrection",-BX468,BX468)*IF($BP468="Emissions positive",-1,1)</f>
        <v>-1891317.1355498552</v>
      </c>
      <c r="CU468">
        <f>IFERROR(CT468/CQ468,"")</f>
        <v>-0.33675506199067273</v>
      </c>
      <c r="CV468" s="2" t="str">
        <f>IFERROR((CS468-CR468)/ABS(CR468),"")</f>
        <v/>
      </c>
      <c r="CW468" s="1" t="s">
        <v>1201</v>
      </c>
      <c r="CX468" t="str">
        <f>IF(OR($CW468="prd",$CW468="std",$CW468="cit"),"loc",IF(OR($CW468="eur",$CW468="reg",$CW468="coy"),"reg",$CW468))</f>
        <v>reg</v>
      </c>
      <c r="CY468" t="s">
        <v>445</v>
      </c>
      <c r="DB468">
        <v>100</v>
      </c>
      <c r="DC468" t="str">
        <f>IF(DB468=0,"0",IF(AND(DB468&gt;=1,DB468&lt;=30),"1-30",IF(AND(DB468&gt;30,DB468&lt;=70),"31-70",IF(AND(DB468&gt;70,DB468&lt;=100),"71-100",IF(DB468&gt;100,"+100")))))</f>
        <v>71-100</v>
      </c>
      <c r="DD468">
        <v>0</v>
      </c>
      <c r="DE468">
        <v>1</v>
      </c>
      <c r="DF468">
        <v>1</v>
      </c>
      <c r="DG468">
        <v>1</v>
      </c>
      <c r="DI468">
        <f>SUM(DD468:DG468)</f>
        <v>3</v>
      </c>
      <c r="DJ468" t="str">
        <f>IF(DI468=1,INDEX($DD$7:$DG$7,MATCH(1,$DD468:$DG468,0)),"mixedProduct")</f>
        <v>mixedProduct</v>
      </c>
      <c r="DK468">
        <f>IF(DD468=1,DK$7,0)</f>
        <v>0</v>
      </c>
      <c r="DL468" t="str">
        <f>IF(DE468=1,DL$7,0)</f>
        <v>Energy</v>
      </c>
      <c r="DM468" t="str">
        <f>IF(DF468=1,DM$7,0)</f>
        <v>Pulp/Paper</v>
      </c>
      <c r="DN468" t="str">
        <f>IF(DG468=1,DN$7,0)</f>
        <v>Timber</v>
      </c>
      <c r="DO468">
        <v>1</v>
      </c>
      <c r="DP468">
        <v>0</v>
      </c>
      <c r="DQ468">
        <v>0</v>
      </c>
      <c r="DR468">
        <v>0</v>
      </c>
      <c r="DS468">
        <v>0</v>
      </c>
      <c r="DT468">
        <f>SUM(DO468:DP468)</f>
        <v>1</v>
      </c>
      <c r="DU468" s="143" t="str">
        <f>IF(DO468=1,"self-calculated DF",IF(DP468=1,"external DF used","explicit C balance"))</f>
        <v>self-calculated DF</v>
      </c>
      <c r="DV468">
        <v>0</v>
      </c>
      <c r="DW468">
        <v>1</v>
      </c>
      <c r="DX468">
        <v>1</v>
      </c>
      <c r="DY468">
        <v>0</v>
      </c>
      <c r="DZ468">
        <v>0</v>
      </c>
      <c r="EA468" s="143">
        <v>1</v>
      </c>
      <c r="EB468">
        <v>0</v>
      </c>
      <c r="EC468">
        <v>0</v>
      </c>
      <c r="ED468">
        <v>0</v>
      </c>
      <c r="EE468">
        <v>0</v>
      </c>
      <c r="EF468">
        <v>1</v>
      </c>
      <c r="EG468">
        <v>1</v>
      </c>
      <c r="EH468">
        <v>0</v>
      </c>
      <c r="EI468" s="2">
        <v>0</v>
      </c>
      <c r="EK468" t="str">
        <f>IF(AND(AND(AND(OR($DX468=1,$DW468=1),OR($EC468=1,$EA468=1)),SUM($DV468:$DZ468,$EF468)&gt;=4),SUM($EA468:$EE468)&gt;=2),"Whole sector","")</f>
        <v/>
      </c>
      <c r="EL468" t="str">
        <f>IF(AND(AND(OR($DX468=1,$DW468=1),AND($EC468=0,$EA468=0)),SUM($DV468:$DZ468,$EF468)&gt;=4),"Ecosystem approach","")</f>
        <v/>
      </c>
      <c r="EM468" s="2" t="str">
        <f>IF(AND(AND(AND($DX468=0,$DW468=0),OR($EC468=1,$EA468=1)),SUM($EB468:$EE468)&gt;=2),"Technology approach","")</f>
        <v/>
      </c>
      <c r="EP468" t="str">
        <f>IF(ISNUMBER(BU468),IF(ABS(BU468-[2]QC_indicators!$B$2)&gt;3*[2]QC_indicators!$C$2,"C ratio",IF(ISNUMBER(BY468),IF(ABS(BY468-[2]QC_indicators!$B$1)&gt;3*[2]QC_indicators!$C$1,"DF","no"))),IF(ISNUMBER(BY468),IF(ABS(BY468-[2]QC_indicators!$B$1)&gt;3*[2]QC_indicators!$C$1,"DF","no")))</f>
        <v>no</v>
      </c>
      <c r="EQ468" t="s">
        <v>287</v>
      </c>
      <c r="ET468" s="266" t="s">
        <v>3090</v>
      </c>
    </row>
    <row r="469" spans="1:150" ht="15" hidden="1" customHeight="1">
      <c r="A469" s="1" t="s">
        <v>1380</v>
      </c>
      <c r="B469" t="s">
        <v>1924</v>
      </c>
      <c r="C469" t="s">
        <v>1925</v>
      </c>
      <c r="D469" t="s">
        <v>1926</v>
      </c>
      <c r="E469" t="s">
        <v>1927</v>
      </c>
      <c r="F469" t="s">
        <v>1928</v>
      </c>
      <c r="G469" t="s">
        <v>1386</v>
      </c>
      <c r="H469" t="s">
        <v>255</v>
      </c>
      <c r="I469">
        <v>2016</v>
      </c>
      <c r="J469">
        <v>12</v>
      </c>
      <c r="K469" t="s">
        <v>1929</v>
      </c>
      <c r="M469" t="str">
        <f>LEFT($D469,FIND(",",$D469)-1)&amp;"_"&amp;I469&amp;L469</f>
        <v>Lobianco_2016</v>
      </c>
      <c r="N469" t="s">
        <v>223</v>
      </c>
      <c r="O469" s="145" t="s">
        <v>226</v>
      </c>
      <c r="P469" t="s">
        <v>514</v>
      </c>
      <c r="Q469" t="s">
        <v>257</v>
      </c>
      <c r="R469" s="264" t="s">
        <v>224</v>
      </c>
      <c r="S469" s="1" t="s">
        <v>1933</v>
      </c>
      <c r="T469" s="143" t="s">
        <v>3164</v>
      </c>
      <c r="U469" s="143" t="s">
        <v>1157</v>
      </c>
      <c r="V469">
        <v>0</v>
      </c>
      <c r="W469">
        <v>0</v>
      </c>
      <c r="X469">
        <v>0</v>
      </c>
      <c r="Y469">
        <v>1</v>
      </c>
      <c r="Z469">
        <v>0</v>
      </c>
      <c r="AA469">
        <v>0</v>
      </c>
      <c r="AB469">
        <v>0</v>
      </c>
      <c r="AC469">
        <v>0</v>
      </c>
      <c r="AD469">
        <v>0</v>
      </c>
      <c r="AE469">
        <v>0</v>
      </c>
      <c r="AF469">
        <v>0</v>
      </c>
      <c r="AG469">
        <v>0</v>
      </c>
      <c r="AH469">
        <v>0</v>
      </c>
      <c r="AI469">
        <v>0</v>
      </c>
      <c r="AJ469">
        <v>0</v>
      </c>
      <c r="AK469">
        <v>0</v>
      </c>
      <c r="AL469">
        <v>0</v>
      </c>
      <c r="AM469">
        <v>0</v>
      </c>
      <c r="AN469">
        <v>0</v>
      </c>
      <c r="AO469">
        <v>0</v>
      </c>
      <c r="AP469">
        <v>0</v>
      </c>
      <c r="AQ469">
        <v>0</v>
      </c>
      <c r="AR469">
        <v>0</v>
      </c>
      <c r="AS469">
        <v>0</v>
      </c>
      <c r="AT469">
        <v>0</v>
      </c>
      <c r="AU469">
        <v>1</v>
      </c>
      <c r="AV469">
        <v>0</v>
      </c>
      <c r="AW469">
        <v>0</v>
      </c>
      <c r="AX469" s="141">
        <f>COUNTIF(V469:AW469,"&lt;&gt;0")</f>
        <v>2</v>
      </c>
      <c r="AY469" s="141">
        <f>COUNTIF(V469:AL469,"&lt;&gt;0")</f>
        <v>1</v>
      </c>
      <c r="AZ469">
        <f>COUNTIF(V469:AC469,"&lt;&gt;0")</f>
        <v>1</v>
      </c>
      <c r="BA469">
        <f>COUNTIF(AD469:AI469,"&lt;&gt;0")</f>
        <v>0</v>
      </c>
      <c r="BB469">
        <f>COUNTIF(AJ469:AL469,"&lt;&gt;0")</f>
        <v>0</v>
      </c>
      <c r="BC469">
        <f>COUNTIF(AS469:AW469,"&lt;&gt;0")</f>
        <v>1</v>
      </c>
      <c r="BD469">
        <f>COUNTIF(AM469:AR469,"&lt;&gt;0")</f>
        <v>0</v>
      </c>
      <c r="BE469" t="str">
        <f t="array" ref="BE469">IF(AY469=1,INDEX($V$7:$AL$7,MATCH(TRUE,INDEX($V469:$AW469&lt;&gt;0,),0)),IF(AY469=0,INDEX($AM$7:$AW$7,MATCH(1,$AM469:$AW469,0)),IF(BF469="Multiple strategies","mixed drivers",IF(BF469="Supply chain","multiple supply","multiple silviculture"))))</f>
        <v xml:space="preserve">cutting intensity </v>
      </c>
      <c r="BF469" s="2" t="str" cm="1">
        <f t="array" ref="BF469">IF(COUNTIF(AZ469:BB469,"&lt;&gt;0")=1,INDEX($V$4:$AW$4,MATCH(TRUE,INDEX($V469:$AW469&lt;&gt;0,),0)),IF(COUNTIF(AZ469:BB469,"&lt;&gt;0")=0,INDEX($AM$4:$AW$4,MATCH(1,$AM469:$AW469,0)),"Multiple strategies"))</f>
        <v>SilvicultureRemov</v>
      </c>
      <c r="BG469" s="142" t="s">
        <v>322</v>
      </c>
      <c r="BH469" s="267" t="s">
        <v>3165</v>
      </c>
      <c r="BI469" s="266" t="s">
        <v>3166</v>
      </c>
      <c r="BJ469" s="143" t="s">
        <v>3167</v>
      </c>
      <c r="BK469">
        <f>53.247*(1-4.06/100)</f>
        <v>51.085171800000005</v>
      </c>
      <c r="BL469">
        <f>53.247</f>
        <v>53.247</v>
      </c>
      <c r="BM469" s="163"/>
      <c r="BN469">
        <f>BL469-BK469</f>
        <v>2.1618281999999951</v>
      </c>
      <c r="BO469" s="143">
        <f>BN469*10^6</f>
        <v>2161828.1999999951</v>
      </c>
      <c r="BP469" t="s">
        <v>233</v>
      </c>
      <c r="BQ469" s="266" t="s">
        <v>3168</v>
      </c>
      <c r="BR469" s="143" t="s">
        <v>1931</v>
      </c>
      <c r="BS469">
        <f>89.469*(1+3.82/100)</f>
        <v>92.88671579999999</v>
      </c>
      <c r="BT469">
        <v>89.468999999999994</v>
      </c>
      <c r="BU469" s="144">
        <f>IFERROR(BT469/BS469,"")</f>
        <v>0.96320554806395686</v>
      </c>
      <c r="BV469">
        <f>BT469-BS469</f>
        <v>-3.4177157999999963</v>
      </c>
      <c r="BX469">
        <f>BV469*10^6</f>
        <v>-3417715.7999999961</v>
      </c>
      <c r="BY469">
        <f>IFERROR(BX469/BO469,"")</f>
        <v>-1.5809377451917797</v>
      </c>
      <c r="BZ469">
        <v>0</v>
      </c>
      <c r="CA469">
        <v>0</v>
      </c>
      <c r="CB469">
        <v>0</v>
      </c>
      <c r="CC469">
        <v>0</v>
      </c>
      <c r="CD469">
        <v>0</v>
      </c>
      <c r="CE469">
        <v>0</v>
      </c>
      <c r="CF469">
        <v>0</v>
      </c>
      <c r="CG469">
        <v>0</v>
      </c>
      <c r="CH469">
        <v>0</v>
      </c>
      <c r="CI469">
        <v>0</v>
      </c>
      <c r="CJ469">
        <v>0</v>
      </c>
      <c r="CK469">
        <v>0</v>
      </c>
      <c r="CL469">
        <v>0</v>
      </c>
      <c r="CM469">
        <v>0</v>
      </c>
      <c r="CN469" t="str">
        <f>IF($BL469&lt;$BK469,"refNeedCorrection","refOK")</f>
        <v>refOK</v>
      </c>
      <c r="CO469">
        <f>IF($CN469="refOK",$BK469,$BL469)</f>
        <v>51.085171800000005</v>
      </c>
      <c r="CP469">
        <f>IF($CN469="refOK",$BL469,$BK469)</f>
        <v>53.247</v>
      </c>
      <c r="CQ469">
        <f>IF($CN469="refOK",$BO469,-$BO469)</f>
        <v>2161828.1999999951</v>
      </c>
      <c r="CR469">
        <f>IF($CN469="refOK",$BS469,$BT469)*IF($BP469="Emissions positive",-1,1)</f>
        <v>92.88671579999999</v>
      </c>
      <c r="CS469">
        <f>IF($CN469="refOK",$BT469,$BS469)*IF($BP469="Emissions positive",-1,1)</f>
        <v>89.468999999999994</v>
      </c>
      <c r="CT469">
        <f>IF($CN469="refNeedCorrection",-BX469,BX469)*IF($BP469="Emissions positive",-1,1)</f>
        <v>-3417715.7999999961</v>
      </c>
      <c r="CU469">
        <f>IFERROR(CT469/CQ469,"")</f>
        <v>-1.5809377451917797</v>
      </c>
      <c r="CV469" s="2">
        <f>IFERROR((CS469-CR469)/ABS(CR469),"")</f>
        <v>-3.6794451936043117E-2</v>
      </c>
      <c r="CW469" s="1" t="s">
        <v>1201</v>
      </c>
      <c r="CX469" t="str">
        <f>IF(OR($CW469="prd",$CW469="std",$CW469="cit"),"loc",IF(OR($CW469="eur",$CW469="reg",$CW469="coy"),"reg",$CW469))</f>
        <v>reg</v>
      </c>
      <c r="CY469" t="s">
        <v>731</v>
      </c>
      <c r="CZ469">
        <v>2007</v>
      </c>
      <c r="DA469" s="143">
        <v>2100</v>
      </c>
      <c r="DB469" s="143">
        <f>DA469-CZ469</f>
        <v>93</v>
      </c>
      <c r="DC469" t="str">
        <f>IF(DB469=0,"0",IF(AND(DB469&gt;=1,DB469&lt;=30),"1-30",IF(AND(DB469&gt;30,DB469&lt;=70),"31-70",IF(AND(DB469&gt;70,DB469&lt;=100),"71-100",IF(DB469&gt;100,"+100")))))</f>
        <v>71-100</v>
      </c>
      <c r="DD469">
        <v>0</v>
      </c>
      <c r="DE469">
        <v>1</v>
      </c>
      <c r="DF469">
        <v>0</v>
      </c>
      <c r="DG469">
        <v>1</v>
      </c>
      <c r="DH469">
        <v>1</v>
      </c>
      <c r="DI469">
        <f>SUM(DD469:DG469)</f>
        <v>2</v>
      </c>
      <c r="DJ469" t="str">
        <f>IF(DI469=1,INDEX($DD$7:$DG$7,MATCH(1,$DD469:$DG469,0)),"mixedProduct")</f>
        <v>mixedProduct</v>
      </c>
      <c r="DK469">
        <f>IF(DD469=1,DK$7,0)</f>
        <v>0</v>
      </c>
      <c r="DL469" t="str">
        <f>IF(DE469=1,DL$7,0)</f>
        <v>Energy</v>
      </c>
      <c r="DM469">
        <f>IF(DF469=1,DM$7,0)</f>
        <v>0</v>
      </c>
      <c r="DN469" t="str">
        <f>IF(DG469=1,DN$7,0)</f>
        <v>Timber</v>
      </c>
      <c r="DO469">
        <v>0</v>
      </c>
      <c r="DP469" s="143">
        <v>0</v>
      </c>
      <c r="DQ469" s="143">
        <v>0</v>
      </c>
      <c r="DR469">
        <v>0</v>
      </c>
      <c r="DS469" s="143">
        <v>0</v>
      </c>
      <c r="DT469">
        <f>SUM(DO469:DP469)</f>
        <v>0</v>
      </c>
      <c r="DU469" s="143" t="str">
        <f>IF(DO469=1,"self-calculated DF",IF(DP469=1,"external DF used","explicit C balance"))</f>
        <v>explicit C balance</v>
      </c>
      <c r="DV469" s="143">
        <v>0</v>
      </c>
      <c r="DW469" s="143">
        <v>0</v>
      </c>
      <c r="DX469" s="143">
        <v>1</v>
      </c>
      <c r="DY469" s="143">
        <v>1</v>
      </c>
      <c r="DZ469">
        <v>0</v>
      </c>
      <c r="EA469" s="143">
        <v>0</v>
      </c>
      <c r="EB469" s="143">
        <v>0</v>
      </c>
      <c r="EC469" s="143">
        <v>0</v>
      </c>
      <c r="ED469" s="143">
        <v>0</v>
      </c>
      <c r="EE469">
        <v>0</v>
      </c>
      <c r="EF469">
        <v>1</v>
      </c>
      <c r="EG469" s="143">
        <v>0</v>
      </c>
      <c r="EH469">
        <v>0</v>
      </c>
      <c r="EI469" s="2">
        <v>1</v>
      </c>
      <c r="EK469" t="str">
        <f>IF(AND(AND(AND(OR($DX469=1,$DW469=1),OR($EC469=1,$EA469=1)),SUM($DV469:$DZ469,$EF469)&gt;=4),SUM($EA469:$EE469)&gt;=2),"Whole sector","")</f>
        <v/>
      </c>
      <c r="EL469" t="str">
        <f>IF(AND(AND(OR($DX469=1,$DW469=1),AND($EC469=0,$EA469=0)),SUM($DV469:$DZ469,$EF469)&gt;=4),"Ecosystem approach","")</f>
        <v/>
      </c>
      <c r="EM469" s="2" t="str">
        <f>IF(AND(AND(AND($DX469=0,$DW469=0),OR($EC469=1,$EA469=1)),SUM($EB469:$EE469)&gt;=2),"Technology approach","")</f>
        <v/>
      </c>
      <c r="EP469" t="str">
        <f>IF(ISNUMBER(BU469),IF(ABS(BU469-[2]QC_indicators!$B$2)&gt;3*[2]QC_indicators!$C$2,"C ratio",IF(ISNUMBER(BY469),IF(ABS(BY469-[2]QC_indicators!$B$1)&gt;3*[2]QC_indicators!$C$1,"DF","no"))),IF(ISNUMBER(BY469),IF(ABS(BY469-[2]QC_indicators!$B$1)&gt;3*[2]QC_indicators!$C$1,"DF","no")))</f>
        <v>no</v>
      </c>
      <c r="ET469" s="266" t="s">
        <v>3169</v>
      </c>
    </row>
    <row r="470" spans="1:150" ht="15" hidden="1" customHeight="1">
      <c r="A470" s="1" t="s">
        <v>1380</v>
      </c>
      <c r="B470" t="s">
        <v>1924</v>
      </c>
      <c r="C470" t="s">
        <v>1925</v>
      </c>
      <c r="D470" t="s">
        <v>1926</v>
      </c>
      <c r="E470" t="s">
        <v>1927</v>
      </c>
      <c r="F470" t="s">
        <v>1928</v>
      </c>
      <c r="G470" t="s">
        <v>1386</v>
      </c>
      <c r="H470" t="s">
        <v>255</v>
      </c>
      <c r="I470">
        <v>2016</v>
      </c>
      <c r="J470">
        <v>12</v>
      </c>
      <c r="K470" t="s">
        <v>1929</v>
      </c>
      <c r="M470" t="str">
        <f>LEFT($D470,FIND(",",$D470)-1)&amp;"_"&amp;I470&amp;L470</f>
        <v>Lobianco_2016</v>
      </c>
      <c r="N470" t="s">
        <v>223</v>
      </c>
      <c r="O470" s="145" t="s">
        <v>226</v>
      </c>
      <c r="P470" t="s">
        <v>514</v>
      </c>
      <c r="Q470" t="s">
        <v>257</v>
      </c>
      <c r="R470" s="264" t="s">
        <v>224</v>
      </c>
      <c r="S470" s="1" t="s">
        <v>1932</v>
      </c>
      <c r="T470" s="143" t="s">
        <v>1157</v>
      </c>
      <c r="U470" t="s">
        <v>3170</v>
      </c>
      <c r="V470">
        <v>0</v>
      </c>
      <c r="W470">
        <v>0</v>
      </c>
      <c r="X470">
        <v>0</v>
      </c>
      <c r="Y470">
        <v>1</v>
      </c>
      <c r="Z470">
        <v>0</v>
      </c>
      <c r="AA470">
        <v>0</v>
      </c>
      <c r="AB470">
        <v>0</v>
      </c>
      <c r="AC470">
        <v>0</v>
      </c>
      <c r="AD470">
        <v>0</v>
      </c>
      <c r="AE470">
        <v>0</v>
      </c>
      <c r="AF470">
        <v>0</v>
      </c>
      <c r="AG470">
        <v>0</v>
      </c>
      <c r="AH470">
        <v>0</v>
      </c>
      <c r="AI470">
        <v>0</v>
      </c>
      <c r="AJ470">
        <v>0</v>
      </c>
      <c r="AK470">
        <v>0</v>
      </c>
      <c r="AL470">
        <v>0</v>
      </c>
      <c r="AM470">
        <v>0</v>
      </c>
      <c r="AN470">
        <v>0</v>
      </c>
      <c r="AO470">
        <v>0</v>
      </c>
      <c r="AP470">
        <v>0</v>
      </c>
      <c r="AQ470">
        <v>0</v>
      </c>
      <c r="AR470">
        <v>0</v>
      </c>
      <c r="AS470">
        <v>0</v>
      </c>
      <c r="AT470">
        <v>0</v>
      </c>
      <c r="AU470">
        <v>1</v>
      </c>
      <c r="AV470">
        <v>0</v>
      </c>
      <c r="AW470">
        <v>0</v>
      </c>
      <c r="AX470" s="141">
        <f>COUNTIF(V470:AW470,"&lt;&gt;0")</f>
        <v>2</v>
      </c>
      <c r="AY470" s="141">
        <f>COUNTIF(V470:AL470,"&lt;&gt;0")</f>
        <v>1</v>
      </c>
      <c r="AZ470">
        <f>COUNTIF(V470:AC470,"&lt;&gt;0")</f>
        <v>1</v>
      </c>
      <c r="BA470">
        <f>COUNTIF(AD470:AI470,"&lt;&gt;0")</f>
        <v>0</v>
      </c>
      <c r="BB470">
        <f>COUNTIF(AJ470:AL470,"&lt;&gt;0")</f>
        <v>0</v>
      </c>
      <c r="BC470">
        <f>COUNTIF(AS470:AW470,"&lt;&gt;0")</f>
        <v>1</v>
      </c>
      <c r="BD470">
        <f>COUNTIF(AM470:AR470,"&lt;&gt;0")</f>
        <v>0</v>
      </c>
      <c r="BE470" t="str">
        <f t="array" ref="BE470">IF(AY470=1,INDEX($V$7:$AL$7,MATCH(TRUE,INDEX($V470:$AW470&lt;&gt;0,),0)),IF(AY470=0,INDEX($AM$7:$AW$7,MATCH(1,$AM470:$AW470,0)),IF(BF470="Multiple strategies","mixed drivers",IF(BF470="Supply chain","multiple supply","multiple silviculture"))))</f>
        <v xml:space="preserve">cutting intensity </v>
      </c>
      <c r="BF470" s="2" t="str" cm="1">
        <f t="array" ref="BF470">IF(COUNTIF(AZ470:BB470,"&lt;&gt;0")=1,INDEX($V$4:$AW$4,MATCH(TRUE,INDEX($V470:$AW470&lt;&gt;0,),0)),IF(COUNTIF(AZ470:BB470,"&lt;&gt;0")=0,INDEX($AM$4:$AW$4,MATCH(1,$AM470:$AW470,0)),"Multiple strategies"))</f>
        <v>SilvicultureRemov</v>
      </c>
      <c r="BG470" s="142" t="s">
        <v>322</v>
      </c>
      <c r="BH470" s="267" t="s">
        <v>3165</v>
      </c>
      <c r="BI470" s="266" t="s">
        <v>3166</v>
      </c>
      <c r="BJ470" s="143" t="s">
        <v>3167</v>
      </c>
      <c r="BK470">
        <f>53.247</f>
        <v>53.247</v>
      </c>
      <c r="BL470">
        <f>53.247*(1+9.16/100)</f>
        <v>58.124425199999997</v>
      </c>
      <c r="BN470">
        <f>BL470-BK470</f>
        <v>4.8774251999999976</v>
      </c>
      <c r="BO470" s="143">
        <f>BN470*10^6</f>
        <v>4877425.1999999974</v>
      </c>
      <c r="BP470" t="s">
        <v>233</v>
      </c>
      <c r="BQ470" s="266" t="s">
        <v>3168</v>
      </c>
      <c r="BR470" s="143" t="s">
        <v>1931</v>
      </c>
      <c r="BS470">
        <v>89.468999999999994</v>
      </c>
      <c r="BT470">
        <v>81.568887299999986</v>
      </c>
      <c r="BU470" s="144">
        <f>IFERROR(BT470/BS470,"")</f>
        <v>0.91169999999999995</v>
      </c>
      <c r="BV470">
        <f>BT470-BS470</f>
        <v>-7.9001127000000082</v>
      </c>
      <c r="BX470">
        <f>BV470*10^6</f>
        <v>-7900112.7000000086</v>
      </c>
      <c r="BY470">
        <f>IFERROR(BX470/BO470,"")</f>
        <v>-1.6197301600852869</v>
      </c>
      <c r="BZ470">
        <v>0</v>
      </c>
      <c r="CA470">
        <v>0</v>
      </c>
      <c r="CB470">
        <v>0</v>
      </c>
      <c r="CC470">
        <v>0</v>
      </c>
      <c r="CD470">
        <v>0</v>
      </c>
      <c r="CE470">
        <v>0</v>
      </c>
      <c r="CF470">
        <v>0</v>
      </c>
      <c r="CG470">
        <v>0</v>
      </c>
      <c r="CH470">
        <v>0</v>
      </c>
      <c r="CI470">
        <v>0</v>
      </c>
      <c r="CJ470">
        <v>0</v>
      </c>
      <c r="CK470">
        <v>0</v>
      </c>
      <c r="CL470">
        <v>0</v>
      </c>
      <c r="CM470">
        <v>0</v>
      </c>
      <c r="CN470" t="str">
        <f>IF($BL470&lt;$BK470,"refNeedCorrection","refOK")</f>
        <v>refOK</v>
      </c>
      <c r="CO470">
        <f>IF($CN470="refOK",$BK470,$BL470)</f>
        <v>53.247</v>
      </c>
      <c r="CP470">
        <f>IF($CN470="refOK",$BL470,#REF!)</f>
        <v>58.124425199999997</v>
      </c>
      <c r="CQ470">
        <f>IF($CN470="refOK",$BO470,-$BO470)</f>
        <v>4877425.1999999974</v>
      </c>
      <c r="CR470">
        <f>IF($CN470="refOK",$BS470,$BT470)*IF($BP470="Emissions positive",-1,1)</f>
        <v>89.468999999999994</v>
      </c>
      <c r="CS470">
        <f>IF($CN470="refOK",$BT470,$BS470)*IF($BP470="Emissions positive",-1,1)</f>
        <v>81.568887299999986</v>
      </c>
      <c r="CT470">
        <f>IF($CN470="refNeedCorrection",-BX470,BX470)*IF($BP470="Emissions positive",-1,1)</f>
        <v>-7900112.7000000086</v>
      </c>
      <c r="CU470">
        <f>IFERROR(CT470/CQ470,"")</f>
        <v>-1.6197301600852869</v>
      </c>
      <c r="CV470" s="2">
        <f>IFERROR((CS470-CR470)/ABS(CR470),"")</f>
        <v>-8.8300000000000101E-2</v>
      </c>
      <c r="CW470" s="1" t="s">
        <v>1201</v>
      </c>
      <c r="CX470" t="str">
        <f>IF(OR($CW470="prd",$CW470="std",$CW470="cit"),"loc",IF(OR($CW470="eur",$CW470="reg",$CW470="coy"),"reg",$CW470))</f>
        <v>reg</v>
      </c>
      <c r="CY470" t="s">
        <v>731</v>
      </c>
      <c r="CZ470">
        <v>2007</v>
      </c>
      <c r="DA470" s="143">
        <v>2100</v>
      </c>
      <c r="DB470" s="143">
        <f>DA470-CZ470</f>
        <v>93</v>
      </c>
      <c r="DC470" t="str">
        <f>IF(DB470=0,"0",IF(AND(DB470&gt;=1,DB470&lt;=30),"1-30",IF(AND(DB470&gt;30,DB470&lt;=70),"31-70",IF(AND(DB470&gt;70,DB470&lt;=100),"71-100",IF(DB470&gt;100,"+100")))))</f>
        <v>71-100</v>
      </c>
      <c r="DD470">
        <v>0</v>
      </c>
      <c r="DE470">
        <v>1</v>
      </c>
      <c r="DF470">
        <v>0</v>
      </c>
      <c r="DG470">
        <v>1</v>
      </c>
      <c r="DH470">
        <v>1</v>
      </c>
      <c r="DI470">
        <f>SUM(DD470:DG470)</f>
        <v>2</v>
      </c>
      <c r="DJ470" t="str">
        <f>IF(DI470=1,INDEX($DD$7:$DG$7,MATCH(1,$DD470:$DG470,0)),"mixedProduct")</f>
        <v>mixedProduct</v>
      </c>
      <c r="DK470">
        <f>IF(DD470=1,DK$7,0)</f>
        <v>0</v>
      </c>
      <c r="DL470" t="str">
        <f>IF(DE470=1,DL$7,0)</f>
        <v>Energy</v>
      </c>
      <c r="DM470">
        <f>IF(DF470=1,DM$7,0)</f>
        <v>0</v>
      </c>
      <c r="DN470" t="str">
        <f>IF(DG470=1,DN$7,0)</f>
        <v>Timber</v>
      </c>
      <c r="DO470">
        <v>0</v>
      </c>
      <c r="DP470" s="143">
        <v>0</v>
      </c>
      <c r="DQ470" s="143">
        <v>0</v>
      </c>
      <c r="DR470">
        <v>0</v>
      </c>
      <c r="DS470" s="143">
        <v>0</v>
      </c>
      <c r="DT470">
        <f>SUM(DO470:DP470)</f>
        <v>0</v>
      </c>
      <c r="DU470" s="143" t="str">
        <f>IF(DO470=1,"self-calculated DF",IF(DP470=1,"external DF used","explicit C balance"))</f>
        <v>explicit C balance</v>
      </c>
      <c r="DV470" s="143">
        <v>0</v>
      </c>
      <c r="DW470" s="143">
        <v>0</v>
      </c>
      <c r="DX470" s="143">
        <v>1</v>
      </c>
      <c r="DY470" s="143">
        <v>1</v>
      </c>
      <c r="DZ470">
        <v>0</v>
      </c>
      <c r="EA470" s="143">
        <v>0</v>
      </c>
      <c r="EB470" s="143">
        <v>0</v>
      </c>
      <c r="EC470" s="143">
        <v>0</v>
      </c>
      <c r="ED470" s="143">
        <v>0</v>
      </c>
      <c r="EE470">
        <v>0</v>
      </c>
      <c r="EF470">
        <v>1</v>
      </c>
      <c r="EG470" s="143">
        <v>0</v>
      </c>
      <c r="EH470">
        <v>0</v>
      </c>
      <c r="EI470" s="2">
        <v>1</v>
      </c>
      <c r="EK470" t="str">
        <f>IF(AND(AND(AND(OR($DX470=1,$DW470=1),OR($EC470=1,$EA470=1)),SUM($DV470:$DZ470,$EF470)&gt;=4),SUM($EA470:$EE470)&gt;=2),"Whole sector","")</f>
        <v/>
      </c>
      <c r="EL470" t="str">
        <f>IF(AND(AND(OR($DX470=1,$DW470=1),AND($EC470=0,$EA470=0)),SUM($DV470:$DZ470,$EF470)&gt;=4),"Ecosystem approach","")</f>
        <v/>
      </c>
      <c r="EM470" s="2" t="str">
        <f>IF(AND(AND(AND($DX470=0,$DW470=0),OR($EC470=1,$EA470=1)),SUM($EB470:$EE470)&gt;=2),"Technology approach","")</f>
        <v/>
      </c>
      <c r="EP470" t="str">
        <f>IF(ISNUMBER(BU470),IF(ABS(BU470-[2]QC_indicators!$B$2)&gt;3*[2]QC_indicators!$C$2,"C ratio",IF(ISNUMBER(BY470),IF(ABS(BY470-[2]QC_indicators!$B$1)&gt;3*[2]QC_indicators!$C$1,"DF","no"))),IF(ISNUMBER(BY470),IF(ABS(BY470-[2]QC_indicators!$B$1)&gt;3*[2]QC_indicators!$C$1,"DF","no")))</f>
        <v>no</v>
      </c>
      <c r="ET470" s="266" t="s">
        <v>3169</v>
      </c>
    </row>
    <row r="471" spans="1:150" ht="15" hidden="1" customHeight="1">
      <c r="A471" s="1" t="s">
        <v>1380</v>
      </c>
      <c r="B471" t="s">
        <v>1924</v>
      </c>
      <c r="C471" t="s">
        <v>1925</v>
      </c>
      <c r="D471" t="s">
        <v>1926</v>
      </c>
      <c r="E471" t="s">
        <v>1927</v>
      </c>
      <c r="F471" t="s">
        <v>1928</v>
      </c>
      <c r="G471" t="s">
        <v>1386</v>
      </c>
      <c r="H471" t="s">
        <v>255</v>
      </c>
      <c r="I471">
        <v>2016</v>
      </c>
      <c r="J471">
        <v>12</v>
      </c>
      <c r="K471" t="s">
        <v>1929</v>
      </c>
      <c r="M471" t="str">
        <f>LEFT($D471,FIND(",",$D471)-1)&amp;"_"&amp;I471&amp;L471</f>
        <v>Lobianco_2016</v>
      </c>
      <c r="N471" t="s">
        <v>223</v>
      </c>
      <c r="O471" s="145" t="s">
        <v>226</v>
      </c>
      <c r="P471" t="s">
        <v>514</v>
      </c>
      <c r="Q471" t="s">
        <v>257</v>
      </c>
      <c r="R471" s="264" t="s">
        <v>224</v>
      </c>
      <c r="S471" s="1" t="s">
        <v>1930</v>
      </c>
      <c r="T471" s="143" t="s">
        <v>3171</v>
      </c>
      <c r="U471" s="143" t="s">
        <v>1157</v>
      </c>
      <c r="V471">
        <v>0</v>
      </c>
      <c r="W471">
        <v>0</v>
      </c>
      <c r="X471">
        <v>1</v>
      </c>
      <c r="Y471">
        <v>0</v>
      </c>
      <c r="Z471">
        <v>0</v>
      </c>
      <c r="AA471">
        <v>0</v>
      </c>
      <c r="AB471">
        <v>0</v>
      </c>
      <c r="AC471">
        <v>0</v>
      </c>
      <c r="AD471">
        <v>0</v>
      </c>
      <c r="AE471">
        <v>0</v>
      </c>
      <c r="AF471">
        <v>0</v>
      </c>
      <c r="AG471">
        <v>0</v>
      </c>
      <c r="AH471">
        <v>0</v>
      </c>
      <c r="AI471">
        <v>0</v>
      </c>
      <c r="AJ471">
        <v>0</v>
      </c>
      <c r="AK471">
        <v>0</v>
      </c>
      <c r="AL471">
        <v>0</v>
      </c>
      <c r="AM471">
        <v>0</v>
      </c>
      <c r="AN471">
        <v>0</v>
      </c>
      <c r="AO471">
        <v>0</v>
      </c>
      <c r="AP471">
        <v>0</v>
      </c>
      <c r="AQ471">
        <v>0</v>
      </c>
      <c r="AR471">
        <v>0</v>
      </c>
      <c r="AS471">
        <v>0</v>
      </c>
      <c r="AT471">
        <v>0</v>
      </c>
      <c r="AU471">
        <v>1</v>
      </c>
      <c r="AV471">
        <v>0</v>
      </c>
      <c r="AW471">
        <v>0</v>
      </c>
      <c r="AX471" s="141">
        <f>COUNTIF(V471:AW471,"&lt;&gt;0")</f>
        <v>2</v>
      </c>
      <c r="AY471" s="141">
        <f>COUNTIF(V471:AL471,"&lt;&gt;0")</f>
        <v>1</v>
      </c>
      <c r="AZ471">
        <f>COUNTIF(V471:AC471,"&lt;&gt;0")</f>
        <v>1</v>
      </c>
      <c r="BA471">
        <f>COUNTIF(AD471:AI471,"&lt;&gt;0")</f>
        <v>0</v>
      </c>
      <c r="BB471">
        <f>COUNTIF(AJ471:AL471,"&lt;&gt;0")</f>
        <v>0</v>
      </c>
      <c r="BC471">
        <f>COUNTIF(AS471:AW471,"&lt;&gt;0")</f>
        <v>1</v>
      </c>
      <c r="BD471">
        <f>COUNTIF(AM471:AR471,"&lt;&gt;0")</f>
        <v>0</v>
      </c>
      <c r="BE471" t="str">
        <f t="array" ref="BE471">IF(AY471=1,INDEX($V$7:$AL$7,MATCH(TRUE,INDEX($V471:$AW471&lt;&gt;0,),0)),IF(AY471=0,INDEX($AM$7:$AW$7,MATCH(1,$AM471:$AW471,0)),IF(BF471="Multiple strategies","mixed drivers",IF(BF471="Supply chain","multiple supply","multiple silviculture"))))</f>
        <v>rotation length</v>
      </c>
      <c r="BF471" s="2" t="str" cm="1">
        <f t="array" ref="BF471">IF(COUNTIF(AZ471:BB471,"&lt;&gt;0")=1,INDEX($V$4:$AW$4,MATCH(TRUE,INDEX($V471:$AW471&lt;&gt;0,),0)),IF(COUNTIF(AZ471:BB471,"&lt;&gt;0")=0,INDEX($AM$4:$AW$4,MATCH(1,$AM471:$AW471,0)),"Multiple strategies"))</f>
        <v>SilvicultureRemov</v>
      </c>
      <c r="BG471" s="142" t="s">
        <v>322</v>
      </c>
      <c r="BH471" s="267" t="s">
        <v>3165</v>
      </c>
      <c r="BI471" s="266" t="s">
        <v>3166</v>
      </c>
      <c r="BJ471" s="143" t="s">
        <v>3167</v>
      </c>
      <c r="BK471">
        <f>53.247*(1-0.04/100)</f>
        <v>53.225701200000003</v>
      </c>
      <c r="BL471">
        <f>53.247</f>
        <v>53.247</v>
      </c>
      <c r="BN471">
        <f>BL471-BK471</f>
        <v>2.1298799999996731E-2</v>
      </c>
      <c r="BO471" s="143">
        <f>BN471*10^6</f>
        <v>21298.799999996732</v>
      </c>
      <c r="BP471" t="s">
        <v>233</v>
      </c>
      <c r="BQ471" s="266" t="s">
        <v>3168</v>
      </c>
      <c r="BR471" s="143" t="s">
        <v>1931</v>
      </c>
      <c r="BS471">
        <v>89.397424799999996</v>
      </c>
      <c r="BT471">
        <v>89.468999999999994</v>
      </c>
      <c r="BU471" s="144">
        <f>IFERROR(BT471/BS471,"")</f>
        <v>1.0008006405124099</v>
      </c>
      <c r="BV471">
        <f>BT471-BS471</f>
        <v>7.1575199999998063E-2</v>
      </c>
      <c r="BX471">
        <f>BV471*10^6</f>
        <v>71575.199999998062</v>
      </c>
      <c r="BY471">
        <f>IFERROR(BX471/BO471,"")</f>
        <v>3.3605273536541516</v>
      </c>
      <c r="BZ471">
        <v>0</v>
      </c>
      <c r="CA471">
        <v>0</v>
      </c>
      <c r="CB471">
        <v>0</v>
      </c>
      <c r="CC471">
        <v>0</v>
      </c>
      <c r="CD471">
        <v>0</v>
      </c>
      <c r="CE471">
        <v>0</v>
      </c>
      <c r="CF471">
        <v>0</v>
      </c>
      <c r="CG471">
        <v>0</v>
      </c>
      <c r="CH471">
        <v>0</v>
      </c>
      <c r="CI471">
        <v>0</v>
      </c>
      <c r="CJ471">
        <v>0</v>
      </c>
      <c r="CK471">
        <v>0</v>
      </c>
      <c r="CL471">
        <v>0</v>
      </c>
      <c r="CM471">
        <v>0</v>
      </c>
      <c r="CN471" t="str">
        <f>IF($BL471&lt;$BK471,"refNeedCorrection","refOK")</f>
        <v>refOK</v>
      </c>
      <c r="CO471">
        <f>IF($CN471="refOK",$BK471,$BL471)</f>
        <v>53.225701200000003</v>
      </c>
      <c r="CP471">
        <f>IF($CN471="refOK",$BL471,$BK471)</f>
        <v>53.247</v>
      </c>
      <c r="CQ471">
        <f>IF($CN471="refOK",$BO471,-$BO471)</f>
        <v>21298.799999996732</v>
      </c>
      <c r="CR471">
        <f>IF($CN471="refOK",$BS471,$BT471)*IF($BP471="Emissions positive",-1,1)</f>
        <v>89.397424799999996</v>
      </c>
      <c r="CS471">
        <f>IF($CN471="refOK",$BT471,$BS471)*IF($BP471="Emissions positive",-1,1)</f>
        <v>89.468999999999994</v>
      </c>
      <c r="CT471">
        <f>IF($CN471="refNeedCorrection",-BX471,BX471)*IF($BP471="Emissions positive",-1,1)</f>
        <v>71575.199999998062</v>
      </c>
      <c r="CU471">
        <f>IFERROR(CT471/CQ471,"")</f>
        <v>3.3605273536541516</v>
      </c>
      <c r="CV471" s="2">
        <f>IFERROR((CS471-CR471)/ABS(CR471),"")</f>
        <v>8.0064051240990631E-4</v>
      </c>
      <c r="CW471" s="1" t="s">
        <v>1201</v>
      </c>
      <c r="CX471" t="str">
        <f>IF(OR($CW471="prd",$CW471="std",$CW471="cit"),"loc",IF(OR($CW471="eur",$CW471="reg",$CW471="coy"),"reg",$CW471))</f>
        <v>reg</v>
      </c>
      <c r="CY471" t="s">
        <v>731</v>
      </c>
      <c r="CZ471">
        <v>2007</v>
      </c>
      <c r="DA471" s="143">
        <v>2100</v>
      </c>
      <c r="DB471" s="143">
        <f>DA471-CZ471</f>
        <v>93</v>
      </c>
      <c r="DC471" t="str">
        <f>IF(DB471=0,"0",IF(AND(DB471&gt;=1,DB471&lt;=30),"1-30",IF(AND(DB471&gt;30,DB471&lt;=70),"31-70",IF(AND(DB471&gt;70,DB471&lt;=100),"71-100",IF(DB471&gt;100,"+100")))))</f>
        <v>71-100</v>
      </c>
      <c r="DD471">
        <v>0</v>
      </c>
      <c r="DE471">
        <v>1</v>
      </c>
      <c r="DF471">
        <v>0</v>
      </c>
      <c r="DG471">
        <v>1</v>
      </c>
      <c r="DH471">
        <v>1</v>
      </c>
      <c r="DI471">
        <f>SUM(DD471:DG471)</f>
        <v>2</v>
      </c>
      <c r="DJ471" t="str">
        <f>IF(DI471=1,INDEX($DD$7:$DG$7,MATCH(1,$DD471:$DG471,0)),"mixedProduct")</f>
        <v>mixedProduct</v>
      </c>
      <c r="DK471">
        <f>IF(DD471=1,DK$7,0)</f>
        <v>0</v>
      </c>
      <c r="DL471" t="str">
        <f>IF(DE471=1,DL$7,0)</f>
        <v>Energy</v>
      </c>
      <c r="DM471">
        <f>IF(DF471=1,DM$7,0)</f>
        <v>0</v>
      </c>
      <c r="DN471" t="str">
        <f>IF(DG471=1,DN$7,0)</f>
        <v>Timber</v>
      </c>
      <c r="DO471">
        <v>0</v>
      </c>
      <c r="DP471" s="143">
        <v>0</v>
      </c>
      <c r="DQ471" s="143">
        <v>0</v>
      </c>
      <c r="DR471">
        <v>0</v>
      </c>
      <c r="DS471" s="143">
        <v>0</v>
      </c>
      <c r="DT471">
        <f>SUM(DO471:DP471)</f>
        <v>0</v>
      </c>
      <c r="DU471" s="143" t="str">
        <f>IF(DO471=1,"self-calculated DF",IF(DP471=1,"external DF used","explicit C balance"))</f>
        <v>explicit C balance</v>
      </c>
      <c r="DV471" s="143">
        <v>0</v>
      </c>
      <c r="DW471" s="143">
        <v>0</v>
      </c>
      <c r="DX471" s="143">
        <v>1</v>
      </c>
      <c r="DY471" s="143">
        <v>1</v>
      </c>
      <c r="DZ471">
        <v>0</v>
      </c>
      <c r="EA471" s="143">
        <v>0</v>
      </c>
      <c r="EB471" s="143">
        <v>0</v>
      </c>
      <c r="EC471" s="143">
        <v>0</v>
      </c>
      <c r="ED471" s="143">
        <v>0</v>
      </c>
      <c r="EE471">
        <v>0</v>
      </c>
      <c r="EF471">
        <v>1</v>
      </c>
      <c r="EG471" s="143">
        <v>0</v>
      </c>
      <c r="EH471">
        <v>0</v>
      </c>
      <c r="EI471" s="2">
        <v>1</v>
      </c>
      <c r="EK471" t="str">
        <f>IF(AND(AND(AND(OR($DX471=1,$DW471=1),OR($EC471=1,$EA471=1)),SUM($DV471:$DZ471,$EF471)&gt;=4),SUM($EA471:$EE471)&gt;=2),"Whole sector","")</f>
        <v/>
      </c>
      <c r="EL471" t="str">
        <f>IF(AND(AND(OR($DX471=1,$DW471=1),AND($EC471=0,$EA471=0)),SUM($DV471:$DZ471,$EF471)&gt;=4),"Ecosystem approach","")</f>
        <v/>
      </c>
      <c r="EM471" s="2" t="str">
        <f>IF(AND(AND(AND($DX471=0,$DW471=0),OR($EC471=1,$EA471=1)),SUM($EB471:$EE471)&gt;=2),"Technology approach","")</f>
        <v/>
      </c>
      <c r="EP471" t="str">
        <f>IF(ISNUMBER(BU471),IF(ABS(BU471-[2]QC_indicators!$B$2)&gt;3*[2]QC_indicators!$C$2,"C ratio",IF(ISNUMBER(BY471),IF(ABS(BY471-[2]QC_indicators!$B$1)&gt;3*[2]QC_indicators!$C$1,"DF","no"))),IF(ISNUMBER(BY471),IF(ABS(BY471-[2]QC_indicators!$B$1)&gt;3*[2]QC_indicators!$C$1,"DF","no")))</f>
        <v>no</v>
      </c>
      <c r="ET471" s="266" t="s">
        <v>3169</v>
      </c>
    </row>
    <row r="472" spans="1:150" ht="15" hidden="1" customHeight="1">
      <c r="A472" s="1" t="s">
        <v>1380</v>
      </c>
      <c r="B472" t="s">
        <v>1924</v>
      </c>
      <c r="C472" t="s">
        <v>1925</v>
      </c>
      <c r="D472" t="s">
        <v>1926</v>
      </c>
      <c r="E472" t="s">
        <v>1927</v>
      </c>
      <c r="F472" t="s">
        <v>1928</v>
      </c>
      <c r="G472" t="s">
        <v>1386</v>
      </c>
      <c r="H472" t="s">
        <v>255</v>
      </c>
      <c r="I472">
        <v>2016</v>
      </c>
      <c r="J472">
        <v>12</v>
      </c>
      <c r="K472" t="s">
        <v>1929</v>
      </c>
      <c r="M472" t="str">
        <f>LEFT($D472,FIND(",",$D472)-1)&amp;"_"&amp;I472&amp;L472</f>
        <v>Lobianco_2016</v>
      </c>
      <c r="N472" t="s">
        <v>223</v>
      </c>
      <c r="O472" s="145" t="s">
        <v>226</v>
      </c>
      <c r="P472" t="s">
        <v>514</v>
      </c>
      <c r="Q472" t="s">
        <v>257</v>
      </c>
      <c r="R472" s="264" t="s">
        <v>224</v>
      </c>
      <c r="S472" s="1" t="s">
        <v>1934</v>
      </c>
      <c r="T472" s="143" t="s">
        <v>3172</v>
      </c>
      <c r="U472" s="143" t="s">
        <v>1157</v>
      </c>
      <c r="V472">
        <v>0</v>
      </c>
      <c r="W472">
        <v>0</v>
      </c>
      <c r="X472">
        <v>1</v>
      </c>
      <c r="Y472">
        <v>0</v>
      </c>
      <c r="Z472">
        <v>0</v>
      </c>
      <c r="AA472">
        <v>0</v>
      </c>
      <c r="AB472">
        <v>0</v>
      </c>
      <c r="AC472">
        <v>0</v>
      </c>
      <c r="AD472">
        <v>0</v>
      </c>
      <c r="AE472">
        <v>0</v>
      </c>
      <c r="AF472">
        <v>0</v>
      </c>
      <c r="AG472">
        <v>0</v>
      </c>
      <c r="AH472">
        <v>0</v>
      </c>
      <c r="AI472">
        <v>0</v>
      </c>
      <c r="AJ472">
        <v>0</v>
      </c>
      <c r="AK472">
        <v>0</v>
      </c>
      <c r="AL472">
        <v>0</v>
      </c>
      <c r="AM472">
        <v>0</v>
      </c>
      <c r="AN472">
        <v>0</v>
      </c>
      <c r="AO472">
        <v>0</v>
      </c>
      <c r="AP472">
        <v>0</v>
      </c>
      <c r="AQ472">
        <v>0</v>
      </c>
      <c r="AR472">
        <v>0</v>
      </c>
      <c r="AS472">
        <v>0</v>
      </c>
      <c r="AT472">
        <v>0</v>
      </c>
      <c r="AU472">
        <v>1</v>
      </c>
      <c r="AV472">
        <v>0</v>
      </c>
      <c r="AW472">
        <v>0</v>
      </c>
      <c r="AX472" s="141">
        <f>COUNTIF(V472:AW472,"&lt;&gt;0")</f>
        <v>2</v>
      </c>
      <c r="AY472" s="141">
        <f>COUNTIF(V472:AL472,"&lt;&gt;0")</f>
        <v>1</v>
      </c>
      <c r="AZ472">
        <f>COUNTIF(V472:AC472,"&lt;&gt;0")</f>
        <v>1</v>
      </c>
      <c r="BA472">
        <f>COUNTIF(AD472:AI472,"&lt;&gt;0")</f>
        <v>0</v>
      </c>
      <c r="BB472">
        <f>COUNTIF(AJ472:AL472,"&lt;&gt;0")</f>
        <v>0</v>
      </c>
      <c r="BC472">
        <f>COUNTIF(AS472:AW472,"&lt;&gt;0")</f>
        <v>1</v>
      </c>
      <c r="BD472">
        <f>COUNTIF(AM472:AR472,"&lt;&gt;0")</f>
        <v>0</v>
      </c>
      <c r="BE472" t="str">
        <f t="array" ref="BE472">IF(AY472=1,INDEX($V$7:$AL$7,MATCH(TRUE,INDEX($V472:$AW472&lt;&gt;0,),0)),IF(AY472=0,INDEX($AM$7:$AW$7,MATCH(1,$AM472:$AW472,0)),IF(BF472="Multiple strategies","mixed drivers",IF(BF472="Supply chain","multiple supply","multiple silviculture"))))</f>
        <v>rotation length</v>
      </c>
      <c r="BF472" s="2" t="str" cm="1">
        <f t="array" ref="BF472">IF(COUNTIF(AZ472:BB472,"&lt;&gt;0")=1,INDEX($V$4:$AW$4,MATCH(TRUE,INDEX($V472:$AW472&lt;&gt;0,),0)),IF(COUNTIF(AZ472:BB472,"&lt;&gt;0")=0,INDEX($AM$4:$AW$4,MATCH(1,$AM472:$AW472,0)),"Multiple strategies"))</f>
        <v>SilvicultureRemov</v>
      </c>
      <c r="BG472" s="142" t="s">
        <v>322</v>
      </c>
      <c r="BH472" s="267" t="s">
        <v>3165</v>
      </c>
      <c r="BI472" s="266" t="s">
        <v>3166</v>
      </c>
      <c r="BJ472" s="143" t="s">
        <v>3167</v>
      </c>
      <c r="BK472">
        <f>53.247*(1-0.06/100)</f>
        <v>53.215051799999998</v>
      </c>
      <c r="BL472">
        <f>53.247</f>
        <v>53.247</v>
      </c>
      <c r="BN472">
        <f>BL472-BK472</f>
        <v>3.1948200000002203E-2</v>
      </c>
      <c r="BO472" s="143">
        <f>BN472*10^6</f>
        <v>31948.200000002202</v>
      </c>
      <c r="BP472" t="s">
        <v>233</v>
      </c>
      <c r="BQ472" s="266" t="s">
        <v>3168</v>
      </c>
      <c r="BR472" s="143" t="s">
        <v>1931</v>
      </c>
      <c r="BS472">
        <v>89.281115099999994</v>
      </c>
      <c r="BT472">
        <v>89.468999999999994</v>
      </c>
      <c r="BU472" s="144">
        <f>IFERROR(BT472/BS472,"")</f>
        <v>1.0021044192804891</v>
      </c>
      <c r="BV472">
        <f>BT472-BS472</f>
        <v>0.18788490000000024</v>
      </c>
      <c r="BX472">
        <f>BV472*10^6</f>
        <v>187884.90000000026</v>
      </c>
      <c r="BY472">
        <f>IFERROR(BX472/BO472,"")</f>
        <v>5.8809228688936246</v>
      </c>
      <c r="BZ472">
        <v>0</v>
      </c>
      <c r="CA472">
        <v>0</v>
      </c>
      <c r="CB472">
        <v>0</v>
      </c>
      <c r="CC472">
        <v>0</v>
      </c>
      <c r="CD472">
        <v>0</v>
      </c>
      <c r="CE472">
        <v>0</v>
      </c>
      <c r="CF472">
        <v>0</v>
      </c>
      <c r="CG472">
        <v>0</v>
      </c>
      <c r="CH472">
        <v>0</v>
      </c>
      <c r="CI472">
        <v>0</v>
      </c>
      <c r="CJ472">
        <v>0</v>
      </c>
      <c r="CK472">
        <v>0</v>
      </c>
      <c r="CL472">
        <v>0</v>
      </c>
      <c r="CM472">
        <v>0</v>
      </c>
      <c r="CN472" t="str">
        <f>IF($BL472&lt;$BK472,"refNeedCorrection","refOK")</f>
        <v>refOK</v>
      </c>
      <c r="CO472">
        <f>IF($CN472="refOK",$BK472,$BL472)</f>
        <v>53.215051799999998</v>
      </c>
      <c r="CP472">
        <f>IF($CN472="refOK",$BL472,$BK472)</f>
        <v>53.247</v>
      </c>
      <c r="CQ472">
        <f>IF($CN472="refOK",$BO472,-$BO472)</f>
        <v>31948.200000002202</v>
      </c>
      <c r="CR472">
        <f>IF($CN472="refOK",$BS472,$BT472)*IF($BP472="Emissions positive",-1,1)</f>
        <v>89.281115099999994</v>
      </c>
      <c r="CS472">
        <f>IF($CN472="refOK",$BT472,$BS472)*IF($BP472="Emissions positive",-1,1)</f>
        <v>89.468999999999994</v>
      </c>
      <c r="CT472">
        <f>IF($CN472="refNeedCorrection",-BX472,BX472)*IF($BP472="Emissions positive",-1,1)</f>
        <v>187884.90000000026</v>
      </c>
      <c r="CU472">
        <f>IFERROR(CT472/CQ472,"")</f>
        <v>5.8809228688936246</v>
      </c>
      <c r="CV472" s="2">
        <f>IFERROR((CS472-CR472)/ABS(CR472),"")</f>
        <v>2.1044192804890297E-3</v>
      </c>
      <c r="CW472" s="1" t="s">
        <v>1201</v>
      </c>
      <c r="CX472" t="str">
        <f>IF(OR($CW472="prd",$CW472="std",$CW472="cit"),"loc",IF(OR($CW472="eur",$CW472="reg",$CW472="coy"),"reg",$CW472))</f>
        <v>reg</v>
      </c>
      <c r="CY472" t="s">
        <v>731</v>
      </c>
      <c r="CZ472">
        <v>2007</v>
      </c>
      <c r="DA472" s="143">
        <v>2100</v>
      </c>
      <c r="DB472" s="143">
        <f>DA472-CZ472</f>
        <v>93</v>
      </c>
      <c r="DC472" t="str">
        <f>IF(DB472=0,"0",IF(AND(DB472&gt;=1,DB472&lt;=30),"1-30",IF(AND(DB472&gt;30,DB472&lt;=70),"31-70",IF(AND(DB472&gt;70,DB472&lt;=100),"71-100",IF(DB472&gt;100,"+100")))))</f>
        <v>71-100</v>
      </c>
      <c r="DD472">
        <v>0</v>
      </c>
      <c r="DE472">
        <v>1</v>
      </c>
      <c r="DF472">
        <v>0</v>
      </c>
      <c r="DG472">
        <v>1</v>
      </c>
      <c r="DH472">
        <v>1</v>
      </c>
      <c r="DI472">
        <f>SUM(DD472:DG472)</f>
        <v>2</v>
      </c>
      <c r="DJ472" t="str">
        <f>IF(DI472=1,INDEX($DD$7:$DG$7,MATCH(1,$DD472:$DG472,0)),"mixedProduct")</f>
        <v>mixedProduct</v>
      </c>
      <c r="DK472">
        <f>IF(DD472=1,DK$7,0)</f>
        <v>0</v>
      </c>
      <c r="DL472" t="str">
        <f>IF(DE472=1,DL$7,0)</f>
        <v>Energy</v>
      </c>
      <c r="DM472">
        <f>IF(DF472=1,DM$7,0)</f>
        <v>0</v>
      </c>
      <c r="DN472" t="str">
        <f>IF(DG472=1,DN$7,0)</f>
        <v>Timber</v>
      </c>
      <c r="DO472">
        <v>0</v>
      </c>
      <c r="DP472" s="143">
        <v>0</v>
      </c>
      <c r="DQ472" s="143">
        <v>0</v>
      </c>
      <c r="DR472">
        <v>0</v>
      </c>
      <c r="DS472" s="143">
        <v>0</v>
      </c>
      <c r="DT472">
        <f>SUM(DO472:DP472)</f>
        <v>0</v>
      </c>
      <c r="DU472" s="143" t="str">
        <f>IF(DO472=1,"self-calculated DF",IF(DP472=1,"external DF used","explicit C balance"))</f>
        <v>explicit C balance</v>
      </c>
      <c r="DV472" s="143">
        <v>0</v>
      </c>
      <c r="DW472" s="143">
        <v>0</v>
      </c>
      <c r="DX472" s="143">
        <v>1</v>
      </c>
      <c r="DY472" s="143">
        <v>1</v>
      </c>
      <c r="DZ472">
        <v>0</v>
      </c>
      <c r="EA472" s="143">
        <v>0</v>
      </c>
      <c r="EB472" s="143">
        <v>0</v>
      </c>
      <c r="EC472" s="143">
        <v>0</v>
      </c>
      <c r="ED472" s="143">
        <v>0</v>
      </c>
      <c r="EE472">
        <v>0</v>
      </c>
      <c r="EF472">
        <v>1</v>
      </c>
      <c r="EG472" s="143">
        <v>0</v>
      </c>
      <c r="EH472">
        <v>0</v>
      </c>
      <c r="EI472" s="2">
        <v>1</v>
      </c>
      <c r="EK472" t="str">
        <f>IF(AND(AND(AND(OR($DX472=1,$DW472=1),OR($EC472=1,$EA472=1)),SUM($DV472:$DZ472,$EF472)&gt;=4),SUM($EA472:$EE472)&gt;=2),"Whole sector","")</f>
        <v/>
      </c>
      <c r="EL472" t="str">
        <f>IF(AND(AND(OR($DX472=1,$DW472=1),AND($EC472=0,$EA472=0)),SUM($DV472:$DZ472,$EF472)&gt;=4),"Ecosystem approach","")</f>
        <v/>
      </c>
      <c r="EM472" s="2" t="str">
        <f>IF(AND(AND(AND($DX472=0,$DW472=0),OR($EC472=1,$EA472=1)),SUM($EB472:$EE472)&gt;=2),"Technology approach","")</f>
        <v/>
      </c>
      <c r="EP472" t="str">
        <f>IF(ISNUMBER(BU472),IF(ABS(BU472-[2]QC_indicators!$B$2)&gt;3*[2]QC_indicators!$C$2,"C ratio",IF(ISNUMBER(BY472),IF(ABS(BY472-[2]QC_indicators!$B$1)&gt;3*[2]QC_indicators!$C$1,"DF","no"))),IF(ISNUMBER(BY472),IF(ABS(BY472-[2]QC_indicators!$B$1)&gt;3*[2]QC_indicators!$C$1,"DF","no")))</f>
        <v>no</v>
      </c>
      <c r="ET472" s="266" t="s">
        <v>3169</v>
      </c>
    </row>
    <row r="473" spans="1:150" ht="15" hidden="1" customHeight="1">
      <c r="A473" s="1" t="s">
        <v>1380</v>
      </c>
      <c r="B473" t="s">
        <v>1924</v>
      </c>
      <c r="C473" t="s">
        <v>1925</v>
      </c>
      <c r="D473" t="s">
        <v>1926</v>
      </c>
      <c r="E473" t="s">
        <v>1927</v>
      </c>
      <c r="F473" t="s">
        <v>1928</v>
      </c>
      <c r="G473" t="s">
        <v>1386</v>
      </c>
      <c r="H473" t="s">
        <v>255</v>
      </c>
      <c r="I473">
        <v>2016</v>
      </c>
      <c r="J473">
        <v>12</v>
      </c>
      <c r="K473" t="s">
        <v>1929</v>
      </c>
      <c r="M473" t="str">
        <f>LEFT($D473,FIND(",",$D473)-1)&amp;"_"&amp;I473&amp;L473</f>
        <v>Lobianco_2016</v>
      </c>
      <c r="N473" t="s">
        <v>223</v>
      </c>
      <c r="O473" s="145" t="s">
        <v>226</v>
      </c>
      <c r="P473" t="s">
        <v>514</v>
      </c>
      <c r="Q473" t="s">
        <v>257</v>
      </c>
      <c r="R473" s="264" t="s">
        <v>224</v>
      </c>
      <c r="S473" s="1" t="s">
        <v>1933</v>
      </c>
      <c r="T473" s="143" t="s">
        <v>3164</v>
      </c>
      <c r="U473" s="143" t="s">
        <v>1157</v>
      </c>
      <c r="V473">
        <v>0</v>
      </c>
      <c r="W473">
        <v>0</v>
      </c>
      <c r="X473">
        <v>0</v>
      </c>
      <c r="Y473">
        <v>1</v>
      </c>
      <c r="Z473">
        <v>0</v>
      </c>
      <c r="AA473">
        <v>0</v>
      </c>
      <c r="AB473">
        <v>0</v>
      </c>
      <c r="AC473">
        <v>0</v>
      </c>
      <c r="AD473">
        <v>0</v>
      </c>
      <c r="AE473">
        <v>0</v>
      </c>
      <c r="AF473">
        <v>0</v>
      </c>
      <c r="AG473">
        <v>0</v>
      </c>
      <c r="AH473">
        <v>0</v>
      </c>
      <c r="AI473">
        <v>0</v>
      </c>
      <c r="AJ473">
        <v>0</v>
      </c>
      <c r="AK473">
        <v>0</v>
      </c>
      <c r="AL473">
        <v>0</v>
      </c>
      <c r="AM473">
        <v>0</v>
      </c>
      <c r="AN473">
        <v>0</v>
      </c>
      <c r="AO473">
        <v>0</v>
      </c>
      <c r="AP473">
        <v>0</v>
      </c>
      <c r="AQ473">
        <v>0</v>
      </c>
      <c r="AR473">
        <v>0</v>
      </c>
      <c r="AS473">
        <v>0</v>
      </c>
      <c r="AT473">
        <v>0</v>
      </c>
      <c r="AU473">
        <v>1</v>
      </c>
      <c r="AV473">
        <v>0</v>
      </c>
      <c r="AW473">
        <v>0</v>
      </c>
      <c r="AX473" s="141">
        <f>COUNTIF(V473:AW473,"&lt;&gt;0")</f>
        <v>2</v>
      </c>
      <c r="AY473" s="141">
        <f>COUNTIF(V473:AL473,"&lt;&gt;0")</f>
        <v>1</v>
      </c>
      <c r="AZ473">
        <f>COUNTIF(V473:AC473,"&lt;&gt;0")</f>
        <v>1</v>
      </c>
      <c r="BA473">
        <f>COUNTIF(AD473:AI473,"&lt;&gt;0")</f>
        <v>0</v>
      </c>
      <c r="BB473">
        <f>COUNTIF(AJ473:AL473,"&lt;&gt;0")</f>
        <v>0</v>
      </c>
      <c r="BC473">
        <f>COUNTIF(AS473:AW473,"&lt;&gt;0")</f>
        <v>1</v>
      </c>
      <c r="BD473">
        <f>COUNTIF(AM473:AR473,"&lt;&gt;0")</f>
        <v>0</v>
      </c>
      <c r="BE473" t="str">
        <f t="array" ref="BE473">IF(AY473=1,INDEX($V$7:$AL$7,MATCH(TRUE,INDEX($V473:$AW473&lt;&gt;0,),0)),IF(AY473=0,INDEX($AM$7:$AW$7,MATCH(1,$AM473:$AW473,0)),IF(BF473="Multiple strategies","mixed drivers",IF(BF473="Supply chain","multiple supply","multiple silviculture"))))</f>
        <v xml:space="preserve">cutting intensity </v>
      </c>
      <c r="BF473" s="2" t="str" cm="1">
        <f t="array" ref="BF473">IF(COUNTIF(AZ473:BB473,"&lt;&gt;0")=1,INDEX($V$4:$AW$4,MATCH(TRUE,INDEX($V473:$AW473&lt;&gt;0,),0)),IF(COUNTIF(AZ473:BB473,"&lt;&gt;0")=0,INDEX($AM$4:$AW$4,MATCH(1,$AM473:$AW473,0)),"Multiple strategies"))</f>
        <v>SilvicultureRemov</v>
      </c>
      <c r="BG473" s="142" t="s">
        <v>322</v>
      </c>
      <c r="BH473" s="267" t="s">
        <v>3165</v>
      </c>
      <c r="BI473" s="266" t="s">
        <v>3166</v>
      </c>
      <c r="BJ473" s="143" t="s">
        <v>3167</v>
      </c>
      <c r="BK473">
        <f>53.247*(1-4.06/100)</f>
        <v>51.085171800000005</v>
      </c>
      <c r="BL473">
        <f>53.247</f>
        <v>53.247</v>
      </c>
      <c r="BM473" s="163"/>
      <c r="BN473">
        <f>BL473-BK473</f>
        <v>2.1618281999999951</v>
      </c>
      <c r="BO473" s="143">
        <f>BN473*10^6</f>
        <v>2161828.1999999951</v>
      </c>
      <c r="BP473" t="s">
        <v>233</v>
      </c>
      <c r="BQ473" s="266" t="s">
        <v>3168</v>
      </c>
      <c r="BR473" s="143" t="s">
        <v>1931</v>
      </c>
      <c r="BS473">
        <f>117.96*(1+2.48/100)</f>
        <v>120.88540799999998</v>
      </c>
      <c r="BT473" s="144">
        <v>117.962</v>
      </c>
      <c r="BV473">
        <f>BT473-BS473</f>
        <v>-2.9234079999999807</v>
      </c>
      <c r="BX473">
        <f>BV473*10^6</f>
        <v>-2923407.9999999809</v>
      </c>
      <c r="BY473">
        <f>IFERROR(BX473/BO473,"")</f>
        <v>-1.3522850705712821</v>
      </c>
      <c r="BZ473">
        <v>0</v>
      </c>
      <c r="CA473">
        <v>0</v>
      </c>
      <c r="CB473">
        <v>0</v>
      </c>
      <c r="CC473">
        <v>0</v>
      </c>
      <c r="CD473">
        <v>0</v>
      </c>
      <c r="CE473">
        <v>0</v>
      </c>
      <c r="CF473">
        <v>0</v>
      </c>
      <c r="CG473">
        <v>0</v>
      </c>
      <c r="CH473">
        <v>0</v>
      </c>
      <c r="CI473">
        <v>0</v>
      </c>
      <c r="CJ473">
        <v>0</v>
      </c>
      <c r="CK473">
        <v>0</v>
      </c>
      <c r="CL473">
        <v>0</v>
      </c>
      <c r="CM473">
        <v>0</v>
      </c>
      <c r="CN473" t="str">
        <f>IF($BL473&lt;$BK473,"refNeedCorrection","refOK")</f>
        <v>refOK</v>
      </c>
      <c r="CO473">
        <f>IF($CN473="refOK",$BK473,$BL473)</f>
        <v>51.085171800000005</v>
      </c>
      <c r="CP473">
        <f>IF($CN473="refOK",$BL473,$BK473)</f>
        <v>53.247</v>
      </c>
      <c r="CQ473">
        <f>IF($CN473="refOK",$BO473,-$BO473)</f>
        <v>2161828.1999999951</v>
      </c>
      <c r="CR473">
        <f>IF($CN473="refOK",$BS473,$BT473)*IF($BP473="Emissions positive",-1,1)</f>
        <v>120.88540799999998</v>
      </c>
      <c r="CS473">
        <f>IF($CN473="refOK",$BS473,#REF!)*IF($BP473="Emissions positive",-1,1)</f>
        <v>120.88540799999998</v>
      </c>
      <c r="CT473">
        <f>IF($CN473="refNeedCorrection",-BX473,BX473)*IF($BP473="Emissions positive",-1,1)</f>
        <v>-2923407.9999999809</v>
      </c>
      <c r="CU473">
        <f>IFERROR(CT473/CQ473,"")</f>
        <v>-1.3522850705712821</v>
      </c>
      <c r="CV473" s="2">
        <f>IFERROR((CS473-CR473)/ABS(CR473),"")</f>
        <v>0</v>
      </c>
      <c r="CW473" s="1" t="s">
        <v>1201</v>
      </c>
      <c r="CX473" t="str">
        <f>IF(OR($CW473="prd",$CW473="std",$CW473="cit"),"loc",IF(OR($CW473="eur",$CW473="reg",$CW473="coy"),"reg",$CW473))</f>
        <v>reg</v>
      </c>
      <c r="CY473" t="s">
        <v>731</v>
      </c>
      <c r="CZ473">
        <v>2007</v>
      </c>
      <c r="DA473" s="143">
        <v>2100</v>
      </c>
      <c r="DB473" s="143">
        <f>DA473-CZ473</f>
        <v>93</v>
      </c>
      <c r="DC473" t="str">
        <f>IF(DB473=0,"0",IF(AND(DB473&gt;=1,DB473&lt;=30),"1-30",IF(AND(DB473&gt;30,DB473&lt;=70),"31-70",IF(AND(DB473&gt;70,DB473&lt;=100),"71-100",IF(DB473&gt;100,"+100")))))</f>
        <v>71-100</v>
      </c>
      <c r="DD473">
        <v>0</v>
      </c>
      <c r="DE473">
        <v>1</v>
      </c>
      <c r="DF473">
        <v>0</v>
      </c>
      <c r="DG473">
        <v>1</v>
      </c>
      <c r="DH473">
        <v>1</v>
      </c>
      <c r="DI473">
        <f>SUM(DD473:DG473)</f>
        <v>2</v>
      </c>
      <c r="DJ473" t="str">
        <f>IF(DI473=1,INDEX($DD$7:$DG$7,MATCH(1,$DD473:$DG473,0)),"mixedProduct")</f>
        <v>mixedProduct</v>
      </c>
      <c r="DK473">
        <f>IF(DD473=1,DK$7,0)</f>
        <v>0</v>
      </c>
      <c r="DL473" t="str">
        <f>IF(DE473=1,DL$7,0)</f>
        <v>Energy</v>
      </c>
      <c r="DM473">
        <f>IF(DF473=1,DM$7,0)</f>
        <v>0</v>
      </c>
      <c r="DN473" t="str">
        <f>IF(DG473=1,DN$7,0)</f>
        <v>Timber</v>
      </c>
      <c r="DO473">
        <v>0</v>
      </c>
      <c r="DP473" s="143">
        <v>0</v>
      </c>
      <c r="DQ473" s="143">
        <v>0</v>
      </c>
      <c r="DR473">
        <v>0</v>
      </c>
      <c r="DS473" s="143">
        <v>0</v>
      </c>
      <c r="DT473">
        <f>SUM(DO473:DP473)</f>
        <v>0</v>
      </c>
      <c r="DU473" s="143" t="str">
        <f>IF(DO473=1,"self-calculated DF",IF(DP473=1,"external DF used","explicit C balance"))</f>
        <v>explicit C balance</v>
      </c>
      <c r="DV473" s="143">
        <v>0</v>
      </c>
      <c r="DW473" s="143">
        <v>0</v>
      </c>
      <c r="DX473" s="143">
        <v>1</v>
      </c>
      <c r="DY473" s="143">
        <v>1</v>
      </c>
      <c r="DZ473">
        <v>0</v>
      </c>
      <c r="EA473" s="143">
        <v>1</v>
      </c>
      <c r="EB473" s="143">
        <v>1</v>
      </c>
      <c r="EC473" s="143">
        <v>0</v>
      </c>
      <c r="ED473" s="143">
        <v>0</v>
      </c>
      <c r="EE473">
        <v>0</v>
      </c>
      <c r="EF473">
        <v>1</v>
      </c>
      <c r="EG473" s="143">
        <v>0</v>
      </c>
      <c r="EH473">
        <v>0</v>
      </c>
      <c r="EI473" s="2">
        <v>1</v>
      </c>
      <c r="EK473" t="str">
        <f>IF(AND(AND(AND(OR($DX473=1,$DW473=1),OR($EC473=1,$EA473=1)),SUM($DV473:$DZ473,$EF473)&gt;=4),SUM($EA473:$EE473)&gt;=2),"Whole sector","")</f>
        <v/>
      </c>
      <c r="EL473" t="str">
        <f>IF(AND(AND(OR($DX473=1,$DW473=1),AND($EC473=0,$EA473=0)),SUM($DV473:$DZ473,$EF473)&gt;=4),"Ecosystem approach","")</f>
        <v/>
      </c>
      <c r="EM473" s="2" t="str">
        <f>IF(AND(AND(AND($DX473=0,$DW473=0),OR($EC473=1,$EA473=1)),SUM($EB473:$EE473)&gt;=2),"Technology approach","")</f>
        <v/>
      </c>
      <c r="EP473" t="str">
        <f>IF(ISNUMBER(BT473),IF(ABS(BT473-[2]QC_indicators!$B$2)&gt;3*[2]QC_indicators!$C$2,"C ratio",IF(ISNUMBER(BY473),IF(ABS(BY473-[2]QC_indicators!$B$1)&gt;3*[2]QC_indicators!$C$1,"DF","no"))),IF(ISNUMBER(BY473),IF(ABS(BY473-[2]QC_indicators!$B$1)&gt;3*[2]QC_indicators!$C$1,"DF","no")))</f>
        <v>C ratio</v>
      </c>
      <c r="ET473" s="266" t="s">
        <v>3169</v>
      </c>
    </row>
    <row r="474" spans="1:150" ht="15" hidden="1" customHeight="1">
      <c r="A474" s="1" t="s">
        <v>1380</v>
      </c>
      <c r="B474" t="s">
        <v>1924</v>
      </c>
      <c r="C474" t="s">
        <v>1925</v>
      </c>
      <c r="D474" t="s">
        <v>1926</v>
      </c>
      <c r="E474" t="s">
        <v>1927</v>
      </c>
      <c r="F474" t="s">
        <v>1928</v>
      </c>
      <c r="G474" t="s">
        <v>1386</v>
      </c>
      <c r="H474" t="s">
        <v>255</v>
      </c>
      <c r="I474">
        <v>2016</v>
      </c>
      <c r="J474">
        <v>12</v>
      </c>
      <c r="K474" t="s">
        <v>1929</v>
      </c>
      <c r="M474" t="str">
        <f>LEFT($D474,FIND(",",$D474)-1)&amp;"_"&amp;I474&amp;L474</f>
        <v>Lobianco_2016</v>
      </c>
      <c r="N474" t="s">
        <v>223</v>
      </c>
      <c r="O474" s="145" t="s">
        <v>226</v>
      </c>
      <c r="P474" t="s">
        <v>514</v>
      </c>
      <c r="Q474" t="s">
        <v>257</v>
      </c>
      <c r="R474" s="264" t="s">
        <v>224</v>
      </c>
      <c r="S474" s="1" t="s">
        <v>1932</v>
      </c>
      <c r="T474" s="143" t="s">
        <v>1157</v>
      </c>
      <c r="U474" t="s">
        <v>3170</v>
      </c>
      <c r="V474">
        <v>0</v>
      </c>
      <c r="W474">
        <v>0</v>
      </c>
      <c r="X474">
        <v>0</v>
      </c>
      <c r="Y474">
        <v>1</v>
      </c>
      <c r="Z474">
        <v>0</v>
      </c>
      <c r="AA474">
        <v>0</v>
      </c>
      <c r="AB474">
        <v>0</v>
      </c>
      <c r="AC474">
        <v>0</v>
      </c>
      <c r="AD474">
        <v>0</v>
      </c>
      <c r="AE474">
        <v>0</v>
      </c>
      <c r="AF474">
        <v>0</v>
      </c>
      <c r="AG474">
        <v>0</v>
      </c>
      <c r="AH474">
        <v>0</v>
      </c>
      <c r="AI474">
        <v>0</v>
      </c>
      <c r="AJ474">
        <v>0</v>
      </c>
      <c r="AK474">
        <v>0</v>
      </c>
      <c r="AL474">
        <v>0</v>
      </c>
      <c r="AM474">
        <v>0</v>
      </c>
      <c r="AN474">
        <v>0</v>
      </c>
      <c r="AO474">
        <v>0</v>
      </c>
      <c r="AP474">
        <v>0</v>
      </c>
      <c r="AQ474">
        <v>0</v>
      </c>
      <c r="AR474">
        <v>0</v>
      </c>
      <c r="AS474">
        <v>0</v>
      </c>
      <c r="AT474">
        <v>0</v>
      </c>
      <c r="AU474">
        <v>1</v>
      </c>
      <c r="AV474">
        <v>0</v>
      </c>
      <c r="AW474">
        <v>0</v>
      </c>
      <c r="AX474" s="141">
        <f>COUNTIF(V474:AW474,"&lt;&gt;0")</f>
        <v>2</v>
      </c>
      <c r="AY474" s="141">
        <f>COUNTIF(V474:AL474,"&lt;&gt;0")</f>
        <v>1</v>
      </c>
      <c r="AZ474">
        <f>COUNTIF(V474:AC474,"&lt;&gt;0")</f>
        <v>1</v>
      </c>
      <c r="BA474">
        <f>COUNTIF(AD474:AI474,"&lt;&gt;0")</f>
        <v>0</v>
      </c>
      <c r="BB474">
        <f>COUNTIF(AJ474:AL474,"&lt;&gt;0")</f>
        <v>0</v>
      </c>
      <c r="BC474">
        <f>COUNTIF(AS474:AW474,"&lt;&gt;0")</f>
        <v>1</v>
      </c>
      <c r="BD474">
        <f>COUNTIF(AM474:AR474,"&lt;&gt;0")</f>
        <v>0</v>
      </c>
      <c r="BE474" t="str">
        <f t="array" ref="BE474">IF(AY474=1,INDEX($V$7:$AL$7,MATCH(TRUE,INDEX($V474:$AW474&lt;&gt;0,),0)),IF(AY474=0,INDEX($AM$7:$AW$7,MATCH(1,$AM474:$AW474,0)),IF(BF474="Multiple strategies","mixed drivers",IF(BF474="Supply chain","multiple supply","multiple silviculture"))))</f>
        <v xml:space="preserve">cutting intensity </v>
      </c>
      <c r="BF474" s="2" t="str" cm="1">
        <f t="array" ref="BF474">IF(COUNTIF(AZ474:BB474,"&lt;&gt;0")=1,INDEX($V$4:$AW$4,MATCH(TRUE,INDEX($V474:$AW474&lt;&gt;0,),0)),IF(COUNTIF(AZ474:BB474,"&lt;&gt;0")=0,INDEX($AM$4:$AW$4,MATCH(1,$AM474:$AW474,0)),"Multiple strategies"))</f>
        <v>SilvicultureRemov</v>
      </c>
      <c r="BG474" s="142" t="s">
        <v>322</v>
      </c>
      <c r="BH474" s="267" t="s">
        <v>3165</v>
      </c>
      <c r="BI474" s="266" t="s">
        <v>3166</v>
      </c>
      <c r="BJ474" s="143" t="s">
        <v>3167</v>
      </c>
      <c r="BK474">
        <f>53.247</f>
        <v>53.247</v>
      </c>
      <c r="BL474">
        <f>53.247*(1+9.16/100)</f>
        <v>58.124425199999997</v>
      </c>
      <c r="BN474">
        <f>BL474-BK474</f>
        <v>4.8774251999999976</v>
      </c>
      <c r="BO474" s="143">
        <f>BN474*10^6</f>
        <v>4877425.1999999974</v>
      </c>
      <c r="BP474" t="s">
        <v>233</v>
      </c>
      <c r="BQ474" s="266" t="s">
        <v>3168</v>
      </c>
      <c r="BR474" s="143" t="s">
        <v>1931</v>
      </c>
      <c r="BS474" s="144">
        <v>117.962</v>
      </c>
      <c r="BT474">
        <f>117.96*(1-5.55/100)</f>
        <v>111.41322</v>
      </c>
      <c r="BV474">
        <f>BT474-BS474</f>
        <v>-6.5487800000000078</v>
      </c>
      <c r="BX474">
        <f>BV474*10^6</f>
        <v>-6548780.0000000075</v>
      </c>
      <c r="BY474">
        <f>IFERROR(BX474/BO474,"")</f>
        <v>-1.3426715390735282</v>
      </c>
      <c r="BZ474">
        <v>0</v>
      </c>
      <c r="CA474">
        <v>0</v>
      </c>
      <c r="CB474">
        <v>0</v>
      </c>
      <c r="CC474">
        <v>0</v>
      </c>
      <c r="CD474">
        <v>0</v>
      </c>
      <c r="CE474">
        <v>0</v>
      </c>
      <c r="CF474">
        <v>0</v>
      </c>
      <c r="CG474">
        <v>0</v>
      </c>
      <c r="CH474">
        <v>0</v>
      </c>
      <c r="CI474">
        <v>0</v>
      </c>
      <c r="CJ474">
        <v>0</v>
      </c>
      <c r="CK474">
        <v>0</v>
      </c>
      <c r="CL474">
        <v>0</v>
      </c>
      <c r="CM474">
        <v>0</v>
      </c>
      <c r="CN474" t="str">
        <f>IF($BL474&lt;$BK474,"refNeedCorrection","refOK")</f>
        <v>refOK</v>
      </c>
      <c r="CO474">
        <f>IF($CN474="refOK",$BK474,$BL474)</f>
        <v>53.247</v>
      </c>
      <c r="CP474">
        <f>IF($CN474="refOK",$BL474,#REF!)</f>
        <v>58.124425199999997</v>
      </c>
      <c r="CQ474">
        <f>IF($CN474="refOK",$BO474,-$BO474)</f>
        <v>4877425.1999999974</v>
      </c>
      <c r="CR474">
        <f>IF($CN474="refOK",$BS474,$BT474)*IF($BP474="Emissions positive",-1,1)</f>
        <v>117.962</v>
      </c>
      <c r="CS474">
        <f>IF($CN474="refOK",$BS474,#REF!)*IF($BP474="Emissions positive",-1,1)</f>
        <v>117.962</v>
      </c>
      <c r="CT474">
        <f>IF($CN474="refNeedCorrection",-BX474,BX474)*IF($BP474="Emissions positive",-1,1)</f>
        <v>-6548780.0000000075</v>
      </c>
      <c r="CU474">
        <f>IFERROR(CT474/CQ474,"")</f>
        <v>-1.3426715390735282</v>
      </c>
      <c r="CV474" s="2">
        <f>IFERROR((CS474-CR474)/ABS(CR474),"")</f>
        <v>0</v>
      </c>
      <c r="CW474" s="1" t="s">
        <v>1201</v>
      </c>
      <c r="CX474" t="str">
        <f>IF(OR($CW474="prd",$CW474="std",$CW474="cit"),"loc",IF(OR($CW474="eur",$CW474="reg",$CW474="coy"),"reg",$CW474))</f>
        <v>reg</v>
      </c>
      <c r="CY474" t="s">
        <v>731</v>
      </c>
      <c r="CZ474">
        <v>2007</v>
      </c>
      <c r="DA474" s="143">
        <v>2100</v>
      </c>
      <c r="DB474" s="143">
        <f>DA474-CZ474</f>
        <v>93</v>
      </c>
      <c r="DC474" t="str">
        <f>IF(DB474=0,"0",IF(AND(DB474&gt;=1,DB474&lt;=30),"1-30",IF(AND(DB474&gt;30,DB474&lt;=70),"31-70",IF(AND(DB474&gt;70,DB474&lt;=100),"71-100",IF(DB474&gt;100,"+100")))))</f>
        <v>71-100</v>
      </c>
      <c r="DD474">
        <v>0</v>
      </c>
      <c r="DE474">
        <v>1</v>
      </c>
      <c r="DF474">
        <v>0</v>
      </c>
      <c r="DG474">
        <v>1</v>
      </c>
      <c r="DH474">
        <v>1</v>
      </c>
      <c r="DI474">
        <f>SUM(DD474:DG474)</f>
        <v>2</v>
      </c>
      <c r="DJ474" t="str">
        <f>IF(DI474=1,INDEX($DD$7:$DG$7,MATCH(1,$DD474:$DG474,0)),"mixedProduct")</f>
        <v>mixedProduct</v>
      </c>
      <c r="DK474">
        <f>IF(DD474=1,DK$7,0)</f>
        <v>0</v>
      </c>
      <c r="DL474" t="str">
        <f>IF(DE474=1,DL$7,0)</f>
        <v>Energy</v>
      </c>
      <c r="DM474">
        <f>IF(DF474=1,DM$7,0)</f>
        <v>0</v>
      </c>
      <c r="DN474" t="str">
        <f>IF(DG474=1,DN$7,0)</f>
        <v>Timber</v>
      </c>
      <c r="DO474">
        <v>0</v>
      </c>
      <c r="DP474" s="143">
        <v>0</v>
      </c>
      <c r="DQ474" s="143">
        <v>0</v>
      </c>
      <c r="DR474">
        <v>0</v>
      </c>
      <c r="DS474" s="143">
        <v>0</v>
      </c>
      <c r="DT474">
        <f>SUM(DO474:DP474)</f>
        <v>0</v>
      </c>
      <c r="DU474" s="143" t="str">
        <f>IF(DO474=1,"self-calculated DF",IF(DP474=1,"external DF used","explicit C balance"))</f>
        <v>explicit C balance</v>
      </c>
      <c r="DV474" s="143">
        <v>0</v>
      </c>
      <c r="DW474" s="143">
        <v>0</v>
      </c>
      <c r="DX474" s="143">
        <v>1</v>
      </c>
      <c r="DY474" s="143">
        <v>1</v>
      </c>
      <c r="DZ474">
        <v>0</v>
      </c>
      <c r="EA474" s="143">
        <v>1</v>
      </c>
      <c r="EB474" s="143">
        <v>1</v>
      </c>
      <c r="EC474" s="143">
        <v>0</v>
      </c>
      <c r="ED474" s="143">
        <v>0</v>
      </c>
      <c r="EE474">
        <v>0</v>
      </c>
      <c r="EF474">
        <v>1</v>
      </c>
      <c r="EG474" s="143">
        <v>0</v>
      </c>
      <c r="EH474">
        <v>0</v>
      </c>
      <c r="EI474" s="2">
        <v>1</v>
      </c>
      <c r="EK474" t="str">
        <f>IF(AND(AND(AND(OR($DX474=1,$DW474=1),OR($EC474=1,$EA474=1)),SUM($DV474:$DZ474,$EF474)&gt;=4),SUM($EA474:$EE474)&gt;=2),"Whole sector","")</f>
        <v/>
      </c>
      <c r="EL474" t="str">
        <f>IF(AND(AND(OR($DX474=1,$DW474=1),AND($EC474=0,$EA474=0)),SUM($DV474:$DZ474,$EF474)&gt;=4),"Ecosystem approach","")</f>
        <v/>
      </c>
      <c r="EM474" s="2" t="str">
        <f>IF(AND(AND(AND($DX474=0,$DW474=0),OR($EC474=1,$EA474=1)),SUM($EB474:$EE474)&gt;=2),"Technology approach","")</f>
        <v/>
      </c>
      <c r="EP474" t="str">
        <f>IF(ISNUMBER(BT474),IF(ABS(BT474-[2]QC_indicators!$B$2)&gt;3*[2]QC_indicators!$C$2,"C ratio",IF(ISNUMBER(BY474),IF(ABS(BY474-[2]QC_indicators!$B$1)&gt;3*[2]QC_indicators!$C$1,"DF","no"))),IF(ISNUMBER(BY474),IF(ABS(BY474-[2]QC_indicators!$B$1)&gt;3*[2]QC_indicators!$C$1,"DF","no")))</f>
        <v>C ratio</v>
      </c>
      <c r="ET474" s="266" t="s">
        <v>3169</v>
      </c>
    </row>
    <row r="475" spans="1:150" ht="15" hidden="1" customHeight="1">
      <c r="A475" s="1" t="s">
        <v>1380</v>
      </c>
      <c r="B475" t="s">
        <v>1924</v>
      </c>
      <c r="C475" t="s">
        <v>1925</v>
      </c>
      <c r="D475" t="s">
        <v>1926</v>
      </c>
      <c r="E475" t="s">
        <v>1927</v>
      </c>
      <c r="F475" t="s">
        <v>1928</v>
      </c>
      <c r="G475" t="s">
        <v>1386</v>
      </c>
      <c r="H475" t="s">
        <v>255</v>
      </c>
      <c r="I475">
        <v>2016</v>
      </c>
      <c r="J475">
        <v>12</v>
      </c>
      <c r="K475" t="s">
        <v>1929</v>
      </c>
      <c r="M475" t="str">
        <f>LEFT($D475,FIND(",",$D475)-1)&amp;"_"&amp;I475&amp;L475</f>
        <v>Lobianco_2016</v>
      </c>
      <c r="N475" t="s">
        <v>223</v>
      </c>
      <c r="O475" s="145" t="s">
        <v>226</v>
      </c>
      <c r="P475" t="s">
        <v>514</v>
      </c>
      <c r="Q475" t="s">
        <v>257</v>
      </c>
      <c r="R475" s="264" t="s">
        <v>224</v>
      </c>
      <c r="S475" s="1" t="s">
        <v>1930</v>
      </c>
      <c r="T475" s="143" t="s">
        <v>3171</v>
      </c>
      <c r="U475" s="143" t="s">
        <v>1157</v>
      </c>
      <c r="V475">
        <v>0</v>
      </c>
      <c r="W475">
        <v>0</v>
      </c>
      <c r="X475">
        <v>1</v>
      </c>
      <c r="Y475">
        <v>0</v>
      </c>
      <c r="Z475">
        <v>0</v>
      </c>
      <c r="AA475">
        <v>0</v>
      </c>
      <c r="AB475">
        <v>0</v>
      </c>
      <c r="AC475">
        <v>0</v>
      </c>
      <c r="AD475">
        <v>0</v>
      </c>
      <c r="AE475">
        <v>0</v>
      </c>
      <c r="AF475">
        <v>0</v>
      </c>
      <c r="AG475">
        <v>0</v>
      </c>
      <c r="AH475">
        <v>0</v>
      </c>
      <c r="AI475">
        <v>0</v>
      </c>
      <c r="AJ475">
        <v>0</v>
      </c>
      <c r="AK475">
        <v>0</v>
      </c>
      <c r="AL475">
        <v>0</v>
      </c>
      <c r="AM475">
        <v>0</v>
      </c>
      <c r="AN475">
        <v>0</v>
      </c>
      <c r="AO475">
        <v>0</v>
      </c>
      <c r="AP475">
        <v>0</v>
      </c>
      <c r="AQ475">
        <v>0</v>
      </c>
      <c r="AR475">
        <v>0</v>
      </c>
      <c r="AS475">
        <v>0</v>
      </c>
      <c r="AT475">
        <v>0</v>
      </c>
      <c r="AU475">
        <v>1</v>
      </c>
      <c r="AV475">
        <v>0</v>
      </c>
      <c r="AW475">
        <v>0</v>
      </c>
      <c r="AX475" s="141">
        <f>COUNTIF(V475:AW475,"&lt;&gt;0")</f>
        <v>2</v>
      </c>
      <c r="AY475" s="141">
        <f>COUNTIF(V475:AL475,"&lt;&gt;0")</f>
        <v>1</v>
      </c>
      <c r="AZ475">
        <f>COUNTIF(V475:AC475,"&lt;&gt;0")</f>
        <v>1</v>
      </c>
      <c r="BA475">
        <f>COUNTIF(AD475:AI475,"&lt;&gt;0")</f>
        <v>0</v>
      </c>
      <c r="BB475">
        <f>COUNTIF(AJ475:AL475,"&lt;&gt;0")</f>
        <v>0</v>
      </c>
      <c r="BC475">
        <f>COUNTIF(AS475:AW475,"&lt;&gt;0")</f>
        <v>1</v>
      </c>
      <c r="BD475">
        <f>COUNTIF(AM475:AR475,"&lt;&gt;0")</f>
        <v>0</v>
      </c>
      <c r="BE475" t="str">
        <f t="array" ref="BE475">IF(AY475=1,INDEX($V$7:$AL$7,MATCH(TRUE,INDEX($V475:$AW475&lt;&gt;0,),0)),IF(AY475=0,INDEX($AM$7:$AW$7,MATCH(1,$AM475:$AW475,0)),IF(BF475="Multiple strategies","mixed drivers",IF(BF475="Supply chain","multiple supply","multiple silviculture"))))</f>
        <v>rotation length</v>
      </c>
      <c r="BF475" s="2" t="str" cm="1">
        <f t="array" ref="BF475">IF(COUNTIF(AZ475:BB475,"&lt;&gt;0")=1,INDEX($V$4:$AW$4,MATCH(TRUE,INDEX($V475:$AW475&lt;&gt;0,),0)),IF(COUNTIF(AZ475:BB475,"&lt;&gt;0")=0,INDEX($AM$4:$AW$4,MATCH(1,$AM475:$AW475,0)),"Multiple strategies"))</f>
        <v>SilvicultureRemov</v>
      </c>
      <c r="BG475" s="142" t="s">
        <v>322</v>
      </c>
      <c r="BH475" s="267" t="s">
        <v>3165</v>
      </c>
      <c r="BI475" s="266" t="s">
        <v>3166</v>
      </c>
      <c r="BJ475" s="143" t="s">
        <v>3167</v>
      </c>
      <c r="BK475">
        <f>53.247*(1-0.04/100)</f>
        <v>53.225701200000003</v>
      </c>
      <c r="BL475">
        <f>53.247</f>
        <v>53.247</v>
      </c>
      <c r="BN475">
        <f>BL475-BK475</f>
        <v>2.1298799999996731E-2</v>
      </c>
      <c r="BO475" s="143">
        <f>BN475*10^6</f>
        <v>21298.799999996732</v>
      </c>
      <c r="BP475" t="s">
        <v>233</v>
      </c>
      <c r="BQ475" s="266" t="s">
        <v>3168</v>
      </c>
      <c r="BR475" s="143" t="s">
        <v>1931</v>
      </c>
      <c r="BS475">
        <f>117.96*(1-0.07/100)</f>
        <v>117.87742799999999</v>
      </c>
      <c r="BT475" s="144">
        <v>117.962</v>
      </c>
      <c r="BV475">
        <f>BT475-BS475</f>
        <v>8.4572000000008529E-2</v>
      </c>
      <c r="BX475">
        <f>BV475*10^6</f>
        <v>84572.000000008527</v>
      </c>
      <c r="BY475">
        <f>IFERROR(BX475/BO475,"")</f>
        <v>3.970740135595503</v>
      </c>
      <c r="BZ475">
        <v>0</v>
      </c>
      <c r="CA475">
        <v>0</v>
      </c>
      <c r="CB475">
        <v>0</v>
      </c>
      <c r="CC475">
        <v>0</v>
      </c>
      <c r="CD475">
        <v>0</v>
      </c>
      <c r="CE475">
        <v>0</v>
      </c>
      <c r="CF475">
        <v>0</v>
      </c>
      <c r="CG475">
        <v>0</v>
      </c>
      <c r="CH475">
        <v>0</v>
      </c>
      <c r="CI475">
        <v>0</v>
      </c>
      <c r="CJ475">
        <v>0</v>
      </c>
      <c r="CK475">
        <v>0</v>
      </c>
      <c r="CL475">
        <v>0</v>
      </c>
      <c r="CM475">
        <v>0</v>
      </c>
      <c r="CN475" t="str">
        <f>IF($BL475&lt;$BK475,"refNeedCorrection","refOK")</f>
        <v>refOK</v>
      </c>
      <c r="CO475">
        <f>IF($CN475="refOK",$BK475,$BL475)</f>
        <v>53.225701200000003</v>
      </c>
      <c r="CP475">
        <f>IF($CN475="refOK",$BL475,$BK475)</f>
        <v>53.247</v>
      </c>
      <c r="CQ475">
        <f>IF($CN475="refOK",$BO475,-$BO475)</f>
        <v>21298.799999996732</v>
      </c>
      <c r="CR475">
        <f>IF($CN475="refOK",$BS475,$BT475)*IF($BP475="Emissions positive",-1,1)</f>
        <v>117.87742799999999</v>
      </c>
      <c r="CS475">
        <f>IF($CN475="refOK",$BS475,#REF!)*IF($BP475="Emissions positive",-1,1)</f>
        <v>117.87742799999999</v>
      </c>
      <c r="CT475">
        <f>IF($CN475="refNeedCorrection",-BX475,BX475)*IF($BP475="Emissions positive",-1,1)</f>
        <v>84572.000000008527</v>
      </c>
      <c r="CU475">
        <f>IFERROR(CT475/CQ475,"")</f>
        <v>3.970740135595503</v>
      </c>
      <c r="CV475" s="2">
        <f>IFERROR((CS475-CR475)/ABS(CR475),"")</f>
        <v>0</v>
      </c>
      <c r="CW475" s="1" t="s">
        <v>1201</v>
      </c>
      <c r="CX475" t="str">
        <f>IF(OR($CW475="prd",$CW475="std",$CW475="cit"),"loc",IF(OR($CW475="eur",$CW475="reg",$CW475="coy"),"reg",$CW475))</f>
        <v>reg</v>
      </c>
      <c r="CY475" t="s">
        <v>731</v>
      </c>
      <c r="CZ475">
        <v>2007</v>
      </c>
      <c r="DA475" s="143">
        <v>2100</v>
      </c>
      <c r="DB475" s="143">
        <f>DA475-CZ475</f>
        <v>93</v>
      </c>
      <c r="DC475" t="str">
        <f>IF(DB475=0,"0",IF(AND(DB475&gt;=1,DB475&lt;=30),"1-30",IF(AND(DB475&gt;30,DB475&lt;=70),"31-70",IF(AND(DB475&gt;70,DB475&lt;=100),"71-100",IF(DB475&gt;100,"+100")))))</f>
        <v>71-100</v>
      </c>
      <c r="DD475">
        <v>0</v>
      </c>
      <c r="DE475">
        <v>1</v>
      </c>
      <c r="DF475">
        <v>0</v>
      </c>
      <c r="DG475">
        <v>1</v>
      </c>
      <c r="DH475">
        <v>1</v>
      </c>
      <c r="DI475">
        <f>SUM(DD475:DG475)</f>
        <v>2</v>
      </c>
      <c r="DJ475" t="str">
        <f>IF(DI475=1,INDEX($DD$7:$DG$7,MATCH(1,$DD475:$DG475,0)),"mixedProduct")</f>
        <v>mixedProduct</v>
      </c>
      <c r="DK475">
        <f>IF(DD475=1,DK$7,0)</f>
        <v>0</v>
      </c>
      <c r="DL475" t="str">
        <f>IF(DE475=1,DL$7,0)</f>
        <v>Energy</v>
      </c>
      <c r="DM475">
        <f>IF(DF475=1,DM$7,0)</f>
        <v>0</v>
      </c>
      <c r="DN475" t="str">
        <f>IF(DG475=1,DN$7,0)</f>
        <v>Timber</v>
      </c>
      <c r="DO475">
        <v>0</v>
      </c>
      <c r="DP475" s="143">
        <v>0</v>
      </c>
      <c r="DQ475" s="143">
        <v>0</v>
      </c>
      <c r="DR475">
        <v>0</v>
      </c>
      <c r="DS475" s="143">
        <v>0</v>
      </c>
      <c r="DT475">
        <f>SUM(DO475:DP475)</f>
        <v>0</v>
      </c>
      <c r="DU475" s="143" t="str">
        <f>IF(DO475=1,"self-calculated DF",IF(DP475=1,"external DF used","explicit C balance"))</f>
        <v>explicit C balance</v>
      </c>
      <c r="DV475" s="143">
        <v>0</v>
      </c>
      <c r="DW475" s="143">
        <v>0</v>
      </c>
      <c r="DX475" s="143">
        <v>1</v>
      </c>
      <c r="DY475" s="143">
        <v>1</v>
      </c>
      <c r="DZ475">
        <v>0</v>
      </c>
      <c r="EA475" s="143">
        <v>1</v>
      </c>
      <c r="EB475" s="143">
        <v>1</v>
      </c>
      <c r="EC475" s="143">
        <v>0</v>
      </c>
      <c r="ED475" s="143">
        <v>0</v>
      </c>
      <c r="EE475">
        <v>0</v>
      </c>
      <c r="EF475">
        <v>1</v>
      </c>
      <c r="EG475" s="143">
        <v>0</v>
      </c>
      <c r="EH475">
        <v>0</v>
      </c>
      <c r="EI475" s="2">
        <v>1</v>
      </c>
      <c r="EK475" t="str">
        <f>IF(AND(AND(AND(OR($DX475=1,$DW475=1),OR($EC475=1,$EA475=1)),SUM($DV475:$DZ475,$EF475)&gt;=4),SUM($EA475:$EE475)&gt;=2),"Whole sector","")</f>
        <v/>
      </c>
      <c r="EL475" t="str">
        <f>IF(AND(AND(OR($DX475=1,$DW475=1),AND($EC475=0,$EA475=0)),SUM($DV475:$DZ475,$EF475)&gt;=4),"Ecosystem approach","")</f>
        <v/>
      </c>
      <c r="EM475" s="2" t="str">
        <f>IF(AND(AND(AND($DX475=0,$DW475=0),OR($EC475=1,$EA475=1)),SUM($EB475:$EE475)&gt;=2),"Technology approach","")</f>
        <v/>
      </c>
      <c r="EP475" t="str">
        <f>IF(ISNUMBER(BT475),IF(ABS(BT475-[2]QC_indicators!$B$2)&gt;3*[2]QC_indicators!$C$2,"C ratio",IF(ISNUMBER(BY475),IF(ABS(BY475-[2]QC_indicators!$B$1)&gt;3*[2]QC_indicators!$C$1,"DF","no"))),IF(ISNUMBER(BY475),IF(ABS(BY475-[2]QC_indicators!$B$1)&gt;3*[2]QC_indicators!$C$1,"DF","no")))</f>
        <v>C ratio</v>
      </c>
      <c r="ET475" s="266" t="s">
        <v>3169</v>
      </c>
    </row>
    <row r="476" spans="1:150" ht="15" hidden="1" customHeight="1">
      <c r="A476" s="1" t="s">
        <v>1380</v>
      </c>
      <c r="B476" t="s">
        <v>1924</v>
      </c>
      <c r="C476" t="s">
        <v>1925</v>
      </c>
      <c r="D476" t="s">
        <v>1926</v>
      </c>
      <c r="E476" t="s">
        <v>1927</v>
      </c>
      <c r="F476" t="s">
        <v>1928</v>
      </c>
      <c r="G476" t="s">
        <v>1386</v>
      </c>
      <c r="H476" t="s">
        <v>255</v>
      </c>
      <c r="I476">
        <v>2016</v>
      </c>
      <c r="J476">
        <v>12</v>
      </c>
      <c r="K476" t="s">
        <v>1929</v>
      </c>
      <c r="M476" t="str">
        <f>LEFT($D476,FIND(",",$D476)-1)&amp;"_"&amp;I476&amp;L476</f>
        <v>Lobianco_2016</v>
      </c>
      <c r="N476" t="s">
        <v>223</v>
      </c>
      <c r="O476" s="145" t="s">
        <v>226</v>
      </c>
      <c r="P476" t="s">
        <v>514</v>
      </c>
      <c r="Q476" t="s">
        <v>257</v>
      </c>
      <c r="R476" s="264" t="s">
        <v>224</v>
      </c>
      <c r="S476" s="1" t="s">
        <v>1934</v>
      </c>
      <c r="T476" s="143" t="s">
        <v>3172</v>
      </c>
      <c r="U476" s="143" t="s">
        <v>1157</v>
      </c>
      <c r="V476">
        <v>0</v>
      </c>
      <c r="W476">
        <v>0</v>
      </c>
      <c r="X476">
        <v>1</v>
      </c>
      <c r="Y476">
        <v>0</v>
      </c>
      <c r="Z476">
        <v>0</v>
      </c>
      <c r="AA476">
        <v>0</v>
      </c>
      <c r="AB476">
        <v>0</v>
      </c>
      <c r="AC476">
        <v>0</v>
      </c>
      <c r="AD476">
        <v>0</v>
      </c>
      <c r="AE476">
        <v>0</v>
      </c>
      <c r="AF476">
        <v>0</v>
      </c>
      <c r="AG476">
        <v>0</v>
      </c>
      <c r="AH476">
        <v>0</v>
      </c>
      <c r="AI476">
        <v>0</v>
      </c>
      <c r="AJ476">
        <v>0</v>
      </c>
      <c r="AK476">
        <v>0</v>
      </c>
      <c r="AL476">
        <v>0</v>
      </c>
      <c r="AM476">
        <v>0</v>
      </c>
      <c r="AN476">
        <v>0</v>
      </c>
      <c r="AO476">
        <v>0</v>
      </c>
      <c r="AP476">
        <v>0</v>
      </c>
      <c r="AQ476">
        <v>0</v>
      </c>
      <c r="AR476">
        <v>0</v>
      </c>
      <c r="AS476">
        <v>0</v>
      </c>
      <c r="AT476">
        <v>0</v>
      </c>
      <c r="AU476">
        <v>1</v>
      </c>
      <c r="AV476">
        <v>0</v>
      </c>
      <c r="AW476">
        <v>0</v>
      </c>
      <c r="AX476" s="141">
        <f>COUNTIF(V476:AW476,"&lt;&gt;0")</f>
        <v>2</v>
      </c>
      <c r="AY476" s="141">
        <f>COUNTIF(V476:AL476,"&lt;&gt;0")</f>
        <v>1</v>
      </c>
      <c r="AZ476">
        <f>COUNTIF(V476:AC476,"&lt;&gt;0")</f>
        <v>1</v>
      </c>
      <c r="BA476">
        <f>COUNTIF(AD476:AI476,"&lt;&gt;0")</f>
        <v>0</v>
      </c>
      <c r="BB476">
        <f>COUNTIF(AJ476:AL476,"&lt;&gt;0")</f>
        <v>0</v>
      </c>
      <c r="BC476">
        <f>COUNTIF(AS476:AW476,"&lt;&gt;0")</f>
        <v>1</v>
      </c>
      <c r="BD476">
        <f>COUNTIF(AM476:AR476,"&lt;&gt;0")</f>
        <v>0</v>
      </c>
      <c r="BE476" t="str">
        <f t="array" ref="BE476">IF(AY476=1,INDEX($V$7:$AL$7,MATCH(TRUE,INDEX($V476:$AW476&lt;&gt;0,),0)),IF(AY476=0,INDEX($AM$7:$AW$7,MATCH(1,$AM476:$AW476,0)),IF(BF476="Multiple strategies","mixed drivers",IF(BF476="Supply chain","multiple supply","multiple silviculture"))))</f>
        <v>rotation length</v>
      </c>
      <c r="BF476" s="2" t="str" cm="1">
        <f t="array" ref="BF476">IF(COUNTIF(AZ476:BB476,"&lt;&gt;0")=1,INDEX($V$4:$AW$4,MATCH(TRUE,INDEX($V476:$AW476&lt;&gt;0,),0)),IF(COUNTIF(AZ476:BB476,"&lt;&gt;0")=0,INDEX($AM$4:$AW$4,MATCH(1,$AM476:$AW476,0)),"Multiple strategies"))</f>
        <v>SilvicultureRemov</v>
      </c>
      <c r="BG476" s="142" t="s">
        <v>322</v>
      </c>
      <c r="BH476" s="267" t="s">
        <v>3165</v>
      </c>
      <c r="BI476" s="266" t="s">
        <v>3166</v>
      </c>
      <c r="BJ476" s="143" t="s">
        <v>3167</v>
      </c>
      <c r="BK476">
        <f>53.247*(1-0.06/100)</f>
        <v>53.215051799999998</v>
      </c>
      <c r="BL476">
        <f>53.247</f>
        <v>53.247</v>
      </c>
      <c r="BN476">
        <f>BL476-BK476</f>
        <v>3.1948200000002203E-2</v>
      </c>
      <c r="BO476" s="143">
        <f>BN476*10^6</f>
        <v>31948.200000002202</v>
      </c>
      <c r="BP476" t="s">
        <v>233</v>
      </c>
      <c r="BQ476" s="266" t="s">
        <v>3168</v>
      </c>
      <c r="BR476" s="143" t="s">
        <v>1931</v>
      </c>
      <c r="BS476">
        <f>117.96*(100.18/100)</f>
        <v>118.17232799999999</v>
      </c>
      <c r="BT476" s="144">
        <v>117.962</v>
      </c>
      <c r="BV476">
        <f>BT476-BS476</f>
        <v>-0.21032799999998986</v>
      </c>
      <c r="BX476">
        <f>BV476*10^6</f>
        <v>-210327.99999998984</v>
      </c>
      <c r="BY476">
        <f>IFERROR(BX476/BO476,"")</f>
        <v>-6.5834068899022586</v>
      </c>
      <c r="BZ476">
        <v>0</v>
      </c>
      <c r="CA476">
        <v>0</v>
      </c>
      <c r="CB476">
        <v>0</v>
      </c>
      <c r="CC476">
        <v>0</v>
      </c>
      <c r="CD476">
        <v>0</v>
      </c>
      <c r="CE476">
        <v>0</v>
      </c>
      <c r="CF476">
        <v>0</v>
      </c>
      <c r="CG476">
        <v>0</v>
      </c>
      <c r="CH476">
        <v>0</v>
      </c>
      <c r="CI476">
        <v>0</v>
      </c>
      <c r="CJ476">
        <v>0</v>
      </c>
      <c r="CK476">
        <v>0</v>
      </c>
      <c r="CL476">
        <v>0</v>
      </c>
      <c r="CM476">
        <v>0</v>
      </c>
      <c r="CN476" t="str">
        <f>IF($BL476&lt;$BK476,"refNeedCorrection","refOK")</f>
        <v>refOK</v>
      </c>
      <c r="CO476">
        <f>IF($CN476="refOK",$BK476,$BL476)</f>
        <v>53.215051799999998</v>
      </c>
      <c r="CP476">
        <f>IF($CN476="refOK",$BL476,$BK476)</f>
        <v>53.247</v>
      </c>
      <c r="CQ476">
        <f>IF($CN476="refOK",$BO476,-$BO476)</f>
        <v>31948.200000002202</v>
      </c>
      <c r="CR476">
        <f>IF($CN476="refOK",$BS476,$BT476)*IF($BP476="Emissions positive",-1,1)</f>
        <v>118.17232799999999</v>
      </c>
      <c r="CS476">
        <f>IF($CN476="refOK",$BS476,#REF!)*IF($BP476="Emissions positive",-1,1)</f>
        <v>118.17232799999999</v>
      </c>
      <c r="CT476">
        <f>IF($CN476="refNeedCorrection",-BX476,BX476)*IF($BP476="Emissions positive",-1,1)</f>
        <v>-210327.99999998984</v>
      </c>
      <c r="CU476">
        <f>IFERROR(CT476/CQ476,"")</f>
        <v>-6.5834068899022586</v>
      </c>
      <c r="CV476" s="2">
        <f>IFERROR((CS476-CR476)/ABS(CR476),"")</f>
        <v>0</v>
      </c>
      <c r="CW476" s="1" t="s">
        <v>1201</v>
      </c>
      <c r="CX476" t="str">
        <f>IF(OR($CW476="prd",$CW476="std",$CW476="cit"),"loc",IF(OR($CW476="eur",$CW476="reg",$CW476="coy"),"reg",$CW476))</f>
        <v>reg</v>
      </c>
      <c r="CY476" t="s">
        <v>731</v>
      </c>
      <c r="CZ476">
        <v>2007</v>
      </c>
      <c r="DA476" s="143">
        <v>2100</v>
      </c>
      <c r="DB476" s="143">
        <f>DA476-CZ476</f>
        <v>93</v>
      </c>
      <c r="DC476" t="str">
        <f>IF(DB476=0,"0",IF(AND(DB476&gt;=1,DB476&lt;=30),"1-30",IF(AND(DB476&gt;30,DB476&lt;=70),"31-70",IF(AND(DB476&gt;70,DB476&lt;=100),"71-100",IF(DB476&gt;100,"+100")))))</f>
        <v>71-100</v>
      </c>
      <c r="DD476">
        <v>0</v>
      </c>
      <c r="DE476">
        <v>1</v>
      </c>
      <c r="DF476">
        <v>0</v>
      </c>
      <c r="DG476">
        <v>1</v>
      </c>
      <c r="DH476">
        <v>1</v>
      </c>
      <c r="DI476">
        <f>SUM(DD476:DG476)</f>
        <v>2</v>
      </c>
      <c r="DJ476" t="str">
        <f>IF(DI476=1,INDEX($DD$7:$DG$7,MATCH(1,$DD476:$DG476,0)),"mixedProduct")</f>
        <v>mixedProduct</v>
      </c>
      <c r="DK476">
        <f>IF(DD476=1,DK$7,0)</f>
        <v>0</v>
      </c>
      <c r="DL476" t="str">
        <f>IF(DE476=1,DL$7,0)</f>
        <v>Energy</v>
      </c>
      <c r="DM476">
        <f>IF(DF476=1,DM$7,0)</f>
        <v>0</v>
      </c>
      <c r="DN476" t="str">
        <f>IF(DG476=1,DN$7,0)</f>
        <v>Timber</v>
      </c>
      <c r="DO476">
        <v>0</v>
      </c>
      <c r="DP476" s="143">
        <v>0</v>
      </c>
      <c r="DQ476" s="143">
        <v>0</v>
      </c>
      <c r="DR476">
        <v>0</v>
      </c>
      <c r="DS476" s="143">
        <v>0</v>
      </c>
      <c r="DT476">
        <f>SUM(DO476:DP476)</f>
        <v>0</v>
      </c>
      <c r="DU476" s="143" t="str">
        <f>IF(DO476=1,"self-calculated DF",IF(DP476=1,"external DF used","explicit C balance"))</f>
        <v>explicit C balance</v>
      </c>
      <c r="DV476" s="143">
        <v>0</v>
      </c>
      <c r="DW476" s="143">
        <v>0</v>
      </c>
      <c r="DX476" s="143">
        <v>1</v>
      </c>
      <c r="DY476" s="143">
        <v>1</v>
      </c>
      <c r="DZ476">
        <v>0</v>
      </c>
      <c r="EA476" s="143">
        <v>1</v>
      </c>
      <c r="EB476" s="143">
        <v>1</v>
      </c>
      <c r="EC476" s="143">
        <v>0</v>
      </c>
      <c r="ED476" s="143">
        <v>0</v>
      </c>
      <c r="EE476">
        <v>0</v>
      </c>
      <c r="EF476">
        <v>1</v>
      </c>
      <c r="EG476" s="143">
        <v>0</v>
      </c>
      <c r="EH476">
        <v>0</v>
      </c>
      <c r="EI476" s="2">
        <v>1</v>
      </c>
      <c r="EK476" t="str">
        <f>IF(AND(AND(AND(OR($DX476=1,$DW476=1),OR($EC476=1,$EA476=1)),SUM($DV476:$DZ476,$EF476)&gt;=4),SUM($EA476:$EE476)&gt;=2),"Whole sector","")</f>
        <v/>
      </c>
      <c r="EL476" t="str">
        <f>IF(AND(AND(OR($DX476=1,$DW476=1),AND($EC476=0,$EA476=0)),SUM($DV476:$DZ476,$EF476)&gt;=4),"Ecosystem approach","")</f>
        <v/>
      </c>
      <c r="EM476" s="2" t="str">
        <f>IF(AND(AND(AND($DX476=0,$DW476=0),OR($EC476=1,$EA476=1)),SUM($EB476:$EE476)&gt;=2),"Technology approach","")</f>
        <v/>
      </c>
      <c r="EP476" t="str">
        <f>IF(ISNUMBER(BT476),IF(ABS(BT476-[2]QC_indicators!$B$2)&gt;3*[2]QC_indicators!$C$2,"C ratio",IF(ISNUMBER(BY476),IF(ABS(BY476-[2]QC_indicators!$B$1)&gt;3*[2]QC_indicators!$C$1,"DF","no"))),IF(ISNUMBER(BY476),IF(ABS(BY476-[2]QC_indicators!$B$1)&gt;3*[2]QC_indicators!$C$1,"DF","no")))</f>
        <v>C ratio</v>
      </c>
      <c r="ET476" s="266" t="s">
        <v>3169</v>
      </c>
    </row>
    <row r="477" spans="1:150" ht="15" hidden="1" customHeight="1">
      <c r="A477" s="1" t="s">
        <v>1939</v>
      </c>
      <c r="B477" t="s">
        <v>1940</v>
      </c>
      <c r="C477" t="s">
        <v>1941</v>
      </c>
      <c r="D477" t="s">
        <v>1942</v>
      </c>
      <c r="E477" t="s">
        <v>1943</v>
      </c>
      <c r="F477" t="s">
        <v>1944</v>
      </c>
      <c r="G477" t="s">
        <v>1945</v>
      </c>
      <c r="H477" t="s">
        <v>1630</v>
      </c>
      <c r="I477">
        <v>2005</v>
      </c>
      <c r="J477">
        <v>91</v>
      </c>
      <c r="K477" t="s">
        <v>1946</v>
      </c>
      <c r="M477" t="str">
        <f>LEFT($D477,FIND(",",$D477)-1)&amp;"_"&amp;I477&amp;L477</f>
        <v>Loustau_2005</v>
      </c>
      <c r="N477" t="s">
        <v>223</v>
      </c>
      <c r="O477" s="145" t="s">
        <v>226</v>
      </c>
      <c r="Q477" t="s">
        <v>257</v>
      </c>
      <c r="R477" s="264" t="s">
        <v>224</v>
      </c>
      <c r="S477" s="1" t="s">
        <v>91</v>
      </c>
      <c r="T477" s="143" t="s">
        <v>1947</v>
      </c>
      <c r="U477" t="s">
        <v>1948</v>
      </c>
      <c r="V477">
        <v>0</v>
      </c>
      <c r="W477">
        <v>0</v>
      </c>
      <c r="X477">
        <v>1</v>
      </c>
      <c r="Y477">
        <v>0</v>
      </c>
      <c r="Z477">
        <v>0</v>
      </c>
      <c r="AA477">
        <v>0</v>
      </c>
      <c r="AB477">
        <v>0</v>
      </c>
      <c r="AC477">
        <v>0</v>
      </c>
      <c r="AD477">
        <v>0</v>
      </c>
      <c r="AE477">
        <v>0</v>
      </c>
      <c r="AF477">
        <v>0</v>
      </c>
      <c r="AG477">
        <v>0</v>
      </c>
      <c r="AH477">
        <v>0</v>
      </c>
      <c r="AI477">
        <v>0</v>
      </c>
      <c r="AJ477">
        <v>0</v>
      </c>
      <c r="AK477">
        <v>0</v>
      </c>
      <c r="AL477">
        <v>0</v>
      </c>
      <c r="AM477">
        <v>0</v>
      </c>
      <c r="AN477">
        <v>0</v>
      </c>
      <c r="AO477">
        <v>0</v>
      </c>
      <c r="AP477">
        <v>0</v>
      </c>
      <c r="AQ477">
        <v>0</v>
      </c>
      <c r="AR477">
        <v>0</v>
      </c>
      <c r="AS477">
        <v>0</v>
      </c>
      <c r="AT477">
        <v>0</v>
      </c>
      <c r="AU477">
        <v>0</v>
      </c>
      <c r="AV477">
        <v>0</v>
      </c>
      <c r="AW477">
        <v>0</v>
      </c>
      <c r="AX477" s="141">
        <f>COUNTIF(V477:AW477,"&lt;&gt;0")</f>
        <v>1</v>
      </c>
      <c r="AY477" s="141">
        <f>COUNTIF(V477:AL477,"&lt;&gt;0")</f>
        <v>1</v>
      </c>
      <c r="AZ477">
        <f>COUNTIF(V477:AC477,"&lt;&gt;0")</f>
        <v>1</v>
      </c>
      <c r="BA477">
        <f>COUNTIF(AD477:AI477,"&lt;&gt;0")</f>
        <v>0</v>
      </c>
      <c r="BB477">
        <f>COUNTIF(AJ477:AL477,"&lt;&gt;0")</f>
        <v>0</v>
      </c>
      <c r="BC477">
        <f>COUNTIF(AS477:AW477,"&lt;&gt;0")</f>
        <v>0</v>
      </c>
      <c r="BD477">
        <f>COUNTIF(AM477:AR477,"&lt;&gt;0")</f>
        <v>0</v>
      </c>
      <c r="BE477" t="str">
        <f t="array" ref="BE477">IF(AY477=1,INDEX($V$7:$AL$7,MATCH(TRUE,INDEX($V477:$AW477&lt;&gt;0,),0)),IF(AY477=0,INDEX($AM$7:$AW$7,MATCH(1,$AM477:$AW477,0)),IF(BF477="Multiple strategies","mixed drivers",IF(BF477="Supply chain","multiple supply","multiple silviculture"))))</f>
        <v>rotation length</v>
      </c>
      <c r="BF477" s="2" t="str" cm="1">
        <f t="array" ref="BF477">IF(COUNTIF(AZ477:BB477,"&lt;&gt;0")=1,INDEX($V$4:$AW$4,MATCH(TRUE,INDEX($V477:$AW477&lt;&gt;0,),0)),IF(COUNTIF(AZ477:BB477,"&lt;&gt;0")=0,INDEX($AM$4:$AW$4,MATCH(1,$AM477:$AW477,0)),"Multiple strategies"))</f>
        <v>SilvicultureRemov</v>
      </c>
      <c r="BG477" s="142"/>
      <c r="BK477" s="143"/>
      <c r="BL477" s="143"/>
      <c r="BO477" s="159"/>
      <c r="BP477" t="s">
        <v>233</v>
      </c>
      <c r="BQ477" s="153" t="s">
        <v>3178</v>
      </c>
      <c r="BR477" t="s">
        <v>1949</v>
      </c>
      <c r="BS477">
        <v>552</v>
      </c>
      <c r="BT477" s="143">
        <v>473</v>
      </c>
      <c r="BU477" s="144">
        <f>IFERROR(BT477/BS477,"")</f>
        <v>0.85688405797101452</v>
      </c>
      <c r="BV477">
        <f>BT477-BS477</f>
        <v>-79</v>
      </c>
      <c r="BX477">
        <f>BV477/10^6*C_to_CO2</f>
        <v>-2.8992999999999998E-4</v>
      </c>
      <c r="BY477" t="str">
        <f>IFERROR(BX477/BO477,"")</f>
        <v/>
      </c>
      <c r="BZ477">
        <v>0</v>
      </c>
      <c r="CA477">
        <v>0</v>
      </c>
      <c r="CB477">
        <v>0</v>
      </c>
      <c r="CC477">
        <v>0</v>
      </c>
      <c r="CD477">
        <v>0</v>
      </c>
      <c r="CE477">
        <v>0</v>
      </c>
      <c r="CF477">
        <v>0</v>
      </c>
      <c r="CG477">
        <v>0</v>
      </c>
      <c r="CH477">
        <v>0</v>
      </c>
      <c r="CI477">
        <v>0</v>
      </c>
      <c r="CJ477">
        <v>0</v>
      </c>
      <c r="CK477">
        <v>0</v>
      </c>
      <c r="CL477">
        <v>0</v>
      </c>
      <c r="CM477">
        <v>0</v>
      </c>
      <c r="CN477" t="str">
        <f>IF($BL477&lt;$BK477,"refNeedCorrection","refOK")</f>
        <v>refOK</v>
      </c>
      <c r="CO477">
        <f>IF($CN477="refOK",$BK477,$BL477)</f>
        <v>0</v>
      </c>
      <c r="CP477">
        <f>IF($CN477="refOK",$BL477,$BK477)</f>
        <v>0</v>
      </c>
      <c r="CQ477">
        <f>IF($CN477="refOK",$BO477,-$BO477)</f>
        <v>0</v>
      </c>
      <c r="CR477">
        <f>IF($CN477="refOK",$BS477,$BT477)*IF($BP477="Emissions positive",-1,1)</f>
        <v>552</v>
      </c>
      <c r="CS477">
        <f>IF($CN477="refOK",$BT477,$BS477)*IF($BP477="Emissions positive",-1,1)</f>
        <v>473</v>
      </c>
      <c r="CT477">
        <f>IF($CN477="refNeedCorrection",-BX477,BX477)*IF($BP477="Emissions positive",-1,1)</f>
        <v>-2.8992999999999998E-4</v>
      </c>
      <c r="CU477" t="str">
        <f>IFERROR(CT477/CQ477,"")</f>
        <v/>
      </c>
      <c r="CV477" s="2">
        <f>IFERROR((CS477-CR477)/ABS(CR477),"")</f>
        <v>-0.1431159420289855</v>
      </c>
      <c r="CW477" s="1" t="s">
        <v>1205</v>
      </c>
      <c r="CX477" t="str">
        <f>IF(OR($CW477="prd",$CW477="std",$CW477="cit"),"loc",IF(OR($CW477="eur",$CW477="reg",$CW477="coy"),"reg",$CW477))</f>
        <v>reg</v>
      </c>
      <c r="CY477" t="s">
        <v>731</v>
      </c>
      <c r="CZ477">
        <v>1981</v>
      </c>
      <c r="DA477" s="143">
        <v>2080</v>
      </c>
      <c r="DB477" s="143">
        <f>DA477-CZ477</f>
        <v>99</v>
      </c>
      <c r="DC477" t="str">
        <f>IF(DB477=0,"0",IF(AND(DB477&gt;=1,DB477&lt;=30),"1-30",IF(AND(DB477&gt;30,DB477&lt;=70),"31-70",IF(AND(DB477&gt;70,DB477&lt;=100),"71-100",IF(DB477&gt;100,"+100")))))</f>
        <v>71-100</v>
      </c>
      <c r="DD477">
        <v>1</v>
      </c>
      <c r="DE477">
        <v>0</v>
      </c>
      <c r="DF477">
        <v>0</v>
      </c>
      <c r="DG477">
        <v>0</v>
      </c>
      <c r="DI477">
        <f>SUM(DD477:DG477)</f>
        <v>1</v>
      </c>
      <c r="DJ477" t="str">
        <f>IF(DI477=1,INDEX($DD$7:$DG$7,MATCH(1,$DD477:$DG477,0)),"mixedProduct")</f>
        <v>UpstreamInput</v>
      </c>
      <c r="DK477" t="str">
        <f>IF(DD477=1,DK$7,0)</f>
        <v>Upstream</v>
      </c>
      <c r="DL477">
        <f>IF(DE477=1,DL$7,0)</f>
        <v>0</v>
      </c>
      <c r="DM477">
        <f>IF(DF477=1,DM$7,0)</f>
        <v>0</v>
      </c>
      <c r="DN477">
        <f>IF(DG477=1,DN$7,0)</f>
        <v>0</v>
      </c>
      <c r="DO477">
        <v>0</v>
      </c>
      <c r="DP477" s="143">
        <v>0</v>
      </c>
      <c r="DQ477" s="143">
        <v>0</v>
      </c>
      <c r="DR477">
        <v>0</v>
      </c>
      <c r="DS477" s="143">
        <v>0</v>
      </c>
      <c r="DT477">
        <f>SUM(DO477:DP477)</f>
        <v>0</v>
      </c>
      <c r="DU477" s="143" t="str">
        <f>IF(DO477=1,"self-calculated DF",IF(DP477=1,"external DF used","explicit C balance"))</f>
        <v>explicit C balance</v>
      </c>
      <c r="DV477" s="143">
        <v>1</v>
      </c>
      <c r="DW477" s="143">
        <v>1</v>
      </c>
      <c r="DX477" s="143">
        <v>1</v>
      </c>
      <c r="DY477" s="143">
        <v>0</v>
      </c>
      <c r="DZ477">
        <v>0</v>
      </c>
      <c r="EA477" s="143">
        <v>0</v>
      </c>
      <c r="EB477" s="143">
        <v>0</v>
      </c>
      <c r="EC477" s="143">
        <v>0</v>
      </c>
      <c r="ED477" s="143">
        <v>0</v>
      </c>
      <c r="EE477">
        <v>0</v>
      </c>
      <c r="EF477">
        <v>0</v>
      </c>
      <c r="EG477" s="143">
        <v>0</v>
      </c>
      <c r="EH477">
        <v>0</v>
      </c>
      <c r="EI477" s="2">
        <v>0</v>
      </c>
      <c r="EK477" t="str">
        <f>IF(AND(AND(AND(OR($DX477=1,$DW477=1),OR($EC477=1,$EA477=1)),SUM($DV477:$DZ477,$EF477)&gt;=4),SUM($EA477:$EE477)&gt;=2),"Whole sector","")</f>
        <v/>
      </c>
      <c r="EL477" t="str">
        <f>IF(AND(AND(OR($DX477=1,$DW477=1),AND($EC477=0,$EA477=0)),SUM($DV477:$DZ477,$EF477)&gt;=4),"Ecosystem approach","")</f>
        <v/>
      </c>
      <c r="EM477" s="2" t="str">
        <f>IF(AND(AND(AND($DX477=0,$DW477=0),OR($EC477=1,$EA477=1)),SUM($EB477:$EE477)&gt;=2),"Technology approach","")</f>
        <v/>
      </c>
      <c r="EP477" t="b">
        <f>IF(ISNUMBER(BU477),IF(ABS(BU477-[2]QC_indicators!$B$2)&gt;3*[2]QC_indicators!$C$2,"C ratio",IF(ISNUMBER(BY477),IF(ABS(BY477-[2]QC_indicators!$B$1)&gt;3*[2]QC_indicators!$C$1,"DF","no"))),IF(ISNUMBER(BY477),IF(ABS(BY477-[2]QC_indicators!$B$1)&gt;3*[2]QC_indicators!$C$1,"DF","no")))</f>
        <v>0</v>
      </c>
      <c r="ET477" s="266" t="s">
        <v>3179</v>
      </c>
    </row>
    <row r="478" spans="1:150" ht="15" hidden="1" customHeight="1">
      <c r="A478" s="1" t="s">
        <v>1939</v>
      </c>
      <c r="B478" t="s">
        <v>1940</v>
      </c>
      <c r="C478" t="s">
        <v>1941</v>
      </c>
      <c r="D478" t="s">
        <v>1942</v>
      </c>
      <c r="E478" t="s">
        <v>1943</v>
      </c>
      <c r="F478" t="s">
        <v>1944</v>
      </c>
      <c r="G478" t="s">
        <v>1945</v>
      </c>
      <c r="H478" t="s">
        <v>1630</v>
      </c>
      <c r="I478">
        <v>2005</v>
      </c>
      <c r="J478">
        <v>91</v>
      </c>
      <c r="K478" t="s">
        <v>1946</v>
      </c>
      <c r="M478" t="str">
        <f>LEFT($D478,FIND(",",$D478)-1)&amp;"_"&amp;I478&amp;L478</f>
        <v>Loustau_2005</v>
      </c>
      <c r="N478" t="s">
        <v>223</v>
      </c>
      <c r="O478" s="145" t="s">
        <v>226</v>
      </c>
      <c r="Q478" t="s">
        <v>257</v>
      </c>
      <c r="R478" s="264" t="s">
        <v>224</v>
      </c>
      <c r="S478" s="1" t="s">
        <v>91</v>
      </c>
      <c r="T478" s="143" t="s">
        <v>1950</v>
      </c>
      <c r="U478" t="s">
        <v>1951</v>
      </c>
      <c r="V478">
        <v>0</v>
      </c>
      <c r="W478">
        <v>0</v>
      </c>
      <c r="X478">
        <v>1</v>
      </c>
      <c r="Y478">
        <v>0</v>
      </c>
      <c r="Z478">
        <v>0</v>
      </c>
      <c r="AA478">
        <v>0</v>
      </c>
      <c r="AB478">
        <v>0</v>
      </c>
      <c r="AC478">
        <v>0</v>
      </c>
      <c r="AD478">
        <v>0</v>
      </c>
      <c r="AE478">
        <v>0</v>
      </c>
      <c r="AF478">
        <v>0</v>
      </c>
      <c r="AG478">
        <v>0</v>
      </c>
      <c r="AH478">
        <v>0</v>
      </c>
      <c r="AI478">
        <v>0</v>
      </c>
      <c r="AJ478">
        <v>0</v>
      </c>
      <c r="AK478">
        <v>0</v>
      </c>
      <c r="AL478">
        <v>0</v>
      </c>
      <c r="AM478">
        <v>0</v>
      </c>
      <c r="AN478">
        <v>0</v>
      </c>
      <c r="AO478">
        <v>0</v>
      </c>
      <c r="AP478">
        <v>0</v>
      </c>
      <c r="AQ478">
        <v>0</v>
      </c>
      <c r="AR478">
        <v>0</v>
      </c>
      <c r="AS478">
        <v>0</v>
      </c>
      <c r="AT478">
        <v>0</v>
      </c>
      <c r="AU478">
        <v>0</v>
      </c>
      <c r="AV478">
        <v>0</v>
      </c>
      <c r="AW478">
        <v>0</v>
      </c>
      <c r="AX478" s="141">
        <f>COUNTIF(V478:AW478,"&lt;&gt;0")</f>
        <v>1</v>
      </c>
      <c r="AY478" s="141">
        <f>COUNTIF(V478:AL478,"&lt;&gt;0")</f>
        <v>1</v>
      </c>
      <c r="AZ478">
        <f>COUNTIF(V478:AC478,"&lt;&gt;0")</f>
        <v>1</v>
      </c>
      <c r="BA478">
        <f>COUNTIF(AD478:AI478,"&lt;&gt;0")</f>
        <v>0</v>
      </c>
      <c r="BB478">
        <f>COUNTIF(AJ478:AL478,"&lt;&gt;0")</f>
        <v>0</v>
      </c>
      <c r="BC478">
        <f>COUNTIF(AS478:AW478,"&lt;&gt;0")</f>
        <v>0</v>
      </c>
      <c r="BD478">
        <f>COUNTIF(AM478:AR478,"&lt;&gt;0")</f>
        <v>0</v>
      </c>
      <c r="BE478" t="str">
        <f t="array" ref="BE478">IF(AY478=1,INDEX($V$7:$AL$7,MATCH(TRUE,INDEX($V478:$AW478&lt;&gt;0,),0)),IF(AY478=0,INDEX($AM$7:$AW$7,MATCH(1,$AM478:$AW478,0)),IF(BF478="Multiple strategies","mixed drivers",IF(BF478="Supply chain","multiple supply","multiple silviculture"))))</f>
        <v>rotation length</v>
      </c>
      <c r="BF478" s="2" t="str" cm="1">
        <f t="array" ref="BF478">IF(COUNTIF(AZ478:BB478,"&lt;&gt;0")=1,INDEX($V$4:$AW$4,MATCH(TRUE,INDEX($V478:$AW478&lt;&gt;0,),0)),IF(COUNTIF(AZ478:BB478,"&lt;&gt;0")=0,INDEX($AM$4:$AW$4,MATCH(1,$AM478:$AW478,0)),"Multiple strategies"))</f>
        <v>SilvicultureRemov</v>
      </c>
      <c r="BG478" s="142"/>
      <c r="BK478" s="143"/>
      <c r="BO478" s="159"/>
      <c r="BP478" t="s">
        <v>233</v>
      </c>
      <c r="BQ478" s="153" t="s">
        <v>3178</v>
      </c>
      <c r="BR478" t="s">
        <v>1949</v>
      </c>
      <c r="BS478">
        <v>473</v>
      </c>
      <c r="BT478" s="143">
        <v>453</v>
      </c>
      <c r="BU478" s="144">
        <f>IFERROR(BT478/BS478,"")</f>
        <v>0.95771670190274838</v>
      </c>
      <c r="BV478">
        <f>BT478-BS478</f>
        <v>-20</v>
      </c>
      <c r="BX478">
        <f>BV478/10^6*C_to_CO2</f>
        <v>-7.3400000000000009E-5</v>
      </c>
      <c r="BY478" t="str">
        <f>IFERROR(BX478/BO478,"")</f>
        <v/>
      </c>
      <c r="BZ478">
        <v>0</v>
      </c>
      <c r="CA478">
        <v>0</v>
      </c>
      <c r="CB478">
        <v>0</v>
      </c>
      <c r="CC478">
        <v>0</v>
      </c>
      <c r="CD478">
        <v>0</v>
      </c>
      <c r="CE478">
        <v>0</v>
      </c>
      <c r="CF478">
        <v>0</v>
      </c>
      <c r="CG478">
        <v>0</v>
      </c>
      <c r="CH478">
        <v>0</v>
      </c>
      <c r="CI478">
        <v>0</v>
      </c>
      <c r="CJ478">
        <v>0</v>
      </c>
      <c r="CK478">
        <v>0</v>
      </c>
      <c r="CL478">
        <v>0</v>
      </c>
      <c r="CM478">
        <v>0</v>
      </c>
      <c r="CN478" t="str">
        <f>IF($BL478&lt;$BK478,"refNeedCorrection","refOK")</f>
        <v>refOK</v>
      </c>
      <c r="CO478">
        <f>IF($CN478="refOK",$BK478,$BL478)</f>
        <v>0</v>
      </c>
      <c r="CP478">
        <f>IF($CN478="refOK",$BL478,$BK478)</f>
        <v>0</v>
      </c>
      <c r="CQ478">
        <f>IF($CN478="refOK",$BO478,-$BO478)</f>
        <v>0</v>
      </c>
      <c r="CR478">
        <f>IF($CN478="refOK",$BS478,$BT478)*IF($BP478="Emissions positive",-1,1)</f>
        <v>473</v>
      </c>
      <c r="CS478">
        <f>IF($CN478="refOK",$BT478,$BS478)*IF($BP478="Emissions positive",-1,1)</f>
        <v>453</v>
      </c>
      <c r="CT478">
        <f>IF($CN478="refNeedCorrection",-BX478,BX478)*IF($BP478="Emissions positive",-1,1)</f>
        <v>-7.3400000000000009E-5</v>
      </c>
      <c r="CU478" t="str">
        <f>IFERROR(CT478/CQ478,"")</f>
        <v/>
      </c>
      <c r="CV478" s="2">
        <f>IFERROR((CS478-CR478)/ABS(CR478),"")</f>
        <v>-4.2283298097251586E-2</v>
      </c>
      <c r="CW478" s="1" t="s">
        <v>1205</v>
      </c>
      <c r="CX478" t="str">
        <f>IF(OR($CW478="prd",$CW478="std",$CW478="cit"),"loc",IF(OR($CW478="eur",$CW478="reg",$CW478="coy"),"reg",$CW478))</f>
        <v>reg</v>
      </c>
      <c r="CY478" t="s">
        <v>731</v>
      </c>
      <c r="CZ478">
        <v>1981</v>
      </c>
      <c r="DA478" s="143">
        <v>2080</v>
      </c>
      <c r="DB478" s="143">
        <f>DA478-CZ478</f>
        <v>99</v>
      </c>
      <c r="DC478" t="str">
        <f>IF(DB478=0,"0",IF(AND(DB478&gt;=1,DB478&lt;=30),"1-30",IF(AND(DB478&gt;30,DB478&lt;=70),"31-70",IF(AND(DB478&gt;70,DB478&lt;=100),"71-100",IF(DB478&gt;100,"+100")))))</f>
        <v>71-100</v>
      </c>
      <c r="DD478">
        <v>1</v>
      </c>
      <c r="DE478">
        <v>0</v>
      </c>
      <c r="DF478">
        <v>0</v>
      </c>
      <c r="DG478">
        <v>0</v>
      </c>
      <c r="DI478">
        <f>SUM(DD478:DG478)</f>
        <v>1</v>
      </c>
      <c r="DJ478" t="str">
        <f>IF(DI478=1,INDEX($DD$7:$DG$7,MATCH(1,$DD478:$DG478,0)),"mixedProduct")</f>
        <v>UpstreamInput</v>
      </c>
      <c r="DK478" t="str">
        <f>IF(DD478=1,DK$7,0)</f>
        <v>Upstream</v>
      </c>
      <c r="DL478">
        <f>IF(DE478=1,DL$7,0)</f>
        <v>0</v>
      </c>
      <c r="DM478">
        <f>IF(DF478=1,DM$7,0)</f>
        <v>0</v>
      </c>
      <c r="DN478">
        <f>IF(DG478=1,DN$7,0)</f>
        <v>0</v>
      </c>
      <c r="DO478">
        <v>0</v>
      </c>
      <c r="DP478" s="143">
        <v>0</v>
      </c>
      <c r="DQ478" s="143">
        <v>0</v>
      </c>
      <c r="DR478">
        <v>0</v>
      </c>
      <c r="DS478" s="143">
        <v>0</v>
      </c>
      <c r="DT478">
        <f>SUM(DO478:DP478)</f>
        <v>0</v>
      </c>
      <c r="DU478" s="143" t="str">
        <f>IF(DO478=1,"self-calculated DF",IF(DP478=1,"external DF used","explicit C balance"))</f>
        <v>explicit C balance</v>
      </c>
      <c r="DV478" s="143">
        <v>1</v>
      </c>
      <c r="DW478" s="143">
        <v>1</v>
      </c>
      <c r="DX478" s="143">
        <v>1</v>
      </c>
      <c r="DY478" s="143">
        <v>0</v>
      </c>
      <c r="DZ478">
        <v>0</v>
      </c>
      <c r="EA478" s="143">
        <v>0</v>
      </c>
      <c r="EB478" s="143">
        <v>0</v>
      </c>
      <c r="EC478" s="143">
        <v>0</v>
      </c>
      <c r="ED478" s="143">
        <v>0</v>
      </c>
      <c r="EE478">
        <v>0</v>
      </c>
      <c r="EF478">
        <v>0</v>
      </c>
      <c r="EG478" s="143">
        <v>0</v>
      </c>
      <c r="EH478">
        <v>0</v>
      </c>
      <c r="EI478" s="2">
        <v>0</v>
      </c>
      <c r="EK478" t="str">
        <f>IF(AND(AND(AND(OR($DX478=1,$DW478=1),OR($EC478=1,$EA478=1)),SUM($DV478:$DZ478,$EF478)&gt;=4),SUM($EA478:$EE478)&gt;=2),"Whole sector","")</f>
        <v/>
      </c>
      <c r="EL478" t="str">
        <f>IF(AND(AND(OR($DX478=1,$DW478=1),AND($EC478=0,$EA478=0)),SUM($DV478:$DZ478,$EF478)&gt;=4),"Ecosystem approach","")</f>
        <v/>
      </c>
      <c r="EM478" s="2" t="str">
        <f>IF(AND(AND(AND($DX478=0,$DW478=0),OR($EC478=1,$EA478=1)),SUM($EB478:$EE478)&gt;=2),"Technology approach","")</f>
        <v/>
      </c>
      <c r="EP478" t="b">
        <f>IF(ISNUMBER(BU478),IF(ABS(BU478-[2]QC_indicators!$B$2)&gt;3*[2]QC_indicators!$C$2,"C ratio",IF(ISNUMBER(BY478),IF(ABS(BY478-[2]QC_indicators!$B$1)&gt;3*[2]QC_indicators!$C$1,"DF","no"))),IF(ISNUMBER(BY478),IF(ABS(BY478-[2]QC_indicators!$B$1)&gt;3*[2]QC_indicators!$C$1,"DF","no")))</f>
        <v>0</v>
      </c>
      <c r="ET478" s="266" t="s">
        <v>3179</v>
      </c>
    </row>
    <row r="479" spans="1:150" ht="15" hidden="1" customHeight="1">
      <c r="A479" s="1" t="s">
        <v>1939</v>
      </c>
      <c r="B479" t="s">
        <v>1940</v>
      </c>
      <c r="C479" t="s">
        <v>1941</v>
      </c>
      <c r="D479" t="s">
        <v>1942</v>
      </c>
      <c r="E479" t="s">
        <v>1943</v>
      </c>
      <c r="F479" t="s">
        <v>1944</v>
      </c>
      <c r="G479" t="s">
        <v>1945</v>
      </c>
      <c r="H479" t="s">
        <v>1630</v>
      </c>
      <c r="I479">
        <v>2005</v>
      </c>
      <c r="J479">
        <v>91</v>
      </c>
      <c r="K479" t="s">
        <v>1946</v>
      </c>
      <c r="M479" t="str">
        <f>LEFT($D479,FIND(",",$D479)-1)&amp;"_"&amp;I479&amp;L479</f>
        <v>Loustau_2005</v>
      </c>
      <c r="N479" t="s">
        <v>223</v>
      </c>
      <c r="O479" s="145" t="s">
        <v>226</v>
      </c>
      <c r="Q479" t="s">
        <v>257</v>
      </c>
      <c r="R479" s="264" t="s">
        <v>224</v>
      </c>
      <c r="S479" s="1" t="s">
        <v>91</v>
      </c>
      <c r="T479" t="s">
        <v>1952</v>
      </c>
      <c r="U479" s="143" t="s">
        <v>1953</v>
      </c>
      <c r="V479">
        <v>0</v>
      </c>
      <c r="W479">
        <v>0</v>
      </c>
      <c r="X479">
        <v>1</v>
      </c>
      <c r="Y479">
        <v>0</v>
      </c>
      <c r="Z479">
        <v>0</v>
      </c>
      <c r="AA479">
        <v>0</v>
      </c>
      <c r="AB479">
        <v>0</v>
      </c>
      <c r="AC479">
        <v>0</v>
      </c>
      <c r="AD479">
        <v>0</v>
      </c>
      <c r="AE479">
        <v>0</v>
      </c>
      <c r="AF479">
        <v>0</v>
      </c>
      <c r="AG479">
        <v>0</v>
      </c>
      <c r="AH479">
        <v>0</v>
      </c>
      <c r="AI479">
        <v>0</v>
      </c>
      <c r="AJ479">
        <v>0</v>
      </c>
      <c r="AK479">
        <v>0</v>
      </c>
      <c r="AL479">
        <v>0</v>
      </c>
      <c r="AM479">
        <v>0</v>
      </c>
      <c r="AN479">
        <v>0</v>
      </c>
      <c r="AO479">
        <v>0</v>
      </c>
      <c r="AP479">
        <v>0</v>
      </c>
      <c r="AQ479">
        <v>0</v>
      </c>
      <c r="AR479">
        <v>0</v>
      </c>
      <c r="AS479">
        <v>0</v>
      </c>
      <c r="AT479">
        <v>0</v>
      </c>
      <c r="AU479">
        <v>0</v>
      </c>
      <c r="AV479">
        <v>0</v>
      </c>
      <c r="AW479">
        <v>0</v>
      </c>
      <c r="AX479" s="141">
        <f>COUNTIF(V479:AW479,"&lt;&gt;0")</f>
        <v>1</v>
      </c>
      <c r="AY479" s="141">
        <f>COUNTIF(V479:AL479,"&lt;&gt;0")</f>
        <v>1</v>
      </c>
      <c r="AZ479">
        <f>COUNTIF(V479:AC479,"&lt;&gt;0")</f>
        <v>1</v>
      </c>
      <c r="BA479">
        <f>COUNTIF(AD479:AI479,"&lt;&gt;0")</f>
        <v>0</v>
      </c>
      <c r="BB479">
        <f>COUNTIF(AJ479:AL479,"&lt;&gt;0")</f>
        <v>0</v>
      </c>
      <c r="BC479">
        <f>COUNTIF(AS479:AW479,"&lt;&gt;0")</f>
        <v>0</v>
      </c>
      <c r="BD479">
        <f>COUNTIF(AM479:AR479,"&lt;&gt;0")</f>
        <v>0</v>
      </c>
      <c r="BE479" t="str">
        <f t="array" ref="BE479">IF(AY479=1,INDEX($V$7:$AL$7,MATCH(TRUE,INDEX($V479:$AW479&lt;&gt;0,),0)),IF(AY479=0,INDEX($AM$7:$AW$7,MATCH(1,$AM479:$AW479,0)),IF(BF479="Multiple strategies","mixed drivers",IF(BF479="Supply chain","multiple supply","multiple silviculture"))))</f>
        <v>rotation length</v>
      </c>
      <c r="BF479" s="2" t="str" cm="1">
        <f t="array" ref="BF479">IF(COUNTIF(AZ479:BB479,"&lt;&gt;0")=1,INDEX($V$4:$AW$4,MATCH(TRUE,INDEX($V479:$AW479&lt;&gt;0,),0)),IF(COUNTIF(AZ479:BB479,"&lt;&gt;0")=0,INDEX($AM$4:$AW$4,MATCH(1,$AM479:$AW479,0)),"Multiple strategies"))</f>
        <v>SilvicultureRemov</v>
      </c>
      <c r="BG479" s="142"/>
      <c r="BL479" s="143"/>
      <c r="BM479" s="163"/>
      <c r="BO479" s="159"/>
      <c r="BP479" t="s">
        <v>233</v>
      </c>
      <c r="BQ479" s="153" t="s">
        <v>3178</v>
      </c>
      <c r="BR479" t="s">
        <v>1949</v>
      </c>
      <c r="BS479" s="143">
        <v>355</v>
      </c>
      <c r="BT479">
        <v>377</v>
      </c>
      <c r="BU479" s="144">
        <f>IFERROR(BT479/BS479,"")</f>
        <v>1.0619718309859154</v>
      </c>
      <c r="BV479">
        <f>BT479-BS479</f>
        <v>22</v>
      </c>
      <c r="BX479">
        <f>BV479/10^6*C_to_CO2</f>
        <v>8.0740000000000003E-5</v>
      </c>
      <c r="BY479" t="str">
        <f>IFERROR(BX479/BO479,"")</f>
        <v/>
      </c>
      <c r="BZ479">
        <v>0</v>
      </c>
      <c r="CA479">
        <v>0</v>
      </c>
      <c r="CB479">
        <v>0</v>
      </c>
      <c r="CC479">
        <v>0</v>
      </c>
      <c r="CD479">
        <v>0</v>
      </c>
      <c r="CE479">
        <v>0</v>
      </c>
      <c r="CF479">
        <v>0</v>
      </c>
      <c r="CG479">
        <v>0</v>
      </c>
      <c r="CH479">
        <v>0</v>
      </c>
      <c r="CI479">
        <v>0</v>
      </c>
      <c r="CJ479">
        <v>0</v>
      </c>
      <c r="CK479">
        <v>0</v>
      </c>
      <c r="CL479">
        <v>0</v>
      </c>
      <c r="CM479">
        <v>0</v>
      </c>
      <c r="CN479" t="str">
        <f>IF($BL479&lt;$BK479,"refNeedCorrection","refOK")</f>
        <v>refOK</v>
      </c>
      <c r="CO479">
        <f>IF($CN479="refOK",$BK479,$BL479)</f>
        <v>0</v>
      </c>
      <c r="CP479">
        <f>IF($CN479="refOK",$BL479,$BK479)</f>
        <v>0</v>
      </c>
      <c r="CQ479">
        <f>IF($CN479="refOK",$BO479,-$BO479)</f>
        <v>0</v>
      </c>
      <c r="CR479">
        <f>IF($CN479="refOK",$BS479,$BT479)*IF($BP479="Emissions positive",-1,1)</f>
        <v>355</v>
      </c>
      <c r="CS479">
        <f>IF($CN479="refOK",$BT479,$BS479)*IF($BP479="Emissions positive",-1,1)</f>
        <v>377</v>
      </c>
      <c r="CT479">
        <f>IF($CN479="refNeedCorrection",-BX479,BX479)*IF($BP479="Emissions positive",-1,1)</f>
        <v>8.0740000000000003E-5</v>
      </c>
      <c r="CU479" t="str">
        <f>IFERROR(CT479/CQ479,"")</f>
        <v/>
      </c>
      <c r="CV479" s="2">
        <f>IFERROR((CS479-CR479)/ABS(CR479),"")</f>
        <v>6.1971830985915494E-2</v>
      </c>
      <c r="CW479" s="1" t="s">
        <v>1205</v>
      </c>
      <c r="CX479" t="str">
        <f>IF(OR($CW479="prd",$CW479="std",$CW479="cit"),"loc",IF(OR($CW479="eur",$CW479="reg",$CW479="coy"),"reg",$CW479))</f>
        <v>reg</v>
      </c>
      <c r="CY479" t="s">
        <v>731</v>
      </c>
      <c r="CZ479">
        <v>1981</v>
      </c>
      <c r="DA479" s="143">
        <v>2080</v>
      </c>
      <c r="DB479" s="143">
        <f>DA479-CZ479</f>
        <v>99</v>
      </c>
      <c r="DC479" t="str">
        <f>IF(DB479=0,"0",IF(AND(DB479&gt;=1,DB479&lt;=30),"1-30",IF(AND(DB479&gt;30,DB479&lt;=70),"31-70",IF(AND(DB479&gt;70,DB479&lt;=100),"71-100",IF(DB479&gt;100,"+100")))))</f>
        <v>71-100</v>
      </c>
      <c r="DD479">
        <v>1</v>
      </c>
      <c r="DE479">
        <v>0</v>
      </c>
      <c r="DF479">
        <v>0</v>
      </c>
      <c r="DG479">
        <v>0</v>
      </c>
      <c r="DI479">
        <f>SUM(DD479:DG479)</f>
        <v>1</v>
      </c>
      <c r="DJ479" t="str">
        <f>IF(DI479=1,INDEX($DD$7:$DG$7,MATCH(1,$DD479:$DG479,0)),"mixedProduct")</f>
        <v>UpstreamInput</v>
      </c>
      <c r="DK479" t="str">
        <f>IF(DD479=1,DK$7,0)</f>
        <v>Upstream</v>
      </c>
      <c r="DL479">
        <f>IF(DE479=1,DL$7,0)</f>
        <v>0</v>
      </c>
      <c r="DM479">
        <f>IF(DF479=1,DM$7,0)</f>
        <v>0</v>
      </c>
      <c r="DN479">
        <f>IF(DG479=1,DN$7,0)</f>
        <v>0</v>
      </c>
      <c r="DO479">
        <v>0</v>
      </c>
      <c r="DP479" s="143">
        <v>0</v>
      </c>
      <c r="DQ479" s="143">
        <v>0</v>
      </c>
      <c r="DR479">
        <v>0</v>
      </c>
      <c r="DS479" s="143">
        <v>0</v>
      </c>
      <c r="DT479">
        <f>SUM(DO479:DP479)</f>
        <v>0</v>
      </c>
      <c r="DU479" s="143" t="str">
        <f>IF(DO479=1,"self-calculated DF",IF(DP479=1,"external DF used","explicit C balance"))</f>
        <v>explicit C balance</v>
      </c>
      <c r="DV479" s="143">
        <v>1</v>
      </c>
      <c r="DW479" s="143">
        <v>1</v>
      </c>
      <c r="DX479" s="143">
        <v>1</v>
      </c>
      <c r="DY479" s="143">
        <v>0</v>
      </c>
      <c r="DZ479">
        <v>0</v>
      </c>
      <c r="EA479" s="143">
        <v>0</v>
      </c>
      <c r="EB479" s="143">
        <v>0</v>
      </c>
      <c r="EC479" s="143">
        <v>0</v>
      </c>
      <c r="ED479" s="143">
        <v>0</v>
      </c>
      <c r="EE479">
        <v>0</v>
      </c>
      <c r="EF479">
        <v>0</v>
      </c>
      <c r="EG479" s="143">
        <v>0</v>
      </c>
      <c r="EH479">
        <v>0</v>
      </c>
      <c r="EI479" s="2">
        <v>0</v>
      </c>
      <c r="EK479" t="str">
        <f>IF(AND(AND(AND(OR($DX479=1,$DW479=1),OR($EC479=1,$EA479=1)),SUM($DV479:$DZ479,$EF479)&gt;=4),SUM($EA479:$EE479)&gt;=2),"Whole sector","")</f>
        <v/>
      </c>
      <c r="EL479" t="str">
        <f>IF(AND(AND(OR($DX479=1,$DW479=1),AND($EC479=0,$EA479=0)),SUM($DV479:$DZ479,$EF479)&gt;=4),"Ecosystem approach","")</f>
        <v/>
      </c>
      <c r="EM479" s="2" t="str">
        <f>IF(AND(AND(AND($DX479=0,$DW479=0),OR($EC479=1,$EA479=1)),SUM($EB479:$EE479)&gt;=2),"Technology approach","")</f>
        <v/>
      </c>
      <c r="EP479" t="b">
        <f>IF(ISNUMBER(BU479),IF(ABS(BU479-[2]QC_indicators!$B$2)&gt;3*[2]QC_indicators!$C$2,"C ratio",IF(ISNUMBER(BY479),IF(ABS(BY479-[2]QC_indicators!$B$1)&gt;3*[2]QC_indicators!$C$1,"DF","no"))),IF(ISNUMBER(BY479),IF(ABS(BY479-[2]QC_indicators!$B$1)&gt;3*[2]QC_indicators!$C$1,"DF","no")))</f>
        <v>0</v>
      </c>
      <c r="ET479" s="266" t="s">
        <v>3179</v>
      </c>
    </row>
    <row r="480" spans="1:150" ht="15" hidden="1" customHeight="1">
      <c r="A480" s="1" t="s">
        <v>1939</v>
      </c>
      <c r="B480" t="s">
        <v>1940</v>
      </c>
      <c r="C480" t="s">
        <v>1941</v>
      </c>
      <c r="D480" t="s">
        <v>1942</v>
      </c>
      <c r="E480" t="s">
        <v>1943</v>
      </c>
      <c r="F480" t="s">
        <v>1944</v>
      </c>
      <c r="G480" t="s">
        <v>1945</v>
      </c>
      <c r="H480" t="s">
        <v>1630</v>
      </c>
      <c r="I480">
        <v>2005</v>
      </c>
      <c r="J480">
        <v>91</v>
      </c>
      <c r="K480" t="s">
        <v>1946</v>
      </c>
      <c r="M480" t="str">
        <f>LEFT($D480,FIND(",",$D480)-1)&amp;"_"&amp;I480&amp;L480</f>
        <v>Loustau_2005</v>
      </c>
      <c r="N480" t="s">
        <v>223</v>
      </c>
      <c r="O480" s="145" t="s">
        <v>226</v>
      </c>
      <c r="Q480" t="s">
        <v>257</v>
      </c>
      <c r="R480" s="264" t="s">
        <v>224</v>
      </c>
      <c r="S480" s="1" t="s">
        <v>91</v>
      </c>
      <c r="T480" t="s">
        <v>1954</v>
      </c>
      <c r="U480" s="143" t="s">
        <v>1955</v>
      </c>
      <c r="V480">
        <v>0</v>
      </c>
      <c r="W480">
        <v>0</v>
      </c>
      <c r="X480">
        <v>1</v>
      </c>
      <c r="Y480">
        <v>0</v>
      </c>
      <c r="Z480">
        <v>0</v>
      </c>
      <c r="AA480">
        <v>0</v>
      </c>
      <c r="AB480">
        <v>0</v>
      </c>
      <c r="AC480">
        <v>0</v>
      </c>
      <c r="AD480">
        <v>0</v>
      </c>
      <c r="AE480">
        <v>0</v>
      </c>
      <c r="AF480">
        <v>0</v>
      </c>
      <c r="AG480">
        <v>0</v>
      </c>
      <c r="AH480">
        <v>0</v>
      </c>
      <c r="AI480">
        <v>0</v>
      </c>
      <c r="AJ480">
        <v>0</v>
      </c>
      <c r="AK480">
        <v>0</v>
      </c>
      <c r="AL480">
        <v>0</v>
      </c>
      <c r="AM480">
        <v>0</v>
      </c>
      <c r="AN480">
        <v>0</v>
      </c>
      <c r="AO480">
        <v>0</v>
      </c>
      <c r="AP480">
        <v>0</v>
      </c>
      <c r="AQ480">
        <v>0</v>
      </c>
      <c r="AR480">
        <v>0</v>
      </c>
      <c r="AS480">
        <v>0</v>
      </c>
      <c r="AT480">
        <v>0</v>
      </c>
      <c r="AU480">
        <v>0</v>
      </c>
      <c r="AV480">
        <v>0</v>
      </c>
      <c r="AW480">
        <v>0</v>
      </c>
      <c r="AX480" s="141">
        <f>COUNTIF(V480:AW480,"&lt;&gt;0")</f>
        <v>1</v>
      </c>
      <c r="AY480" s="141">
        <f>COUNTIF(V480:AL480,"&lt;&gt;0")</f>
        <v>1</v>
      </c>
      <c r="AZ480">
        <f>COUNTIF(V480:AC480,"&lt;&gt;0")</f>
        <v>1</v>
      </c>
      <c r="BA480">
        <f>COUNTIF(AD480:AI480,"&lt;&gt;0")</f>
        <v>0</v>
      </c>
      <c r="BB480">
        <f>COUNTIF(AJ480:AL480,"&lt;&gt;0")</f>
        <v>0</v>
      </c>
      <c r="BC480">
        <f>COUNTIF(AS480:AW480,"&lt;&gt;0")</f>
        <v>0</v>
      </c>
      <c r="BD480">
        <f>COUNTIF(AM480:AR480,"&lt;&gt;0")</f>
        <v>0</v>
      </c>
      <c r="BE480" t="str">
        <f t="array" ref="BE480">IF(AY480=1,INDEX($V$7:$AL$7,MATCH(TRUE,INDEX($V480:$AW480&lt;&gt;0,),0)),IF(AY480=0,INDEX($AM$7:$AW$7,MATCH(1,$AM480:$AW480,0)),IF(BF480="Multiple strategies","mixed drivers",IF(BF480="Supply chain","multiple supply","multiple silviculture"))))</f>
        <v>rotation length</v>
      </c>
      <c r="BF480" s="2" t="str" cm="1">
        <f t="array" ref="BF480">IF(COUNTIF(AZ480:BB480,"&lt;&gt;0")=1,INDEX($V$4:$AW$4,MATCH(TRUE,INDEX($V480:$AW480&lt;&gt;0,),0)),IF(COUNTIF(AZ480:BB480,"&lt;&gt;0")=0,INDEX($AM$4:$AW$4,MATCH(1,$AM480:$AW480,0)),"Multiple strategies"))</f>
        <v>SilvicultureRemov</v>
      </c>
      <c r="BG480" s="142"/>
      <c r="BL480" s="143"/>
      <c r="BM480" s="163"/>
      <c r="BO480" s="159"/>
      <c r="BP480" t="s">
        <v>233</v>
      </c>
      <c r="BQ480" s="153" t="s">
        <v>3178</v>
      </c>
      <c r="BR480" t="s">
        <v>1949</v>
      </c>
      <c r="BS480" s="143">
        <v>377</v>
      </c>
      <c r="BT480">
        <v>444</v>
      </c>
      <c r="BU480" s="144">
        <f>IFERROR(BT480/BS480,"")</f>
        <v>1.1777188328912467</v>
      </c>
      <c r="BV480">
        <f>BT480-BS480</f>
        <v>67</v>
      </c>
      <c r="BX480">
        <f>BV480/10^6*C_to_CO2</f>
        <v>2.4589000000000002E-4</v>
      </c>
      <c r="BY480" t="str">
        <f>IFERROR(BX480/BO480,"")</f>
        <v/>
      </c>
      <c r="BZ480">
        <v>0</v>
      </c>
      <c r="CA480">
        <v>0</v>
      </c>
      <c r="CB480">
        <v>0</v>
      </c>
      <c r="CC480">
        <v>0</v>
      </c>
      <c r="CD480">
        <v>0</v>
      </c>
      <c r="CE480">
        <v>0</v>
      </c>
      <c r="CF480">
        <v>0</v>
      </c>
      <c r="CG480">
        <v>0</v>
      </c>
      <c r="CH480">
        <v>0</v>
      </c>
      <c r="CI480">
        <v>0</v>
      </c>
      <c r="CJ480">
        <v>0</v>
      </c>
      <c r="CK480">
        <v>0</v>
      </c>
      <c r="CL480">
        <v>0</v>
      </c>
      <c r="CM480">
        <v>0</v>
      </c>
      <c r="CN480" t="str">
        <f>IF($BL480&lt;$BK480,"refNeedCorrection","refOK")</f>
        <v>refOK</v>
      </c>
      <c r="CO480">
        <f>IF($CN480="refOK",$BK480,$BL480)</f>
        <v>0</v>
      </c>
      <c r="CP480">
        <f>IF($CN480="refOK",$BL480,$BK480)</f>
        <v>0</v>
      </c>
      <c r="CQ480">
        <f>IF($CN480="refOK",$BO480,-$BO480)</f>
        <v>0</v>
      </c>
      <c r="CR480">
        <f>IF($CN480="refOK",$BS480,$BT480)*IF($BP480="Emissions positive",-1,1)</f>
        <v>377</v>
      </c>
      <c r="CS480">
        <f>IF($CN480="refOK",$BT480,$BS480)*IF($BP480="Emissions positive",-1,1)</f>
        <v>444</v>
      </c>
      <c r="CT480">
        <f>IF($CN480="refNeedCorrection",-BX480,BX480)*IF($BP480="Emissions positive",-1,1)</f>
        <v>2.4589000000000002E-4</v>
      </c>
      <c r="CU480" t="str">
        <f>IFERROR(CT480/CQ480,"")</f>
        <v/>
      </c>
      <c r="CV480" s="2">
        <f>IFERROR((CS480-CR480)/ABS(CR480),"")</f>
        <v>0.17771883289124668</v>
      </c>
      <c r="CW480" s="1" t="s">
        <v>1205</v>
      </c>
      <c r="CX480" t="str">
        <f>IF(OR($CW480="prd",$CW480="std",$CW480="cit"),"loc",IF(OR($CW480="eur",$CW480="reg",$CW480="coy"),"reg",$CW480))</f>
        <v>reg</v>
      </c>
      <c r="CY480" t="s">
        <v>731</v>
      </c>
      <c r="CZ480">
        <v>1981</v>
      </c>
      <c r="DA480" s="143">
        <v>2080</v>
      </c>
      <c r="DB480" s="143">
        <f>DA480-CZ480</f>
        <v>99</v>
      </c>
      <c r="DC480" t="str">
        <f>IF(DB480=0,"0",IF(AND(DB480&gt;=1,DB480&lt;=30),"1-30",IF(AND(DB480&gt;30,DB480&lt;=70),"31-70",IF(AND(DB480&gt;70,DB480&lt;=100),"71-100",IF(DB480&gt;100,"+100")))))</f>
        <v>71-100</v>
      </c>
      <c r="DD480">
        <v>1</v>
      </c>
      <c r="DE480">
        <v>0</v>
      </c>
      <c r="DF480">
        <v>0</v>
      </c>
      <c r="DG480">
        <v>0</v>
      </c>
      <c r="DI480">
        <f>SUM(DD480:DG480)</f>
        <v>1</v>
      </c>
      <c r="DJ480" t="str">
        <f>IF(DI480=1,INDEX($DD$7:$DG$7,MATCH(1,$DD480:$DG480,0)),"mixedProduct")</f>
        <v>UpstreamInput</v>
      </c>
      <c r="DK480" t="str">
        <f>IF(DD480=1,DK$7,0)</f>
        <v>Upstream</v>
      </c>
      <c r="DL480">
        <f>IF(DE480=1,DL$7,0)</f>
        <v>0</v>
      </c>
      <c r="DM480">
        <f>IF(DF480=1,DM$7,0)</f>
        <v>0</v>
      </c>
      <c r="DN480">
        <f>IF(DG480=1,DN$7,0)</f>
        <v>0</v>
      </c>
      <c r="DO480">
        <v>0</v>
      </c>
      <c r="DP480" s="143">
        <v>0</v>
      </c>
      <c r="DQ480" s="143">
        <v>0</v>
      </c>
      <c r="DR480">
        <v>0</v>
      </c>
      <c r="DS480" s="143">
        <v>0</v>
      </c>
      <c r="DT480">
        <f>SUM(DO480:DP480)</f>
        <v>0</v>
      </c>
      <c r="DU480" s="143" t="str">
        <f>IF(DO480=1,"self-calculated DF",IF(DP480=1,"external DF used","explicit C balance"))</f>
        <v>explicit C balance</v>
      </c>
      <c r="DV480" s="143">
        <v>1</v>
      </c>
      <c r="DW480" s="143">
        <v>1</v>
      </c>
      <c r="DX480" s="143">
        <v>1</v>
      </c>
      <c r="DY480" s="143">
        <v>0</v>
      </c>
      <c r="DZ480">
        <v>0</v>
      </c>
      <c r="EA480" s="143">
        <v>0</v>
      </c>
      <c r="EB480" s="143">
        <v>0</v>
      </c>
      <c r="EC480" s="143">
        <v>0</v>
      </c>
      <c r="ED480" s="143">
        <v>0</v>
      </c>
      <c r="EE480">
        <v>0</v>
      </c>
      <c r="EF480">
        <v>0</v>
      </c>
      <c r="EG480" s="143">
        <v>0</v>
      </c>
      <c r="EH480">
        <v>0</v>
      </c>
      <c r="EI480" s="2">
        <v>0</v>
      </c>
      <c r="EK480" t="str">
        <f>IF(AND(AND(AND(OR($DX480=1,$DW480=1),OR($EC480=1,$EA480=1)),SUM($DV480:$DZ480,$EF480)&gt;=4),SUM($EA480:$EE480)&gt;=2),"Whole sector","")</f>
        <v/>
      </c>
      <c r="EL480" t="str">
        <f>IF(AND(AND(OR($DX480=1,$DW480=1),AND($EC480=0,$EA480=0)),SUM($DV480:$DZ480,$EF480)&gt;=4),"Ecosystem approach","")</f>
        <v/>
      </c>
      <c r="EM480" s="2" t="str">
        <f>IF(AND(AND(AND($DX480=0,$DW480=0),OR($EC480=1,$EA480=1)),SUM($EB480:$EE480)&gt;=2),"Technology approach","")</f>
        <v/>
      </c>
      <c r="EP480" t="b">
        <f>IF(ISNUMBER(BU480),IF(ABS(BU480-[2]QC_indicators!$B$2)&gt;3*[2]QC_indicators!$C$2,"C ratio",IF(ISNUMBER(BY480),IF(ABS(BY480-[2]QC_indicators!$B$1)&gt;3*[2]QC_indicators!$C$1,"DF","no"))),IF(ISNUMBER(BY480),IF(ABS(BY480-[2]QC_indicators!$B$1)&gt;3*[2]QC_indicators!$C$1,"DF","no")))</f>
        <v>0</v>
      </c>
      <c r="ET480" s="266" t="s">
        <v>3179</v>
      </c>
    </row>
    <row r="481" spans="1:150" ht="15" hidden="1" customHeight="1">
      <c r="A481" s="1" t="s">
        <v>1939</v>
      </c>
      <c r="B481" t="s">
        <v>1940</v>
      </c>
      <c r="C481" t="s">
        <v>1941</v>
      </c>
      <c r="D481" t="s">
        <v>1942</v>
      </c>
      <c r="E481" t="s">
        <v>1943</v>
      </c>
      <c r="F481" t="s">
        <v>1944</v>
      </c>
      <c r="G481" t="s">
        <v>1945</v>
      </c>
      <c r="H481" t="s">
        <v>1630</v>
      </c>
      <c r="I481">
        <v>2005</v>
      </c>
      <c r="J481">
        <v>91</v>
      </c>
      <c r="K481" t="s">
        <v>1946</v>
      </c>
      <c r="M481" t="str">
        <f>LEFT($D481,FIND(",",$D481)-1)&amp;"_"&amp;I481&amp;L481</f>
        <v>Loustau_2005</v>
      </c>
      <c r="N481" t="s">
        <v>223</v>
      </c>
      <c r="O481" s="145" t="s">
        <v>226</v>
      </c>
      <c r="Q481" t="s">
        <v>257</v>
      </c>
      <c r="R481" s="264" t="s">
        <v>224</v>
      </c>
      <c r="S481" s="1" t="s">
        <v>91</v>
      </c>
      <c r="T481" s="143" t="s">
        <v>1956</v>
      </c>
      <c r="U481" t="s">
        <v>1948</v>
      </c>
      <c r="V481">
        <v>0</v>
      </c>
      <c r="W481">
        <v>0</v>
      </c>
      <c r="X481">
        <v>1</v>
      </c>
      <c r="Y481">
        <v>0</v>
      </c>
      <c r="Z481">
        <v>0</v>
      </c>
      <c r="AA481">
        <v>0</v>
      </c>
      <c r="AB481">
        <v>0</v>
      </c>
      <c r="AC481">
        <v>0</v>
      </c>
      <c r="AD481">
        <v>0</v>
      </c>
      <c r="AE481">
        <v>0</v>
      </c>
      <c r="AF481">
        <v>0</v>
      </c>
      <c r="AG481">
        <v>0</v>
      </c>
      <c r="AH481">
        <v>0</v>
      </c>
      <c r="AI481">
        <v>0</v>
      </c>
      <c r="AJ481">
        <v>0</v>
      </c>
      <c r="AK481">
        <v>0</v>
      </c>
      <c r="AL481">
        <v>0</v>
      </c>
      <c r="AM481">
        <v>0</v>
      </c>
      <c r="AN481">
        <v>0</v>
      </c>
      <c r="AO481">
        <v>0</v>
      </c>
      <c r="AP481">
        <v>0</v>
      </c>
      <c r="AQ481">
        <v>0</v>
      </c>
      <c r="AR481">
        <v>0</v>
      </c>
      <c r="AS481">
        <v>0</v>
      </c>
      <c r="AT481">
        <v>0</v>
      </c>
      <c r="AU481">
        <v>0</v>
      </c>
      <c r="AV481">
        <v>0</v>
      </c>
      <c r="AW481">
        <v>0</v>
      </c>
      <c r="AX481" s="141">
        <f>COUNTIF(V481:AW481,"&lt;&gt;0")</f>
        <v>1</v>
      </c>
      <c r="AY481" s="141">
        <f>COUNTIF(V481:AL481,"&lt;&gt;0")</f>
        <v>1</v>
      </c>
      <c r="AZ481">
        <f>COUNTIF(V481:AC481,"&lt;&gt;0")</f>
        <v>1</v>
      </c>
      <c r="BA481">
        <f>COUNTIF(AD481:AI481,"&lt;&gt;0")</f>
        <v>0</v>
      </c>
      <c r="BB481">
        <f>COUNTIF(AJ481:AL481,"&lt;&gt;0")</f>
        <v>0</v>
      </c>
      <c r="BC481">
        <f>COUNTIF(AS481:AW481,"&lt;&gt;0")</f>
        <v>0</v>
      </c>
      <c r="BD481">
        <f>COUNTIF(AM481:AR481,"&lt;&gt;0")</f>
        <v>0</v>
      </c>
      <c r="BE481" t="str">
        <f t="array" ref="BE481">IF(AY481=1,INDEX($V$7:$AL$7,MATCH(TRUE,INDEX($V481:$AW481&lt;&gt;0,),0)),IF(AY481=0,INDEX($AM$7:$AW$7,MATCH(1,$AM481:$AW481,0)),IF(BF481="Multiple strategies","mixed drivers",IF(BF481="Supply chain","multiple supply","multiple silviculture"))))</f>
        <v>rotation length</v>
      </c>
      <c r="BF481" s="2" t="str" cm="1">
        <f t="array" ref="BF481">IF(COUNTIF(AZ481:BB481,"&lt;&gt;0")=1,INDEX($V$4:$AW$4,MATCH(TRUE,INDEX($V481:$AW481&lt;&gt;0,),0)),IF(COUNTIF(AZ481:BB481,"&lt;&gt;0")=0,INDEX($AM$4:$AW$4,MATCH(1,$AM481:$AW481,0)),"Multiple strategies"))</f>
        <v>SilvicultureRemov</v>
      </c>
      <c r="BG481" s="142"/>
      <c r="BK481" s="143"/>
      <c r="BL481" s="143"/>
      <c r="BO481" s="159"/>
      <c r="BP481" t="s">
        <v>233</v>
      </c>
      <c r="BQ481" s="153" t="s">
        <v>3178</v>
      </c>
      <c r="BR481" t="s">
        <v>1949</v>
      </c>
      <c r="BS481">
        <v>177</v>
      </c>
      <c r="BT481" s="143">
        <v>473</v>
      </c>
      <c r="BU481" s="144">
        <f>IFERROR(BT481/BS481,"")</f>
        <v>2.6723163841807911</v>
      </c>
      <c r="BV481">
        <f>BT481-BS481</f>
        <v>296</v>
      </c>
      <c r="BX481">
        <f>BV481/10^6*C_to_CO2</f>
        <v>1.08632E-3</v>
      </c>
      <c r="BY481" t="str">
        <f>IFERROR(BX481/BO481,"")</f>
        <v/>
      </c>
      <c r="BZ481">
        <v>0</v>
      </c>
      <c r="CA481">
        <v>0</v>
      </c>
      <c r="CB481">
        <v>0</v>
      </c>
      <c r="CC481">
        <v>0</v>
      </c>
      <c r="CD481">
        <v>0</v>
      </c>
      <c r="CE481">
        <v>0</v>
      </c>
      <c r="CF481">
        <v>0</v>
      </c>
      <c r="CG481">
        <v>0</v>
      </c>
      <c r="CH481">
        <v>0</v>
      </c>
      <c r="CI481">
        <v>0</v>
      </c>
      <c r="CJ481">
        <v>0</v>
      </c>
      <c r="CK481">
        <v>0</v>
      </c>
      <c r="CL481">
        <v>0</v>
      </c>
      <c r="CM481">
        <v>0</v>
      </c>
      <c r="CN481" t="str">
        <f>IF($BL481&lt;$BK481,"refNeedCorrection","refOK")</f>
        <v>refOK</v>
      </c>
      <c r="CO481">
        <f>IF($CN481="refOK",$BK481,$BL481)</f>
        <v>0</v>
      </c>
      <c r="CP481">
        <f>IF($CN481="refOK",$BL481,$BK481)</f>
        <v>0</v>
      </c>
      <c r="CQ481">
        <f>IF($CN481="refOK",$BO481,-$BO481)</f>
        <v>0</v>
      </c>
      <c r="CR481">
        <f>IF($CN481="refOK",$BS481,$BT481)*IF($BP481="Emissions positive",-1,1)</f>
        <v>177</v>
      </c>
      <c r="CS481">
        <f>IF($CN481="refOK",$BT481,$BS481)*IF($BP481="Emissions positive",-1,1)</f>
        <v>473</v>
      </c>
      <c r="CT481">
        <f>IF($CN481="refNeedCorrection",-BX481,BX481)*IF($BP481="Emissions positive",-1,1)</f>
        <v>1.08632E-3</v>
      </c>
      <c r="CU481" t="str">
        <f>IFERROR(CT481/CQ481,"")</f>
        <v/>
      </c>
      <c r="CV481" s="2">
        <f>IFERROR((CS481-CR481)/ABS(CR481),"")</f>
        <v>1.6723163841807909</v>
      </c>
      <c r="CW481" s="1" t="s">
        <v>1205</v>
      </c>
      <c r="CX481" t="str">
        <f>IF(OR($CW481="prd",$CW481="std",$CW481="cit"),"loc",IF(OR($CW481="eur",$CW481="reg",$CW481="coy"),"reg",$CW481))</f>
        <v>reg</v>
      </c>
      <c r="CY481" t="s">
        <v>731</v>
      </c>
      <c r="CZ481">
        <v>1981</v>
      </c>
      <c r="DA481" s="143">
        <v>2080</v>
      </c>
      <c r="DB481" s="143">
        <f>DA481-CZ481</f>
        <v>99</v>
      </c>
      <c r="DC481" t="str">
        <f>IF(DB481=0,"0",IF(AND(DB481&gt;=1,DB481&lt;=30),"1-30",IF(AND(DB481&gt;30,DB481&lt;=70),"31-70",IF(AND(DB481&gt;70,DB481&lt;=100),"71-100",IF(DB481&gt;100,"+100")))))</f>
        <v>71-100</v>
      </c>
      <c r="DD481">
        <v>1</v>
      </c>
      <c r="DE481">
        <v>0</v>
      </c>
      <c r="DF481">
        <v>0</v>
      </c>
      <c r="DG481">
        <v>0</v>
      </c>
      <c r="DI481">
        <f>SUM(DD481:DG481)</f>
        <v>1</v>
      </c>
      <c r="DJ481" t="str">
        <f>IF(DI481=1,INDEX($DD$7:$DG$7,MATCH(1,$DD481:$DG481,0)),"mixedProduct")</f>
        <v>UpstreamInput</v>
      </c>
      <c r="DK481" t="str">
        <f>IF(DD481=1,DK$7,0)</f>
        <v>Upstream</v>
      </c>
      <c r="DL481">
        <f>IF(DE481=1,DL$7,0)</f>
        <v>0</v>
      </c>
      <c r="DM481">
        <f>IF(DF481=1,DM$7,0)</f>
        <v>0</v>
      </c>
      <c r="DN481">
        <f>IF(DG481=1,DN$7,0)</f>
        <v>0</v>
      </c>
      <c r="DO481">
        <v>0</v>
      </c>
      <c r="DP481" s="143">
        <v>0</v>
      </c>
      <c r="DQ481" s="143">
        <v>0</v>
      </c>
      <c r="DR481">
        <v>0</v>
      </c>
      <c r="DS481" s="143">
        <v>0</v>
      </c>
      <c r="DT481">
        <f>SUM(DO481:DP481)</f>
        <v>0</v>
      </c>
      <c r="DU481" s="143" t="str">
        <f>IF(DO481=1,"self-calculated DF",IF(DP481=1,"external DF used","explicit C balance"))</f>
        <v>explicit C balance</v>
      </c>
      <c r="DV481" s="143">
        <v>1</v>
      </c>
      <c r="DW481" s="143">
        <v>1</v>
      </c>
      <c r="DX481" s="143">
        <v>1</v>
      </c>
      <c r="DY481" s="143">
        <v>0</v>
      </c>
      <c r="DZ481">
        <v>0</v>
      </c>
      <c r="EA481" s="143">
        <v>0</v>
      </c>
      <c r="EB481" s="143">
        <v>0</v>
      </c>
      <c r="EC481" s="143">
        <v>0</v>
      </c>
      <c r="ED481" s="143">
        <v>0</v>
      </c>
      <c r="EE481">
        <v>0</v>
      </c>
      <c r="EF481">
        <v>0</v>
      </c>
      <c r="EG481" s="143">
        <v>0</v>
      </c>
      <c r="EH481">
        <v>0</v>
      </c>
      <c r="EI481" s="2">
        <v>0</v>
      </c>
      <c r="EK481" t="str">
        <f>IF(AND(AND(AND(OR($DX481=1,$DW481=1),OR($EC481=1,$EA481=1)),SUM($DV481:$DZ481,$EF481)&gt;=4),SUM($EA481:$EE481)&gt;=2),"Whole sector","")</f>
        <v/>
      </c>
      <c r="EL481" t="str">
        <f>IF(AND(AND(OR($DX481=1,$DW481=1),AND($EC481=0,$EA481=0)),SUM($DV481:$DZ481,$EF481)&gt;=4),"Ecosystem approach","")</f>
        <v/>
      </c>
      <c r="EM481" s="2" t="str">
        <f>IF(AND(AND(AND($DX481=0,$DW481=0),OR($EC481=1,$EA481=1)),SUM($EB481:$EE481)&gt;=2),"Technology approach","")</f>
        <v/>
      </c>
      <c r="EP481" t="b">
        <f>IF(ISNUMBER(BU481),IF(ABS(BU481-[2]QC_indicators!$B$2)&gt;3*[2]QC_indicators!$C$2,"C ratio",IF(ISNUMBER(BY481),IF(ABS(BY481-[2]QC_indicators!$B$1)&gt;3*[2]QC_indicators!$C$1,"DF","no"))),IF(ISNUMBER(BY481),IF(ABS(BY481-[2]QC_indicators!$B$1)&gt;3*[2]QC_indicators!$C$1,"DF","no")))</f>
        <v>0</v>
      </c>
      <c r="ET481" s="266" t="s">
        <v>3179</v>
      </c>
    </row>
    <row r="482" spans="1:150" ht="15" hidden="1" customHeight="1">
      <c r="A482" s="1" t="s">
        <v>1939</v>
      </c>
      <c r="B482" t="s">
        <v>1940</v>
      </c>
      <c r="C482" t="s">
        <v>1941</v>
      </c>
      <c r="D482" t="s">
        <v>1942</v>
      </c>
      <c r="E482" t="s">
        <v>1943</v>
      </c>
      <c r="F482" t="s">
        <v>1944</v>
      </c>
      <c r="G482" t="s">
        <v>1945</v>
      </c>
      <c r="H482" t="s">
        <v>1630</v>
      </c>
      <c r="I482">
        <v>2005</v>
      </c>
      <c r="J482">
        <v>91</v>
      </c>
      <c r="K482" t="s">
        <v>1946</v>
      </c>
      <c r="M482" t="str">
        <f>LEFT($D482,FIND(",",$D482)-1)&amp;"_"&amp;I482&amp;L482</f>
        <v>Loustau_2005</v>
      </c>
      <c r="N482" t="s">
        <v>223</v>
      </c>
      <c r="O482" s="145" t="s">
        <v>226</v>
      </c>
      <c r="Q482" t="s">
        <v>257</v>
      </c>
      <c r="R482" s="264" t="s">
        <v>224</v>
      </c>
      <c r="S482" s="1" t="s">
        <v>91</v>
      </c>
      <c r="T482" s="143" t="s">
        <v>1957</v>
      </c>
      <c r="U482" t="s">
        <v>1958</v>
      </c>
      <c r="V482">
        <v>0</v>
      </c>
      <c r="W482">
        <v>0</v>
      </c>
      <c r="X482">
        <v>1</v>
      </c>
      <c r="Y482">
        <v>0</v>
      </c>
      <c r="Z482">
        <v>0</v>
      </c>
      <c r="AA482">
        <v>0</v>
      </c>
      <c r="AB482">
        <v>0</v>
      </c>
      <c r="AC482">
        <v>0</v>
      </c>
      <c r="AD482">
        <v>0</v>
      </c>
      <c r="AE482">
        <v>0</v>
      </c>
      <c r="AF482">
        <v>0</v>
      </c>
      <c r="AG482">
        <v>0</v>
      </c>
      <c r="AH482">
        <v>0</v>
      </c>
      <c r="AI482">
        <v>0</v>
      </c>
      <c r="AJ482">
        <v>0</v>
      </c>
      <c r="AK482">
        <v>0</v>
      </c>
      <c r="AL482">
        <v>0</v>
      </c>
      <c r="AM482">
        <v>0</v>
      </c>
      <c r="AN482">
        <v>0</v>
      </c>
      <c r="AO482">
        <v>0</v>
      </c>
      <c r="AP482">
        <v>0</v>
      </c>
      <c r="AQ482">
        <v>0</v>
      </c>
      <c r="AR482">
        <v>0</v>
      </c>
      <c r="AS482">
        <v>0</v>
      </c>
      <c r="AT482">
        <v>0</v>
      </c>
      <c r="AU482">
        <v>0</v>
      </c>
      <c r="AV482">
        <v>0</v>
      </c>
      <c r="AW482">
        <v>0</v>
      </c>
      <c r="AX482" s="141">
        <f>COUNTIF(V482:AW482,"&lt;&gt;0")</f>
        <v>1</v>
      </c>
      <c r="AY482" s="141">
        <f>COUNTIF(V482:AL482,"&lt;&gt;0")</f>
        <v>1</v>
      </c>
      <c r="AZ482">
        <f>COUNTIF(V482:AC482,"&lt;&gt;0")</f>
        <v>1</v>
      </c>
      <c r="BA482">
        <f>COUNTIF(AD482:AI482,"&lt;&gt;0")</f>
        <v>0</v>
      </c>
      <c r="BB482">
        <f>COUNTIF(AJ482:AL482,"&lt;&gt;0")</f>
        <v>0</v>
      </c>
      <c r="BC482">
        <f>COUNTIF(AS482:AW482,"&lt;&gt;0")</f>
        <v>0</v>
      </c>
      <c r="BD482">
        <f>COUNTIF(AM482:AR482,"&lt;&gt;0")</f>
        <v>0</v>
      </c>
      <c r="BE482" t="str">
        <f t="array" ref="BE482">IF(AY482=1,INDEX($V$7:$AL$7,MATCH(TRUE,INDEX($V482:$AW482&lt;&gt;0,),0)),IF(AY482=0,INDEX($AM$7:$AW$7,MATCH(1,$AM482:$AW482,0)),IF(BF482="Multiple strategies","mixed drivers",IF(BF482="Supply chain","multiple supply","multiple silviculture"))))</f>
        <v>rotation length</v>
      </c>
      <c r="BF482" s="2" t="str" cm="1">
        <f t="array" ref="BF482">IF(COUNTIF(AZ482:BB482,"&lt;&gt;0")=1,INDEX($V$4:$AW$4,MATCH(TRUE,INDEX($V482:$AW482&lt;&gt;0,),0)),IF(COUNTIF(AZ482:BB482,"&lt;&gt;0")=0,INDEX($AM$4:$AW$4,MATCH(1,$AM482:$AW482,0)),"Multiple strategies"))</f>
        <v>SilvicultureRemov</v>
      </c>
      <c r="BG482" s="142"/>
      <c r="BK482" s="143"/>
      <c r="BO482" s="159"/>
      <c r="BP482" t="s">
        <v>233</v>
      </c>
      <c r="BQ482" s="153" t="s">
        <v>3178</v>
      </c>
      <c r="BR482" t="s">
        <v>1949</v>
      </c>
      <c r="BS482">
        <v>217</v>
      </c>
      <c r="BT482" s="143">
        <v>453</v>
      </c>
      <c r="BU482" s="144">
        <f>IFERROR(BT482/BS482,"")</f>
        <v>2.0875576036866361</v>
      </c>
      <c r="BV482">
        <f>BT482-BS482</f>
        <v>236</v>
      </c>
      <c r="BX482">
        <f>BV482/10^6*C_to_CO2</f>
        <v>8.6611999999999995E-4</v>
      </c>
      <c r="BY482" t="str">
        <f>IFERROR(BX482/BO482,"")</f>
        <v/>
      </c>
      <c r="BZ482">
        <v>0</v>
      </c>
      <c r="CA482">
        <v>0</v>
      </c>
      <c r="CB482">
        <v>0</v>
      </c>
      <c r="CC482">
        <v>0</v>
      </c>
      <c r="CD482">
        <v>0</v>
      </c>
      <c r="CE482">
        <v>0</v>
      </c>
      <c r="CF482">
        <v>0</v>
      </c>
      <c r="CG482">
        <v>0</v>
      </c>
      <c r="CH482">
        <v>0</v>
      </c>
      <c r="CI482">
        <v>0</v>
      </c>
      <c r="CJ482">
        <v>0</v>
      </c>
      <c r="CK482">
        <v>0</v>
      </c>
      <c r="CL482">
        <v>0</v>
      </c>
      <c r="CM482">
        <v>0</v>
      </c>
      <c r="CN482" t="str">
        <f>IF($BL482&lt;$BK482,"refNeedCorrection","refOK")</f>
        <v>refOK</v>
      </c>
      <c r="CO482">
        <f>IF($CN482="refOK",$BK482,$BL482)</f>
        <v>0</v>
      </c>
      <c r="CP482">
        <f>IF($CN482="refOK",$BL482,$BK482)</f>
        <v>0</v>
      </c>
      <c r="CQ482">
        <f>IF($CN482="refOK",$BO482,-$BO482)</f>
        <v>0</v>
      </c>
      <c r="CR482">
        <f>IF($CN482="refOK",$BS482,$BT482)*IF($BP482="Emissions positive",-1,1)</f>
        <v>217</v>
      </c>
      <c r="CS482">
        <f>IF($CN482="refOK",$BT482,$BS482)*IF($BP482="Emissions positive",-1,1)</f>
        <v>453</v>
      </c>
      <c r="CT482">
        <f>IF($CN482="refNeedCorrection",-BX482,BX482)*IF($BP482="Emissions positive",-1,1)</f>
        <v>8.6611999999999995E-4</v>
      </c>
      <c r="CU482" t="str">
        <f>IFERROR(CT482/CQ482,"")</f>
        <v/>
      </c>
      <c r="CV482" s="2">
        <f>IFERROR((CS482-CR482)/ABS(CR482),"")</f>
        <v>1.0875576036866359</v>
      </c>
      <c r="CW482" s="1" t="s">
        <v>1205</v>
      </c>
      <c r="CX482" t="str">
        <f>IF(OR($CW482="prd",$CW482="std",$CW482="cit"),"loc",IF(OR($CW482="eur",$CW482="reg",$CW482="coy"),"reg",$CW482))</f>
        <v>reg</v>
      </c>
      <c r="CY482" t="s">
        <v>731</v>
      </c>
      <c r="CZ482">
        <v>1981</v>
      </c>
      <c r="DA482" s="143">
        <v>2080</v>
      </c>
      <c r="DB482" s="143">
        <f>DA482-CZ482</f>
        <v>99</v>
      </c>
      <c r="DC482" t="str">
        <f>IF(DB482=0,"0",IF(AND(DB482&gt;=1,DB482&lt;=30),"1-30",IF(AND(DB482&gt;30,DB482&lt;=70),"31-70",IF(AND(DB482&gt;70,DB482&lt;=100),"71-100",IF(DB482&gt;100,"+100")))))</f>
        <v>71-100</v>
      </c>
      <c r="DD482">
        <v>1</v>
      </c>
      <c r="DE482">
        <v>0</v>
      </c>
      <c r="DF482">
        <v>0</v>
      </c>
      <c r="DG482">
        <v>0</v>
      </c>
      <c r="DI482">
        <f>SUM(DD482:DG482)</f>
        <v>1</v>
      </c>
      <c r="DJ482" t="str">
        <f>IF(DI482=1,INDEX($DD$7:$DG$7,MATCH(1,$DD482:$DG482,0)),"mixedProduct")</f>
        <v>UpstreamInput</v>
      </c>
      <c r="DK482" t="str">
        <f>IF(DD482=1,DK$7,0)</f>
        <v>Upstream</v>
      </c>
      <c r="DL482">
        <f>IF(DE482=1,DL$7,0)</f>
        <v>0</v>
      </c>
      <c r="DM482">
        <f>IF(DF482=1,DM$7,0)</f>
        <v>0</v>
      </c>
      <c r="DN482">
        <f>IF(DG482=1,DN$7,0)</f>
        <v>0</v>
      </c>
      <c r="DO482">
        <v>0</v>
      </c>
      <c r="DP482" s="143">
        <v>0</v>
      </c>
      <c r="DQ482" s="143">
        <v>0</v>
      </c>
      <c r="DR482">
        <v>0</v>
      </c>
      <c r="DS482" s="143">
        <v>0</v>
      </c>
      <c r="DT482">
        <f>SUM(DO482:DP482)</f>
        <v>0</v>
      </c>
      <c r="DU482" s="143" t="str">
        <f>IF(DO482=1,"self-calculated DF",IF(DP482=1,"external DF used","explicit C balance"))</f>
        <v>explicit C balance</v>
      </c>
      <c r="DV482" s="143">
        <v>1</v>
      </c>
      <c r="DW482" s="143">
        <v>1</v>
      </c>
      <c r="DX482" s="143">
        <v>1</v>
      </c>
      <c r="DY482" s="143">
        <v>0</v>
      </c>
      <c r="DZ482">
        <v>0</v>
      </c>
      <c r="EA482" s="143">
        <v>0</v>
      </c>
      <c r="EB482" s="143">
        <v>0</v>
      </c>
      <c r="EC482" s="143">
        <v>0</v>
      </c>
      <c r="ED482" s="143">
        <v>0</v>
      </c>
      <c r="EE482">
        <v>0</v>
      </c>
      <c r="EF482">
        <v>0</v>
      </c>
      <c r="EG482" s="143">
        <v>0</v>
      </c>
      <c r="EH482">
        <v>0</v>
      </c>
      <c r="EI482" s="2">
        <v>0</v>
      </c>
      <c r="EK482" t="str">
        <f>IF(AND(AND(AND(OR($DX482=1,$DW482=1),OR($EC482=1,$EA482=1)),SUM($DV482:$DZ482,$EF482)&gt;=4),SUM($EA482:$EE482)&gt;=2),"Whole sector","")</f>
        <v/>
      </c>
      <c r="EL482" t="str">
        <f>IF(AND(AND(OR($DX482=1,$DW482=1),AND($EC482=0,$EA482=0)),SUM($DV482:$DZ482,$EF482)&gt;=4),"Ecosystem approach","")</f>
        <v/>
      </c>
      <c r="EM482" s="2" t="str">
        <f>IF(AND(AND(AND($DX482=0,$DW482=0),OR($EC482=1,$EA482=1)),SUM($EB482:$EE482)&gt;=2),"Technology approach","")</f>
        <v/>
      </c>
      <c r="EP482" t="b">
        <f>IF(ISNUMBER(BU482),IF(ABS(BU482-[2]QC_indicators!$B$2)&gt;3*[2]QC_indicators!$C$2,"C ratio",IF(ISNUMBER(BY482),IF(ABS(BY482-[2]QC_indicators!$B$1)&gt;3*[2]QC_indicators!$C$1,"DF","no"))),IF(ISNUMBER(BY482),IF(ABS(BY482-[2]QC_indicators!$B$1)&gt;3*[2]QC_indicators!$C$1,"DF","no")))</f>
        <v>0</v>
      </c>
      <c r="ET482" s="266" t="s">
        <v>3179</v>
      </c>
    </row>
    <row r="483" spans="1:150" ht="15" customHeight="1">
      <c r="A483" s="1" t="s">
        <v>1425</v>
      </c>
      <c r="B483" t="s">
        <v>2492</v>
      </c>
      <c r="C483" t="s">
        <v>2493</v>
      </c>
      <c r="D483" t="s">
        <v>2494</v>
      </c>
      <c r="E483" t="s">
        <v>2495</v>
      </c>
      <c r="F483" t="s">
        <v>2496</v>
      </c>
      <c r="G483" t="s">
        <v>1431</v>
      </c>
      <c r="H483" t="s">
        <v>255</v>
      </c>
      <c r="I483">
        <v>2016</v>
      </c>
      <c r="J483">
        <v>24</v>
      </c>
      <c r="K483" t="s">
        <v>2497</v>
      </c>
      <c r="M483" t="str">
        <f>LEFT($D483,FIND(",",$D483)-1)&amp;"_"&amp;I483&amp;L483</f>
        <v>Zubizarreta-Gerendiain_2016</v>
      </c>
      <c r="N483" t="s">
        <v>223</v>
      </c>
      <c r="O483" s="145" t="s">
        <v>1156</v>
      </c>
      <c r="Q483" t="s">
        <v>257</v>
      </c>
      <c r="R483" s="264" t="s">
        <v>224</v>
      </c>
      <c r="S483" s="1" t="s">
        <v>2498</v>
      </c>
      <c r="T483" t="s">
        <v>2515</v>
      </c>
      <c r="U483" t="s">
        <v>2513</v>
      </c>
      <c r="V483">
        <v>0</v>
      </c>
      <c r="W483">
        <v>0</v>
      </c>
      <c r="X483">
        <v>0</v>
      </c>
      <c r="Y483">
        <v>2</v>
      </c>
      <c r="Z483">
        <v>0</v>
      </c>
      <c r="AA483">
        <v>0</v>
      </c>
      <c r="AB483">
        <v>0</v>
      </c>
      <c r="AC483">
        <v>0</v>
      </c>
      <c r="AD483">
        <v>0</v>
      </c>
      <c r="AE483">
        <v>0</v>
      </c>
      <c r="AF483">
        <v>1</v>
      </c>
      <c r="AG483">
        <v>0</v>
      </c>
      <c r="AH483">
        <v>0</v>
      </c>
      <c r="AI483">
        <v>0</v>
      </c>
      <c r="AJ483">
        <v>0</v>
      </c>
      <c r="AK483">
        <v>0</v>
      </c>
      <c r="AL483">
        <v>0</v>
      </c>
      <c r="AM483">
        <v>0</v>
      </c>
      <c r="AN483">
        <v>2</v>
      </c>
      <c r="AO483">
        <v>2</v>
      </c>
      <c r="AP483">
        <v>0</v>
      </c>
      <c r="AQ483">
        <v>0</v>
      </c>
      <c r="AR483">
        <v>0</v>
      </c>
      <c r="AS483">
        <v>0</v>
      </c>
      <c r="AT483">
        <v>0</v>
      </c>
      <c r="AU483">
        <v>0</v>
      </c>
      <c r="AV483">
        <v>0</v>
      </c>
      <c r="AW483">
        <v>0</v>
      </c>
      <c r="AX483" s="141">
        <f>COUNTIF(V483:AW483,"&lt;&gt;0")</f>
        <v>4</v>
      </c>
      <c r="AY483" s="141">
        <f>COUNTIF(V483:AL483,"&lt;&gt;0")</f>
        <v>2</v>
      </c>
      <c r="AZ483">
        <f>COUNTIF(V483:AC483,"&lt;&gt;0")</f>
        <v>1</v>
      </c>
      <c r="BA483">
        <f>COUNTIF(AD483:AI483,"&lt;&gt;0")</f>
        <v>1</v>
      </c>
      <c r="BB483">
        <f>COUNTIF(AJ483:AL483,"&lt;&gt;0")</f>
        <v>0</v>
      </c>
      <c r="BC483">
        <f>COUNTIF(AS483:AW483,"&lt;&gt;0")</f>
        <v>0</v>
      </c>
      <c r="BD483">
        <f>COUNTIF(AM483:AR483,"&lt;&gt;0")</f>
        <v>2</v>
      </c>
      <c r="BE483" t="str">
        <f t="array" ref="BE483">IF(AY483=1,INDEX($V$7:$AL$7,MATCH(TRUE,INDEX($V483:$AW483&lt;&gt;0,),0)),IF(AY483=0,INDEX($AM$7:$AW$7,MATCH(1,$AM483:$AW483,0)),IF(BF483="Multiple strategies","mixed drivers",IF(BF483="Supply chain","multiple supply","multiple silviculture"))))</f>
        <v>mixed drivers</v>
      </c>
      <c r="BF483" s="2" t="str">
        <f t="array" ref="BF483">IF(COUNTIF(AZ483:BB483,"&lt;&gt;0")=1,INDEX($V$4:$AW$4,MATCH(TRUE,INDEX($V483:$AW483&lt;&gt;0,),0)),IF(COUNTIF(AZ483:BB483,"&lt;&gt;0")=0,INDEX($AM$4:$AW$4,MATCH(1,$AM483:$AW483,0)),"Multiple strategies"))</f>
        <v>Multiple strategies</v>
      </c>
      <c r="BM483" s="143"/>
      <c r="BN483" s="143"/>
      <c r="BP483" s="143" t="s">
        <v>233</v>
      </c>
      <c r="BQ483" s="143"/>
      <c r="BR483" t="s">
        <v>1197</v>
      </c>
      <c r="BS483">
        <v>65764.523961661384</v>
      </c>
      <c r="BT483">
        <v>-3408.5271565495204</v>
      </c>
      <c r="BU483" s="144">
        <f>IFERROR(BT483/BS483,"")</f>
        <v>-5.182926829268289E-2</v>
      </c>
      <c r="BV483" s="144">
        <f>BT483-BS483</f>
        <v>-69173.051118210904</v>
      </c>
      <c r="BW483" s="144"/>
      <c r="BX483" s="144">
        <f>BV483</f>
        <v>-69173.051118210904</v>
      </c>
      <c r="BY483" t="str">
        <f>IFERROR(BX483/BO483,"")</f>
        <v/>
      </c>
      <c r="BZ483">
        <v>0</v>
      </c>
      <c r="CA483">
        <v>0</v>
      </c>
      <c r="CB483">
        <v>0</v>
      </c>
      <c r="CC483">
        <v>0</v>
      </c>
      <c r="CD483">
        <v>0</v>
      </c>
      <c r="CE483">
        <v>0</v>
      </c>
      <c r="CF483">
        <v>0</v>
      </c>
      <c r="CG483">
        <v>0</v>
      </c>
      <c r="CH483">
        <v>0</v>
      </c>
      <c r="CI483">
        <v>0</v>
      </c>
      <c r="CJ483">
        <v>0</v>
      </c>
      <c r="CK483">
        <v>0</v>
      </c>
      <c r="CL483">
        <v>0</v>
      </c>
      <c r="CM483">
        <v>1</v>
      </c>
      <c r="CN483" t="str">
        <f>IF(BL483&lt;BK483,"refNeedCorrection","refOK")</f>
        <v>refOK</v>
      </c>
      <c r="CO483"/>
      <c r="CP483"/>
      <c r="CQ483"/>
      <c r="CR483">
        <f>IF($CN483="refOK",$BS483,$BT483)*IF($BP483="Emissions positive",-1,1)</f>
        <v>65764.523961661384</v>
      </c>
      <c r="CS483">
        <f>IF($CN483="refOK",$BT483,$BS483)*IF($BP483="Emissions positive",-1,1)</f>
        <v>-3408.5271565495204</v>
      </c>
      <c r="CT483">
        <f>IF($CN483="refNeedCorrection",-BX483,BX483)*IF($BP483="Emissions positive",-1,1)</f>
        <v>-69173.051118210904</v>
      </c>
      <c r="CU483" t="str">
        <f>IFERROR(CT483/CQ483,"")</f>
        <v/>
      </c>
      <c r="CV483" s="2">
        <f>IFERROR((CS483-CR483)/ABS(CR483),"")</f>
        <v>-1.0518292682926829</v>
      </c>
      <c r="CW483" s="1" t="s">
        <v>1201</v>
      </c>
      <c r="CX483" t="str">
        <f>IF(OR($CW483="prd",$CW483="std",$CW483="cit"),"loc",IF(OR($CW483="eur",$CW483="reg",$CW483="coy"),"reg",$CW483))</f>
        <v>reg</v>
      </c>
      <c r="CY483" t="s">
        <v>236</v>
      </c>
      <c r="CZ483">
        <v>2010</v>
      </c>
      <c r="DA483">
        <v>2070</v>
      </c>
      <c r="DB483">
        <f>DA483-CZ483</f>
        <v>60</v>
      </c>
      <c r="DC483" t="str">
        <f>IF(DB483=0,"0",IF(AND(DB483&gt;=1,DB483&lt;=30),"1-30",IF(AND(DB483&gt;30,DB483&lt;=70),"31-70",IF(AND(DB483&gt;70,DB483&lt;=100),"71-100",IF(DB483&gt;100,"+100")))))</f>
        <v>31-70</v>
      </c>
      <c r="DD483">
        <v>1</v>
      </c>
      <c r="DE483">
        <v>0</v>
      </c>
      <c r="DF483">
        <v>0</v>
      </c>
      <c r="DG483">
        <v>0</v>
      </c>
      <c r="DH483">
        <v>0</v>
      </c>
      <c r="DI483">
        <f>SUM(DD483:DG483)</f>
        <v>1</v>
      </c>
      <c r="DJ483" t="str">
        <f>IF(DI483=1,INDEX($DD$7:$DG$7,MATCH(1,$DD483:$DG483,0)),"mixedProduct")</f>
        <v>UpstreamInput</v>
      </c>
      <c r="DK483" t="str">
        <f>IF(DD483=1,DK$7,0)</f>
        <v>Upstream</v>
      </c>
      <c r="DL483">
        <f>IF(DE483=1,DL$7,0)</f>
        <v>0</v>
      </c>
      <c r="DM483">
        <f>IF(DF483=1,DM$7,0)</f>
        <v>0</v>
      </c>
      <c r="DN483">
        <f>IF(DG483=1,DN$7,0)</f>
        <v>0</v>
      </c>
      <c r="DO483">
        <v>0</v>
      </c>
      <c r="DP483">
        <v>0</v>
      </c>
      <c r="DQ483">
        <v>0</v>
      </c>
      <c r="DR483">
        <v>0</v>
      </c>
      <c r="DS483">
        <v>0</v>
      </c>
      <c r="DT483">
        <f>SUM(DO483:DP483)</f>
        <v>0</v>
      </c>
      <c r="DU483" s="143" t="str">
        <f>IF(DO483=1,"self-calculated DF",IF(DP483=1,"external DF used","explicit C balance"))</f>
        <v>explicit C balance</v>
      </c>
      <c r="DV483">
        <v>1</v>
      </c>
      <c r="DW483">
        <v>1</v>
      </c>
      <c r="DX483">
        <v>1</v>
      </c>
      <c r="DY483">
        <v>1</v>
      </c>
      <c r="DZ483">
        <v>0</v>
      </c>
      <c r="EA483" s="143">
        <v>0</v>
      </c>
      <c r="EB483">
        <v>0</v>
      </c>
      <c r="EC483">
        <v>0</v>
      </c>
      <c r="ED483">
        <v>0</v>
      </c>
      <c r="EE483">
        <v>0</v>
      </c>
      <c r="EF483">
        <v>1</v>
      </c>
      <c r="EG483">
        <v>0</v>
      </c>
      <c r="EH483">
        <v>0</v>
      </c>
      <c r="EI483" s="2">
        <v>0</v>
      </c>
      <c r="EK483" t="str">
        <f>IF(AND(AND(AND(OR($DX483=1,$DW483=1),OR($EC483=1,$EA483=1)),SUM($DV483:$DZ483,$EF483)&gt;=4),SUM($EA483:$EE483)&gt;=2),"Whole sector","")</f>
        <v/>
      </c>
      <c r="EL483" t="str">
        <f>IF(AND(AND(OR($DX483=1,$DW483=1),AND($EC483=0,$EA483=0)),SUM($DV483:$DZ483,$EF483)&gt;=4),"Ecosystem approach","")</f>
        <v>Ecosystem approach</v>
      </c>
      <c r="EM483" s="2" t="str">
        <f>IF(AND(AND(AND($DX483=0,$DW483=0),OR($EC483=1,$EA483=1)),SUM($EB483:$EE483)&gt;=2),"Technology approach","")</f>
        <v/>
      </c>
      <c r="EP483" t="b">
        <f>IF(ISNUMBER(BU483),IF(ABS(BU483-[2]QC_indicators!$B$2)&gt;3*[2]QC_indicators!$C$2,"C ratio",IF(ISNUMBER(BY483),IF(ABS(BY483-[2]QC_indicators!$B$1)&gt;3*[2]QC_indicators!$C$1,"DF","no"))),IF(ISNUMBER(BY483),IF(ABS(BY483-[2]QC_indicators!$B$1)&gt;3*[2]QC_indicators!$C$1,"DF","no")))</f>
        <v>0</v>
      </c>
      <c r="ET483" s="266" t="s">
        <v>3275</v>
      </c>
    </row>
    <row r="484" spans="1:150" ht="15" customHeight="1">
      <c r="A484" s="1" t="s">
        <v>1425</v>
      </c>
      <c r="B484" t="s">
        <v>2492</v>
      </c>
      <c r="C484" t="s">
        <v>2493</v>
      </c>
      <c r="D484" t="s">
        <v>2494</v>
      </c>
      <c r="E484" t="s">
        <v>2495</v>
      </c>
      <c r="F484" t="s">
        <v>2496</v>
      </c>
      <c r="G484" t="s">
        <v>1431</v>
      </c>
      <c r="H484" t="s">
        <v>255</v>
      </c>
      <c r="I484">
        <v>2016</v>
      </c>
      <c r="J484">
        <v>24</v>
      </c>
      <c r="K484" t="s">
        <v>2497</v>
      </c>
      <c r="M484" t="str">
        <f>LEFT($D484,FIND(",",$D484)-1)&amp;"_"&amp;I484&amp;L484</f>
        <v>Zubizarreta-Gerendiain_2016</v>
      </c>
      <c r="N484" t="s">
        <v>223</v>
      </c>
      <c r="O484" s="145" t="s">
        <v>1156</v>
      </c>
      <c r="Q484" t="s">
        <v>257</v>
      </c>
      <c r="R484" s="264" t="s">
        <v>224</v>
      </c>
      <c r="S484" s="1" t="s">
        <v>2498</v>
      </c>
      <c r="T484" t="s">
        <v>2518</v>
      </c>
      <c r="U484" t="s">
        <v>2517</v>
      </c>
      <c r="V484">
        <v>0</v>
      </c>
      <c r="W484">
        <v>0</v>
      </c>
      <c r="X484">
        <v>0</v>
      </c>
      <c r="Y484">
        <v>2</v>
      </c>
      <c r="Z484">
        <v>0</v>
      </c>
      <c r="AA484">
        <v>0</v>
      </c>
      <c r="AB484">
        <v>0</v>
      </c>
      <c r="AC484">
        <v>0</v>
      </c>
      <c r="AD484">
        <v>0</v>
      </c>
      <c r="AE484">
        <v>0</v>
      </c>
      <c r="AF484">
        <v>1</v>
      </c>
      <c r="AG484">
        <v>0</v>
      </c>
      <c r="AH484">
        <v>0</v>
      </c>
      <c r="AI484">
        <v>0</v>
      </c>
      <c r="AJ484">
        <v>0</v>
      </c>
      <c r="AK484">
        <v>0</v>
      </c>
      <c r="AL484">
        <v>0</v>
      </c>
      <c r="AM484">
        <v>0</v>
      </c>
      <c r="AN484">
        <v>2</v>
      </c>
      <c r="AO484">
        <v>2</v>
      </c>
      <c r="AP484">
        <v>0</v>
      </c>
      <c r="AQ484">
        <v>0</v>
      </c>
      <c r="AR484">
        <v>0</v>
      </c>
      <c r="AS484">
        <v>0</v>
      </c>
      <c r="AT484">
        <v>0</v>
      </c>
      <c r="AU484">
        <v>0</v>
      </c>
      <c r="AV484">
        <v>0</v>
      </c>
      <c r="AW484">
        <v>0</v>
      </c>
      <c r="AX484" s="141">
        <f>COUNTIF(V484:AW484,"&lt;&gt;0")</f>
        <v>4</v>
      </c>
      <c r="AY484" s="141">
        <f>COUNTIF(V484:AL484,"&lt;&gt;0")</f>
        <v>2</v>
      </c>
      <c r="AZ484">
        <f>COUNTIF(V484:AC484,"&lt;&gt;0")</f>
        <v>1</v>
      </c>
      <c r="BA484">
        <f>COUNTIF(AD484:AI484,"&lt;&gt;0")</f>
        <v>1</v>
      </c>
      <c r="BB484">
        <f>COUNTIF(AJ484:AL484,"&lt;&gt;0")</f>
        <v>0</v>
      </c>
      <c r="BC484">
        <f>COUNTIF(AS484:AW484,"&lt;&gt;0")</f>
        <v>0</v>
      </c>
      <c r="BD484">
        <f>COUNTIF(AM484:AR484,"&lt;&gt;0")</f>
        <v>2</v>
      </c>
      <c r="BE484" t="str">
        <f t="array" ref="BE484">IF(AY484=1,INDEX($V$7:$AL$7,MATCH(TRUE,INDEX($V484:$AW484&lt;&gt;0,),0)),IF(AY484=0,INDEX($AM$7:$AW$7,MATCH(1,$AM484:$AW484,0)),IF(BF484="Multiple strategies","mixed drivers",IF(BF484="Supply chain","multiple supply","multiple silviculture"))))</f>
        <v>mixed drivers</v>
      </c>
      <c r="BF484" s="2" t="str">
        <f t="array" ref="BF484">IF(COUNTIF(AZ484:BB484,"&lt;&gt;0")=1,INDEX($V$4:$AW$4,MATCH(TRUE,INDEX($V484:$AW484&lt;&gt;0,),0)),IF(COUNTIF(AZ484:BB484,"&lt;&gt;0")=0,INDEX($AM$4:$AW$4,MATCH(1,$AM484:$AW484,0)),"Multiple strategies"))</f>
        <v>Multiple strategies</v>
      </c>
      <c r="BM484" s="143"/>
      <c r="BN484" s="143"/>
      <c r="BP484" s="143" t="s">
        <v>233</v>
      </c>
      <c r="BQ484" s="143"/>
      <c r="BR484" t="s">
        <v>1197</v>
      </c>
      <c r="BS484">
        <v>83064.176145251418</v>
      </c>
      <c r="BT484">
        <v>-35451.70793296078</v>
      </c>
      <c r="BU484" s="144">
        <f>IFERROR(BT484/BS484,"")</f>
        <v>-0.42679900744416727</v>
      </c>
      <c r="BV484" s="144">
        <f>BT484-BS484</f>
        <v>-118515.8840782122</v>
      </c>
      <c r="BW484" s="144"/>
      <c r="BX484" s="144">
        <f>BV484</f>
        <v>-118515.8840782122</v>
      </c>
      <c r="BY484" t="str">
        <f>IFERROR(BX484/BO484,"")</f>
        <v/>
      </c>
      <c r="BZ484">
        <v>0</v>
      </c>
      <c r="CA484">
        <v>0</v>
      </c>
      <c r="CB484">
        <v>0</v>
      </c>
      <c r="CC484">
        <v>0</v>
      </c>
      <c r="CD484">
        <v>0</v>
      </c>
      <c r="CE484">
        <v>0</v>
      </c>
      <c r="CF484">
        <v>0</v>
      </c>
      <c r="CG484">
        <v>0</v>
      </c>
      <c r="CH484">
        <v>0</v>
      </c>
      <c r="CI484">
        <v>0</v>
      </c>
      <c r="CJ484">
        <v>0</v>
      </c>
      <c r="CK484">
        <v>0</v>
      </c>
      <c r="CL484">
        <v>0</v>
      </c>
      <c r="CM484">
        <v>1</v>
      </c>
      <c r="CN484" t="str">
        <f>IF(BL484&lt;BK484,"refNeedCorrection","refOK")</f>
        <v>refOK</v>
      </c>
      <c r="CO484"/>
      <c r="CP484"/>
      <c r="CQ484"/>
      <c r="CR484">
        <f>IF($CN484="refOK",$BS484,$BT484)*IF($BP484="Emissions positive",-1,1)</f>
        <v>83064.176145251418</v>
      </c>
      <c r="CS484">
        <f>IF($CN484="refOK",$BT484,$BS484)*IF($BP484="Emissions positive",-1,1)</f>
        <v>-35451.70793296078</v>
      </c>
      <c r="CT484">
        <f>IF($CN484="refNeedCorrection",-BX484,BX484)*IF($BP484="Emissions positive",-1,1)</f>
        <v>-118515.8840782122</v>
      </c>
      <c r="CU484" t="str">
        <f>IFERROR(CT484/CQ484,"")</f>
        <v/>
      </c>
      <c r="CV484" s="2">
        <f>IFERROR((CS484-CR484)/ABS(CR484),"")</f>
        <v>-1.4267990074441672</v>
      </c>
      <c r="CW484" s="1" t="s">
        <v>1201</v>
      </c>
      <c r="CX484" t="str">
        <f>IF(OR($CW484="prd",$CW484="std",$CW484="cit"),"loc",IF(OR($CW484="eur",$CW484="reg",$CW484="coy"),"reg",$CW484))</f>
        <v>reg</v>
      </c>
      <c r="CY484" t="s">
        <v>236</v>
      </c>
      <c r="CZ484">
        <v>2010</v>
      </c>
      <c r="DA484">
        <v>2070</v>
      </c>
      <c r="DB484">
        <f>DA484-CZ484</f>
        <v>60</v>
      </c>
      <c r="DC484" t="str">
        <f>IF(DB484=0,"0",IF(AND(DB484&gt;=1,DB484&lt;=30),"1-30",IF(AND(DB484&gt;30,DB484&lt;=70),"31-70",IF(AND(DB484&gt;70,DB484&lt;=100),"71-100",IF(DB484&gt;100,"+100")))))</f>
        <v>31-70</v>
      </c>
      <c r="DD484">
        <v>1</v>
      </c>
      <c r="DE484">
        <v>0</v>
      </c>
      <c r="DF484">
        <v>0</v>
      </c>
      <c r="DG484">
        <v>0</v>
      </c>
      <c r="DH484">
        <v>0</v>
      </c>
      <c r="DI484">
        <f>SUM(DD484:DG484)</f>
        <v>1</v>
      </c>
      <c r="DJ484" t="str">
        <f>IF(DI484=1,INDEX($DD$7:$DG$7,MATCH(1,$DD484:$DG484,0)),"mixedProduct")</f>
        <v>UpstreamInput</v>
      </c>
      <c r="DK484" t="str">
        <f>IF(DD484=1,DK$7,0)</f>
        <v>Upstream</v>
      </c>
      <c r="DL484">
        <f>IF(DE484=1,DL$7,0)</f>
        <v>0</v>
      </c>
      <c r="DM484">
        <f>IF(DF484=1,DM$7,0)</f>
        <v>0</v>
      </c>
      <c r="DN484">
        <f>IF(DG484=1,DN$7,0)</f>
        <v>0</v>
      </c>
      <c r="DO484">
        <v>0</v>
      </c>
      <c r="DP484">
        <v>0</v>
      </c>
      <c r="DQ484">
        <v>0</v>
      </c>
      <c r="DR484">
        <v>0</v>
      </c>
      <c r="DS484">
        <v>0</v>
      </c>
      <c r="DT484">
        <f>SUM(DO484:DP484)</f>
        <v>0</v>
      </c>
      <c r="DU484" s="143" t="str">
        <f>IF(DO484=1,"self-calculated DF",IF(DP484=1,"external DF used","explicit C balance"))</f>
        <v>explicit C balance</v>
      </c>
      <c r="DV484">
        <v>1</v>
      </c>
      <c r="DW484">
        <v>1</v>
      </c>
      <c r="DX484">
        <v>1</v>
      </c>
      <c r="DY484">
        <v>1</v>
      </c>
      <c r="DZ484">
        <v>0</v>
      </c>
      <c r="EA484" s="143">
        <v>0</v>
      </c>
      <c r="EB484">
        <v>0</v>
      </c>
      <c r="EC484">
        <v>0</v>
      </c>
      <c r="ED484">
        <v>0</v>
      </c>
      <c r="EE484">
        <v>0</v>
      </c>
      <c r="EF484">
        <v>1</v>
      </c>
      <c r="EG484">
        <v>0</v>
      </c>
      <c r="EH484">
        <v>0</v>
      </c>
      <c r="EI484" s="2">
        <v>0</v>
      </c>
      <c r="EK484" t="str">
        <f>IF(AND(AND(AND(OR($DX484=1,$DW484=1),OR($EC484=1,$EA484=1)),SUM($DV484:$DZ484,$EF484)&gt;=4),SUM($EA484:$EE484)&gt;=2),"Whole sector","")</f>
        <v/>
      </c>
      <c r="EL484" t="str">
        <f>IF(AND(AND(OR($DX484=1,$DW484=1),AND($EC484=0,$EA484=0)),SUM($DV484:$DZ484,$EF484)&gt;=4),"Ecosystem approach","")</f>
        <v>Ecosystem approach</v>
      </c>
      <c r="EM484" s="2" t="str">
        <f>IF(AND(AND(AND($DX484=0,$DW484=0),OR($EC484=1,$EA484=1)),SUM($EB484:$EE484)&gt;=2),"Technology approach","")</f>
        <v/>
      </c>
      <c r="EP484" t="b">
        <f>IF(ISNUMBER(BU484),IF(ABS(BU484-[2]QC_indicators!$B$2)&gt;3*[2]QC_indicators!$C$2,"C ratio",IF(ISNUMBER(BY484),IF(ABS(BY484-[2]QC_indicators!$B$1)&gt;3*[2]QC_indicators!$C$1,"DF","no"))),IF(ISNUMBER(BY484),IF(ABS(BY484-[2]QC_indicators!$B$1)&gt;3*[2]QC_indicators!$C$1,"DF","no")))</f>
        <v>0</v>
      </c>
      <c r="ET484" s="266" t="s">
        <v>3275</v>
      </c>
    </row>
    <row r="485" spans="1:150" ht="15" customHeight="1">
      <c r="A485" s="1" t="s">
        <v>1425</v>
      </c>
      <c r="B485" t="s">
        <v>2492</v>
      </c>
      <c r="C485" t="s">
        <v>2493</v>
      </c>
      <c r="D485" t="s">
        <v>2494</v>
      </c>
      <c r="E485" t="s">
        <v>2495</v>
      </c>
      <c r="F485" t="s">
        <v>2496</v>
      </c>
      <c r="G485" t="s">
        <v>1431</v>
      </c>
      <c r="H485" t="s">
        <v>255</v>
      </c>
      <c r="I485">
        <v>2016</v>
      </c>
      <c r="J485">
        <v>24</v>
      </c>
      <c r="K485" t="s">
        <v>2497</v>
      </c>
      <c r="M485" t="str">
        <f>LEFT($D485,FIND(",",$D485)-1)&amp;"_"&amp;I485&amp;L485</f>
        <v>Zubizarreta-Gerendiain_2016</v>
      </c>
      <c r="N485" t="s">
        <v>223</v>
      </c>
      <c r="O485" s="145" t="s">
        <v>1156</v>
      </c>
      <c r="Q485" t="s">
        <v>257</v>
      </c>
      <c r="R485" s="264" t="s">
        <v>224</v>
      </c>
      <c r="S485" s="1" t="s">
        <v>2508</v>
      </c>
      <c r="T485" t="s">
        <v>2516</v>
      </c>
      <c r="U485" t="s">
        <v>2517</v>
      </c>
      <c r="V485">
        <v>0</v>
      </c>
      <c r="W485">
        <v>0</v>
      </c>
      <c r="X485">
        <v>0</v>
      </c>
      <c r="Y485">
        <v>2</v>
      </c>
      <c r="Z485">
        <v>0</v>
      </c>
      <c r="AA485">
        <v>0</v>
      </c>
      <c r="AB485">
        <v>0</v>
      </c>
      <c r="AC485">
        <v>0</v>
      </c>
      <c r="AD485">
        <v>0</v>
      </c>
      <c r="AE485">
        <v>0</v>
      </c>
      <c r="AF485">
        <v>1</v>
      </c>
      <c r="AG485">
        <v>0</v>
      </c>
      <c r="AH485">
        <v>0</v>
      </c>
      <c r="AI485">
        <v>0</v>
      </c>
      <c r="AJ485">
        <v>0</v>
      </c>
      <c r="AK485">
        <v>0</v>
      </c>
      <c r="AL485">
        <v>0</v>
      </c>
      <c r="AM485">
        <v>0</v>
      </c>
      <c r="AN485">
        <v>2</v>
      </c>
      <c r="AO485">
        <v>2</v>
      </c>
      <c r="AP485">
        <v>0</v>
      </c>
      <c r="AQ485">
        <v>0</v>
      </c>
      <c r="AR485">
        <v>0</v>
      </c>
      <c r="AS485">
        <v>0</v>
      </c>
      <c r="AT485">
        <v>0</v>
      </c>
      <c r="AU485">
        <v>0</v>
      </c>
      <c r="AV485">
        <v>0</v>
      </c>
      <c r="AW485">
        <v>0</v>
      </c>
      <c r="AX485" s="141">
        <f>COUNTIF(V485:AW485,"&lt;&gt;0")</f>
        <v>4</v>
      </c>
      <c r="AY485" s="141">
        <f>COUNTIF(V485:AL485,"&lt;&gt;0")</f>
        <v>2</v>
      </c>
      <c r="AZ485">
        <f>COUNTIF(V485:AC485,"&lt;&gt;0")</f>
        <v>1</v>
      </c>
      <c r="BA485">
        <f>COUNTIF(AD485:AI485,"&lt;&gt;0")</f>
        <v>1</v>
      </c>
      <c r="BB485">
        <f>COUNTIF(AJ485:AL485,"&lt;&gt;0")</f>
        <v>0</v>
      </c>
      <c r="BC485">
        <f>COUNTIF(AS485:AW485,"&lt;&gt;0")</f>
        <v>0</v>
      </c>
      <c r="BD485">
        <f>COUNTIF(AM485:AR485,"&lt;&gt;0")</f>
        <v>2</v>
      </c>
      <c r="BE485" t="str">
        <f t="array" ref="BE485">IF(AY485=1,INDEX($V$7:$AL$7,MATCH(TRUE,INDEX($V485:$AW485&lt;&gt;0,),0)),IF(AY485=0,INDEX($AM$7:$AW$7,MATCH(1,$AM485:$AW485,0)),IF(BF485="Multiple strategies","mixed drivers",IF(BF485="Supply chain","multiple supply","multiple silviculture"))))</f>
        <v>mixed drivers</v>
      </c>
      <c r="BF485" s="2" t="str">
        <f t="array" ref="BF485">IF(COUNTIF(AZ485:BB485,"&lt;&gt;0")=1,INDEX($V$4:$AW$4,MATCH(TRUE,INDEX($V485:$AW485&lt;&gt;0,),0)),IF(COUNTIF(AZ485:BB485,"&lt;&gt;0")=0,INDEX($AM$4:$AW$4,MATCH(1,$AM485:$AW485,0)),"Multiple strategies"))</f>
        <v>Multiple strategies</v>
      </c>
      <c r="BM485" s="143"/>
      <c r="BN485" s="143"/>
      <c r="BP485" s="143" t="s">
        <v>233</v>
      </c>
      <c r="BQ485" s="319"/>
      <c r="BR485" t="s">
        <v>1197</v>
      </c>
      <c r="BS485">
        <v>99553.342625698249</v>
      </c>
      <c r="BT485">
        <v>-35451.70793296078</v>
      </c>
      <c r="BU485" s="144">
        <f>IFERROR(BT485/BS485,"")</f>
        <v>-0.3561076604554857</v>
      </c>
      <c r="BV485" s="144">
        <f>BT485-BS485</f>
        <v>-135005.05055865902</v>
      </c>
      <c r="BW485" s="144"/>
      <c r="BX485" s="144">
        <f>BV485</f>
        <v>-135005.05055865902</v>
      </c>
      <c r="BY485" t="str">
        <f>IFERROR(BX485/BO485,"")</f>
        <v/>
      </c>
      <c r="BZ485">
        <v>0</v>
      </c>
      <c r="CA485">
        <v>0</v>
      </c>
      <c r="CB485">
        <v>0</v>
      </c>
      <c r="CC485">
        <v>0</v>
      </c>
      <c r="CD485">
        <v>0</v>
      </c>
      <c r="CE485">
        <v>0</v>
      </c>
      <c r="CF485">
        <v>0</v>
      </c>
      <c r="CG485">
        <v>0</v>
      </c>
      <c r="CH485">
        <v>0</v>
      </c>
      <c r="CI485">
        <v>0</v>
      </c>
      <c r="CJ485">
        <v>0</v>
      </c>
      <c r="CK485">
        <v>0</v>
      </c>
      <c r="CL485">
        <v>0</v>
      </c>
      <c r="CM485">
        <v>1</v>
      </c>
      <c r="CN485" t="str">
        <f>IF(BL485&lt;BK485,"refNeedCorrection","refOK")</f>
        <v>refOK</v>
      </c>
      <c r="CO485"/>
      <c r="CP485"/>
      <c r="CQ485"/>
      <c r="CR485">
        <f>IF($CN485="refOK",$BS485,$BT485)*IF($BP485="Emissions positive",-1,1)</f>
        <v>99553.342625698249</v>
      </c>
      <c r="CS485">
        <f>IF($CN485="refOK",$BT485,$BS485)*IF($BP485="Emissions positive",-1,1)</f>
        <v>-35451.70793296078</v>
      </c>
      <c r="CT485">
        <f>IF($CN485="refNeedCorrection",-BX485,BX485)*IF($BP485="Emissions positive",-1,1)</f>
        <v>-135005.05055865902</v>
      </c>
      <c r="CU485" t="str">
        <f>IFERROR(CT485/CQ485,"")</f>
        <v/>
      </c>
      <c r="CV485" s="2">
        <f>IFERROR((CS485-CR485)/ABS(CR485),"")</f>
        <v>-1.3561076604554856</v>
      </c>
      <c r="CW485" s="1" t="s">
        <v>1201</v>
      </c>
      <c r="CX485" t="str">
        <f>IF(OR($CW485="prd",$CW485="std",$CW485="cit"),"loc",IF(OR($CW485="eur",$CW485="reg",$CW485="coy"),"reg",$CW485))</f>
        <v>reg</v>
      </c>
      <c r="CY485" t="s">
        <v>236</v>
      </c>
      <c r="CZ485">
        <v>2010</v>
      </c>
      <c r="DA485">
        <v>2070</v>
      </c>
      <c r="DB485">
        <f>DA485-CZ485</f>
        <v>60</v>
      </c>
      <c r="DC485" t="str">
        <f>IF(DB485=0,"0",IF(AND(DB485&gt;=1,DB485&lt;=30),"1-30",IF(AND(DB485&gt;30,DB485&lt;=70),"31-70",IF(AND(DB485&gt;70,DB485&lt;=100),"71-100",IF(DB485&gt;100,"+100")))))</f>
        <v>31-70</v>
      </c>
      <c r="DD485">
        <v>1</v>
      </c>
      <c r="DE485">
        <v>0</v>
      </c>
      <c r="DF485">
        <v>0</v>
      </c>
      <c r="DG485">
        <v>0</v>
      </c>
      <c r="DH485">
        <v>0</v>
      </c>
      <c r="DI485">
        <f>SUM(DD485:DG485)</f>
        <v>1</v>
      </c>
      <c r="DJ485" t="str">
        <f>IF(DI485=1,INDEX($DD$7:$DG$7,MATCH(1,$DD485:$DG485,0)),"mixedProduct")</f>
        <v>UpstreamInput</v>
      </c>
      <c r="DK485" t="str">
        <f>IF(DD485=1,DK$7,0)</f>
        <v>Upstream</v>
      </c>
      <c r="DL485">
        <f>IF(DE485=1,DL$7,0)</f>
        <v>0</v>
      </c>
      <c r="DM485">
        <f>IF(DF485=1,DM$7,0)</f>
        <v>0</v>
      </c>
      <c r="DN485">
        <f>IF(DG485=1,DN$7,0)</f>
        <v>0</v>
      </c>
      <c r="DO485">
        <v>0</v>
      </c>
      <c r="DP485">
        <v>0</v>
      </c>
      <c r="DQ485">
        <v>0</v>
      </c>
      <c r="DR485">
        <v>0</v>
      </c>
      <c r="DS485">
        <v>0</v>
      </c>
      <c r="DT485">
        <f>SUM(DO485:DP485)</f>
        <v>0</v>
      </c>
      <c r="DU485" s="143" t="str">
        <f>IF(DO485=1,"self-calculated DF",IF(DP485=1,"external DF used","explicit C balance"))</f>
        <v>explicit C balance</v>
      </c>
      <c r="DV485">
        <v>1</v>
      </c>
      <c r="DW485">
        <v>1</v>
      </c>
      <c r="DX485">
        <v>1</v>
      </c>
      <c r="DY485">
        <v>1</v>
      </c>
      <c r="DZ485">
        <v>0</v>
      </c>
      <c r="EA485" s="143">
        <v>0</v>
      </c>
      <c r="EB485">
        <v>0</v>
      </c>
      <c r="EC485">
        <v>0</v>
      </c>
      <c r="ED485">
        <v>0</v>
      </c>
      <c r="EE485">
        <v>0</v>
      </c>
      <c r="EF485">
        <v>1</v>
      </c>
      <c r="EG485">
        <v>0</v>
      </c>
      <c r="EH485">
        <v>0</v>
      </c>
      <c r="EI485" s="2">
        <v>0</v>
      </c>
      <c r="EK485" t="str">
        <f>IF(AND(AND(AND(OR($DX485=1,$DW485=1),OR($EC485=1,$EA485=1)),SUM($DV485:$DZ485,$EF485)&gt;=4),SUM($EA485:$EE485)&gt;=2),"Whole sector","")</f>
        <v/>
      </c>
      <c r="EL485" t="str">
        <f>IF(AND(AND(OR($DX485=1,$DW485=1),AND($EC485=0,$EA485=0)),SUM($DV485:$DZ485,$EF485)&gt;=4),"Ecosystem approach","")</f>
        <v>Ecosystem approach</v>
      </c>
      <c r="EM485" s="2" t="str">
        <f>IF(AND(AND(AND($DX485=0,$DW485=0),OR($EC485=1,$EA485=1)),SUM($EB485:$EE485)&gt;=2),"Technology approach","")</f>
        <v/>
      </c>
      <c r="EN485" t="s">
        <v>2510</v>
      </c>
      <c r="EP485" t="b">
        <f>IF(ISNUMBER(BU485),IF(ABS(BU485-[2]QC_indicators!$B$2)&gt;3*[2]QC_indicators!$C$2,"C ratio",IF(ISNUMBER(BY485),IF(ABS(BY485-[2]QC_indicators!$B$1)&gt;3*[2]QC_indicators!$C$1,"DF","no"))),IF(ISNUMBER(BY485),IF(ABS(BY485-[2]QC_indicators!$B$1)&gt;3*[2]QC_indicators!$C$1,"DF","no")))</f>
        <v>0</v>
      </c>
      <c r="ET485" s="266" t="s">
        <v>3275</v>
      </c>
    </row>
    <row r="486" spans="1:150" ht="15" customHeight="1">
      <c r="A486" s="1" t="s">
        <v>1425</v>
      </c>
      <c r="B486" t="s">
        <v>2492</v>
      </c>
      <c r="C486" t="s">
        <v>2493</v>
      </c>
      <c r="D486" t="s">
        <v>2494</v>
      </c>
      <c r="E486" t="s">
        <v>2495</v>
      </c>
      <c r="F486" t="s">
        <v>2496</v>
      </c>
      <c r="G486" t="s">
        <v>1431</v>
      </c>
      <c r="H486" t="s">
        <v>255</v>
      </c>
      <c r="I486">
        <v>2016</v>
      </c>
      <c r="J486">
        <v>24</v>
      </c>
      <c r="K486" t="s">
        <v>2497</v>
      </c>
      <c r="M486" t="str">
        <f>LEFT($D486,FIND(",",$D486)-1)&amp;"_"&amp;I486&amp;L486</f>
        <v>Zubizarreta-Gerendiain_2016</v>
      </c>
      <c r="N486" t="s">
        <v>223</v>
      </c>
      <c r="O486" s="145" t="s">
        <v>1156</v>
      </c>
      <c r="Q486" t="s">
        <v>257</v>
      </c>
      <c r="R486" s="264" t="s">
        <v>224</v>
      </c>
      <c r="S486" s="1" t="s">
        <v>2498</v>
      </c>
      <c r="T486" t="s">
        <v>2519</v>
      </c>
      <c r="U486" t="s">
        <v>2517</v>
      </c>
      <c r="V486">
        <v>0</v>
      </c>
      <c r="W486">
        <v>0</v>
      </c>
      <c r="X486">
        <v>0</v>
      </c>
      <c r="Y486">
        <v>2</v>
      </c>
      <c r="Z486">
        <v>0</v>
      </c>
      <c r="AA486">
        <v>0</v>
      </c>
      <c r="AB486">
        <v>0</v>
      </c>
      <c r="AC486">
        <v>0</v>
      </c>
      <c r="AD486">
        <v>0</v>
      </c>
      <c r="AE486">
        <v>0</v>
      </c>
      <c r="AF486">
        <v>1</v>
      </c>
      <c r="AG486">
        <v>0</v>
      </c>
      <c r="AH486">
        <v>0</v>
      </c>
      <c r="AI486">
        <v>0</v>
      </c>
      <c r="AJ486">
        <v>0</v>
      </c>
      <c r="AK486">
        <v>0</v>
      </c>
      <c r="AL486">
        <v>0</v>
      </c>
      <c r="AM486">
        <v>0</v>
      </c>
      <c r="AN486">
        <v>2</v>
      </c>
      <c r="AO486">
        <v>2</v>
      </c>
      <c r="AP486">
        <v>0</v>
      </c>
      <c r="AQ486">
        <v>0</v>
      </c>
      <c r="AR486">
        <v>0</v>
      </c>
      <c r="AS486">
        <v>0</v>
      </c>
      <c r="AT486">
        <v>0</v>
      </c>
      <c r="AU486">
        <v>0</v>
      </c>
      <c r="AV486">
        <v>0</v>
      </c>
      <c r="AW486">
        <v>0</v>
      </c>
      <c r="AX486" s="141">
        <f>COUNTIF(V486:AW486,"&lt;&gt;0")</f>
        <v>4</v>
      </c>
      <c r="AY486" s="141">
        <f>COUNTIF(V486:AL486,"&lt;&gt;0")</f>
        <v>2</v>
      </c>
      <c r="AZ486">
        <f>COUNTIF(V486:AC486,"&lt;&gt;0")</f>
        <v>1</v>
      </c>
      <c r="BA486">
        <f>COUNTIF(AD486:AI486,"&lt;&gt;0")</f>
        <v>1</v>
      </c>
      <c r="BB486">
        <f>COUNTIF(AJ486:AL486,"&lt;&gt;0")</f>
        <v>0</v>
      </c>
      <c r="BC486">
        <f>COUNTIF(AS486:AW486,"&lt;&gt;0")</f>
        <v>0</v>
      </c>
      <c r="BD486">
        <f>COUNTIF(AM486:AR486,"&lt;&gt;0")</f>
        <v>2</v>
      </c>
      <c r="BE486" t="str">
        <f t="array" ref="BE486">IF(AY486=1,INDEX($V$7:$AL$7,MATCH(TRUE,INDEX($V486:$AW486&lt;&gt;0,),0)),IF(AY486=0,INDEX($AM$7:$AW$7,MATCH(1,$AM486:$AW486,0)),IF(BF486="Multiple strategies","mixed drivers",IF(BF486="Supply chain","multiple supply","multiple silviculture"))))</f>
        <v>mixed drivers</v>
      </c>
      <c r="BF486" s="2" t="str">
        <f t="array" ref="BF486">IF(COUNTIF(AZ486:BB486,"&lt;&gt;0")=1,INDEX($V$4:$AW$4,MATCH(TRUE,INDEX($V486:$AW486&lt;&gt;0,),0)),IF(COUNTIF(AZ486:BB486,"&lt;&gt;0")=0,INDEX($AM$4:$AW$4,MATCH(1,$AM486:$AW486,0)),"Multiple strategies"))</f>
        <v>Multiple strategies</v>
      </c>
      <c r="BM486" s="143"/>
      <c r="BN486" s="143"/>
      <c r="BP486" s="143" t="s">
        <v>233</v>
      </c>
      <c r="BQ486" s="319"/>
      <c r="BR486" t="s">
        <v>1197</v>
      </c>
      <c r="BS486">
        <v>37718.968324022448</v>
      </c>
      <c r="BT486">
        <v>-35451.70793296078</v>
      </c>
      <c r="BU486" s="144">
        <f>IFERROR(BT486/BS486,"")</f>
        <v>-0.93989071038250815</v>
      </c>
      <c r="BV486" s="144">
        <f>BT486-BS486</f>
        <v>-73170.676256983221</v>
      </c>
      <c r="BW486" s="144"/>
      <c r="BX486" s="144">
        <f>BV486</f>
        <v>-73170.676256983221</v>
      </c>
      <c r="BY486" t="str">
        <f>IFERROR(BX486/BO486,"")</f>
        <v/>
      </c>
      <c r="BZ486">
        <v>0</v>
      </c>
      <c r="CA486">
        <v>0</v>
      </c>
      <c r="CB486">
        <v>0</v>
      </c>
      <c r="CC486">
        <v>0</v>
      </c>
      <c r="CD486">
        <v>0</v>
      </c>
      <c r="CE486">
        <v>0</v>
      </c>
      <c r="CF486">
        <v>0</v>
      </c>
      <c r="CG486">
        <v>0</v>
      </c>
      <c r="CH486">
        <v>0</v>
      </c>
      <c r="CI486">
        <v>0</v>
      </c>
      <c r="CJ486">
        <v>0</v>
      </c>
      <c r="CK486">
        <v>0</v>
      </c>
      <c r="CL486">
        <v>0</v>
      </c>
      <c r="CM486">
        <v>1</v>
      </c>
      <c r="CN486" t="str">
        <f>IF(BL486&lt;BK486,"refNeedCorrection","refOK")</f>
        <v>refOK</v>
      </c>
      <c r="CO486"/>
      <c r="CP486"/>
      <c r="CQ486"/>
      <c r="CR486">
        <f>IF($CN486="refOK",$BS486,$BT486)*IF($BP486="Emissions positive",-1,1)</f>
        <v>37718.968324022448</v>
      </c>
      <c r="CS486">
        <f>IF($CN486="refOK",$BT486,$BS486)*IF($BP486="Emissions positive",-1,1)</f>
        <v>-35451.70793296078</v>
      </c>
      <c r="CT486">
        <f>IF($CN486="refNeedCorrection",-BX486,BX486)*IF($BP486="Emissions positive",-1,1)</f>
        <v>-73170.676256983221</v>
      </c>
      <c r="CU486" t="str">
        <f>IFERROR(CT486/CQ486,"")</f>
        <v/>
      </c>
      <c r="CV486" s="2">
        <f>IFERROR((CS486-CR486)/ABS(CR486),"")</f>
        <v>-1.939890710382508</v>
      </c>
      <c r="CW486" s="1" t="s">
        <v>1201</v>
      </c>
      <c r="CX486" t="str">
        <f>IF(OR($CW486="prd",$CW486="std",$CW486="cit"),"loc",IF(OR($CW486="eur",$CW486="reg",$CW486="coy"),"reg",$CW486))</f>
        <v>reg</v>
      </c>
      <c r="CY486" t="s">
        <v>236</v>
      </c>
      <c r="CZ486">
        <v>2010</v>
      </c>
      <c r="DA486">
        <v>2070</v>
      </c>
      <c r="DB486">
        <f>DA486-CZ486</f>
        <v>60</v>
      </c>
      <c r="DC486" t="str">
        <f>IF(DB486=0,"0",IF(AND(DB486&gt;=1,DB486&lt;=30),"1-30",IF(AND(DB486&gt;30,DB486&lt;=70),"31-70",IF(AND(DB486&gt;70,DB486&lt;=100),"71-100",IF(DB486&gt;100,"+100")))))</f>
        <v>31-70</v>
      </c>
      <c r="DD486">
        <v>1</v>
      </c>
      <c r="DE486">
        <v>0</v>
      </c>
      <c r="DF486">
        <v>0</v>
      </c>
      <c r="DG486">
        <v>0</v>
      </c>
      <c r="DH486">
        <v>0</v>
      </c>
      <c r="DI486">
        <f>SUM(DD486:DG486)</f>
        <v>1</v>
      </c>
      <c r="DJ486" t="str">
        <f>IF(DI486=1,INDEX($DD$7:$DG$7,MATCH(1,$DD486:$DG486,0)),"mixedProduct")</f>
        <v>UpstreamInput</v>
      </c>
      <c r="DK486" t="str">
        <f>IF(DD486=1,DK$7,0)</f>
        <v>Upstream</v>
      </c>
      <c r="DL486">
        <f>IF(DE486=1,DL$7,0)</f>
        <v>0</v>
      </c>
      <c r="DM486">
        <f>IF(DF486=1,DM$7,0)</f>
        <v>0</v>
      </c>
      <c r="DN486">
        <f>IF(DG486=1,DN$7,0)</f>
        <v>0</v>
      </c>
      <c r="DO486">
        <v>0</v>
      </c>
      <c r="DP486">
        <v>0</v>
      </c>
      <c r="DQ486">
        <v>0</v>
      </c>
      <c r="DR486">
        <v>0</v>
      </c>
      <c r="DS486">
        <v>0</v>
      </c>
      <c r="DT486">
        <f>SUM(DO486:DP486)</f>
        <v>0</v>
      </c>
      <c r="DU486" s="143" t="str">
        <f>IF(DO486=1,"self-calculated DF",IF(DP486=1,"external DF used","explicit C balance"))</f>
        <v>explicit C balance</v>
      </c>
      <c r="DV486">
        <v>1</v>
      </c>
      <c r="DW486">
        <v>1</v>
      </c>
      <c r="DX486">
        <v>1</v>
      </c>
      <c r="DY486">
        <v>1</v>
      </c>
      <c r="DZ486">
        <v>0</v>
      </c>
      <c r="EA486" s="143">
        <v>0</v>
      </c>
      <c r="EB486">
        <v>0</v>
      </c>
      <c r="EC486">
        <v>0</v>
      </c>
      <c r="ED486">
        <v>0</v>
      </c>
      <c r="EE486">
        <v>0</v>
      </c>
      <c r="EF486">
        <v>1</v>
      </c>
      <c r="EG486">
        <v>0</v>
      </c>
      <c r="EH486">
        <v>0</v>
      </c>
      <c r="EI486" s="2">
        <v>0</v>
      </c>
      <c r="EK486" t="str">
        <f>IF(AND(AND(AND(OR($DX486=1,$DW486=1),OR($EC486=1,$EA486=1)),SUM($DV486:$DZ486,$EF486)&gt;=4),SUM($EA486:$EE486)&gt;=2),"Whole sector","")</f>
        <v/>
      </c>
      <c r="EL486" t="str">
        <f>IF(AND(AND(OR($DX486=1,$DW486=1),AND($EC486=0,$EA486=0)),SUM($DV486:$DZ486,$EF486)&gt;=4),"Ecosystem approach","")</f>
        <v>Ecosystem approach</v>
      </c>
      <c r="EM486" s="2" t="str">
        <f>IF(AND(AND(AND($DX486=0,$DW486=0),OR($EC486=1,$EA486=1)),SUM($EB486:$EE486)&gt;=2),"Technology approach","")</f>
        <v/>
      </c>
      <c r="EP486" t="b">
        <f>IF(ISNUMBER(BU486),IF(ABS(BU486-[2]QC_indicators!$B$2)&gt;3*[2]QC_indicators!$C$2,"C ratio",IF(ISNUMBER(BY486),IF(ABS(BY486-[2]QC_indicators!$B$1)&gt;3*[2]QC_indicators!$C$1,"DF","no"))),IF(ISNUMBER(BY486),IF(ABS(BY486-[2]QC_indicators!$B$1)&gt;3*[2]QC_indicators!$C$1,"DF","no")))</f>
        <v>0</v>
      </c>
      <c r="ET486" s="266" t="s">
        <v>3275</v>
      </c>
    </row>
    <row r="487" spans="1:150" ht="15" customHeight="1">
      <c r="A487" s="1" t="s">
        <v>1288</v>
      </c>
      <c r="B487" t="s">
        <v>1338</v>
      </c>
      <c r="C487" t="s">
        <v>1339</v>
      </c>
      <c r="D487" t="s">
        <v>1340</v>
      </c>
      <c r="E487" t="s">
        <v>1341</v>
      </c>
      <c r="F487" t="s">
        <v>1342</v>
      </c>
      <c r="G487" t="s">
        <v>1294</v>
      </c>
      <c r="H487" t="s">
        <v>255</v>
      </c>
      <c r="I487">
        <v>2016</v>
      </c>
      <c r="J487">
        <v>27</v>
      </c>
      <c r="K487" t="s">
        <v>1343</v>
      </c>
      <c r="M487" t="str">
        <f>LEFT($D487,FIND(",",$D487)-1)&amp;"_"&amp;I487&amp;L487</f>
        <v>Braun_2016</v>
      </c>
      <c r="N487" t="s">
        <v>223</v>
      </c>
      <c r="O487" s="145" t="s">
        <v>224</v>
      </c>
      <c r="Q487" t="s">
        <v>257</v>
      </c>
      <c r="R487" s="255" t="s">
        <v>226</v>
      </c>
      <c r="S487" s="1" t="s">
        <v>1350</v>
      </c>
      <c r="T487" t="s">
        <v>1345</v>
      </c>
      <c r="U487" t="s">
        <v>1351</v>
      </c>
      <c r="V487">
        <v>0</v>
      </c>
      <c r="W487">
        <v>0</v>
      </c>
      <c r="X487">
        <v>0</v>
      </c>
      <c r="Y487">
        <v>1</v>
      </c>
      <c r="Z487">
        <v>0</v>
      </c>
      <c r="AA487">
        <v>0</v>
      </c>
      <c r="AB487">
        <v>0</v>
      </c>
      <c r="AC487">
        <v>0</v>
      </c>
      <c r="AD487">
        <v>0</v>
      </c>
      <c r="AE487">
        <v>0</v>
      </c>
      <c r="AF487">
        <v>2</v>
      </c>
      <c r="AG487">
        <v>0</v>
      </c>
      <c r="AH487">
        <v>0</v>
      </c>
      <c r="AI487">
        <v>0</v>
      </c>
      <c r="AJ487">
        <v>0</v>
      </c>
      <c r="AK487">
        <v>0</v>
      </c>
      <c r="AL487">
        <v>0</v>
      </c>
      <c r="AM487">
        <v>0</v>
      </c>
      <c r="AN487">
        <v>0</v>
      </c>
      <c r="AO487">
        <v>0</v>
      </c>
      <c r="AP487">
        <v>0</v>
      </c>
      <c r="AQ487">
        <v>0</v>
      </c>
      <c r="AR487">
        <v>0</v>
      </c>
      <c r="AS487">
        <v>0</v>
      </c>
      <c r="AT487">
        <v>0</v>
      </c>
      <c r="AU487">
        <v>0</v>
      </c>
      <c r="AV487">
        <v>0</v>
      </c>
      <c r="AW487">
        <v>0</v>
      </c>
      <c r="AX487" s="141">
        <f>COUNTIF(V487:AW487,"&lt;&gt;0")</f>
        <v>2</v>
      </c>
      <c r="AY487" s="141">
        <f>COUNTIF(V487:AL487,"&lt;&gt;0")</f>
        <v>2</v>
      </c>
      <c r="AZ487">
        <f>COUNTIF(V487:AC487,"&lt;&gt;0")</f>
        <v>1</v>
      </c>
      <c r="BA487">
        <f>COUNTIF(AD487:AI487,"&lt;&gt;0")</f>
        <v>1</v>
      </c>
      <c r="BB487">
        <f>COUNTIF(AJ487:AL487,"&lt;&gt;0")</f>
        <v>0</v>
      </c>
      <c r="BC487">
        <f>COUNTIF(AS487:AW487,"&lt;&gt;0")</f>
        <v>0</v>
      </c>
      <c r="BD487">
        <f>COUNTIF(AM487:AR487,"&lt;&gt;0")</f>
        <v>0</v>
      </c>
      <c r="BE487" t="str">
        <f t="array" ref="BE487">IF(AY487=1,INDEX($V$7:$AL$7,MATCH(TRUE,INDEX($V487:$AW487&lt;&gt;0,),0)),IF(AY487=0,INDEX($AM$7:$AW$7,MATCH(1,$AM487:$AW487,0)),IF(BF487="Multiple strategies","mixed drivers",IF(BF487="Supply chain","multiple supply","multiple silviculture"))))</f>
        <v>mixed drivers</v>
      </c>
      <c r="BF487" s="2" t="str">
        <f t="array" ref="BF487">IF(COUNTIF(AZ487:BB487,"&lt;&gt;0")=1,INDEX($V$4:$AW$4,MATCH(TRUE,INDEX($V487:$AW487&lt;&gt;0,),0)),IF(COUNTIF(AZ487:BB487,"&lt;&gt;0")=0,INDEX($AM$4:$AW$4,MATCH(1,$AM487:$AW487,0)),"Multiple strategies"))</f>
        <v>Multiple strategies</v>
      </c>
      <c r="BG487" s="1" t="s">
        <v>230</v>
      </c>
      <c r="BH487" t="s">
        <v>1346</v>
      </c>
      <c r="BI487" s="260" t="s">
        <v>3279</v>
      </c>
      <c r="BJ487" t="s">
        <v>1347</v>
      </c>
      <c r="BK487">
        <v>1.1674521913429727</v>
      </c>
      <c r="BL487">
        <v>1.9442734851451886</v>
      </c>
      <c r="BM487">
        <f>BL487/BK487</f>
        <v>1.6653988056749489</v>
      </c>
      <c r="BN487">
        <f>BL487-BK487</f>
        <v>0.77682129380221587</v>
      </c>
      <c r="BO487">
        <f>BN487*10^9</f>
        <v>776821293.80221581</v>
      </c>
      <c r="BP487" t="s">
        <v>233</v>
      </c>
      <c r="BQ487" s="320" t="s">
        <v>3283</v>
      </c>
      <c r="BR487" t="s">
        <v>1348</v>
      </c>
      <c r="BS487" s="266">
        <v>1.2013651877133071</v>
      </c>
      <c r="BT487" s="266">
        <v>3.4129692832764985E-2</v>
      </c>
      <c r="BU487" s="144">
        <f>IFERROR(BT487/BS487,"")</f>
        <v>2.840909090909139E-2</v>
      </c>
      <c r="BV487">
        <f>BT487-BS487</f>
        <v>-1.1672354948805421</v>
      </c>
      <c r="BX487">
        <f>BV487*10^9</f>
        <v>-1167235494.880542</v>
      </c>
      <c r="BY487">
        <f>IFERROR(BX487/BO487,"")</f>
        <v>-1.5025791700011359</v>
      </c>
      <c r="BZ487" s="143">
        <v>0</v>
      </c>
      <c r="CA487" s="143">
        <v>0</v>
      </c>
      <c r="CB487" s="143">
        <v>0</v>
      </c>
      <c r="CC487" s="143">
        <v>0</v>
      </c>
      <c r="CD487" s="143">
        <v>0</v>
      </c>
      <c r="CE487" s="143">
        <v>0</v>
      </c>
      <c r="CF487" s="143">
        <v>0</v>
      </c>
      <c r="CG487" s="143">
        <v>0</v>
      </c>
      <c r="CH487" s="143">
        <v>0</v>
      </c>
      <c r="CI487" s="143">
        <v>0</v>
      </c>
      <c r="CJ487" s="143">
        <v>0</v>
      </c>
      <c r="CK487" s="143">
        <v>0</v>
      </c>
      <c r="CL487" s="143">
        <v>0</v>
      </c>
      <c r="CM487">
        <v>0</v>
      </c>
      <c r="CN487" t="str">
        <f>IF($BL487&lt;$BK487,"refNeedCorrection","refOK")</f>
        <v>refOK</v>
      </c>
      <c r="CO487">
        <f>IF($CN487="refOK",$BK487,$BL487)</f>
        <v>1.1674521913429727</v>
      </c>
      <c r="CP487">
        <f>IF($CN487="refOK",$BL487,$BK487)</f>
        <v>1.9442734851451886</v>
      </c>
      <c r="CQ487">
        <f>IF($CN487="refOK",$BO487,-$BO487)</f>
        <v>776821293.80221581</v>
      </c>
      <c r="CR487">
        <f>IF($CN487="refOK",$BS487,$BT487)*IF($BP487="Emissions positive",-1,1)</f>
        <v>1.2013651877133071</v>
      </c>
      <c r="CS487">
        <f>IF($CN487="refOK",$BT487,$BS487)*IF($BP487="Emissions positive",-1,1)</f>
        <v>3.4129692832764985E-2</v>
      </c>
      <c r="CT487">
        <f>IF($CN487="refNeedCorrection",-BX487,BX487)*IF($BP487="Emissions positive",-1,1)</f>
        <v>-1167235494.880542</v>
      </c>
      <c r="CU487">
        <f>IFERROR(CT487/CQ487,"")</f>
        <v>-1.5025791700011359</v>
      </c>
      <c r="CV487" s="2">
        <f>IFERROR((CS487-CR487)/ABS(CR487),"")</f>
        <v>-0.97159090909090862</v>
      </c>
      <c r="CW487" s="1" t="s">
        <v>1205</v>
      </c>
      <c r="CX487" t="str">
        <f>IF(OR($CW487="prd",$CW487="std",$CW487="cit"),"loc",IF(OR($CW487="eur",$CW487="reg",$CW487="coy"),"reg",$CW487))</f>
        <v>reg</v>
      </c>
      <c r="CY487" t="s">
        <v>668</v>
      </c>
      <c r="CZ487">
        <v>2010</v>
      </c>
      <c r="DA487">
        <v>2100</v>
      </c>
      <c r="DB487">
        <f>DA487-CZ487</f>
        <v>90</v>
      </c>
      <c r="DC487" t="str">
        <f>IF(DB487=0,"0",IF(AND(DB487&gt;=1,DB487&lt;=30),"1-30",IF(AND(DB487&gt;30,DB487&lt;=70),"31-70",IF(AND(DB487&gt;70,DB487&lt;=100),"71-100",IF(DB487&gt;100,"+100")))))</f>
        <v>71-100</v>
      </c>
      <c r="DD487">
        <v>0</v>
      </c>
      <c r="DE487">
        <v>1</v>
      </c>
      <c r="DF487">
        <v>1</v>
      </c>
      <c r="DG487">
        <v>1</v>
      </c>
      <c r="DI487">
        <f>SUM(DD487:DG487)</f>
        <v>3</v>
      </c>
      <c r="DJ487" t="str">
        <f>IF(DI487=1,INDEX($DD$7:$DG$7,MATCH(1,$DD487:$DG487,0)),"mixedProduct")</f>
        <v>mixedProduct</v>
      </c>
      <c r="DK487">
        <f>IF(DD487=1,DK$7,0)</f>
        <v>0</v>
      </c>
      <c r="DL487" t="str">
        <f>IF(DE487=1,DL$7,0)</f>
        <v>Energy</v>
      </c>
      <c r="DM487" t="str">
        <f>IF(DF487=1,DM$7,0)</f>
        <v>Pulp/Paper</v>
      </c>
      <c r="DN487" t="str">
        <f>IF(DG487=1,DN$7,0)</f>
        <v>Timber</v>
      </c>
      <c r="DO487">
        <v>1</v>
      </c>
      <c r="DP487" s="143">
        <v>0</v>
      </c>
      <c r="DQ487" s="143">
        <v>0</v>
      </c>
      <c r="DR487" s="143">
        <v>0</v>
      </c>
      <c r="DS487">
        <v>0</v>
      </c>
      <c r="DT487">
        <f>SUM(DO487:DP487)</f>
        <v>1</v>
      </c>
      <c r="DU487" s="143" t="str">
        <f>IF(DO487=1,"self-calculated DF",IF(DP487=1,"external DF used","explicit C balance"))</f>
        <v>self-calculated DF</v>
      </c>
      <c r="DV487">
        <v>1</v>
      </c>
      <c r="DW487" s="143">
        <v>1</v>
      </c>
      <c r="DX487" s="143">
        <v>1</v>
      </c>
      <c r="DY487" s="143">
        <v>1</v>
      </c>
      <c r="DZ487">
        <v>1</v>
      </c>
      <c r="EA487" s="141">
        <v>0</v>
      </c>
      <c r="EB487">
        <v>0</v>
      </c>
      <c r="EC487" s="143">
        <v>0</v>
      </c>
      <c r="ED487" s="143">
        <v>0</v>
      </c>
      <c r="EE487">
        <v>0</v>
      </c>
      <c r="EF487">
        <v>1</v>
      </c>
      <c r="EG487" s="143">
        <v>0</v>
      </c>
      <c r="EH487" s="143">
        <v>0</v>
      </c>
      <c r="EI487" s="2">
        <v>0</v>
      </c>
      <c r="EK487" t="str">
        <f>IF(AND(AND(AND(OR($DX487=1,$DW487=1),OR($EC487=1,$EA487=1)),SUM($DV487:$DZ487,$EF487)&gt;=4),SUM($EA487:$EE487)&gt;=2),"Whole sector","")</f>
        <v/>
      </c>
      <c r="EL487" t="str">
        <f>IF(AND(AND(OR($DX487=1,$DW487=1),AND($EC487=0,$EA487=0)),SUM($DV487:$DZ487,$EF487)&gt;=4),"Ecosystem approach","")</f>
        <v>Ecosystem approach</v>
      </c>
      <c r="EM487" s="2" t="str">
        <f>IF(AND(AND(AND($DX487=0,$DW487=0),OR($EC487=1,$EA487=1)),SUM($EB487:$EE487)&gt;=2),"Technology approach","")</f>
        <v/>
      </c>
      <c r="EN487" t="s">
        <v>3284</v>
      </c>
      <c r="EP487" t="str">
        <f>IF(ISNUMBER(BU487),IF(ABS(BU487-[4]QC_indicators!$B$2)&gt;3*[4]QC_indicators!$C$2,"C ratio",IF(ISNUMBER(BY487),IF(ABS(BY487-[4]QC_indicators!$B$1)&gt;3*[4]QC_indicators!$C$1,"DF","no"))),IF(ISNUMBER(BY487),IF(ABS(BY487-[4]QC_indicators!$B$1)&gt;3*[4]QC_indicators!$C$1,"DF","no")))</f>
        <v>no</v>
      </c>
      <c r="ET487" s="266" t="s">
        <v>3275</v>
      </c>
    </row>
    <row r="488" spans="1:150" ht="15" customHeight="1">
      <c r="A488" s="1" t="s">
        <v>1288</v>
      </c>
      <c r="B488" t="s">
        <v>1338</v>
      </c>
      <c r="C488" t="s">
        <v>1339</v>
      </c>
      <c r="D488" t="s">
        <v>1340</v>
      </c>
      <c r="E488" t="s">
        <v>1341</v>
      </c>
      <c r="F488" t="s">
        <v>1342</v>
      </c>
      <c r="G488" t="s">
        <v>1294</v>
      </c>
      <c r="H488" t="s">
        <v>255</v>
      </c>
      <c r="I488">
        <v>2016</v>
      </c>
      <c r="J488">
        <v>27</v>
      </c>
      <c r="K488" t="s">
        <v>1343</v>
      </c>
      <c r="M488" t="str">
        <f>LEFT($D488,FIND(",",$D488)-1)&amp;"_"&amp;I488&amp;L488</f>
        <v>Braun_2016</v>
      </c>
      <c r="N488" t="s">
        <v>223</v>
      </c>
      <c r="O488" s="145" t="s">
        <v>224</v>
      </c>
      <c r="Q488" t="s">
        <v>257</v>
      </c>
      <c r="R488" s="255" t="s">
        <v>226</v>
      </c>
      <c r="S488" s="1" t="s">
        <v>1350</v>
      </c>
      <c r="T488" t="s">
        <v>1345</v>
      </c>
      <c r="U488" t="s">
        <v>1351</v>
      </c>
      <c r="V488">
        <v>0</v>
      </c>
      <c r="W488">
        <v>0</v>
      </c>
      <c r="X488">
        <v>0</v>
      </c>
      <c r="Y488">
        <v>1</v>
      </c>
      <c r="Z488">
        <v>0</v>
      </c>
      <c r="AA488">
        <v>0</v>
      </c>
      <c r="AB488">
        <v>0</v>
      </c>
      <c r="AC488">
        <v>0</v>
      </c>
      <c r="AD488">
        <v>0</v>
      </c>
      <c r="AE488">
        <v>0</v>
      </c>
      <c r="AF488">
        <v>2</v>
      </c>
      <c r="AG488">
        <v>0</v>
      </c>
      <c r="AH488">
        <v>0</v>
      </c>
      <c r="AI488">
        <v>0</v>
      </c>
      <c r="AJ488">
        <v>0</v>
      </c>
      <c r="AK488">
        <v>0</v>
      </c>
      <c r="AL488">
        <v>0</v>
      </c>
      <c r="AM488">
        <v>0</v>
      </c>
      <c r="AN488">
        <v>0</v>
      </c>
      <c r="AO488">
        <v>0</v>
      </c>
      <c r="AP488">
        <v>0</v>
      </c>
      <c r="AQ488">
        <v>0</v>
      </c>
      <c r="AR488">
        <v>0</v>
      </c>
      <c r="AS488">
        <v>0</v>
      </c>
      <c r="AT488">
        <v>0</v>
      </c>
      <c r="AU488">
        <v>0</v>
      </c>
      <c r="AV488">
        <v>0</v>
      </c>
      <c r="AW488">
        <v>0</v>
      </c>
      <c r="AX488" s="141">
        <f>COUNTIF(V488:AW488,"&lt;&gt;0")</f>
        <v>2</v>
      </c>
      <c r="AY488" s="141">
        <f>COUNTIF(V488:AL488,"&lt;&gt;0")</f>
        <v>2</v>
      </c>
      <c r="AZ488">
        <f>COUNTIF(V488:AC488,"&lt;&gt;0")</f>
        <v>1</v>
      </c>
      <c r="BA488">
        <f>COUNTIF(AD488:AI488,"&lt;&gt;0")</f>
        <v>1</v>
      </c>
      <c r="BB488">
        <f>COUNTIF(AJ488:AL488,"&lt;&gt;0")</f>
        <v>0</v>
      </c>
      <c r="BC488">
        <f>COUNTIF(AS488:AW488,"&lt;&gt;0")</f>
        <v>0</v>
      </c>
      <c r="BD488">
        <f>COUNTIF(AM488:AR488,"&lt;&gt;0")</f>
        <v>0</v>
      </c>
      <c r="BE488" t="str">
        <f t="array" ref="BE488">IF(AY488=1,INDEX($V$7:$AL$7,MATCH(TRUE,INDEX($V488:$AW488&lt;&gt;0,),0)),IF(AY488=0,INDEX($AM$7:$AW$7,MATCH(1,$AM488:$AW488,0)),IF(BF488="Multiple strategies","mixed drivers",IF(BF488="Supply chain","multiple supply","multiple silviculture"))))</f>
        <v>mixed drivers</v>
      </c>
      <c r="BF488" s="2" t="str">
        <f t="array" ref="BF488">IF(COUNTIF(AZ488:BB488,"&lt;&gt;0")=1,INDEX($V$4:$AW$4,MATCH(TRUE,INDEX($V488:$AW488&lt;&gt;0,),0)),IF(COUNTIF(AZ488:BB488,"&lt;&gt;0")=0,INDEX($AM$4:$AW$4,MATCH(1,$AM488:$AW488,0)),"Multiple strategies"))</f>
        <v>Multiple strategies</v>
      </c>
      <c r="BG488" s="1" t="s">
        <v>230</v>
      </c>
      <c r="BH488" t="s">
        <v>1346</v>
      </c>
      <c r="BI488" s="260" t="s">
        <v>3279</v>
      </c>
      <c r="BJ488" t="s">
        <v>1347</v>
      </c>
      <c r="BK488">
        <v>1.1674521913429727</v>
      </c>
      <c r="BL488">
        <v>1.9442734851451886</v>
      </c>
      <c r="BM488">
        <f>BL488/BK488</f>
        <v>1.6653988056749489</v>
      </c>
      <c r="BN488">
        <f>BL488-BK488</f>
        <v>0.77682129380221587</v>
      </c>
      <c r="BO488">
        <f>BN488*10^9</f>
        <v>776821293.80221581</v>
      </c>
      <c r="BP488" t="s">
        <v>233</v>
      </c>
      <c r="BQ488" s="320" t="s">
        <v>3282</v>
      </c>
      <c r="BR488" t="s">
        <v>1348</v>
      </c>
      <c r="BS488" s="266">
        <v>1.0255972696245701</v>
      </c>
      <c r="BT488" s="266">
        <v>-0.16211604095563101</v>
      </c>
      <c r="BU488" s="144">
        <f>IFERROR(BT488/BS488,"")</f>
        <v>-0.15806988352745438</v>
      </c>
      <c r="BV488">
        <f>BT488-BS488</f>
        <v>-1.1877133105802011</v>
      </c>
      <c r="BX488">
        <f>BV488*10^9</f>
        <v>-1187713310.5802011</v>
      </c>
      <c r="BY488">
        <f>IFERROR(BX488/BO488,"")</f>
        <v>-1.5289402080713319</v>
      </c>
      <c r="BZ488" s="143">
        <v>0</v>
      </c>
      <c r="CA488" s="143">
        <v>0</v>
      </c>
      <c r="CB488" s="143">
        <v>0</v>
      </c>
      <c r="CC488" s="143">
        <v>0</v>
      </c>
      <c r="CD488" s="143">
        <v>0</v>
      </c>
      <c r="CE488" s="143">
        <v>0</v>
      </c>
      <c r="CF488" s="143">
        <v>0</v>
      </c>
      <c r="CG488" s="143">
        <v>0</v>
      </c>
      <c r="CH488" s="143">
        <v>0</v>
      </c>
      <c r="CI488" s="143">
        <v>0</v>
      </c>
      <c r="CJ488" s="143">
        <v>0</v>
      </c>
      <c r="CK488" s="143">
        <v>0</v>
      </c>
      <c r="CL488" s="143">
        <v>0</v>
      </c>
      <c r="CM488">
        <v>0</v>
      </c>
      <c r="CN488" t="str">
        <f>IF($BL488&lt;$BK488,"refNeedCorrection","refOK")</f>
        <v>refOK</v>
      </c>
      <c r="CO488">
        <f>IF($CN488="refOK",$BK488,$BL488)</f>
        <v>1.1674521913429727</v>
      </c>
      <c r="CP488">
        <f>IF($CN488="refOK",$BL488,$BK488)</f>
        <v>1.9442734851451886</v>
      </c>
      <c r="CQ488">
        <f>IF($CN488="refOK",$BO488,-$BO488)</f>
        <v>776821293.80221581</v>
      </c>
      <c r="CR488">
        <f>IF($CN488="refOK",$BS488,$BT488)*IF($BP488="Emissions positive",-1,1)</f>
        <v>1.0255972696245701</v>
      </c>
      <c r="CS488">
        <f>IF($CN488="refOK",$BT488,$BS488)*IF($BP488="Emissions positive",-1,1)</f>
        <v>-0.16211604095563101</v>
      </c>
      <c r="CT488">
        <f>IF($CN488="refNeedCorrection",-BX488,BX488)*IF($BP488="Emissions positive",-1,1)</f>
        <v>-1187713310.5802011</v>
      </c>
      <c r="CU488">
        <f>IFERROR(CT488/CQ488,"")</f>
        <v>-1.5289402080713319</v>
      </c>
      <c r="CV488" s="2">
        <f>IFERROR((CS488-CR488)/ABS(CR488),"")</f>
        <v>-1.1580698835274543</v>
      </c>
      <c r="CW488" s="1" t="s">
        <v>1205</v>
      </c>
      <c r="CX488" t="str">
        <f>IF(OR($CW488="prd",$CW488="std",$CW488="cit"),"loc",IF(OR($CW488="eur",$CW488="reg",$CW488="coy"),"reg",$CW488))</f>
        <v>reg</v>
      </c>
      <c r="CY488" t="s">
        <v>668</v>
      </c>
      <c r="CZ488">
        <v>2010</v>
      </c>
      <c r="DA488">
        <v>2100</v>
      </c>
      <c r="DB488">
        <f>DA488-CZ488</f>
        <v>90</v>
      </c>
      <c r="DC488" t="str">
        <f>IF(DB488=0,"0",IF(AND(DB488&gt;=1,DB488&lt;=30),"1-30",IF(AND(DB488&gt;30,DB488&lt;=70),"31-70",IF(AND(DB488&gt;70,DB488&lt;=100),"71-100",IF(DB488&gt;100,"+100")))))</f>
        <v>71-100</v>
      </c>
      <c r="DD488">
        <v>0</v>
      </c>
      <c r="DE488">
        <v>1</v>
      </c>
      <c r="DF488">
        <v>1</v>
      </c>
      <c r="DG488">
        <v>1</v>
      </c>
      <c r="DI488">
        <f>SUM(DD488:DG488)</f>
        <v>3</v>
      </c>
      <c r="DJ488" t="str">
        <f>IF(DI488=1,INDEX($DD$7:$DG$7,MATCH(1,$DD488:$DG488,0)),"mixedProduct")</f>
        <v>mixedProduct</v>
      </c>
      <c r="DK488">
        <f>IF(DD488=1,DK$7,0)</f>
        <v>0</v>
      </c>
      <c r="DL488" t="str">
        <f>IF(DE488=1,DL$7,0)</f>
        <v>Energy</v>
      </c>
      <c r="DM488" t="str">
        <f>IF(DF488=1,DM$7,0)</f>
        <v>Pulp/Paper</v>
      </c>
      <c r="DN488" t="str">
        <f>IF(DG488=1,DN$7,0)</f>
        <v>Timber</v>
      </c>
      <c r="DO488">
        <v>1</v>
      </c>
      <c r="DP488" s="143">
        <v>0</v>
      </c>
      <c r="DQ488" s="143">
        <v>0</v>
      </c>
      <c r="DR488" s="143">
        <v>0</v>
      </c>
      <c r="DS488">
        <v>0</v>
      </c>
      <c r="DT488">
        <f>SUM(DO488:DP488)</f>
        <v>1</v>
      </c>
      <c r="DU488" s="143" t="str">
        <f>IF(DO488=1,"self-calculated DF",IF(DP488=1,"external DF used","explicit C balance"))</f>
        <v>self-calculated DF</v>
      </c>
      <c r="DV488">
        <v>1</v>
      </c>
      <c r="DW488" s="143">
        <v>1</v>
      </c>
      <c r="DX488" s="143">
        <v>1</v>
      </c>
      <c r="DY488" s="143">
        <v>0</v>
      </c>
      <c r="DZ488">
        <v>0</v>
      </c>
      <c r="EA488" s="141">
        <v>0</v>
      </c>
      <c r="EB488">
        <v>0</v>
      </c>
      <c r="EC488" s="143">
        <v>0</v>
      </c>
      <c r="ED488" s="143">
        <v>0</v>
      </c>
      <c r="EE488">
        <v>0</v>
      </c>
      <c r="EF488">
        <v>1</v>
      </c>
      <c r="EG488" s="143">
        <v>0</v>
      </c>
      <c r="EH488" s="143">
        <v>0</v>
      </c>
      <c r="EI488" s="2">
        <v>0</v>
      </c>
      <c r="EK488" t="str">
        <f>IF(AND(AND(AND(OR($DX488=1,$DW488=1),OR($EC488=1,$EA488=1)),SUM($DV488:$DZ488,$EF488)&gt;=4),SUM($EA488:$EE488)&gt;=2),"Whole sector","")</f>
        <v/>
      </c>
      <c r="EL488" t="str">
        <f>IF(AND(AND(OR($DX488=1,$DW488=1),AND($EC488=0,$EA488=0)),SUM($DV488:$DZ488,$EF488)&gt;=4),"Ecosystem approach","")</f>
        <v>Ecosystem approach</v>
      </c>
      <c r="EM488" s="2" t="str">
        <f>IF(AND(AND(AND($DX488=0,$DW488=0),OR($EC488=1,$EA488=1)),SUM($EB488:$EE488)&gt;=2),"Technology approach","")</f>
        <v/>
      </c>
      <c r="EN488" t="s">
        <v>3284</v>
      </c>
      <c r="EP488" t="str">
        <f>IF(ISNUMBER(BU488),IF(ABS(BU488-[4]QC_indicators!$B$2)&gt;3*[4]QC_indicators!$C$2,"C ratio",IF(ISNUMBER(BY488),IF(ABS(BY488-[4]QC_indicators!$B$1)&gt;3*[4]QC_indicators!$C$1,"DF","no"))),IF(ISNUMBER(BY488),IF(ABS(BY488-[4]QC_indicators!$B$1)&gt;3*[4]QC_indicators!$C$1,"DF","no")))</f>
        <v>no</v>
      </c>
      <c r="ET488" s="266" t="s">
        <v>3275</v>
      </c>
    </row>
    <row r="489" spans="1:150" ht="15" customHeight="1">
      <c r="A489" s="1" t="s">
        <v>1425</v>
      </c>
      <c r="B489" t="s">
        <v>2492</v>
      </c>
      <c r="C489" t="s">
        <v>2493</v>
      </c>
      <c r="D489" t="s">
        <v>2494</v>
      </c>
      <c r="E489" t="s">
        <v>2495</v>
      </c>
      <c r="F489" t="s">
        <v>2496</v>
      </c>
      <c r="G489" t="s">
        <v>1431</v>
      </c>
      <c r="H489" t="s">
        <v>255</v>
      </c>
      <c r="I489">
        <v>2016</v>
      </c>
      <c r="J489">
        <v>24</v>
      </c>
      <c r="K489" t="s">
        <v>2497</v>
      </c>
      <c r="M489" t="str">
        <f>LEFT($D489,FIND(",",$D489)-1)&amp;"_"&amp;I489&amp;L489</f>
        <v>Zubizarreta-Gerendiain_2016</v>
      </c>
      <c r="N489" t="s">
        <v>223</v>
      </c>
      <c r="O489" s="145" t="s">
        <v>1156</v>
      </c>
      <c r="Q489" t="s">
        <v>257</v>
      </c>
      <c r="R489" s="264" t="s">
        <v>224</v>
      </c>
      <c r="S489" s="1" t="s">
        <v>2528</v>
      </c>
      <c r="T489" t="s">
        <v>2511</v>
      </c>
      <c r="U489" t="s">
        <v>2529</v>
      </c>
      <c r="V489">
        <v>0</v>
      </c>
      <c r="W489">
        <v>0</v>
      </c>
      <c r="X489">
        <v>0</v>
      </c>
      <c r="Y489">
        <v>1</v>
      </c>
      <c r="Z489">
        <v>0</v>
      </c>
      <c r="AA489">
        <v>0</v>
      </c>
      <c r="AB489">
        <v>0</v>
      </c>
      <c r="AC489">
        <v>0</v>
      </c>
      <c r="AD489">
        <v>0</v>
      </c>
      <c r="AE489">
        <v>0</v>
      </c>
      <c r="AF489">
        <v>0</v>
      </c>
      <c r="AG489">
        <v>0</v>
      </c>
      <c r="AH489">
        <v>0</v>
      </c>
      <c r="AI489">
        <v>0</v>
      </c>
      <c r="AJ489">
        <v>0</v>
      </c>
      <c r="AK489">
        <v>0</v>
      </c>
      <c r="AL489">
        <v>0</v>
      </c>
      <c r="AM489">
        <v>0</v>
      </c>
      <c r="AN489">
        <v>0</v>
      </c>
      <c r="AO489">
        <v>0</v>
      </c>
      <c r="AP489">
        <v>0</v>
      </c>
      <c r="AQ489">
        <v>0</v>
      </c>
      <c r="AR489">
        <v>0</v>
      </c>
      <c r="AS489">
        <v>0</v>
      </c>
      <c r="AT489">
        <v>0</v>
      </c>
      <c r="AU489">
        <v>0</v>
      </c>
      <c r="AV489">
        <v>0</v>
      </c>
      <c r="AW489">
        <v>0</v>
      </c>
      <c r="AX489" s="141">
        <f>COUNTIF(V489:AW489,"&lt;&gt;0")</f>
        <v>1</v>
      </c>
      <c r="AY489" s="141">
        <f>COUNTIF(V489:AL489,"&lt;&gt;0")</f>
        <v>1</v>
      </c>
      <c r="AZ489">
        <f>COUNTIF(V489:AC489,"&lt;&gt;0")</f>
        <v>1</v>
      </c>
      <c r="BA489">
        <f>COUNTIF(AD489:AI489,"&lt;&gt;0")</f>
        <v>0</v>
      </c>
      <c r="BB489">
        <f>COUNTIF(AJ489:AL489,"&lt;&gt;0")</f>
        <v>0</v>
      </c>
      <c r="BC489">
        <f>COUNTIF(AS489:AW489,"&lt;&gt;0")</f>
        <v>0</v>
      </c>
      <c r="BD489">
        <f>COUNTIF(AM489:AR489,"&lt;&gt;0")</f>
        <v>0</v>
      </c>
      <c r="BE489" t="str">
        <f t="array" ref="BE489">IF(AY489=1,INDEX($V$7:$AL$7,MATCH(TRUE,INDEX($V489:$AW489&lt;&gt;0,),0)),IF(AY489=0,INDEX($AM$7:$AW$7,MATCH(1,$AM489:$AW489,0)),IF(BF489="Multiple strategies","mixed drivers",IF(BF489="Supply chain","multiple supply","multiple silviculture"))))</f>
        <v xml:space="preserve">cutting intensity </v>
      </c>
      <c r="BF489" s="2" t="str" cm="1">
        <f t="array" ref="BF489">IF(COUNTIF(AZ489:BB489,"&lt;&gt;0")=1,INDEX($V$4:$AW$4,MATCH(TRUE,INDEX($V489:$AW489&lt;&gt;0,),0)),IF(COUNTIF(AZ489:BB489,"&lt;&gt;0")=0,INDEX($AM$4:$AW$4,MATCH(1,$AM489:$AW489,0)),"Multiple strategies"))</f>
        <v>SilvicultureRemov</v>
      </c>
      <c r="BG489" s="1" t="s">
        <v>322</v>
      </c>
      <c r="BH489" t="s">
        <v>2501</v>
      </c>
      <c r="BI489" s="266" t="s">
        <v>2115</v>
      </c>
      <c r="BJ489" t="s">
        <v>2502</v>
      </c>
      <c r="BK489">
        <v>64.910485933503793</v>
      </c>
      <c r="BL489">
        <v>77.586206896551701</v>
      </c>
      <c r="BM489" s="143">
        <f>BL489/BK489</f>
        <v>1.1952800195646862</v>
      </c>
      <c r="BN489">
        <f>BL489-BK489</f>
        <v>12.675720963047908</v>
      </c>
      <c r="BO489">
        <f>BN489*1000*t_to_m3</f>
        <v>25868.818291934509</v>
      </c>
      <c r="BP489" t="s">
        <v>233</v>
      </c>
      <c r="BQ489" s="143" t="s">
        <v>3258</v>
      </c>
      <c r="BR489" t="s">
        <v>1197</v>
      </c>
      <c r="BS489">
        <v>78941.884525139583</v>
      </c>
      <c r="BT489">
        <v>87186.467765363064</v>
      </c>
      <c r="BU489" s="144">
        <f>IFERROR(BT489/BS489,"")</f>
        <v>1.1044386422976504</v>
      </c>
      <c r="BV489" s="144">
        <f>BT489-BS489</f>
        <v>8244.583240223481</v>
      </c>
      <c r="BW489" s="144"/>
      <c r="BX489" s="144">
        <f>BV489</f>
        <v>8244.583240223481</v>
      </c>
      <c r="BY489">
        <f>IFERROR(BX489/BO489,"")</f>
        <v>0.31870737763054341</v>
      </c>
      <c r="BZ489">
        <v>0</v>
      </c>
      <c r="CA489">
        <v>0</v>
      </c>
      <c r="CB489">
        <v>0</v>
      </c>
      <c r="CC489">
        <v>0</v>
      </c>
      <c r="CD489">
        <v>0</v>
      </c>
      <c r="CE489">
        <v>0</v>
      </c>
      <c r="CF489">
        <v>0</v>
      </c>
      <c r="CG489">
        <v>0</v>
      </c>
      <c r="CH489">
        <v>0</v>
      </c>
      <c r="CI489">
        <v>0</v>
      </c>
      <c r="CJ489">
        <v>0</v>
      </c>
      <c r="CK489">
        <v>0</v>
      </c>
      <c r="CL489">
        <v>0</v>
      </c>
      <c r="CM489">
        <v>1</v>
      </c>
      <c r="CN489" t="str">
        <f>IF($BL489&lt;$BK489,"refNeedCorrection","refOK")</f>
        <v>refOK</v>
      </c>
      <c r="CO489">
        <f>IF($CN489="refOK",$BK489,$BL489)</f>
        <v>64.910485933503793</v>
      </c>
      <c r="CP489">
        <f>IF($CN489="refOK",$BL489,$BK489)</f>
        <v>77.586206896551701</v>
      </c>
      <c r="CQ489">
        <f>IF($CN489="refOK",$BO489,-$BO489)</f>
        <v>25868.818291934509</v>
      </c>
      <c r="CR489">
        <f>IF($CN489="refOK",$BS489,$BT489)*IF($BP489="Emissions positive",-1,1)</f>
        <v>78941.884525139583</v>
      </c>
      <c r="CS489">
        <f>IF($CN489="refOK",$BT489,$BS489)*IF($BP489="Emissions positive",-1,1)</f>
        <v>87186.467765363064</v>
      </c>
      <c r="CT489">
        <f>IF($CN489="refNeedCorrection",-BX489,BX489)*IF($BP489="Emissions positive",-1,1)</f>
        <v>8244.583240223481</v>
      </c>
      <c r="CU489">
        <f>IFERROR(CT489/CQ489,"")</f>
        <v>0.31870737763054341</v>
      </c>
      <c r="CV489" s="2">
        <f>IFERROR((CS489-CR489)/ABS(CR489),"")</f>
        <v>0.10443864229765046</v>
      </c>
      <c r="CW489" s="1" t="s">
        <v>1201</v>
      </c>
      <c r="CX489" t="str">
        <f>IF(OR($CW489="prd",$CW489="std",$CW489="cit"),"loc",IF(OR($CW489="eur",$CW489="reg",$CW489="coy"),"reg",$CW489))</f>
        <v>reg</v>
      </c>
      <c r="CY489" t="s">
        <v>236</v>
      </c>
      <c r="CZ489">
        <v>2010</v>
      </c>
      <c r="DA489">
        <v>2070</v>
      </c>
      <c r="DB489">
        <f>DA489-CZ489</f>
        <v>60</v>
      </c>
      <c r="DC489" t="str">
        <f>IF(DB489=0,"0",IF(AND(DB489&gt;=1,DB489&lt;=30),"1-30",IF(AND(DB489&gt;30,DB489&lt;=70),"31-70",IF(AND(DB489&gt;70,DB489&lt;=100),"71-100",IF(DB489&gt;100,"+100")))))</f>
        <v>31-70</v>
      </c>
      <c r="DD489">
        <v>1</v>
      </c>
      <c r="DE489">
        <v>1</v>
      </c>
      <c r="DF489">
        <v>1</v>
      </c>
      <c r="DG489">
        <v>1</v>
      </c>
      <c r="DH489">
        <v>0</v>
      </c>
      <c r="DI489">
        <f>SUM(DD489:DG489)</f>
        <v>4</v>
      </c>
      <c r="DJ489" t="str">
        <f>IF(DI489=1,INDEX($DD$7:$DG$7,MATCH(1,$DD489:$DG489,0)),"mixedProduct")</f>
        <v>mixedProduct</v>
      </c>
      <c r="DK489" t="str">
        <f>IF(DD489=1,DK$7,0)</f>
        <v>Upstream</v>
      </c>
      <c r="DL489" t="str">
        <f>IF(DE489=1,DL$7,0)</f>
        <v>Energy</v>
      </c>
      <c r="DM489" t="str">
        <f>IF(DF489=1,DM$7,0)</f>
        <v>Pulp/Paper</v>
      </c>
      <c r="DN489" t="str">
        <f>IF(DG489=1,DN$7,0)</f>
        <v>Timber</v>
      </c>
      <c r="DO489">
        <v>0</v>
      </c>
      <c r="DP489">
        <v>0</v>
      </c>
      <c r="DQ489">
        <v>0</v>
      </c>
      <c r="DR489">
        <v>0</v>
      </c>
      <c r="DS489">
        <v>0</v>
      </c>
      <c r="DT489">
        <f>SUM(DO489:DP489)</f>
        <v>0</v>
      </c>
      <c r="DU489" s="143" t="str">
        <f>IF(DO489=1,"self-calculated DF",IF(DP489=1,"external DF used","explicit C balance"))</f>
        <v>explicit C balance</v>
      </c>
      <c r="DV489">
        <v>1</v>
      </c>
      <c r="DW489">
        <v>1</v>
      </c>
      <c r="DX489">
        <v>1</v>
      </c>
      <c r="DY489">
        <v>1</v>
      </c>
      <c r="DZ489">
        <v>0</v>
      </c>
      <c r="EA489" s="143">
        <v>0</v>
      </c>
      <c r="EB489">
        <v>0</v>
      </c>
      <c r="EC489">
        <v>0</v>
      </c>
      <c r="ED489">
        <v>0</v>
      </c>
      <c r="EE489">
        <v>0</v>
      </c>
      <c r="EF489">
        <v>1</v>
      </c>
      <c r="EG489">
        <v>0</v>
      </c>
      <c r="EH489">
        <v>0</v>
      </c>
      <c r="EI489" s="2">
        <v>0</v>
      </c>
      <c r="EK489" t="str">
        <f>IF(AND(AND(AND(OR($DX489=1,$DW489=1),OR($EC489=1,$EA489=1)),SUM($DV489:$DZ489,$EF489)&gt;=4),SUM($EA489:$EE489)&gt;=2),"Whole sector","")</f>
        <v/>
      </c>
      <c r="EL489" t="str">
        <f>IF(AND(AND(OR($DX489=1,$DW489=1),AND($EC489=0,$EA489=0)),SUM($DV489:$DZ489,$EF489)&gt;=4),"Ecosystem approach","")</f>
        <v>Ecosystem approach</v>
      </c>
      <c r="EM489" s="2" t="str">
        <f>IF(AND(AND(AND($DX489=0,$DW489=0),OR($EC489=1,$EA489=1)),SUM($EB489:$EE489)&gt;=2),"Technology approach","")</f>
        <v/>
      </c>
      <c r="EP489" t="str">
        <f>IF(ISNUMBER(BU489),IF(ABS(BU489-[2]QC_indicators!$B$2)&gt;3*[2]QC_indicators!$C$2,"C ratio",IF(ISNUMBER(BY489),IF(ABS(BY489-[2]QC_indicators!$B$1)&gt;3*[2]QC_indicators!$C$1,"DF","no"))),IF(ISNUMBER(BY489),IF(ABS(BY489-[2]QC_indicators!$B$1)&gt;3*[2]QC_indicators!$C$1,"DF","no")))</f>
        <v>no</v>
      </c>
      <c r="ET489" s="266" t="s">
        <v>3260</v>
      </c>
    </row>
    <row r="490" spans="1:150" ht="15" hidden="1" customHeight="1">
      <c r="A490" s="1" t="s">
        <v>266</v>
      </c>
      <c r="B490" t="s">
        <v>267</v>
      </c>
      <c r="C490" t="s">
        <v>268</v>
      </c>
      <c r="D490" t="s">
        <v>269</v>
      </c>
      <c r="E490" t="s">
        <v>270</v>
      </c>
      <c r="F490" t="s">
        <v>271</v>
      </c>
      <c r="G490" t="s">
        <v>272</v>
      </c>
      <c r="H490" t="s">
        <v>255</v>
      </c>
      <c r="I490">
        <v>2022</v>
      </c>
      <c r="J490">
        <v>0</v>
      </c>
      <c r="K490" t="s">
        <v>273</v>
      </c>
      <c r="M490" t="s">
        <v>274</v>
      </c>
      <c r="N490" t="s">
        <v>223</v>
      </c>
      <c r="O490" s="145" t="s">
        <v>275</v>
      </c>
      <c r="Q490" t="s">
        <v>225</v>
      </c>
      <c r="R490" s="264" t="s">
        <v>224</v>
      </c>
      <c r="S490" s="265" t="s">
        <v>3111</v>
      </c>
      <c r="T490" t="s">
        <v>276</v>
      </c>
      <c r="U490" t="s">
        <v>277</v>
      </c>
      <c r="V490">
        <v>1</v>
      </c>
      <c r="W490">
        <v>0</v>
      </c>
      <c r="X490">
        <v>0</v>
      </c>
      <c r="Y490">
        <v>0</v>
      </c>
      <c r="Z490">
        <v>0</v>
      </c>
      <c r="AA490">
        <v>0</v>
      </c>
      <c r="AB490">
        <v>0</v>
      </c>
      <c r="AC490">
        <v>0</v>
      </c>
      <c r="AD490">
        <v>0</v>
      </c>
      <c r="AE490">
        <v>0</v>
      </c>
      <c r="AF490">
        <v>0</v>
      </c>
      <c r="AG490">
        <v>0</v>
      </c>
      <c r="AH490">
        <v>0</v>
      </c>
      <c r="AI490">
        <v>0</v>
      </c>
      <c r="AJ490">
        <v>0</v>
      </c>
      <c r="AK490">
        <v>0</v>
      </c>
      <c r="AL490">
        <v>0</v>
      </c>
      <c r="AM490">
        <v>0</v>
      </c>
      <c r="AN490">
        <v>0</v>
      </c>
      <c r="AO490">
        <v>0</v>
      </c>
      <c r="AP490">
        <v>0</v>
      </c>
      <c r="AQ490">
        <v>0</v>
      </c>
      <c r="AR490">
        <v>0</v>
      </c>
      <c r="AS490">
        <v>0</v>
      </c>
      <c r="AT490">
        <v>0</v>
      </c>
      <c r="AU490">
        <v>0</v>
      </c>
      <c r="AV490">
        <v>0</v>
      </c>
      <c r="AW490">
        <v>0</v>
      </c>
      <c r="AX490" s="141">
        <f>COUNTIF(V490:AW490,"&lt;&gt;0")</f>
        <v>1</v>
      </c>
      <c r="AY490" s="141">
        <f>COUNTIF(V490:AL490,"&lt;&gt;0")</f>
        <v>1</v>
      </c>
      <c r="AZ490">
        <f>COUNTIF(V490:AC490,"&lt;&gt;0")</f>
        <v>1</v>
      </c>
      <c r="BA490">
        <f>COUNTIF(AD490:AI490,"&lt;&gt;0")</f>
        <v>0</v>
      </c>
      <c r="BB490">
        <f>COUNTIF(AJ490:AL490,"&lt;&gt;0")</f>
        <v>0</v>
      </c>
      <c r="BC490">
        <f>COUNTIF(AS490:AW490,"&lt;&gt;0")</f>
        <v>0</v>
      </c>
      <c r="BD490">
        <f>COUNTIF(AM490:AR490,"&lt;&gt;0")</f>
        <v>0</v>
      </c>
      <c r="BE490" t="str">
        <f t="array" ref="BE490">IF(AY490=1,INDEX($V$7:$AL$7,MATCH(TRUE,INDEX($V490:$AW490&lt;&gt;0,),0)),IF(AY490=0,INDEX($AM$7:$AW$7,MATCH(1,$AM490:$AW490,0)),IF(BF490="Multiple strategies","mixed drivers",IF(BF490="Supply chain","multiple supply","multiple silviculture"))))</f>
        <v>area subject to harvest</v>
      </c>
      <c r="BF490" s="2" t="str" cm="1">
        <f t="array" ref="BF490">IF(COUNTIF(AZ490:BB490,"&lt;&gt;0")=1,INDEX($V$4:$AW$4,MATCH(TRUE,INDEX($V490:$AW490&lt;&gt;0,),0)),IF(COUNTIF(AZ490:BB490,"&lt;&gt;0")=0,INDEX($AM$4:$AW$4,MATCH(1,$AM490:$AW490,0)),"Multiple strategies"))</f>
        <v>SilvicultureRemov</v>
      </c>
      <c r="BG490" s="1" t="s">
        <v>230</v>
      </c>
      <c r="BH490" t="s">
        <v>278</v>
      </c>
      <c r="BI490" s="266" t="s">
        <v>3108</v>
      </c>
      <c r="BJ490" t="s">
        <v>279</v>
      </c>
      <c r="BK490" s="141">
        <v>135.58000000000001</v>
      </c>
      <c r="BL490">
        <v>145.3587976415094</v>
      </c>
      <c r="BN490">
        <f>BL490-BK490</f>
        <v>9.7787976415093851</v>
      </c>
      <c r="BO490">
        <f>BN490*tC_to_m3</f>
        <v>42.461127405598724</v>
      </c>
      <c r="BP490" t="s">
        <v>233</v>
      </c>
      <c r="BQ490" s="153" t="s">
        <v>3109</v>
      </c>
      <c r="BR490" t="s">
        <v>280</v>
      </c>
      <c r="BS490">
        <v>-430.22235574765915</v>
      </c>
      <c r="BT490">
        <v>-654.85817268246092</v>
      </c>
      <c r="BU490" s="144">
        <f>IFERROR(BT490/BS490,"")</f>
        <v>1.5221388752437559</v>
      </c>
      <c r="BV490">
        <f>BT490-BS490</f>
        <v>-224.63581693480177</v>
      </c>
      <c r="BX490">
        <f>BV490</f>
        <v>-224.63581693480177</v>
      </c>
      <c r="BY490">
        <f>IFERROR(BX490/BO490,"")</f>
        <v>-5.2903874828623216</v>
      </c>
      <c r="CN490" t="str">
        <f>IF($BL490&lt;$BK490,"refNeedCorrection","refOK")</f>
        <v>refOK</v>
      </c>
      <c r="CO490">
        <f>IF($CN490="refOK",$BK490,$BL490)</f>
        <v>135.58000000000001</v>
      </c>
      <c r="CP490">
        <f>IF($CN490="refOK",$BL490,$BK490)</f>
        <v>145.3587976415094</v>
      </c>
      <c r="CQ490">
        <f>IF($CN490="refOK",$BO490,-$BO490)</f>
        <v>42.461127405598724</v>
      </c>
      <c r="CR490">
        <f>IF($CN490="refOK",$BS490,$BT490)*IF($BP490="Emissions positive",-1,1)</f>
        <v>-430.22235574765915</v>
      </c>
      <c r="CS490">
        <f>IF($CN490="refOK",$BT490,$BS490)*IF($BP490="Emissions positive",-1,1)</f>
        <v>-654.85817268246092</v>
      </c>
      <c r="CT490">
        <f>IF($CN490="refNeedCorrection",-BX490,BX490)*IF($BP490="Emissions positive",-1,1)</f>
        <v>-224.63581693480177</v>
      </c>
      <c r="CU490">
        <f>IFERROR(CT490/CQ490,"")</f>
        <v>-5.2903874828623216</v>
      </c>
      <c r="CV490" s="2">
        <f>IFERROR((CS490-CR490)/ABS(CR490),"")</f>
        <v>-0.52213887524375591</v>
      </c>
      <c r="CW490" s="1" t="s">
        <v>235</v>
      </c>
      <c r="CX490" t="str">
        <f>IF(OR($CW490="prd",$CW490="std",$CW490="cit"),"loc",IF(OR($CW490="eur",$CW490="reg",$CW490="coy"),"reg",$CW490))</f>
        <v>loc</v>
      </c>
      <c r="CY490" t="s">
        <v>281</v>
      </c>
      <c r="DB490">
        <v>50</v>
      </c>
      <c r="DC490" t="str">
        <f>IF(DB490=0,"0",IF(AND(DB490&gt;=1,DB490&lt;=30),"1-30",IF(AND(DB490&gt;30,DB490&lt;=70),"31-70",IF(AND(DB490&gt;70,DB490&lt;=100),"71-100",IF(DB490&gt;100,"+100")))))</f>
        <v>31-70</v>
      </c>
      <c r="DD490">
        <v>0</v>
      </c>
      <c r="DE490">
        <v>0</v>
      </c>
      <c r="DF490">
        <v>0</v>
      </c>
      <c r="DG490">
        <v>1</v>
      </c>
      <c r="DI490">
        <v>1</v>
      </c>
      <c r="DJ490" t="s">
        <v>176</v>
      </c>
      <c r="DK490">
        <v>0</v>
      </c>
      <c r="DL490">
        <v>0</v>
      </c>
      <c r="DM490">
        <v>0</v>
      </c>
      <c r="DN490" t="s">
        <v>183</v>
      </c>
      <c r="DO490">
        <v>0</v>
      </c>
      <c r="DP490">
        <v>1</v>
      </c>
      <c r="DQ490">
        <v>0</v>
      </c>
      <c r="DR490" t="s">
        <v>282</v>
      </c>
      <c r="DS490">
        <v>0</v>
      </c>
      <c r="DT490">
        <v>1</v>
      </c>
      <c r="DU490" s="143" t="s">
        <v>283</v>
      </c>
      <c r="DV490">
        <v>0</v>
      </c>
      <c r="DW490">
        <v>1</v>
      </c>
      <c r="DX490">
        <v>1</v>
      </c>
      <c r="DY490">
        <v>1</v>
      </c>
      <c r="DZ490">
        <v>1</v>
      </c>
      <c r="EA490" s="143">
        <v>0</v>
      </c>
      <c r="EB490">
        <v>1</v>
      </c>
      <c r="EC490">
        <v>1</v>
      </c>
      <c r="ED490">
        <v>0</v>
      </c>
      <c r="EE490">
        <v>1</v>
      </c>
      <c r="EF490">
        <v>1</v>
      </c>
      <c r="EG490">
        <v>1</v>
      </c>
      <c r="EH490">
        <v>0</v>
      </c>
      <c r="EI490" s="2">
        <v>0</v>
      </c>
      <c r="EK490" t="str">
        <f>IF(AND(AND(AND(OR($DX490=1,$DW490=1),OR($EC490=1,$EA490=1)),SUM($DV490:$DZ490,$EF490)&gt;=4),SUM($EA490:$EE490)&gt;=2),"Whole sector","")</f>
        <v>Whole sector</v>
      </c>
      <c r="EL490" t="str">
        <f>IF(AND(AND(OR($DX490=1,$DW490=1),AND($EC490=0,$EA490=0)),SUM($DV490:$DZ490,$EF490)&gt;=4),"Ecosystem approach","")</f>
        <v/>
      </c>
      <c r="EM490" s="2" t="str">
        <f>IF(AND(AND(AND($DX490=0,$DW490=0),OR($EC490=1,$EA490=1)),SUM($EB490:$EE490)&gt;=2),"Technology approach","")</f>
        <v/>
      </c>
      <c r="ET490" s="266" t="s">
        <v>3275</v>
      </c>
    </row>
    <row r="491" spans="1:150" ht="15" hidden="1" customHeight="1">
      <c r="A491" s="1" t="s">
        <v>2116</v>
      </c>
      <c r="B491" t="s">
        <v>545</v>
      </c>
      <c r="C491" t="s">
        <v>2279</v>
      </c>
      <c r="D491" t="s">
        <v>2280</v>
      </c>
      <c r="E491" t="s">
        <v>2281</v>
      </c>
      <c r="F491" t="s">
        <v>2282</v>
      </c>
      <c r="G491" t="s">
        <v>2117</v>
      </c>
      <c r="H491" t="s">
        <v>255</v>
      </c>
      <c r="I491">
        <v>2014</v>
      </c>
      <c r="J491">
        <v>96</v>
      </c>
      <c r="K491" t="s">
        <v>2283</v>
      </c>
      <c r="M491" t="str">
        <f>LEFT($D491,FIND(",",$D491)-1)&amp;"_"&amp;I491&amp;L491</f>
        <v>Smyth_2014</v>
      </c>
      <c r="N491" t="s">
        <v>223</v>
      </c>
      <c r="O491" s="145" t="s">
        <v>342</v>
      </c>
      <c r="Q491" t="s">
        <v>257</v>
      </c>
      <c r="R491" s="264" t="s">
        <v>224</v>
      </c>
      <c r="S491" s="1" t="s">
        <v>2292</v>
      </c>
      <c r="T491" t="s">
        <v>1157</v>
      </c>
      <c r="U491" s="266" t="s">
        <v>2288</v>
      </c>
      <c r="V491">
        <v>0</v>
      </c>
      <c r="W491">
        <v>0</v>
      </c>
      <c r="X491">
        <v>0</v>
      </c>
      <c r="Y491">
        <v>1</v>
      </c>
      <c r="Z491">
        <v>0</v>
      </c>
      <c r="AA491">
        <v>0</v>
      </c>
      <c r="AB491">
        <v>0</v>
      </c>
      <c r="AC491">
        <v>0</v>
      </c>
      <c r="AD491">
        <v>0</v>
      </c>
      <c r="AE491">
        <v>0</v>
      </c>
      <c r="AF491">
        <v>0</v>
      </c>
      <c r="AG491">
        <v>0</v>
      </c>
      <c r="AH491">
        <v>0</v>
      </c>
      <c r="AI491">
        <v>0</v>
      </c>
      <c r="AJ491">
        <v>0</v>
      </c>
      <c r="AK491">
        <v>0</v>
      </c>
      <c r="AL491">
        <v>0</v>
      </c>
      <c r="AM491">
        <v>0</v>
      </c>
      <c r="AN491">
        <v>0</v>
      </c>
      <c r="AO491">
        <v>0</v>
      </c>
      <c r="AP491">
        <v>0</v>
      </c>
      <c r="AQ491">
        <v>0</v>
      </c>
      <c r="AR491">
        <v>0</v>
      </c>
      <c r="AS491">
        <v>0</v>
      </c>
      <c r="AT491">
        <v>0</v>
      </c>
      <c r="AU491">
        <v>0</v>
      </c>
      <c r="AV491">
        <v>0</v>
      </c>
      <c r="AW491">
        <v>0</v>
      </c>
      <c r="AX491" s="141">
        <f>COUNTIF(V491:AW491,"&lt;&gt;0")</f>
        <v>1</v>
      </c>
      <c r="AY491" s="141">
        <f>COUNTIF(V491:AL491,"&lt;&gt;0")</f>
        <v>1</v>
      </c>
      <c r="AZ491">
        <f>COUNTIF(V491:AC491,"&lt;&gt;0")</f>
        <v>1</v>
      </c>
      <c r="BA491">
        <f>COUNTIF(AD491:AI491,"&lt;&gt;0")</f>
        <v>0</v>
      </c>
      <c r="BB491">
        <f>COUNTIF(AJ491:AL491,"&lt;&gt;0")</f>
        <v>0</v>
      </c>
      <c r="BC491">
        <f>COUNTIF(AS491:AW491,"&lt;&gt;0")</f>
        <v>0</v>
      </c>
      <c r="BD491">
        <f>COUNTIF(AM491:AR491,"&lt;&gt;0")</f>
        <v>0</v>
      </c>
      <c r="BE491" t="str">
        <f t="array" ref="BE491">IF(AY491=1,INDEX($V$7:$AL$7,MATCH(TRUE,INDEX($V491:$AW491&lt;&gt;0,),0)),IF(AY491=0,INDEX($AM$7:$AW$7,MATCH(1,$AM491:$AW491,0)),IF(BF491="Multiple strategies","mixed drivers",IF(BF491="Supply chain","multiple supply","multiple silviculture"))))</f>
        <v xml:space="preserve">cutting intensity </v>
      </c>
      <c r="BF491" s="2" t="str" cm="1">
        <f t="array" ref="BF491">IF(COUNTIF(AZ491:BB491,"&lt;&gt;0")=1,INDEX($V$4:$AW$4,MATCH(TRUE,INDEX($V491:$AW491&lt;&gt;0,),0)),IF(COUNTIF(AZ491:BB491,"&lt;&gt;0")=0,INDEX($AM$4:$AW$4,MATCH(1,$AM491:$AW491,0)),"Multiple strategies"))</f>
        <v>SilvicultureRemov</v>
      </c>
      <c r="BG491" s="1" t="s">
        <v>322</v>
      </c>
      <c r="BH491" t="s">
        <v>2289</v>
      </c>
      <c r="BI491" t="s">
        <v>1038</v>
      </c>
      <c r="BJ491" t="s">
        <v>2290</v>
      </c>
      <c r="BK491">
        <v>0</v>
      </c>
      <c r="BL491">
        <v>2.9000000000000001E-2</v>
      </c>
      <c r="BN491">
        <f>BL491-BK491</f>
        <v>2.9000000000000001E-2</v>
      </c>
      <c r="BO491">
        <f>BN491*10^6*tC_to_m3</f>
        <v>125922.70950933566</v>
      </c>
      <c r="BP491" t="s">
        <v>233</v>
      </c>
      <c r="BQ491" s="269" t="s">
        <v>785</v>
      </c>
      <c r="BR491" s="266" t="s">
        <v>3246</v>
      </c>
      <c r="BU491" s="144"/>
      <c r="BV491">
        <f>-9.8/35</f>
        <v>-0.28000000000000003</v>
      </c>
      <c r="BX491">
        <f>BV491*10^6</f>
        <v>-280000</v>
      </c>
      <c r="BY491">
        <f>IFERROR(BX491/BO491,"")</f>
        <v>-2.2235862068965515</v>
      </c>
      <c r="BZ491">
        <v>0</v>
      </c>
      <c r="CA491">
        <v>1</v>
      </c>
      <c r="CB491">
        <v>1</v>
      </c>
      <c r="CC491">
        <v>1</v>
      </c>
      <c r="CD491">
        <v>0</v>
      </c>
      <c r="CE491">
        <v>0</v>
      </c>
      <c r="CF491">
        <v>0</v>
      </c>
      <c r="CG491">
        <v>0</v>
      </c>
      <c r="CH491">
        <v>0</v>
      </c>
      <c r="CI491">
        <v>0</v>
      </c>
      <c r="CJ491">
        <v>0</v>
      </c>
      <c r="CK491">
        <v>0</v>
      </c>
      <c r="CL491">
        <v>0</v>
      </c>
      <c r="CM491">
        <v>0</v>
      </c>
      <c r="CN491" t="str">
        <f>IF($BL491&lt;$BK491,"refNeedCorrection","refOK")</f>
        <v>refOK</v>
      </c>
      <c r="CO491">
        <f>IF($CN491="refOK",$BK491,$BL491)</f>
        <v>0</v>
      </c>
      <c r="CP491">
        <f>IF($CN491="refOK",$BL491,$BK491)</f>
        <v>2.9000000000000001E-2</v>
      </c>
      <c r="CQ491">
        <f>IF($CN491="refOK",$BO491,-$BO491)</f>
        <v>125922.70950933566</v>
      </c>
      <c r="CR491">
        <f>IF($CN491="refOK",$BS491,$BT491)*IF($BP491="Emissions positive",-1,1)</f>
        <v>0</v>
      </c>
      <c r="CS491">
        <f>IF($CN491="refOK",$BT491,$BS491)*IF($BP491="Emissions positive",-1,1)</f>
        <v>0</v>
      </c>
      <c r="CT491">
        <f>IF($CN491="refNeedCorrection",-BX491,BX491)*IF($BP491="Emissions positive",-1,1)</f>
        <v>-280000</v>
      </c>
      <c r="CU491">
        <f>IFERROR(CT491/CQ491,"")</f>
        <v>-2.2235862068965515</v>
      </c>
      <c r="CV491" s="2" t="str">
        <f>IFERROR((CS491-CR491)/ABS(CR491),"")</f>
        <v/>
      </c>
      <c r="CW491" s="1" t="s">
        <v>1205</v>
      </c>
      <c r="CX491" t="str">
        <f>IF(OR($CW491="prd",$CW491="std",$CW491="cit"),"loc",IF(OR($CW491="eur",$CW491="reg",$CW491="coy"),"reg",$CW491))</f>
        <v>reg</v>
      </c>
      <c r="CY491" t="s">
        <v>541</v>
      </c>
      <c r="CZ491">
        <v>2015</v>
      </c>
      <c r="DA491">
        <v>2050</v>
      </c>
      <c r="DB491">
        <v>35</v>
      </c>
      <c r="DC491" t="str">
        <f>IF(DB491=0,"0",IF(AND(DB491&gt;=1,DB491&lt;=30),"1-30",IF(AND(DB491&gt;30,DB491&lt;=70),"31-70",IF(AND(DB491&gt;70,DB491&lt;=100),"71-100",IF(DB491&gt;100,"+100")))))</f>
        <v>31-70</v>
      </c>
      <c r="DD491">
        <v>0</v>
      </c>
      <c r="DE491">
        <v>1</v>
      </c>
      <c r="DF491">
        <v>1</v>
      </c>
      <c r="DG491">
        <v>1</v>
      </c>
      <c r="DI491">
        <f>SUM(DD491:DG491)</f>
        <v>3</v>
      </c>
      <c r="DJ491" t="str">
        <f>IF(DI491=1,INDEX($DD$7:$DG$7,MATCH(1,$DD491:$DG491,0)),"mixedProduct")</f>
        <v>mixedProduct</v>
      </c>
      <c r="DK491">
        <f>IF(DD491=1,DK$7,0)</f>
        <v>0</v>
      </c>
      <c r="DL491" t="str">
        <f>IF(DE491=1,DL$7,0)</f>
        <v>Energy</v>
      </c>
      <c r="DM491" t="str">
        <f>IF(DF491=1,DM$7,0)</f>
        <v>Pulp/Paper</v>
      </c>
      <c r="DN491" t="str">
        <f>IF(DG491=1,DN$7,0)</f>
        <v>Timber</v>
      </c>
      <c r="DO491">
        <v>1</v>
      </c>
      <c r="DP491">
        <v>1</v>
      </c>
      <c r="DQ491" t="s">
        <v>2286</v>
      </c>
      <c r="DR491">
        <v>0</v>
      </c>
      <c r="DS491">
        <v>0</v>
      </c>
      <c r="DT491">
        <f>SUM(DO491:DP491)</f>
        <v>2</v>
      </c>
      <c r="DU491" s="143" t="str">
        <f>IF(DO491=1,"self-calculated DF",IF(DP491=1,"external DF used","explicit C balance"))</f>
        <v>self-calculated DF</v>
      </c>
      <c r="DV491">
        <v>1</v>
      </c>
      <c r="DW491">
        <v>1</v>
      </c>
      <c r="DX491">
        <v>1</v>
      </c>
      <c r="DY491">
        <v>1</v>
      </c>
      <c r="DZ491">
        <v>1</v>
      </c>
      <c r="EA491">
        <v>1</v>
      </c>
      <c r="EB491">
        <v>0</v>
      </c>
      <c r="EC491">
        <v>0</v>
      </c>
      <c r="ED491">
        <v>0</v>
      </c>
      <c r="EE491">
        <v>0</v>
      </c>
      <c r="EF491">
        <v>1</v>
      </c>
      <c r="EG491">
        <v>0</v>
      </c>
      <c r="EH491">
        <v>0</v>
      </c>
      <c r="EI491" s="2">
        <v>0</v>
      </c>
      <c r="EK491" t="str">
        <f>IF(AND(AND(AND(OR($DX491=1,$DW491=1),OR($EC491=1,$EA491=1)),SUM($DV491:$DZ491,$EF491)&gt;=4),SUM($EA491:$EE491)&gt;=2),"Whole sector","")</f>
        <v/>
      </c>
      <c r="EL491" t="str">
        <f>IF(AND(AND(OR($DX491=1,$DW491=1),AND($EC491=0,$EA491=0)),SUM($DV491:$DZ491,$EF491)&gt;=4),"Ecosystem approach","")</f>
        <v/>
      </c>
      <c r="EM491" s="2" t="str">
        <f>IF(AND(AND(AND($DX491=0,$DW491=0),OR($EC491=1,$EA491=1)),SUM($EB491:$EE491)&gt;=2),"Technology approach","")</f>
        <v/>
      </c>
      <c r="EP491" t="str">
        <f>IF(ISNUMBER(BU491),IF(ABS(BU491-[2]QC_indicators!$B$2)&gt;3*[2]QC_indicators!$C$2,"C ratio",IF(ISNUMBER(BY491),IF(ABS(BY491-[2]QC_indicators!$B$1)&gt;3*[2]QC_indicators!$C$1,"DF","no"))),IF(ISNUMBER(BY491),IF(ABS(BY491-[2]QC_indicators!$B$1)&gt;3*[2]QC_indicators!$C$1,"DF","no")))</f>
        <v>no</v>
      </c>
      <c r="ET491" s="270" t="s">
        <v>3244</v>
      </c>
    </row>
    <row r="492" spans="1:150" ht="15" hidden="1" customHeight="1">
      <c r="A492" s="1" t="s">
        <v>2116</v>
      </c>
      <c r="B492" t="s">
        <v>545</v>
      </c>
      <c r="C492" t="s">
        <v>2279</v>
      </c>
      <c r="D492" t="s">
        <v>2280</v>
      </c>
      <c r="E492" t="s">
        <v>2281</v>
      </c>
      <c r="F492" t="s">
        <v>2282</v>
      </c>
      <c r="G492" t="s">
        <v>2117</v>
      </c>
      <c r="H492" t="s">
        <v>255</v>
      </c>
      <c r="I492">
        <v>2014</v>
      </c>
      <c r="J492">
        <v>96</v>
      </c>
      <c r="K492" t="s">
        <v>2283</v>
      </c>
      <c r="M492" t="str">
        <f>LEFT($D492,FIND(",",$D492)-1)&amp;"_"&amp;I492&amp;L492</f>
        <v>Smyth_2014</v>
      </c>
      <c r="N492" t="s">
        <v>223</v>
      </c>
      <c r="O492" s="145" t="s">
        <v>342</v>
      </c>
      <c r="Q492" t="s">
        <v>257</v>
      </c>
      <c r="R492" s="264" t="s">
        <v>224</v>
      </c>
      <c r="S492" s="1" t="s">
        <v>2297</v>
      </c>
      <c r="T492" t="s">
        <v>2298</v>
      </c>
      <c r="U492" t="s">
        <v>1157</v>
      </c>
      <c r="V492">
        <v>1</v>
      </c>
      <c r="W492">
        <v>0</v>
      </c>
      <c r="X492">
        <v>0</v>
      </c>
      <c r="Y492">
        <v>2</v>
      </c>
      <c r="Z492">
        <v>0</v>
      </c>
      <c r="AA492">
        <v>0</v>
      </c>
      <c r="AB492">
        <v>0</v>
      </c>
      <c r="AC492">
        <v>0</v>
      </c>
      <c r="AD492">
        <v>0</v>
      </c>
      <c r="AE492">
        <v>0</v>
      </c>
      <c r="AF492">
        <v>0</v>
      </c>
      <c r="AG492">
        <v>0</v>
      </c>
      <c r="AH492">
        <v>0</v>
      </c>
      <c r="AI492">
        <v>0</v>
      </c>
      <c r="AJ492">
        <v>0</v>
      </c>
      <c r="AK492">
        <v>0</v>
      </c>
      <c r="AL492">
        <v>0</v>
      </c>
      <c r="AM492">
        <v>0</v>
      </c>
      <c r="AN492">
        <v>0</v>
      </c>
      <c r="AO492">
        <v>0</v>
      </c>
      <c r="AP492">
        <v>0</v>
      </c>
      <c r="AQ492">
        <v>0</v>
      </c>
      <c r="AR492">
        <v>0</v>
      </c>
      <c r="AS492">
        <v>0</v>
      </c>
      <c r="AT492">
        <v>0</v>
      </c>
      <c r="AU492">
        <v>0</v>
      </c>
      <c r="AV492">
        <v>0</v>
      </c>
      <c r="AW492">
        <v>0</v>
      </c>
      <c r="AX492" s="141">
        <f>COUNTIF(V492:AW492,"&lt;&gt;0")</f>
        <v>2</v>
      </c>
      <c r="AY492" s="141">
        <f>COUNTIF(V492:AL492,"&lt;&gt;0")</f>
        <v>2</v>
      </c>
      <c r="AZ492">
        <f>COUNTIF(V492:AC492,"&lt;&gt;0")</f>
        <v>2</v>
      </c>
      <c r="BA492">
        <f>COUNTIF(AD492:AI492,"&lt;&gt;0")</f>
        <v>0</v>
      </c>
      <c r="BB492">
        <f>COUNTIF(AJ492:AL492,"&lt;&gt;0")</f>
        <v>0</v>
      </c>
      <c r="BC492">
        <f>COUNTIF(AS492:AW492,"&lt;&gt;0")</f>
        <v>0</v>
      </c>
      <c r="BD492">
        <f>COUNTIF(AM492:AR492,"&lt;&gt;0")</f>
        <v>0</v>
      </c>
      <c r="BE492" t="str">
        <f t="array" ref="BE492">IF(AY492=1,INDEX($V$7:$AL$7,MATCH(TRUE,INDEX($V492:$AW492&lt;&gt;0,),0)),IF(AY492=0,INDEX($AM$7:$AW$7,MATCH(1,$AM492:$AW492,0)),IF(BF492="Multiple strategies","mixed drivers",IF(BF492="Supply chain","multiple supply","multiple silviculture"))))</f>
        <v>multiple silviculture</v>
      </c>
      <c r="BF492" s="2" t="str" cm="1">
        <f t="array" ref="BF492">IF(COUNTIF(AZ492:BB492,"&lt;&gt;0")=1,INDEX($V$4:$AW$4,MATCH(TRUE,INDEX($V492:$AW492&lt;&gt;0,),0)),IF(COUNTIF(AZ492:BB492,"&lt;&gt;0")=0,INDEX($AM$4:$AW$4,MATCH(1,$AM492:$AW492,0)),"Multiple strategies"))</f>
        <v>SilvicultureRemov</v>
      </c>
      <c r="BG492" s="1" t="s">
        <v>322</v>
      </c>
      <c r="BH492" t="s">
        <v>2299</v>
      </c>
      <c r="BI492" t="s">
        <v>1038</v>
      </c>
      <c r="BJ492" t="s">
        <v>2290</v>
      </c>
      <c r="BK492">
        <v>-1.41</v>
      </c>
      <c r="BL492">
        <v>0</v>
      </c>
      <c r="BN492">
        <f>BL492-BK492</f>
        <v>1.41</v>
      </c>
      <c r="BO492">
        <f>BN492*10^6*tC_to_m3</f>
        <v>6122448.9795918372</v>
      </c>
      <c r="BP492" t="s">
        <v>233</v>
      </c>
      <c r="BQ492" s="269" t="s">
        <v>785</v>
      </c>
      <c r="BR492" s="266" t="s">
        <v>3246</v>
      </c>
      <c r="BU492" s="144"/>
      <c r="BV492">
        <f>-205/35</f>
        <v>-5.8571428571428568</v>
      </c>
      <c r="BX492">
        <f>BV492*10^6</f>
        <v>-5857142.8571428563</v>
      </c>
      <c r="BY492">
        <f>IFERROR(BX492/BO492,"")</f>
        <v>-0.95666666666666644</v>
      </c>
      <c r="BZ492">
        <v>0</v>
      </c>
      <c r="CA492">
        <v>1</v>
      </c>
      <c r="CB492">
        <v>1</v>
      </c>
      <c r="CC492">
        <v>1</v>
      </c>
      <c r="CD492">
        <v>0</v>
      </c>
      <c r="CE492">
        <v>0</v>
      </c>
      <c r="CF492">
        <v>0</v>
      </c>
      <c r="CG492">
        <v>0</v>
      </c>
      <c r="CH492">
        <v>0</v>
      </c>
      <c r="CI492">
        <v>0</v>
      </c>
      <c r="CJ492">
        <v>0</v>
      </c>
      <c r="CK492">
        <v>0</v>
      </c>
      <c r="CL492">
        <v>0</v>
      </c>
      <c r="CM492">
        <v>0</v>
      </c>
      <c r="CN492" t="str">
        <f>IF(BL492&lt;BK492,"refNeedCorrection","refOK")</f>
        <v>refOK</v>
      </c>
      <c r="CO492">
        <f>IF($CN492="refOK",$BK492,$BL492)</f>
        <v>-1.41</v>
      </c>
      <c r="CP492">
        <f>IF($CN492="refOK",$BL492,$BK492)</f>
        <v>0</v>
      </c>
      <c r="CQ492">
        <f>IF($CN492="refOK",$BO492,-$BO492)</f>
        <v>6122448.9795918372</v>
      </c>
      <c r="CR492">
        <f>IF($CN492="refOK",$BS492,$BT492)*IF($BP492="Emissions positive",-1,1)</f>
        <v>0</v>
      </c>
      <c r="CS492">
        <f>IF($CN492="refOK",$BT492,$BS492)*IF($BP492="Emissions positive",-1,1)</f>
        <v>0</v>
      </c>
      <c r="CT492">
        <f>IF($CN492="refNeedCorrection",-BX492,BX492)*IF($BP492="Emissions positive",-1,1)</f>
        <v>-5857142.8571428563</v>
      </c>
      <c r="CU492">
        <f>IFERROR(CT492/CQ492,"")</f>
        <v>-0.95666666666666644</v>
      </c>
      <c r="CV492" s="2" t="str">
        <f>IFERROR((CS492-CR492)/ABS(CR492),"")</f>
        <v/>
      </c>
      <c r="CW492" s="1" t="s">
        <v>1205</v>
      </c>
      <c r="CX492" t="str">
        <f>IF(OR($CW492="prd",$CW492="std",$CW492="cit"),"loc",IF(OR($CW492="eur",$CW492="reg",$CW492="coy"),"reg",$CW492))</f>
        <v>reg</v>
      </c>
      <c r="CY492" t="s">
        <v>541</v>
      </c>
      <c r="CZ492">
        <v>2015</v>
      </c>
      <c r="DA492">
        <v>2050</v>
      </c>
      <c r="DB492">
        <v>35</v>
      </c>
      <c r="DC492" t="str">
        <f>IF(DB492=0,"0",IF(AND(DB492&gt;=1,DB492&lt;=30),"1-30",IF(AND(DB492&gt;30,DB492&lt;=70),"31-70",IF(AND(DB492&gt;70,DB492&lt;=100),"71-100",IF(DB492&gt;100,"+100")))))</f>
        <v>31-70</v>
      </c>
      <c r="DD492">
        <v>0</v>
      </c>
      <c r="DE492">
        <v>1</v>
      </c>
      <c r="DF492">
        <v>1</v>
      </c>
      <c r="DG492">
        <v>1</v>
      </c>
      <c r="DI492">
        <f>SUM(DD492:DG492)</f>
        <v>3</v>
      </c>
      <c r="DJ492" t="str">
        <f>IF(DI492=1,INDEX($DD$7:$DG$7,MATCH(1,$DD492:$DG492,0)),"mixedProduct")</f>
        <v>mixedProduct</v>
      </c>
      <c r="DK492">
        <f>IF(DD492=1,DK$7,0)</f>
        <v>0</v>
      </c>
      <c r="DL492" t="str">
        <f>IF(DE492=1,DL$7,0)</f>
        <v>Energy</v>
      </c>
      <c r="DM492" t="str">
        <f>IF(DF492=1,DM$7,0)</f>
        <v>Pulp/Paper</v>
      </c>
      <c r="DN492" t="str">
        <f>IF(DG492=1,DN$7,0)</f>
        <v>Timber</v>
      </c>
      <c r="DO492">
        <v>1</v>
      </c>
      <c r="DP492">
        <v>1</v>
      </c>
      <c r="DQ492" t="s">
        <v>2286</v>
      </c>
      <c r="DR492">
        <v>0</v>
      </c>
      <c r="DS492">
        <v>0</v>
      </c>
      <c r="DT492">
        <f>SUM(DO492:DP492)</f>
        <v>2</v>
      </c>
      <c r="DU492" s="143" t="str">
        <f>IF(DO492=1,"self-calculated DF",IF(DP492=1,"external DF used","explicit C balance"))</f>
        <v>self-calculated DF</v>
      </c>
      <c r="DV492">
        <v>1</v>
      </c>
      <c r="DW492">
        <v>1</v>
      </c>
      <c r="DX492">
        <v>1</v>
      </c>
      <c r="DY492">
        <v>1</v>
      </c>
      <c r="DZ492">
        <v>1</v>
      </c>
      <c r="EA492">
        <v>1</v>
      </c>
      <c r="EB492">
        <v>0</v>
      </c>
      <c r="EC492">
        <v>0</v>
      </c>
      <c r="ED492">
        <v>0</v>
      </c>
      <c r="EE492">
        <v>0</v>
      </c>
      <c r="EF492">
        <v>1</v>
      </c>
      <c r="EG492">
        <v>0</v>
      </c>
      <c r="EH492">
        <v>0</v>
      </c>
      <c r="EI492" s="2">
        <v>0</v>
      </c>
      <c r="EK492" t="str">
        <f>IF(AND(AND(AND(OR($DX492=1,$DW492=1),OR($EC492=1,$EA492=1)),SUM($DV492:$DZ492,$EF492)&gt;=4),SUM($EA492:$EE492)&gt;=2),"Whole sector","")</f>
        <v/>
      </c>
      <c r="EL492" t="str">
        <f>IF(AND(AND(OR($DX492=1,$DW492=1),AND($EC492=0,$EA492=0)),SUM($DV492:$DZ492,$EF492)&gt;=4),"Ecosystem approach","")</f>
        <v/>
      </c>
      <c r="EM492" s="2" t="str">
        <f>IF(AND(AND(AND($DX492=0,$DW492=0),OR($EC492=1,$EA492=1)),SUM($EB492:$EE492)&gt;=2),"Technology approach","")</f>
        <v/>
      </c>
      <c r="EN492" t="s">
        <v>2300</v>
      </c>
      <c r="EP492" t="str">
        <f>IF(ISNUMBER(BU492),IF(ABS(BU492-[2]QC_indicators!$B$2)&gt;3*[2]QC_indicators!$C$2,"C ratio",IF(ISNUMBER(BY492),IF(ABS(BY492-[2]QC_indicators!$B$1)&gt;3*[2]QC_indicators!$C$1,"DF","no"))),IF(ISNUMBER(BY492),IF(ABS(BY492-[2]QC_indicators!$B$1)&gt;3*[2]QC_indicators!$C$1,"DF","no")))</f>
        <v>no</v>
      </c>
      <c r="ER492" t="s">
        <v>2301</v>
      </c>
      <c r="ET492" s="270" t="s">
        <v>3244</v>
      </c>
    </row>
    <row r="493" spans="1:150" ht="15" hidden="1" customHeight="1">
      <c r="A493" s="1" t="s">
        <v>2116</v>
      </c>
      <c r="B493" t="s">
        <v>545</v>
      </c>
      <c r="C493" t="s">
        <v>2279</v>
      </c>
      <c r="D493" t="s">
        <v>2280</v>
      </c>
      <c r="E493" t="s">
        <v>2281</v>
      </c>
      <c r="F493" t="s">
        <v>2282</v>
      </c>
      <c r="G493" t="s">
        <v>2117</v>
      </c>
      <c r="H493" t="s">
        <v>255</v>
      </c>
      <c r="I493">
        <v>2014</v>
      </c>
      <c r="J493">
        <v>96</v>
      </c>
      <c r="K493" t="s">
        <v>2283</v>
      </c>
      <c r="M493" t="str">
        <f>LEFT($D493,FIND(",",$D493)-1)&amp;"_"&amp;I493&amp;L493</f>
        <v>Smyth_2014</v>
      </c>
      <c r="N493" t="s">
        <v>223</v>
      </c>
      <c r="O493" s="145" t="s">
        <v>342</v>
      </c>
      <c r="Q493" t="s">
        <v>257</v>
      </c>
      <c r="R493" s="264" t="s">
        <v>224</v>
      </c>
      <c r="S493" s="1" t="s">
        <v>2304</v>
      </c>
      <c r="T493" t="s">
        <v>1157</v>
      </c>
      <c r="U493" t="s">
        <v>2305</v>
      </c>
      <c r="V493">
        <v>0</v>
      </c>
      <c r="W493">
        <v>0</v>
      </c>
      <c r="X493">
        <v>0</v>
      </c>
      <c r="Y493">
        <v>1</v>
      </c>
      <c r="Z493">
        <v>0</v>
      </c>
      <c r="AA493">
        <v>0</v>
      </c>
      <c r="AB493">
        <v>0</v>
      </c>
      <c r="AC493">
        <v>0</v>
      </c>
      <c r="AD493">
        <v>0</v>
      </c>
      <c r="AE493">
        <v>0</v>
      </c>
      <c r="AF493">
        <v>0</v>
      </c>
      <c r="AG493">
        <v>0</v>
      </c>
      <c r="AH493">
        <v>0</v>
      </c>
      <c r="AI493">
        <v>0</v>
      </c>
      <c r="AJ493">
        <v>0</v>
      </c>
      <c r="AK493">
        <v>0</v>
      </c>
      <c r="AL493">
        <v>0</v>
      </c>
      <c r="AM493">
        <v>0</v>
      </c>
      <c r="AN493">
        <v>0</v>
      </c>
      <c r="AO493">
        <v>0</v>
      </c>
      <c r="AP493">
        <v>0</v>
      </c>
      <c r="AQ493">
        <v>0</v>
      </c>
      <c r="AR493">
        <v>0</v>
      </c>
      <c r="AS493">
        <v>0</v>
      </c>
      <c r="AT493">
        <v>0</v>
      </c>
      <c r="AU493">
        <v>0</v>
      </c>
      <c r="AV493">
        <v>0</v>
      </c>
      <c r="AW493">
        <v>0</v>
      </c>
      <c r="AX493" s="141">
        <f>COUNTIF(V493:AW493,"&lt;&gt;0")</f>
        <v>1</v>
      </c>
      <c r="AY493" s="141">
        <f>COUNTIF(V493:AL493,"&lt;&gt;0")</f>
        <v>1</v>
      </c>
      <c r="AZ493">
        <f>COUNTIF(V493:AC493,"&lt;&gt;0")</f>
        <v>1</v>
      </c>
      <c r="BA493">
        <f>COUNTIF(AD493:AI493,"&lt;&gt;0")</f>
        <v>0</v>
      </c>
      <c r="BB493">
        <f>COUNTIF(AJ493:AL493,"&lt;&gt;0")</f>
        <v>0</v>
      </c>
      <c r="BC493">
        <f>COUNTIF(AS493:AW493,"&lt;&gt;0")</f>
        <v>0</v>
      </c>
      <c r="BD493">
        <f>COUNTIF(AM493:AR493,"&lt;&gt;0")</f>
        <v>0</v>
      </c>
      <c r="BE493" t="str">
        <f t="array" ref="BE493">IF(AY493=1,INDEX($V$7:$AL$7,MATCH(TRUE,INDEX($V493:$AW493&lt;&gt;0,),0)),IF(AY493=0,INDEX($AM$7:$AW$7,MATCH(1,$AM493:$AW493,0)),IF(BF493="Multiple strategies","mixed drivers",IF(BF493="Supply chain","multiple supply","multiple silviculture"))))</f>
        <v xml:space="preserve">cutting intensity </v>
      </c>
      <c r="BF493" s="2" t="str" cm="1">
        <f t="array" ref="BF493">IF(COUNTIF(AZ493:BB493,"&lt;&gt;0")=1,INDEX($V$4:$AW$4,MATCH(TRUE,INDEX($V493:$AW493&lt;&gt;0,),0)),IF(COUNTIF(AZ493:BB493,"&lt;&gt;0")=0,INDEX($AM$4:$AW$4,MATCH(1,$AM493:$AW493,0)),"Multiple strategies"))</f>
        <v>SilvicultureRemov</v>
      </c>
      <c r="BG493" s="1" t="s">
        <v>322</v>
      </c>
      <c r="BH493" t="s">
        <v>2289</v>
      </c>
      <c r="BI493" t="s">
        <v>1038</v>
      </c>
      <c r="BJ493" t="s">
        <v>2290</v>
      </c>
      <c r="BK493">
        <v>0</v>
      </c>
      <c r="BL493">
        <v>1.42</v>
      </c>
      <c r="BN493">
        <f>BL493-BK493</f>
        <v>1.42</v>
      </c>
      <c r="BO493">
        <f>BN493*10^6*tC_to_m3</f>
        <v>6165870.6035605734</v>
      </c>
      <c r="BP493" t="s">
        <v>233</v>
      </c>
      <c r="BQ493" s="269" t="s">
        <v>785</v>
      </c>
      <c r="BR493" s="266" t="s">
        <v>3246</v>
      </c>
      <c r="BU493" s="144"/>
      <c r="BV493">
        <f>-294/35</f>
        <v>-8.4</v>
      </c>
      <c r="BX493">
        <f>BV493*10^6</f>
        <v>-8400000</v>
      </c>
      <c r="BY493">
        <f>IFERROR(BX493/BO493,"")</f>
        <v>-1.3623380281690141</v>
      </c>
      <c r="BZ493">
        <v>0</v>
      </c>
      <c r="CA493">
        <v>1</v>
      </c>
      <c r="CB493">
        <v>1</v>
      </c>
      <c r="CC493">
        <v>1</v>
      </c>
      <c r="CD493">
        <v>0</v>
      </c>
      <c r="CE493">
        <v>0</v>
      </c>
      <c r="CF493">
        <v>0</v>
      </c>
      <c r="CG493">
        <v>0</v>
      </c>
      <c r="CH493">
        <v>0</v>
      </c>
      <c r="CI493">
        <v>0</v>
      </c>
      <c r="CJ493">
        <v>0</v>
      </c>
      <c r="CK493">
        <v>0</v>
      </c>
      <c r="CL493">
        <v>0</v>
      </c>
      <c r="CM493">
        <v>0</v>
      </c>
      <c r="CN493" t="str">
        <f>IF($BL493&lt;$BK493,"refNeedCorrection","refOK")</f>
        <v>refOK</v>
      </c>
      <c r="CO493">
        <f>IF($CN493="refOK",$BK493,$BL493)</f>
        <v>0</v>
      </c>
      <c r="CP493">
        <f>IF($CN493="refOK",$BL493,$BK493)</f>
        <v>1.42</v>
      </c>
      <c r="CQ493">
        <f>IF($CN493="refOK",$BO493,-$BO493)</f>
        <v>6165870.6035605734</v>
      </c>
      <c r="CR493">
        <f>IF($CN493="refOK",$BS493,$BT493)*IF($BP493="Emissions positive",-1,1)</f>
        <v>0</v>
      </c>
      <c r="CS493">
        <f>IF($CN493="refOK",$BT493,$BS493)*IF($BP493="Emissions positive",-1,1)</f>
        <v>0</v>
      </c>
      <c r="CT493">
        <f>IF($CN493="refNeedCorrection",-BX493,BX493)*IF($BP493="Emissions positive",-1,1)</f>
        <v>-8400000</v>
      </c>
      <c r="CU493">
        <f>IFERROR(CT493/CQ493,"")</f>
        <v>-1.3623380281690141</v>
      </c>
      <c r="CV493" s="2" t="str">
        <f>IFERROR((CS493-CR493)/ABS(CR493),"")</f>
        <v/>
      </c>
      <c r="CW493" s="1" t="s">
        <v>1205</v>
      </c>
      <c r="CX493" t="str">
        <f>IF(OR($CW493="prd",$CW493="std",$CW493="cit"),"loc",IF(OR($CW493="eur",$CW493="reg",$CW493="coy"),"reg",$CW493))</f>
        <v>reg</v>
      </c>
      <c r="CY493" t="s">
        <v>541</v>
      </c>
      <c r="CZ493">
        <v>2015</v>
      </c>
      <c r="DA493">
        <v>2050</v>
      </c>
      <c r="DB493">
        <v>35</v>
      </c>
      <c r="DC493" t="str">
        <f>IF(DB493=0,"0",IF(AND(DB493&gt;=1,DB493&lt;=30),"1-30",IF(AND(DB493&gt;30,DB493&lt;=70),"31-70",IF(AND(DB493&gt;70,DB493&lt;=100),"71-100",IF(DB493&gt;100,"+100")))))</f>
        <v>31-70</v>
      </c>
      <c r="DD493">
        <v>0</v>
      </c>
      <c r="DE493">
        <v>1</v>
      </c>
      <c r="DF493">
        <v>1</v>
      </c>
      <c r="DG493">
        <v>1</v>
      </c>
      <c r="DI493">
        <f>SUM(DD493:DG493)</f>
        <v>3</v>
      </c>
      <c r="DJ493" t="str">
        <f>IF(DI493=1,INDEX($DD$7:$DG$7,MATCH(1,$DD493:$DG493,0)),"mixedProduct")</f>
        <v>mixedProduct</v>
      </c>
      <c r="DK493">
        <f>IF(DD493=1,DK$7,0)</f>
        <v>0</v>
      </c>
      <c r="DL493" t="str">
        <f>IF(DE493=1,DL$7,0)</f>
        <v>Energy</v>
      </c>
      <c r="DM493" t="str">
        <f>IF(DF493=1,DM$7,0)</f>
        <v>Pulp/Paper</v>
      </c>
      <c r="DN493" t="str">
        <f>IF(DG493=1,DN$7,0)</f>
        <v>Timber</v>
      </c>
      <c r="DO493">
        <v>1</v>
      </c>
      <c r="DP493">
        <v>1</v>
      </c>
      <c r="DQ493" t="s">
        <v>2286</v>
      </c>
      <c r="DR493">
        <v>0</v>
      </c>
      <c r="DS493">
        <v>0</v>
      </c>
      <c r="DT493">
        <f>SUM(DO493:DP493)</f>
        <v>2</v>
      </c>
      <c r="DU493" s="143" t="str">
        <f>IF(DO493=1,"self-calculated DF",IF(DP493=1,"external DF used","explicit C balance"))</f>
        <v>self-calculated DF</v>
      </c>
      <c r="DV493">
        <v>1</v>
      </c>
      <c r="DW493">
        <v>1</v>
      </c>
      <c r="DX493">
        <v>1</v>
      </c>
      <c r="DY493">
        <v>1</v>
      </c>
      <c r="DZ493">
        <v>1</v>
      </c>
      <c r="EA493">
        <v>1</v>
      </c>
      <c r="EB493">
        <v>0</v>
      </c>
      <c r="EC493">
        <v>0</v>
      </c>
      <c r="ED493">
        <v>0</v>
      </c>
      <c r="EE493">
        <v>0</v>
      </c>
      <c r="EF493">
        <v>1</v>
      </c>
      <c r="EG493">
        <v>0</v>
      </c>
      <c r="EH493">
        <v>0</v>
      </c>
      <c r="EI493" s="2">
        <v>0</v>
      </c>
      <c r="EK493" t="str">
        <f>IF(AND(AND(AND(OR($DX493=1,$DW493=1),OR($EC493=1,$EA493=1)),SUM($DV493:$DZ493,$EF493)&gt;=4),SUM($EA493:$EE493)&gt;=2),"Whole sector","")</f>
        <v/>
      </c>
      <c r="EL493" t="str">
        <f>IF(AND(AND(OR($DX493=1,$DW493=1),AND($EC493=0,$EA493=0)),SUM($DV493:$DZ493,$EF493)&gt;=4),"Ecosystem approach","")</f>
        <v/>
      </c>
      <c r="EM493" s="2" t="str">
        <f>IF(AND(AND(AND($DX493=0,$DW493=0),OR($EC493=1,$EA493=1)),SUM($EB493:$EE493)&gt;=2),"Technology approach","")</f>
        <v/>
      </c>
      <c r="EP493" t="str">
        <f>IF(ISNUMBER(BU493),IF(ABS(BU493-[2]QC_indicators!$B$2)&gt;3*[2]QC_indicators!$C$2,"C ratio",IF(ISNUMBER(BY493),IF(ABS(BY493-[2]QC_indicators!$B$1)&gt;3*[2]QC_indicators!$C$1,"DF","no"))),IF(ISNUMBER(BY493),IF(ABS(BY493-[2]QC_indicators!$B$1)&gt;3*[2]QC_indicators!$C$1,"DF","no")))</f>
        <v>no</v>
      </c>
      <c r="ET493" s="270" t="s">
        <v>3244</v>
      </c>
    </row>
    <row r="494" spans="1:150" ht="15" hidden="1" customHeight="1">
      <c r="A494" s="1" t="s">
        <v>2116</v>
      </c>
      <c r="B494" t="s">
        <v>545</v>
      </c>
      <c r="C494" t="s">
        <v>2279</v>
      </c>
      <c r="D494" t="s">
        <v>2280</v>
      </c>
      <c r="E494" t="s">
        <v>2281</v>
      </c>
      <c r="F494" t="s">
        <v>2282</v>
      </c>
      <c r="G494" t="s">
        <v>2117</v>
      </c>
      <c r="H494" t="s">
        <v>255</v>
      </c>
      <c r="I494">
        <v>2014</v>
      </c>
      <c r="J494">
        <v>96</v>
      </c>
      <c r="K494" t="s">
        <v>2283</v>
      </c>
      <c r="M494" t="str">
        <f>LEFT($D494,FIND(",",$D494)-1)&amp;"_"&amp;I494&amp;L494</f>
        <v>Smyth_2014</v>
      </c>
      <c r="N494" t="s">
        <v>223</v>
      </c>
      <c r="O494" s="145" t="s">
        <v>342</v>
      </c>
      <c r="Q494" t="s">
        <v>257</v>
      </c>
      <c r="R494" s="264" t="s">
        <v>224</v>
      </c>
      <c r="S494" s="1" t="s">
        <v>2287</v>
      </c>
      <c r="T494" t="s">
        <v>1157</v>
      </c>
      <c r="U494" s="266" t="s">
        <v>2293</v>
      </c>
      <c r="V494">
        <v>0</v>
      </c>
      <c r="W494">
        <v>0</v>
      </c>
      <c r="X494">
        <v>0</v>
      </c>
      <c r="Y494">
        <v>1</v>
      </c>
      <c r="Z494">
        <v>0</v>
      </c>
      <c r="AA494">
        <v>0</v>
      </c>
      <c r="AB494">
        <v>0</v>
      </c>
      <c r="AC494">
        <v>0</v>
      </c>
      <c r="AD494">
        <v>0</v>
      </c>
      <c r="AE494">
        <v>0</v>
      </c>
      <c r="AF494">
        <v>0</v>
      </c>
      <c r="AG494">
        <v>0</v>
      </c>
      <c r="AH494">
        <v>0</v>
      </c>
      <c r="AI494">
        <v>0</v>
      </c>
      <c r="AJ494">
        <v>0</v>
      </c>
      <c r="AK494">
        <v>0</v>
      </c>
      <c r="AL494">
        <v>0</v>
      </c>
      <c r="AM494">
        <v>0</v>
      </c>
      <c r="AN494">
        <v>0</v>
      </c>
      <c r="AO494">
        <v>0</v>
      </c>
      <c r="AP494">
        <v>0</v>
      </c>
      <c r="AQ494">
        <v>0</v>
      </c>
      <c r="AR494">
        <v>0</v>
      </c>
      <c r="AS494">
        <v>0</v>
      </c>
      <c r="AT494">
        <v>0</v>
      </c>
      <c r="AU494">
        <v>0</v>
      </c>
      <c r="AV494">
        <v>0</v>
      </c>
      <c r="AW494">
        <v>0</v>
      </c>
      <c r="AX494" s="141">
        <f>COUNTIF(V494:AW494,"&lt;&gt;0")</f>
        <v>1</v>
      </c>
      <c r="AY494" s="141">
        <f>COUNTIF(V494:AL494,"&lt;&gt;0")</f>
        <v>1</v>
      </c>
      <c r="AZ494">
        <f>COUNTIF(V494:AC494,"&lt;&gt;0")</f>
        <v>1</v>
      </c>
      <c r="BA494">
        <f>COUNTIF(AD494:AI494,"&lt;&gt;0")</f>
        <v>0</v>
      </c>
      <c r="BB494">
        <f>COUNTIF(AJ494:AL494,"&lt;&gt;0")</f>
        <v>0</v>
      </c>
      <c r="BC494">
        <f>COUNTIF(AS494:AW494,"&lt;&gt;0")</f>
        <v>0</v>
      </c>
      <c r="BD494">
        <f>COUNTIF(AM494:AR494,"&lt;&gt;0")</f>
        <v>0</v>
      </c>
      <c r="BE494" t="str">
        <f t="array" ref="BE494">IF(AY494=1,INDEX($V$7:$AL$7,MATCH(TRUE,INDEX($V494:$AW494&lt;&gt;0,),0)),IF(AY494=0,INDEX($AM$7:$AW$7,MATCH(1,$AM494:$AW494,0)),IF(BF494="Multiple strategies","mixed drivers",IF(BF494="Supply chain","multiple supply","multiple silviculture"))))</f>
        <v xml:space="preserve">cutting intensity </v>
      </c>
      <c r="BF494" s="2" t="str" cm="1">
        <f t="array" ref="BF494">IF(COUNTIF(AZ494:BB494,"&lt;&gt;0")=1,INDEX($V$4:$AW$4,MATCH(TRUE,INDEX($V494:$AW494&lt;&gt;0,),0)),IF(COUNTIF(AZ494:BB494,"&lt;&gt;0")=0,INDEX($AM$4:$AW$4,MATCH(1,$AM494:$AW494,0)),"Multiple strategies"))</f>
        <v>SilvicultureRemov</v>
      </c>
      <c r="BG494" s="1" t="s">
        <v>322</v>
      </c>
      <c r="BH494" t="s">
        <v>2289</v>
      </c>
      <c r="BI494" t="s">
        <v>1038</v>
      </c>
      <c r="BJ494" t="s">
        <v>2290</v>
      </c>
      <c r="BK494">
        <v>0</v>
      </c>
      <c r="BL494">
        <v>0.62</v>
      </c>
      <c r="BN494">
        <f>BL494-BK494</f>
        <v>0.62</v>
      </c>
      <c r="BO494">
        <f>BN494*10^6*tC_to_m3</f>
        <v>2692140.6860616589</v>
      </c>
      <c r="BP494" t="s">
        <v>233</v>
      </c>
      <c r="BQ494" s="269" t="s">
        <v>785</v>
      </c>
      <c r="BR494" s="266" t="s">
        <v>3246</v>
      </c>
      <c r="BU494" s="144"/>
      <c r="BV494">
        <f>-156/35</f>
        <v>-4.4571428571428573</v>
      </c>
      <c r="BX494">
        <f>BV494*10^6</f>
        <v>-4457142.8571428573</v>
      </c>
      <c r="BY494">
        <f>IFERROR(BX494/BO494,"")</f>
        <v>-1.6556129032258065</v>
      </c>
      <c r="BZ494">
        <v>0</v>
      </c>
      <c r="CA494">
        <v>1</v>
      </c>
      <c r="CB494">
        <v>1</v>
      </c>
      <c r="CC494">
        <v>1</v>
      </c>
      <c r="CD494">
        <v>0</v>
      </c>
      <c r="CE494">
        <v>0</v>
      </c>
      <c r="CF494">
        <v>0</v>
      </c>
      <c r="CG494">
        <v>0</v>
      </c>
      <c r="CH494">
        <v>0</v>
      </c>
      <c r="CI494">
        <v>0</v>
      </c>
      <c r="CJ494">
        <v>0</v>
      </c>
      <c r="CK494">
        <v>0</v>
      </c>
      <c r="CL494">
        <v>0</v>
      </c>
      <c r="CM494">
        <v>0</v>
      </c>
      <c r="CN494" t="str">
        <f>IF($BL494&lt;$BK494,"refNeedCorrection","refOK")</f>
        <v>refOK</v>
      </c>
      <c r="CO494">
        <f>IF($CN494="refOK",$BK494,$BL494)</f>
        <v>0</v>
      </c>
      <c r="CP494">
        <f>IF($CN494="refOK",$BL494,$BK494)</f>
        <v>0.62</v>
      </c>
      <c r="CQ494">
        <f>IF($CN494="refOK",$BO494,-$BO494)</f>
        <v>2692140.6860616589</v>
      </c>
      <c r="CR494">
        <f>IF($CN494="refOK",$BS494,$BT494)*IF($BP494="Emissions positive",-1,1)</f>
        <v>0</v>
      </c>
      <c r="CS494">
        <f>IF($CN494="refOK",$BT494,$BS494)*IF($BP494="Emissions positive",-1,1)</f>
        <v>0</v>
      </c>
      <c r="CT494">
        <f>IF($CN494="refNeedCorrection",-BX494,BX494)*IF($BP494="Emissions positive",-1,1)</f>
        <v>-4457142.8571428573</v>
      </c>
      <c r="CU494">
        <f>IFERROR(CT494/CQ494,"")</f>
        <v>-1.6556129032258065</v>
      </c>
      <c r="CV494" s="2" t="str">
        <f>IFERROR((CS494-CR494)/ABS(CR494),"")</f>
        <v/>
      </c>
      <c r="CW494" s="1" t="s">
        <v>1205</v>
      </c>
      <c r="CX494" t="str">
        <f>IF(OR($CW494="prd",$CW494="std",$CW494="cit"),"loc",IF(OR($CW494="eur",$CW494="reg",$CW494="coy"),"reg",$CW494))</f>
        <v>reg</v>
      </c>
      <c r="CY494" t="s">
        <v>541</v>
      </c>
      <c r="CZ494">
        <v>2015</v>
      </c>
      <c r="DA494">
        <v>2050</v>
      </c>
      <c r="DB494">
        <v>35</v>
      </c>
      <c r="DC494" t="str">
        <f>IF(DB494=0,"0",IF(AND(DB494&gt;=1,DB494&lt;=30),"1-30",IF(AND(DB494&gt;30,DB494&lt;=70),"31-70",IF(AND(DB494&gt;70,DB494&lt;=100),"71-100",IF(DB494&gt;100,"+100")))))</f>
        <v>31-70</v>
      </c>
      <c r="DD494">
        <v>0</v>
      </c>
      <c r="DE494">
        <v>1</v>
      </c>
      <c r="DF494">
        <v>1</v>
      </c>
      <c r="DG494">
        <v>1</v>
      </c>
      <c r="DI494">
        <f>SUM(DD494:DG494)</f>
        <v>3</v>
      </c>
      <c r="DJ494" t="str">
        <f>IF(DI494=1,INDEX($DD$7:$DG$7,MATCH(1,$DD494:$DG494,0)),"mixedProduct")</f>
        <v>mixedProduct</v>
      </c>
      <c r="DK494">
        <f>IF(DD494=1,DK$7,0)</f>
        <v>0</v>
      </c>
      <c r="DL494" t="str">
        <f>IF(DE494=1,DL$7,0)</f>
        <v>Energy</v>
      </c>
      <c r="DM494" t="str">
        <f>IF(DF494=1,DM$7,0)</f>
        <v>Pulp/Paper</v>
      </c>
      <c r="DN494" t="str">
        <f>IF(DG494=1,DN$7,0)</f>
        <v>Timber</v>
      </c>
      <c r="DO494">
        <v>1</v>
      </c>
      <c r="DP494">
        <v>1</v>
      </c>
      <c r="DQ494" t="s">
        <v>2286</v>
      </c>
      <c r="DR494">
        <v>0</v>
      </c>
      <c r="DS494">
        <v>0</v>
      </c>
      <c r="DT494">
        <f>SUM(DO494:DP494)</f>
        <v>2</v>
      </c>
      <c r="DU494" s="143" t="str">
        <f>IF(DO494=1,"self-calculated DF",IF(DP494=1,"external DF used","explicit C balance"))</f>
        <v>self-calculated DF</v>
      </c>
      <c r="DV494">
        <v>1</v>
      </c>
      <c r="DW494">
        <v>1</v>
      </c>
      <c r="DX494">
        <v>1</v>
      </c>
      <c r="DY494">
        <v>1</v>
      </c>
      <c r="DZ494">
        <v>1</v>
      </c>
      <c r="EA494">
        <v>1</v>
      </c>
      <c r="EB494">
        <v>0</v>
      </c>
      <c r="EC494">
        <v>0</v>
      </c>
      <c r="ED494">
        <v>0</v>
      </c>
      <c r="EE494">
        <v>0</v>
      </c>
      <c r="EF494">
        <v>1</v>
      </c>
      <c r="EG494">
        <v>0</v>
      </c>
      <c r="EH494">
        <v>0</v>
      </c>
      <c r="EI494" s="2">
        <v>0</v>
      </c>
      <c r="EK494" t="str">
        <f>IF(AND(AND(AND(OR($DX494=1,$DW494=1),OR($EC494=1,$EA494=1)),SUM($DV494:$DZ494,$EF494)&gt;=4),SUM($EA494:$EE494)&gt;=2),"Whole sector","")</f>
        <v/>
      </c>
      <c r="EL494" t="str">
        <f>IF(AND(AND(OR($DX494=1,$DW494=1),AND($EC494=0,$EA494=0)),SUM($DV494:$DZ494,$EF494)&gt;=4),"Ecosystem approach","")</f>
        <v/>
      </c>
      <c r="EM494" s="2" t="str">
        <f>IF(AND(AND(AND($DX494=0,$DW494=0),OR($EC494=1,$EA494=1)),SUM($EB494:$EE494)&gt;=2),"Technology approach","")</f>
        <v/>
      </c>
      <c r="EP494" t="str">
        <f>IF(ISNUMBER(BU494),IF(ABS(BU494-[2]QC_indicators!$B$2)&gt;3*[2]QC_indicators!$C$2,"C ratio",IF(ISNUMBER(BY494),IF(ABS(BY494-[2]QC_indicators!$B$1)&gt;3*[2]QC_indicators!$C$1,"DF","no"))),IF(ISNUMBER(BY494),IF(ABS(BY494-[2]QC_indicators!$B$1)&gt;3*[2]QC_indicators!$C$1,"DF","no")))</f>
        <v>no</v>
      </c>
      <c r="ER494" t="s">
        <v>2291</v>
      </c>
      <c r="ET494" s="270" t="s">
        <v>3244</v>
      </c>
    </row>
    <row r="495" spans="1:150" ht="15" customHeight="1">
      <c r="A495" s="1" t="s">
        <v>1425</v>
      </c>
      <c r="B495" t="s">
        <v>2492</v>
      </c>
      <c r="C495" t="s">
        <v>2493</v>
      </c>
      <c r="D495" t="s">
        <v>2494</v>
      </c>
      <c r="E495" t="s">
        <v>2495</v>
      </c>
      <c r="F495" t="s">
        <v>2496</v>
      </c>
      <c r="G495" t="s">
        <v>1431</v>
      </c>
      <c r="H495" t="s">
        <v>255</v>
      </c>
      <c r="I495">
        <v>2016</v>
      </c>
      <c r="J495">
        <v>24</v>
      </c>
      <c r="K495" t="s">
        <v>2497</v>
      </c>
      <c r="M495" t="str">
        <f>LEFT($D495,FIND(",",$D495)-1)&amp;"_"&amp;I495&amp;L495</f>
        <v>Zubizarreta-Gerendiain_2016</v>
      </c>
      <c r="N495" t="s">
        <v>223</v>
      </c>
      <c r="O495" s="145" t="s">
        <v>1156</v>
      </c>
      <c r="Q495" t="s">
        <v>257</v>
      </c>
      <c r="R495" s="264" t="s">
        <v>224</v>
      </c>
      <c r="S495" s="1" t="s">
        <v>2528</v>
      </c>
      <c r="T495" t="s">
        <v>2509</v>
      </c>
      <c r="U495" t="s">
        <v>2530</v>
      </c>
      <c r="V495">
        <v>0</v>
      </c>
      <c r="W495">
        <v>0</v>
      </c>
      <c r="X495">
        <v>0</v>
      </c>
      <c r="Y495">
        <v>1</v>
      </c>
      <c r="Z495">
        <v>0</v>
      </c>
      <c r="AA495">
        <v>0</v>
      </c>
      <c r="AB495">
        <v>0</v>
      </c>
      <c r="AC495">
        <v>0</v>
      </c>
      <c r="AD495">
        <v>0</v>
      </c>
      <c r="AE495">
        <v>0</v>
      </c>
      <c r="AF495">
        <v>0</v>
      </c>
      <c r="AG495">
        <v>0</v>
      </c>
      <c r="AH495">
        <v>0</v>
      </c>
      <c r="AI495">
        <v>0</v>
      </c>
      <c r="AJ495">
        <v>0</v>
      </c>
      <c r="AK495">
        <v>0</v>
      </c>
      <c r="AL495">
        <v>0</v>
      </c>
      <c r="AM495">
        <v>0</v>
      </c>
      <c r="AN495">
        <v>0</v>
      </c>
      <c r="AO495">
        <v>0</v>
      </c>
      <c r="AP495">
        <v>0</v>
      </c>
      <c r="AQ495">
        <v>0</v>
      </c>
      <c r="AR495">
        <v>0</v>
      </c>
      <c r="AS495">
        <v>0</v>
      </c>
      <c r="AT495">
        <v>0</v>
      </c>
      <c r="AU495">
        <v>0</v>
      </c>
      <c r="AV495">
        <v>0</v>
      </c>
      <c r="AW495">
        <v>0</v>
      </c>
      <c r="AX495" s="141">
        <f>COUNTIF(V495:AW495,"&lt;&gt;0")</f>
        <v>1</v>
      </c>
      <c r="AY495" s="141">
        <f>COUNTIF(V495:AL495,"&lt;&gt;0")</f>
        <v>1</v>
      </c>
      <c r="AZ495">
        <f>COUNTIF(V495:AC495,"&lt;&gt;0")</f>
        <v>1</v>
      </c>
      <c r="BA495">
        <f>COUNTIF(AD495:AI495,"&lt;&gt;0")</f>
        <v>0</v>
      </c>
      <c r="BB495">
        <f>COUNTIF(AJ495:AL495,"&lt;&gt;0")</f>
        <v>0</v>
      </c>
      <c r="BC495">
        <f>COUNTIF(AS495:AW495,"&lt;&gt;0")</f>
        <v>0</v>
      </c>
      <c r="BD495">
        <f>COUNTIF(AM495:AR495,"&lt;&gt;0")</f>
        <v>0</v>
      </c>
      <c r="BE495" t="str">
        <f t="array" ref="BE495">IF(AY495=1,INDEX($V$7:$AL$7,MATCH(TRUE,INDEX($V495:$AW495&lt;&gt;0,),0)),IF(AY495=0,INDEX($AM$7:$AW$7,MATCH(1,$AM495:$AW495,0)),IF(BF495="Multiple strategies","mixed drivers",IF(BF495="Supply chain","multiple supply","multiple silviculture"))))</f>
        <v xml:space="preserve">cutting intensity </v>
      </c>
      <c r="BF495" s="2" t="str" cm="1">
        <f t="array" ref="BF495">IF(COUNTIF(AZ495:BB495,"&lt;&gt;0")=1,INDEX($V$4:$AW$4,MATCH(TRUE,INDEX($V495:$AW495&lt;&gt;0,),0)),IF(COUNTIF(AZ495:BB495,"&lt;&gt;0")=0,INDEX($AM$4:$AW$4,MATCH(1,$AM495:$AW495,0)),"Multiple strategies"))</f>
        <v>SilvicultureRemov</v>
      </c>
      <c r="BG495" s="1" t="s">
        <v>322</v>
      </c>
      <c r="BH495" t="s">
        <v>2501</v>
      </c>
      <c r="BI495" s="266" t="s">
        <v>2115</v>
      </c>
      <c r="BJ495" t="s">
        <v>2502</v>
      </c>
      <c r="BK495">
        <v>64.910485933503793</v>
      </c>
      <c r="BL495">
        <v>71.585677749360599</v>
      </c>
      <c r="BM495" s="143">
        <f>BL495/BK495</f>
        <v>1.1028368794326247</v>
      </c>
      <c r="BN495">
        <f>BL495-BK495</f>
        <v>6.675191815856806</v>
      </c>
      <c r="BO495">
        <f>BN495*1000*t_to_m3</f>
        <v>13622.840440524094</v>
      </c>
      <c r="BP495" t="s">
        <v>233</v>
      </c>
      <c r="BQ495" s="143" t="s">
        <v>3258</v>
      </c>
      <c r="BR495" t="s">
        <v>1197</v>
      </c>
      <c r="BS495">
        <v>103859.82747603832</v>
      </c>
      <c r="BT495">
        <v>113884.90734824278</v>
      </c>
      <c r="BU495" s="144">
        <f>IFERROR(BT495/BS495,"")</f>
        <v>1.0965250965250963</v>
      </c>
      <c r="BV495" s="144">
        <f>BT495-BS495</f>
        <v>10025.079872204456</v>
      </c>
      <c r="BW495" s="144"/>
      <c r="BX495" s="144">
        <f>BV495</f>
        <v>10025.079872204456</v>
      </c>
      <c r="BY495">
        <f>IFERROR(BX495/BO495,"")</f>
        <v>0.7359023190481393</v>
      </c>
      <c r="BZ495">
        <v>0</v>
      </c>
      <c r="CA495">
        <v>0</v>
      </c>
      <c r="CB495">
        <v>0</v>
      </c>
      <c r="CC495">
        <v>0</v>
      </c>
      <c r="CD495">
        <v>0</v>
      </c>
      <c r="CE495">
        <v>0</v>
      </c>
      <c r="CF495">
        <v>0</v>
      </c>
      <c r="CG495">
        <v>0</v>
      </c>
      <c r="CH495">
        <v>0</v>
      </c>
      <c r="CI495">
        <v>0</v>
      </c>
      <c r="CJ495">
        <v>0</v>
      </c>
      <c r="CK495">
        <v>0</v>
      </c>
      <c r="CL495">
        <v>0</v>
      </c>
      <c r="CM495">
        <v>1</v>
      </c>
      <c r="CN495" t="str">
        <f>IF($BL495&lt;$BK495,"refNeedCorrection","refOK")</f>
        <v>refOK</v>
      </c>
      <c r="CO495">
        <f>IF($CN495="refOK",$BK495,$BL495)</f>
        <v>64.910485933503793</v>
      </c>
      <c r="CP495">
        <f>IF($CN495="refOK",$BL495,$BK495)</f>
        <v>71.585677749360599</v>
      </c>
      <c r="CQ495">
        <f>IF($CN495="refOK",$BO495,-$BO495)</f>
        <v>13622.840440524094</v>
      </c>
      <c r="CR495">
        <f>IF($CN495="refOK",$BS495,$BT495)*IF($BP495="Emissions positive",-1,1)</f>
        <v>103859.82747603832</v>
      </c>
      <c r="CS495">
        <f>IF($CN495="refOK",$BT495,$BS495)*IF($BP495="Emissions positive",-1,1)</f>
        <v>113884.90734824278</v>
      </c>
      <c r="CT495">
        <f>IF($CN495="refNeedCorrection",-BX495,BX495)*IF($BP495="Emissions positive",-1,1)</f>
        <v>10025.079872204456</v>
      </c>
      <c r="CU495">
        <f>IFERROR(CT495/CQ495,"")</f>
        <v>0.7359023190481393</v>
      </c>
      <c r="CV495" s="2">
        <f>IFERROR((CS495-CR495)/ABS(CR495),"")</f>
        <v>9.6525096525096388E-2</v>
      </c>
      <c r="CW495" s="1" t="s">
        <v>1201</v>
      </c>
      <c r="CX495" t="str">
        <f>IF(OR($CW495="prd",$CW495="std",$CW495="cit"),"loc",IF(OR($CW495="eur",$CW495="reg",$CW495="coy"),"reg",$CW495))</f>
        <v>reg</v>
      </c>
      <c r="CY495" t="s">
        <v>236</v>
      </c>
      <c r="CZ495">
        <v>2010</v>
      </c>
      <c r="DA495">
        <v>2070</v>
      </c>
      <c r="DB495">
        <f>DA495-CZ495</f>
        <v>60</v>
      </c>
      <c r="DC495" t="str">
        <f>IF(DB495=0,"0",IF(AND(DB495&gt;=1,DB495&lt;=30),"1-30",IF(AND(DB495&gt;30,DB495&lt;=70),"31-70",IF(AND(DB495&gt;70,DB495&lt;=100),"71-100",IF(DB495&gt;100,"+100")))))</f>
        <v>31-70</v>
      </c>
      <c r="DD495">
        <v>1</v>
      </c>
      <c r="DE495">
        <v>1</v>
      </c>
      <c r="DF495">
        <v>1</v>
      </c>
      <c r="DG495">
        <v>1</v>
      </c>
      <c r="DH495">
        <v>0</v>
      </c>
      <c r="DI495">
        <f>SUM(DD495:DG495)</f>
        <v>4</v>
      </c>
      <c r="DJ495" t="str">
        <f>IF(DI495=1,INDEX($DD$7:$DG$7,MATCH(1,$DD495:$DG495,0)),"mixedProduct")</f>
        <v>mixedProduct</v>
      </c>
      <c r="DK495" t="str">
        <f>IF(DD495=1,DK$7,0)</f>
        <v>Upstream</v>
      </c>
      <c r="DL495" t="str">
        <f>IF(DE495=1,DL$7,0)</f>
        <v>Energy</v>
      </c>
      <c r="DM495" t="str">
        <f>IF(DF495=1,DM$7,0)</f>
        <v>Pulp/Paper</v>
      </c>
      <c r="DN495" t="str">
        <f>IF(DG495=1,DN$7,0)</f>
        <v>Timber</v>
      </c>
      <c r="DO495">
        <v>0</v>
      </c>
      <c r="DP495">
        <v>0</v>
      </c>
      <c r="DQ495">
        <v>0</v>
      </c>
      <c r="DR495">
        <v>0</v>
      </c>
      <c r="DS495">
        <v>0</v>
      </c>
      <c r="DT495">
        <f>SUM(DO495:DP495)</f>
        <v>0</v>
      </c>
      <c r="DU495" s="143" t="str">
        <f>IF(DO495=1,"self-calculated DF",IF(DP495=1,"external DF used","explicit C balance"))</f>
        <v>explicit C balance</v>
      </c>
      <c r="DV495">
        <v>1</v>
      </c>
      <c r="DW495">
        <v>1</v>
      </c>
      <c r="DX495">
        <v>1</v>
      </c>
      <c r="DY495">
        <v>1</v>
      </c>
      <c r="DZ495">
        <v>0</v>
      </c>
      <c r="EA495" s="143">
        <v>0</v>
      </c>
      <c r="EB495">
        <v>0</v>
      </c>
      <c r="EC495">
        <v>0</v>
      </c>
      <c r="ED495">
        <v>0</v>
      </c>
      <c r="EE495">
        <v>0</v>
      </c>
      <c r="EF495">
        <v>1</v>
      </c>
      <c r="EG495">
        <v>0</v>
      </c>
      <c r="EH495">
        <v>0</v>
      </c>
      <c r="EI495" s="2">
        <v>0</v>
      </c>
      <c r="EK495" t="str">
        <f>IF(AND(AND(AND(OR($DX495=1,$DW495=1),OR($EC495=1,$EA495=1)),SUM($DV495:$DZ495,$EF495)&gt;=4),SUM($EA495:$EE495)&gt;=2),"Whole sector","")</f>
        <v/>
      </c>
      <c r="EL495" t="str">
        <f>IF(AND(AND(OR($DX495=1,$DW495=1),AND($EC495=0,$EA495=0)),SUM($DV495:$DZ495,$EF495)&gt;=4),"Ecosystem approach","")</f>
        <v>Ecosystem approach</v>
      </c>
      <c r="EM495" s="2" t="str">
        <f>IF(AND(AND(AND($DX495=0,$DW495=0),OR($EC495=1,$EA495=1)),SUM($EB495:$EE495)&gt;=2),"Technology approach","")</f>
        <v/>
      </c>
      <c r="EP495" t="str">
        <f>IF(ISNUMBER(BU495),IF(ABS(BU495-[2]QC_indicators!$B$2)&gt;3*[2]QC_indicators!$C$2,"C ratio",IF(ISNUMBER(BY495),IF(ABS(BY495-[2]QC_indicators!$B$1)&gt;3*[2]QC_indicators!$C$1,"DF","no"))),IF(ISNUMBER(BY495),IF(ABS(BY495-[2]QC_indicators!$B$1)&gt;3*[2]QC_indicators!$C$1,"DF","no")))</f>
        <v>no</v>
      </c>
      <c r="ET495" s="266" t="s">
        <v>3260</v>
      </c>
    </row>
    <row r="496" spans="1:150" ht="15" customHeight="1">
      <c r="A496" s="1" t="s">
        <v>1425</v>
      </c>
      <c r="B496" t="s">
        <v>2492</v>
      </c>
      <c r="C496" t="s">
        <v>2493</v>
      </c>
      <c r="D496" t="s">
        <v>2494</v>
      </c>
      <c r="E496" t="s">
        <v>2495</v>
      </c>
      <c r="F496" t="s">
        <v>2496</v>
      </c>
      <c r="G496" t="s">
        <v>1431</v>
      </c>
      <c r="H496" t="s">
        <v>255</v>
      </c>
      <c r="I496">
        <v>2016</v>
      </c>
      <c r="J496">
        <v>24</v>
      </c>
      <c r="K496" t="s">
        <v>2497</v>
      </c>
      <c r="M496" t="str">
        <f>LEFT($D496,FIND(",",$D496)-1)&amp;"_"&amp;I496&amp;L496</f>
        <v>Zubizarreta-Gerendiain_2016</v>
      </c>
      <c r="N496" t="s">
        <v>223</v>
      </c>
      <c r="O496" s="145" t="s">
        <v>1156</v>
      </c>
      <c r="Q496" t="s">
        <v>257</v>
      </c>
      <c r="R496" s="264" t="s">
        <v>224</v>
      </c>
      <c r="S496" s="1" t="s">
        <v>2498</v>
      </c>
      <c r="T496" t="s">
        <v>2499</v>
      </c>
      <c r="U496" t="s">
        <v>2500</v>
      </c>
      <c r="V496">
        <v>0</v>
      </c>
      <c r="W496">
        <v>0</v>
      </c>
      <c r="X496">
        <v>0</v>
      </c>
      <c r="Y496">
        <v>1</v>
      </c>
      <c r="Z496">
        <v>0</v>
      </c>
      <c r="AA496">
        <v>0</v>
      </c>
      <c r="AB496">
        <v>0</v>
      </c>
      <c r="AC496">
        <v>0</v>
      </c>
      <c r="AD496">
        <v>0</v>
      </c>
      <c r="AE496">
        <v>0</v>
      </c>
      <c r="AF496">
        <v>0</v>
      </c>
      <c r="AG496">
        <v>0</v>
      </c>
      <c r="AH496">
        <v>0</v>
      </c>
      <c r="AI496">
        <v>0</v>
      </c>
      <c r="AJ496">
        <v>0</v>
      </c>
      <c r="AK496">
        <v>0</v>
      </c>
      <c r="AL496">
        <v>0</v>
      </c>
      <c r="AM496">
        <v>0</v>
      </c>
      <c r="AN496">
        <v>0</v>
      </c>
      <c r="AO496">
        <v>0</v>
      </c>
      <c r="AP496">
        <v>0</v>
      </c>
      <c r="AQ496">
        <v>0</v>
      </c>
      <c r="AR496">
        <v>0</v>
      </c>
      <c r="AS496">
        <v>0</v>
      </c>
      <c r="AT496">
        <v>0</v>
      </c>
      <c r="AU496">
        <v>0</v>
      </c>
      <c r="AV496">
        <v>0</v>
      </c>
      <c r="AW496">
        <v>0</v>
      </c>
      <c r="AX496" s="141">
        <f>COUNTIF(V496:AW496,"&lt;&gt;0")</f>
        <v>1</v>
      </c>
      <c r="AY496" s="141">
        <f>COUNTIF(V496:AL496,"&lt;&gt;0")</f>
        <v>1</v>
      </c>
      <c r="AZ496">
        <f>COUNTIF(V496:AC496,"&lt;&gt;0")</f>
        <v>1</v>
      </c>
      <c r="BA496">
        <f>COUNTIF(AD496:AI496,"&lt;&gt;0")</f>
        <v>0</v>
      </c>
      <c r="BB496">
        <f>COUNTIF(AJ496:AL496,"&lt;&gt;0")</f>
        <v>0</v>
      </c>
      <c r="BC496">
        <f>COUNTIF(AS496:AW496,"&lt;&gt;0")</f>
        <v>0</v>
      </c>
      <c r="BD496">
        <f>COUNTIF(AM496:AR496,"&lt;&gt;0")</f>
        <v>0</v>
      </c>
      <c r="BE496" t="str">
        <f t="array" ref="BE496">IF(AY496=1,INDEX($V$7:$AL$7,MATCH(TRUE,INDEX($V496:$AW496&lt;&gt;0,),0)),IF(AY496=0,INDEX($AM$7:$AW$7,MATCH(1,$AM496:$AW496,0)),IF(BF496="Multiple strategies","mixed drivers",IF(BF496="Supply chain","multiple supply","multiple silviculture"))))</f>
        <v xml:space="preserve">cutting intensity </v>
      </c>
      <c r="BF496" s="2" t="str" cm="1">
        <f t="array" ref="BF496">IF(COUNTIF(AZ496:BB496,"&lt;&gt;0")=1,INDEX($V$4:$AW$4,MATCH(TRUE,INDEX($V496:$AW496&lt;&gt;0,),0)),IF(COUNTIF(AZ496:BB496,"&lt;&gt;0")=0,INDEX($AM$4:$AW$4,MATCH(1,$AM496:$AW496,0)),"Multiple strategies"))</f>
        <v>SilvicultureRemov</v>
      </c>
      <c r="BG496" s="1" t="s">
        <v>322</v>
      </c>
      <c r="BH496" t="s">
        <v>2501</v>
      </c>
      <c r="BI496" s="266" t="s">
        <v>2115</v>
      </c>
      <c r="BJ496" t="s">
        <v>2502</v>
      </c>
      <c r="BK496">
        <v>77.868338557993695</v>
      </c>
      <c r="BL496">
        <v>82.946708463949804</v>
      </c>
      <c r="BM496" s="143">
        <f>BL496/BK496</f>
        <v>1.0652173913043479</v>
      </c>
      <c r="BN496">
        <f>BL496-BK496</f>
        <v>5.0783699059561087</v>
      </c>
      <c r="BO496">
        <f>BN496*1000*t_to_m3</f>
        <v>10364.020216236957</v>
      </c>
      <c r="BP496" s="143" t="s">
        <v>233</v>
      </c>
      <c r="BQ496" s="143" t="s">
        <v>3258</v>
      </c>
      <c r="BR496" t="s">
        <v>1197</v>
      </c>
      <c r="BS496">
        <v>22260.374748603492</v>
      </c>
      <c r="BT496">
        <v>-46788.009888268192</v>
      </c>
      <c r="BU496" s="144">
        <f>IFERROR(BT496/BS496,"")</f>
        <v>-2.1018518518518401</v>
      </c>
      <c r="BV496" s="144">
        <f>BT496-BS496</f>
        <v>-69048.384636871691</v>
      </c>
      <c r="BW496" s="144"/>
      <c r="BX496" s="144">
        <f>BV496</f>
        <v>-69048.384636871691</v>
      </c>
      <c r="BY496">
        <f>IFERROR(BX496/BO496,"")</f>
        <v>-6.6623166682650758</v>
      </c>
      <c r="BZ496">
        <v>0</v>
      </c>
      <c r="CA496">
        <v>0</v>
      </c>
      <c r="CB496">
        <v>0</v>
      </c>
      <c r="CC496">
        <v>0</v>
      </c>
      <c r="CD496">
        <v>0</v>
      </c>
      <c r="CE496">
        <v>0</v>
      </c>
      <c r="CF496">
        <v>0</v>
      </c>
      <c r="CG496">
        <v>0</v>
      </c>
      <c r="CH496">
        <v>0</v>
      </c>
      <c r="CI496">
        <v>0</v>
      </c>
      <c r="CJ496">
        <v>0</v>
      </c>
      <c r="CK496">
        <v>0</v>
      </c>
      <c r="CL496">
        <v>0</v>
      </c>
      <c r="CM496">
        <v>1</v>
      </c>
      <c r="CN496" t="str">
        <f>IF($BL496&lt;$BK496,"refNeedCorrection","refOK")</f>
        <v>refOK</v>
      </c>
      <c r="CO496">
        <f>IF($CN496="refOK",$BK496,$BL496)</f>
        <v>77.868338557993695</v>
      </c>
      <c r="CP496">
        <f>IF($CN496="refOK",$BL496,$BK496)</f>
        <v>82.946708463949804</v>
      </c>
      <c r="CQ496">
        <f>IF($CN496="refOK",$BO496,-$BO496)</f>
        <v>10364.020216236957</v>
      </c>
      <c r="CR496">
        <f>IF($CN496="refOK",$BS496,$BT496)*IF($BP496="Emissions positive",-1,1)</f>
        <v>22260.374748603492</v>
      </c>
      <c r="CS496">
        <f>IF($CN496="refOK",$BT496,$BS496)*IF($BP496="Emissions positive",-1,1)</f>
        <v>-46788.009888268192</v>
      </c>
      <c r="CT496">
        <f>IF($CN496="refNeedCorrection",-BX496,BX496)*IF($BP496="Emissions positive",-1,1)</f>
        <v>-69048.384636871691</v>
      </c>
      <c r="CU496">
        <f>IFERROR(CT496/CQ496,"")</f>
        <v>-6.6623166682650758</v>
      </c>
      <c r="CV496" s="2">
        <f>IFERROR((CS496-CR496)/ABS(CR496),"")</f>
        <v>-3.1018518518518405</v>
      </c>
      <c r="CW496" s="1" t="s">
        <v>1201</v>
      </c>
      <c r="CX496" t="str">
        <f>IF(OR($CW496="prd",$CW496="std",$CW496="cit"),"loc",IF(OR($CW496="eur",$CW496="reg",$CW496="coy"),"reg",$CW496))</f>
        <v>reg</v>
      </c>
      <c r="CY496" t="s">
        <v>236</v>
      </c>
      <c r="CZ496">
        <v>2010</v>
      </c>
      <c r="DA496">
        <v>2070</v>
      </c>
      <c r="DB496">
        <f>DA496-CZ496</f>
        <v>60</v>
      </c>
      <c r="DC496" t="str">
        <f>IF(DB496=0,"0",IF(AND(DB496&gt;=1,DB496&lt;=30),"1-30",IF(AND(DB496&gt;30,DB496&lt;=70),"31-70",IF(AND(DB496&gt;70,DB496&lt;=100),"71-100",IF(DB496&gt;100,"+100")))))</f>
        <v>31-70</v>
      </c>
      <c r="DD496">
        <v>1</v>
      </c>
      <c r="DE496">
        <v>0</v>
      </c>
      <c r="DF496">
        <v>0</v>
      </c>
      <c r="DG496">
        <v>0</v>
      </c>
      <c r="DH496">
        <v>0</v>
      </c>
      <c r="DI496">
        <f>SUM(DD496:DG496)</f>
        <v>1</v>
      </c>
      <c r="DJ496" t="str">
        <f>IF(DI496=1,INDEX($DD$7:$DG$7,MATCH(1,$DD496:$DG496,0)),"mixedProduct")</f>
        <v>UpstreamInput</v>
      </c>
      <c r="DK496" t="str">
        <f>IF(DD496=1,DK$7,0)</f>
        <v>Upstream</v>
      </c>
      <c r="DL496">
        <f>IF(DE496=1,DL$7,0)</f>
        <v>0</v>
      </c>
      <c r="DM496">
        <f>IF(DF496=1,DM$7,0)</f>
        <v>0</v>
      </c>
      <c r="DN496">
        <f>IF(DG496=1,DN$7,0)</f>
        <v>0</v>
      </c>
      <c r="DO496">
        <v>0</v>
      </c>
      <c r="DP496">
        <v>0</v>
      </c>
      <c r="DQ496">
        <v>0</v>
      </c>
      <c r="DR496">
        <v>0</v>
      </c>
      <c r="DS496">
        <v>0</v>
      </c>
      <c r="DT496">
        <f>SUM(DO496:DP496)</f>
        <v>0</v>
      </c>
      <c r="DU496" s="143" t="str">
        <f>IF(DO496=1,"self-calculated DF",IF(DP496=1,"external DF used","explicit C balance"))</f>
        <v>explicit C balance</v>
      </c>
      <c r="DV496">
        <v>1</v>
      </c>
      <c r="DW496">
        <v>1</v>
      </c>
      <c r="DX496">
        <v>1</v>
      </c>
      <c r="DY496">
        <v>1</v>
      </c>
      <c r="DZ496">
        <v>0</v>
      </c>
      <c r="EA496" s="143">
        <v>0</v>
      </c>
      <c r="EB496">
        <v>0</v>
      </c>
      <c r="EC496">
        <v>0</v>
      </c>
      <c r="ED496">
        <v>0</v>
      </c>
      <c r="EE496">
        <v>0</v>
      </c>
      <c r="EF496">
        <v>1</v>
      </c>
      <c r="EG496">
        <v>0</v>
      </c>
      <c r="EH496">
        <v>0</v>
      </c>
      <c r="EI496" s="2">
        <v>0</v>
      </c>
      <c r="EK496" t="str">
        <f>IF(AND(AND(AND(OR($DX496=1,$DW496=1),OR($EC496=1,$EA496=1)),SUM($DV496:$DZ496,$EF496)&gt;=4),SUM($EA496:$EE496)&gt;=2),"Whole sector","")</f>
        <v/>
      </c>
      <c r="EL496" t="str">
        <f>IF(AND(AND(OR($DX496=1,$DW496=1),AND($EC496=0,$EA496=0)),SUM($DV496:$DZ496,$EF496)&gt;=4),"Ecosystem approach","")</f>
        <v>Ecosystem approach</v>
      </c>
      <c r="EM496" s="2" t="str">
        <f>IF(AND(AND(AND($DX496=0,$DW496=0),OR($EC496=1,$EA496=1)),SUM($EB496:$EE496)&gt;=2),"Technology approach","")</f>
        <v/>
      </c>
      <c r="EP496" t="str">
        <f>IF(ISNUMBER(BU496),IF(ABS(BU496-[2]QC_indicators!$B$2)&gt;3*[2]QC_indicators!$C$2,"C ratio",IF(ISNUMBER(BY496),IF(ABS(BY496-[2]QC_indicators!$B$1)&gt;3*[2]QC_indicators!$C$1,"DF","no"))),IF(ISNUMBER(BY496),IF(ABS(BY496-[2]QC_indicators!$B$1)&gt;3*[2]QC_indicators!$C$1,"DF","no")))</f>
        <v>no</v>
      </c>
      <c r="EQ496" t="s">
        <v>2503</v>
      </c>
      <c r="ET496" s="266" t="s">
        <v>3259</v>
      </c>
    </row>
    <row r="497" spans="1:150" ht="15" customHeight="1">
      <c r="A497" s="1" t="s">
        <v>1425</v>
      </c>
      <c r="B497" t="s">
        <v>2492</v>
      </c>
      <c r="C497" t="s">
        <v>2493</v>
      </c>
      <c r="D497" t="s">
        <v>2494</v>
      </c>
      <c r="E497" t="s">
        <v>2495</v>
      </c>
      <c r="F497" t="s">
        <v>2496</v>
      </c>
      <c r="G497" t="s">
        <v>1431</v>
      </c>
      <c r="H497" t="s">
        <v>255</v>
      </c>
      <c r="I497">
        <v>2016</v>
      </c>
      <c r="J497">
        <v>24</v>
      </c>
      <c r="K497" t="s">
        <v>2497</v>
      </c>
      <c r="M497" t="str">
        <f>LEFT($D497,FIND(",",$D497)-1)&amp;"_"&amp;I497&amp;L497</f>
        <v>Zubizarreta-Gerendiain_2016</v>
      </c>
      <c r="N497" t="s">
        <v>223</v>
      </c>
      <c r="O497" s="145" t="s">
        <v>1156</v>
      </c>
      <c r="Q497" t="s">
        <v>257</v>
      </c>
      <c r="R497" s="264" t="s">
        <v>224</v>
      </c>
      <c r="S497" s="1" t="s">
        <v>2528</v>
      </c>
      <c r="T497" t="s">
        <v>2512</v>
      </c>
      <c r="U497" t="s">
        <v>2531</v>
      </c>
      <c r="V497">
        <v>0</v>
      </c>
      <c r="W497">
        <v>0</v>
      </c>
      <c r="X497">
        <v>0</v>
      </c>
      <c r="Y497">
        <v>1</v>
      </c>
      <c r="Z497">
        <v>0</v>
      </c>
      <c r="AA497">
        <v>0</v>
      </c>
      <c r="AB497">
        <v>0</v>
      </c>
      <c r="AC497">
        <v>0</v>
      </c>
      <c r="AD497">
        <v>0</v>
      </c>
      <c r="AE497">
        <v>0</v>
      </c>
      <c r="AF497">
        <v>0</v>
      </c>
      <c r="AG497">
        <v>0</v>
      </c>
      <c r="AH497">
        <v>0</v>
      </c>
      <c r="AI497">
        <v>0</v>
      </c>
      <c r="AJ497">
        <v>0</v>
      </c>
      <c r="AK497">
        <v>0</v>
      </c>
      <c r="AL497">
        <v>0</v>
      </c>
      <c r="AM497">
        <v>0</v>
      </c>
      <c r="AN497">
        <v>2</v>
      </c>
      <c r="AO497">
        <v>2</v>
      </c>
      <c r="AP497">
        <v>0</v>
      </c>
      <c r="AQ497">
        <v>0</v>
      </c>
      <c r="AR497">
        <v>0</v>
      </c>
      <c r="AS497">
        <v>0</v>
      </c>
      <c r="AT497">
        <v>0</v>
      </c>
      <c r="AU497">
        <v>0</v>
      </c>
      <c r="AV497">
        <v>0</v>
      </c>
      <c r="AW497">
        <v>0</v>
      </c>
      <c r="AX497" s="141">
        <f>COUNTIF(V497:AW497,"&lt;&gt;0")</f>
        <v>3</v>
      </c>
      <c r="AY497" s="141">
        <f>COUNTIF(V497:AL497,"&lt;&gt;0")</f>
        <v>1</v>
      </c>
      <c r="AZ497">
        <f>COUNTIF(V497:AC497,"&lt;&gt;0")</f>
        <v>1</v>
      </c>
      <c r="BA497">
        <f>COUNTIF(AD497:AI497,"&lt;&gt;0")</f>
        <v>0</v>
      </c>
      <c r="BB497">
        <f>COUNTIF(AJ497:AL497,"&lt;&gt;0")</f>
        <v>0</v>
      </c>
      <c r="BC497">
        <f>COUNTIF(AS497:AW497,"&lt;&gt;0")</f>
        <v>0</v>
      </c>
      <c r="BD497">
        <f>COUNTIF(AM497:AR497,"&lt;&gt;0")</f>
        <v>2</v>
      </c>
      <c r="BE497" t="str">
        <f t="array" ref="BE497">IF(AY497=1,INDEX($V$7:$AL$7,MATCH(TRUE,INDEX($V497:$AW497&lt;&gt;0,),0)),IF(AY497=0,INDEX($AM$7:$AW$7,MATCH(1,$AM497:$AW497,0)),IF(BF497="Multiple strategies","mixed drivers",IF(BF497="Supply chain","multiple supply","multiple silviculture"))))</f>
        <v xml:space="preserve">cutting intensity </v>
      </c>
      <c r="BF497" s="2" t="str" cm="1">
        <f t="array" ref="BF497">IF(COUNTIF(AZ497:BB497,"&lt;&gt;0")=1,INDEX($V$4:$AW$4,MATCH(TRUE,INDEX($V497:$AW497&lt;&gt;0,),0)),IF(COUNTIF(AZ497:BB497,"&lt;&gt;0")=0,INDEX($AM$4:$AW$4,MATCH(1,$AM497:$AW497,0)),"Multiple strategies"))</f>
        <v>SilvicultureRemov</v>
      </c>
      <c r="BM497" s="143"/>
      <c r="BN497" s="143"/>
      <c r="BP497" s="143" t="s">
        <v>233</v>
      </c>
      <c r="BQ497" s="143"/>
      <c r="BR497" t="s">
        <v>1197</v>
      </c>
      <c r="BS497">
        <v>121904.97124600642</v>
      </c>
      <c r="BT497">
        <v>130927.54313099037</v>
      </c>
      <c r="BU497" s="144">
        <f>IFERROR(BT497/BS497,"")</f>
        <v>1.0740131578947363</v>
      </c>
      <c r="BV497" s="144">
        <f>BT497-BS497</f>
        <v>9022.5718849839468</v>
      </c>
      <c r="BW497" s="144"/>
      <c r="BX497" s="144">
        <f>BV497</f>
        <v>9022.5718849839468</v>
      </c>
      <c r="BY497" t="str">
        <f>IFERROR(BX497/BO497,"")</f>
        <v/>
      </c>
      <c r="BZ497">
        <v>0</v>
      </c>
      <c r="CA497">
        <v>0</v>
      </c>
      <c r="CB497">
        <v>0</v>
      </c>
      <c r="CC497">
        <v>0</v>
      </c>
      <c r="CD497">
        <v>0</v>
      </c>
      <c r="CE497">
        <v>0</v>
      </c>
      <c r="CF497">
        <v>0</v>
      </c>
      <c r="CG497">
        <v>0</v>
      </c>
      <c r="CH497">
        <v>0</v>
      </c>
      <c r="CI497">
        <v>0</v>
      </c>
      <c r="CJ497">
        <v>0</v>
      </c>
      <c r="CK497">
        <v>0</v>
      </c>
      <c r="CL497">
        <v>0</v>
      </c>
      <c r="CM497">
        <v>1</v>
      </c>
      <c r="CN497" t="str">
        <f>IF(BL497&lt;BK497,"refNeedCorrection","refOK")</f>
        <v>refOK</v>
      </c>
      <c r="CO497"/>
      <c r="CP497"/>
      <c r="CQ497"/>
      <c r="CR497">
        <f>IF($CN497="refOK",$BS497,$BT497)*IF($BP497="Emissions positive",-1,1)</f>
        <v>121904.97124600642</v>
      </c>
      <c r="CS497">
        <f>IF($CN497="refOK",$BT497,$BS497)*IF($BP497="Emissions positive",-1,1)</f>
        <v>130927.54313099037</v>
      </c>
      <c r="CT497">
        <f>IF($CN497="refNeedCorrection",-BX497,BX497)*IF($BP497="Emissions positive",-1,1)</f>
        <v>9022.5718849839468</v>
      </c>
      <c r="CU497" t="str">
        <f>IFERROR(CT497/CQ497,"")</f>
        <v/>
      </c>
      <c r="CV497" s="2">
        <f>IFERROR((CS497-CR497)/ABS(CR497),"")</f>
        <v>7.4013157894736184E-2</v>
      </c>
      <c r="CW497" s="1" t="s">
        <v>1201</v>
      </c>
      <c r="CX497" t="str">
        <f>IF(OR($CW497="prd",$CW497="std",$CW497="cit"),"loc",IF(OR($CW497="eur",$CW497="reg",$CW497="coy"),"reg",$CW497))</f>
        <v>reg</v>
      </c>
      <c r="CY497" t="s">
        <v>236</v>
      </c>
      <c r="CZ497">
        <v>2010</v>
      </c>
      <c r="DA497">
        <v>2070</v>
      </c>
      <c r="DB497">
        <f>DA497-CZ497</f>
        <v>60</v>
      </c>
      <c r="DC497" t="str">
        <f>IF(DB497=0,"0",IF(AND(DB497&gt;=1,DB497&lt;=30),"1-30",IF(AND(DB497&gt;30,DB497&lt;=70),"31-70",IF(AND(DB497&gt;70,DB497&lt;=100),"71-100",IF(DB497&gt;100,"+100")))))</f>
        <v>31-70</v>
      </c>
      <c r="DD497">
        <v>0</v>
      </c>
      <c r="DE497">
        <v>1</v>
      </c>
      <c r="DF497">
        <v>0</v>
      </c>
      <c r="DG497">
        <v>0</v>
      </c>
      <c r="DH497">
        <v>0</v>
      </c>
      <c r="DI497">
        <f>SUM(DD497:DG497)</f>
        <v>1</v>
      </c>
      <c r="DJ497" t="str">
        <f>IF(DI497=1,INDEX($DD$7:$DG$7,MATCH(1,$DD497:$DG497,0)),"mixedProduct")</f>
        <v>EnergyInput</v>
      </c>
      <c r="DK497">
        <f>IF(DD497=1,DK$7,0)</f>
        <v>0</v>
      </c>
      <c r="DL497" t="str">
        <f>IF(DE497=1,DL$7,0)</f>
        <v>Energy</v>
      </c>
      <c r="DM497">
        <f>IF(DF497=1,DM$7,0)</f>
        <v>0</v>
      </c>
      <c r="DN497">
        <f>IF(DG497=1,DN$7,0)</f>
        <v>0</v>
      </c>
      <c r="DO497">
        <v>0</v>
      </c>
      <c r="DP497">
        <v>0</v>
      </c>
      <c r="DQ497">
        <v>0</v>
      </c>
      <c r="DR497">
        <v>0</v>
      </c>
      <c r="DS497">
        <v>0</v>
      </c>
      <c r="DT497">
        <f>SUM(DO497:DP497)</f>
        <v>0</v>
      </c>
      <c r="DU497" s="143" t="str">
        <f>IF(DO497=1,"self-calculated DF",IF(DP497=1,"external DF used","explicit C balance"))</f>
        <v>explicit C balance</v>
      </c>
      <c r="DV497">
        <v>1</v>
      </c>
      <c r="DW497">
        <v>1</v>
      </c>
      <c r="DX497">
        <v>1</v>
      </c>
      <c r="DY497">
        <v>1</v>
      </c>
      <c r="DZ497">
        <v>0</v>
      </c>
      <c r="EA497" s="143">
        <v>0</v>
      </c>
      <c r="EB497">
        <v>0</v>
      </c>
      <c r="EC497">
        <v>0</v>
      </c>
      <c r="ED497">
        <v>0</v>
      </c>
      <c r="EE497">
        <v>0</v>
      </c>
      <c r="EF497">
        <v>1</v>
      </c>
      <c r="EG497">
        <v>0</v>
      </c>
      <c r="EH497">
        <v>0</v>
      </c>
      <c r="EI497" s="2">
        <v>0</v>
      </c>
      <c r="EK497" t="str">
        <f>IF(AND(AND(AND(OR($DX497=1,$DW497=1),OR($EC497=1,$EA497=1)),SUM($DV497:$DZ497,$EF497)&gt;=4),SUM($EA497:$EE497)&gt;=2),"Whole sector","")</f>
        <v/>
      </c>
      <c r="EL497" t="str">
        <f>IF(AND(AND(OR($DX497=1,$DW497=1),AND($EC497=0,$EA497=0)),SUM($DV497:$DZ497,$EF497)&gt;=4),"Ecosystem approach","")</f>
        <v>Ecosystem approach</v>
      </c>
      <c r="EM497" s="2" t="str">
        <f>IF(AND(AND(AND($DX497=0,$DW497=0),OR($EC497=1,$EA497=1)),SUM($EB497:$EE497)&gt;=2),"Technology approach","")</f>
        <v/>
      </c>
      <c r="EP497" t="b">
        <f>IF(ISNUMBER(BU497),IF(ABS(BU497-[2]QC_indicators!$B$2)&gt;3*[2]QC_indicators!$C$2,"C ratio",IF(ISNUMBER(BY497),IF(ABS(BY497-[2]QC_indicators!$B$1)&gt;3*[2]QC_indicators!$C$1,"DF","no"))),IF(ISNUMBER(BY497),IF(ABS(BY497-[2]QC_indicators!$B$1)&gt;3*[2]QC_indicators!$C$1,"DF","no")))</f>
        <v>0</v>
      </c>
      <c r="ET497" s="266" t="s">
        <v>3275</v>
      </c>
    </row>
    <row r="498" spans="1:150" ht="15" customHeight="1">
      <c r="A498" s="1" t="s">
        <v>1425</v>
      </c>
      <c r="B498" t="s">
        <v>2492</v>
      </c>
      <c r="C498" t="s">
        <v>2493</v>
      </c>
      <c r="D498" t="s">
        <v>2494</v>
      </c>
      <c r="E498" t="s">
        <v>2495</v>
      </c>
      <c r="F498" t="s">
        <v>2496</v>
      </c>
      <c r="G498" t="s">
        <v>1431</v>
      </c>
      <c r="H498" t="s">
        <v>255</v>
      </c>
      <c r="I498">
        <v>2016</v>
      </c>
      <c r="J498">
        <v>24</v>
      </c>
      <c r="K498" t="s">
        <v>2497</v>
      </c>
      <c r="M498" t="str">
        <f>LEFT($D498,FIND(",",$D498)-1)&amp;"_"&amp;I498&amp;L498</f>
        <v>Zubizarreta-Gerendiain_2016</v>
      </c>
      <c r="N498" t="s">
        <v>223</v>
      </c>
      <c r="O498" s="145" t="s">
        <v>1156</v>
      </c>
      <c r="Q498" t="s">
        <v>257</v>
      </c>
      <c r="R498" s="264" t="s">
        <v>224</v>
      </c>
      <c r="S498" s="1" t="s">
        <v>2528</v>
      </c>
      <c r="T498" t="s">
        <v>2516</v>
      </c>
      <c r="U498" t="s">
        <v>2532</v>
      </c>
      <c r="V498">
        <v>0</v>
      </c>
      <c r="W498">
        <v>0</v>
      </c>
      <c r="X498">
        <v>0</v>
      </c>
      <c r="Y498">
        <v>1</v>
      </c>
      <c r="Z498">
        <v>0</v>
      </c>
      <c r="AA498">
        <v>0</v>
      </c>
      <c r="AB498">
        <v>0</v>
      </c>
      <c r="AC498">
        <v>0</v>
      </c>
      <c r="AD498">
        <v>0</v>
      </c>
      <c r="AE498">
        <v>0</v>
      </c>
      <c r="AF498">
        <v>0</v>
      </c>
      <c r="AG498">
        <v>0</v>
      </c>
      <c r="AH498">
        <v>0</v>
      </c>
      <c r="AI498">
        <v>0</v>
      </c>
      <c r="AJ498">
        <v>0</v>
      </c>
      <c r="AK498">
        <v>0</v>
      </c>
      <c r="AL498">
        <v>0</v>
      </c>
      <c r="AM498">
        <v>0</v>
      </c>
      <c r="AN498">
        <v>2</v>
      </c>
      <c r="AO498">
        <v>2</v>
      </c>
      <c r="AP498">
        <v>0</v>
      </c>
      <c r="AQ498">
        <v>0</v>
      </c>
      <c r="AR498">
        <v>0</v>
      </c>
      <c r="AS498">
        <v>0</v>
      </c>
      <c r="AT498">
        <v>0</v>
      </c>
      <c r="AU498">
        <v>0</v>
      </c>
      <c r="AV498">
        <v>0</v>
      </c>
      <c r="AW498">
        <v>0</v>
      </c>
      <c r="AX498" s="141">
        <f>COUNTIF(V498:AW498,"&lt;&gt;0")</f>
        <v>3</v>
      </c>
      <c r="AY498" s="141">
        <f>COUNTIF(V498:AL498,"&lt;&gt;0")</f>
        <v>1</v>
      </c>
      <c r="AZ498">
        <f>COUNTIF(V498:AC498,"&lt;&gt;0")</f>
        <v>1</v>
      </c>
      <c r="BA498">
        <f>COUNTIF(AD498:AI498,"&lt;&gt;0")</f>
        <v>0</v>
      </c>
      <c r="BB498">
        <f>COUNTIF(AJ498:AL498,"&lt;&gt;0")</f>
        <v>0</v>
      </c>
      <c r="BC498">
        <f>COUNTIF(AS498:AW498,"&lt;&gt;0")</f>
        <v>0</v>
      </c>
      <c r="BD498">
        <f>COUNTIF(AM498:AR498,"&lt;&gt;0")</f>
        <v>2</v>
      </c>
      <c r="BE498" t="str">
        <f t="array" ref="BE498">IF(AY498=1,INDEX($V$7:$AL$7,MATCH(TRUE,INDEX($V498:$AW498&lt;&gt;0,),0)),IF(AY498=0,INDEX($AM$7:$AW$7,MATCH(1,$AM498:$AW498,0)),IF(BF498="Multiple strategies","mixed drivers",IF(BF498="Supply chain","multiple supply","multiple silviculture"))))</f>
        <v xml:space="preserve">cutting intensity </v>
      </c>
      <c r="BF498" s="2" t="str" cm="1">
        <f t="array" ref="BF498">IF(COUNTIF(AZ498:BB498,"&lt;&gt;0")=1,INDEX($V$4:$AW$4,MATCH(TRUE,INDEX($V498:$AW498&lt;&gt;0,),0)),IF(COUNTIF(AZ498:BB498,"&lt;&gt;0")=0,INDEX($AM$4:$AW$4,MATCH(1,$AM498:$AW498,0)),"Multiple strategies"))</f>
        <v>SilvicultureRemov</v>
      </c>
      <c r="BM498" s="143"/>
      <c r="BN498" s="143"/>
      <c r="BP498" s="143" t="s">
        <v>233</v>
      </c>
      <c r="BQ498" s="143"/>
      <c r="BR498" t="s">
        <v>1197</v>
      </c>
      <c r="BS498">
        <v>99553.342625698249</v>
      </c>
      <c r="BT498">
        <v>105736.78005586576</v>
      </c>
      <c r="BU498" s="144">
        <f>IFERROR(BT498/BS498,"")</f>
        <v>1.0621118012422353</v>
      </c>
      <c r="BV498" s="144">
        <f>BT498-BS498</f>
        <v>6183.4374301675125</v>
      </c>
      <c r="BW498" s="144"/>
      <c r="BX498" s="144">
        <f>BV498</f>
        <v>6183.4374301675125</v>
      </c>
      <c r="BY498" t="str">
        <f>IFERROR(BX498/BO498,"")</f>
        <v/>
      </c>
      <c r="BZ498">
        <v>0</v>
      </c>
      <c r="CA498">
        <v>0</v>
      </c>
      <c r="CB498">
        <v>0</v>
      </c>
      <c r="CC498">
        <v>0</v>
      </c>
      <c r="CD498">
        <v>0</v>
      </c>
      <c r="CE498">
        <v>0</v>
      </c>
      <c r="CF498">
        <v>0</v>
      </c>
      <c r="CG498">
        <v>0</v>
      </c>
      <c r="CH498">
        <v>0</v>
      </c>
      <c r="CI498">
        <v>0</v>
      </c>
      <c r="CJ498">
        <v>0</v>
      </c>
      <c r="CK498">
        <v>0</v>
      </c>
      <c r="CL498">
        <v>0</v>
      </c>
      <c r="CM498">
        <v>1</v>
      </c>
      <c r="CN498" t="str">
        <f>IF(BL498&lt;BK498,"refNeedCorrection","refOK")</f>
        <v>refOK</v>
      </c>
      <c r="CO498"/>
      <c r="CP498"/>
      <c r="CQ498"/>
      <c r="CR498">
        <f>IF($CN498="refOK",$BS498,$BT498)*IF($BP498="Emissions positive",-1,1)</f>
        <v>99553.342625698249</v>
      </c>
      <c r="CS498">
        <f>IF($CN498="refOK",$BT498,$BS498)*IF($BP498="Emissions positive",-1,1)</f>
        <v>105736.78005586576</v>
      </c>
      <c r="CT498">
        <f>IF($CN498="refNeedCorrection",-BX498,BX498)*IF($BP498="Emissions positive",-1,1)</f>
        <v>6183.4374301675125</v>
      </c>
      <c r="CU498" t="str">
        <f>IFERROR(CT498/CQ498,"")</f>
        <v/>
      </c>
      <c r="CV498" s="2">
        <f>IFERROR((CS498-CR498)/ABS(CR498),"")</f>
        <v>6.2111801242235212E-2</v>
      </c>
      <c r="CW498" s="1" t="s">
        <v>1201</v>
      </c>
      <c r="CX498" t="str">
        <f>IF(OR($CW498="prd",$CW498="std",$CW498="cit"),"loc",IF(OR($CW498="eur",$CW498="reg",$CW498="coy"),"reg",$CW498))</f>
        <v>reg</v>
      </c>
      <c r="CY498" t="s">
        <v>236</v>
      </c>
      <c r="CZ498">
        <v>2010</v>
      </c>
      <c r="DA498">
        <v>2070</v>
      </c>
      <c r="DB498">
        <f>DA498-CZ498</f>
        <v>60</v>
      </c>
      <c r="DC498" t="str">
        <f>IF(DB498=0,"0",IF(AND(DB498&gt;=1,DB498&lt;=30),"1-30",IF(AND(DB498&gt;30,DB498&lt;=70),"31-70",IF(AND(DB498&gt;70,DB498&lt;=100),"71-100",IF(DB498&gt;100,"+100")))))</f>
        <v>31-70</v>
      </c>
      <c r="DD498">
        <v>0</v>
      </c>
      <c r="DE498">
        <v>1</v>
      </c>
      <c r="DF498">
        <v>0</v>
      </c>
      <c r="DG498">
        <v>0</v>
      </c>
      <c r="DH498">
        <v>0</v>
      </c>
      <c r="DI498">
        <f>SUM(DD498:DG498)</f>
        <v>1</v>
      </c>
      <c r="DJ498" t="str">
        <f>IF(DI498=1,INDEX($DD$7:$DG$7,MATCH(1,$DD498:$DG498,0)),"mixedProduct")</f>
        <v>EnergyInput</v>
      </c>
      <c r="DK498">
        <f>IF(DD498=1,DK$7,0)</f>
        <v>0</v>
      </c>
      <c r="DL498" t="str">
        <f>IF(DE498=1,DL$7,0)</f>
        <v>Energy</v>
      </c>
      <c r="DM498">
        <f>IF(DF498=1,DM$7,0)</f>
        <v>0</v>
      </c>
      <c r="DN498">
        <f>IF(DG498=1,DN$7,0)</f>
        <v>0</v>
      </c>
      <c r="DO498">
        <v>0</v>
      </c>
      <c r="DP498">
        <v>0</v>
      </c>
      <c r="DQ498">
        <v>0</v>
      </c>
      <c r="DR498">
        <v>0</v>
      </c>
      <c r="DS498">
        <v>0</v>
      </c>
      <c r="DT498">
        <f>SUM(DO498:DP498)</f>
        <v>0</v>
      </c>
      <c r="DU498" s="143" t="str">
        <f>IF(DO498=1,"self-calculated DF",IF(DP498=1,"external DF used","explicit C balance"))</f>
        <v>explicit C balance</v>
      </c>
      <c r="DV498">
        <v>1</v>
      </c>
      <c r="DW498">
        <v>1</v>
      </c>
      <c r="DX498">
        <v>1</v>
      </c>
      <c r="DY498">
        <v>1</v>
      </c>
      <c r="DZ498">
        <v>0</v>
      </c>
      <c r="EA498" s="143">
        <v>0</v>
      </c>
      <c r="EB498">
        <v>0</v>
      </c>
      <c r="EC498">
        <v>0</v>
      </c>
      <c r="ED498">
        <v>0</v>
      </c>
      <c r="EE498">
        <v>0</v>
      </c>
      <c r="EF498">
        <v>1</v>
      </c>
      <c r="EG498">
        <v>0</v>
      </c>
      <c r="EH498">
        <v>0</v>
      </c>
      <c r="EI498" s="2">
        <v>0</v>
      </c>
      <c r="EK498" t="str">
        <f>IF(AND(AND(AND(OR($DX498=1,$DW498=1),OR($EC498=1,$EA498=1)),SUM($DV498:$DZ498,$EF498)&gt;=4),SUM($EA498:$EE498)&gt;=2),"Whole sector","")</f>
        <v/>
      </c>
      <c r="EL498" t="str">
        <f>IF(AND(AND(OR($DX498=1,$DW498=1),AND($EC498=0,$EA498=0)),SUM($DV498:$DZ498,$EF498)&gt;=4),"Ecosystem approach","")</f>
        <v>Ecosystem approach</v>
      </c>
      <c r="EM498" s="2" t="str">
        <f>IF(AND(AND(AND($DX498=0,$DW498=0),OR($EC498=1,$EA498=1)),SUM($EB498:$EE498)&gt;=2),"Technology approach","")</f>
        <v/>
      </c>
      <c r="EP498" t="b">
        <f>IF(ISNUMBER(BU498),IF(ABS(BU498-[2]QC_indicators!$B$2)&gt;3*[2]QC_indicators!$C$2,"C ratio",IF(ISNUMBER(BY498),IF(ABS(BY498-[2]QC_indicators!$B$1)&gt;3*[2]QC_indicators!$C$1,"DF","no"))),IF(ISNUMBER(BY498),IF(ABS(BY498-[2]QC_indicators!$B$1)&gt;3*[2]QC_indicators!$C$1,"DF","no")))</f>
        <v>0</v>
      </c>
      <c r="ET498" s="266" t="s">
        <v>3275</v>
      </c>
    </row>
    <row r="499" spans="1:150" ht="15" hidden="1" customHeight="1">
      <c r="A499" s="1" t="s">
        <v>1104</v>
      </c>
      <c r="B499" t="s">
        <v>2309</v>
      </c>
      <c r="C499" t="s">
        <v>2310</v>
      </c>
      <c r="D499" t="s">
        <v>2311</v>
      </c>
      <c r="E499" s="266" t="s">
        <v>2312</v>
      </c>
      <c r="F499" t="s">
        <v>2313</v>
      </c>
      <c r="G499" t="s">
        <v>1110</v>
      </c>
      <c r="H499" t="s">
        <v>255</v>
      </c>
      <c r="I499">
        <v>2017</v>
      </c>
      <c r="J499">
        <v>28</v>
      </c>
      <c r="K499" t="s">
        <v>2314</v>
      </c>
      <c r="M499" t="str">
        <f>LEFT($D499,FIND(",",$D499)-1)&amp;"_"&amp;I499&amp;L499</f>
        <v>Smyth_2017</v>
      </c>
      <c r="N499" t="s">
        <v>223</v>
      </c>
      <c r="O499" s="145" t="s">
        <v>342</v>
      </c>
      <c r="Q499" t="s">
        <v>257</v>
      </c>
      <c r="R499" s="264" t="s">
        <v>224</v>
      </c>
      <c r="S499" s="1" t="s">
        <v>2315</v>
      </c>
      <c r="T499" t="s">
        <v>1157</v>
      </c>
      <c r="U499" t="s">
        <v>2170</v>
      </c>
      <c r="V499">
        <v>0</v>
      </c>
      <c r="W499">
        <v>0</v>
      </c>
      <c r="X499">
        <v>0</v>
      </c>
      <c r="Y499">
        <v>1</v>
      </c>
      <c r="Z499">
        <v>0</v>
      </c>
      <c r="AA499">
        <v>0</v>
      </c>
      <c r="AB499">
        <v>0</v>
      </c>
      <c r="AC499">
        <v>0</v>
      </c>
      <c r="AD499">
        <v>0</v>
      </c>
      <c r="AE499">
        <v>0</v>
      </c>
      <c r="AF499">
        <v>0</v>
      </c>
      <c r="AG499">
        <v>0</v>
      </c>
      <c r="AH499">
        <v>0</v>
      </c>
      <c r="AI499">
        <v>0</v>
      </c>
      <c r="AJ499">
        <v>0</v>
      </c>
      <c r="AK499">
        <v>0</v>
      </c>
      <c r="AL499">
        <v>0</v>
      </c>
      <c r="AM499">
        <v>0</v>
      </c>
      <c r="AN499">
        <v>0</v>
      </c>
      <c r="AO499">
        <v>0</v>
      </c>
      <c r="AP499">
        <v>0</v>
      </c>
      <c r="AQ499">
        <v>0</v>
      </c>
      <c r="AR499">
        <v>0</v>
      </c>
      <c r="AS499">
        <v>0</v>
      </c>
      <c r="AT499">
        <v>0</v>
      </c>
      <c r="AU499">
        <v>0</v>
      </c>
      <c r="AV499">
        <v>0</v>
      </c>
      <c r="AW499">
        <v>0</v>
      </c>
      <c r="AX499" s="141">
        <f>COUNTIF(V499:AW499,"&lt;&gt;0")</f>
        <v>1</v>
      </c>
      <c r="AY499" s="141">
        <f>COUNTIF(V499:AL499,"&lt;&gt;0")</f>
        <v>1</v>
      </c>
      <c r="AZ499">
        <f>COUNTIF(V499:AC499,"&lt;&gt;0")</f>
        <v>1</v>
      </c>
      <c r="BA499">
        <f>COUNTIF(AD499:AI499,"&lt;&gt;0")</f>
        <v>0</v>
      </c>
      <c r="BB499">
        <f>COUNTIF(AJ499:AL499,"&lt;&gt;0")</f>
        <v>0</v>
      </c>
      <c r="BC499">
        <f>COUNTIF(AS499:AW499,"&lt;&gt;0")</f>
        <v>0</v>
      </c>
      <c r="BD499">
        <f>COUNTIF(AM499:AR499,"&lt;&gt;0")</f>
        <v>0</v>
      </c>
      <c r="BE499" t="str">
        <f t="array" ref="BE499">IF(AY499=1,INDEX($V$7:$AL$7,MATCH(TRUE,INDEX($V499:$AW499&lt;&gt;0,),0)),IF(AY499=0,INDEX($AM$7:$AW$7,MATCH(1,$AM499:$AW499,0)),IF(BF499="Multiple strategies","mixed drivers",IF(BF499="Supply chain","multiple supply","multiple silviculture"))))</f>
        <v xml:space="preserve">cutting intensity </v>
      </c>
      <c r="BF499" s="2" t="str" cm="1">
        <f t="array" ref="BF499">IF(COUNTIF(AZ499:BB499,"&lt;&gt;0")=1,INDEX($V$4:$AW$4,MATCH(TRUE,INDEX($V499:$AW499&lt;&gt;0,),0)),IF(COUNTIF(AZ499:BB499,"&lt;&gt;0")=0,INDEX($AM$4:$AW$4,MATCH(1,$AM499:$AW499,0)),"Multiple strategies"))</f>
        <v>SilvicultureRemov</v>
      </c>
      <c r="BG499" s="174" t="s">
        <v>322</v>
      </c>
      <c r="BH499" t="s">
        <v>2316</v>
      </c>
      <c r="BI499" s="266" t="s">
        <v>3247</v>
      </c>
      <c r="BJ499" t="s">
        <v>2290</v>
      </c>
      <c r="BK499">
        <f>1*33</f>
        <v>33</v>
      </c>
      <c r="BL499">
        <f>11.9*33</f>
        <v>392.7</v>
      </c>
      <c r="BN499">
        <f>BL499-BK499</f>
        <v>359.7</v>
      </c>
      <c r="BO499">
        <f>BN499*10^6*tC_to_m3</f>
        <v>1561875814.1554496</v>
      </c>
      <c r="BP499" t="s">
        <v>233</v>
      </c>
      <c r="BQ499" s="153" t="s">
        <v>3248</v>
      </c>
      <c r="BR499" t="s">
        <v>1142</v>
      </c>
      <c r="BS499">
        <f>-11.5*33</f>
        <v>-379.5</v>
      </c>
      <c r="BT499">
        <f>-3.4*33</f>
        <v>-112.2</v>
      </c>
      <c r="BU499" s="144">
        <f>IFERROR(BT499/BS499,"")</f>
        <v>0.29565217391304349</v>
      </c>
      <c r="BV499">
        <f>BT499-BS499</f>
        <v>267.3</v>
      </c>
      <c r="BX499">
        <f>BV499*10^6</f>
        <v>267300000</v>
      </c>
      <c r="BY499">
        <f>IFERROR(BX499/BO499,"")</f>
        <v>0.17114036697247703</v>
      </c>
      <c r="BZ499">
        <v>0</v>
      </c>
      <c r="CA499">
        <v>1</v>
      </c>
      <c r="CB499">
        <v>1</v>
      </c>
      <c r="CC499">
        <v>1</v>
      </c>
      <c r="CD499">
        <v>0</v>
      </c>
      <c r="CE499">
        <v>0</v>
      </c>
      <c r="CF499">
        <v>0</v>
      </c>
      <c r="CG499">
        <v>0</v>
      </c>
      <c r="CH499">
        <v>0</v>
      </c>
      <c r="CI499">
        <v>0</v>
      </c>
      <c r="CJ499">
        <v>0</v>
      </c>
      <c r="CK499">
        <v>0</v>
      </c>
      <c r="CL499">
        <v>0</v>
      </c>
      <c r="CM499">
        <v>0</v>
      </c>
      <c r="CN499" t="str">
        <f>IF($BL499&lt;$BK499,"refNeedCorrection","refOK")</f>
        <v>refOK</v>
      </c>
      <c r="CO499">
        <f>IF($CN499="refOK",$BK499,$BL499)</f>
        <v>33</v>
      </c>
      <c r="CP499">
        <f>IF($CN499="refOK",$BL499,$BK499)</f>
        <v>392.7</v>
      </c>
      <c r="CQ499">
        <f>IF($CN499="refOK",$BO499,-$BO499)</f>
        <v>1561875814.1554496</v>
      </c>
      <c r="CR499">
        <f>IF($CN499="refOK",$BS499,$BT499)*IF($BP499="Emissions positive",-1,1)</f>
        <v>-379.5</v>
      </c>
      <c r="CS499">
        <f>IF($CN499="refOK",$BT499,$BS499)*IF($BP499="Emissions positive",-1,1)</f>
        <v>-112.2</v>
      </c>
      <c r="CT499">
        <f>IF($CN499="refNeedCorrection",-BX499,BX499)*IF($BP499="Emissions positive",-1,1)</f>
        <v>267300000</v>
      </c>
      <c r="CU499">
        <f>IFERROR(CT499/CQ499,"")</f>
        <v>0.17114036697247703</v>
      </c>
      <c r="CV499" s="2">
        <f>IFERROR((CS499-CR499)/ABS(CR499),"")</f>
        <v>0.70434782608695656</v>
      </c>
      <c r="CW499" s="1" t="s">
        <v>1205</v>
      </c>
      <c r="CX499" t="str">
        <f>IF(OR($CW499="prd",$CW499="std",$CW499="cit"),"loc",IF(OR($CW499="eur",$CW499="reg",$CW499="coy"),"reg",$CW499))</f>
        <v>reg</v>
      </c>
      <c r="CY499" t="s">
        <v>541</v>
      </c>
      <c r="CZ499">
        <v>2017</v>
      </c>
      <c r="DA499">
        <v>2050</v>
      </c>
      <c r="DB499">
        <v>33</v>
      </c>
      <c r="DC499" t="str">
        <f>IF(DB499=0,"0",IF(AND(DB499&gt;=1,DB499&lt;=30),"1-30",IF(AND(DB499&gt;30,DB499&lt;=70),"31-70",IF(AND(DB499&gt;70,DB499&lt;=100),"71-100",IF(DB499&gt;100,"+100")))))</f>
        <v>31-70</v>
      </c>
      <c r="DD499">
        <v>0</v>
      </c>
      <c r="DE499">
        <v>1</v>
      </c>
      <c r="DF499">
        <v>1</v>
      </c>
      <c r="DG499">
        <v>1</v>
      </c>
      <c r="DI499">
        <f>SUM(DD499:DG499)</f>
        <v>3</v>
      </c>
      <c r="DJ499" t="str">
        <f>IF(DI499=1,INDEX($DD$7:$DG$7,MATCH(1,$DD499:$DG499,0)),"mixedProduct")</f>
        <v>mixedProduct</v>
      </c>
      <c r="DK499">
        <f>IF(DD499=1,DK$7,0)</f>
        <v>0</v>
      </c>
      <c r="DL499" t="str">
        <f>IF(DE499=1,DL$7,0)</f>
        <v>Energy</v>
      </c>
      <c r="DM499" t="str">
        <f>IF(DF499=1,DM$7,0)</f>
        <v>Pulp/Paper</v>
      </c>
      <c r="DN499" t="str">
        <f>IF(DG499=1,DN$7,0)</f>
        <v>Timber</v>
      </c>
      <c r="DO499">
        <v>1</v>
      </c>
      <c r="DP499">
        <v>1</v>
      </c>
      <c r="DQ499" t="s">
        <v>2317</v>
      </c>
      <c r="DR499">
        <v>0</v>
      </c>
      <c r="DS499">
        <v>0</v>
      </c>
      <c r="DT499">
        <f>SUM(DO499:DP499)</f>
        <v>2</v>
      </c>
      <c r="DU499" s="143" t="str">
        <f>IF(DO499=1,"self-calculated DF",IF(DP499=1,"external DF used","explicit C balance"))</f>
        <v>self-calculated DF</v>
      </c>
      <c r="DV499">
        <v>1</v>
      </c>
      <c r="DW499">
        <v>1</v>
      </c>
      <c r="DX499">
        <v>1</v>
      </c>
      <c r="DY499">
        <v>1</v>
      </c>
      <c r="DZ499">
        <v>1</v>
      </c>
      <c r="EA499">
        <v>1</v>
      </c>
      <c r="EB499">
        <v>0</v>
      </c>
      <c r="EC499">
        <v>0</v>
      </c>
      <c r="ED499">
        <v>0</v>
      </c>
      <c r="EE499">
        <v>0</v>
      </c>
      <c r="EF499">
        <v>1</v>
      </c>
      <c r="EG499">
        <v>0</v>
      </c>
      <c r="EH499">
        <v>0</v>
      </c>
      <c r="EI499" s="2">
        <v>0</v>
      </c>
      <c r="EK499" t="str">
        <f>IF(AND(AND(AND(OR($DX499=1,$DW499=1),OR($EC499=1,$EA499=1)),SUM($DV499:$DZ499,$EF499)&gt;=4),SUM($EA499:$EE499)&gt;=2),"Whole sector","")</f>
        <v/>
      </c>
      <c r="EL499" t="str">
        <f>IF(AND(AND(OR($DX499=1,$DW499=1),AND($EC499=0,$EA499=0)),SUM($DV499:$DZ499,$EF499)&gt;=4),"Ecosystem approach","")</f>
        <v/>
      </c>
      <c r="EM499" s="2" t="str">
        <f>IF(AND(AND(AND($DX499=0,$DW499=0),OR($EC499=1,$EA499=1)),SUM($EB499:$EE499)&gt;=2),"Technology approach","")</f>
        <v/>
      </c>
      <c r="EP499" t="str">
        <f>IF(ISNUMBER(BU499),IF(ABS(BU499-[2]QC_indicators!$B$2)&gt;3*[2]QC_indicators!$C$2,"C ratio",IF(ISNUMBER(BY499),IF(ABS(BY499-[2]QC_indicators!$B$1)&gt;3*[2]QC_indicators!$C$1,"DF","no"))),IF(ISNUMBER(BY499),IF(ABS(BY499-[2]QC_indicators!$B$1)&gt;3*[2]QC_indicators!$C$1,"DF","no")))</f>
        <v>no</v>
      </c>
      <c r="ET499" s="266" t="s">
        <v>3249</v>
      </c>
    </row>
    <row r="500" spans="1:150" ht="15" hidden="1" customHeight="1">
      <c r="A500" s="1" t="s">
        <v>1810</v>
      </c>
      <c r="B500" t="s">
        <v>2477</v>
      </c>
      <c r="C500" t="s">
        <v>2478</v>
      </c>
      <c r="D500" t="s">
        <v>2479</v>
      </c>
      <c r="E500" t="s">
        <v>2480</v>
      </c>
      <c r="F500" t="s">
        <v>2481</v>
      </c>
      <c r="G500" t="s">
        <v>1816</v>
      </c>
      <c r="H500" t="s">
        <v>255</v>
      </c>
      <c r="I500">
        <v>2010</v>
      </c>
      <c r="J500">
        <v>100</v>
      </c>
      <c r="K500" t="s">
        <v>2482</v>
      </c>
      <c r="M500" t="str">
        <f>LEFT($D500,FIND(",",$D500)-1)&amp;"_"&amp;I500&amp;L500</f>
        <v>Werner_2010</v>
      </c>
      <c r="N500" t="s">
        <v>223</v>
      </c>
      <c r="O500" s="145" t="s">
        <v>1156</v>
      </c>
      <c r="Q500" t="s">
        <v>257</v>
      </c>
      <c r="R500" s="264" t="s">
        <v>224</v>
      </c>
      <c r="S500" s="1" t="s">
        <v>2483</v>
      </c>
      <c r="T500" t="s">
        <v>2484</v>
      </c>
      <c r="U500" t="s">
        <v>1157</v>
      </c>
      <c r="V500">
        <v>1</v>
      </c>
      <c r="W500">
        <v>0</v>
      </c>
      <c r="X500">
        <v>2</v>
      </c>
      <c r="Y500">
        <v>0</v>
      </c>
      <c r="Z500">
        <v>0</v>
      </c>
      <c r="AA500">
        <v>0</v>
      </c>
      <c r="AB500">
        <v>0</v>
      </c>
      <c r="AC500">
        <v>0</v>
      </c>
      <c r="AD500">
        <v>0</v>
      </c>
      <c r="AE500">
        <v>0</v>
      </c>
      <c r="AF500">
        <v>0</v>
      </c>
      <c r="AG500">
        <v>0</v>
      </c>
      <c r="AH500">
        <v>0</v>
      </c>
      <c r="AI500">
        <v>0</v>
      </c>
      <c r="AJ500">
        <v>0</v>
      </c>
      <c r="AK500">
        <v>0</v>
      </c>
      <c r="AL500">
        <v>0</v>
      </c>
      <c r="AM500">
        <v>0</v>
      </c>
      <c r="AN500">
        <v>0</v>
      </c>
      <c r="AO500">
        <v>0</v>
      </c>
      <c r="AP500">
        <v>0</v>
      </c>
      <c r="AQ500">
        <v>0</v>
      </c>
      <c r="AR500">
        <v>0</v>
      </c>
      <c r="AS500">
        <v>0</v>
      </c>
      <c r="AT500">
        <v>0</v>
      </c>
      <c r="AU500">
        <v>0</v>
      </c>
      <c r="AV500">
        <v>0</v>
      </c>
      <c r="AW500">
        <v>0</v>
      </c>
      <c r="AX500" s="141">
        <f>COUNTIF(V500:AW500,"&lt;&gt;0")</f>
        <v>2</v>
      </c>
      <c r="AY500" s="141">
        <f>COUNTIF(V500:AL500,"&lt;&gt;0")</f>
        <v>2</v>
      </c>
      <c r="AZ500">
        <f>COUNTIF(V500:AC500,"&lt;&gt;0")</f>
        <v>2</v>
      </c>
      <c r="BA500">
        <f>COUNTIF(AD500:AI500,"&lt;&gt;0")</f>
        <v>0</v>
      </c>
      <c r="BB500">
        <f>COUNTIF(AJ500:AL500,"&lt;&gt;0")</f>
        <v>0</v>
      </c>
      <c r="BC500">
        <f>COUNTIF(AS500:AW500,"&lt;&gt;0")</f>
        <v>0</v>
      </c>
      <c r="BD500">
        <f>COUNTIF(AM500:AR500,"&lt;&gt;0")</f>
        <v>0</v>
      </c>
      <c r="BE500" t="str">
        <f t="array" ref="BE500">IF(AY500=1,INDEX($V$7:$AL$7,MATCH(TRUE,INDEX($V500:$AW500&lt;&gt;0,),0)),IF(AY500=0,INDEX($AM$7:$AW$7,MATCH(1,$AM500:$AW500,0)),IF(BF500="Multiple strategies","mixed drivers",IF(BF500="Supply chain","multiple supply","multiple silviculture"))))</f>
        <v>multiple silviculture</v>
      </c>
      <c r="BF500" s="2" t="str" cm="1">
        <f t="array" ref="BF500">IF(COUNTIF(AZ500:BB500,"&lt;&gt;0")=1,INDEX($V$4:$AW$4,MATCH(TRUE,INDEX($V500:$AW500&lt;&gt;0,),0)),IF(COUNTIF(AZ500:BB500,"&lt;&gt;0")=0,INDEX($AM$4:$AW$4,MATCH(1,$AM500:$AW500,0)),"Multiple strategies"))</f>
        <v>SilvicultureRemov</v>
      </c>
      <c r="BG500" s="1" t="s">
        <v>322</v>
      </c>
      <c r="BH500" t="s">
        <v>2455</v>
      </c>
      <c r="BI500" s="266" t="s">
        <v>3254</v>
      </c>
      <c r="BJ500" t="s">
        <v>1325</v>
      </c>
      <c r="BK500">
        <v>210</v>
      </c>
      <c r="BL500">
        <v>340.5</v>
      </c>
      <c r="BM500" s="143">
        <f>BL500/BK500</f>
        <v>1.6214285714285714</v>
      </c>
      <c r="BN500">
        <f>BL500-BK500</f>
        <v>130.5</v>
      </c>
      <c r="BO500">
        <f>BN500*1000000</f>
        <v>130500000</v>
      </c>
      <c r="BP500" t="s">
        <v>233</v>
      </c>
      <c r="BQ500" s="153" t="s">
        <v>3255</v>
      </c>
      <c r="BR500" t="s">
        <v>2327</v>
      </c>
      <c r="BS500">
        <v>644.05341103507203</v>
      </c>
      <c r="BT500">
        <v>516.00593455945204</v>
      </c>
      <c r="BU500" s="144">
        <f>IFERROR(BT500/BS500,"")</f>
        <v>0.8011850037874465</v>
      </c>
      <c r="BV500" s="144">
        <f>BT500-BS500</f>
        <v>-128.04747647561999</v>
      </c>
      <c r="BW500" s="144"/>
      <c r="BX500">
        <f>BV500*10^6</f>
        <v>-128047476.47561999</v>
      </c>
      <c r="BY500">
        <f>IFERROR(BX500/BO500,"")</f>
        <v>-0.98120671628827572</v>
      </c>
      <c r="BZ500">
        <v>0</v>
      </c>
      <c r="CA500">
        <v>0</v>
      </c>
      <c r="CB500">
        <v>0</v>
      </c>
      <c r="CC500">
        <v>0</v>
      </c>
      <c r="CD500">
        <v>0</v>
      </c>
      <c r="CE500">
        <v>0</v>
      </c>
      <c r="CF500">
        <v>0</v>
      </c>
      <c r="CG500">
        <v>0</v>
      </c>
      <c r="CH500">
        <v>0</v>
      </c>
      <c r="CI500">
        <v>0</v>
      </c>
      <c r="CJ500">
        <v>0</v>
      </c>
      <c r="CK500">
        <v>0</v>
      </c>
      <c r="CL500">
        <v>0</v>
      </c>
      <c r="CM500">
        <v>1</v>
      </c>
      <c r="CN500" t="str">
        <f>IF($BL500&lt;$BK500,"refNeedCorrection","refOK")</f>
        <v>refOK</v>
      </c>
      <c r="CO500">
        <f>IF($CN500="refOK",$BK500,$BL500)</f>
        <v>210</v>
      </c>
      <c r="CP500">
        <f>IF($CN500="refOK",$BL500,$BK500)</f>
        <v>340.5</v>
      </c>
      <c r="CQ500">
        <f>IF($CN500="refOK",$BO500,-$BO500)</f>
        <v>130500000</v>
      </c>
      <c r="CR500">
        <f>IF($CN500="refOK",$BS500,$BT500)*IF($BP500="Emissions positive",-1,1)</f>
        <v>644.05341103507203</v>
      </c>
      <c r="CS500">
        <f>IF($CN500="refOK",$BT500,$BS500)*IF($BP500="Emissions positive",-1,1)</f>
        <v>516.00593455945204</v>
      </c>
      <c r="CT500">
        <f>IF($CN500="refNeedCorrection",-BX500,BX500)*IF($BP500="Emissions positive",-1,1)</f>
        <v>-128047476.47561999</v>
      </c>
      <c r="CU500">
        <f>IFERROR(CT500/CQ500,"")</f>
        <v>-0.98120671628827572</v>
      </c>
      <c r="CV500" s="2">
        <f>IFERROR((CS500-CR500)/ABS(CR500),"")</f>
        <v>-0.19881499621255347</v>
      </c>
      <c r="CW500" s="1" t="s">
        <v>1205</v>
      </c>
      <c r="CX500" t="str">
        <f>IF(OR($CW500="prd",$CW500="std",$CW500="cit"),"loc",IF(OR($CW500="eur",$CW500="reg",$CW500="coy"),"reg",$CW500))</f>
        <v>reg</v>
      </c>
      <c r="CY500" t="s">
        <v>641</v>
      </c>
      <c r="CZ500">
        <v>2000</v>
      </c>
      <c r="DA500">
        <v>2060</v>
      </c>
      <c r="DB500">
        <f>DA500-CZ500</f>
        <v>60</v>
      </c>
      <c r="DC500" t="str">
        <f>IF(DB500=0,"0",IF(AND(DB500&gt;=1,DB500&lt;=30),"1-30",IF(AND(DB500&gt;30,DB500&lt;=70),"31-70",IF(AND(DB500&gt;70,DB500&lt;=100),"71-100",IF(DB500&gt;100,"+100")))))</f>
        <v>31-70</v>
      </c>
      <c r="DD500">
        <v>1</v>
      </c>
      <c r="DE500">
        <v>1</v>
      </c>
      <c r="DF500">
        <v>1</v>
      </c>
      <c r="DG500">
        <v>1</v>
      </c>
      <c r="DH500">
        <v>0</v>
      </c>
      <c r="DI500">
        <f>SUM(DD500:DG500)</f>
        <v>4</v>
      </c>
      <c r="DJ500" t="str">
        <f>IF(DI500=1,INDEX($DD$7:$DG$7,MATCH(1,$DD500:$DG500,0)),"mixedProduct")</f>
        <v>mixedProduct</v>
      </c>
      <c r="DK500" t="str">
        <f>IF(DD500=1,DK$7,0)</f>
        <v>Upstream</v>
      </c>
      <c r="DL500" t="str">
        <f>IF(DE500=1,DL$7,0)</f>
        <v>Energy</v>
      </c>
      <c r="DM500" t="str">
        <f>IF(DF500=1,DM$7,0)</f>
        <v>Pulp/Paper</v>
      </c>
      <c r="DN500" t="str">
        <f>IF(DG500=1,DN$7,0)</f>
        <v>Timber</v>
      </c>
      <c r="DO500">
        <v>0</v>
      </c>
      <c r="DP500">
        <v>1</v>
      </c>
      <c r="DQ500" t="s">
        <v>2485</v>
      </c>
      <c r="DR500" t="s">
        <v>2486</v>
      </c>
      <c r="DT500">
        <f>SUM(DO500:DP500)</f>
        <v>1</v>
      </c>
      <c r="DU500" s="143" t="str">
        <f>IF(DO500=1,"self-calculated DF",IF(DP500=1,"external DF used","explicit C balance"))</f>
        <v>external DF used</v>
      </c>
      <c r="DV500">
        <v>1</v>
      </c>
      <c r="DW500">
        <v>1</v>
      </c>
      <c r="DX500">
        <v>1</v>
      </c>
      <c r="DY500">
        <v>1</v>
      </c>
      <c r="DZ500">
        <v>1</v>
      </c>
      <c r="EA500" s="143">
        <v>1</v>
      </c>
      <c r="EB500">
        <v>1</v>
      </c>
      <c r="EC500">
        <v>1</v>
      </c>
      <c r="ED500">
        <v>0</v>
      </c>
      <c r="EE500">
        <v>0</v>
      </c>
      <c r="EF500">
        <v>1</v>
      </c>
      <c r="EG500">
        <v>0</v>
      </c>
      <c r="EH500">
        <v>0</v>
      </c>
      <c r="EI500" s="2">
        <v>0</v>
      </c>
      <c r="EK500" t="str">
        <f>IF(AND(AND(AND(OR($DX500=1,$DW500=1),OR($EC500=1,$EA500=1)),SUM($DV500:$DZ500,$EF500)&gt;=4),SUM($EA500:$EE500)&gt;=2),"Whole sector","")</f>
        <v>Whole sector</v>
      </c>
      <c r="EL500" t="str">
        <f>IF(AND(AND(OR($DX500=1,$DW500=1),AND($EC500=0,$EA500=0)),SUM($DV500:$DZ500,$EF500)&gt;=4),"Ecosystem approach","")</f>
        <v/>
      </c>
      <c r="EM500" s="2" t="str">
        <f>IF(AND(AND(AND($DX500=0,$DW500=0),OR($EC500=1,$EA500=1)),SUM($EB500:$EE500)&gt;=2),"Technology approach","")</f>
        <v/>
      </c>
      <c r="EN500" t="s">
        <v>2487</v>
      </c>
      <c r="EP500" t="str">
        <f>IF(ISNUMBER(BU500),IF(ABS(BU500-[2]QC_indicators!$B$2)&gt;3*[2]QC_indicators!$C$2,"C ratio",IF(ISNUMBER(BY500),IF(ABS(BY500-[2]QC_indicators!$B$1)&gt;3*[2]QC_indicators!$C$1,"DF","no"))),IF(ISNUMBER(BY500),IF(ABS(BY500-[2]QC_indicators!$B$1)&gt;3*[2]QC_indicators!$C$1,"DF","no")))</f>
        <v>no</v>
      </c>
      <c r="ET500" s="266" t="s">
        <v>3256</v>
      </c>
    </row>
    <row r="501" spans="1:150" ht="15" hidden="1" customHeight="1">
      <c r="A501" s="1" t="s">
        <v>1810</v>
      </c>
      <c r="B501" t="s">
        <v>2477</v>
      </c>
      <c r="C501" t="s">
        <v>2478</v>
      </c>
      <c r="D501" t="s">
        <v>2479</v>
      </c>
      <c r="E501" t="s">
        <v>2480</v>
      </c>
      <c r="F501" t="s">
        <v>2481</v>
      </c>
      <c r="G501" t="s">
        <v>1816</v>
      </c>
      <c r="H501" t="s">
        <v>255</v>
      </c>
      <c r="I501">
        <v>2010</v>
      </c>
      <c r="J501">
        <v>100</v>
      </c>
      <c r="K501" t="s">
        <v>2482</v>
      </c>
      <c r="M501" t="str">
        <f>LEFT($D501,FIND(",",$D501)-1)&amp;"_"&amp;I501&amp;L501</f>
        <v>Werner_2010</v>
      </c>
      <c r="N501" t="s">
        <v>223</v>
      </c>
      <c r="O501" s="145" t="s">
        <v>1156</v>
      </c>
      <c r="Q501" t="s">
        <v>257</v>
      </c>
      <c r="R501" s="264" t="s">
        <v>224</v>
      </c>
      <c r="S501" s="265" t="s">
        <v>3257</v>
      </c>
      <c r="T501" t="s">
        <v>2484</v>
      </c>
      <c r="U501" t="s">
        <v>2489</v>
      </c>
      <c r="V501">
        <v>2</v>
      </c>
      <c r="W501">
        <v>0</v>
      </c>
      <c r="X501">
        <v>1</v>
      </c>
      <c r="Y501">
        <v>2</v>
      </c>
      <c r="Z501">
        <v>0</v>
      </c>
      <c r="AA501">
        <v>0</v>
      </c>
      <c r="AB501">
        <v>0</v>
      </c>
      <c r="AC501">
        <v>0</v>
      </c>
      <c r="AD501">
        <v>0</v>
      </c>
      <c r="AE501">
        <v>0</v>
      </c>
      <c r="AF501">
        <v>0</v>
      </c>
      <c r="AG501">
        <v>0</v>
      </c>
      <c r="AH501">
        <v>0</v>
      </c>
      <c r="AI501">
        <v>0</v>
      </c>
      <c r="AJ501">
        <v>0</v>
      </c>
      <c r="AK501">
        <v>0</v>
      </c>
      <c r="AL501">
        <v>0</v>
      </c>
      <c r="AM501">
        <v>0</v>
      </c>
      <c r="AN501">
        <v>0</v>
      </c>
      <c r="AO501">
        <v>0</v>
      </c>
      <c r="AP501">
        <v>0</v>
      </c>
      <c r="AQ501">
        <v>0</v>
      </c>
      <c r="AR501">
        <v>0</v>
      </c>
      <c r="AS501">
        <v>0</v>
      </c>
      <c r="AT501">
        <v>0</v>
      </c>
      <c r="AU501">
        <v>0</v>
      </c>
      <c r="AV501">
        <v>0</v>
      </c>
      <c r="AW501">
        <v>0</v>
      </c>
      <c r="AX501" s="141">
        <f>COUNTIF(V501:AW501,"&lt;&gt;0")</f>
        <v>3</v>
      </c>
      <c r="AY501" s="141">
        <f>COUNTIF(V501:AL501,"&lt;&gt;0")</f>
        <v>3</v>
      </c>
      <c r="AZ501">
        <f>COUNTIF(V501:AC501,"&lt;&gt;0")</f>
        <v>3</v>
      </c>
      <c r="BA501">
        <f>COUNTIF(AD501:AI501,"&lt;&gt;0")</f>
        <v>0</v>
      </c>
      <c r="BB501">
        <f>COUNTIF(AJ501:AL501,"&lt;&gt;0")</f>
        <v>0</v>
      </c>
      <c r="BC501">
        <f>COUNTIF(AS501:AW501,"&lt;&gt;0")</f>
        <v>0</v>
      </c>
      <c r="BD501">
        <f>COUNTIF(AM501:AR501,"&lt;&gt;0")</f>
        <v>0</v>
      </c>
      <c r="BE501" t="str">
        <f t="array" ref="BE501">IF(AY501=1,INDEX($V$7:$AL$7,MATCH(TRUE,INDEX($V501:$AW501&lt;&gt;0,),0)),IF(AY501=0,INDEX($AM$7:$AW$7,MATCH(1,$AM501:$AW501,0)),IF(BF501="Multiple strategies","mixed drivers",IF(BF501="Supply chain","multiple supply","multiple silviculture"))))</f>
        <v>multiple silviculture</v>
      </c>
      <c r="BF501" s="2" t="str" cm="1">
        <f t="array" ref="BF501">IF(COUNTIF(AZ501:BB501,"&lt;&gt;0")=1,INDEX($V$4:$AW$4,MATCH(TRUE,INDEX($V501:$AW501&lt;&gt;0,),0)),IF(COUNTIF(AZ501:BB501,"&lt;&gt;0")=0,INDEX($AM$4:$AW$4,MATCH(1,$AM501:$AW501,0)),"Multiple strategies"))</f>
        <v>SilvicultureRemov</v>
      </c>
      <c r="BG501" s="1" t="s">
        <v>322</v>
      </c>
      <c r="BH501" t="s">
        <v>2455</v>
      </c>
      <c r="BI501" s="266" t="s">
        <v>3254</v>
      </c>
      <c r="BJ501" t="s">
        <v>1325</v>
      </c>
      <c r="BK501">
        <v>210</v>
      </c>
      <c r="BL501">
        <v>489</v>
      </c>
      <c r="BM501" s="143">
        <f>BL501/BK501</f>
        <v>2.3285714285714287</v>
      </c>
      <c r="BN501">
        <f>BL501-BK501</f>
        <v>279</v>
      </c>
      <c r="BO501">
        <f>BN501*1000000</f>
        <v>279000000</v>
      </c>
      <c r="BP501" t="s">
        <v>233</v>
      </c>
      <c r="BQ501" s="153" t="s">
        <v>3255</v>
      </c>
      <c r="BR501" t="s">
        <v>2327</v>
      </c>
      <c r="BS501">
        <v>644.05341103507203</v>
      </c>
      <c r="BT501">
        <v>626.98486954662098</v>
      </c>
      <c r="BU501" s="144">
        <f>IFERROR(BT501/BS501,"")</f>
        <v>0.9734982515487034</v>
      </c>
      <c r="BV501" s="144">
        <f>BT501-BS501</f>
        <v>-17.068541488451046</v>
      </c>
      <c r="BW501" s="144"/>
      <c r="BX501">
        <f>BV501*10^6</f>
        <v>-17068541.488451045</v>
      </c>
      <c r="BY501">
        <f>IFERROR(BX501/BO501,"")</f>
        <v>-6.1177568058964321E-2</v>
      </c>
      <c r="BZ501">
        <v>0</v>
      </c>
      <c r="CA501">
        <v>0</v>
      </c>
      <c r="CB501">
        <v>0</v>
      </c>
      <c r="CC501">
        <v>0</v>
      </c>
      <c r="CD501">
        <v>0</v>
      </c>
      <c r="CE501">
        <v>0</v>
      </c>
      <c r="CF501">
        <v>0</v>
      </c>
      <c r="CG501">
        <v>0</v>
      </c>
      <c r="CH501">
        <v>0</v>
      </c>
      <c r="CI501">
        <v>0</v>
      </c>
      <c r="CJ501">
        <v>0</v>
      </c>
      <c r="CK501">
        <v>0</v>
      </c>
      <c r="CL501">
        <v>0</v>
      </c>
      <c r="CM501">
        <v>1</v>
      </c>
      <c r="CN501" t="str">
        <f>IF($BL501&lt;$BK501,"refNeedCorrection","refOK")</f>
        <v>refOK</v>
      </c>
      <c r="CO501">
        <f>IF($CN501="refNeedCorrection",BL501,BK501)</f>
        <v>210</v>
      </c>
      <c r="CP501">
        <f>IF($CN501="refNeedCorrection",BK501,BL501)</f>
        <v>489</v>
      </c>
      <c r="CQ501">
        <f>IF($CN501="refOK",$BO501,-$BO501)</f>
        <v>279000000</v>
      </c>
      <c r="CR501">
        <f>IF($CN501="refOK",$BS501,$BT501)*IF($BP501="Emissions positive",-1,1)</f>
        <v>644.05341103507203</v>
      </c>
      <c r="CS501">
        <f>IF($CN501="refOK",$BT501,$BS501)*IF($BP501="Emissions positive",-1,1)</f>
        <v>626.98486954662098</v>
      </c>
      <c r="CT501">
        <f>IF($CN501="refNeedCorrection",-BX501,BX501)*IF($BP501="Emissions positive",-1,1)</f>
        <v>-17068541.488451045</v>
      </c>
      <c r="CU501">
        <f>IFERROR(CT501/CQ501,"")</f>
        <v>-6.1177568058964321E-2</v>
      </c>
      <c r="CV501" s="2">
        <f>IFERROR((CS501-CR501)/ABS(CR501),"")</f>
        <v>-2.6501748451296651E-2</v>
      </c>
      <c r="CW501" s="1" t="s">
        <v>1205</v>
      </c>
      <c r="CX501" t="str">
        <f>IF(OR($CW501="prd",$CW501="std",$CW501="cit"),"loc",IF(OR($CW501="eur",$CW501="reg",$CW501="coy"),"reg",$CW501))</f>
        <v>reg</v>
      </c>
      <c r="CY501" t="s">
        <v>641</v>
      </c>
      <c r="CZ501">
        <v>2000</v>
      </c>
      <c r="DA501">
        <v>2060</v>
      </c>
      <c r="DB501">
        <f>DA501-CZ501</f>
        <v>60</v>
      </c>
      <c r="DC501" t="str">
        <f>IF(DB501=0,"0",IF(AND(DB501&gt;=1,DB501&lt;=30),"1-30",IF(AND(DB501&gt;30,DB501&lt;=70),"31-70",IF(AND(DB501&gt;70,DB501&lt;=100),"71-100",IF(DB501&gt;100,"+100")))))</f>
        <v>31-70</v>
      </c>
      <c r="DD501">
        <v>0</v>
      </c>
      <c r="DE501">
        <v>0</v>
      </c>
      <c r="DF501">
        <v>0</v>
      </c>
      <c r="DG501">
        <v>1</v>
      </c>
      <c r="DH501">
        <v>0</v>
      </c>
      <c r="DI501">
        <f>SUM(DD501:DG501)</f>
        <v>1</v>
      </c>
      <c r="DJ501" t="str">
        <f>IF(DI501=1,INDEX($DD$7:$DG$7,MATCH(1,$DD501:$DG501,0)),"mixedProduct")</f>
        <v>TimberInput</v>
      </c>
      <c r="DK501">
        <f>IF(DD501=1,DK$7,0)</f>
        <v>0</v>
      </c>
      <c r="DL501">
        <f>IF(DE501=1,DL$7,0)</f>
        <v>0</v>
      </c>
      <c r="DM501">
        <f>IF(DF501=1,DM$7,0)</f>
        <v>0</v>
      </c>
      <c r="DN501" t="str">
        <f>IF(DG501=1,DN$7,0)</f>
        <v>Timber</v>
      </c>
      <c r="DO501">
        <v>0</v>
      </c>
      <c r="DP501">
        <v>1</v>
      </c>
      <c r="DQ501" t="s">
        <v>2485</v>
      </c>
      <c r="DR501" t="s">
        <v>2486</v>
      </c>
      <c r="DT501">
        <f>SUM(DO501:DP501)</f>
        <v>1</v>
      </c>
      <c r="DU501" s="143" t="str">
        <f>IF(DO501=1,"self-calculated DF",IF(DP501=1,"external DF used","explicit C balance"))</f>
        <v>external DF used</v>
      </c>
      <c r="DV501">
        <v>1</v>
      </c>
      <c r="DW501">
        <v>1</v>
      </c>
      <c r="DX501">
        <v>1</v>
      </c>
      <c r="DY501">
        <v>1</v>
      </c>
      <c r="DZ501">
        <v>1</v>
      </c>
      <c r="EA501" s="143">
        <v>1</v>
      </c>
      <c r="EB501">
        <v>1</v>
      </c>
      <c r="EC501">
        <v>1</v>
      </c>
      <c r="ED501">
        <v>0</v>
      </c>
      <c r="EE501">
        <v>0</v>
      </c>
      <c r="EF501">
        <v>1</v>
      </c>
      <c r="EG501">
        <v>0</v>
      </c>
      <c r="EH501">
        <v>0</v>
      </c>
      <c r="EI501" s="2">
        <v>0</v>
      </c>
      <c r="EK501" t="str">
        <f>IF(AND(AND(AND(OR($DX501=1,$DW501=1),OR($EC501=1,$EA501=1)),SUM($DV501:$DZ501,$EF501)&gt;=4),SUM($EA501:$EE501)&gt;=2),"Whole sector","")</f>
        <v>Whole sector</v>
      </c>
      <c r="EL501" t="str">
        <f>IF(AND(AND(OR($DX501=1,$DW501=1),AND($EC501=0,$EA501=0)),SUM($DV501:$DZ501,$EF501)&gt;=4),"Ecosystem approach","")</f>
        <v/>
      </c>
      <c r="EM501" s="2" t="str">
        <f>IF(AND(AND(AND($DX501=0,$DW501=0),OR($EC501=1,$EA501=1)),SUM($EB501:$EE501)&gt;=2),"Technology approach","")</f>
        <v/>
      </c>
      <c r="EN501" t="s">
        <v>2487</v>
      </c>
      <c r="EP501" t="str">
        <f>IF(ISNUMBER(BU501),IF(ABS(BU501-[2]QC_indicators!$B$2)&gt;3*[2]QC_indicators!$C$2,"C ratio",IF(ISNUMBER(BY501),IF(ABS(BY501-[2]QC_indicators!$B$1)&gt;3*[2]QC_indicators!$C$1,"DF","no"))),IF(ISNUMBER(BY501),IF(ABS(BY501-[2]QC_indicators!$B$1)&gt;3*[2]QC_indicators!$C$1,"DF","no")))</f>
        <v>no</v>
      </c>
      <c r="ET501" s="266" t="s">
        <v>3256</v>
      </c>
    </row>
    <row r="502" spans="1:150" ht="15" hidden="1" customHeight="1">
      <c r="A502" s="1" t="s">
        <v>1810</v>
      </c>
      <c r="B502" t="s">
        <v>2477</v>
      </c>
      <c r="C502" t="s">
        <v>2478</v>
      </c>
      <c r="D502" t="s">
        <v>2479</v>
      </c>
      <c r="E502" t="s">
        <v>2480</v>
      </c>
      <c r="F502" t="s">
        <v>2481</v>
      </c>
      <c r="G502" t="s">
        <v>1816</v>
      </c>
      <c r="H502" t="s">
        <v>255</v>
      </c>
      <c r="I502">
        <v>2010</v>
      </c>
      <c r="J502">
        <v>100</v>
      </c>
      <c r="K502" t="s">
        <v>2482</v>
      </c>
      <c r="M502" t="str">
        <f>LEFT($D502,FIND(",",$D502)-1)&amp;"_"&amp;I502&amp;L502</f>
        <v>Werner_2010</v>
      </c>
      <c r="N502" t="s">
        <v>223</v>
      </c>
      <c r="O502" s="145" t="s">
        <v>1156</v>
      </c>
      <c r="Q502" t="s">
        <v>257</v>
      </c>
      <c r="R502" s="264" t="s">
        <v>224</v>
      </c>
      <c r="S502" s="1" t="s">
        <v>2483</v>
      </c>
      <c r="T502" t="s">
        <v>2484</v>
      </c>
      <c r="U502" t="s">
        <v>2488</v>
      </c>
      <c r="V502">
        <v>1</v>
      </c>
      <c r="W502">
        <v>0</v>
      </c>
      <c r="X502">
        <v>2</v>
      </c>
      <c r="Y502">
        <v>0</v>
      </c>
      <c r="Z502">
        <v>0</v>
      </c>
      <c r="AA502">
        <v>0</v>
      </c>
      <c r="AB502">
        <v>0</v>
      </c>
      <c r="AC502">
        <v>0</v>
      </c>
      <c r="AD502">
        <v>0</v>
      </c>
      <c r="AE502">
        <v>0</v>
      </c>
      <c r="AF502">
        <v>0</v>
      </c>
      <c r="AG502">
        <v>0</v>
      </c>
      <c r="AH502">
        <v>0</v>
      </c>
      <c r="AI502">
        <v>0</v>
      </c>
      <c r="AJ502">
        <v>0</v>
      </c>
      <c r="AK502">
        <v>0</v>
      </c>
      <c r="AL502">
        <v>0</v>
      </c>
      <c r="AM502">
        <v>0</v>
      </c>
      <c r="AN502">
        <v>0</v>
      </c>
      <c r="AO502">
        <v>0</v>
      </c>
      <c r="AP502">
        <v>0</v>
      </c>
      <c r="AQ502">
        <v>0</v>
      </c>
      <c r="AR502">
        <v>0</v>
      </c>
      <c r="AS502">
        <v>0</v>
      </c>
      <c r="AT502">
        <v>0</v>
      </c>
      <c r="AU502">
        <v>0</v>
      </c>
      <c r="AV502">
        <v>0</v>
      </c>
      <c r="AW502">
        <v>0</v>
      </c>
      <c r="AX502" s="141">
        <f>COUNTIF(V502:AW502,"&lt;&gt;0")</f>
        <v>2</v>
      </c>
      <c r="AY502" s="141">
        <f>COUNTIF(V502:AL502,"&lt;&gt;0")</f>
        <v>2</v>
      </c>
      <c r="AZ502">
        <f>COUNTIF(V502:AC502,"&lt;&gt;0")</f>
        <v>2</v>
      </c>
      <c r="BA502">
        <f>COUNTIF(AD502:AI502,"&lt;&gt;0")</f>
        <v>0</v>
      </c>
      <c r="BB502">
        <f>COUNTIF(AJ502:AL502,"&lt;&gt;0")</f>
        <v>0</v>
      </c>
      <c r="BC502">
        <f>COUNTIF(AS502:AW502,"&lt;&gt;0")</f>
        <v>0</v>
      </c>
      <c r="BD502">
        <f>COUNTIF(AM502:AR502,"&lt;&gt;0")</f>
        <v>0</v>
      </c>
      <c r="BE502" t="str">
        <f t="array" ref="BE502">IF(AY502=1,INDEX($V$7:$AL$7,MATCH(TRUE,INDEX($V502:$AW502&lt;&gt;0,),0)),IF(AY502=0,INDEX($AM$7:$AW$7,MATCH(1,$AM502:$AW502,0)),IF(BF502="Multiple strategies","mixed drivers",IF(BF502="Supply chain","multiple supply","multiple silviculture"))))</f>
        <v>multiple silviculture</v>
      </c>
      <c r="BF502" s="2" t="str" cm="1">
        <f t="array" ref="BF502">IF(COUNTIF(AZ502:BB502,"&lt;&gt;0")=1,INDEX($V$4:$AW$4,MATCH(TRUE,INDEX($V502:$AW502&lt;&gt;0,),0)),IF(COUNTIF(AZ502:BB502,"&lt;&gt;0")=0,INDEX($AM$4:$AW$4,MATCH(1,$AM502:$AW502,0)),"Multiple strategies"))</f>
        <v>SilvicultureRemov</v>
      </c>
      <c r="BG502" s="1" t="s">
        <v>322</v>
      </c>
      <c r="BH502" t="s">
        <v>2455</v>
      </c>
      <c r="BI502" s="266" t="s">
        <v>3254</v>
      </c>
      <c r="BJ502" t="s">
        <v>1325</v>
      </c>
      <c r="BK502">
        <v>210</v>
      </c>
      <c r="BL502">
        <v>457.5</v>
      </c>
      <c r="BM502" s="143">
        <f>BL502/BK502</f>
        <v>2.1785714285714284</v>
      </c>
      <c r="BN502">
        <f>BL502-BK502</f>
        <v>247.5</v>
      </c>
      <c r="BO502">
        <f>BN502*1000000</f>
        <v>247500000</v>
      </c>
      <c r="BP502" t="s">
        <v>233</v>
      </c>
      <c r="BQ502" s="153" t="s">
        <v>3255</v>
      </c>
      <c r="BR502" t="s">
        <v>2327</v>
      </c>
      <c r="BS502">
        <v>644.05341103507203</v>
      </c>
      <c r="BT502">
        <v>650.17509623609897</v>
      </c>
      <c r="BU502" s="144">
        <f>IFERROR(BT502/BS502,"")</f>
        <v>1.0095049340569264</v>
      </c>
      <c r="BV502" s="144">
        <f>BT502-BS502</f>
        <v>6.1216852010269349</v>
      </c>
      <c r="BW502" s="144"/>
      <c r="BX502">
        <f>BV502*10^6</f>
        <v>6121685.2010269351</v>
      </c>
      <c r="BY502">
        <f>IFERROR(BX502/BO502,"")</f>
        <v>2.4734081620310849E-2</v>
      </c>
      <c r="BZ502">
        <v>0</v>
      </c>
      <c r="CA502">
        <v>0</v>
      </c>
      <c r="CB502">
        <v>0</v>
      </c>
      <c r="CC502">
        <v>0</v>
      </c>
      <c r="CD502">
        <v>0</v>
      </c>
      <c r="CE502">
        <v>0</v>
      </c>
      <c r="CF502">
        <v>0</v>
      </c>
      <c r="CG502">
        <v>0</v>
      </c>
      <c r="CH502">
        <v>0</v>
      </c>
      <c r="CI502">
        <v>0</v>
      </c>
      <c r="CJ502">
        <v>0</v>
      </c>
      <c r="CK502">
        <v>0</v>
      </c>
      <c r="CL502">
        <v>0</v>
      </c>
      <c r="CM502">
        <v>1</v>
      </c>
      <c r="CN502" t="str">
        <f>IF($BL502&lt;$BK502,"refNeedCorrection","refOK")</f>
        <v>refOK</v>
      </c>
      <c r="CO502">
        <f>IF($CN502="refNeedCorrection",BL502,BK502)</f>
        <v>210</v>
      </c>
      <c r="CP502">
        <f>IF($CN502="refNeedCorrection",BK502,BL502)</f>
        <v>457.5</v>
      </c>
      <c r="CQ502">
        <f>IF($CN502="refOK",$BO502,-$BO502)</f>
        <v>247500000</v>
      </c>
      <c r="CR502">
        <f>IF($CN502="refOK",$BS502,$BT502)*IF($BP502="Emissions positive",-1,1)</f>
        <v>644.05341103507203</v>
      </c>
      <c r="CS502">
        <f>IF($CN502="refOK",$BT502,$BS502)*IF($BP502="Emissions positive",-1,1)</f>
        <v>650.17509623609897</v>
      </c>
      <c r="CT502">
        <f>IF($CN502="refNeedCorrection",-BX502,BX502)*IF($BP502="Emissions positive",-1,1)</f>
        <v>6121685.2010269351</v>
      </c>
      <c r="CU502">
        <f>IFERROR(CT502/CQ502,"")</f>
        <v>2.4734081620310849E-2</v>
      </c>
      <c r="CV502" s="2">
        <f>IFERROR((CS502-CR502)/ABS(CR502),"")</f>
        <v>9.5049340569264961E-3</v>
      </c>
      <c r="CW502" s="1" t="s">
        <v>1205</v>
      </c>
      <c r="CX502" t="str">
        <f>IF(OR($CW502="prd",$CW502="std",$CW502="cit"),"loc",IF(OR($CW502="eur",$CW502="reg",$CW502="coy"),"reg",$CW502))</f>
        <v>reg</v>
      </c>
      <c r="CY502" t="s">
        <v>641</v>
      </c>
      <c r="CZ502">
        <v>2000</v>
      </c>
      <c r="DA502">
        <v>2060</v>
      </c>
      <c r="DB502">
        <f>DA502-CZ502</f>
        <v>60</v>
      </c>
      <c r="DC502" t="str">
        <f>IF(DB502=0,"0",IF(AND(DB502&gt;=1,DB502&lt;=30),"1-30",IF(AND(DB502&gt;30,DB502&lt;=70),"31-70",IF(AND(DB502&gt;70,DB502&lt;=100),"71-100",IF(DB502&gt;100,"+100")))))</f>
        <v>31-70</v>
      </c>
      <c r="DD502">
        <v>1</v>
      </c>
      <c r="DE502">
        <v>1</v>
      </c>
      <c r="DF502">
        <v>1</v>
      </c>
      <c r="DG502">
        <v>1</v>
      </c>
      <c r="DH502">
        <v>0</v>
      </c>
      <c r="DI502">
        <f>SUM(DD502:DG502)</f>
        <v>4</v>
      </c>
      <c r="DJ502" t="str">
        <f>IF(DI502=1,INDEX($DD$7:$DG$7,MATCH(1,$DD502:$DG502,0)),"mixedProduct")</f>
        <v>mixedProduct</v>
      </c>
      <c r="DK502" t="str">
        <f>IF(DD502=1,DK$7,0)</f>
        <v>Upstream</v>
      </c>
      <c r="DL502" t="str">
        <f>IF(DE502=1,DL$7,0)</f>
        <v>Energy</v>
      </c>
      <c r="DM502" t="str">
        <f>IF(DF502=1,DM$7,0)</f>
        <v>Pulp/Paper</v>
      </c>
      <c r="DN502" t="str">
        <f>IF(DG502=1,DN$7,0)</f>
        <v>Timber</v>
      </c>
      <c r="DO502">
        <v>0</v>
      </c>
      <c r="DP502">
        <v>1</v>
      </c>
      <c r="DQ502" t="s">
        <v>2485</v>
      </c>
      <c r="DR502" t="s">
        <v>2486</v>
      </c>
      <c r="DT502">
        <f>SUM(DO502:DP502)</f>
        <v>1</v>
      </c>
      <c r="DU502" s="143" t="str">
        <f>IF(DO502=1,"self-calculated DF",IF(DP502=1,"external DF used","explicit C balance"))</f>
        <v>external DF used</v>
      </c>
      <c r="DV502">
        <v>1</v>
      </c>
      <c r="DW502">
        <v>1</v>
      </c>
      <c r="DX502">
        <v>1</v>
      </c>
      <c r="DY502">
        <v>1</v>
      </c>
      <c r="DZ502">
        <v>1</v>
      </c>
      <c r="EA502" s="143">
        <v>1</v>
      </c>
      <c r="EB502">
        <v>1</v>
      </c>
      <c r="EC502">
        <v>1</v>
      </c>
      <c r="ED502">
        <v>0</v>
      </c>
      <c r="EE502">
        <v>0</v>
      </c>
      <c r="EF502">
        <v>1</v>
      </c>
      <c r="EG502">
        <v>0</v>
      </c>
      <c r="EH502">
        <v>0</v>
      </c>
      <c r="EI502" s="2">
        <v>0</v>
      </c>
      <c r="EK502" t="str">
        <f>IF(AND(AND(AND(OR($DX502=1,$DW502=1),OR($EC502=1,$EA502=1)),SUM($DV502:$DZ502,$EF502)&gt;=4),SUM($EA502:$EE502)&gt;=2),"Whole sector","")</f>
        <v>Whole sector</v>
      </c>
      <c r="EL502" t="str">
        <f>IF(AND(AND(OR($DX502=1,$DW502=1),AND($EC502=0,$EA502=0)),SUM($DV502:$DZ502,$EF502)&gt;=4),"Ecosystem approach","")</f>
        <v/>
      </c>
      <c r="EM502" s="2" t="str">
        <f>IF(AND(AND(AND($DX502=0,$DW502=0),OR($EC502=1,$EA502=1)),SUM($EB502:$EE502)&gt;=2),"Technology approach","")</f>
        <v/>
      </c>
      <c r="EN502" t="s">
        <v>2487</v>
      </c>
      <c r="EP502" t="str">
        <f>IF(ISNUMBER(BU502),IF(ABS(BU502-[2]QC_indicators!$B$2)&gt;3*[2]QC_indicators!$C$2,"C ratio",IF(ISNUMBER(BY502),IF(ABS(BY502-[2]QC_indicators!$B$1)&gt;3*[2]QC_indicators!$C$1,"DF","no"))),IF(ISNUMBER(BY502),IF(ABS(BY502-[2]QC_indicators!$B$1)&gt;3*[2]QC_indicators!$C$1,"DF","no")))</f>
        <v>no</v>
      </c>
      <c r="ET502" s="266" t="s">
        <v>3256</v>
      </c>
    </row>
    <row r="503" spans="1:150" ht="15" hidden="1" customHeight="1">
      <c r="A503" s="1" t="s">
        <v>1425</v>
      </c>
      <c r="B503" t="s">
        <v>2492</v>
      </c>
      <c r="C503" t="s">
        <v>2493</v>
      </c>
      <c r="D503" t="s">
        <v>2494</v>
      </c>
      <c r="E503" t="s">
        <v>2495</v>
      </c>
      <c r="F503" t="s">
        <v>2496</v>
      </c>
      <c r="G503" t="s">
        <v>1431</v>
      </c>
      <c r="H503" t="s">
        <v>255</v>
      </c>
      <c r="I503">
        <v>2016</v>
      </c>
      <c r="J503">
        <v>24</v>
      </c>
      <c r="K503" t="s">
        <v>2497</v>
      </c>
      <c r="M503" t="str">
        <f>LEFT($D503,FIND(",",$D503)-1)&amp;"_"&amp;I503&amp;L503</f>
        <v>Zubizarreta-Gerendiain_2016</v>
      </c>
      <c r="N503" t="s">
        <v>223</v>
      </c>
      <c r="O503" s="145" t="s">
        <v>1156</v>
      </c>
      <c r="Q503" t="s">
        <v>257</v>
      </c>
      <c r="R503" s="264" t="s">
        <v>224</v>
      </c>
      <c r="S503" s="1" t="s">
        <v>2528</v>
      </c>
      <c r="T503" t="s">
        <v>2511</v>
      </c>
      <c r="U503" t="s">
        <v>2529</v>
      </c>
      <c r="V503">
        <v>0</v>
      </c>
      <c r="W503">
        <v>0</v>
      </c>
      <c r="X503">
        <v>0</v>
      </c>
      <c r="Y503">
        <v>1</v>
      </c>
      <c r="Z503">
        <v>0</v>
      </c>
      <c r="AA503">
        <v>0</v>
      </c>
      <c r="AB503">
        <v>0</v>
      </c>
      <c r="AC503">
        <v>0</v>
      </c>
      <c r="AD503">
        <v>0</v>
      </c>
      <c r="AE503">
        <v>0</v>
      </c>
      <c r="AF503">
        <v>0</v>
      </c>
      <c r="AG503">
        <v>0</v>
      </c>
      <c r="AH503">
        <v>0</v>
      </c>
      <c r="AI503">
        <v>0</v>
      </c>
      <c r="AJ503">
        <v>0</v>
      </c>
      <c r="AK503">
        <v>0</v>
      </c>
      <c r="AL503">
        <v>0</v>
      </c>
      <c r="AM503">
        <v>0</v>
      </c>
      <c r="AN503">
        <v>0</v>
      </c>
      <c r="AO503">
        <v>0</v>
      </c>
      <c r="AP503">
        <v>0</v>
      </c>
      <c r="AQ503">
        <v>0</v>
      </c>
      <c r="AR503">
        <v>0</v>
      </c>
      <c r="AS503">
        <v>0</v>
      </c>
      <c r="AT503">
        <v>0</v>
      </c>
      <c r="AU503">
        <v>0</v>
      </c>
      <c r="AV503">
        <v>0</v>
      </c>
      <c r="AW503">
        <v>0</v>
      </c>
      <c r="AX503" s="141">
        <f>COUNTIF(V503:AW503,"&lt;&gt;0")</f>
        <v>1</v>
      </c>
      <c r="AY503" s="141">
        <f>COUNTIF(V503:AL503,"&lt;&gt;0")</f>
        <v>1</v>
      </c>
      <c r="AZ503">
        <f>COUNTIF(V503:AC503,"&lt;&gt;0")</f>
        <v>1</v>
      </c>
      <c r="BA503">
        <f>COUNTIF(AD503:AI503,"&lt;&gt;0")</f>
        <v>0</v>
      </c>
      <c r="BB503">
        <f>COUNTIF(AJ503:AL503,"&lt;&gt;0")</f>
        <v>0</v>
      </c>
      <c r="BC503">
        <f>COUNTIF(AS503:AW503,"&lt;&gt;0")</f>
        <v>0</v>
      </c>
      <c r="BD503">
        <f>COUNTIF(AM503:AR503,"&lt;&gt;0")</f>
        <v>0</v>
      </c>
      <c r="BE503" t="str">
        <f t="array" ref="BE503">IF(AY503=1,INDEX($V$7:$AL$7,MATCH(TRUE,INDEX($V503:$AW503&lt;&gt;0,),0)),IF(AY503=0,INDEX($AM$7:$AW$7,MATCH(1,$AM503:$AW503,0)),IF(BF503="Multiple strategies","mixed drivers",IF(BF503="Supply chain","multiple supply","multiple silviculture"))))</f>
        <v xml:space="preserve">cutting intensity </v>
      </c>
      <c r="BF503" s="2" t="str" cm="1">
        <f t="array" ref="BF503">IF(COUNTIF(AZ503:BB503,"&lt;&gt;0")=1,INDEX($V$4:$AW$4,MATCH(TRUE,INDEX($V503:$AW503&lt;&gt;0,),0)),IF(COUNTIF(AZ503:BB503,"&lt;&gt;0")=0,INDEX($AM$4:$AW$4,MATCH(1,$AM503:$AW503,0)),"Multiple strategies"))</f>
        <v>SilvicultureRemov</v>
      </c>
      <c r="BG503" s="1" t="s">
        <v>322</v>
      </c>
      <c r="BH503" t="s">
        <v>2501</v>
      </c>
      <c r="BI503" s="266" t="s">
        <v>2115</v>
      </c>
      <c r="BJ503" t="s">
        <v>2502</v>
      </c>
      <c r="BK503">
        <v>64.910485933503793</v>
      </c>
      <c r="BL503">
        <v>77.586206896551701</v>
      </c>
      <c r="BM503" s="143">
        <f>BL503/BK503</f>
        <v>1.1952800195646862</v>
      </c>
      <c r="BN503">
        <f>BL503-BK503</f>
        <v>12.675720963047908</v>
      </c>
      <c r="BO503">
        <f>BN503*1000*t_to_m3</f>
        <v>25868.818291934509</v>
      </c>
      <c r="BP503" t="s">
        <v>233</v>
      </c>
      <c r="BQ503" s="143" t="s">
        <v>3258</v>
      </c>
      <c r="BR503" t="s">
        <v>1197</v>
      </c>
      <c r="BS503">
        <v>79079.294245810015</v>
      </c>
      <c r="BT503">
        <v>84232.158770949667</v>
      </c>
      <c r="BU503" s="144">
        <f>IFERROR(BT503/BS503,"")</f>
        <v>1.0651607298001737</v>
      </c>
      <c r="BV503" s="144">
        <f>BT503-BS503</f>
        <v>5152.864525139652</v>
      </c>
      <c r="BW503" s="144"/>
      <c r="BX503" s="144">
        <f>BV503</f>
        <v>5152.864525139652</v>
      </c>
      <c r="BY503">
        <f>IFERROR(BX503/BO503,"")</f>
        <v>0.19919211101908874</v>
      </c>
      <c r="BZ503">
        <v>0</v>
      </c>
      <c r="CA503">
        <v>0</v>
      </c>
      <c r="CB503">
        <v>0</v>
      </c>
      <c r="CC503">
        <v>0</v>
      </c>
      <c r="CD503">
        <v>0</v>
      </c>
      <c r="CE503">
        <v>0</v>
      </c>
      <c r="CF503">
        <v>0</v>
      </c>
      <c r="CG503">
        <v>0</v>
      </c>
      <c r="CH503">
        <v>0</v>
      </c>
      <c r="CI503">
        <v>0</v>
      </c>
      <c r="CJ503">
        <v>0</v>
      </c>
      <c r="CK503">
        <v>0</v>
      </c>
      <c r="CL503">
        <v>0</v>
      </c>
      <c r="CM503">
        <v>1</v>
      </c>
      <c r="CN503" t="str">
        <f>IF($BL503&lt;$BK503,"refNeedCorrection","refOK")</f>
        <v>refOK</v>
      </c>
      <c r="CO503">
        <f>IF($CN503="refOK",$BK503,$BL503)</f>
        <v>64.910485933503793</v>
      </c>
      <c r="CP503">
        <f>IF($CN503="refOK",$BL503,$BK503)</f>
        <v>77.586206896551701</v>
      </c>
      <c r="CQ503">
        <f>IF($CN503="refOK",$BO503,-$BO503)</f>
        <v>25868.818291934509</v>
      </c>
      <c r="CR503">
        <f>IF($CN503="refOK",$BS503,$BT503)*IF($BP503="Emissions positive",-1,1)</f>
        <v>79079.294245810015</v>
      </c>
      <c r="CS503">
        <f>IF($CN503="refOK",$BT503,$BS503)*IF($BP503="Emissions positive",-1,1)</f>
        <v>84232.158770949667</v>
      </c>
      <c r="CT503">
        <f>IF($CN503="refNeedCorrection",-BX503,BX503)*IF($BP503="Emissions positive",-1,1)</f>
        <v>5152.864525139652</v>
      </c>
      <c r="CU503">
        <f>IFERROR(CT503/CQ503,"")</f>
        <v>0.19919211101908874</v>
      </c>
      <c r="CV503" s="2">
        <f>IFERROR((CS503-CR503)/ABS(CR503),"")</f>
        <v>6.5160729800173636E-2</v>
      </c>
      <c r="CW503" s="1" t="s">
        <v>1201</v>
      </c>
      <c r="CX503" t="str">
        <f>IF(OR($CW503="prd",$CW503="std",$CW503="cit"),"loc",IF(OR($CW503="eur",$CW503="reg",$CW503="coy"),"reg",$CW503))</f>
        <v>reg</v>
      </c>
      <c r="CY503" t="s">
        <v>236</v>
      </c>
      <c r="CZ503">
        <v>2010</v>
      </c>
      <c r="DA503">
        <v>2070</v>
      </c>
      <c r="DB503">
        <f>DA503-CZ503</f>
        <v>60</v>
      </c>
      <c r="DC503" t="str">
        <f>IF(DB503=0,"0",IF(AND(DB503&gt;=1,DB503&lt;=30),"1-30",IF(AND(DB503&gt;30,DB503&lt;=70),"31-70",IF(AND(DB503&gt;70,DB503&lt;=100),"71-100",IF(DB503&gt;100,"+100")))))</f>
        <v>31-70</v>
      </c>
      <c r="DD503">
        <v>1</v>
      </c>
      <c r="DE503">
        <v>1</v>
      </c>
      <c r="DF503">
        <v>1</v>
      </c>
      <c r="DG503">
        <v>1</v>
      </c>
      <c r="DH503">
        <v>0</v>
      </c>
      <c r="DI503">
        <f>SUM(DD503:DG503)</f>
        <v>4</v>
      </c>
      <c r="DJ503" t="str">
        <f>IF(DI503=1,INDEX($DD$7:$DG$7,MATCH(1,$DD503:$DG503,0)),"mixedProduct")</f>
        <v>mixedProduct</v>
      </c>
      <c r="DK503" t="str">
        <f>IF(DD503=1,DK$7,0)</f>
        <v>Upstream</v>
      </c>
      <c r="DL503" t="str">
        <f>IF(DE503=1,DL$7,0)</f>
        <v>Energy</v>
      </c>
      <c r="DM503" t="str">
        <f>IF(DF503=1,DM$7,0)</f>
        <v>Pulp/Paper</v>
      </c>
      <c r="DN503" t="str">
        <f>IF(DG503=1,DN$7,0)</f>
        <v>Timber</v>
      </c>
      <c r="DO503">
        <v>0</v>
      </c>
      <c r="DP503">
        <v>1</v>
      </c>
      <c r="DQ503" t="s">
        <v>2526</v>
      </c>
      <c r="DR503" t="s">
        <v>2527</v>
      </c>
      <c r="DS503">
        <v>0</v>
      </c>
      <c r="DT503">
        <f>SUM(DO503:DP503)</f>
        <v>1</v>
      </c>
      <c r="DU503" s="143" t="str">
        <f>IF(DO503=1,"self-calculated DF",IF(DP503=1,"external DF used","explicit C balance"))</f>
        <v>external DF used</v>
      </c>
      <c r="DV503">
        <v>1</v>
      </c>
      <c r="DW503">
        <v>1</v>
      </c>
      <c r="DX503">
        <v>1</v>
      </c>
      <c r="DY503">
        <v>1</v>
      </c>
      <c r="DZ503">
        <v>0</v>
      </c>
      <c r="EA503" s="143">
        <v>1</v>
      </c>
      <c r="EB503">
        <v>1</v>
      </c>
      <c r="EC503">
        <v>1</v>
      </c>
      <c r="ED503">
        <v>0</v>
      </c>
      <c r="EE503">
        <v>0</v>
      </c>
      <c r="EF503">
        <v>1</v>
      </c>
      <c r="EG503">
        <v>0</v>
      </c>
      <c r="EH503">
        <v>0</v>
      </c>
      <c r="EI503" s="2">
        <v>0</v>
      </c>
      <c r="EK503" t="str">
        <f>IF(AND(AND(AND(OR($DX503=1,$DW503=1),OR($EC503=1,$EA503=1)),SUM($DV503:$DZ503,$EF503)&gt;=4),SUM($EA503:$EE503)&gt;=2),"Whole sector","")</f>
        <v>Whole sector</v>
      </c>
      <c r="EL503" t="str">
        <f>IF(AND(AND(OR($DX503=1,$DW503=1),AND($EC503=0,$EA503=0)),SUM($DV503:$DZ503,$EF503)&gt;=4),"Ecosystem approach","")</f>
        <v/>
      </c>
      <c r="EM503" s="2" t="str">
        <f>IF(AND(AND(AND($DX503=0,$DW503=0),OR($EC503=1,$EA503=1)),SUM($EB503:$EE503)&gt;=2),"Technology approach","")</f>
        <v/>
      </c>
      <c r="EP503" t="str">
        <f>IF(ISNUMBER(BU503),IF(ABS(BU503-[2]QC_indicators!$B$2)&gt;3*[2]QC_indicators!$C$2,"C ratio",IF(ISNUMBER(BY503),IF(ABS(BY503-[2]QC_indicators!$B$1)&gt;3*[2]QC_indicators!$C$1,"DF","no"))),IF(ISNUMBER(BY503),IF(ABS(BY503-[2]QC_indicators!$B$1)&gt;3*[2]QC_indicators!$C$1,"DF","no")))</f>
        <v>no</v>
      </c>
      <c r="ET503" s="266" t="s">
        <v>3261</v>
      </c>
    </row>
    <row r="504" spans="1:150" ht="15" hidden="1" customHeight="1">
      <c r="A504" s="1" t="s">
        <v>1425</v>
      </c>
      <c r="B504" t="s">
        <v>2492</v>
      </c>
      <c r="C504" t="s">
        <v>2493</v>
      </c>
      <c r="D504" t="s">
        <v>2494</v>
      </c>
      <c r="E504" t="s">
        <v>2495</v>
      </c>
      <c r="F504" t="s">
        <v>2496</v>
      </c>
      <c r="G504" t="s">
        <v>1431</v>
      </c>
      <c r="H504" t="s">
        <v>255</v>
      </c>
      <c r="I504">
        <v>2016</v>
      </c>
      <c r="J504">
        <v>24</v>
      </c>
      <c r="K504" t="s">
        <v>2497</v>
      </c>
      <c r="M504" t="str">
        <f>LEFT($D504,FIND(",",$D504)-1)&amp;"_"&amp;I504&amp;L504</f>
        <v>Zubizarreta-Gerendiain_2016</v>
      </c>
      <c r="N504" t="s">
        <v>223</v>
      </c>
      <c r="O504" s="145" t="s">
        <v>1156</v>
      </c>
      <c r="Q504" t="s">
        <v>257</v>
      </c>
      <c r="R504" s="264" t="s">
        <v>224</v>
      </c>
      <c r="S504" s="1" t="s">
        <v>2528</v>
      </c>
      <c r="T504" t="s">
        <v>2509</v>
      </c>
      <c r="U504" t="s">
        <v>2530</v>
      </c>
      <c r="V504">
        <v>0</v>
      </c>
      <c r="W504">
        <v>0</v>
      </c>
      <c r="X504">
        <v>0</v>
      </c>
      <c r="Y504">
        <v>1</v>
      </c>
      <c r="Z504">
        <v>0</v>
      </c>
      <c r="AA504">
        <v>0</v>
      </c>
      <c r="AB504">
        <v>0</v>
      </c>
      <c r="AC504">
        <v>0</v>
      </c>
      <c r="AD504">
        <v>0</v>
      </c>
      <c r="AE504">
        <v>0</v>
      </c>
      <c r="AF504">
        <v>0</v>
      </c>
      <c r="AG504">
        <v>0</v>
      </c>
      <c r="AH504">
        <v>0</v>
      </c>
      <c r="AI504">
        <v>0</v>
      </c>
      <c r="AJ504">
        <v>0</v>
      </c>
      <c r="AK504">
        <v>0</v>
      </c>
      <c r="AL504">
        <v>0</v>
      </c>
      <c r="AM504">
        <v>0</v>
      </c>
      <c r="AN504">
        <v>0</v>
      </c>
      <c r="AO504">
        <v>0</v>
      </c>
      <c r="AP504">
        <v>0</v>
      </c>
      <c r="AQ504">
        <v>0</v>
      </c>
      <c r="AR504">
        <v>0</v>
      </c>
      <c r="AS504">
        <v>0</v>
      </c>
      <c r="AT504">
        <v>0</v>
      </c>
      <c r="AU504">
        <v>0</v>
      </c>
      <c r="AV504">
        <v>0</v>
      </c>
      <c r="AW504">
        <v>0</v>
      </c>
      <c r="AX504" s="141">
        <f>COUNTIF(V504:AW504,"&lt;&gt;0")</f>
        <v>1</v>
      </c>
      <c r="AY504" s="141">
        <f>COUNTIF(V504:AL504,"&lt;&gt;0")</f>
        <v>1</v>
      </c>
      <c r="AZ504">
        <f>COUNTIF(V504:AC504,"&lt;&gt;0")</f>
        <v>1</v>
      </c>
      <c r="BA504">
        <f>COUNTIF(AD504:AI504,"&lt;&gt;0")</f>
        <v>0</v>
      </c>
      <c r="BB504">
        <f>COUNTIF(AJ504:AL504,"&lt;&gt;0")</f>
        <v>0</v>
      </c>
      <c r="BC504">
        <f>COUNTIF(AS504:AW504,"&lt;&gt;0")</f>
        <v>0</v>
      </c>
      <c r="BD504">
        <f>COUNTIF(AM504:AR504,"&lt;&gt;0")</f>
        <v>0</v>
      </c>
      <c r="BE504" t="str">
        <f t="array" ref="BE504">IF(AY504=1,INDEX($V$7:$AL$7,MATCH(TRUE,INDEX($V504:$AW504&lt;&gt;0,),0)),IF(AY504=0,INDEX($AM$7:$AW$7,MATCH(1,$AM504:$AW504,0)),IF(BF504="Multiple strategies","mixed drivers",IF(BF504="Supply chain","multiple supply","multiple silviculture"))))</f>
        <v xml:space="preserve">cutting intensity </v>
      </c>
      <c r="BF504" s="2" t="str" cm="1">
        <f t="array" ref="BF504">IF(COUNTIF(AZ504:BB504,"&lt;&gt;0")=1,INDEX($V$4:$AW$4,MATCH(TRUE,INDEX($V504:$AW504&lt;&gt;0,),0)),IF(COUNTIF(AZ504:BB504,"&lt;&gt;0")=0,INDEX($AM$4:$AW$4,MATCH(1,$AM504:$AW504,0)),"Multiple strategies"))</f>
        <v>SilvicultureRemov</v>
      </c>
      <c r="BG504" s="1" t="s">
        <v>322</v>
      </c>
      <c r="BH504" t="s">
        <v>2501</v>
      </c>
      <c r="BI504" s="266" t="s">
        <v>2115</v>
      </c>
      <c r="BJ504" t="s">
        <v>2502</v>
      </c>
      <c r="BK504">
        <v>64.910485933503793</v>
      </c>
      <c r="BL504">
        <v>71.585677749360599</v>
      </c>
      <c r="BM504" s="143">
        <f>BL504/BK504</f>
        <v>1.1028368794326247</v>
      </c>
      <c r="BN504">
        <f>BL504-BK504</f>
        <v>6.675191815856806</v>
      </c>
      <c r="BO504">
        <f>BN504*1000*t_to_m3</f>
        <v>13622.840440524094</v>
      </c>
      <c r="BP504" t="s">
        <v>233</v>
      </c>
      <c r="BQ504" s="143" t="s">
        <v>3258</v>
      </c>
      <c r="BR504" t="s">
        <v>1197</v>
      </c>
      <c r="BS504">
        <v>120401.57301704831</v>
      </c>
      <c r="BT504">
        <v>128079.5993328375</v>
      </c>
      <c r="BU504" s="144">
        <f>IFERROR(BT504/BS504,"")</f>
        <v>1.0637701495370167</v>
      </c>
      <c r="BV504" s="144">
        <f>BT504-BS504</f>
        <v>7678.0263157891895</v>
      </c>
      <c r="BW504" s="144"/>
      <c r="BX504" s="144">
        <f>BV504</f>
        <v>7678.0263157891895</v>
      </c>
      <c r="BY504">
        <f>IFERROR(BX504/BO504,"")</f>
        <v>0.5636141999394807</v>
      </c>
      <c r="BZ504">
        <v>0</v>
      </c>
      <c r="CA504">
        <v>0</v>
      </c>
      <c r="CB504">
        <v>0</v>
      </c>
      <c r="CC504">
        <v>0</v>
      </c>
      <c r="CD504">
        <v>0</v>
      </c>
      <c r="CE504">
        <v>0</v>
      </c>
      <c r="CF504">
        <v>0</v>
      </c>
      <c r="CG504">
        <v>0</v>
      </c>
      <c r="CH504">
        <v>0</v>
      </c>
      <c r="CI504">
        <v>0</v>
      </c>
      <c r="CJ504">
        <v>0</v>
      </c>
      <c r="CK504">
        <v>0</v>
      </c>
      <c r="CL504">
        <v>0</v>
      </c>
      <c r="CM504">
        <v>1</v>
      </c>
      <c r="CN504" t="str">
        <f>IF($BL504&lt;$BK504,"refNeedCorrection","refOK")</f>
        <v>refOK</v>
      </c>
      <c r="CO504">
        <f>IF($CN504="refOK",$BK504,$BL504)</f>
        <v>64.910485933503793</v>
      </c>
      <c r="CP504">
        <f>IF($CN504="refOK",$BL504,$BK504)</f>
        <v>71.585677749360599</v>
      </c>
      <c r="CQ504">
        <f>IF($CN504="refOK",$BO504,-$BO504)</f>
        <v>13622.840440524094</v>
      </c>
      <c r="CR504">
        <f>IF($CN504="refOK",$BS504,$BT504)*IF($BP504="Emissions positive",-1,1)</f>
        <v>120401.57301704831</v>
      </c>
      <c r="CS504">
        <f>IF($CN504="refOK",$BT504,$BS504)*IF($BP504="Emissions positive",-1,1)</f>
        <v>128079.5993328375</v>
      </c>
      <c r="CT504">
        <f>IF($CN504="refNeedCorrection",-BX504,BX504)*IF($BP504="Emissions positive",-1,1)</f>
        <v>7678.0263157891895</v>
      </c>
      <c r="CU504">
        <f>IFERROR(CT504/CQ504,"")</f>
        <v>0.5636141999394807</v>
      </c>
      <c r="CV504" s="2">
        <f>IFERROR((CS504-CR504)/ABS(CR504),"")</f>
        <v>6.3770149537016568E-2</v>
      </c>
      <c r="CW504" s="1" t="s">
        <v>1201</v>
      </c>
      <c r="CX504" t="str">
        <f>IF(OR($CW504="prd",$CW504="std",$CW504="cit"),"loc",IF(OR($CW504="eur",$CW504="reg",$CW504="coy"),"reg",$CW504))</f>
        <v>reg</v>
      </c>
      <c r="CY504" t="s">
        <v>236</v>
      </c>
      <c r="CZ504">
        <v>2010</v>
      </c>
      <c r="DA504">
        <v>2070</v>
      </c>
      <c r="DB504">
        <f>DA504-CZ504</f>
        <v>60</v>
      </c>
      <c r="DC504" t="str">
        <f>IF(DB504=0,"0",IF(AND(DB504&gt;=1,DB504&lt;=30),"1-30",IF(AND(DB504&gt;30,DB504&lt;=70),"31-70",IF(AND(DB504&gt;70,DB504&lt;=100),"71-100",IF(DB504&gt;100,"+100")))))</f>
        <v>31-70</v>
      </c>
      <c r="DD504">
        <v>1</v>
      </c>
      <c r="DE504">
        <v>1</v>
      </c>
      <c r="DF504">
        <v>1</v>
      </c>
      <c r="DG504">
        <v>1</v>
      </c>
      <c r="DH504">
        <v>0</v>
      </c>
      <c r="DI504">
        <f>SUM(DD504:DG504)</f>
        <v>4</v>
      </c>
      <c r="DJ504" t="str">
        <f>IF(DI504=1,INDEX($DD$7:$DG$7,MATCH(1,$DD504:$DG504,0)),"mixedProduct")</f>
        <v>mixedProduct</v>
      </c>
      <c r="DK504" t="str">
        <f>IF(DD504=1,DK$7,0)</f>
        <v>Upstream</v>
      </c>
      <c r="DL504" t="str">
        <f>IF(DE504=1,DL$7,0)</f>
        <v>Energy</v>
      </c>
      <c r="DM504" t="str">
        <f>IF(DF504=1,DM$7,0)</f>
        <v>Pulp/Paper</v>
      </c>
      <c r="DN504" t="str">
        <f>IF(DG504=1,DN$7,0)</f>
        <v>Timber</v>
      </c>
      <c r="DO504">
        <v>0</v>
      </c>
      <c r="DP504">
        <v>1</v>
      </c>
      <c r="DQ504" t="s">
        <v>2526</v>
      </c>
      <c r="DR504" t="s">
        <v>2527</v>
      </c>
      <c r="DS504">
        <v>0</v>
      </c>
      <c r="DT504">
        <f>SUM(DO504:DP504)</f>
        <v>1</v>
      </c>
      <c r="DU504" s="143" t="str">
        <f>IF(DO504=1,"self-calculated DF",IF(DP504=1,"external DF used","explicit C balance"))</f>
        <v>external DF used</v>
      </c>
      <c r="DV504">
        <v>1</v>
      </c>
      <c r="DW504">
        <v>1</v>
      </c>
      <c r="DX504">
        <v>1</v>
      </c>
      <c r="DY504">
        <v>1</v>
      </c>
      <c r="DZ504">
        <v>0</v>
      </c>
      <c r="EA504" s="143">
        <v>1</v>
      </c>
      <c r="EB504">
        <v>1</v>
      </c>
      <c r="EC504">
        <v>1</v>
      </c>
      <c r="ED504">
        <v>0</v>
      </c>
      <c r="EE504">
        <v>0</v>
      </c>
      <c r="EF504">
        <v>1</v>
      </c>
      <c r="EG504">
        <v>0</v>
      </c>
      <c r="EH504">
        <v>0</v>
      </c>
      <c r="EI504" s="2">
        <v>0</v>
      </c>
      <c r="EK504" t="str">
        <f>IF(AND(AND(AND(OR($DX504=1,$DW504=1),OR($EC504=1,$EA504=1)),SUM($DV504:$DZ504,$EF504)&gt;=4),SUM($EA504:$EE504)&gt;=2),"Whole sector","")</f>
        <v>Whole sector</v>
      </c>
      <c r="EL504" t="str">
        <f>IF(AND(AND(OR($DX504=1,$DW504=1),AND($EC504=0,$EA504=0)),SUM($DV504:$DZ504,$EF504)&gt;=4),"Ecosystem approach","")</f>
        <v/>
      </c>
      <c r="EM504" s="2" t="str">
        <f>IF(AND(AND(AND($DX504=0,$DW504=0),OR($EC504=1,$EA504=1)),SUM($EB504:$EE504)&gt;=2),"Technology approach","")</f>
        <v/>
      </c>
      <c r="EP504" t="str">
        <f>IF(ISNUMBER(BU504),IF(ABS(BU504-[2]QC_indicators!$B$2)&gt;3*[2]QC_indicators!$C$2,"C ratio",IF(ISNUMBER(BY504),IF(ABS(BY504-[2]QC_indicators!$B$1)&gt;3*[2]QC_indicators!$C$1,"DF","no"))),IF(ISNUMBER(BY504),IF(ABS(BY504-[2]QC_indicators!$B$1)&gt;3*[2]QC_indicators!$C$1,"DF","no")))</f>
        <v>no</v>
      </c>
      <c r="ET504" s="266" t="s">
        <v>3261</v>
      </c>
    </row>
    <row r="505" spans="1:150" ht="15" hidden="1" customHeight="1">
      <c r="A505" s="1" t="s">
        <v>1425</v>
      </c>
      <c r="B505" t="s">
        <v>2492</v>
      </c>
      <c r="C505" t="s">
        <v>2493</v>
      </c>
      <c r="D505" t="s">
        <v>2494</v>
      </c>
      <c r="E505" t="s">
        <v>2495</v>
      </c>
      <c r="F505" t="s">
        <v>2496</v>
      </c>
      <c r="G505" t="s">
        <v>1431</v>
      </c>
      <c r="H505" t="s">
        <v>255</v>
      </c>
      <c r="I505">
        <v>2016</v>
      </c>
      <c r="J505">
        <v>24</v>
      </c>
      <c r="K505" t="s">
        <v>2497</v>
      </c>
      <c r="M505" t="str">
        <f>LEFT($D505,FIND(",",$D505)-1)&amp;"_"&amp;I505&amp;L505</f>
        <v>Zubizarreta-Gerendiain_2016</v>
      </c>
      <c r="N505" t="s">
        <v>223</v>
      </c>
      <c r="O505" s="145" t="s">
        <v>1156</v>
      </c>
      <c r="Q505" t="s">
        <v>257</v>
      </c>
      <c r="R505" s="264" t="s">
        <v>224</v>
      </c>
      <c r="S505" s="1" t="s">
        <v>2528</v>
      </c>
      <c r="T505" t="s">
        <v>2511</v>
      </c>
      <c r="U505" t="s">
        <v>2529</v>
      </c>
      <c r="V505">
        <v>0</v>
      </c>
      <c r="W505">
        <v>0</v>
      </c>
      <c r="X505">
        <v>0</v>
      </c>
      <c r="Y505">
        <v>1</v>
      </c>
      <c r="Z505">
        <v>0</v>
      </c>
      <c r="AA505">
        <v>0</v>
      </c>
      <c r="AB505">
        <v>0</v>
      </c>
      <c r="AC505">
        <v>0</v>
      </c>
      <c r="AD505">
        <v>0</v>
      </c>
      <c r="AE505">
        <v>0</v>
      </c>
      <c r="AF505">
        <v>0</v>
      </c>
      <c r="AG505">
        <v>0</v>
      </c>
      <c r="AH505">
        <v>0</v>
      </c>
      <c r="AI505">
        <v>0</v>
      </c>
      <c r="AJ505">
        <v>0</v>
      </c>
      <c r="AK505">
        <v>0</v>
      </c>
      <c r="AL505">
        <v>0</v>
      </c>
      <c r="AM505">
        <v>0</v>
      </c>
      <c r="AN505">
        <v>0</v>
      </c>
      <c r="AO505">
        <v>0</v>
      </c>
      <c r="AP505">
        <v>0</v>
      </c>
      <c r="AQ505">
        <v>0</v>
      </c>
      <c r="AR505">
        <v>0</v>
      </c>
      <c r="AS505">
        <v>0</v>
      </c>
      <c r="AT505">
        <v>0</v>
      </c>
      <c r="AU505">
        <v>0</v>
      </c>
      <c r="AV505">
        <v>0</v>
      </c>
      <c r="AW505">
        <v>0</v>
      </c>
      <c r="AX505" s="141">
        <f>COUNTIF(V505:AW505,"&lt;&gt;0")</f>
        <v>1</v>
      </c>
      <c r="AY505" s="141">
        <f>COUNTIF(V505:AL505,"&lt;&gt;0")</f>
        <v>1</v>
      </c>
      <c r="AZ505">
        <f>COUNTIF(V505:AC505,"&lt;&gt;0")</f>
        <v>1</v>
      </c>
      <c r="BA505">
        <f>COUNTIF(AD505:AI505,"&lt;&gt;0")</f>
        <v>0</v>
      </c>
      <c r="BB505">
        <f>COUNTIF(AJ505:AL505,"&lt;&gt;0")</f>
        <v>0</v>
      </c>
      <c r="BC505">
        <f>COUNTIF(AS505:AW505,"&lt;&gt;0")</f>
        <v>0</v>
      </c>
      <c r="BD505">
        <f>COUNTIF(AM505:AR505,"&lt;&gt;0")</f>
        <v>0</v>
      </c>
      <c r="BE505" t="str">
        <f t="array" ref="BE505">IF(AY505=1,INDEX($V$7:$AL$7,MATCH(TRUE,INDEX($V505:$AW505&lt;&gt;0,),0)),IF(AY505=0,INDEX($AM$7:$AW$7,MATCH(1,$AM505:$AW505,0)),IF(BF505="Multiple strategies","mixed drivers",IF(BF505="Supply chain","multiple supply","multiple silviculture"))))</f>
        <v xml:space="preserve">cutting intensity </v>
      </c>
      <c r="BF505" s="2" t="str" cm="1">
        <f t="array" ref="BF505">IF(COUNTIF(AZ505:BB505,"&lt;&gt;0")=1,INDEX($V$4:$AW$4,MATCH(TRUE,INDEX($V505:$AW505&lt;&gt;0,),0)),IF(COUNTIF(AZ505:BB505,"&lt;&gt;0")=0,INDEX($AM$4:$AW$4,MATCH(1,$AM505:$AW505,0)),"Multiple strategies"))</f>
        <v>SilvicultureRemov</v>
      </c>
      <c r="BG505" s="1" t="s">
        <v>322</v>
      </c>
      <c r="BH505" t="s">
        <v>2501</v>
      </c>
      <c r="BI505" s="266" t="s">
        <v>2115</v>
      </c>
      <c r="BJ505" t="s">
        <v>2502</v>
      </c>
      <c r="BK505">
        <v>64.910485933503793</v>
      </c>
      <c r="BL505">
        <v>77.586206896551701</v>
      </c>
      <c r="BM505" s="143">
        <f>BL505/BK505</f>
        <v>1.1952800195646862</v>
      </c>
      <c r="BN505">
        <f>BL505-BK505</f>
        <v>12.675720963047908</v>
      </c>
      <c r="BO505">
        <f>BN505*1000*t_to_m3</f>
        <v>25868.818291934509</v>
      </c>
      <c r="BP505" t="s">
        <v>233</v>
      </c>
      <c r="BQ505" s="143" t="s">
        <v>3258</v>
      </c>
      <c r="BR505" t="s">
        <v>1197</v>
      </c>
      <c r="BS505">
        <v>-4328.4062011172464</v>
      </c>
      <c r="BT505">
        <v>-5358.9791061452015</v>
      </c>
      <c r="BU505" s="144">
        <f>IFERROR(BT505/BS505,"")</f>
        <v>1.2380952380952472</v>
      </c>
      <c r="BV505" s="144">
        <f>BT505-BS505</f>
        <v>-1030.5729050279551</v>
      </c>
      <c r="BW505" s="144"/>
      <c r="BX505" s="144">
        <f>BV505</f>
        <v>-1030.5729050279551</v>
      </c>
      <c r="BY505">
        <f>IFERROR(BX505/BO505,"")</f>
        <v>-3.9838422203818703E-2</v>
      </c>
      <c r="BZ505">
        <v>0</v>
      </c>
      <c r="CA505">
        <v>0</v>
      </c>
      <c r="CB505">
        <v>0</v>
      </c>
      <c r="CC505">
        <v>0</v>
      </c>
      <c r="CD505">
        <v>0</v>
      </c>
      <c r="CE505">
        <v>0</v>
      </c>
      <c r="CF505">
        <v>0</v>
      </c>
      <c r="CG505">
        <v>0</v>
      </c>
      <c r="CH505">
        <v>0</v>
      </c>
      <c r="CI505">
        <v>0</v>
      </c>
      <c r="CJ505">
        <v>0</v>
      </c>
      <c r="CK505">
        <v>0</v>
      </c>
      <c r="CL505">
        <v>0</v>
      </c>
      <c r="CM505">
        <v>1</v>
      </c>
      <c r="CN505" t="str">
        <f>IF($BL505&lt;$BK505,"refNeedCorrection","refOK")</f>
        <v>refOK</v>
      </c>
      <c r="CO505">
        <f>IF($CN505="refOK",$BK505,$BL505)</f>
        <v>64.910485933503793</v>
      </c>
      <c r="CP505">
        <f>IF($CN505="refOK",$BL505,$BK505)</f>
        <v>77.586206896551701</v>
      </c>
      <c r="CQ505">
        <f>IF($CN505="refOK",$BO505,-$BO505)</f>
        <v>25868.818291934509</v>
      </c>
      <c r="CR505">
        <f>IF($CN505="refOK",$BS505,$BT505)*IF($BP505="Emissions positive",-1,1)</f>
        <v>-4328.4062011172464</v>
      </c>
      <c r="CS505">
        <f>IF($CN505="refOK",$BT505,$BS505)*IF($BP505="Emissions positive",-1,1)</f>
        <v>-5358.9791061452015</v>
      </c>
      <c r="CT505">
        <f>IF($CN505="refNeedCorrection",-BX505,BX505)*IF($BP505="Emissions positive",-1,1)</f>
        <v>-1030.5729050279551</v>
      </c>
      <c r="CU505">
        <f>IFERROR(CT505/CQ505,"")</f>
        <v>-3.9838422203818703E-2</v>
      </c>
      <c r="CV505" s="2">
        <f>IFERROR((CS505-CR505)/ABS(CR505),"")</f>
        <v>-0.23809523809524719</v>
      </c>
      <c r="CW505" s="1" t="s">
        <v>1201</v>
      </c>
      <c r="CX505" t="str">
        <f>IF(OR($CW505="prd",$CW505="std",$CW505="cit"),"loc",IF(OR($CW505="eur",$CW505="reg",$CW505="coy"),"reg",$CW505))</f>
        <v>reg</v>
      </c>
      <c r="CY505" t="s">
        <v>236</v>
      </c>
      <c r="CZ505">
        <v>2010</v>
      </c>
      <c r="DA505">
        <v>2070</v>
      </c>
      <c r="DB505">
        <f>DA505-CZ505</f>
        <v>60</v>
      </c>
      <c r="DC505" t="str">
        <f>IF(DB505=0,"0",IF(AND(DB505&gt;=1,DB505&lt;=30),"1-30",IF(AND(DB505&gt;30,DB505&lt;=70),"31-70",IF(AND(DB505&gt;70,DB505&lt;=100),"71-100",IF(DB505&gt;100,"+100")))))</f>
        <v>31-70</v>
      </c>
      <c r="DD505">
        <v>1</v>
      </c>
      <c r="DE505">
        <v>1</v>
      </c>
      <c r="DF505">
        <v>1</v>
      </c>
      <c r="DG505">
        <v>1</v>
      </c>
      <c r="DH505">
        <v>0</v>
      </c>
      <c r="DI505">
        <f>SUM(DD505:DG505)</f>
        <v>4</v>
      </c>
      <c r="DJ505" t="str">
        <f>IF(DI505=1,INDEX($DD$7:$DG$7,MATCH(1,$DD505:$DG505,0)),"mixedProduct")</f>
        <v>mixedProduct</v>
      </c>
      <c r="DK505" t="str">
        <f>IF(DD505=1,DK$7,0)</f>
        <v>Upstream</v>
      </c>
      <c r="DL505" t="str">
        <f>IF(DE505=1,DL$7,0)</f>
        <v>Energy</v>
      </c>
      <c r="DM505" t="str">
        <f>IF(DF505=1,DM$7,0)</f>
        <v>Pulp/Paper</v>
      </c>
      <c r="DN505" t="str">
        <f>IF(DG505=1,DN$7,0)</f>
        <v>Timber</v>
      </c>
      <c r="DO505">
        <v>0</v>
      </c>
      <c r="DP505">
        <v>0</v>
      </c>
      <c r="DQ505">
        <v>0</v>
      </c>
      <c r="DR505">
        <v>0</v>
      </c>
      <c r="DS505">
        <v>0</v>
      </c>
      <c r="DT505">
        <f>SUM(DO505:DP505)</f>
        <v>0</v>
      </c>
      <c r="DU505" s="143" t="str">
        <f>IF(DO505=1,"self-calculated DF",IF(DP505=1,"external DF used","explicit C balance"))</f>
        <v>explicit C balance</v>
      </c>
      <c r="DV505">
        <v>1</v>
      </c>
      <c r="DW505">
        <v>1</v>
      </c>
      <c r="DX505">
        <v>1</v>
      </c>
      <c r="DY505">
        <v>0</v>
      </c>
      <c r="DZ505">
        <v>0</v>
      </c>
      <c r="EA505" s="143">
        <v>0</v>
      </c>
      <c r="EB505">
        <v>1</v>
      </c>
      <c r="EC505">
        <v>1</v>
      </c>
      <c r="ED505">
        <v>0</v>
      </c>
      <c r="EE505">
        <v>0</v>
      </c>
      <c r="EF505">
        <v>1</v>
      </c>
      <c r="EG505">
        <v>0</v>
      </c>
      <c r="EH505">
        <v>0</v>
      </c>
      <c r="EI505" s="2">
        <v>0</v>
      </c>
      <c r="EK505" t="str">
        <f>IF(AND(AND(AND(OR($DX505=1,$DW505=1),OR($EC505=1,$EA505=1)),SUM($DV505:$DZ505,$EF505)&gt;=4),SUM($EA505:$EE505)&gt;=2),"Whole sector","")</f>
        <v>Whole sector</v>
      </c>
      <c r="EL505" t="str">
        <f>IF(AND(AND(OR($DX505=1,$DW505=1),AND($EC505=0,$EA505=0)),SUM($DV505:$DZ505,$EF505)&gt;=4),"Ecosystem approach","")</f>
        <v/>
      </c>
      <c r="EM505" s="2" t="str">
        <f>IF(AND(AND(AND($DX505=0,$DW505=0),OR($EC505=1,$EA505=1)),SUM($EB505:$EE505)&gt;=2),"Technology approach","")</f>
        <v/>
      </c>
      <c r="EP505" t="str">
        <f>IF(ISNUMBER(BU505),IF(ABS(BU505-[2]QC_indicators!$B$2)&gt;3*[2]QC_indicators!$C$2,"C ratio",IF(ISNUMBER(BY505),IF(ABS(BY505-[2]QC_indicators!$B$1)&gt;3*[2]QC_indicators!$C$1,"DF","no"))),IF(ISNUMBER(BY505),IF(ABS(BY505-[2]QC_indicators!$B$1)&gt;3*[2]QC_indicators!$C$1,"DF","no")))</f>
        <v>no</v>
      </c>
      <c r="ET505" s="266" t="s">
        <v>3260</v>
      </c>
    </row>
    <row r="506" spans="1:150" ht="15" hidden="1" customHeight="1">
      <c r="A506" s="1" t="s">
        <v>1425</v>
      </c>
      <c r="B506" t="s">
        <v>2492</v>
      </c>
      <c r="C506" t="s">
        <v>2493</v>
      </c>
      <c r="D506" t="s">
        <v>2494</v>
      </c>
      <c r="E506" t="s">
        <v>2495</v>
      </c>
      <c r="F506" t="s">
        <v>2496</v>
      </c>
      <c r="G506" t="s">
        <v>1431</v>
      </c>
      <c r="H506" t="s">
        <v>255</v>
      </c>
      <c r="I506">
        <v>2016</v>
      </c>
      <c r="J506">
        <v>24</v>
      </c>
      <c r="K506" t="s">
        <v>2497</v>
      </c>
      <c r="M506" t="str">
        <f>LEFT($D506,FIND(",",$D506)-1)&amp;"_"&amp;I506&amp;L506</f>
        <v>Zubizarreta-Gerendiain_2016</v>
      </c>
      <c r="N506" t="s">
        <v>223</v>
      </c>
      <c r="O506" s="145" t="s">
        <v>1156</v>
      </c>
      <c r="Q506" t="s">
        <v>257</v>
      </c>
      <c r="R506" s="264" t="s">
        <v>224</v>
      </c>
      <c r="S506" s="1" t="s">
        <v>2528</v>
      </c>
      <c r="T506" t="s">
        <v>2509</v>
      </c>
      <c r="U506" t="s">
        <v>2530</v>
      </c>
      <c r="V506">
        <v>0</v>
      </c>
      <c r="W506">
        <v>0</v>
      </c>
      <c r="X506">
        <v>0</v>
      </c>
      <c r="Y506">
        <v>1</v>
      </c>
      <c r="Z506">
        <v>0</v>
      </c>
      <c r="AA506">
        <v>0</v>
      </c>
      <c r="AB506">
        <v>0</v>
      </c>
      <c r="AC506">
        <v>0</v>
      </c>
      <c r="AD506">
        <v>0</v>
      </c>
      <c r="AE506">
        <v>0</v>
      </c>
      <c r="AF506">
        <v>0</v>
      </c>
      <c r="AG506">
        <v>0</v>
      </c>
      <c r="AH506">
        <v>0</v>
      </c>
      <c r="AI506">
        <v>0</v>
      </c>
      <c r="AJ506">
        <v>0</v>
      </c>
      <c r="AK506">
        <v>0</v>
      </c>
      <c r="AL506">
        <v>0</v>
      </c>
      <c r="AM506">
        <v>0</v>
      </c>
      <c r="AN506">
        <v>0</v>
      </c>
      <c r="AO506">
        <v>0</v>
      </c>
      <c r="AP506">
        <v>0</v>
      </c>
      <c r="AQ506">
        <v>0</v>
      </c>
      <c r="AR506">
        <v>0</v>
      </c>
      <c r="AS506">
        <v>0</v>
      </c>
      <c r="AT506">
        <v>0</v>
      </c>
      <c r="AU506">
        <v>0</v>
      </c>
      <c r="AV506">
        <v>0</v>
      </c>
      <c r="AW506">
        <v>0</v>
      </c>
      <c r="AX506" s="141">
        <f>COUNTIF(V506:AW506,"&lt;&gt;0")</f>
        <v>1</v>
      </c>
      <c r="AY506" s="141">
        <f>COUNTIF(V506:AL506,"&lt;&gt;0")</f>
        <v>1</v>
      </c>
      <c r="AZ506">
        <f>COUNTIF(V506:AC506,"&lt;&gt;0")</f>
        <v>1</v>
      </c>
      <c r="BA506">
        <f>COUNTIF(AD506:AI506,"&lt;&gt;0")</f>
        <v>0</v>
      </c>
      <c r="BB506">
        <f>COUNTIF(AJ506:AL506,"&lt;&gt;0")</f>
        <v>0</v>
      </c>
      <c r="BC506">
        <f>COUNTIF(AS506:AW506,"&lt;&gt;0")</f>
        <v>0</v>
      </c>
      <c r="BD506">
        <f>COUNTIF(AM506:AR506,"&lt;&gt;0")</f>
        <v>0</v>
      </c>
      <c r="BE506" t="str">
        <f t="array" ref="BE506">IF(AY506=1,INDEX($V$7:$AL$7,MATCH(TRUE,INDEX($V506:$AW506&lt;&gt;0,),0)),IF(AY506=0,INDEX($AM$7:$AW$7,MATCH(1,$AM506:$AW506,0)),IF(BF506="Multiple strategies","mixed drivers",IF(BF506="Supply chain","multiple supply","multiple silviculture"))))</f>
        <v xml:space="preserve">cutting intensity </v>
      </c>
      <c r="BF506" s="2" t="str" cm="1">
        <f t="array" ref="BF506">IF(COUNTIF(AZ506:BB506,"&lt;&gt;0")=1,INDEX($V$4:$AW$4,MATCH(TRUE,INDEX($V506:$AW506&lt;&gt;0,),0)),IF(COUNTIF(AZ506:BB506,"&lt;&gt;0")=0,INDEX($AM$4:$AW$4,MATCH(1,$AM506:$AW506,0)),"Multiple strategies"))</f>
        <v>SilvicultureRemov</v>
      </c>
      <c r="BG506" s="1" t="s">
        <v>322</v>
      </c>
      <c r="BH506" t="s">
        <v>2501</v>
      </c>
      <c r="BI506" s="266" t="s">
        <v>2115</v>
      </c>
      <c r="BJ506" t="s">
        <v>2502</v>
      </c>
      <c r="BK506">
        <v>64.910485933503793</v>
      </c>
      <c r="BL506">
        <v>71.585677749360599</v>
      </c>
      <c r="BM506" s="143">
        <f>BL506/BK506</f>
        <v>1.1028368794326247</v>
      </c>
      <c r="BN506">
        <f>BL506-BK506</f>
        <v>6.675191815856806</v>
      </c>
      <c r="BO506">
        <f>BN506*1000*t_to_m3</f>
        <v>13622.840440524094</v>
      </c>
      <c r="BP506" t="s">
        <v>233</v>
      </c>
      <c r="BQ506" s="143" t="s">
        <v>3258</v>
      </c>
      <c r="BR506" t="s">
        <v>1197</v>
      </c>
      <c r="BS506">
        <v>10626.584664536607</v>
      </c>
      <c r="BT506">
        <v>10626.584664536607</v>
      </c>
      <c r="BU506" s="144">
        <f>IFERROR(BT506/BS506,"")</f>
        <v>1</v>
      </c>
      <c r="BV506" s="144">
        <f>BT506-BS506</f>
        <v>0</v>
      </c>
      <c r="BW506" s="144"/>
      <c r="BX506" s="144">
        <f>BV506</f>
        <v>0</v>
      </c>
      <c r="BY506">
        <f>IFERROR(BX506/BO506,"")</f>
        <v>0</v>
      </c>
      <c r="BZ506">
        <v>0</v>
      </c>
      <c r="CA506">
        <v>0</v>
      </c>
      <c r="CB506">
        <v>0</v>
      </c>
      <c r="CC506">
        <v>0</v>
      </c>
      <c r="CD506">
        <v>0</v>
      </c>
      <c r="CE506">
        <v>0</v>
      </c>
      <c r="CF506">
        <v>0</v>
      </c>
      <c r="CG506">
        <v>0</v>
      </c>
      <c r="CH506">
        <v>0</v>
      </c>
      <c r="CI506">
        <v>0</v>
      </c>
      <c r="CJ506">
        <v>0</v>
      </c>
      <c r="CK506">
        <v>0</v>
      </c>
      <c r="CL506">
        <v>0</v>
      </c>
      <c r="CM506">
        <v>1</v>
      </c>
      <c r="CN506" t="str">
        <f>IF($BL506&lt;$BK506,"refNeedCorrection","refOK")</f>
        <v>refOK</v>
      </c>
      <c r="CO506">
        <f>IF($CN506="refOK",$BK506,$BL506)</f>
        <v>64.910485933503793</v>
      </c>
      <c r="CP506">
        <f>IF($CN506="refOK",$BL506,$BK506)</f>
        <v>71.585677749360599</v>
      </c>
      <c r="CQ506">
        <f>IF($CN506="refOK",$BO506,-$BO506)</f>
        <v>13622.840440524094</v>
      </c>
      <c r="CR506">
        <f>IF($CN506="refOK",$BS506,$BT506)*IF($BP506="Emissions positive",-1,1)</f>
        <v>10626.584664536607</v>
      </c>
      <c r="CS506">
        <f>IF($CN506="refOK",$BT506,$BS506)*IF($BP506="Emissions positive",-1,1)</f>
        <v>10626.584664536607</v>
      </c>
      <c r="CT506">
        <f>IF($CN506="refNeedCorrection",-BX506,BX506)*IF($BP506="Emissions positive",-1,1)</f>
        <v>0</v>
      </c>
      <c r="CU506">
        <f>IFERROR(CT506/CQ506,"")</f>
        <v>0</v>
      </c>
      <c r="CV506" s="2">
        <f>IFERROR((CS506-CR506)/ABS(CR506),"")</f>
        <v>0</v>
      </c>
      <c r="CW506" s="1" t="s">
        <v>1201</v>
      </c>
      <c r="CX506" t="str">
        <f>IF(OR($CW506="prd",$CW506="std",$CW506="cit"),"loc",IF(OR($CW506="eur",$CW506="reg",$CW506="coy"),"reg",$CW506))</f>
        <v>reg</v>
      </c>
      <c r="CY506" t="s">
        <v>236</v>
      </c>
      <c r="CZ506">
        <v>2010</v>
      </c>
      <c r="DA506">
        <v>2070</v>
      </c>
      <c r="DB506">
        <f>DA506-CZ506</f>
        <v>60</v>
      </c>
      <c r="DC506" t="str">
        <f>IF(DB506=0,"0",IF(AND(DB506&gt;=1,DB506&lt;=30),"1-30",IF(AND(DB506&gt;30,DB506&lt;=70),"31-70",IF(AND(DB506&gt;70,DB506&lt;=100),"71-100",IF(DB506&gt;100,"+100")))))</f>
        <v>31-70</v>
      </c>
      <c r="DD506">
        <v>1</v>
      </c>
      <c r="DE506">
        <v>1</v>
      </c>
      <c r="DF506">
        <v>1</v>
      </c>
      <c r="DG506">
        <v>1</v>
      </c>
      <c r="DH506">
        <v>0</v>
      </c>
      <c r="DI506">
        <f>SUM(DD506:DG506)</f>
        <v>4</v>
      </c>
      <c r="DJ506" t="str">
        <f>IF(DI506=1,INDEX($DD$7:$DG$7,MATCH(1,$DD506:$DG506,0)),"mixedProduct")</f>
        <v>mixedProduct</v>
      </c>
      <c r="DK506" t="str">
        <f>IF(DD506=1,DK$7,0)</f>
        <v>Upstream</v>
      </c>
      <c r="DL506" t="str">
        <f>IF(DE506=1,DL$7,0)</f>
        <v>Energy</v>
      </c>
      <c r="DM506" t="str">
        <f>IF(DF506=1,DM$7,0)</f>
        <v>Pulp/Paper</v>
      </c>
      <c r="DN506" t="str">
        <f>IF(DG506=1,DN$7,0)</f>
        <v>Timber</v>
      </c>
      <c r="DO506">
        <v>0</v>
      </c>
      <c r="DP506">
        <v>0</v>
      </c>
      <c r="DQ506">
        <v>0</v>
      </c>
      <c r="DR506">
        <v>0</v>
      </c>
      <c r="DS506">
        <v>0</v>
      </c>
      <c r="DT506">
        <f>SUM(DO506:DP506)</f>
        <v>0</v>
      </c>
      <c r="DU506" s="143" t="str">
        <f>IF(DO506=1,"self-calculated DF",IF(DP506=1,"external DF used","explicit C balance"))</f>
        <v>explicit C balance</v>
      </c>
      <c r="DV506">
        <v>1</v>
      </c>
      <c r="DW506">
        <v>1</v>
      </c>
      <c r="DX506">
        <v>1</v>
      </c>
      <c r="DY506">
        <v>0</v>
      </c>
      <c r="DZ506">
        <v>0</v>
      </c>
      <c r="EA506" s="143">
        <v>0</v>
      </c>
      <c r="EB506">
        <v>1</v>
      </c>
      <c r="EC506">
        <v>1</v>
      </c>
      <c r="ED506">
        <v>0</v>
      </c>
      <c r="EE506">
        <v>0</v>
      </c>
      <c r="EF506">
        <v>1</v>
      </c>
      <c r="EG506">
        <v>0</v>
      </c>
      <c r="EH506">
        <v>0</v>
      </c>
      <c r="EI506" s="2">
        <v>0</v>
      </c>
      <c r="EK506" t="str">
        <f>IF(AND(AND(AND(OR($DX506=1,$DW506=1),OR($EC506=1,$EA506=1)),SUM($DV506:$DZ506,$EF506)&gt;=4),SUM($EA506:$EE506)&gt;=2),"Whole sector","")</f>
        <v>Whole sector</v>
      </c>
      <c r="EL506" t="str">
        <f>IF(AND(AND(OR($DX506=1,$DW506=1),AND($EC506=0,$EA506=0)),SUM($DV506:$DZ506,$EF506)&gt;=4),"Ecosystem approach","")</f>
        <v/>
      </c>
      <c r="EM506" s="2" t="str">
        <f>IF(AND(AND(AND($DX506=0,$DW506=0),OR($EC506=1,$EA506=1)),SUM($EB506:$EE506)&gt;=2),"Technology approach","")</f>
        <v/>
      </c>
      <c r="EP506" t="str">
        <f>IF(ISNUMBER(BU506),IF(ABS(BU506-[2]QC_indicators!$B$2)&gt;3*[2]QC_indicators!$C$2,"C ratio",IF(ISNUMBER(BY506),IF(ABS(BY506-[2]QC_indicators!$B$1)&gt;3*[2]QC_indicators!$C$1,"DF","no"))),IF(ISNUMBER(BY506),IF(ABS(BY506-[2]QC_indicators!$B$1)&gt;3*[2]QC_indicators!$C$1,"DF","no")))</f>
        <v>no</v>
      </c>
      <c r="ET506" s="266" t="s">
        <v>3260</v>
      </c>
    </row>
    <row r="507" spans="1:150" ht="15" customHeight="1">
      <c r="A507" s="1" t="s">
        <v>1288</v>
      </c>
      <c r="B507" t="s">
        <v>1338</v>
      </c>
      <c r="C507" t="s">
        <v>1339</v>
      </c>
      <c r="D507" t="s">
        <v>1340</v>
      </c>
      <c r="E507" t="s">
        <v>1341</v>
      </c>
      <c r="F507" t="s">
        <v>1342</v>
      </c>
      <c r="G507" t="s">
        <v>1294</v>
      </c>
      <c r="H507" t="s">
        <v>255</v>
      </c>
      <c r="I507">
        <v>2016</v>
      </c>
      <c r="J507">
        <v>27</v>
      </c>
      <c r="K507" t="s">
        <v>1343</v>
      </c>
      <c r="M507" t="str">
        <f>LEFT($D507,FIND(",",$D507)-1)&amp;"_"&amp;I507&amp;L507</f>
        <v>Braun_2016</v>
      </c>
      <c r="N507" t="s">
        <v>223</v>
      </c>
      <c r="O507" s="145" t="s">
        <v>224</v>
      </c>
      <c r="Q507" t="s">
        <v>257</v>
      </c>
      <c r="R507" s="255" t="s">
        <v>226</v>
      </c>
      <c r="S507" s="1" t="s">
        <v>1344</v>
      </c>
      <c r="T507" t="s">
        <v>1345</v>
      </c>
      <c r="U507" t="s">
        <v>1045</v>
      </c>
      <c r="V507">
        <v>1</v>
      </c>
      <c r="W507">
        <v>0</v>
      </c>
      <c r="X507">
        <v>0</v>
      </c>
      <c r="Y507">
        <v>0</v>
      </c>
      <c r="Z507">
        <v>0</v>
      </c>
      <c r="AA507">
        <v>0</v>
      </c>
      <c r="AB507">
        <v>0</v>
      </c>
      <c r="AC507">
        <v>0</v>
      </c>
      <c r="AD507">
        <v>0</v>
      </c>
      <c r="AE507">
        <v>0</v>
      </c>
      <c r="AF507">
        <v>0</v>
      </c>
      <c r="AG507">
        <v>0</v>
      </c>
      <c r="AH507">
        <v>0</v>
      </c>
      <c r="AI507">
        <v>0</v>
      </c>
      <c r="AJ507">
        <v>0</v>
      </c>
      <c r="AK507">
        <v>0</v>
      </c>
      <c r="AL507">
        <v>0</v>
      </c>
      <c r="AM507">
        <v>0</v>
      </c>
      <c r="AN507">
        <v>0</v>
      </c>
      <c r="AO507">
        <v>0</v>
      </c>
      <c r="AP507">
        <v>0</v>
      </c>
      <c r="AQ507">
        <v>0</v>
      </c>
      <c r="AR507">
        <v>0</v>
      </c>
      <c r="AS507">
        <v>0</v>
      </c>
      <c r="AT507">
        <v>0</v>
      </c>
      <c r="AU507">
        <v>0</v>
      </c>
      <c r="AV507">
        <v>0</v>
      </c>
      <c r="AW507">
        <v>0</v>
      </c>
      <c r="AX507" s="141">
        <f>COUNTIF(V507:AW507,"&lt;&gt;0")</f>
        <v>1</v>
      </c>
      <c r="AY507" s="141">
        <f>COUNTIF(V507:AL507,"&lt;&gt;0")</f>
        <v>1</v>
      </c>
      <c r="AZ507">
        <f>COUNTIF(V507:AC507,"&lt;&gt;0")</f>
        <v>1</v>
      </c>
      <c r="BA507">
        <f>COUNTIF(AD507:AI507,"&lt;&gt;0")</f>
        <v>0</v>
      </c>
      <c r="BB507">
        <f>COUNTIF(AJ507:AL507,"&lt;&gt;0")</f>
        <v>0</v>
      </c>
      <c r="BC507">
        <f>COUNTIF(AS507:AW507,"&lt;&gt;0")</f>
        <v>0</v>
      </c>
      <c r="BD507">
        <f>COUNTIF(AM507:AR507,"&lt;&gt;0")</f>
        <v>0</v>
      </c>
      <c r="BE507" t="str">
        <f t="array" ref="BE507">IF(AY507=1,INDEX($V$7:$AL$7,MATCH(TRUE,INDEX($V507:$AW507&lt;&gt;0,),0)),IF(AY507=0,INDEX($AM$7:$AW$7,MATCH(1,$AM507:$AW507,0)),IF(BF507="Multiple strategies","mixed drivers",IF(BF507="Supply chain","multiple supply","multiple silviculture"))))</f>
        <v>area subject to harvest</v>
      </c>
      <c r="BF507" s="2" t="str" cm="1">
        <f t="array" ref="BF507">IF(COUNTIF(AZ507:BB507,"&lt;&gt;0")=1,INDEX($V$4:$AW$4,MATCH(TRUE,INDEX($V507:$AW507&lt;&gt;0,),0)),IF(COUNTIF(AZ507:BB507,"&lt;&gt;0")=0,INDEX($AM$4:$AW$4,MATCH(1,$AM507:$AW507,0)),"Multiple strategies"))</f>
        <v>SilvicultureRemov</v>
      </c>
      <c r="BG507" s="1" t="s">
        <v>230</v>
      </c>
      <c r="BH507" t="s">
        <v>1346</v>
      </c>
      <c r="BI507" s="260" t="s">
        <v>3279</v>
      </c>
      <c r="BJ507" t="s">
        <v>1347</v>
      </c>
      <c r="BK507">
        <v>1.1674521913429727</v>
      </c>
      <c r="BL507">
        <v>1.8051407849829213</v>
      </c>
      <c r="BM507">
        <f>BL507/BK507</f>
        <v>1.5462224477958166</v>
      </c>
      <c r="BN507">
        <f>BL507-BK507</f>
        <v>0.63768859363994856</v>
      </c>
      <c r="BO507">
        <f>BN507*10^9</f>
        <v>637688593.63994861</v>
      </c>
      <c r="BP507" t="s">
        <v>233</v>
      </c>
      <c r="BQ507" s="260" t="s">
        <v>3283</v>
      </c>
      <c r="BR507" t="s">
        <v>1348</v>
      </c>
      <c r="BS507" s="266">
        <v>1.2013651877133071</v>
      </c>
      <c r="BT507" s="266">
        <v>0.25938566552901032</v>
      </c>
      <c r="BU507" s="144">
        <f>IFERROR(BT507/BS507,"")</f>
        <v>0.21590909090909161</v>
      </c>
      <c r="BV507">
        <f>BT507-BS507</f>
        <v>-0.94197952218429681</v>
      </c>
      <c r="BX507">
        <f>BV507*10^9</f>
        <v>-941979522.18429685</v>
      </c>
      <c r="BY507">
        <f>IFERROR(BX507/BO507,"")</f>
        <v>-1.4771779385412009</v>
      </c>
      <c r="BZ507" s="143">
        <v>0</v>
      </c>
      <c r="CA507" s="143">
        <v>0</v>
      </c>
      <c r="CB507" s="143">
        <v>0</v>
      </c>
      <c r="CC507" s="143">
        <v>0</v>
      </c>
      <c r="CD507" s="143">
        <v>0</v>
      </c>
      <c r="CE507" s="143">
        <v>0</v>
      </c>
      <c r="CF507" s="143">
        <v>0</v>
      </c>
      <c r="CG507" s="143">
        <v>0</v>
      </c>
      <c r="CH507" s="143">
        <v>0</v>
      </c>
      <c r="CI507" s="143">
        <v>0</v>
      </c>
      <c r="CJ507" s="143">
        <v>0</v>
      </c>
      <c r="CK507" s="143">
        <v>0</v>
      </c>
      <c r="CL507" s="143">
        <v>0</v>
      </c>
      <c r="CM507">
        <v>0</v>
      </c>
      <c r="CN507" t="str">
        <f>IF($BL507&lt;$BK507,"refNeedCorrection","refOK")</f>
        <v>refOK</v>
      </c>
      <c r="CO507">
        <f>IF($CN507="refOK",$BK507,$BL507)</f>
        <v>1.1674521913429727</v>
      </c>
      <c r="CP507">
        <f>IF($CN507="refOK",$BL507,$BK507)</f>
        <v>1.8051407849829213</v>
      </c>
      <c r="CQ507">
        <f>IF($CN507="refOK",$BO507,-$BO507)</f>
        <v>637688593.63994861</v>
      </c>
      <c r="CR507">
        <f>IF($CN507="refOK",$BS507,$BT507)*IF($BP507="Emissions positive",-1,1)</f>
        <v>1.2013651877133071</v>
      </c>
      <c r="CS507">
        <f>IF($CN507="refOK",$BT507,$BS507)*IF($BP507="Emissions positive",-1,1)</f>
        <v>0.25938566552901032</v>
      </c>
      <c r="CT507">
        <f>IF($CN507="refNeedCorrection",-BX507,BX507)*IF($BP507="Emissions positive",-1,1)</f>
        <v>-941979522.18429685</v>
      </c>
      <c r="CU507">
        <f>IFERROR(CT507/CQ507,"")</f>
        <v>-1.4771779385412009</v>
      </c>
      <c r="CV507" s="2">
        <f>IFERROR((CS507-CR507)/ABS(CR507),"")</f>
        <v>-0.78409090909090839</v>
      </c>
      <c r="CW507" s="1" t="s">
        <v>1205</v>
      </c>
      <c r="CX507" t="str">
        <f>IF(OR($CW507="prd",$CW507="std",$CW507="cit"),"loc",IF(OR($CW507="eur",$CW507="reg",$CW507="coy"),"reg",$CW507))</f>
        <v>reg</v>
      </c>
      <c r="CY507" t="s">
        <v>668</v>
      </c>
      <c r="CZ507">
        <v>2010</v>
      </c>
      <c r="DA507">
        <v>2100</v>
      </c>
      <c r="DB507">
        <f>DA507-CZ507</f>
        <v>90</v>
      </c>
      <c r="DC507" t="str">
        <f>IF(DB507=0,"0",IF(AND(DB507&gt;=1,DB507&lt;=30),"1-30",IF(AND(DB507&gt;30,DB507&lt;=70),"31-70",IF(AND(DB507&gt;70,DB507&lt;=100),"71-100",IF(DB507&gt;100,"+100")))))</f>
        <v>71-100</v>
      </c>
      <c r="DD507">
        <v>0</v>
      </c>
      <c r="DE507">
        <v>1</v>
      </c>
      <c r="DF507">
        <v>1</v>
      </c>
      <c r="DG507">
        <v>1</v>
      </c>
      <c r="DI507">
        <f>SUM(DD507:DG507)</f>
        <v>3</v>
      </c>
      <c r="DJ507" t="str">
        <f>IF(DI507=1,INDEX($DD$7:$DG$7,MATCH(1,$DD507:$DG507,0)),"mixedProduct")</f>
        <v>mixedProduct</v>
      </c>
      <c r="DK507">
        <f>IF(DD507=1,DK$7,0)</f>
        <v>0</v>
      </c>
      <c r="DL507" t="str">
        <f>IF(DE507=1,DL$7,0)</f>
        <v>Energy</v>
      </c>
      <c r="DM507" t="str">
        <f>IF(DF507=1,DM$7,0)</f>
        <v>Pulp/Paper</v>
      </c>
      <c r="DN507" t="str">
        <f>IF(DG507=1,DN$7,0)</f>
        <v>Timber</v>
      </c>
      <c r="DO507">
        <v>1</v>
      </c>
      <c r="DP507" s="143">
        <v>0</v>
      </c>
      <c r="DQ507" s="143">
        <v>0</v>
      </c>
      <c r="DR507" s="143">
        <v>0</v>
      </c>
      <c r="DS507">
        <v>0</v>
      </c>
      <c r="DT507">
        <f>SUM(DO507:DP507)</f>
        <v>1</v>
      </c>
      <c r="DU507" s="143" t="str">
        <f>IF(DO507=1,"self-calculated DF",IF(DP507=1,"external DF used","explicit C balance"))</f>
        <v>self-calculated DF</v>
      </c>
      <c r="DV507">
        <v>1</v>
      </c>
      <c r="DW507" s="143">
        <v>1</v>
      </c>
      <c r="DX507" s="143">
        <v>1</v>
      </c>
      <c r="DY507" s="143">
        <v>1</v>
      </c>
      <c r="DZ507">
        <v>1</v>
      </c>
      <c r="EA507" s="141">
        <v>0</v>
      </c>
      <c r="EB507">
        <v>0</v>
      </c>
      <c r="EC507" s="143">
        <v>0</v>
      </c>
      <c r="ED507" s="143">
        <v>0</v>
      </c>
      <c r="EE507">
        <v>0</v>
      </c>
      <c r="EF507">
        <v>1</v>
      </c>
      <c r="EG507" s="143">
        <v>0</v>
      </c>
      <c r="EH507" s="143">
        <v>0</v>
      </c>
      <c r="EI507" s="2">
        <v>0</v>
      </c>
      <c r="EK507" t="str">
        <f>IF(AND(AND(AND(OR($DX507=1,$DW507=1),OR($EC507=1,$EA507=1)),SUM($DV507:$DZ507,$EF507)&gt;=4),SUM($EA507:$EE507)&gt;=2),"Whole sector","")</f>
        <v/>
      </c>
      <c r="EL507" t="str">
        <f>IF(AND(AND(OR($DX507=1,$DW507=1),AND($EC507=0,$EA507=0)),SUM($DV507:$DZ507,$EF507)&gt;=4),"Ecosystem approach","")</f>
        <v>Ecosystem approach</v>
      </c>
      <c r="EM507" s="2" t="str">
        <f>IF(AND(AND(AND($DX507=0,$DW507=0),OR($EC507=1,$EA507=1)),SUM($EB507:$EE507)&gt;=2),"Technology approach","")</f>
        <v/>
      </c>
      <c r="EN507" s="266" t="s">
        <v>3281</v>
      </c>
      <c r="EP507" t="str">
        <f>IF(ISNUMBER(BU507),IF(ABS(BU507-[4]QC_indicators!$B$2)&gt;3*[4]QC_indicators!$C$2,"C ratio",IF(ISNUMBER(BY507),IF(ABS(BY507-[4]QC_indicators!$B$1)&gt;3*[4]QC_indicators!$C$1,"DF","no"))),IF(ISNUMBER(BY507),IF(ABS(BY507-[4]QC_indicators!$B$1)&gt;3*[4]QC_indicators!$C$1,"DF","no")))</f>
        <v>no</v>
      </c>
      <c r="EQ507" t="s">
        <v>1349</v>
      </c>
      <c r="ET507" s="266" t="s">
        <v>3275</v>
      </c>
    </row>
    <row r="508" spans="1:150" ht="15" customHeight="1">
      <c r="A508" s="1" t="s">
        <v>1288</v>
      </c>
      <c r="B508" t="s">
        <v>1338</v>
      </c>
      <c r="C508" t="s">
        <v>1339</v>
      </c>
      <c r="D508" t="s">
        <v>1340</v>
      </c>
      <c r="E508" t="s">
        <v>1341</v>
      </c>
      <c r="F508" t="s">
        <v>1342</v>
      </c>
      <c r="G508" t="s">
        <v>1294</v>
      </c>
      <c r="H508" t="s">
        <v>255</v>
      </c>
      <c r="I508">
        <v>2016</v>
      </c>
      <c r="J508">
        <v>27</v>
      </c>
      <c r="K508" t="s">
        <v>1343</v>
      </c>
      <c r="M508" t="str">
        <f>LEFT($D508,FIND(",",$D508)-1)&amp;"_"&amp;I508&amp;L508</f>
        <v>Braun_2016</v>
      </c>
      <c r="N508" t="s">
        <v>223</v>
      </c>
      <c r="O508" s="145" t="s">
        <v>224</v>
      </c>
      <c r="Q508" t="s">
        <v>257</v>
      </c>
      <c r="R508" s="255" t="s">
        <v>226</v>
      </c>
      <c r="S508" s="1" t="s">
        <v>1344</v>
      </c>
      <c r="T508" t="s">
        <v>1345</v>
      </c>
      <c r="U508" t="s">
        <v>1045</v>
      </c>
      <c r="V508">
        <v>1</v>
      </c>
      <c r="W508">
        <v>0</v>
      </c>
      <c r="X508">
        <v>0</v>
      </c>
      <c r="Y508">
        <v>0</v>
      </c>
      <c r="Z508">
        <v>0</v>
      </c>
      <c r="AA508">
        <v>0</v>
      </c>
      <c r="AB508">
        <v>0</v>
      </c>
      <c r="AC508">
        <v>0</v>
      </c>
      <c r="AD508">
        <v>0</v>
      </c>
      <c r="AE508">
        <v>0</v>
      </c>
      <c r="AF508">
        <v>0</v>
      </c>
      <c r="AG508">
        <v>0</v>
      </c>
      <c r="AH508">
        <v>0</v>
      </c>
      <c r="AI508">
        <v>0</v>
      </c>
      <c r="AJ508">
        <v>0</v>
      </c>
      <c r="AK508">
        <v>0</v>
      </c>
      <c r="AL508">
        <v>0</v>
      </c>
      <c r="AM508">
        <v>0</v>
      </c>
      <c r="AN508">
        <v>0</v>
      </c>
      <c r="AO508">
        <v>0</v>
      </c>
      <c r="AP508">
        <v>0</v>
      </c>
      <c r="AQ508">
        <v>0</v>
      </c>
      <c r="AR508">
        <v>0</v>
      </c>
      <c r="AS508">
        <v>0</v>
      </c>
      <c r="AT508">
        <v>0</v>
      </c>
      <c r="AU508">
        <v>0</v>
      </c>
      <c r="AV508">
        <v>0</v>
      </c>
      <c r="AW508">
        <v>0</v>
      </c>
      <c r="AX508" s="141">
        <f>COUNTIF(V508:AW508,"&lt;&gt;0")</f>
        <v>1</v>
      </c>
      <c r="AY508" s="141">
        <f>COUNTIF(V508:AL508,"&lt;&gt;0")</f>
        <v>1</v>
      </c>
      <c r="AZ508">
        <f>COUNTIF(V508:AC508,"&lt;&gt;0")</f>
        <v>1</v>
      </c>
      <c r="BA508">
        <f>COUNTIF(AD508:AI508,"&lt;&gt;0")</f>
        <v>0</v>
      </c>
      <c r="BB508">
        <f>COUNTIF(AJ508:AL508,"&lt;&gt;0")</f>
        <v>0</v>
      </c>
      <c r="BC508">
        <f>COUNTIF(AS508:AW508,"&lt;&gt;0")</f>
        <v>0</v>
      </c>
      <c r="BD508">
        <f>COUNTIF(AM508:AR508,"&lt;&gt;0")</f>
        <v>0</v>
      </c>
      <c r="BE508" t="str">
        <f t="array" ref="BE508">IF(AY508=1,INDEX($V$7:$AL$7,MATCH(TRUE,INDEX($V508:$AW508&lt;&gt;0,),0)),IF(AY508=0,INDEX($AM$7:$AW$7,MATCH(1,$AM508:$AW508,0)),IF(BF508="Multiple strategies","mixed drivers",IF(BF508="Supply chain","multiple supply","multiple silviculture"))))</f>
        <v>area subject to harvest</v>
      </c>
      <c r="BF508" s="2" t="str" cm="1">
        <f t="array" ref="BF508">IF(COUNTIF(AZ508:BB508,"&lt;&gt;0")=1,INDEX($V$4:$AW$4,MATCH(TRUE,INDEX($V508:$AW508&lt;&gt;0,),0)),IF(COUNTIF(AZ508:BB508,"&lt;&gt;0")=0,INDEX($AM$4:$AW$4,MATCH(1,$AM508:$AW508,0)),"Multiple strategies"))</f>
        <v>SilvicultureRemov</v>
      </c>
      <c r="BG508" s="1" t="s">
        <v>230</v>
      </c>
      <c r="BH508" t="s">
        <v>1346</v>
      </c>
      <c r="BI508" s="260" t="s">
        <v>3279</v>
      </c>
      <c r="BJ508" t="s">
        <v>1347</v>
      </c>
      <c r="BK508">
        <v>1.1674521913429727</v>
      </c>
      <c r="BL508">
        <v>1.8051407849829213</v>
      </c>
      <c r="BM508">
        <f>BL508/BK508</f>
        <v>1.5462224477958166</v>
      </c>
      <c r="BN508">
        <f>BL508-BK508</f>
        <v>0.63768859363994856</v>
      </c>
      <c r="BO508">
        <f>BN508*10^9</f>
        <v>637688593.63994861</v>
      </c>
      <c r="BP508" t="s">
        <v>233</v>
      </c>
      <c r="BQ508" s="260" t="s">
        <v>3282</v>
      </c>
      <c r="BR508" t="s">
        <v>1348</v>
      </c>
      <c r="BS508" s="266">
        <v>1.0255972696245701</v>
      </c>
      <c r="BT508" s="266">
        <v>2.21843003412973E-2</v>
      </c>
      <c r="BU508" s="144">
        <f>IFERROR(BT508/BS508,"")</f>
        <v>2.1630615640599433E-2</v>
      </c>
      <c r="BV508">
        <f>BT508-BS508</f>
        <v>-1.0034129692832727</v>
      </c>
      <c r="BX508">
        <f>BV508*10^9</f>
        <v>-1003412969.2832727</v>
      </c>
      <c r="BY508">
        <f>IFERROR(BX508/BO508,"")</f>
        <v>-1.5735156301851922</v>
      </c>
      <c r="BZ508" s="143">
        <v>0</v>
      </c>
      <c r="CA508" s="143">
        <v>0</v>
      </c>
      <c r="CB508" s="143">
        <v>0</v>
      </c>
      <c r="CC508" s="143">
        <v>0</v>
      </c>
      <c r="CD508" s="143">
        <v>0</v>
      </c>
      <c r="CE508" s="143">
        <v>0</v>
      </c>
      <c r="CF508" s="143">
        <v>0</v>
      </c>
      <c r="CG508" s="143">
        <v>0</v>
      </c>
      <c r="CH508" s="143">
        <v>0</v>
      </c>
      <c r="CI508" s="143">
        <v>0</v>
      </c>
      <c r="CJ508" s="143">
        <v>0</v>
      </c>
      <c r="CK508" s="143">
        <v>0</v>
      </c>
      <c r="CL508" s="143">
        <v>0</v>
      </c>
      <c r="CM508">
        <v>0</v>
      </c>
      <c r="CN508" t="str">
        <f>IF($BL508&lt;$BK508,"refNeedCorrection","refOK")</f>
        <v>refOK</v>
      </c>
      <c r="CO508">
        <f>IF($CN508="refOK",$BK508,$BL508)</f>
        <v>1.1674521913429727</v>
      </c>
      <c r="CP508">
        <f>IF($CN508="refOK",$BL508,$BK508)</f>
        <v>1.8051407849829213</v>
      </c>
      <c r="CQ508">
        <f>IF($CN508="refOK",$BO508,-$BO508)</f>
        <v>637688593.63994861</v>
      </c>
      <c r="CR508">
        <f>IF($CN508="refOK",$BS508,$BT508)*IF($BP508="Emissions positive",-1,1)</f>
        <v>1.0255972696245701</v>
      </c>
      <c r="CS508">
        <f>IF($CN508="refOK",$BT508,$BS508)*IF($BP508="Emissions positive",-1,1)</f>
        <v>2.21843003412973E-2</v>
      </c>
      <c r="CT508">
        <f>IF($CN508="refNeedCorrection",-BX508,BX508)*IF($BP508="Emissions positive",-1,1)</f>
        <v>-1003412969.2832727</v>
      </c>
      <c r="CU508">
        <f>IFERROR(CT508/CQ508,"")</f>
        <v>-1.5735156301851922</v>
      </c>
      <c r="CV508" s="2">
        <f>IFERROR((CS508-CR508)/ABS(CR508),"")</f>
        <v>-0.97836938435940046</v>
      </c>
      <c r="CW508" s="1" t="s">
        <v>1205</v>
      </c>
      <c r="CX508" t="str">
        <f>IF(OR($CW508="prd",$CW508="std",$CW508="cit"),"loc",IF(OR($CW508="eur",$CW508="reg",$CW508="coy"),"reg",$CW508))</f>
        <v>reg</v>
      </c>
      <c r="CY508" t="s">
        <v>668</v>
      </c>
      <c r="CZ508">
        <v>2010</v>
      </c>
      <c r="DA508">
        <v>2100</v>
      </c>
      <c r="DB508">
        <f>DA508-CZ508</f>
        <v>90</v>
      </c>
      <c r="DC508" t="str">
        <f>IF(DB508=0,"0",IF(AND(DB508&gt;=1,DB508&lt;=30),"1-30",IF(AND(DB508&gt;30,DB508&lt;=70),"31-70",IF(AND(DB508&gt;70,DB508&lt;=100),"71-100",IF(DB508&gt;100,"+100")))))</f>
        <v>71-100</v>
      </c>
      <c r="DD508">
        <v>0</v>
      </c>
      <c r="DE508">
        <v>1</v>
      </c>
      <c r="DF508">
        <v>1</v>
      </c>
      <c r="DG508">
        <v>1</v>
      </c>
      <c r="DI508">
        <f>SUM(DD508:DG508)</f>
        <v>3</v>
      </c>
      <c r="DJ508" t="str">
        <f>IF(DI508=1,INDEX($DD$7:$DG$7,MATCH(1,$DD508:$DG508,0)),"mixedProduct")</f>
        <v>mixedProduct</v>
      </c>
      <c r="DK508">
        <f>IF(DD508=1,DK$7,0)</f>
        <v>0</v>
      </c>
      <c r="DL508" t="str">
        <f>IF(DE508=1,DL$7,0)</f>
        <v>Energy</v>
      </c>
      <c r="DM508" t="str">
        <f>IF(DF508=1,DM$7,0)</f>
        <v>Pulp/Paper</v>
      </c>
      <c r="DN508" t="str">
        <f>IF(DG508=1,DN$7,0)</f>
        <v>Timber</v>
      </c>
      <c r="DO508">
        <v>1</v>
      </c>
      <c r="DP508" s="143">
        <v>0</v>
      </c>
      <c r="DQ508" s="143">
        <v>0</v>
      </c>
      <c r="DR508" s="143">
        <v>0</v>
      </c>
      <c r="DS508">
        <v>0</v>
      </c>
      <c r="DT508">
        <f>SUM(DO508:DP508)</f>
        <v>1</v>
      </c>
      <c r="DU508" s="143" t="str">
        <f>IF(DO508=1,"self-calculated DF",IF(DP508=1,"external DF used","explicit C balance"))</f>
        <v>self-calculated DF</v>
      </c>
      <c r="DV508">
        <v>1</v>
      </c>
      <c r="DW508" s="143">
        <v>1</v>
      </c>
      <c r="DX508" s="143">
        <v>1</v>
      </c>
      <c r="DY508" s="143">
        <v>0</v>
      </c>
      <c r="DZ508">
        <v>0</v>
      </c>
      <c r="EA508" s="141">
        <v>0</v>
      </c>
      <c r="EB508">
        <v>0</v>
      </c>
      <c r="EC508" s="143">
        <v>0</v>
      </c>
      <c r="ED508" s="143">
        <v>0</v>
      </c>
      <c r="EE508">
        <v>0</v>
      </c>
      <c r="EF508">
        <v>1</v>
      </c>
      <c r="EG508" s="143">
        <v>0</v>
      </c>
      <c r="EH508" s="143">
        <v>0</v>
      </c>
      <c r="EI508" s="2">
        <v>0</v>
      </c>
      <c r="EK508" t="str">
        <f>IF(AND(AND(AND(OR($DX508=1,$DW508=1),OR($EC508=1,$EA508=1)),SUM($DV508:$DZ508,$EF508)&gt;=4),SUM($EA508:$EE508)&gt;=2),"Whole sector","")</f>
        <v/>
      </c>
      <c r="EL508" t="str">
        <f>IF(AND(AND(OR($DX508=1,$DW508=1),AND($EC508=0,$EA508=0)),SUM($DV508:$DZ508,$EF508)&gt;=4),"Ecosystem approach","")</f>
        <v>Ecosystem approach</v>
      </c>
      <c r="EM508" s="2" t="str">
        <f>IF(AND(AND(AND($DX508=0,$DW508=0),OR($EC508=1,$EA508=1)),SUM($EB508:$EE508)&gt;=2),"Technology approach","")</f>
        <v/>
      </c>
      <c r="EN508" s="266" t="s">
        <v>3281</v>
      </c>
      <c r="EP508" t="str">
        <f>IF(ISNUMBER(BU508),IF(ABS(BU508-[4]QC_indicators!$B$2)&gt;3*[4]QC_indicators!$C$2,"C ratio",IF(ISNUMBER(BY508),IF(ABS(BY508-[4]QC_indicators!$B$1)&gt;3*[4]QC_indicators!$C$1,"DF","no"))),IF(ISNUMBER(BY508),IF(ABS(BY508-[4]QC_indicators!$B$1)&gt;3*[4]QC_indicators!$C$1,"DF","no")))</f>
        <v>no</v>
      </c>
      <c r="EQ508" t="s">
        <v>1349</v>
      </c>
      <c r="ET508" s="266" t="s">
        <v>3275</v>
      </c>
    </row>
    <row r="509" spans="1:150" ht="15" customHeight="1">
      <c r="A509" s="1" t="s">
        <v>1425</v>
      </c>
      <c r="B509" t="s">
        <v>2492</v>
      </c>
      <c r="C509" t="s">
        <v>2493</v>
      </c>
      <c r="D509" t="s">
        <v>2494</v>
      </c>
      <c r="E509" t="s">
        <v>2495</v>
      </c>
      <c r="F509" t="s">
        <v>2496</v>
      </c>
      <c r="G509" t="s">
        <v>1431</v>
      </c>
      <c r="H509" t="s">
        <v>255</v>
      </c>
      <c r="I509">
        <v>2016</v>
      </c>
      <c r="J509">
        <v>24</v>
      </c>
      <c r="K509" t="s">
        <v>2497</v>
      </c>
      <c r="M509" t="str">
        <f>LEFT($D509,FIND(",",$D509)-1)&amp;"_"&amp;I509&amp;L509</f>
        <v>Zubizarreta-Gerendiain_2016</v>
      </c>
      <c r="N509" t="s">
        <v>223</v>
      </c>
      <c r="O509" s="145" t="s">
        <v>1156</v>
      </c>
      <c r="Q509" t="s">
        <v>257</v>
      </c>
      <c r="R509" s="264" t="s">
        <v>224</v>
      </c>
      <c r="S509" s="1" t="s">
        <v>2520</v>
      </c>
      <c r="T509" t="s">
        <v>2506</v>
      </c>
      <c r="U509" t="s">
        <v>2522</v>
      </c>
      <c r="V509">
        <v>0</v>
      </c>
      <c r="W509">
        <v>0</v>
      </c>
      <c r="X509">
        <v>0</v>
      </c>
      <c r="Y509">
        <v>0</v>
      </c>
      <c r="Z509">
        <v>0</v>
      </c>
      <c r="AA509">
        <v>0</v>
      </c>
      <c r="AB509">
        <v>0</v>
      </c>
      <c r="AC509">
        <v>0</v>
      </c>
      <c r="AD509">
        <v>0</v>
      </c>
      <c r="AE509">
        <v>0</v>
      </c>
      <c r="AF509">
        <v>1</v>
      </c>
      <c r="AG509">
        <v>0</v>
      </c>
      <c r="AH509">
        <v>0</v>
      </c>
      <c r="AI509">
        <v>0</v>
      </c>
      <c r="AJ509">
        <v>0</v>
      </c>
      <c r="AK509">
        <v>0</v>
      </c>
      <c r="AL509">
        <v>0</v>
      </c>
      <c r="AM509">
        <v>0</v>
      </c>
      <c r="AN509">
        <v>0</v>
      </c>
      <c r="AO509">
        <v>0</v>
      </c>
      <c r="AP509">
        <v>0</v>
      </c>
      <c r="AQ509">
        <v>0</v>
      </c>
      <c r="AR509">
        <v>0</v>
      </c>
      <c r="AS509">
        <v>0</v>
      </c>
      <c r="AT509">
        <v>0</v>
      </c>
      <c r="AU509">
        <v>0</v>
      </c>
      <c r="AV509">
        <v>0</v>
      </c>
      <c r="AW509">
        <v>0</v>
      </c>
      <c r="AX509" s="141">
        <f>COUNTIF(V509:AW509,"&lt;&gt;0")</f>
        <v>1</v>
      </c>
      <c r="AY509" s="141">
        <f>COUNTIF(V509:AL509,"&lt;&gt;0")</f>
        <v>1</v>
      </c>
      <c r="AZ509">
        <f>COUNTIF(V509:AC509,"&lt;&gt;0")</f>
        <v>0</v>
      </c>
      <c r="BA509">
        <f>COUNTIF(AD509:AI509,"&lt;&gt;0")</f>
        <v>1</v>
      </c>
      <c r="BB509">
        <f>COUNTIF(AJ509:AL509,"&lt;&gt;0")</f>
        <v>0</v>
      </c>
      <c r="BC509">
        <f>COUNTIF(AS509:AW509,"&lt;&gt;0")</f>
        <v>0</v>
      </c>
      <c r="BD509">
        <f>COUNTIF(AM509:AR509,"&lt;&gt;0")</f>
        <v>0</v>
      </c>
      <c r="BE509" t="str">
        <f t="array" ref="BE509">IF(AY509=1,INDEX($V$7:$AL$7,MATCH(TRUE,INDEX($V509:$AW509&lt;&gt;0,),0)),IF(AY509=0,INDEX($AM$7:$AW$7,MATCH(1,$AM509:$AW509,0)),IF(BF509="Multiple strategies","mixed drivers",IF(BF509="Supply chain","multiple supply","multiple silviculture"))))</f>
        <v>supply chain organization</v>
      </c>
      <c r="BF509" s="2" t="str" cm="1">
        <f t="array" ref="BF509">IF(COUNTIF(AZ509:BB509,"&lt;&gt;0")=1,INDEX($V$4:$AW$4,MATCH(TRUE,INDEX($V509:$AW509&lt;&gt;0,),0)),IF(COUNTIF(AZ509:BB509,"&lt;&gt;0")=0,INDEX($AM$4:$AW$4,MATCH(1,$AM509:$AW509,0)),"Multiple strategies"))</f>
        <v>Supply chain</v>
      </c>
      <c r="BG509" s="1" t="s">
        <v>322</v>
      </c>
      <c r="BH509" t="s">
        <v>2501</v>
      </c>
      <c r="BI509" s="266" t="s">
        <v>2115</v>
      </c>
      <c r="BJ509" t="s">
        <v>2502</v>
      </c>
      <c r="BK509">
        <v>82.634271099744197</v>
      </c>
      <c r="BL509">
        <v>84.015345268542205</v>
      </c>
      <c r="BM509" s="143">
        <f>BL509/BK509</f>
        <v>1.0167130919220062</v>
      </c>
      <c r="BN509">
        <f>BL509-BK509</f>
        <v>1.3810741687980084</v>
      </c>
      <c r="BO509">
        <f>BN509*1000*t_to_m3</f>
        <v>2818.5187118326703</v>
      </c>
      <c r="BP509" s="143" t="s">
        <v>233</v>
      </c>
      <c r="BQ509" s="143" t="s">
        <v>3258</v>
      </c>
      <c r="BR509" t="s">
        <v>1197</v>
      </c>
      <c r="BS509">
        <v>-22456.178913738113</v>
      </c>
      <c r="BT509">
        <v>-5413.5431309905543</v>
      </c>
      <c r="BU509" s="144">
        <f>IFERROR(BT509/BS509,"")</f>
        <v>0.24107142857143377</v>
      </c>
      <c r="BV509" s="144">
        <f>BT509-BS509</f>
        <v>17042.635782747559</v>
      </c>
      <c r="BW509" s="144"/>
      <c r="BX509" s="144">
        <f>BV509</f>
        <v>17042.635782747559</v>
      </c>
      <c r="BY509">
        <f>IFERROR(BX509/BO509,"")</f>
        <v>6.0466640548453254</v>
      </c>
      <c r="BZ509">
        <v>0</v>
      </c>
      <c r="CA509">
        <v>0</v>
      </c>
      <c r="CB509">
        <v>0</v>
      </c>
      <c r="CC509">
        <v>0</v>
      </c>
      <c r="CD509">
        <v>0</v>
      </c>
      <c r="CE509">
        <v>0</v>
      </c>
      <c r="CF509">
        <v>0</v>
      </c>
      <c r="CG509">
        <v>0</v>
      </c>
      <c r="CH509">
        <v>0</v>
      </c>
      <c r="CI509">
        <v>0</v>
      </c>
      <c r="CJ509">
        <v>0</v>
      </c>
      <c r="CK509">
        <v>0</v>
      </c>
      <c r="CL509">
        <v>0</v>
      </c>
      <c r="CM509">
        <v>1</v>
      </c>
      <c r="CN509" t="str">
        <f>IF($BL509&lt;$BK509,"refNeedCorrection","refOK")</f>
        <v>refOK</v>
      </c>
      <c r="CO509">
        <f>IF($CN509="refOK",$BK509,$BL509)</f>
        <v>82.634271099744197</v>
      </c>
      <c r="CP509">
        <f>IF($CN509="refOK",$BL509,$BK509)</f>
        <v>84.015345268542205</v>
      </c>
      <c r="CQ509">
        <f>IF($CN509="refOK",$BO509,-$BO509)</f>
        <v>2818.5187118326703</v>
      </c>
      <c r="CR509">
        <f>IF($CN509="refOK",$BS509,$BT509)*IF($BP509="Emissions positive",-1,1)</f>
        <v>-22456.178913738113</v>
      </c>
      <c r="CS509">
        <f>IF($CN509="refOK",$BT509,$BS509)*IF($BP509="Emissions positive",-1,1)</f>
        <v>-5413.5431309905543</v>
      </c>
      <c r="CT509">
        <f>IF($CN509="refNeedCorrection",-BX509,BX509)*IF($BP509="Emissions positive",-1,1)</f>
        <v>17042.635782747559</v>
      </c>
      <c r="CU509">
        <f>IFERROR(CT509/CQ509,"")</f>
        <v>6.0466640548453254</v>
      </c>
      <c r="CV509" s="2">
        <f>IFERROR((CS509-CR509)/ABS(CR509),"")</f>
        <v>0.75892857142856629</v>
      </c>
      <c r="CW509" s="1" t="s">
        <v>1201</v>
      </c>
      <c r="CX509" t="str">
        <f>IF(OR($CW509="prd",$CW509="std",$CW509="cit"),"loc",IF(OR($CW509="eur",$CW509="reg",$CW509="coy"),"reg",$CW509))</f>
        <v>reg</v>
      </c>
      <c r="CY509" t="s">
        <v>236</v>
      </c>
      <c r="CZ509">
        <v>2010</v>
      </c>
      <c r="DA509">
        <v>2070</v>
      </c>
      <c r="DB509">
        <f>DA509-CZ509</f>
        <v>60</v>
      </c>
      <c r="DC509" t="str">
        <f>IF(DB509=0,"0",IF(AND(DB509&gt;=1,DB509&lt;=30),"1-30",IF(AND(DB509&gt;30,DB509&lt;=70),"31-70",IF(AND(DB509&gt;70,DB509&lt;=100),"71-100",IF(DB509&gt;100,"+100")))))</f>
        <v>31-70</v>
      </c>
      <c r="DD509">
        <v>1</v>
      </c>
      <c r="DE509">
        <v>0</v>
      </c>
      <c r="DF509">
        <v>0</v>
      </c>
      <c r="DG509">
        <v>0</v>
      </c>
      <c r="DH509">
        <v>0</v>
      </c>
      <c r="DI509">
        <f>SUM(DD509:DG509)</f>
        <v>1</v>
      </c>
      <c r="DJ509" t="str">
        <f>IF(DI509=1,INDEX($DD$7:$DG$7,MATCH(1,$DD509:$DG509,0)),"mixedProduct")</f>
        <v>UpstreamInput</v>
      </c>
      <c r="DK509" t="str">
        <f>IF(DD509=1,DK$7,0)</f>
        <v>Upstream</v>
      </c>
      <c r="DL509">
        <f>IF(DE509=1,DL$7,0)</f>
        <v>0</v>
      </c>
      <c r="DM509">
        <f>IF(DF509=1,DM$7,0)</f>
        <v>0</v>
      </c>
      <c r="DN509">
        <f>IF(DG509=1,DN$7,0)</f>
        <v>0</v>
      </c>
      <c r="DO509">
        <v>0</v>
      </c>
      <c r="DP509">
        <v>0</v>
      </c>
      <c r="DQ509">
        <v>0</v>
      </c>
      <c r="DR509">
        <v>0</v>
      </c>
      <c r="DS509">
        <v>0</v>
      </c>
      <c r="DT509">
        <f>SUM(DO509:DP509)</f>
        <v>0</v>
      </c>
      <c r="DU509" s="143" t="str">
        <f>IF(DO509=1,"self-calculated DF",IF(DP509=1,"external DF used","explicit C balance"))</f>
        <v>explicit C balance</v>
      </c>
      <c r="DV509">
        <v>1</v>
      </c>
      <c r="DW509">
        <v>1</v>
      </c>
      <c r="DX509">
        <v>1</v>
      </c>
      <c r="DY509">
        <v>1</v>
      </c>
      <c r="DZ509">
        <v>0</v>
      </c>
      <c r="EA509" s="143">
        <v>0</v>
      </c>
      <c r="EB509">
        <v>0</v>
      </c>
      <c r="EC509">
        <v>0</v>
      </c>
      <c r="ED509">
        <v>0</v>
      </c>
      <c r="EE509">
        <v>0</v>
      </c>
      <c r="EF509">
        <v>1</v>
      </c>
      <c r="EG509">
        <v>0</v>
      </c>
      <c r="EH509">
        <v>0</v>
      </c>
      <c r="EI509" s="2">
        <v>0</v>
      </c>
      <c r="EK509" t="str">
        <f>IF(AND(AND(AND(OR($DX509=1,$DW509=1),OR($EC509=1,$EA509=1)),SUM($DV509:$DZ509,$EF509)&gt;=4),SUM($EA509:$EE509)&gt;=2),"Whole sector","")</f>
        <v/>
      </c>
      <c r="EL509" t="str">
        <f>IF(AND(AND(OR($DX509=1,$DW509=1),AND($EC509=0,$EA509=0)),SUM($DV509:$DZ509,$EF509)&gt;=4),"Ecosystem approach","")</f>
        <v>Ecosystem approach</v>
      </c>
      <c r="EM509" s="2" t="str">
        <f>IF(AND(AND(AND($DX509=0,$DW509=0),OR($EC509=1,$EA509=1)),SUM($EB509:$EE509)&gt;=2),"Technology approach","")</f>
        <v/>
      </c>
      <c r="EN509" t="s">
        <v>2510</v>
      </c>
      <c r="EP509" t="str">
        <f>IF(ISNUMBER(BU509),IF(ABS(BU509-[2]QC_indicators!$B$2)&gt;3*[2]QC_indicators!$C$2,"C ratio",IF(ISNUMBER(BY509),IF(ABS(BY509-[2]QC_indicators!$B$1)&gt;3*[2]QC_indicators!$C$1,"DF","no"))),IF(ISNUMBER(BY509),IF(ABS(BY509-[2]QC_indicators!$B$1)&gt;3*[2]QC_indicators!$C$1,"DF","no")))</f>
        <v>no</v>
      </c>
      <c r="EQ509" t="s">
        <v>2503</v>
      </c>
      <c r="ET509" s="266" t="s">
        <v>3259</v>
      </c>
    </row>
    <row r="510" spans="1:150" ht="15" customHeight="1">
      <c r="A510" s="1" t="s">
        <v>1425</v>
      </c>
      <c r="B510" t="s">
        <v>2492</v>
      </c>
      <c r="C510" t="s">
        <v>2493</v>
      </c>
      <c r="D510" t="s">
        <v>2494</v>
      </c>
      <c r="E510" t="s">
        <v>2495</v>
      </c>
      <c r="F510" t="s">
        <v>2496</v>
      </c>
      <c r="G510" t="s">
        <v>1431</v>
      </c>
      <c r="H510" t="s">
        <v>255</v>
      </c>
      <c r="I510">
        <v>2016</v>
      </c>
      <c r="J510">
        <v>24</v>
      </c>
      <c r="K510" t="s">
        <v>2497</v>
      </c>
      <c r="M510" t="str">
        <f>LEFT($D510,FIND(",",$D510)-1)&amp;"_"&amp;I510&amp;L510</f>
        <v>Zubizarreta-Gerendiain_2016</v>
      </c>
      <c r="N510" t="s">
        <v>223</v>
      </c>
      <c r="O510" s="145" t="s">
        <v>1156</v>
      </c>
      <c r="Q510" t="s">
        <v>257</v>
      </c>
      <c r="R510" s="264" t="s">
        <v>224</v>
      </c>
      <c r="S510" s="1" t="s">
        <v>2520</v>
      </c>
      <c r="T510" t="s">
        <v>2500</v>
      </c>
      <c r="U510" t="s">
        <v>2521</v>
      </c>
      <c r="V510">
        <v>0</v>
      </c>
      <c r="W510">
        <v>0</v>
      </c>
      <c r="X510">
        <v>0</v>
      </c>
      <c r="Y510">
        <v>0</v>
      </c>
      <c r="Z510">
        <v>0</v>
      </c>
      <c r="AA510">
        <v>0</v>
      </c>
      <c r="AB510">
        <v>0</v>
      </c>
      <c r="AC510">
        <v>0</v>
      </c>
      <c r="AD510">
        <v>0</v>
      </c>
      <c r="AE510">
        <v>0</v>
      </c>
      <c r="AF510">
        <v>1</v>
      </c>
      <c r="AG510">
        <v>0</v>
      </c>
      <c r="AH510">
        <v>0</v>
      </c>
      <c r="AI510">
        <v>0</v>
      </c>
      <c r="AJ510">
        <v>0</v>
      </c>
      <c r="AK510">
        <v>0</v>
      </c>
      <c r="AL510">
        <v>0</v>
      </c>
      <c r="AM510">
        <v>0</v>
      </c>
      <c r="AN510">
        <v>0</v>
      </c>
      <c r="AO510">
        <v>0</v>
      </c>
      <c r="AP510">
        <v>0</v>
      </c>
      <c r="AQ510">
        <v>0</v>
      </c>
      <c r="AR510">
        <v>0</v>
      </c>
      <c r="AS510">
        <v>0</v>
      </c>
      <c r="AT510">
        <v>0</v>
      </c>
      <c r="AU510">
        <v>0</v>
      </c>
      <c r="AV510">
        <v>0</v>
      </c>
      <c r="AW510">
        <v>0</v>
      </c>
      <c r="AX510" s="141">
        <f>COUNTIF(V510:AW510,"&lt;&gt;0")</f>
        <v>1</v>
      </c>
      <c r="AY510" s="141">
        <f>COUNTIF(V510:AL510,"&lt;&gt;0")</f>
        <v>1</v>
      </c>
      <c r="AZ510">
        <f>COUNTIF(V510:AC510,"&lt;&gt;0")</f>
        <v>0</v>
      </c>
      <c r="BA510">
        <f>COUNTIF(AD510:AI510,"&lt;&gt;0")</f>
        <v>1</v>
      </c>
      <c r="BB510">
        <f>COUNTIF(AJ510:AL510,"&lt;&gt;0")</f>
        <v>0</v>
      </c>
      <c r="BC510">
        <f>COUNTIF(AS510:AW510,"&lt;&gt;0")</f>
        <v>0</v>
      </c>
      <c r="BD510">
        <f>COUNTIF(AM510:AR510,"&lt;&gt;0")</f>
        <v>0</v>
      </c>
      <c r="BE510" t="str">
        <f t="array" ref="BE510">IF(AY510=1,INDEX($V$7:$AL$7,MATCH(TRUE,INDEX($V510:$AW510&lt;&gt;0,),0)),IF(AY510=0,INDEX($AM$7:$AW$7,MATCH(1,$AM510:$AW510,0)),IF(BF510="Multiple strategies","mixed drivers",IF(BF510="Supply chain","multiple supply","multiple silviculture"))))</f>
        <v>supply chain organization</v>
      </c>
      <c r="BF510" s="2" t="str" cm="1">
        <f t="array" ref="BF510">IF(COUNTIF(AZ510:BB510,"&lt;&gt;0")=1,INDEX($V$4:$AW$4,MATCH(TRUE,INDEX($V510:$AW510&lt;&gt;0,),0)),IF(COUNTIF(AZ510:BB510,"&lt;&gt;0")=0,INDEX($AM$4:$AW$4,MATCH(1,$AM510:$AW510,0)),"Multiple strategies"))</f>
        <v>Supply chain</v>
      </c>
      <c r="BG510" s="1" t="s">
        <v>322</v>
      </c>
      <c r="BH510" t="s">
        <v>2501</v>
      </c>
      <c r="BI510" s="266" t="s">
        <v>2115</v>
      </c>
      <c r="BJ510" t="s">
        <v>2502</v>
      </c>
      <c r="BK510">
        <v>82.946708463949804</v>
      </c>
      <c r="BL510">
        <v>84.921630094043806</v>
      </c>
      <c r="BM510" s="143">
        <f>BL510/BK510</f>
        <v>1.0238095238095233</v>
      </c>
      <c r="BN510">
        <f>BL510-BK510</f>
        <v>1.974921630094002</v>
      </c>
      <c r="BO510">
        <f>BN510*1000*t_to_m3</f>
        <v>4030.4523063142901</v>
      </c>
      <c r="BP510" s="143" t="s">
        <v>233</v>
      </c>
      <c r="BQ510" s="143" t="s">
        <v>3258</v>
      </c>
      <c r="BR510" t="s">
        <v>1197</v>
      </c>
      <c r="BS510">
        <v>-46788.009888268192</v>
      </c>
      <c r="BT510">
        <v>-28237.697597765364</v>
      </c>
      <c r="BU510" s="144">
        <f>IFERROR(BT510/BS510,"")</f>
        <v>0.60352422907488945</v>
      </c>
      <c r="BV510" s="144">
        <f>BT510-BS510</f>
        <v>18550.312290502829</v>
      </c>
      <c r="BW510" s="144"/>
      <c r="BX510" s="144">
        <f>BV510</f>
        <v>18550.312290502829</v>
      </c>
      <c r="BY510">
        <f>IFERROR(BX510/BO510,"")</f>
        <v>4.6025385938548542</v>
      </c>
      <c r="BZ510">
        <v>0</v>
      </c>
      <c r="CA510">
        <v>0</v>
      </c>
      <c r="CB510">
        <v>0</v>
      </c>
      <c r="CC510">
        <v>0</v>
      </c>
      <c r="CD510">
        <v>0</v>
      </c>
      <c r="CE510">
        <v>0</v>
      </c>
      <c r="CF510">
        <v>0</v>
      </c>
      <c r="CG510">
        <v>0</v>
      </c>
      <c r="CH510">
        <v>0</v>
      </c>
      <c r="CI510">
        <v>0</v>
      </c>
      <c r="CJ510">
        <v>0</v>
      </c>
      <c r="CK510">
        <v>0</v>
      </c>
      <c r="CL510">
        <v>0</v>
      </c>
      <c r="CM510">
        <v>1</v>
      </c>
      <c r="CN510" t="str">
        <f>IF($BL510&lt;$BK510,"refNeedCorrection","refOK")</f>
        <v>refOK</v>
      </c>
      <c r="CO510">
        <f>IF($CN510="refOK",$BK510,$BL510)</f>
        <v>82.946708463949804</v>
      </c>
      <c r="CP510">
        <f>IF($CN510="refOK",$BL510,$BK510)</f>
        <v>84.921630094043806</v>
      </c>
      <c r="CQ510">
        <f>IF($CN510="refOK",$BO510,-$BO510)</f>
        <v>4030.4523063142901</v>
      </c>
      <c r="CR510">
        <f>IF($CN510="refOK",$BS510,$BT510)*IF($BP510="Emissions positive",-1,1)</f>
        <v>-46788.009888268192</v>
      </c>
      <c r="CS510">
        <f>IF($CN510="refOK",$BT510,$BS510)*IF($BP510="Emissions positive",-1,1)</f>
        <v>-28237.697597765364</v>
      </c>
      <c r="CT510">
        <f>IF($CN510="refNeedCorrection",-BX510,BX510)*IF($BP510="Emissions positive",-1,1)</f>
        <v>18550.312290502829</v>
      </c>
      <c r="CU510">
        <f>IFERROR(CT510/CQ510,"")</f>
        <v>4.6025385938548542</v>
      </c>
      <c r="CV510" s="2">
        <f>IFERROR((CS510-CR510)/ABS(CR510),"")</f>
        <v>0.3964757709251106</v>
      </c>
      <c r="CW510" s="1" t="s">
        <v>1201</v>
      </c>
      <c r="CX510" t="str">
        <f>IF(OR($CW510="prd",$CW510="std",$CW510="cit"),"loc",IF(OR($CW510="eur",$CW510="reg",$CW510="coy"),"reg",$CW510))</f>
        <v>reg</v>
      </c>
      <c r="CY510" t="s">
        <v>236</v>
      </c>
      <c r="CZ510">
        <v>2010</v>
      </c>
      <c r="DA510">
        <v>2070</v>
      </c>
      <c r="DB510">
        <f>DA510-CZ510</f>
        <v>60</v>
      </c>
      <c r="DC510" t="str">
        <f>IF(DB510=0,"0",IF(AND(DB510&gt;=1,DB510&lt;=30),"1-30",IF(AND(DB510&gt;30,DB510&lt;=70),"31-70",IF(AND(DB510&gt;70,DB510&lt;=100),"71-100",IF(DB510&gt;100,"+100")))))</f>
        <v>31-70</v>
      </c>
      <c r="DD510">
        <v>1</v>
      </c>
      <c r="DE510">
        <v>0</v>
      </c>
      <c r="DF510">
        <v>0</v>
      </c>
      <c r="DG510">
        <v>0</v>
      </c>
      <c r="DH510">
        <v>0</v>
      </c>
      <c r="DI510">
        <f>SUM(DD510:DG510)</f>
        <v>1</v>
      </c>
      <c r="DJ510" t="str">
        <f>IF(DI510=1,INDEX($DD$7:$DG$7,MATCH(1,$DD510:$DG510,0)),"mixedProduct")</f>
        <v>UpstreamInput</v>
      </c>
      <c r="DK510" t="str">
        <f>IF(DD510=1,DK$7,0)</f>
        <v>Upstream</v>
      </c>
      <c r="DL510">
        <f>IF(DE510=1,DL$7,0)</f>
        <v>0</v>
      </c>
      <c r="DM510">
        <f>IF(DF510=1,DM$7,0)</f>
        <v>0</v>
      </c>
      <c r="DN510">
        <f>IF(DG510=1,DN$7,0)</f>
        <v>0</v>
      </c>
      <c r="DO510">
        <v>0</v>
      </c>
      <c r="DP510">
        <v>0</v>
      </c>
      <c r="DQ510">
        <v>0</v>
      </c>
      <c r="DR510">
        <v>0</v>
      </c>
      <c r="DS510">
        <v>0</v>
      </c>
      <c r="DT510">
        <f>SUM(DO510:DP510)</f>
        <v>0</v>
      </c>
      <c r="DU510" s="143" t="str">
        <f>IF(DO510=1,"self-calculated DF",IF(DP510=1,"external DF used","explicit C balance"))</f>
        <v>explicit C balance</v>
      </c>
      <c r="DV510">
        <v>1</v>
      </c>
      <c r="DW510">
        <v>1</v>
      </c>
      <c r="DX510">
        <v>1</v>
      </c>
      <c r="DY510">
        <v>1</v>
      </c>
      <c r="DZ510">
        <v>0</v>
      </c>
      <c r="EA510" s="143">
        <v>0</v>
      </c>
      <c r="EB510">
        <v>0</v>
      </c>
      <c r="EC510">
        <v>0</v>
      </c>
      <c r="ED510">
        <v>0</v>
      </c>
      <c r="EE510">
        <v>0</v>
      </c>
      <c r="EF510">
        <v>1</v>
      </c>
      <c r="EG510">
        <v>0</v>
      </c>
      <c r="EH510">
        <v>0</v>
      </c>
      <c r="EI510" s="2">
        <v>0</v>
      </c>
      <c r="EK510" t="str">
        <f>IF(AND(AND(AND(OR($DX510=1,$DW510=1),OR($EC510=1,$EA510=1)),SUM($DV510:$DZ510,$EF510)&gt;=4),SUM($EA510:$EE510)&gt;=2),"Whole sector","")</f>
        <v/>
      </c>
      <c r="EL510" t="str">
        <f>IF(AND(AND(OR($DX510=1,$DW510=1),AND($EC510=0,$EA510=0)),SUM($DV510:$DZ510,$EF510)&gt;=4),"Ecosystem approach","")</f>
        <v>Ecosystem approach</v>
      </c>
      <c r="EM510" s="2" t="str">
        <f>IF(AND(AND(AND($DX510=0,$DW510=0),OR($EC510=1,$EA510=1)),SUM($EB510:$EE510)&gt;=2),"Technology approach","")</f>
        <v/>
      </c>
      <c r="EN510" t="s">
        <v>2510</v>
      </c>
      <c r="EP510" t="str">
        <f>IF(ISNUMBER(BU510),IF(ABS(BU510-[2]QC_indicators!$B$2)&gt;3*[2]QC_indicators!$C$2,"C ratio",IF(ISNUMBER(BY510),IF(ABS(BY510-[2]QC_indicators!$B$1)&gt;3*[2]QC_indicators!$C$1,"DF","no"))),IF(ISNUMBER(BY510),IF(ABS(BY510-[2]QC_indicators!$B$1)&gt;3*[2]QC_indicators!$C$1,"DF","no")))</f>
        <v>no</v>
      </c>
      <c r="EQ510" t="s">
        <v>2503</v>
      </c>
      <c r="ET510" s="266" t="s">
        <v>3259</v>
      </c>
    </row>
    <row r="511" spans="1:150" ht="15" customHeight="1">
      <c r="A511" s="1" t="s">
        <v>1425</v>
      </c>
      <c r="B511" t="s">
        <v>2492</v>
      </c>
      <c r="C511" t="s">
        <v>2493</v>
      </c>
      <c r="D511" t="s">
        <v>2494</v>
      </c>
      <c r="E511" t="s">
        <v>2495</v>
      </c>
      <c r="F511" t="s">
        <v>2496</v>
      </c>
      <c r="G511" t="s">
        <v>1431</v>
      </c>
      <c r="H511" t="s">
        <v>255</v>
      </c>
      <c r="I511">
        <v>2016</v>
      </c>
      <c r="J511">
        <v>24</v>
      </c>
      <c r="K511" t="s">
        <v>2497</v>
      </c>
      <c r="M511" t="str">
        <f>LEFT($D511,FIND(",",$D511)-1)&amp;"_"&amp;I511&amp;L511</f>
        <v>Zubizarreta-Gerendiain_2016</v>
      </c>
      <c r="N511" t="s">
        <v>223</v>
      </c>
      <c r="O511" s="145" t="s">
        <v>1156</v>
      </c>
      <c r="Q511" t="s">
        <v>257</v>
      </c>
      <c r="R511" s="264" t="s">
        <v>224</v>
      </c>
      <c r="S511" s="1" t="s">
        <v>2523</v>
      </c>
      <c r="T511" t="s">
        <v>2513</v>
      </c>
      <c r="U511" t="s">
        <v>2525</v>
      </c>
      <c r="V511">
        <v>0</v>
      </c>
      <c r="W511">
        <v>0</v>
      </c>
      <c r="X511">
        <v>0</v>
      </c>
      <c r="Y511">
        <v>0</v>
      </c>
      <c r="Z511">
        <v>0</v>
      </c>
      <c r="AA511">
        <v>0</v>
      </c>
      <c r="AB511">
        <v>0</v>
      </c>
      <c r="AC511">
        <v>0</v>
      </c>
      <c r="AD511">
        <v>0</v>
      </c>
      <c r="AE511">
        <v>0</v>
      </c>
      <c r="AF511">
        <v>2</v>
      </c>
      <c r="AG511">
        <v>0</v>
      </c>
      <c r="AH511">
        <v>0</v>
      </c>
      <c r="AI511">
        <v>0</v>
      </c>
      <c r="AJ511">
        <v>0</v>
      </c>
      <c r="AK511">
        <v>0</v>
      </c>
      <c r="AL511">
        <v>0</v>
      </c>
      <c r="AM511">
        <v>0</v>
      </c>
      <c r="AN511">
        <v>1</v>
      </c>
      <c r="AO511">
        <v>2</v>
      </c>
      <c r="AP511">
        <v>0</v>
      </c>
      <c r="AQ511">
        <v>0</v>
      </c>
      <c r="AR511">
        <v>0</v>
      </c>
      <c r="AS511">
        <v>0</v>
      </c>
      <c r="AT511">
        <v>0</v>
      </c>
      <c r="AU511">
        <v>0</v>
      </c>
      <c r="AV511">
        <v>0</v>
      </c>
      <c r="AW511">
        <v>0</v>
      </c>
      <c r="AX511" s="141">
        <f>COUNTIF(V511:AW511,"&lt;&gt;0")</f>
        <v>3</v>
      </c>
      <c r="AY511" s="141">
        <f>COUNTIF(V511:AL511,"&lt;&gt;0")</f>
        <v>1</v>
      </c>
      <c r="AZ511">
        <f>COUNTIF(V511:AC511,"&lt;&gt;0")</f>
        <v>0</v>
      </c>
      <c r="BA511">
        <f>COUNTIF(AD511:AI511,"&lt;&gt;0")</f>
        <v>1</v>
      </c>
      <c r="BB511">
        <f>COUNTIF(AJ511:AL511,"&lt;&gt;0")</f>
        <v>0</v>
      </c>
      <c r="BC511">
        <f>COUNTIF(AS511:AW511,"&lt;&gt;0")</f>
        <v>0</v>
      </c>
      <c r="BD511">
        <f>COUNTIF(AM511:AR511,"&lt;&gt;0")</f>
        <v>2</v>
      </c>
      <c r="BE511" t="str">
        <f t="array" ref="BE511">IF(AY511=1,INDEX($V$7:$AL$7,MATCH(TRUE,INDEX($V511:$AW511&lt;&gt;0,),0)),IF(AY511=0,INDEX($AM$7:$AW$7,MATCH(1,$AM511:$AW511,0)),IF(BF511="Multiple strategies","mixed drivers",IF(BF511="Supply chain","multiple supply","multiple silviculture"))))</f>
        <v>supply chain organization</v>
      </c>
      <c r="BF511" s="2" t="str" cm="1">
        <f t="array" ref="BF511">IF(COUNTIF(AZ511:BB511,"&lt;&gt;0")=1,INDEX($V$4:$AW$4,MATCH(TRUE,INDEX($V511:$AW511&lt;&gt;0,),0)),IF(COUNTIF(AZ511:BB511,"&lt;&gt;0")=0,INDEX($AM$4:$AW$4,MATCH(1,$AM511:$AW511,0)),"Multiple strategies"))</f>
        <v>Supply chain</v>
      </c>
      <c r="BM511" s="143"/>
      <c r="BN511" s="143"/>
      <c r="BP511" s="143" t="s">
        <v>233</v>
      </c>
      <c r="BQ511" s="143"/>
      <c r="BR511" t="s">
        <v>1197</v>
      </c>
      <c r="BS511">
        <v>-3408.5271565495204</v>
      </c>
      <c r="BT511">
        <v>8621.5686900957953</v>
      </c>
      <c r="BU511" s="144">
        <f>IFERROR(BT511/BS511,"")</f>
        <v>-2.5294117647058676</v>
      </c>
      <c r="BV511" s="144">
        <f>BT511-BS511</f>
        <v>12030.095846645316</v>
      </c>
      <c r="BW511" s="144"/>
      <c r="BX511" s="144">
        <f>BV511</f>
        <v>12030.095846645316</v>
      </c>
      <c r="BY511" t="str">
        <f>IFERROR(BX511/BO511,"")</f>
        <v/>
      </c>
      <c r="BZ511">
        <v>0</v>
      </c>
      <c r="CA511">
        <v>0</v>
      </c>
      <c r="CB511">
        <v>0</v>
      </c>
      <c r="CC511">
        <v>0</v>
      </c>
      <c r="CD511">
        <v>0</v>
      </c>
      <c r="CE511">
        <v>0</v>
      </c>
      <c r="CF511">
        <v>0</v>
      </c>
      <c r="CG511">
        <v>0</v>
      </c>
      <c r="CH511">
        <v>0</v>
      </c>
      <c r="CI511">
        <v>0</v>
      </c>
      <c r="CJ511">
        <v>0</v>
      </c>
      <c r="CK511">
        <v>0</v>
      </c>
      <c r="CL511">
        <v>0</v>
      </c>
      <c r="CM511">
        <v>1</v>
      </c>
      <c r="CN511" t="str">
        <f>IF(BL511&lt;BK511,"refNeedCorrection","refOK")</f>
        <v>refOK</v>
      </c>
      <c r="CO511"/>
      <c r="CP511"/>
      <c r="CQ511"/>
      <c r="CR511">
        <f>IF($CN511="refOK",$BS511,$BT511)*IF($BP511="Emissions positive",-1,1)</f>
        <v>-3408.5271565495204</v>
      </c>
      <c r="CS511">
        <f>IF($CN511="refOK",$BT511,$BS511)*IF($BP511="Emissions positive",-1,1)</f>
        <v>8621.5686900957953</v>
      </c>
      <c r="CT511">
        <f>IF($CN511="refNeedCorrection",-BX511,BX511)*IF($BP511="Emissions positive",-1,1)</f>
        <v>12030.095846645316</v>
      </c>
      <c r="CU511" t="str">
        <f>IFERROR(CT511/CQ511,"")</f>
        <v/>
      </c>
      <c r="CV511" s="2">
        <f>IFERROR((CS511-CR511)/ABS(CR511),"")</f>
        <v>3.5294117647058676</v>
      </c>
      <c r="CW511" s="1" t="s">
        <v>1201</v>
      </c>
      <c r="CX511" t="str">
        <f>IF(OR($CW511="prd",$CW511="std",$CW511="cit"),"loc",IF(OR($CW511="eur",$CW511="reg",$CW511="coy"),"reg",$CW511))</f>
        <v>reg</v>
      </c>
      <c r="CY511" t="s">
        <v>236</v>
      </c>
      <c r="CZ511">
        <v>2010</v>
      </c>
      <c r="DA511">
        <v>2070</v>
      </c>
      <c r="DB511">
        <f>DA511-CZ511</f>
        <v>60</v>
      </c>
      <c r="DC511" t="str">
        <f>IF(DB511=0,"0",IF(AND(DB511&gt;=1,DB511&lt;=30),"1-30",IF(AND(DB511&gt;30,DB511&lt;=70),"31-70",IF(AND(DB511&gt;70,DB511&lt;=100),"71-100",IF(DB511&gt;100,"+100")))))</f>
        <v>31-70</v>
      </c>
      <c r="DD511">
        <v>1</v>
      </c>
      <c r="DE511">
        <v>0</v>
      </c>
      <c r="DF511">
        <v>0</v>
      </c>
      <c r="DG511">
        <v>0</v>
      </c>
      <c r="DH511">
        <v>0</v>
      </c>
      <c r="DI511">
        <f>SUM(DD511:DG511)</f>
        <v>1</v>
      </c>
      <c r="DJ511" t="str">
        <f>IF(DI511=1,INDEX($DD$7:$DG$7,MATCH(1,$DD511:$DG511,0)),"mixedProduct")</f>
        <v>UpstreamInput</v>
      </c>
      <c r="DK511" t="str">
        <f>IF(DD511=1,DK$7,0)</f>
        <v>Upstream</v>
      </c>
      <c r="DL511">
        <f>IF(DE511=1,DL$7,0)</f>
        <v>0</v>
      </c>
      <c r="DM511">
        <f>IF(DF511=1,DM$7,0)</f>
        <v>0</v>
      </c>
      <c r="DN511">
        <f>IF(DG511=1,DN$7,0)</f>
        <v>0</v>
      </c>
      <c r="DO511">
        <v>0</v>
      </c>
      <c r="DP511">
        <v>0</v>
      </c>
      <c r="DQ511">
        <v>0</v>
      </c>
      <c r="DR511">
        <v>0</v>
      </c>
      <c r="DS511">
        <v>0</v>
      </c>
      <c r="DT511">
        <f>SUM(DO511:DP511)</f>
        <v>0</v>
      </c>
      <c r="DU511" s="143" t="str">
        <f>IF(DO511=1,"self-calculated DF",IF(DP511=1,"external DF used","explicit C balance"))</f>
        <v>explicit C balance</v>
      </c>
      <c r="DV511">
        <v>1</v>
      </c>
      <c r="DW511">
        <v>1</v>
      </c>
      <c r="DX511">
        <v>1</v>
      </c>
      <c r="DY511">
        <v>1</v>
      </c>
      <c r="DZ511">
        <v>0</v>
      </c>
      <c r="EA511" s="143">
        <v>0</v>
      </c>
      <c r="EB511">
        <v>0</v>
      </c>
      <c r="EC511">
        <v>0</v>
      </c>
      <c r="ED511">
        <v>0</v>
      </c>
      <c r="EE511">
        <v>0</v>
      </c>
      <c r="EF511">
        <v>1</v>
      </c>
      <c r="EG511">
        <v>0</v>
      </c>
      <c r="EH511">
        <v>0</v>
      </c>
      <c r="EI511" s="2">
        <v>0</v>
      </c>
      <c r="EK511" t="str">
        <f>IF(AND(AND(AND(OR($DX511=1,$DW511=1),OR($EC511=1,$EA511=1)),SUM($DV511:$DZ511,$EF511)&gt;=4),SUM($EA511:$EE511)&gt;=2),"Whole sector","")</f>
        <v/>
      </c>
      <c r="EL511" t="str">
        <f>IF(AND(AND(OR($DX511=1,$DW511=1),AND($EC511=0,$EA511=0)),SUM($DV511:$DZ511,$EF511)&gt;=4),"Ecosystem approach","")</f>
        <v>Ecosystem approach</v>
      </c>
      <c r="EM511" s="2" t="str">
        <f>IF(AND(AND(AND($DX511=0,$DW511=0),OR($EC511=1,$EA511=1)),SUM($EB511:$EE511)&gt;=2),"Technology approach","")</f>
        <v/>
      </c>
      <c r="EN511" t="s">
        <v>2510</v>
      </c>
      <c r="EP511" t="b">
        <f>IF(ISNUMBER(BU511),IF(ABS(BU511-[2]QC_indicators!$B$2)&gt;3*[2]QC_indicators!$C$2,"C ratio",IF(ISNUMBER(BY511),IF(ABS(BY511-[2]QC_indicators!$B$1)&gt;3*[2]QC_indicators!$C$1,"DF","no"))),IF(ISNUMBER(BY511),IF(ABS(BY511-[2]QC_indicators!$B$1)&gt;3*[2]QC_indicators!$C$1,"DF","no")))</f>
        <v>0</v>
      </c>
      <c r="ET511" s="266" t="s">
        <v>3275</v>
      </c>
    </row>
    <row r="512" spans="1:150" ht="15" customHeight="1">
      <c r="A512" s="1" t="s">
        <v>1425</v>
      </c>
      <c r="B512" t="s">
        <v>2492</v>
      </c>
      <c r="C512" t="s">
        <v>2493</v>
      </c>
      <c r="D512" t="s">
        <v>2494</v>
      </c>
      <c r="E512" t="s">
        <v>2495</v>
      </c>
      <c r="F512" t="s">
        <v>2496</v>
      </c>
      <c r="G512" t="s">
        <v>1431</v>
      </c>
      <c r="H512" t="s">
        <v>255</v>
      </c>
      <c r="I512">
        <v>2016</v>
      </c>
      <c r="J512">
        <v>24</v>
      </c>
      <c r="K512" t="s">
        <v>2497</v>
      </c>
      <c r="M512" t="str">
        <f>LEFT($D512,FIND(",",$D512)-1)&amp;"_"&amp;I512&amp;L512</f>
        <v>Zubizarreta-Gerendiain_2016</v>
      </c>
      <c r="N512" t="s">
        <v>223</v>
      </c>
      <c r="O512" s="145" t="s">
        <v>1156</v>
      </c>
      <c r="Q512" t="s">
        <v>257</v>
      </c>
      <c r="R512" s="264" t="s">
        <v>224</v>
      </c>
      <c r="S512" s="1" t="s">
        <v>2523</v>
      </c>
      <c r="T512" t="s">
        <v>2517</v>
      </c>
      <c r="U512" t="s">
        <v>2524</v>
      </c>
      <c r="V512">
        <v>0</v>
      </c>
      <c r="W512">
        <v>0</v>
      </c>
      <c r="X512">
        <v>0</v>
      </c>
      <c r="Y512">
        <v>0</v>
      </c>
      <c r="Z512">
        <v>0</v>
      </c>
      <c r="AA512">
        <v>0</v>
      </c>
      <c r="AB512">
        <v>0</v>
      </c>
      <c r="AC512">
        <v>0</v>
      </c>
      <c r="AD512">
        <v>0</v>
      </c>
      <c r="AE512">
        <v>0</v>
      </c>
      <c r="AF512">
        <v>2</v>
      </c>
      <c r="AG512">
        <v>0</v>
      </c>
      <c r="AH512">
        <v>0</v>
      </c>
      <c r="AI512">
        <v>0</v>
      </c>
      <c r="AJ512">
        <v>0</v>
      </c>
      <c r="AK512">
        <v>0</v>
      </c>
      <c r="AL512">
        <v>0</v>
      </c>
      <c r="AM512">
        <v>0</v>
      </c>
      <c r="AN512">
        <v>1</v>
      </c>
      <c r="AO512">
        <v>2</v>
      </c>
      <c r="AP512">
        <v>0</v>
      </c>
      <c r="AQ512">
        <v>0</v>
      </c>
      <c r="AR512">
        <v>0</v>
      </c>
      <c r="AS512">
        <v>0</v>
      </c>
      <c r="AT512">
        <v>0</v>
      </c>
      <c r="AU512">
        <v>0</v>
      </c>
      <c r="AV512">
        <v>0</v>
      </c>
      <c r="AW512">
        <v>0</v>
      </c>
      <c r="AX512" s="141">
        <f>COUNTIF(V512:AW512,"&lt;&gt;0")</f>
        <v>3</v>
      </c>
      <c r="AY512" s="141">
        <f>COUNTIF(V512:AL512,"&lt;&gt;0")</f>
        <v>1</v>
      </c>
      <c r="AZ512">
        <f>COUNTIF(V512:AC512,"&lt;&gt;0")</f>
        <v>0</v>
      </c>
      <c r="BA512">
        <f>COUNTIF(AD512:AI512,"&lt;&gt;0")</f>
        <v>1</v>
      </c>
      <c r="BB512">
        <f>COUNTIF(AJ512:AL512,"&lt;&gt;0")</f>
        <v>0</v>
      </c>
      <c r="BC512">
        <f>COUNTIF(AS512:AW512,"&lt;&gt;0")</f>
        <v>0</v>
      </c>
      <c r="BD512">
        <f>COUNTIF(AM512:AR512,"&lt;&gt;0")</f>
        <v>2</v>
      </c>
      <c r="BE512" t="str">
        <f t="array" ref="BE512">IF(AY512=1,INDEX($V$7:$AL$7,MATCH(TRUE,INDEX($V512:$AW512&lt;&gt;0,),0)),IF(AY512=0,INDEX($AM$7:$AW$7,MATCH(1,$AM512:$AW512,0)),IF(BF512="Multiple strategies","mixed drivers",IF(BF512="Supply chain","multiple supply","multiple silviculture"))))</f>
        <v>supply chain organization</v>
      </c>
      <c r="BF512" s="2" t="str" cm="1">
        <f t="array" ref="BF512">IF(COUNTIF(AZ512:BB512,"&lt;&gt;0")=1,INDEX($V$4:$AW$4,MATCH(TRUE,INDEX($V512:$AW512&lt;&gt;0,),0)),IF(COUNTIF(AZ512:BB512,"&lt;&gt;0")=0,INDEX($AM$4:$AW$4,MATCH(1,$AM512:$AW512,0)),"Multiple strategies"))</f>
        <v>Supply chain</v>
      </c>
      <c r="BM512" s="143"/>
      <c r="BN512" s="143"/>
      <c r="BP512" s="143" t="s">
        <v>233</v>
      </c>
      <c r="BQ512" s="143"/>
      <c r="BR512" t="s">
        <v>1197</v>
      </c>
      <c r="BS512">
        <v>-35451.70793296078</v>
      </c>
      <c r="BT512">
        <v>-18962.541452513949</v>
      </c>
      <c r="BU512" s="144">
        <f>IFERROR(BT512/BS512,"")</f>
        <v>0.53488372093023384</v>
      </c>
      <c r="BV512" s="144">
        <f>BT512-BS512</f>
        <v>16489.166480446831</v>
      </c>
      <c r="BW512" s="144"/>
      <c r="BX512" s="144">
        <f>BV512</f>
        <v>16489.166480446831</v>
      </c>
      <c r="BY512" t="str">
        <f>IFERROR(BX512/BO512,"")</f>
        <v/>
      </c>
      <c r="BZ512">
        <v>0</v>
      </c>
      <c r="CA512">
        <v>0</v>
      </c>
      <c r="CB512">
        <v>0</v>
      </c>
      <c r="CC512">
        <v>0</v>
      </c>
      <c r="CD512">
        <v>0</v>
      </c>
      <c r="CE512">
        <v>0</v>
      </c>
      <c r="CF512">
        <v>0</v>
      </c>
      <c r="CG512">
        <v>0</v>
      </c>
      <c r="CH512">
        <v>0</v>
      </c>
      <c r="CI512">
        <v>0</v>
      </c>
      <c r="CJ512">
        <v>0</v>
      </c>
      <c r="CK512">
        <v>0</v>
      </c>
      <c r="CL512">
        <v>0</v>
      </c>
      <c r="CM512">
        <v>1</v>
      </c>
      <c r="CN512" t="str">
        <f>IF(BL512&lt;BK512,"refNeedCorrection","refOK")</f>
        <v>refOK</v>
      </c>
      <c r="CO512"/>
      <c r="CP512"/>
      <c r="CQ512"/>
      <c r="CR512">
        <f>IF($CN512="refOK",$BS512,$BT512)*IF($BP512="Emissions positive",-1,1)</f>
        <v>-35451.70793296078</v>
      </c>
      <c r="CS512">
        <f>IF($CN512="refOK",$BT512,$BS512)*IF($BP512="Emissions positive",-1,1)</f>
        <v>-18962.541452513949</v>
      </c>
      <c r="CT512">
        <f>IF($CN512="refNeedCorrection",-BX512,BX512)*IF($BP512="Emissions positive",-1,1)</f>
        <v>16489.166480446831</v>
      </c>
      <c r="CU512" t="str">
        <f>IFERROR(CT512/CQ512,"")</f>
        <v/>
      </c>
      <c r="CV512" s="2">
        <f>IFERROR((CS512-CR512)/ABS(CR512),"")</f>
        <v>0.46511627906976621</v>
      </c>
      <c r="CW512" s="1" t="s">
        <v>1201</v>
      </c>
      <c r="CX512" t="str">
        <f>IF(OR($CW512="prd",$CW512="std",$CW512="cit"),"loc",IF(OR($CW512="eur",$CW512="reg",$CW512="coy"),"reg",$CW512))</f>
        <v>reg</v>
      </c>
      <c r="CY512" t="s">
        <v>236</v>
      </c>
      <c r="CZ512">
        <v>2010</v>
      </c>
      <c r="DA512">
        <v>2070</v>
      </c>
      <c r="DB512">
        <f>DA512-CZ512</f>
        <v>60</v>
      </c>
      <c r="DC512" t="str">
        <f>IF(DB512=0,"0",IF(AND(DB512&gt;=1,DB512&lt;=30),"1-30",IF(AND(DB512&gt;30,DB512&lt;=70),"31-70",IF(AND(DB512&gt;70,DB512&lt;=100),"71-100",IF(DB512&gt;100,"+100")))))</f>
        <v>31-70</v>
      </c>
      <c r="DD512">
        <v>1</v>
      </c>
      <c r="DE512">
        <v>0</v>
      </c>
      <c r="DF512">
        <v>0</v>
      </c>
      <c r="DG512">
        <v>0</v>
      </c>
      <c r="DH512">
        <v>0</v>
      </c>
      <c r="DI512">
        <f>SUM(DD512:DG512)</f>
        <v>1</v>
      </c>
      <c r="DJ512" t="str">
        <f>IF(DI512=1,INDEX($DD$7:$DG$7,MATCH(1,$DD512:$DG512,0)),"mixedProduct")</f>
        <v>UpstreamInput</v>
      </c>
      <c r="DK512" t="str">
        <f>IF(DD512=1,DK$7,0)</f>
        <v>Upstream</v>
      </c>
      <c r="DL512">
        <f>IF(DE512=1,DL$7,0)</f>
        <v>0</v>
      </c>
      <c r="DM512">
        <f>IF(DF512=1,DM$7,0)</f>
        <v>0</v>
      </c>
      <c r="DN512">
        <f>IF(DG512=1,DN$7,0)</f>
        <v>0</v>
      </c>
      <c r="DO512">
        <v>0</v>
      </c>
      <c r="DP512">
        <v>0</v>
      </c>
      <c r="DQ512">
        <v>0</v>
      </c>
      <c r="DR512">
        <v>0</v>
      </c>
      <c r="DS512">
        <v>0</v>
      </c>
      <c r="DT512">
        <f>SUM(DO512:DP512)</f>
        <v>0</v>
      </c>
      <c r="DU512" s="143" t="str">
        <f>IF(DO512=1,"self-calculated DF",IF(DP512=1,"external DF used","explicit C balance"))</f>
        <v>explicit C balance</v>
      </c>
      <c r="DV512">
        <v>1</v>
      </c>
      <c r="DW512">
        <v>1</v>
      </c>
      <c r="DX512">
        <v>1</v>
      </c>
      <c r="DY512">
        <v>1</v>
      </c>
      <c r="DZ512">
        <v>0</v>
      </c>
      <c r="EA512" s="143">
        <v>0</v>
      </c>
      <c r="EB512">
        <v>0</v>
      </c>
      <c r="EC512">
        <v>0</v>
      </c>
      <c r="ED512">
        <v>0</v>
      </c>
      <c r="EE512">
        <v>0</v>
      </c>
      <c r="EF512">
        <v>1</v>
      </c>
      <c r="EG512">
        <v>0</v>
      </c>
      <c r="EH512">
        <v>0</v>
      </c>
      <c r="EI512" s="2">
        <v>0</v>
      </c>
      <c r="EK512" t="str">
        <f>IF(AND(AND(AND(OR($DX512=1,$DW512=1),OR($EC512=1,$EA512=1)),SUM($DV512:$DZ512,$EF512)&gt;=4),SUM($EA512:$EE512)&gt;=2),"Whole sector","")</f>
        <v/>
      </c>
      <c r="EL512" t="str">
        <f>IF(AND(AND(OR($DX512=1,$DW512=1),AND($EC512=0,$EA512=0)),SUM($DV512:$DZ512,$EF512)&gt;=4),"Ecosystem approach","")</f>
        <v>Ecosystem approach</v>
      </c>
      <c r="EM512" s="2" t="str">
        <f>IF(AND(AND(AND($DX512=0,$DW512=0),OR($EC512=1,$EA512=1)),SUM($EB512:$EE512)&gt;=2),"Technology approach","")</f>
        <v/>
      </c>
      <c r="EN512" t="s">
        <v>2510</v>
      </c>
      <c r="EP512" t="b">
        <f>IF(ISNUMBER(BU512),IF(ABS(BU512-[2]QC_indicators!$B$2)&gt;3*[2]QC_indicators!$C$2,"C ratio",IF(ISNUMBER(BY512),IF(ABS(BY512-[2]QC_indicators!$B$1)&gt;3*[2]QC_indicators!$C$1,"DF","no"))),IF(ISNUMBER(BY512),IF(ABS(BY512-[2]QC_indicators!$B$1)&gt;3*[2]QC_indicators!$C$1,"DF","no")))</f>
        <v>0</v>
      </c>
      <c r="ET512" s="266" t="s">
        <v>3275</v>
      </c>
    </row>
    <row r="513" spans="1:150" ht="15" customHeight="1">
      <c r="A513" s="1" t="s">
        <v>1288</v>
      </c>
      <c r="B513" t="s">
        <v>1338</v>
      </c>
      <c r="C513" t="s">
        <v>1339</v>
      </c>
      <c r="D513" t="s">
        <v>1340</v>
      </c>
      <c r="E513" t="s">
        <v>1341</v>
      </c>
      <c r="F513" t="s">
        <v>1342</v>
      </c>
      <c r="G513" t="s">
        <v>1294</v>
      </c>
      <c r="H513" t="s">
        <v>255</v>
      </c>
      <c r="I513">
        <v>2016</v>
      </c>
      <c r="J513">
        <v>27</v>
      </c>
      <c r="K513" t="s">
        <v>1343</v>
      </c>
      <c r="M513" t="str">
        <f>LEFT($D513,FIND(",",$D513)-1)&amp;"_"&amp;I513&amp;L513</f>
        <v>Braun_2016</v>
      </c>
      <c r="N513" t="s">
        <v>223</v>
      </c>
      <c r="O513" s="145" t="s">
        <v>224</v>
      </c>
      <c r="Q513" t="s">
        <v>257</v>
      </c>
      <c r="R513" s="255" t="s">
        <v>226</v>
      </c>
      <c r="S513" s="1" t="s">
        <v>1350</v>
      </c>
      <c r="T513" t="s">
        <v>1345</v>
      </c>
      <c r="U513" t="s">
        <v>1352</v>
      </c>
      <c r="V513">
        <v>0</v>
      </c>
      <c r="W513">
        <v>0</v>
      </c>
      <c r="X513">
        <v>0</v>
      </c>
      <c r="Y513">
        <v>0</v>
      </c>
      <c r="Z513">
        <v>0</v>
      </c>
      <c r="AA513">
        <v>0</v>
      </c>
      <c r="AB513">
        <v>0</v>
      </c>
      <c r="AC513">
        <v>0</v>
      </c>
      <c r="AD513">
        <v>0</v>
      </c>
      <c r="AE513">
        <v>0</v>
      </c>
      <c r="AF513">
        <v>1</v>
      </c>
      <c r="AG513">
        <v>0</v>
      </c>
      <c r="AH513">
        <v>0</v>
      </c>
      <c r="AI513">
        <v>0</v>
      </c>
      <c r="AJ513">
        <v>0</v>
      </c>
      <c r="AK513">
        <v>0</v>
      </c>
      <c r="AL513">
        <v>0</v>
      </c>
      <c r="AM513">
        <v>0</v>
      </c>
      <c r="AN513">
        <v>0</v>
      </c>
      <c r="AO513">
        <v>0</v>
      </c>
      <c r="AP513">
        <v>0</v>
      </c>
      <c r="AQ513">
        <v>0</v>
      </c>
      <c r="AR513">
        <v>0</v>
      </c>
      <c r="AS513">
        <v>0</v>
      </c>
      <c r="AT513">
        <v>0</v>
      </c>
      <c r="AU513">
        <v>0</v>
      </c>
      <c r="AV513">
        <v>0</v>
      </c>
      <c r="AW513">
        <v>0</v>
      </c>
      <c r="AX513" s="141">
        <f>COUNTIF(V513:AW513,"&lt;&gt;0")</f>
        <v>1</v>
      </c>
      <c r="AY513" s="141">
        <f>COUNTIF(V513:AL513,"&lt;&gt;0")</f>
        <v>1</v>
      </c>
      <c r="AZ513">
        <f>COUNTIF(V513:AC513,"&lt;&gt;0")</f>
        <v>0</v>
      </c>
      <c r="BA513">
        <f>COUNTIF(AD513:AI513,"&lt;&gt;0")</f>
        <v>1</v>
      </c>
      <c r="BB513">
        <f>COUNTIF(AJ513:AL513,"&lt;&gt;0")</f>
        <v>0</v>
      </c>
      <c r="BC513">
        <f>COUNTIF(AS513:AW513,"&lt;&gt;0")</f>
        <v>0</v>
      </c>
      <c r="BD513">
        <f>COUNTIF(AM513:AR513,"&lt;&gt;0")</f>
        <v>0</v>
      </c>
      <c r="BE513" t="str">
        <f t="array" ref="BE513">IF(AY513=1,INDEX($V$7:$AL$7,MATCH(TRUE,INDEX($V513:$AW513&lt;&gt;0,),0)),IF(AY513=0,INDEX($AM$7:$AW$7,MATCH(1,$AM513:$AW513,0)),IF(BF513="Multiple strategies","mixed drivers",IF(BF513="Supply chain","multiple supply","multiple silviculture"))))</f>
        <v>supply chain organization</v>
      </c>
      <c r="BF513" s="2" t="str" cm="1">
        <f t="array" ref="BF513">IF(COUNTIF(AZ513:BB513,"&lt;&gt;0")=1,INDEX($V$4:$AW$4,MATCH(TRUE,INDEX($V513:$AW513&lt;&gt;0,),0)),IF(COUNTIF(AZ513:BB513,"&lt;&gt;0")=0,INDEX($AM$4:$AW$4,MATCH(1,$AM513:$AW513,0)),"Multiple strategies"))</f>
        <v>Supply chain</v>
      </c>
      <c r="BG513" s="1" t="s">
        <v>230</v>
      </c>
      <c r="BH513" t="s">
        <v>1346</v>
      </c>
      <c r="BI513" s="260" t="s">
        <v>3279</v>
      </c>
      <c r="BJ513" t="s">
        <v>1347</v>
      </c>
      <c r="BK513">
        <v>1.1674521913429727</v>
      </c>
      <c r="BL513">
        <v>1.8344709897610794</v>
      </c>
      <c r="BM513">
        <f>BL513/BK513</f>
        <v>1.5713457076566064</v>
      </c>
      <c r="BN513">
        <f>BL513-BK513</f>
        <v>0.66701879841810663</v>
      </c>
      <c r="BO513">
        <f>BN513*10^9</f>
        <v>667018798.41810668</v>
      </c>
      <c r="BP513" t="s">
        <v>233</v>
      </c>
      <c r="BQ513" s="260" t="s">
        <v>3283</v>
      </c>
      <c r="BR513" t="s">
        <v>1348</v>
      </c>
      <c r="BS513" s="266">
        <v>1.2013651877133071</v>
      </c>
      <c r="BT513" s="266">
        <v>1.3651877133106005E-2</v>
      </c>
      <c r="BU513" s="144">
        <f>IFERROR(BT513/BS513,"")</f>
        <v>1.1363636363636565E-2</v>
      </c>
      <c r="BV513">
        <f>BT513-BS513</f>
        <v>-1.1877133105802011</v>
      </c>
      <c r="BX513">
        <f>BV513*10^9</f>
        <v>-1187713310.5802011</v>
      </c>
      <c r="BY513">
        <f>IFERROR(BX513/BO513,"")</f>
        <v>-1.7806294416243844</v>
      </c>
      <c r="BZ513" s="143">
        <v>0</v>
      </c>
      <c r="CA513" s="143">
        <v>0</v>
      </c>
      <c r="CB513" s="143">
        <v>0</v>
      </c>
      <c r="CC513" s="143">
        <v>0</v>
      </c>
      <c r="CD513" s="143">
        <v>0</v>
      </c>
      <c r="CE513" s="143">
        <v>0</v>
      </c>
      <c r="CF513" s="143">
        <v>0</v>
      </c>
      <c r="CG513" s="143">
        <v>0</v>
      </c>
      <c r="CH513" s="143">
        <v>0</v>
      </c>
      <c r="CI513" s="143">
        <v>0</v>
      </c>
      <c r="CJ513" s="143">
        <v>0</v>
      </c>
      <c r="CK513" s="143">
        <v>0</v>
      </c>
      <c r="CL513" s="143">
        <v>0</v>
      </c>
      <c r="CM513">
        <v>0</v>
      </c>
      <c r="CN513" t="str">
        <f>IF($BL513&lt;$BK513,"refNeedCorrection","refOK")</f>
        <v>refOK</v>
      </c>
      <c r="CO513">
        <f>IF($CN513="refOK",$BK513,$BL513)</f>
        <v>1.1674521913429727</v>
      </c>
      <c r="CP513">
        <f>IF($CN513="refOK",$BL513,$BK513)</f>
        <v>1.8344709897610794</v>
      </c>
      <c r="CQ513">
        <f>IF($CN513="refOK",$BO513,-$BO513)</f>
        <v>667018798.41810668</v>
      </c>
      <c r="CR513">
        <f>IF($CN513="refOK",$BS513,$BT513)*IF($BP513="Emissions positive",-1,1)</f>
        <v>1.2013651877133071</v>
      </c>
      <c r="CS513">
        <f>IF($CN513="refOK",$BT513,$BS513)*IF($BP513="Emissions positive",-1,1)</f>
        <v>1.3651877133106005E-2</v>
      </c>
      <c r="CT513">
        <f>IF($CN513="refNeedCorrection",-BX513,BX513)*IF($BP513="Emissions positive",-1,1)</f>
        <v>-1187713310.5802011</v>
      </c>
      <c r="CU513">
        <f>IFERROR(CT513/CQ513,"")</f>
        <v>-1.7806294416243844</v>
      </c>
      <c r="CV513" s="2">
        <f>IFERROR((CS513-CR513)/ABS(CR513),"")</f>
        <v>-0.98863636363636342</v>
      </c>
      <c r="CW513" s="1" t="s">
        <v>1205</v>
      </c>
      <c r="CX513" t="str">
        <f>IF(OR($CW513="prd",$CW513="std",$CW513="cit"),"loc",IF(OR($CW513="eur",$CW513="reg",$CW513="coy"),"reg",$CW513))</f>
        <v>reg</v>
      </c>
      <c r="CY513" t="s">
        <v>668</v>
      </c>
      <c r="CZ513">
        <v>2010</v>
      </c>
      <c r="DA513">
        <v>2100</v>
      </c>
      <c r="DB513">
        <f>DA513-CZ513</f>
        <v>90</v>
      </c>
      <c r="DC513" t="str">
        <f>IF(DB513=0,"0",IF(AND(DB513&gt;=1,DB513&lt;=30),"1-30",IF(AND(DB513&gt;30,DB513&lt;=70),"31-70",IF(AND(DB513&gt;70,DB513&lt;=100),"71-100",IF(DB513&gt;100,"+100")))))</f>
        <v>71-100</v>
      </c>
      <c r="DD513">
        <v>0</v>
      </c>
      <c r="DE513">
        <v>1</v>
      </c>
      <c r="DF513">
        <v>1</v>
      </c>
      <c r="DG513">
        <v>1</v>
      </c>
      <c r="DI513">
        <f>SUM(DD513:DG513)</f>
        <v>3</v>
      </c>
      <c r="DJ513" t="str">
        <f>IF(DI513=1,INDEX($DD$7:$DG$7,MATCH(1,$DD513:$DG513,0)),"mixedProduct")</f>
        <v>mixedProduct</v>
      </c>
      <c r="DK513">
        <f>IF(DD513=1,DK$7,0)</f>
        <v>0</v>
      </c>
      <c r="DL513" t="str">
        <f>IF(DE513=1,DL$7,0)</f>
        <v>Energy</v>
      </c>
      <c r="DM513" t="str">
        <f>IF(DF513=1,DM$7,0)</f>
        <v>Pulp/Paper</v>
      </c>
      <c r="DN513" t="str">
        <f>IF(DG513=1,DN$7,0)</f>
        <v>Timber</v>
      </c>
      <c r="DO513">
        <v>1</v>
      </c>
      <c r="DP513" s="143">
        <v>0</v>
      </c>
      <c r="DQ513" s="143">
        <v>0</v>
      </c>
      <c r="DR513" s="143">
        <v>0</v>
      </c>
      <c r="DS513">
        <v>0</v>
      </c>
      <c r="DT513">
        <f>SUM(DO513:DP513)</f>
        <v>1</v>
      </c>
      <c r="DU513" s="143" t="str">
        <f>IF(DO513=1,"self-calculated DF",IF(DP513=1,"external DF used","explicit C balance"))</f>
        <v>self-calculated DF</v>
      </c>
      <c r="DV513">
        <v>1</v>
      </c>
      <c r="DW513" s="143">
        <v>1</v>
      </c>
      <c r="DX513" s="143">
        <v>1</v>
      </c>
      <c r="DY513" s="143">
        <v>1</v>
      </c>
      <c r="DZ513">
        <v>1</v>
      </c>
      <c r="EA513" s="141">
        <v>0</v>
      </c>
      <c r="EB513">
        <v>0</v>
      </c>
      <c r="EC513" s="143">
        <v>0</v>
      </c>
      <c r="ED513" s="143">
        <v>0</v>
      </c>
      <c r="EE513">
        <v>0</v>
      </c>
      <c r="EF513">
        <v>1</v>
      </c>
      <c r="EG513" s="143">
        <v>0</v>
      </c>
      <c r="EH513" s="143">
        <v>0</v>
      </c>
      <c r="EI513" s="2">
        <v>0</v>
      </c>
      <c r="EK513" t="str">
        <f>IF(AND(AND(AND(OR($DX513=1,$DW513=1),OR($EC513=1,$EA513=1)),SUM($DV513:$DZ513,$EF513)&gt;=4),SUM($EA513:$EE513)&gt;=2),"Whole sector","")</f>
        <v/>
      </c>
      <c r="EL513" t="str">
        <f>IF(AND(AND(OR($DX513=1,$DW513=1),AND($EC513=0,$EA513=0)),SUM($DV513:$DZ513,$EF513)&gt;=4),"Ecosystem approach","")</f>
        <v>Ecosystem approach</v>
      </c>
      <c r="EM513" s="2" t="str">
        <f>IF(AND(AND(AND($DX513=0,$DW513=0),OR($EC513=1,$EA513=1)),SUM($EB513:$EE513)&gt;=2),"Technology approach","")</f>
        <v/>
      </c>
      <c r="EN513" t="s">
        <v>3285</v>
      </c>
      <c r="EP513" t="str">
        <f>IF(ISNUMBER(BU513),IF(ABS(BU513-[4]QC_indicators!$B$2)&gt;3*[4]QC_indicators!$C$2,"C ratio",IF(ISNUMBER(BY513),IF(ABS(BY513-[4]QC_indicators!$B$1)&gt;3*[4]QC_indicators!$C$1,"DF","no"))),IF(ISNUMBER(BY513),IF(ABS(BY513-[4]QC_indicators!$B$1)&gt;3*[4]QC_indicators!$C$1,"DF","no")))</f>
        <v>no</v>
      </c>
      <c r="ET513" s="266" t="s">
        <v>3275</v>
      </c>
    </row>
    <row r="514" spans="1:150" ht="15" customHeight="1">
      <c r="A514" s="1" t="s">
        <v>1288</v>
      </c>
      <c r="B514" t="s">
        <v>1338</v>
      </c>
      <c r="C514" t="s">
        <v>1339</v>
      </c>
      <c r="D514" t="s">
        <v>1340</v>
      </c>
      <c r="E514" t="s">
        <v>1341</v>
      </c>
      <c r="F514" t="s">
        <v>1342</v>
      </c>
      <c r="G514" t="s">
        <v>1294</v>
      </c>
      <c r="H514" t="s">
        <v>255</v>
      </c>
      <c r="I514">
        <v>2016</v>
      </c>
      <c r="J514">
        <v>27</v>
      </c>
      <c r="K514" t="s">
        <v>1343</v>
      </c>
      <c r="M514" t="str">
        <f>LEFT($D514,FIND(",",$D514)-1)&amp;"_"&amp;I514&amp;L514</f>
        <v>Braun_2016</v>
      </c>
      <c r="N514" t="s">
        <v>223</v>
      </c>
      <c r="O514" s="145" t="s">
        <v>224</v>
      </c>
      <c r="Q514" t="s">
        <v>257</v>
      </c>
      <c r="R514" s="255" t="s">
        <v>226</v>
      </c>
      <c r="S514" s="1" t="s">
        <v>1350</v>
      </c>
      <c r="T514" t="s">
        <v>1345</v>
      </c>
      <c r="U514" t="s">
        <v>1353</v>
      </c>
      <c r="V514">
        <v>0</v>
      </c>
      <c r="W514">
        <v>0</v>
      </c>
      <c r="X514">
        <v>0</v>
      </c>
      <c r="Y514">
        <v>0</v>
      </c>
      <c r="Z514">
        <v>0</v>
      </c>
      <c r="AA514">
        <v>0</v>
      </c>
      <c r="AB514">
        <v>0</v>
      </c>
      <c r="AC514">
        <v>0</v>
      </c>
      <c r="AD514">
        <v>0</v>
      </c>
      <c r="AE514">
        <v>0</v>
      </c>
      <c r="AF514">
        <v>1</v>
      </c>
      <c r="AG514">
        <v>0</v>
      </c>
      <c r="AH514">
        <v>0</v>
      </c>
      <c r="AI514">
        <v>0</v>
      </c>
      <c r="AJ514">
        <v>0</v>
      </c>
      <c r="AK514">
        <v>0</v>
      </c>
      <c r="AL514">
        <v>0</v>
      </c>
      <c r="AM514">
        <v>0</v>
      </c>
      <c r="AN514">
        <v>0</v>
      </c>
      <c r="AO514">
        <v>0</v>
      </c>
      <c r="AP514">
        <v>0</v>
      </c>
      <c r="AQ514">
        <v>0</v>
      </c>
      <c r="AR514">
        <v>0</v>
      </c>
      <c r="AS514">
        <v>0</v>
      </c>
      <c r="AT514">
        <v>0</v>
      </c>
      <c r="AU514">
        <v>0</v>
      </c>
      <c r="AV514">
        <v>0</v>
      </c>
      <c r="AW514">
        <v>0</v>
      </c>
      <c r="AX514" s="141">
        <f>COUNTIF(V514:AW514,"&lt;&gt;0")</f>
        <v>1</v>
      </c>
      <c r="AY514" s="141">
        <f>COUNTIF(V514:AL514,"&lt;&gt;0")</f>
        <v>1</v>
      </c>
      <c r="AZ514">
        <f>COUNTIF(V514:AC514,"&lt;&gt;0")</f>
        <v>0</v>
      </c>
      <c r="BA514">
        <f>COUNTIF(AD514:AI514,"&lt;&gt;0")</f>
        <v>1</v>
      </c>
      <c r="BB514">
        <f>COUNTIF(AJ514:AL514,"&lt;&gt;0")</f>
        <v>0</v>
      </c>
      <c r="BC514">
        <f>COUNTIF(AS514:AW514,"&lt;&gt;0")</f>
        <v>0</v>
      </c>
      <c r="BD514">
        <f>COUNTIF(AM514:AR514,"&lt;&gt;0")</f>
        <v>0</v>
      </c>
      <c r="BE514" t="str">
        <f t="array" ref="BE514">IF(AY514=1,INDEX($V$7:$AL$7,MATCH(TRUE,INDEX($V514:$AW514&lt;&gt;0,),0)),IF(AY514=0,INDEX($AM$7:$AW$7,MATCH(1,$AM514:$AW514,0)),IF(BF514="Multiple strategies","mixed drivers",IF(BF514="Supply chain","multiple supply","multiple silviculture"))))</f>
        <v>supply chain organization</v>
      </c>
      <c r="BF514" s="2" t="str" cm="1">
        <f t="array" ref="BF514">IF(COUNTIF(AZ514:BB514,"&lt;&gt;0")=1,INDEX($V$4:$AW$4,MATCH(TRUE,INDEX($V514:$AW514&lt;&gt;0,),0)),IF(COUNTIF(AZ514:BB514,"&lt;&gt;0")=0,INDEX($AM$4:$AW$4,MATCH(1,$AM514:$AW514,0)),"Multiple strategies"))</f>
        <v>Supply chain</v>
      </c>
      <c r="BG514" s="1" t="s">
        <v>230</v>
      </c>
      <c r="BH514" t="s">
        <v>1346</v>
      </c>
      <c r="BI514" s="260" t="s">
        <v>3279</v>
      </c>
      <c r="BJ514" t="s">
        <v>1347</v>
      </c>
      <c r="BK514">
        <v>1.1674521913429727</v>
      </c>
      <c r="BL514">
        <v>1.8900610197538394</v>
      </c>
      <c r="BM514">
        <f>BL514/BK514</f>
        <v>1.6189622442522613</v>
      </c>
      <c r="BN514">
        <f>BL514-BK514</f>
        <v>0.72260882841086671</v>
      </c>
      <c r="BO514">
        <f>BN514*10^9</f>
        <v>722608828.41086674</v>
      </c>
      <c r="BP514" t="s">
        <v>233</v>
      </c>
      <c r="BQ514" s="260" t="s">
        <v>3283</v>
      </c>
      <c r="BR514" t="s">
        <v>1348</v>
      </c>
      <c r="BS514" s="266">
        <v>1.2013651877133071</v>
      </c>
      <c r="BT514" s="266">
        <v>2.3890784982935953E-2</v>
      </c>
      <c r="BU514" s="144">
        <f>IFERROR(BT514/BS514,"")</f>
        <v>1.9886363636364358E-2</v>
      </c>
      <c r="BV514">
        <f>BT514-BS514</f>
        <v>-1.1774744027303712</v>
      </c>
      <c r="BX514">
        <f>BV514*10^9</f>
        <v>-1177474402.7303712</v>
      </c>
      <c r="BY514">
        <f>IFERROR(BX514/BO514,"")</f>
        <v>-1.6294769125915984</v>
      </c>
      <c r="BZ514" s="143">
        <v>0</v>
      </c>
      <c r="CA514" s="143">
        <v>0</v>
      </c>
      <c r="CB514" s="143">
        <v>0</v>
      </c>
      <c r="CC514" s="143">
        <v>0</v>
      </c>
      <c r="CD514" s="143">
        <v>0</v>
      </c>
      <c r="CE514" s="143">
        <v>0</v>
      </c>
      <c r="CF514" s="143">
        <v>0</v>
      </c>
      <c r="CG514" s="143">
        <v>0</v>
      </c>
      <c r="CH514" s="143">
        <v>0</v>
      </c>
      <c r="CI514" s="143">
        <v>0</v>
      </c>
      <c r="CJ514" s="143">
        <v>0</v>
      </c>
      <c r="CK514" s="143">
        <v>0</v>
      </c>
      <c r="CL514" s="143">
        <v>0</v>
      </c>
      <c r="CM514">
        <v>0</v>
      </c>
      <c r="CN514" t="str">
        <f>IF($BL514&lt;$BK514,"refNeedCorrection","refOK")</f>
        <v>refOK</v>
      </c>
      <c r="CO514">
        <f>IF($CN514="refOK",$BK514,$BL514)</f>
        <v>1.1674521913429727</v>
      </c>
      <c r="CP514">
        <f>IF($CN514="refOK",$BL514,$BK514)</f>
        <v>1.8900610197538394</v>
      </c>
      <c r="CQ514">
        <f>IF($CN514="refOK",$BO514,-$BO514)</f>
        <v>722608828.41086674</v>
      </c>
      <c r="CR514">
        <f>IF($CN514="refOK",$BS514,$BT514)*IF($BP514="Emissions positive",-1,1)</f>
        <v>1.2013651877133071</v>
      </c>
      <c r="CS514">
        <f>IF($CN514="refOK",$BT514,$BS514)*IF($BP514="Emissions positive",-1,1)</f>
        <v>2.3890784982935953E-2</v>
      </c>
      <c r="CT514">
        <f>IF($CN514="refNeedCorrection",-BX514,BX514)*IF($BP514="Emissions positive",-1,1)</f>
        <v>-1177474402.7303712</v>
      </c>
      <c r="CU514">
        <f>IFERROR(CT514/CQ514,"")</f>
        <v>-1.6294769125915984</v>
      </c>
      <c r="CV514" s="2">
        <f>IFERROR((CS514-CR514)/ABS(CR514),"")</f>
        <v>-0.98011363636363569</v>
      </c>
      <c r="CW514" s="1" t="s">
        <v>1205</v>
      </c>
      <c r="CX514" t="str">
        <f>IF(OR($CW514="prd",$CW514="std",$CW514="cit"),"loc",IF(OR($CW514="eur",$CW514="reg",$CW514="coy"),"reg",$CW514))</f>
        <v>reg</v>
      </c>
      <c r="CY514" t="s">
        <v>668</v>
      </c>
      <c r="CZ514">
        <v>2010</v>
      </c>
      <c r="DA514">
        <v>2100</v>
      </c>
      <c r="DB514">
        <f>DA514-CZ514</f>
        <v>90</v>
      </c>
      <c r="DC514" t="str">
        <f>IF(DB514=0,"0",IF(AND(DB514&gt;=1,DB514&lt;=30),"1-30",IF(AND(DB514&gt;30,DB514&lt;=70),"31-70",IF(AND(DB514&gt;70,DB514&lt;=100),"71-100",IF(DB514&gt;100,"+100")))))</f>
        <v>71-100</v>
      </c>
      <c r="DD514">
        <v>0</v>
      </c>
      <c r="DE514">
        <v>1</v>
      </c>
      <c r="DF514">
        <v>1</v>
      </c>
      <c r="DG514">
        <v>1</v>
      </c>
      <c r="DI514">
        <f>SUM(DD514:DG514)</f>
        <v>3</v>
      </c>
      <c r="DJ514" t="str">
        <f>IF(DI514=1,INDEX($DD$7:$DG$7,MATCH(1,$DD514:$DG514,0)),"mixedProduct")</f>
        <v>mixedProduct</v>
      </c>
      <c r="DK514">
        <f>IF(DD514=1,DK$7,0)</f>
        <v>0</v>
      </c>
      <c r="DL514" t="str">
        <f>IF(DE514=1,DL$7,0)</f>
        <v>Energy</v>
      </c>
      <c r="DM514" t="str">
        <f>IF(DF514=1,DM$7,0)</f>
        <v>Pulp/Paper</v>
      </c>
      <c r="DN514" t="str">
        <f>IF(DG514=1,DN$7,0)</f>
        <v>Timber</v>
      </c>
      <c r="DO514">
        <v>1</v>
      </c>
      <c r="DP514" s="143">
        <v>0</v>
      </c>
      <c r="DQ514" s="143">
        <v>0</v>
      </c>
      <c r="DR514" s="143">
        <v>0</v>
      </c>
      <c r="DS514">
        <v>0</v>
      </c>
      <c r="DT514">
        <f>SUM(DO514:DP514)</f>
        <v>1</v>
      </c>
      <c r="DU514" s="143" t="str">
        <f>IF(DO514=1,"self-calculated DF",IF(DP514=1,"external DF used","explicit C balance"))</f>
        <v>self-calculated DF</v>
      </c>
      <c r="DV514">
        <v>1</v>
      </c>
      <c r="DW514" s="143">
        <v>1</v>
      </c>
      <c r="DX514" s="143">
        <v>1</v>
      </c>
      <c r="DY514" s="143">
        <v>1</v>
      </c>
      <c r="DZ514">
        <v>1</v>
      </c>
      <c r="EA514" s="141">
        <v>0</v>
      </c>
      <c r="EB514">
        <v>0</v>
      </c>
      <c r="EC514" s="143">
        <v>0</v>
      </c>
      <c r="ED514" s="143">
        <v>0</v>
      </c>
      <c r="EE514">
        <v>0</v>
      </c>
      <c r="EF514">
        <v>1</v>
      </c>
      <c r="EG514" s="143">
        <v>0</v>
      </c>
      <c r="EH514" s="143">
        <v>0</v>
      </c>
      <c r="EI514" s="2">
        <v>0</v>
      </c>
      <c r="EK514" t="str">
        <f>IF(AND(AND(AND(OR($DX514=1,$DW514=1),OR($EC514=1,$EA514=1)),SUM($DV514:$DZ514,$EF514)&gt;=4),SUM($EA514:$EE514)&gt;=2),"Whole sector","")</f>
        <v/>
      </c>
      <c r="EL514" t="str">
        <f>IF(AND(AND(OR($DX514=1,$DW514=1),AND($EC514=0,$EA514=0)),SUM($DV514:$DZ514,$EF514)&gt;=4),"Ecosystem approach","")</f>
        <v>Ecosystem approach</v>
      </c>
      <c r="EM514" s="2" t="str">
        <f>IF(AND(AND(AND($DX514=0,$DW514=0),OR($EC514=1,$EA514=1)),SUM($EB514:$EE514)&gt;=2),"Technology approach","")</f>
        <v/>
      </c>
      <c r="EN514" t="s">
        <v>3285</v>
      </c>
      <c r="EP514" t="str">
        <f>IF(ISNUMBER(BU514),IF(ABS(BU514-[4]QC_indicators!$B$2)&gt;3*[4]QC_indicators!$C$2,"C ratio",IF(ISNUMBER(BY514),IF(ABS(BY514-[4]QC_indicators!$B$1)&gt;3*[4]QC_indicators!$C$1,"DF","no"))),IF(ISNUMBER(BY514),IF(ABS(BY514-[4]QC_indicators!$B$1)&gt;3*[4]QC_indicators!$C$1,"DF","no")))</f>
        <v>no</v>
      </c>
      <c r="ET514" s="266" t="s">
        <v>3275</v>
      </c>
    </row>
    <row r="515" spans="1:150" ht="15" customHeight="1">
      <c r="A515" s="1" t="s">
        <v>1288</v>
      </c>
      <c r="B515" t="s">
        <v>1338</v>
      </c>
      <c r="C515" t="s">
        <v>1339</v>
      </c>
      <c r="D515" t="s">
        <v>1340</v>
      </c>
      <c r="E515" t="s">
        <v>1341</v>
      </c>
      <c r="F515" t="s">
        <v>1342</v>
      </c>
      <c r="G515" t="s">
        <v>1294</v>
      </c>
      <c r="H515" t="s">
        <v>255</v>
      </c>
      <c r="I515">
        <v>2016</v>
      </c>
      <c r="J515">
        <v>27</v>
      </c>
      <c r="K515" t="s">
        <v>1343</v>
      </c>
      <c r="M515" t="str">
        <f>LEFT($D515,FIND(",",$D515)-1)&amp;"_"&amp;I515&amp;L515</f>
        <v>Braun_2016</v>
      </c>
      <c r="N515" t="s">
        <v>223</v>
      </c>
      <c r="O515" s="145" t="s">
        <v>224</v>
      </c>
      <c r="Q515" t="s">
        <v>257</v>
      </c>
      <c r="R515" s="255" t="s">
        <v>226</v>
      </c>
      <c r="S515" s="1" t="s">
        <v>1350</v>
      </c>
      <c r="T515" t="s">
        <v>1345</v>
      </c>
      <c r="U515" t="s">
        <v>1352</v>
      </c>
      <c r="V515">
        <v>0</v>
      </c>
      <c r="W515">
        <v>0</v>
      </c>
      <c r="X515">
        <v>0</v>
      </c>
      <c r="Y515">
        <v>0</v>
      </c>
      <c r="Z515">
        <v>0</v>
      </c>
      <c r="AA515">
        <v>0</v>
      </c>
      <c r="AB515">
        <v>0</v>
      </c>
      <c r="AC515">
        <v>0</v>
      </c>
      <c r="AD515">
        <v>0</v>
      </c>
      <c r="AE515">
        <v>0</v>
      </c>
      <c r="AF515">
        <v>1</v>
      </c>
      <c r="AG515">
        <v>0</v>
      </c>
      <c r="AH515">
        <v>0</v>
      </c>
      <c r="AI515">
        <v>0</v>
      </c>
      <c r="AJ515">
        <v>0</v>
      </c>
      <c r="AK515">
        <v>0</v>
      </c>
      <c r="AL515">
        <v>0</v>
      </c>
      <c r="AM515">
        <v>0</v>
      </c>
      <c r="AN515">
        <v>0</v>
      </c>
      <c r="AO515">
        <v>0</v>
      </c>
      <c r="AP515">
        <v>0</v>
      </c>
      <c r="AQ515">
        <v>0</v>
      </c>
      <c r="AR515">
        <v>0</v>
      </c>
      <c r="AS515">
        <v>0</v>
      </c>
      <c r="AT515">
        <v>0</v>
      </c>
      <c r="AU515">
        <v>0</v>
      </c>
      <c r="AV515">
        <v>0</v>
      </c>
      <c r="AW515">
        <v>0</v>
      </c>
      <c r="AX515" s="141">
        <f>COUNTIF(V515:AW515,"&lt;&gt;0")</f>
        <v>1</v>
      </c>
      <c r="AY515" s="141">
        <f>COUNTIF(V515:AL515,"&lt;&gt;0")</f>
        <v>1</v>
      </c>
      <c r="AZ515">
        <f>COUNTIF(V515:AC515,"&lt;&gt;0")</f>
        <v>0</v>
      </c>
      <c r="BA515">
        <f>COUNTIF(AD515:AI515,"&lt;&gt;0")</f>
        <v>1</v>
      </c>
      <c r="BB515">
        <f>COUNTIF(AJ515:AL515,"&lt;&gt;0")</f>
        <v>0</v>
      </c>
      <c r="BC515">
        <f>COUNTIF(AS515:AW515,"&lt;&gt;0")</f>
        <v>0</v>
      </c>
      <c r="BD515">
        <f>COUNTIF(AM515:AR515,"&lt;&gt;0")</f>
        <v>0</v>
      </c>
      <c r="BE515" t="str">
        <f t="array" ref="BE515">IF(AY515=1,INDEX($V$7:$AL$7,MATCH(TRUE,INDEX($V515:$AW515&lt;&gt;0,),0)),IF(AY515=0,INDEX($AM$7:$AW$7,MATCH(1,$AM515:$AW515,0)),IF(BF515="Multiple strategies","mixed drivers",IF(BF515="Supply chain","multiple supply","multiple silviculture"))))</f>
        <v>supply chain organization</v>
      </c>
      <c r="BF515" s="2" t="str" cm="1">
        <f t="array" ref="BF515">IF(COUNTIF(AZ515:BB515,"&lt;&gt;0")=1,INDEX($V$4:$AW$4,MATCH(TRUE,INDEX($V515:$AW515&lt;&gt;0,),0)),IF(COUNTIF(AZ515:BB515,"&lt;&gt;0")=0,INDEX($AM$4:$AW$4,MATCH(1,$AM515:$AW515,0)),"Multiple strategies"))</f>
        <v>Supply chain</v>
      </c>
      <c r="BG515" s="1" t="s">
        <v>230</v>
      </c>
      <c r="BH515" t="s">
        <v>1346</v>
      </c>
      <c r="BI515" s="260" t="s">
        <v>3279</v>
      </c>
      <c r="BJ515" t="s">
        <v>1347</v>
      </c>
      <c r="BK515">
        <v>1.1674521913429727</v>
      </c>
      <c r="BL515">
        <v>1.8344709897610794</v>
      </c>
      <c r="BM515">
        <f>BL515/BK515</f>
        <v>1.5713457076566064</v>
      </c>
      <c r="BN515">
        <f>BL515-BK515</f>
        <v>0.66701879841810663</v>
      </c>
      <c r="BO515">
        <f>BN515*10^9</f>
        <v>667018798.41810668</v>
      </c>
      <c r="BP515" t="s">
        <v>233</v>
      </c>
      <c r="BQ515" s="260" t="s">
        <v>3282</v>
      </c>
      <c r="BR515" t="s">
        <v>1348</v>
      </c>
      <c r="BS515" s="266">
        <v>1.0255972696245701</v>
      </c>
      <c r="BT515" s="266">
        <v>-0.32593856655289999</v>
      </c>
      <c r="BU515" s="144">
        <f>IFERROR(BT515/BS515,"")</f>
        <v>-0.31780366056572379</v>
      </c>
      <c r="BV515">
        <f>BT515-BS515</f>
        <v>-1.3515358361774701</v>
      </c>
      <c r="BX515">
        <f>BV515*10^9</f>
        <v>-1351535836.17747</v>
      </c>
      <c r="BY515">
        <f>IFERROR(BX515/BO515,"")</f>
        <v>-2.0262335025380924</v>
      </c>
      <c r="BZ515" s="143">
        <v>0</v>
      </c>
      <c r="CA515" s="143">
        <v>0</v>
      </c>
      <c r="CB515" s="143">
        <v>0</v>
      </c>
      <c r="CC515" s="143">
        <v>0</v>
      </c>
      <c r="CD515" s="143">
        <v>0</v>
      </c>
      <c r="CE515" s="143">
        <v>0</v>
      </c>
      <c r="CF515" s="143">
        <v>0</v>
      </c>
      <c r="CG515" s="143">
        <v>0</v>
      </c>
      <c r="CH515" s="143">
        <v>0</v>
      </c>
      <c r="CI515" s="143">
        <v>0</v>
      </c>
      <c r="CJ515" s="143">
        <v>0</v>
      </c>
      <c r="CK515" s="143">
        <v>0</v>
      </c>
      <c r="CL515" s="143">
        <v>0</v>
      </c>
      <c r="CM515">
        <v>0</v>
      </c>
      <c r="CN515" t="str">
        <f>IF($BL515&lt;$BK515,"refNeedCorrection","refOK")</f>
        <v>refOK</v>
      </c>
      <c r="CO515">
        <f>IF($CN515="refOK",$BK515,$BL515)</f>
        <v>1.1674521913429727</v>
      </c>
      <c r="CP515">
        <f>IF($CN515="refOK",$BL515,$BK515)</f>
        <v>1.8344709897610794</v>
      </c>
      <c r="CQ515">
        <f>IF($CN515="refOK",$BO515,-$BO515)</f>
        <v>667018798.41810668</v>
      </c>
      <c r="CR515">
        <f>IF($CN515="refOK",$BS515,$BT515)*IF($BP515="Emissions positive",-1,1)</f>
        <v>1.0255972696245701</v>
      </c>
      <c r="CS515">
        <f>IF($CN515="refOK",$BT515,$BS515)*IF($BP515="Emissions positive",-1,1)</f>
        <v>-0.32593856655289999</v>
      </c>
      <c r="CT515">
        <f>IF($CN515="refNeedCorrection",-BX515,BX515)*IF($BP515="Emissions positive",-1,1)</f>
        <v>-1351535836.17747</v>
      </c>
      <c r="CU515">
        <f>IFERROR(CT515/CQ515,"")</f>
        <v>-2.0262335025380924</v>
      </c>
      <c r="CV515" s="2">
        <f>IFERROR((CS515-CR515)/ABS(CR515),"")</f>
        <v>-1.3178036605657237</v>
      </c>
      <c r="CW515" s="1" t="s">
        <v>1205</v>
      </c>
      <c r="CX515" t="str">
        <f>IF(OR($CW515="prd",$CW515="std",$CW515="cit"),"loc",IF(OR($CW515="eur",$CW515="reg",$CW515="coy"),"reg",$CW515))</f>
        <v>reg</v>
      </c>
      <c r="CY515" t="s">
        <v>668</v>
      </c>
      <c r="CZ515">
        <v>2010</v>
      </c>
      <c r="DA515">
        <v>2100</v>
      </c>
      <c r="DB515">
        <f>DA515-CZ515</f>
        <v>90</v>
      </c>
      <c r="DC515" t="str">
        <f>IF(DB515=0,"0",IF(AND(DB515&gt;=1,DB515&lt;=30),"1-30",IF(AND(DB515&gt;30,DB515&lt;=70),"31-70",IF(AND(DB515&gt;70,DB515&lt;=100),"71-100",IF(DB515&gt;100,"+100")))))</f>
        <v>71-100</v>
      </c>
      <c r="DD515">
        <v>0</v>
      </c>
      <c r="DE515">
        <v>1</v>
      </c>
      <c r="DF515">
        <v>1</v>
      </c>
      <c r="DG515">
        <v>1</v>
      </c>
      <c r="DI515">
        <f>SUM(DD515:DG515)</f>
        <v>3</v>
      </c>
      <c r="DJ515" t="str">
        <f>IF(DI515=1,INDEX($DD$7:$DG$7,MATCH(1,$DD515:$DG515,0)),"mixedProduct")</f>
        <v>mixedProduct</v>
      </c>
      <c r="DK515">
        <f>IF(DD515=1,DK$7,0)</f>
        <v>0</v>
      </c>
      <c r="DL515" t="str">
        <f>IF(DE515=1,DL$7,0)</f>
        <v>Energy</v>
      </c>
      <c r="DM515" t="str">
        <f>IF(DF515=1,DM$7,0)</f>
        <v>Pulp/Paper</v>
      </c>
      <c r="DN515" t="str">
        <f>IF(DG515=1,DN$7,0)</f>
        <v>Timber</v>
      </c>
      <c r="DO515">
        <v>1</v>
      </c>
      <c r="DP515" s="143">
        <v>0</v>
      </c>
      <c r="DQ515" s="143">
        <v>0</v>
      </c>
      <c r="DR515" s="143">
        <v>0</v>
      </c>
      <c r="DS515">
        <v>0</v>
      </c>
      <c r="DT515">
        <f>SUM(DO515:DP515)</f>
        <v>1</v>
      </c>
      <c r="DU515" s="143" t="str">
        <f>IF(DO515=1,"self-calculated DF",IF(DP515=1,"external DF used","explicit C balance"))</f>
        <v>self-calculated DF</v>
      </c>
      <c r="DV515">
        <v>1</v>
      </c>
      <c r="DW515" s="143">
        <v>1</v>
      </c>
      <c r="DX515" s="143">
        <v>1</v>
      </c>
      <c r="DY515" s="143">
        <v>0</v>
      </c>
      <c r="DZ515">
        <v>0</v>
      </c>
      <c r="EA515" s="141">
        <v>0</v>
      </c>
      <c r="EB515">
        <v>0</v>
      </c>
      <c r="EC515" s="143">
        <v>0</v>
      </c>
      <c r="ED515" s="143">
        <v>0</v>
      </c>
      <c r="EE515">
        <v>0</v>
      </c>
      <c r="EF515">
        <v>1</v>
      </c>
      <c r="EG515" s="143">
        <v>0</v>
      </c>
      <c r="EH515" s="143">
        <v>0</v>
      </c>
      <c r="EI515" s="2">
        <v>0</v>
      </c>
      <c r="EK515" t="str">
        <f>IF(AND(AND(AND(OR($DX515=1,$DW515=1),OR($EC515=1,$EA515=1)),SUM($DV515:$DZ515,$EF515)&gt;=4),SUM($EA515:$EE515)&gt;=2),"Whole sector","")</f>
        <v/>
      </c>
      <c r="EL515" t="str">
        <f>IF(AND(AND(OR($DX515=1,$DW515=1),AND($EC515=0,$EA515=0)),SUM($DV515:$DZ515,$EF515)&gt;=4),"Ecosystem approach","")</f>
        <v>Ecosystem approach</v>
      </c>
      <c r="EM515" s="2" t="str">
        <f>IF(AND(AND(AND($DX515=0,$DW515=0),OR($EC515=1,$EA515=1)),SUM($EB515:$EE515)&gt;=2),"Technology approach","")</f>
        <v/>
      </c>
      <c r="EN515" t="s">
        <v>3285</v>
      </c>
      <c r="EP515" t="str">
        <f>IF(ISNUMBER(BU515),IF(ABS(BU515-[4]QC_indicators!$B$2)&gt;3*[4]QC_indicators!$C$2,"C ratio",IF(ISNUMBER(BY515),IF(ABS(BY515-[4]QC_indicators!$B$1)&gt;3*[4]QC_indicators!$C$1,"DF","no"))),IF(ISNUMBER(BY515),IF(ABS(BY515-[4]QC_indicators!$B$1)&gt;3*[4]QC_indicators!$C$1,"DF","no")))</f>
        <v>no</v>
      </c>
      <c r="ET515" s="266" t="s">
        <v>3275</v>
      </c>
    </row>
    <row r="516" spans="1:150" ht="15" customHeight="1">
      <c r="A516" s="1" t="s">
        <v>1288</v>
      </c>
      <c r="B516" t="s">
        <v>1338</v>
      </c>
      <c r="C516" t="s">
        <v>1339</v>
      </c>
      <c r="D516" t="s">
        <v>1340</v>
      </c>
      <c r="E516" t="s">
        <v>1341</v>
      </c>
      <c r="F516" t="s">
        <v>1342</v>
      </c>
      <c r="G516" t="s">
        <v>1294</v>
      </c>
      <c r="H516" t="s">
        <v>255</v>
      </c>
      <c r="I516">
        <v>2016</v>
      </c>
      <c r="J516">
        <v>27</v>
      </c>
      <c r="K516" t="s">
        <v>1343</v>
      </c>
      <c r="M516" t="str">
        <f>LEFT($D516,FIND(",",$D516)-1)&amp;"_"&amp;I516&amp;L516</f>
        <v>Braun_2016</v>
      </c>
      <c r="N516" t="s">
        <v>223</v>
      </c>
      <c r="O516" s="145" t="s">
        <v>224</v>
      </c>
      <c r="Q516" t="s">
        <v>257</v>
      </c>
      <c r="R516" s="255" t="s">
        <v>226</v>
      </c>
      <c r="S516" s="1" t="s">
        <v>1350</v>
      </c>
      <c r="T516" t="s">
        <v>1345</v>
      </c>
      <c r="U516" t="s">
        <v>1353</v>
      </c>
      <c r="V516">
        <v>0</v>
      </c>
      <c r="W516">
        <v>0</v>
      </c>
      <c r="X516">
        <v>0</v>
      </c>
      <c r="Y516">
        <v>0</v>
      </c>
      <c r="Z516">
        <v>0</v>
      </c>
      <c r="AA516">
        <v>0</v>
      </c>
      <c r="AB516">
        <v>0</v>
      </c>
      <c r="AC516">
        <v>0</v>
      </c>
      <c r="AD516">
        <v>0</v>
      </c>
      <c r="AE516">
        <v>0</v>
      </c>
      <c r="AF516">
        <v>1</v>
      </c>
      <c r="AG516">
        <v>0</v>
      </c>
      <c r="AH516">
        <v>0</v>
      </c>
      <c r="AI516">
        <v>0</v>
      </c>
      <c r="AJ516">
        <v>0</v>
      </c>
      <c r="AK516">
        <v>0</v>
      </c>
      <c r="AL516">
        <v>0</v>
      </c>
      <c r="AM516">
        <v>0</v>
      </c>
      <c r="AN516">
        <v>0</v>
      </c>
      <c r="AO516">
        <v>0</v>
      </c>
      <c r="AP516">
        <v>0</v>
      </c>
      <c r="AQ516">
        <v>0</v>
      </c>
      <c r="AR516">
        <v>0</v>
      </c>
      <c r="AS516">
        <v>0</v>
      </c>
      <c r="AT516">
        <v>0</v>
      </c>
      <c r="AU516">
        <v>0</v>
      </c>
      <c r="AV516">
        <v>0</v>
      </c>
      <c r="AW516">
        <v>0</v>
      </c>
      <c r="AX516" s="141">
        <f>COUNTIF(V516:AW516,"&lt;&gt;0")</f>
        <v>1</v>
      </c>
      <c r="AY516" s="141">
        <f>COUNTIF(V516:AL516,"&lt;&gt;0")</f>
        <v>1</v>
      </c>
      <c r="AZ516">
        <f>COUNTIF(V516:AC516,"&lt;&gt;0")</f>
        <v>0</v>
      </c>
      <c r="BA516">
        <f>COUNTIF(AD516:AI516,"&lt;&gt;0")</f>
        <v>1</v>
      </c>
      <c r="BB516">
        <f>COUNTIF(AJ516:AL516,"&lt;&gt;0")</f>
        <v>0</v>
      </c>
      <c r="BC516">
        <f>COUNTIF(AS516:AW516,"&lt;&gt;0")</f>
        <v>0</v>
      </c>
      <c r="BD516">
        <f>COUNTIF(AM516:AR516,"&lt;&gt;0")</f>
        <v>0</v>
      </c>
      <c r="BE516" t="str">
        <f t="array" ref="BE516">IF(AY516=1,INDEX($V$7:$AL$7,MATCH(TRUE,INDEX($V516:$AW516&lt;&gt;0,),0)),IF(AY516=0,INDEX($AM$7:$AW$7,MATCH(1,$AM516:$AW516,0)),IF(BF516="Multiple strategies","mixed drivers",IF(BF516="Supply chain","multiple supply","multiple silviculture"))))</f>
        <v>supply chain organization</v>
      </c>
      <c r="BF516" s="2" t="str" cm="1">
        <f t="array" ref="BF516">IF(COUNTIF(AZ516:BB516,"&lt;&gt;0")=1,INDEX($V$4:$AW$4,MATCH(TRUE,INDEX($V516:$AW516&lt;&gt;0,),0)),IF(COUNTIF(AZ516:BB516,"&lt;&gt;0")=0,INDEX($AM$4:$AW$4,MATCH(1,$AM516:$AW516,0)),"Multiple strategies"))</f>
        <v>Supply chain</v>
      </c>
      <c r="BG516" s="1" t="s">
        <v>230</v>
      </c>
      <c r="BH516" t="s">
        <v>1346</v>
      </c>
      <c r="BI516" s="260" t="s">
        <v>3279</v>
      </c>
      <c r="BJ516" t="s">
        <v>1347</v>
      </c>
      <c r="BK516">
        <v>1.1674521913429727</v>
      </c>
      <c r="BL516">
        <v>1.8900610197538394</v>
      </c>
      <c r="BM516">
        <f>BL516/BK516</f>
        <v>1.6189622442522613</v>
      </c>
      <c r="BN516">
        <f>BL516-BK516</f>
        <v>0.72260882841086671</v>
      </c>
      <c r="BO516">
        <f>BN516*10^9</f>
        <v>722608828.41086674</v>
      </c>
      <c r="BP516" t="s">
        <v>233</v>
      </c>
      <c r="BQ516" s="260" t="s">
        <v>3282</v>
      </c>
      <c r="BR516" t="s">
        <v>1348</v>
      </c>
      <c r="BS516" s="266">
        <v>1.0255972696245701</v>
      </c>
      <c r="BT516" s="266">
        <v>-0.26450511945392402</v>
      </c>
      <c r="BU516" s="144">
        <f>IFERROR(BT516/BS516,"")</f>
        <v>-0.25790349417637265</v>
      </c>
      <c r="BV516">
        <f>BT516-BS516</f>
        <v>-1.2901023890784942</v>
      </c>
      <c r="BX516">
        <f>BV516*10^9</f>
        <v>-1290102389.0784941</v>
      </c>
      <c r="BY516">
        <f>IFERROR(BX516/BO516,"")</f>
        <v>-1.7853399216220995</v>
      </c>
      <c r="BZ516" s="143">
        <v>0</v>
      </c>
      <c r="CA516" s="143">
        <v>0</v>
      </c>
      <c r="CB516" s="143">
        <v>0</v>
      </c>
      <c r="CC516" s="143">
        <v>0</v>
      </c>
      <c r="CD516" s="143">
        <v>0</v>
      </c>
      <c r="CE516" s="143">
        <v>0</v>
      </c>
      <c r="CF516" s="143">
        <v>0</v>
      </c>
      <c r="CG516" s="143">
        <v>0</v>
      </c>
      <c r="CH516" s="143">
        <v>0</v>
      </c>
      <c r="CI516" s="143">
        <v>0</v>
      </c>
      <c r="CJ516" s="143">
        <v>0</v>
      </c>
      <c r="CK516" s="143">
        <v>0</v>
      </c>
      <c r="CL516" s="143">
        <v>0</v>
      </c>
      <c r="CM516">
        <v>0</v>
      </c>
      <c r="CN516" t="str">
        <f>IF($BL516&lt;$BK516,"refNeedCorrection","refOK")</f>
        <v>refOK</v>
      </c>
      <c r="CO516">
        <f>IF($CN516="refOK",$BK516,$BL516)</f>
        <v>1.1674521913429727</v>
      </c>
      <c r="CP516">
        <f>IF($CN516="refOK",$BL516,$BK516)</f>
        <v>1.8900610197538394</v>
      </c>
      <c r="CQ516">
        <f>IF($CN516="refOK",$BO516,-$BO516)</f>
        <v>722608828.41086674</v>
      </c>
      <c r="CR516">
        <f>IF($CN516="refOK",$BS516,$BT516)*IF($BP516="Emissions positive",-1,1)</f>
        <v>1.0255972696245701</v>
      </c>
      <c r="CS516">
        <f>IF($CN516="refOK",$BT516,$BS516)*IF($BP516="Emissions positive",-1,1)</f>
        <v>-0.26450511945392402</v>
      </c>
      <c r="CT516">
        <f>IF($CN516="refNeedCorrection",-BX516,BX516)*IF($BP516="Emissions positive",-1,1)</f>
        <v>-1290102389.0784941</v>
      </c>
      <c r="CU516">
        <f>IFERROR(CT516/CQ516,"")</f>
        <v>-1.7853399216220995</v>
      </c>
      <c r="CV516" s="2">
        <f>IFERROR((CS516-CR516)/ABS(CR516),"")</f>
        <v>-1.2579034941763727</v>
      </c>
      <c r="CW516" s="1" t="s">
        <v>1205</v>
      </c>
      <c r="CX516" t="str">
        <f>IF(OR($CW516="prd",$CW516="std",$CW516="cit"),"loc",IF(OR($CW516="eur",$CW516="reg",$CW516="coy"),"reg",$CW516))</f>
        <v>reg</v>
      </c>
      <c r="CY516" t="s">
        <v>668</v>
      </c>
      <c r="CZ516">
        <v>2010</v>
      </c>
      <c r="DA516">
        <v>2100</v>
      </c>
      <c r="DB516">
        <f>DA516-CZ516</f>
        <v>90</v>
      </c>
      <c r="DC516" t="str">
        <f>IF(DB516=0,"0",IF(AND(DB516&gt;=1,DB516&lt;=30),"1-30",IF(AND(DB516&gt;30,DB516&lt;=70),"31-70",IF(AND(DB516&gt;70,DB516&lt;=100),"71-100",IF(DB516&gt;100,"+100")))))</f>
        <v>71-100</v>
      </c>
      <c r="DD516">
        <v>0</v>
      </c>
      <c r="DE516">
        <v>1</v>
      </c>
      <c r="DF516">
        <v>1</v>
      </c>
      <c r="DG516">
        <v>1</v>
      </c>
      <c r="DI516">
        <f>SUM(DD516:DG516)</f>
        <v>3</v>
      </c>
      <c r="DJ516" t="str">
        <f>IF(DI516=1,INDEX($DD$7:$DG$7,MATCH(1,$DD516:$DG516,0)),"mixedProduct")</f>
        <v>mixedProduct</v>
      </c>
      <c r="DK516">
        <f>IF(DD516=1,DK$7,0)</f>
        <v>0</v>
      </c>
      <c r="DL516" t="str">
        <f>IF(DE516=1,DL$7,0)</f>
        <v>Energy</v>
      </c>
      <c r="DM516" t="str">
        <f>IF(DF516=1,DM$7,0)</f>
        <v>Pulp/Paper</v>
      </c>
      <c r="DN516" t="str">
        <f>IF(DG516=1,DN$7,0)</f>
        <v>Timber</v>
      </c>
      <c r="DO516">
        <v>1</v>
      </c>
      <c r="DP516" s="143">
        <v>0</v>
      </c>
      <c r="DQ516" s="143">
        <v>0</v>
      </c>
      <c r="DR516" s="143">
        <v>0</v>
      </c>
      <c r="DS516">
        <v>0</v>
      </c>
      <c r="DT516">
        <f>SUM(DO516:DP516)</f>
        <v>1</v>
      </c>
      <c r="DU516" s="143" t="str">
        <f>IF(DO516=1,"self-calculated DF",IF(DP516=1,"external DF used","explicit C balance"))</f>
        <v>self-calculated DF</v>
      </c>
      <c r="DV516">
        <v>1</v>
      </c>
      <c r="DW516" s="143">
        <v>1</v>
      </c>
      <c r="DX516" s="143">
        <v>1</v>
      </c>
      <c r="DY516" s="143">
        <v>0</v>
      </c>
      <c r="DZ516">
        <v>0</v>
      </c>
      <c r="EA516" s="141">
        <v>0</v>
      </c>
      <c r="EB516">
        <v>0</v>
      </c>
      <c r="EC516" s="143">
        <v>0</v>
      </c>
      <c r="ED516" s="143">
        <v>0</v>
      </c>
      <c r="EE516">
        <v>0</v>
      </c>
      <c r="EF516">
        <v>1</v>
      </c>
      <c r="EG516" s="143">
        <v>0</v>
      </c>
      <c r="EH516" s="143">
        <v>0</v>
      </c>
      <c r="EI516" s="2">
        <v>0</v>
      </c>
      <c r="EK516" t="str">
        <f>IF(AND(AND(AND(OR($DX516=1,$DW516=1),OR($EC516=1,$EA516=1)),SUM($DV516:$DZ516,$EF516)&gt;=4),SUM($EA516:$EE516)&gt;=2),"Whole sector","")</f>
        <v/>
      </c>
      <c r="EL516" t="str">
        <f>IF(AND(AND(OR($DX516=1,$DW516=1),AND($EC516=0,$EA516=0)),SUM($DV516:$DZ516,$EF516)&gt;=4),"Ecosystem approach","")</f>
        <v>Ecosystem approach</v>
      </c>
      <c r="EM516" s="2" t="str">
        <f>IF(AND(AND(AND($DX516=0,$DW516=0),OR($EC516=1,$EA516=1)),SUM($EB516:$EE516)&gt;=2),"Technology approach","")</f>
        <v/>
      </c>
      <c r="EN516" t="s">
        <v>3285</v>
      </c>
      <c r="EP516" t="str">
        <f>IF(ISNUMBER(BU516),IF(ABS(BU516-[4]QC_indicators!$B$2)&gt;3*[4]QC_indicators!$C$2,"C ratio",IF(ISNUMBER(BY516),IF(ABS(BY516-[4]QC_indicators!$B$1)&gt;3*[4]QC_indicators!$C$1,"DF","no"))),IF(ISNUMBER(BY516),IF(ABS(BY516-[4]QC_indicators!$B$1)&gt;3*[4]QC_indicators!$C$1,"DF","no")))</f>
        <v>no</v>
      </c>
      <c r="ET516" s="266" t="s">
        <v>3275</v>
      </c>
    </row>
    <row r="517" spans="1:150" ht="15" customHeight="1">
      <c r="A517" s="1" t="s">
        <v>506</v>
      </c>
      <c r="B517" t="s">
        <v>2029</v>
      </c>
      <c r="C517" t="s">
        <v>2030</v>
      </c>
      <c r="D517" t="s">
        <v>2031</v>
      </c>
      <c r="E517" s="266" t="s">
        <v>2032</v>
      </c>
      <c r="F517" t="s">
        <v>2033</v>
      </c>
      <c r="G517" t="s">
        <v>512</v>
      </c>
      <c r="H517" t="s">
        <v>255</v>
      </c>
      <c r="I517">
        <v>2017</v>
      </c>
      <c r="J517">
        <v>17</v>
      </c>
      <c r="K517" t="s">
        <v>2034</v>
      </c>
      <c r="M517" t="str">
        <f>LEFT($D517,FIND(",",$D517)-1)&amp;"_"&amp;I517&amp;L517</f>
        <v>Numazawa_2017</v>
      </c>
      <c r="N517" t="s">
        <v>223</v>
      </c>
      <c r="O517" s="157" t="s">
        <v>275</v>
      </c>
      <c r="P517" t="s">
        <v>514</v>
      </c>
      <c r="Q517" s="266" t="s">
        <v>390</v>
      </c>
      <c r="R517" s="271" t="s">
        <v>1156</v>
      </c>
      <c r="S517" s="1" t="s">
        <v>1743</v>
      </c>
      <c r="T517" t="s">
        <v>2035</v>
      </c>
      <c r="U517" t="s">
        <v>2036</v>
      </c>
      <c r="V517">
        <v>0</v>
      </c>
      <c r="W517">
        <v>0</v>
      </c>
      <c r="X517">
        <v>0</v>
      </c>
      <c r="Y517">
        <v>1</v>
      </c>
      <c r="Z517">
        <v>0</v>
      </c>
      <c r="AA517">
        <v>0</v>
      </c>
      <c r="AB517">
        <v>0</v>
      </c>
      <c r="AC517">
        <v>0</v>
      </c>
      <c r="AD517">
        <v>0</v>
      </c>
      <c r="AE517">
        <v>0</v>
      </c>
      <c r="AF517">
        <v>0</v>
      </c>
      <c r="AG517">
        <v>0</v>
      </c>
      <c r="AH517">
        <v>0</v>
      </c>
      <c r="AI517">
        <v>0</v>
      </c>
      <c r="AJ517">
        <v>0</v>
      </c>
      <c r="AK517">
        <v>0</v>
      </c>
      <c r="AL517">
        <v>0</v>
      </c>
      <c r="AM517">
        <v>0</v>
      </c>
      <c r="AN517">
        <v>0</v>
      </c>
      <c r="AO517">
        <v>0</v>
      </c>
      <c r="AP517">
        <v>0</v>
      </c>
      <c r="AQ517">
        <v>0</v>
      </c>
      <c r="AR517">
        <v>0</v>
      </c>
      <c r="AS517">
        <v>0</v>
      </c>
      <c r="AT517">
        <v>0</v>
      </c>
      <c r="AU517">
        <v>0</v>
      </c>
      <c r="AV517">
        <v>0</v>
      </c>
      <c r="AW517">
        <v>0</v>
      </c>
      <c r="AX517" s="141">
        <f>COUNTIF(V517:AW517,"&lt;&gt;0")</f>
        <v>1</v>
      </c>
      <c r="AY517" s="141">
        <f>COUNTIF(V517:AL517,"&lt;&gt;0")</f>
        <v>1</v>
      </c>
      <c r="AZ517">
        <f>COUNTIF(V517:AC517,"&lt;&gt;0")</f>
        <v>1</v>
      </c>
      <c r="BA517">
        <f>COUNTIF(AD517:AI517,"&lt;&gt;0")</f>
        <v>0</v>
      </c>
      <c r="BB517">
        <f>COUNTIF(AJ517:AL517,"&lt;&gt;0")</f>
        <v>0</v>
      </c>
      <c r="BC517">
        <f>COUNTIF(AS517:AW517,"&lt;&gt;0")</f>
        <v>0</v>
      </c>
      <c r="BD517">
        <f>COUNTIF(AM517:AR517,"&lt;&gt;0")</f>
        <v>0</v>
      </c>
      <c r="BE517" t="str" cm="1">
        <f t="array" ref="BE517">IF(AY517=1,INDEX($V$7:$AL$7,MATCH(TRUE,INDEX($V517:$AW517&lt;&gt;0,),0)),IF(AY517=0,INDEX($AM$7:$AW$7,MATCH(1,$AM517:$AW517,0)),IF(BF517="Multiple strategies","mixed drivers",IF(BF517="Supply chain","multiple supply","multiple silviculture"))))</f>
        <v xml:space="preserve">cutting intensity </v>
      </c>
      <c r="BF517" s="2" t="str" cm="1">
        <f t="array" ref="BF517">IF(COUNTIF(AZ517:BB517,"&lt;&gt;0")=1,INDEX($V$4:$AW$4,MATCH(TRUE,INDEX($V517:$AW517&lt;&gt;0,),0)),IF(COUNTIF(AZ517:BB517,"&lt;&gt;0")=0,INDEX($AM$4:$AW$4,MATCH(1,$AM517:$AW517,0)),"Multiple strategies"))</f>
        <v>SilvicultureRemov</v>
      </c>
      <c r="BG517" s="1" t="s">
        <v>322</v>
      </c>
      <c r="BJ517" t="s">
        <v>786</v>
      </c>
      <c r="BK517">
        <v>10.199999999999999</v>
      </c>
      <c r="BL517">
        <v>19.5</v>
      </c>
      <c r="BM517">
        <f>IFERROR(BL517/BK517,"")</f>
        <v>1.911764705882353</v>
      </c>
      <c r="BN517">
        <f>BL517-BK517</f>
        <v>9.3000000000000007</v>
      </c>
      <c r="BO517">
        <f>BN517*t_to_m3</f>
        <v>18.979591836734695</v>
      </c>
      <c r="BP517" s="266" t="s">
        <v>233</v>
      </c>
      <c r="BR517" t="s">
        <v>2037</v>
      </c>
      <c r="BS517">
        <v>80</v>
      </c>
      <c r="BT517">
        <v>5</v>
      </c>
      <c r="BU517" s="144">
        <f>BT517/BS517</f>
        <v>6.25E-2</v>
      </c>
      <c r="BV517">
        <f>BT517-BS517</f>
        <v>-75</v>
      </c>
      <c r="BX517">
        <f>BV517</f>
        <v>-75</v>
      </c>
      <c r="BY517">
        <f>IFERROR(BX517/BO517,"")</f>
        <v>-3.9516129032258061</v>
      </c>
      <c r="BZ517">
        <v>0</v>
      </c>
      <c r="CA517">
        <v>0</v>
      </c>
      <c r="CB517">
        <v>0</v>
      </c>
      <c r="CC517">
        <v>0</v>
      </c>
      <c r="CD517">
        <v>0</v>
      </c>
      <c r="CE517">
        <v>0</v>
      </c>
      <c r="CF517">
        <v>0</v>
      </c>
      <c r="CG517">
        <v>0</v>
      </c>
      <c r="CH517">
        <v>0</v>
      </c>
      <c r="CI517">
        <v>0</v>
      </c>
      <c r="CJ517">
        <v>0</v>
      </c>
      <c r="CK517">
        <v>0</v>
      </c>
      <c r="CL517">
        <v>0</v>
      </c>
      <c r="CM517">
        <v>0</v>
      </c>
      <c r="CN517" t="str">
        <f>IF($BL517&lt;$BK517,"refNeedCorrection","refOK")</f>
        <v>refOK</v>
      </c>
      <c r="CO517">
        <f>IF($CN517="refOK",$BK517,$BL517)</f>
        <v>10.199999999999999</v>
      </c>
      <c r="CP517">
        <f>IF($CN517="refOK",$BL517,$BK517)</f>
        <v>19.5</v>
      </c>
      <c r="CQ517">
        <f>IF($CN517="refOK",$BO517,-$BO517)</f>
        <v>18.979591836734695</v>
      </c>
      <c r="CR517">
        <f>IF($CN517="refOK",$BS517,$BT517)*IF($BP517="Emissions positive",-1,1)</f>
        <v>80</v>
      </c>
      <c r="CS517">
        <f>IF($CN517="refOK",$BT517,$BS517)*IF($BP517="Emissions positive",-1,1)</f>
        <v>5</v>
      </c>
      <c r="CT517">
        <f>IF($CN517="refNeedCorrection",-BX517,BX517)*IF($BP517="Emissions positive",-1,1)</f>
        <v>-75</v>
      </c>
      <c r="CU517">
        <f>IFERROR(CT517/CQ517,"")</f>
        <v>-3.9516129032258061</v>
      </c>
      <c r="CV517" s="2">
        <f>IFERROR((CS517-CR517)/ABS(CR517),"")</f>
        <v>-0.9375</v>
      </c>
      <c r="CW517" s="1" t="s">
        <v>2038</v>
      </c>
      <c r="CX517" s="266" t="str">
        <f>IF(OR($CW517="prd",$CW517="std",$CW517="cit"),"loc",IF(OR($CW517="eur",$CW517="reg",$CW517="coy"),"reg",$CW517))</f>
        <v>reg</v>
      </c>
      <c r="CY517" t="s">
        <v>521</v>
      </c>
      <c r="DB517">
        <v>120</v>
      </c>
      <c r="DC517" t="str">
        <f>IF(DB517=0,"0",IF(AND(DB517&gt;=1,DB517&lt;=30),"1-30",IF(AND(DB517&gt;30,DB517&lt;=70),"31-70",IF(AND(DB517&gt;70,DB517&lt;=100),"71-100",IF(DB517&gt;100,"+100")))))</f>
        <v>+100</v>
      </c>
      <c r="DD517">
        <v>1</v>
      </c>
      <c r="DE517">
        <v>0</v>
      </c>
      <c r="DF517">
        <v>0</v>
      </c>
      <c r="DG517">
        <v>0</v>
      </c>
      <c r="DH517">
        <v>0</v>
      </c>
      <c r="DI517">
        <f>SUM(DD517:DH517)</f>
        <v>1</v>
      </c>
      <c r="DJ517" t="str">
        <f>IF(DI517=1,INDEX($DD$7:$DG$7,MATCH(1,$DD517:$DG517,0)),"mixedProduct")</f>
        <v>UpstreamInput</v>
      </c>
      <c r="DK517" t="str">
        <f>IF(DD517=1,DK$7,0)</f>
        <v>Upstream</v>
      </c>
      <c r="DL517">
        <f>IF(DE517=1,DL$7,0)</f>
        <v>0</v>
      </c>
      <c r="DM517">
        <f>IF(DF517=1,DM$7,0)</f>
        <v>0</v>
      </c>
      <c r="DN517">
        <f>IF(DG517=1,DN$7,0)</f>
        <v>0</v>
      </c>
      <c r="DO517">
        <v>0</v>
      </c>
      <c r="DP517">
        <v>0</v>
      </c>
      <c r="DQ517">
        <v>0</v>
      </c>
      <c r="DR517">
        <v>0</v>
      </c>
      <c r="DS517">
        <v>0</v>
      </c>
      <c r="DT517"/>
      <c r="DU517" s="143" t="str">
        <f>IF(DO517=1,"self-calculated DF",IF(DP517=1,"external DF used","explicit C balance"))</f>
        <v>explicit C balance</v>
      </c>
      <c r="DV517">
        <v>0</v>
      </c>
      <c r="DW517">
        <v>1</v>
      </c>
      <c r="DX517">
        <v>1</v>
      </c>
      <c r="DY517">
        <v>1</v>
      </c>
      <c r="DZ517">
        <v>0</v>
      </c>
      <c r="EA517" s="143">
        <v>0</v>
      </c>
      <c r="EB517">
        <v>1</v>
      </c>
      <c r="EC517">
        <v>0</v>
      </c>
      <c r="ED517">
        <v>0</v>
      </c>
      <c r="EE517">
        <v>0</v>
      </c>
      <c r="EF517">
        <v>1</v>
      </c>
      <c r="EG517">
        <v>0</v>
      </c>
      <c r="EH517">
        <v>0</v>
      </c>
      <c r="EI517" s="2">
        <v>0</v>
      </c>
      <c r="EK517" t="str">
        <f>IF(AND(AND(AND(OR($DX517=1,$DW517=1),OR($EC517=1,$EA517=1)),SUM($DV517:$DZ517,$EF517)&gt;=4),SUM($EA517:$EE517)&gt;=2),"Whole sector","")</f>
        <v/>
      </c>
      <c r="EL517" t="str">
        <f>IF(AND(AND(OR($DX517=1,$DW517=1),AND($EC517=0,$EA517=0)),SUM($DV517:$DZ517,$EF517)&gt;=4),"Ecosystem approach","")</f>
        <v>Ecosystem approach</v>
      </c>
      <c r="EM517" s="2" t="str">
        <f>IF(AND(AND(AND($DX517=0,$DW517=0),OR($EC517=1,$EA517=1)),SUM($EB517:$EE517)&gt;=2),"Technology approach","")</f>
        <v/>
      </c>
      <c r="EP517" t="str">
        <f>IF(ISNUMBER(BU517),IF(ABS(BU517-[1]QC_indicators!$B$2)&gt;3*[1]QC_indicators!$C$2,"C ratio",IF(ISNUMBER(BY517),IF(ABS(BY517-[1]QC_indicators!$B$1)&gt;3*[1]QC_indicators!$C$1,"DF","no"))),IF(ISNUMBER(BY517),IF(ABS(BY517-[1]QC_indicators!$B$1)&gt;3*[1]QC_indicators!$C$1,"DF","no")))</f>
        <v>no</v>
      </c>
      <c r="ET517" s="266" t="s">
        <v>3409</v>
      </c>
    </row>
    <row r="518" spans="1:150" ht="15" customHeight="1">
      <c r="A518" s="1" t="s">
        <v>2543</v>
      </c>
      <c r="B518" t="s">
        <v>2544</v>
      </c>
      <c r="C518" t="s">
        <v>2545</v>
      </c>
      <c r="D518" t="s">
        <v>2546</v>
      </c>
      <c r="E518" t="s">
        <v>2547</v>
      </c>
      <c r="F518" t="s">
        <v>2548</v>
      </c>
      <c r="G518" t="s">
        <v>2549</v>
      </c>
      <c r="H518" t="s">
        <v>255</v>
      </c>
      <c r="I518">
        <v>2018</v>
      </c>
      <c r="J518">
        <v>16</v>
      </c>
      <c r="K518" t="s">
        <v>2550</v>
      </c>
      <c r="M518" t="str">
        <f>LEFT($D518,FIND(",",$D518)-1)&amp;"_"&amp;I518&amp;L518</f>
        <v>Lawrence_2018</v>
      </c>
      <c r="N518" t="s">
        <v>223</v>
      </c>
      <c r="O518" s="145" t="s">
        <v>226</v>
      </c>
      <c r="Q518" s="266" t="s">
        <v>257</v>
      </c>
      <c r="R518" s="271" t="s">
        <v>1156</v>
      </c>
      <c r="S518" s="1" t="s">
        <v>2551</v>
      </c>
      <c r="T518" t="s">
        <v>2552</v>
      </c>
      <c r="U518" t="s">
        <v>2553</v>
      </c>
      <c r="V518">
        <v>2</v>
      </c>
      <c r="W518">
        <v>0</v>
      </c>
      <c r="X518">
        <v>0</v>
      </c>
      <c r="Y518">
        <v>0</v>
      </c>
      <c r="Z518">
        <v>0</v>
      </c>
      <c r="AA518">
        <v>0</v>
      </c>
      <c r="AB518">
        <v>0</v>
      </c>
      <c r="AC518">
        <v>0</v>
      </c>
      <c r="AD518">
        <v>0</v>
      </c>
      <c r="AE518">
        <v>0</v>
      </c>
      <c r="AF518">
        <v>0</v>
      </c>
      <c r="AG518">
        <v>0</v>
      </c>
      <c r="AH518">
        <v>0</v>
      </c>
      <c r="AI518">
        <v>0</v>
      </c>
      <c r="AJ518">
        <v>0</v>
      </c>
      <c r="AK518">
        <v>0</v>
      </c>
      <c r="AL518">
        <v>0</v>
      </c>
      <c r="AM518">
        <v>0</v>
      </c>
      <c r="AN518">
        <v>1</v>
      </c>
      <c r="AO518">
        <v>2</v>
      </c>
      <c r="AP518">
        <v>2</v>
      </c>
      <c r="AQ518">
        <v>0</v>
      </c>
      <c r="AR518">
        <v>2</v>
      </c>
      <c r="AS518">
        <v>0</v>
      </c>
      <c r="AT518">
        <v>0</v>
      </c>
      <c r="AU518">
        <v>0</v>
      </c>
      <c r="AV518">
        <v>0</v>
      </c>
      <c r="AW518">
        <v>0</v>
      </c>
      <c r="AX518" s="141">
        <f>COUNTIF(V518:AW518,"&lt;&gt;0")</f>
        <v>5</v>
      </c>
      <c r="AY518" s="141">
        <f>COUNTIF(V518:AL518,"&lt;&gt;0")</f>
        <v>1</v>
      </c>
      <c r="AZ518">
        <f>COUNTIF(V518:AC518,"&lt;&gt;0")</f>
        <v>1</v>
      </c>
      <c r="BA518">
        <f>COUNTIF(AD518:AI518,"&lt;&gt;0")</f>
        <v>0</v>
      </c>
      <c r="BB518">
        <f>COUNTIF(AJ518:AL518,"&lt;&gt;0")</f>
        <v>0</v>
      </c>
      <c r="BC518">
        <f>COUNTIF(AS518:AW518,"&lt;&gt;0")</f>
        <v>0</v>
      </c>
      <c r="BD518">
        <f>COUNTIF(AM518:AR518,"&lt;&gt;0")</f>
        <v>4</v>
      </c>
      <c r="BE518" t="str" cm="1">
        <f t="array" ref="BE518">IF(AY518=1,INDEX($V$7:$AL$7,MATCH(TRUE,INDEX($V518:$AW518&lt;&gt;0,),0)),IF(AY518=0,INDEX($AM$7:$AW$7,MATCH(1,$AM518:$AW518,0)),IF(BF518="Multiple strategies","mixed drivers",IF(BF518="Supply chain","multiple supply","multiple silviculture"))))</f>
        <v>area subject to harvest</v>
      </c>
      <c r="BF518" s="2" t="str" cm="1">
        <f t="array" ref="BF518">IF(COUNTIF(AZ518:BB518,"&lt;&gt;0")=1,INDEX($V$4:$AW$4,MATCH(TRUE,INDEX($V518:$AW518&lt;&gt;0,),0)),IF(COUNTIF(AZ518:BB518,"&lt;&gt;0")=0,INDEX($AM$4:$AW$4,MATCH(1,$AM518:$AW518,0)),"Multiple strategies"))</f>
        <v>SilvicultureRemov</v>
      </c>
      <c r="BG518" s="1" t="s">
        <v>322</v>
      </c>
      <c r="BH518" t="s">
        <v>2554</v>
      </c>
      <c r="BJ518" t="s">
        <v>2555</v>
      </c>
      <c r="BK518">
        <v>1.7809999999999999</v>
      </c>
      <c r="BL518">
        <v>4.0309999999999997</v>
      </c>
      <c r="BM518" s="163">
        <v>2.2633352049410442</v>
      </c>
      <c r="BN518">
        <f>BL518-BK518</f>
        <v>2.25</v>
      </c>
      <c r="BO518" s="143">
        <f>BN518*10^9*tC_to_m3</f>
        <v>9769865392.9656982</v>
      </c>
      <c r="BP518" s="266" t="s">
        <v>233</v>
      </c>
      <c r="BQ518" s="266"/>
      <c r="BR518" t="s">
        <v>2555</v>
      </c>
      <c r="BS518" s="143">
        <v>-1225</v>
      </c>
      <c r="BT518">
        <v>-1287</v>
      </c>
      <c r="BU518" s="144">
        <v>1.0506122448979591</v>
      </c>
      <c r="BV518" s="169">
        <v>-62</v>
      </c>
      <c r="BX518" s="169">
        <f>BV518*10^9*C_to_CO2</f>
        <v>-227540000000</v>
      </c>
      <c r="BY518">
        <f>IFERROR(BX518/BO518,"")</f>
        <v>-23.289983111111109</v>
      </c>
      <c r="BZ518">
        <v>0</v>
      </c>
      <c r="CA518">
        <v>0</v>
      </c>
      <c r="CB518">
        <v>0</v>
      </c>
      <c r="CC518">
        <v>0</v>
      </c>
      <c r="CD518">
        <v>0</v>
      </c>
      <c r="CE518">
        <v>0</v>
      </c>
      <c r="CF518">
        <v>0</v>
      </c>
      <c r="CG518">
        <v>0</v>
      </c>
      <c r="CH518">
        <v>0</v>
      </c>
      <c r="CI518">
        <v>0</v>
      </c>
      <c r="CJ518">
        <v>0</v>
      </c>
      <c r="CK518">
        <v>0</v>
      </c>
      <c r="CL518">
        <v>0</v>
      </c>
      <c r="CM518">
        <v>0</v>
      </c>
      <c r="CN518" t="str">
        <f>IF($BL518&lt;$BK518,"refNeedCorrection","refOK")</f>
        <v>refOK</v>
      </c>
      <c r="CO518">
        <f>IF($CN518="refOK",$BK518,$BL518)</f>
        <v>1.7809999999999999</v>
      </c>
      <c r="CP518">
        <f>IF($CN518="refOK",$BL518,$BK518)</f>
        <v>4.0309999999999997</v>
      </c>
      <c r="CQ518">
        <f>IF($CN518="refOK",$BO518,-$BO518)</f>
        <v>9769865392.9656982</v>
      </c>
      <c r="CR518">
        <f>IF($CN518="refOK",$BS518,$BT518)*IF($BP518="Emissions positive",-1,1)</f>
        <v>-1225</v>
      </c>
      <c r="CS518">
        <f>IF($CN518="refOK",$BT518,$BS518)*IF($BP518="Emissions positive",-1,1)</f>
        <v>-1287</v>
      </c>
      <c r="CT518">
        <f>IF($CN518="refNeedCorrection",-BX518,BX518)*IF($BP518="Emissions positive",-1,1)</f>
        <v>-227540000000</v>
      </c>
      <c r="CU518">
        <f>IFERROR(CT518/CQ518,"")</f>
        <v>-23.289983111111109</v>
      </c>
      <c r="CV518" s="2">
        <f>IFERROR((CS518-CR518)/ABS(CR518),"")</f>
        <v>-5.0612244897959187E-2</v>
      </c>
      <c r="CW518" s="1" t="s">
        <v>2541</v>
      </c>
      <c r="CX518" s="266" t="str">
        <f>IF(OR($CW518="prd",$CW518="std",$CW518="cit"),"loc",IF(OR($CW518="eur",$CW518="reg",$CW518="coy"),"reg",$CW518))</f>
        <v>w</v>
      </c>
      <c r="CY518" s="266" t="s">
        <v>2542</v>
      </c>
      <c r="CZ518">
        <v>2011</v>
      </c>
      <c r="DA518" s="143">
        <v>2100</v>
      </c>
      <c r="DB518" s="143">
        <v>90</v>
      </c>
      <c r="DC518" t="str">
        <f>IF(DB518=0,"0",IF(AND(DB518&gt;=1,DB518&lt;=30),"1-30",IF(AND(DB518&gt;30,DB518&lt;=70),"31-70",IF(AND(DB518&gt;70,DB518&lt;=100),"71-100",IF(DB518&gt;100,"+100")))))</f>
        <v>71-100</v>
      </c>
      <c r="DD518">
        <v>0</v>
      </c>
      <c r="DE518">
        <v>0</v>
      </c>
      <c r="DF518">
        <v>0</v>
      </c>
      <c r="DG518">
        <v>0</v>
      </c>
      <c r="DI518">
        <f>SUM(DD518:DG518)</f>
        <v>0</v>
      </c>
      <c r="DJ518" t="str">
        <f>IF(DI518=1,INDEX($DD$7:$DG$7,MATCH(1,$DD518:$DG518,0)),"mixedProduct")</f>
        <v>mixedProduct</v>
      </c>
      <c r="DK518">
        <f>IF(DD518=1,DK$7,0)</f>
        <v>0</v>
      </c>
      <c r="DL518">
        <f>IF(DE518=1,DL$7,0)</f>
        <v>0</v>
      </c>
      <c r="DM518">
        <f>IF(DF518=1,DM$7,0)</f>
        <v>0</v>
      </c>
      <c r="DN518">
        <f>IF(DG518=1,DN$7,0)</f>
        <v>0</v>
      </c>
      <c r="DO518">
        <v>0</v>
      </c>
      <c r="DP518" s="143">
        <v>0</v>
      </c>
      <c r="DQ518" s="143">
        <v>0</v>
      </c>
      <c r="DR518">
        <v>0</v>
      </c>
      <c r="DS518" s="143">
        <v>0</v>
      </c>
      <c r="DT518">
        <f>SUM(DO518:DP518)</f>
        <v>0</v>
      </c>
      <c r="DU518" s="143" t="str">
        <f>IF(DO518=1,"self-calculated DF",IF(DP518=1,"external DF used","explicit C balance"))</f>
        <v>explicit C balance</v>
      </c>
      <c r="DV518" s="143">
        <v>1</v>
      </c>
      <c r="DW518" s="143">
        <v>1</v>
      </c>
      <c r="DX518" s="143">
        <v>1</v>
      </c>
      <c r="DY518" s="143">
        <v>1</v>
      </c>
      <c r="DZ518">
        <v>0</v>
      </c>
      <c r="EA518" s="143">
        <v>0</v>
      </c>
      <c r="EB518" s="143">
        <v>0</v>
      </c>
      <c r="EC518" s="143">
        <v>0</v>
      </c>
      <c r="ED518" s="143">
        <v>0</v>
      </c>
      <c r="EE518">
        <v>0</v>
      </c>
      <c r="EF518">
        <v>0</v>
      </c>
      <c r="EG518" s="143">
        <v>0</v>
      </c>
      <c r="EH518">
        <v>0</v>
      </c>
      <c r="EI518" s="2">
        <v>0</v>
      </c>
      <c r="EK518" t="str">
        <f>IF(AND(AND(AND(OR($DX518=1,$DW518=1),OR($EC518=1,$EA518=1)),SUM($DV518:$DZ518,$EF518)&gt;=4),SUM($EA518:$EE518)&gt;=2),"Whole sector","")</f>
        <v/>
      </c>
      <c r="EL518" t="str">
        <f>IF(AND(AND(OR($DX518=1,$DW518=1),AND($EC518=0,$EA518=0)),SUM($DV518:$DZ518,$EF518)&gt;=4),"Ecosystem approach","")</f>
        <v>Ecosystem approach</v>
      </c>
      <c r="EM518" s="2" t="str">
        <f>IF(AND(AND(AND($DX518=0,$DW518=0),OR($EC518=1,$EA518=1)),SUM($EB518:$EE518)&gt;=2),"Technology approach","")</f>
        <v/>
      </c>
      <c r="EP518" t="str">
        <f>IF(ISNUMBER(BU518),IF(ABS(BU518-[1]QC_indicators!$B$2)&gt;3*[1]QC_indicators!$C$2,"C ratio",IF(ISNUMBER(BY518),IF(ABS(BY518-[1]QC_indicators!$B$1)&gt;3*[1]QC_indicators!$C$1,"DF","no"))),IF(ISNUMBER(BY518),IF(ABS(BY518-[1]QC_indicators!$B$1)&gt;3*[1]QC_indicators!$C$1,"DF","no")))</f>
        <v>DF</v>
      </c>
      <c r="ER518" s="296" t="s">
        <v>350</v>
      </c>
      <c r="ET518" s="266" t="s">
        <v>3409</v>
      </c>
    </row>
    <row r="519" spans="1:150" ht="15" customHeight="1">
      <c r="A519" s="1" t="s">
        <v>1974</v>
      </c>
      <c r="B519" t="s">
        <v>2447</v>
      </c>
      <c r="C519" t="s">
        <v>2448</v>
      </c>
      <c r="D519" t="s">
        <v>2449</v>
      </c>
      <c r="E519" t="s">
        <v>2450</v>
      </c>
      <c r="F519" t="s">
        <v>2451</v>
      </c>
      <c r="G519" t="s">
        <v>1980</v>
      </c>
      <c r="H519" t="s">
        <v>255</v>
      </c>
      <c r="I519">
        <v>2018</v>
      </c>
      <c r="J519">
        <v>8</v>
      </c>
      <c r="K519" t="s">
        <v>2452</v>
      </c>
      <c r="M519" t="str">
        <f>LEFT($D519,FIND(",",$D519)-1)&amp;"_"&amp;I519&amp;L519</f>
        <v>Valade_2018</v>
      </c>
      <c r="N519" t="s">
        <v>223</v>
      </c>
      <c r="O519" s="145" t="s">
        <v>1156</v>
      </c>
      <c r="Q519" t="s">
        <v>257</v>
      </c>
      <c r="R519" s="255" t="s">
        <v>226</v>
      </c>
      <c r="S519" s="1" t="s">
        <v>2453</v>
      </c>
      <c r="T519" t="s">
        <v>2446</v>
      </c>
      <c r="U519" t="s">
        <v>2454</v>
      </c>
      <c r="V519">
        <v>1</v>
      </c>
      <c r="W519">
        <v>0</v>
      </c>
      <c r="X519">
        <v>0</v>
      </c>
      <c r="Y519">
        <v>0</v>
      </c>
      <c r="Z519">
        <v>0</v>
      </c>
      <c r="AA519">
        <v>0</v>
      </c>
      <c r="AB519">
        <v>0</v>
      </c>
      <c r="AC519">
        <v>0</v>
      </c>
      <c r="AD519">
        <v>0</v>
      </c>
      <c r="AE519">
        <v>0</v>
      </c>
      <c r="AF519">
        <v>0</v>
      </c>
      <c r="AG519">
        <v>0</v>
      </c>
      <c r="AH519">
        <v>0</v>
      </c>
      <c r="AI519">
        <v>0</v>
      </c>
      <c r="AJ519">
        <v>0</v>
      </c>
      <c r="AK519">
        <v>0</v>
      </c>
      <c r="AL519">
        <v>0</v>
      </c>
      <c r="AM519">
        <v>0</v>
      </c>
      <c r="AN519">
        <v>0</v>
      </c>
      <c r="AO519">
        <v>0</v>
      </c>
      <c r="AP519">
        <v>0</v>
      </c>
      <c r="AQ519">
        <v>0</v>
      </c>
      <c r="AR519">
        <v>0</v>
      </c>
      <c r="AS519">
        <v>0</v>
      </c>
      <c r="AT519">
        <v>0</v>
      </c>
      <c r="AU519">
        <v>0</v>
      </c>
      <c r="AV519">
        <v>0</v>
      </c>
      <c r="AW519">
        <v>0</v>
      </c>
      <c r="AX519" s="141">
        <f>COUNTIF(V519:AW519,"&lt;&gt;0")</f>
        <v>1</v>
      </c>
      <c r="AY519" s="141">
        <f>COUNTIF(V519:AL519,"&lt;&gt;0")</f>
        <v>1</v>
      </c>
      <c r="AZ519">
        <f>COUNTIF(V519:AC519,"&lt;&gt;0")</f>
        <v>1</v>
      </c>
      <c r="BA519">
        <f>COUNTIF(AD519:AI519,"&lt;&gt;0")</f>
        <v>0</v>
      </c>
      <c r="BB519">
        <f>COUNTIF(AJ519:AL519,"&lt;&gt;0")</f>
        <v>0</v>
      </c>
      <c r="BC519">
        <f>COUNTIF(AS519:AW519,"&lt;&gt;0")</f>
        <v>0</v>
      </c>
      <c r="BD519">
        <f>COUNTIF(AM519:AR519,"&lt;&gt;0")</f>
        <v>0</v>
      </c>
      <c r="BE519" t="str">
        <f t="array" ref="BE519">IF(AY519=1,INDEX($V$7:$AL$7,MATCH(TRUE,INDEX($V519:$AW519&lt;&gt;0,),0)),IF(AY519=0,INDEX($AM$7:$AW$7,MATCH(1,$AM519:$AW519,0)),IF(BF519="Multiple strategies","mixed drivers",IF(BF519="Supply chain","multiple supply","multiple silviculture"))))</f>
        <v>area subject to harvest</v>
      </c>
      <c r="BF519" s="2" t="str" cm="1">
        <f t="array" ref="BF519">IF(COUNTIF(AZ519:BB519,"&lt;&gt;0")=1,INDEX($V$4:$AW$4,MATCH(TRUE,INDEX($V519:$AW519&lt;&gt;0,),0)),IF(COUNTIF(AZ519:BB519,"&lt;&gt;0")=0,INDEX($AM$4:$AW$4,MATCH(1,$AM519:$AW519,0)),"Multiple strategies"))</f>
        <v>SilvicultureRemov</v>
      </c>
      <c r="BG519" s="1" t="s">
        <v>322</v>
      </c>
      <c r="BH519" t="s">
        <v>2455</v>
      </c>
      <c r="BI519" s="260" t="s">
        <v>3401</v>
      </c>
      <c r="BJ519" t="s">
        <v>1325</v>
      </c>
      <c r="BK519">
        <v>1168.5023099755704</v>
      </c>
      <c r="BL519">
        <v>1547.3378240138293</v>
      </c>
      <c r="BM519" s="143">
        <f>BL519/BK519</f>
        <v>1.3242060463245291</v>
      </c>
      <c r="BN519">
        <f>BL519-BK519</f>
        <v>378.83551403825891</v>
      </c>
      <c r="BO519">
        <f>BN519*10^6</f>
        <v>378835514.03825891</v>
      </c>
      <c r="BP519" t="s">
        <v>233</v>
      </c>
      <c r="BQ519" s="260" t="s">
        <v>3404</v>
      </c>
      <c r="BR519" t="s">
        <v>1361</v>
      </c>
      <c r="BS519">
        <v>391.99006315946394</v>
      </c>
      <c r="BT519">
        <v>233.39452399999999</v>
      </c>
      <c r="BU519" s="144">
        <f>IFERROR(BT519/BS519,"")</f>
        <v>0.59540928695698514</v>
      </c>
      <c r="BV519" s="144">
        <f>BT519-BS519</f>
        <v>-158.59553915946395</v>
      </c>
      <c r="BW519" s="144"/>
      <c r="BX519">
        <f>BV519*10^6*C_to_CO2</f>
        <v>-582045628.71523261</v>
      </c>
      <c r="BY519">
        <f>IFERROR(BX519/BO519,"")</f>
        <v>-1.5364072457484843</v>
      </c>
      <c r="BZ519">
        <v>0</v>
      </c>
      <c r="CA519">
        <v>0</v>
      </c>
      <c r="CB519">
        <v>0</v>
      </c>
      <c r="CC519">
        <v>0</v>
      </c>
      <c r="CD519">
        <v>0</v>
      </c>
      <c r="CE519">
        <v>0</v>
      </c>
      <c r="CF519">
        <v>0</v>
      </c>
      <c r="CG519">
        <v>0</v>
      </c>
      <c r="CH519">
        <v>0</v>
      </c>
      <c r="CI519">
        <v>0</v>
      </c>
      <c r="CJ519">
        <v>0</v>
      </c>
      <c r="CK519">
        <v>0</v>
      </c>
      <c r="CL519">
        <v>0</v>
      </c>
      <c r="CM519">
        <v>0</v>
      </c>
      <c r="CN519" t="str">
        <f>IF($BL519&lt;$BK519,"refNeedCorrection","refOK")</f>
        <v>refOK</v>
      </c>
      <c r="CO519">
        <f>IF($CN519="refNeedCorrection",BL519,BK519)</f>
        <v>1168.5023099755704</v>
      </c>
      <c r="CP519">
        <f>IF($CN519="refNeedCorrection",BK519,BL519)</f>
        <v>1547.3378240138293</v>
      </c>
      <c r="CQ519">
        <f>IF($CN519="refOK",$BO519,-$BO519)</f>
        <v>378835514.03825891</v>
      </c>
      <c r="CR519">
        <f>IF($CN519="refOK",$BS519,$BT519)*IF($BP519="Emissions positive",-1,1)</f>
        <v>391.99006315946394</v>
      </c>
      <c r="CS519">
        <f>IF($CN519="refOK",$BT519,$BS519)*IF($BP519="Emissions positive",-1,1)</f>
        <v>233.39452399999999</v>
      </c>
      <c r="CT519">
        <f>IF($CN519="refNeedCorrection",-BX519,BX519)*IF($BP519="Emissions positive",-1,1)</f>
        <v>-582045628.71523261</v>
      </c>
      <c r="CU519">
        <f>IFERROR(CT519/CQ519,"")</f>
        <v>-1.5364072457484843</v>
      </c>
      <c r="CV519" s="2">
        <f>IFERROR((CS519-CR519)/ABS(CR519),"")</f>
        <v>-0.40459071304301486</v>
      </c>
      <c r="CW519" s="1" t="s">
        <v>1205</v>
      </c>
      <c r="CX519" t="str">
        <f>IF(OR($CW519="prd",$CW519="std",$CW519="cit"),"loc",IF(OR($CW519="eur",$CW519="reg",$CW519="coy"),"reg",$CW519))</f>
        <v>reg</v>
      </c>
      <c r="CY519" t="s">
        <v>731</v>
      </c>
      <c r="CZ519">
        <v>2015</v>
      </c>
      <c r="DA519">
        <v>2040</v>
      </c>
      <c r="DB519">
        <f>DA519-CZ519</f>
        <v>25</v>
      </c>
      <c r="DC519" t="str">
        <f>IF(DB519=0,"0",IF(AND(DB519&gt;=1,DB519&lt;=30),"1-30",IF(AND(DB519&gt;30,DB519&lt;=70),"31-70",IF(AND(DB519&gt;70,DB519&lt;=100),"71-100",IF(DB519&gt;100,"+100")))))</f>
        <v>1-30</v>
      </c>
      <c r="DD519">
        <v>1</v>
      </c>
      <c r="DE519">
        <v>1</v>
      </c>
      <c r="DF519">
        <v>1</v>
      </c>
      <c r="DG519">
        <v>1</v>
      </c>
      <c r="DI519">
        <f>SUM(DD519:DG519)</f>
        <v>4</v>
      </c>
      <c r="DJ519" t="str">
        <f>IF(DI519=1,INDEX($DD$7:$DG$7,MATCH(1,$DD519:$DG519,0)),"mixedProduct")</f>
        <v>mixedProduct</v>
      </c>
      <c r="DK519" t="str">
        <f>IF(DD519=1,DK$7,0)</f>
        <v>Upstream</v>
      </c>
      <c r="DL519" t="str">
        <f>IF(DE519=1,DL$7,0)</f>
        <v>Energy</v>
      </c>
      <c r="DM519" t="str">
        <f>IF(DF519=1,DM$7,0)</f>
        <v>Pulp/Paper</v>
      </c>
      <c r="DN519" t="str">
        <f>IF(DG519=1,DN$7,0)</f>
        <v>Timber</v>
      </c>
      <c r="DO519">
        <v>0</v>
      </c>
      <c r="DP519">
        <v>0</v>
      </c>
      <c r="DQ519">
        <v>0</v>
      </c>
      <c r="DR519">
        <v>0</v>
      </c>
      <c r="DS519">
        <v>0</v>
      </c>
      <c r="DT519">
        <f>SUM(DO519:DP519)</f>
        <v>0</v>
      </c>
      <c r="DU519" s="143" t="str">
        <f>IF(DO519=1,"self-calculated DF",IF(DP519=1,"external DF used","explicit C balance"))</f>
        <v>explicit C balance</v>
      </c>
      <c r="DV519">
        <v>0</v>
      </c>
      <c r="DW519">
        <v>1</v>
      </c>
      <c r="DX519">
        <v>1</v>
      </c>
      <c r="DY519">
        <v>1</v>
      </c>
      <c r="DZ519">
        <v>1</v>
      </c>
      <c r="EA519" s="143">
        <v>0</v>
      </c>
      <c r="EB519">
        <v>0</v>
      </c>
      <c r="EC519">
        <v>0</v>
      </c>
      <c r="ED519">
        <v>0</v>
      </c>
      <c r="EE519">
        <v>0</v>
      </c>
      <c r="EF519">
        <v>1</v>
      </c>
      <c r="EG519">
        <v>0</v>
      </c>
      <c r="EH519">
        <v>0</v>
      </c>
      <c r="EI519" s="2">
        <v>0</v>
      </c>
      <c r="EK519" t="str">
        <f>IF(AND(AND(AND(OR($DX519=1,$DW519=1),OR($EC519=1,$EA519=1)),SUM($DV519:$DZ519,$EF519)&gt;=4),SUM($EA519:$EE519)&gt;=2),"Whole sector","")</f>
        <v/>
      </c>
      <c r="EL519" t="str">
        <f>IF(AND(AND(OR($DX519=1,$DW519=1),AND($EC519=0,$EA519=0)),SUM($DV519:$DZ519,$EF519)&gt;=4),"Ecosystem approach","")</f>
        <v>Ecosystem approach</v>
      </c>
      <c r="EM519" s="2" t="str">
        <f>IF(AND(AND(AND($DX519=0,$DW519=0),OR($EC519=1,$EA519=1)),SUM($EB519:$EE519)&gt;=2),"Technology approach","")</f>
        <v/>
      </c>
      <c r="EP519" t="str">
        <f>IF(ISNUMBER(BU519),IF(ABS(BU519-[4]QC_indicators!$B$2)&gt;3*[4]QC_indicators!$C$2,"C ratio",IF(ISNUMBER(BY519),IF(ABS(BY519-[4]QC_indicators!$B$1)&gt;3*[4]QC_indicators!$C$1,"DF","no"))),IF(ISNUMBER(BY519),IF(ABS(BY519-[4]QC_indicators!$B$1)&gt;3*[4]QC_indicators!$C$1,"DF","no")))</f>
        <v>no</v>
      </c>
      <c r="EQ519" t="s">
        <v>2380</v>
      </c>
      <c r="ET519" s="266" t="s">
        <v>3275</v>
      </c>
    </row>
    <row r="520" spans="1:150" ht="15" customHeight="1">
      <c r="A520" s="1" t="s">
        <v>1974</v>
      </c>
      <c r="B520" t="s">
        <v>2447</v>
      </c>
      <c r="C520" t="s">
        <v>2448</v>
      </c>
      <c r="D520" t="s">
        <v>2449</v>
      </c>
      <c r="E520" t="s">
        <v>2450</v>
      </c>
      <c r="F520" t="s">
        <v>2451</v>
      </c>
      <c r="G520" t="s">
        <v>1980</v>
      </c>
      <c r="H520" t="s">
        <v>255</v>
      </c>
      <c r="I520">
        <v>2018</v>
      </c>
      <c r="J520">
        <v>8</v>
      </c>
      <c r="K520" t="s">
        <v>2452</v>
      </c>
      <c r="M520" t="str">
        <f>LEFT($D520,FIND(",",$D520)-1)&amp;"_"&amp;I520&amp;L520</f>
        <v>Valade_2018</v>
      </c>
      <c r="N520" t="s">
        <v>223</v>
      </c>
      <c r="O520" s="145" t="s">
        <v>1156</v>
      </c>
      <c r="Q520" t="s">
        <v>257</v>
      </c>
      <c r="R520" s="255" t="s">
        <v>226</v>
      </c>
      <c r="S520" s="1" t="s">
        <v>2456</v>
      </c>
      <c r="T520" t="s">
        <v>2446</v>
      </c>
      <c r="U520" t="s">
        <v>2457</v>
      </c>
      <c r="V520">
        <v>0</v>
      </c>
      <c r="W520">
        <v>0</v>
      </c>
      <c r="X520">
        <v>0</v>
      </c>
      <c r="Y520">
        <v>1</v>
      </c>
      <c r="Z520">
        <v>0</v>
      </c>
      <c r="AA520">
        <v>0</v>
      </c>
      <c r="AB520">
        <v>0</v>
      </c>
      <c r="AC520">
        <v>0</v>
      </c>
      <c r="AD520">
        <v>0</v>
      </c>
      <c r="AE520">
        <v>0</v>
      </c>
      <c r="AF520">
        <v>0</v>
      </c>
      <c r="AG520">
        <v>0</v>
      </c>
      <c r="AH520">
        <v>0</v>
      </c>
      <c r="AI520">
        <v>0</v>
      </c>
      <c r="AJ520">
        <v>0</v>
      </c>
      <c r="AK520">
        <v>0</v>
      </c>
      <c r="AL520">
        <v>0</v>
      </c>
      <c r="AM520">
        <v>0</v>
      </c>
      <c r="AN520">
        <v>0</v>
      </c>
      <c r="AO520">
        <v>0</v>
      </c>
      <c r="AP520">
        <v>0</v>
      </c>
      <c r="AQ520">
        <v>0</v>
      </c>
      <c r="AR520">
        <v>0</v>
      </c>
      <c r="AS520">
        <v>0</v>
      </c>
      <c r="AT520">
        <v>0</v>
      </c>
      <c r="AU520">
        <v>0</v>
      </c>
      <c r="AV520">
        <v>0</v>
      </c>
      <c r="AW520">
        <v>0</v>
      </c>
      <c r="AX520" s="141">
        <f>COUNTIF(V520:AW520,"&lt;&gt;0")</f>
        <v>1</v>
      </c>
      <c r="AY520" s="141">
        <f>COUNTIF(V520:AL520,"&lt;&gt;0")</f>
        <v>1</v>
      </c>
      <c r="AZ520">
        <f>COUNTIF(V520:AC520,"&lt;&gt;0")</f>
        <v>1</v>
      </c>
      <c r="BA520">
        <f>COUNTIF(AD520:AI520,"&lt;&gt;0")</f>
        <v>0</v>
      </c>
      <c r="BB520">
        <f>COUNTIF(AJ520:AL520,"&lt;&gt;0")</f>
        <v>0</v>
      </c>
      <c r="BC520">
        <f>COUNTIF(AS520:AW520,"&lt;&gt;0")</f>
        <v>0</v>
      </c>
      <c r="BD520">
        <f>COUNTIF(AM520:AR520,"&lt;&gt;0")</f>
        <v>0</v>
      </c>
      <c r="BE520" t="str">
        <f t="array" ref="BE520">IF(AY520=1,INDEX($V$7:$AL$7,MATCH(TRUE,INDEX($V520:$AW520&lt;&gt;0,),0)),IF(AY520=0,INDEX($AM$7:$AW$7,MATCH(1,$AM520:$AW520,0)),IF(BF520="Multiple strategies","mixed drivers",IF(BF520="Supply chain","multiple supply","multiple silviculture"))))</f>
        <v xml:space="preserve">cutting intensity </v>
      </c>
      <c r="BF520" s="2" t="str" cm="1">
        <f t="array" ref="BF520">IF(COUNTIF(AZ520:BB520,"&lt;&gt;0")=1,INDEX($V$4:$AW$4,MATCH(TRUE,INDEX($V520:$AW520&lt;&gt;0,),0)),IF(COUNTIF(AZ520:BB520,"&lt;&gt;0")=0,INDEX($AM$4:$AW$4,MATCH(1,$AM520:$AW520,0)),"Multiple strategies"))</f>
        <v>SilvicultureRemov</v>
      </c>
      <c r="BG520" s="1" t="s">
        <v>322</v>
      </c>
      <c r="BH520" t="s">
        <v>2455</v>
      </c>
      <c r="BI520" s="260" t="s">
        <v>3401</v>
      </c>
      <c r="BJ520" t="s">
        <v>1325</v>
      </c>
      <c r="BK520">
        <v>1168.5023099755704</v>
      </c>
      <c r="BL520">
        <v>1304.0435025027948</v>
      </c>
      <c r="BM520" s="143">
        <f>BL520/BK520</f>
        <v>1.1159956564656326</v>
      </c>
      <c r="BN520">
        <f>BL520-BK520</f>
        <v>135.54119252722444</v>
      </c>
      <c r="BO520">
        <f>BN520*10^6</f>
        <v>135541192.52722445</v>
      </c>
      <c r="BP520" t="s">
        <v>233</v>
      </c>
      <c r="BQ520" s="260" t="s">
        <v>3404</v>
      </c>
      <c r="BR520" t="s">
        <v>1361</v>
      </c>
      <c r="BS520">
        <v>391.99006315946394</v>
      </c>
      <c r="BT520">
        <v>335.062296</v>
      </c>
      <c r="BU520" s="144">
        <f>IFERROR(BT520/BS520,"")</f>
        <v>0.85477242279913257</v>
      </c>
      <c r="BV520" s="144">
        <f>BT520-BS520</f>
        <v>-56.92776715946394</v>
      </c>
      <c r="BW520" s="144"/>
      <c r="BX520">
        <f>BV520*10^6*C_to_CO2</f>
        <v>-208924905.47523266</v>
      </c>
      <c r="BY520">
        <f>IFERROR(BX520/BO520,"")</f>
        <v>-1.5414126257836234</v>
      </c>
      <c r="BZ520">
        <v>0</v>
      </c>
      <c r="CA520">
        <v>0</v>
      </c>
      <c r="CB520">
        <v>0</v>
      </c>
      <c r="CC520">
        <v>0</v>
      </c>
      <c r="CD520">
        <v>0</v>
      </c>
      <c r="CE520">
        <v>0</v>
      </c>
      <c r="CF520">
        <v>0</v>
      </c>
      <c r="CG520">
        <v>0</v>
      </c>
      <c r="CH520">
        <v>0</v>
      </c>
      <c r="CI520">
        <v>0</v>
      </c>
      <c r="CJ520">
        <v>0</v>
      </c>
      <c r="CK520">
        <v>0</v>
      </c>
      <c r="CL520">
        <v>0</v>
      </c>
      <c r="CM520">
        <v>0</v>
      </c>
      <c r="CN520" t="str">
        <f>IF($BL520&lt;$BK520,"refNeedCorrection","refOK")</f>
        <v>refOK</v>
      </c>
      <c r="CO520">
        <f>IF($CN520="refNeedCorrection",BL520,BK520)</f>
        <v>1168.5023099755704</v>
      </c>
      <c r="CP520">
        <f>IF($CN520="refNeedCorrection",BK520,BL520)</f>
        <v>1304.0435025027948</v>
      </c>
      <c r="CQ520">
        <f>IF($CN520="refOK",$BO520,-$BO520)</f>
        <v>135541192.52722445</v>
      </c>
      <c r="CR520">
        <f>IF($CN520="refOK",$BS520,$BT520)*IF($BP520="Emissions positive",-1,1)</f>
        <v>391.99006315946394</v>
      </c>
      <c r="CS520">
        <f>IF($CN520="refOK",$BT520,$BS520)*IF($BP520="Emissions positive",-1,1)</f>
        <v>335.062296</v>
      </c>
      <c r="CT520">
        <f>IF($CN520="refNeedCorrection",-BX520,BX520)*IF($BP520="Emissions positive",-1,1)</f>
        <v>-208924905.47523266</v>
      </c>
      <c r="CU520">
        <f>IFERROR(CT520/CQ520,"")</f>
        <v>-1.5414126257836234</v>
      </c>
      <c r="CV520" s="2">
        <f>IFERROR((CS520-CR520)/ABS(CR520),"")</f>
        <v>-0.1452275772008674</v>
      </c>
      <c r="CW520" s="1" t="s">
        <v>1205</v>
      </c>
      <c r="CX520" t="str">
        <f>IF(OR($CW520="prd",$CW520="std",$CW520="cit"),"loc",IF(OR($CW520="eur",$CW520="reg",$CW520="coy"),"reg",$CW520))</f>
        <v>reg</v>
      </c>
      <c r="CY520" t="s">
        <v>731</v>
      </c>
      <c r="CZ520">
        <v>2015</v>
      </c>
      <c r="DA520">
        <v>2040</v>
      </c>
      <c r="DB520">
        <f>DA520-CZ520</f>
        <v>25</v>
      </c>
      <c r="DC520" t="str">
        <f>IF(DB520=0,"0",IF(AND(DB520&gt;=1,DB520&lt;=30),"1-30",IF(AND(DB520&gt;30,DB520&lt;=70),"31-70",IF(AND(DB520&gt;70,DB520&lt;=100),"71-100",IF(DB520&gt;100,"+100")))))</f>
        <v>1-30</v>
      </c>
      <c r="DD520">
        <v>1</v>
      </c>
      <c r="DE520">
        <v>1</v>
      </c>
      <c r="DF520">
        <v>1</v>
      </c>
      <c r="DG520">
        <v>1</v>
      </c>
      <c r="DI520">
        <f>SUM(DD520:DG520)</f>
        <v>4</v>
      </c>
      <c r="DJ520" t="str">
        <f>IF(DI520=1,INDEX($DD$7:$DG$7,MATCH(1,$DD520:$DG520,0)),"mixedProduct")</f>
        <v>mixedProduct</v>
      </c>
      <c r="DK520" t="str">
        <f>IF(DD520=1,DK$7,0)</f>
        <v>Upstream</v>
      </c>
      <c r="DL520" t="str">
        <f>IF(DE520=1,DL$7,0)</f>
        <v>Energy</v>
      </c>
      <c r="DM520" t="str">
        <f>IF(DF520=1,DM$7,0)</f>
        <v>Pulp/Paper</v>
      </c>
      <c r="DN520" t="str">
        <f>IF(DG520=1,DN$7,0)</f>
        <v>Timber</v>
      </c>
      <c r="DO520">
        <v>0</v>
      </c>
      <c r="DP520">
        <v>0</v>
      </c>
      <c r="DQ520">
        <v>0</v>
      </c>
      <c r="DR520">
        <v>0</v>
      </c>
      <c r="DS520">
        <v>0</v>
      </c>
      <c r="DT520">
        <f>SUM(DO520:DP520)</f>
        <v>0</v>
      </c>
      <c r="DU520" s="143" t="str">
        <f>IF(DO520=1,"self-calculated DF",IF(DP520=1,"external DF used","explicit C balance"))</f>
        <v>explicit C balance</v>
      </c>
      <c r="DV520">
        <v>0</v>
      </c>
      <c r="DW520">
        <v>1</v>
      </c>
      <c r="DX520">
        <v>1</v>
      </c>
      <c r="DY520">
        <v>1</v>
      </c>
      <c r="DZ520">
        <v>1</v>
      </c>
      <c r="EA520" s="143">
        <v>0</v>
      </c>
      <c r="EB520">
        <v>0</v>
      </c>
      <c r="EC520">
        <v>0</v>
      </c>
      <c r="ED520">
        <v>0</v>
      </c>
      <c r="EE520">
        <v>0</v>
      </c>
      <c r="EF520">
        <v>1</v>
      </c>
      <c r="EG520">
        <v>0</v>
      </c>
      <c r="EH520">
        <v>0</v>
      </c>
      <c r="EI520" s="2">
        <v>0</v>
      </c>
      <c r="EK520" t="str">
        <f>IF(AND(AND(AND(OR($DX520=1,$DW520=1),OR($EC520=1,$EA520=1)),SUM($DV520:$DZ520,$EF520)&gt;=4),SUM($EA520:$EE520)&gt;=2),"Whole sector","")</f>
        <v/>
      </c>
      <c r="EL520" t="str">
        <f>IF(AND(AND(OR($DX520=1,$DW520=1),AND($EC520=0,$EA520=0)),SUM($DV520:$DZ520,$EF520)&gt;=4),"Ecosystem approach","")</f>
        <v>Ecosystem approach</v>
      </c>
      <c r="EM520" s="2" t="str">
        <f>IF(AND(AND(AND($DX520=0,$DW520=0),OR($EC520=1,$EA520=1)),SUM($EB520:$EE520)&gt;=2),"Technology approach","")</f>
        <v/>
      </c>
      <c r="EP520" t="str">
        <f>IF(ISNUMBER(BU520),IF(ABS(BU520-[4]QC_indicators!$B$2)&gt;3*[4]QC_indicators!$C$2,"C ratio",IF(ISNUMBER(BY520),IF(ABS(BY520-[4]QC_indicators!$B$1)&gt;3*[4]QC_indicators!$C$1,"DF","no"))),IF(ISNUMBER(BY520),IF(ABS(BY520-[4]QC_indicators!$B$1)&gt;3*[4]QC_indicators!$C$1,"DF","no")))</f>
        <v>no</v>
      </c>
      <c r="EQ520" t="s">
        <v>2380</v>
      </c>
      <c r="ET520" s="266" t="s">
        <v>3275</v>
      </c>
    </row>
    <row r="521" spans="1:150" ht="15" hidden="1" customHeight="1">
      <c r="A521" s="1" t="s">
        <v>1425</v>
      </c>
      <c r="B521" t="s">
        <v>2492</v>
      </c>
      <c r="C521" t="s">
        <v>2493</v>
      </c>
      <c r="D521" t="s">
        <v>2494</v>
      </c>
      <c r="E521" t="s">
        <v>2495</v>
      </c>
      <c r="F521" t="s">
        <v>2496</v>
      </c>
      <c r="G521" t="s">
        <v>1431</v>
      </c>
      <c r="H521" t="s">
        <v>255</v>
      </c>
      <c r="I521">
        <v>2016</v>
      </c>
      <c r="J521">
        <v>24</v>
      </c>
      <c r="K521" t="s">
        <v>2497</v>
      </c>
      <c r="M521" t="str">
        <f>LEFT($D521,FIND(",",$D521)-1)&amp;"_"&amp;I521&amp;L521</f>
        <v>Zubizarreta-Gerendiain_2016</v>
      </c>
      <c r="N521" t="s">
        <v>223</v>
      </c>
      <c r="O521" s="145" t="s">
        <v>1156</v>
      </c>
      <c r="Q521" t="s">
        <v>257</v>
      </c>
      <c r="R521" s="264" t="s">
        <v>224</v>
      </c>
      <c r="S521" s="1" t="s">
        <v>2528</v>
      </c>
      <c r="T521" t="s">
        <v>2512</v>
      </c>
      <c r="U521" t="s">
        <v>2531</v>
      </c>
      <c r="V521">
        <v>0</v>
      </c>
      <c r="W521">
        <v>0</v>
      </c>
      <c r="X521">
        <v>0</v>
      </c>
      <c r="Y521">
        <v>1</v>
      </c>
      <c r="Z521">
        <v>0</v>
      </c>
      <c r="AA521">
        <v>0</v>
      </c>
      <c r="AB521">
        <v>0</v>
      </c>
      <c r="AC521">
        <v>0</v>
      </c>
      <c r="AD521">
        <v>0</v>
      </c>
      <c r="AE521">
        <v>0</v>
      </c>
      <c r="AF521">
        <v>0</v>
      </c>
      <c r="AG521">
        <v>0</v>
      </c>
      <c r="AH521">
        <v>0</v>
      </c>
      <c r="AI521">
        <v>0</v>
      </c>
      <c r="AJ521">
        <v>0</v>
      </c>
      <c r="AK521">
        <v>0</v>
      </c>
      <c r="AL521">
        <v>0</v>
      </c>
      <c r="AM521">
        <v>0</v>
      </c>
      <c r="AN521">
        <v>2</v>
      </c>
      <c r="AO521">
        <v>2</v>
      </c>
      <c r="AP521">
        <v>0</v>
      </c>
      <c r="AQ521">
        <v>0</v>
      </c>
      <c r="AR521">
        <v>0</v>
      </c>
      <c r="AS521">
        <v>0</v>
      </c>
      <c r="AT521">
        <v>0</v>
      </c>
      <c r="AU521">
        <v>0</v>
      </c>
      <c r="AV521">
        <v>0</v>
      </c>
      <c r="AW521">
        <v>0</v>
      </c>
      <c r="AX521" s="141">
        <f>COUNTIF(V521:AW521,"&lt;&gt;0")</f>
        <v>3</v>
      </c>
      <c r="AY521" s="141">
        <f>COUNTIF(V521:AL521,"&lt;&gt;0")</f>
        <v>1</v>
      </c>
      <c r="AZ521">
        <f>COUNTIF(V521:AC521,"&lt;&gt;0")</f>
        <v>1</v>
      </c>
      <c r="BA521">
        <f>COUNTIF(AD521:AI521,"&lt;&gt;0")</f>
        <v>0</v>
      </c>
      <c r="BB521">
        <f>COUNTIF(AJ521:AL521,"&lt;&gt;0")</f>
        <v>0</v>
      </c>
      <c r="BC521">
        <f>COUNTIF(AS521:AW521,"&lt;&gt;0")</f>
        <v>0</v>
      </c>
      <c r="BD521">
        <f>COUNTIF(AM521:AR521,"&lt;&gt;0")</f>
        <v>2</v>
      </c>
      <c r="BE521" t="str">
        <f t="array" ref="BE521">IF(AY521=1,INDEX($V$7:$AL$7,MATCH(TRUE,INDEX($V521:$AW521&lt;&gt;0,),0)),IF(AY521=0,INDEX($AM$7:$AW$7,MATCH(1,$AM521:$AW521,0)),IF(BF521="Multiple strategies","mixed drivers",IF(BF521="Supply chain","multiple supply","multiple silviculture"))))</f>
        <v xml:space="preserve">cutting intensity </v>
      </c>
      <c r="BF521" s="2" t="str" cm="1">
        <f t="array" ref="BF521">IF(COUNTIF(AZ521:BB521,"&lt;&gt;0")=1,INDEX($V$4:$AW$4,MATCH(TRUE,INDEX($V521:$AW521&lt;&gt;0,),0)),IF(COUNTIF(AZ521:BB521,"&lt;&gt;0")=0,INDEX($AM$4:$AW$4,MATCH(1,$AM521:$AW521,0)),"Multiple strategies"))</f>
        <v>SilvicultureRemov</v>
      </c>
      <c r="BM521" s="143"/>
      <c r="BN521" s="143"/>
      <c r="BP521" s="143" t="s">
        <v>233</v>
      </c>
      <c r="BQ521" s="143"/>
      <c r="BR521" t="s">
        <v>1197</v>
      </c>
      <c r="BS521">
        <v>144211.00407709272</v>
      </c>
      <c r="BT521">
        <v>147828.63380281517</v>
      </c>
      <c r="BU521" s="144">
        <f>IFERROR(BT521/BS521,"")</f>
        <v>1.025085670465123</v>
      </c>
      <c r="BV521" s="144">
        <f>BT521-BS521</f>
        <v>3617.6297257224505</v>
      </c>
      <c r="BW521" s="144"/>
      <c r="BX521" s="144">
        <f>BV521</f>
        <v>3617.6297257224505</v>
      </c>
      <c r="BY521" t="str">
        <f>IFERROR(BX521/BO521,"")</f>
        <v/>
      </c>
      <c r="BZ521">
        <v>0</v>
      </c>
      <c r="CA521">
        <v>0</v>
      </c>
      <c r="CB521">
        <v>0</v>
      </c>
      <c r="CC521">
        <v>0</v>
      </c>
      <c r="CD521">
        <v>0</v>
      </c>
      <c r="CE521">
        <v>0</v>
      </c>
      <c r="CF521">
        <v>0</v>
      </c>
      <c r="CG521">
        <v>0</v>
      </c>
      <c r="CH521">
        <v>0</v>
      </c>
      <c r="CI521">
        <v>0</v>
      </c>
      <c r="CJ521">
        <v>0</v>
      </c>
      <c r="CK521">
        <v>0</v>
      </c>
      <c r="CL521">
        <v>0</v>
      </c>
      <c r="CM521">
        <v>1</v>
      </c>
      <c r="CN521" t="str">
        <f>IF(BL521&lt;BK521,"refNeedCorrection","refOK")</f>
        <v>refOK</v>
      </c>
      <c r="CO521"/>
      <c r="CP521"/>
      <c r="CQ521"/>
      <c r="CR521">
        <f>IF($CN521="refOK",$BS521,$BT521)*IF($BP521="Emissions positive",-1,1)</f>
        <v>144211.00407709272</v>
      </c>
      <c r="CS521">
        <f>IF($CN521="refOK",$BT521,$BS521)*IF($BP521="Emissions positive",-1,1)</f>
        <v>147828.63380281517</v>
      </c>
      <c r="CT521">
        <f>IF($CN521="refNeedCorrection",-BX521,BX521)*IF($BP521="Emissions positive",-1,1)</f>
        <v>3617.6297257224505</v>
      </c>
      <c r="CU521" t="str">
        <f>IFERROR(CT521/CQ521,"")</f>
        <v/>
      </c>
      <c r="CV521" s="2">
        <f>IFERROR((CS521-CR521)/ABS(CR521),"")</f>
        <v>2.5085670465122955E-2</v>
      </c>
      <c r="CW521" s="1" t="s">
        <v>1201</v>
      </c>
      <c r="CX521" t="str">
        <f>IF(OR($CW521="prd",$CW521="std",$CW521="cit"),"loc",IF(OR($CW521="eur",$CW521="reg",$CW521="coy"),"reg",$CW521))</f>
        <v>reg</v>
      </c>
      <c r="CY521" t="s">
        <v>236</v>
      </c>
      <c r="CZ521">
        <v>2010</v>
      </c>
      <c r="DA521">
        <v>2070</v>
      </c>
      <c r="DB521">
        <f>DA521-CZ521</f>
        <v>60</v>
      </c>
      <c r="DC521" t="str">
        <f>IF(DB521=0,"0",IF(AND(DB521&gt;=1,DB521&lt;=30),"1-30",IF(AND(DB521&gt;30,DB521&lt;=70),"31-70",IF(AND(DB521&gt;70,DB521&lt;=100),"71-100",IF(DB521&gt;100,"+100")))))</f>
        <v>31-70</v>
      </c>
      <c r="DD521">
        <v>0</v>
      </c>
      <c r="DE521">
        <v>1</v>
      </c>
      <c r="DF521">
        <v>0</v>
      </c>
      <c r="DG521">
        <v>0</v>
      </c>
      <c r="DH521">
        <v>0</v>
      </c>
      <c r="DI521">
        <f>SUM(DD521:DG521)</f>
        <v>1</v>
      </c>
      <c r="DJ521" t="str">
        <f>IF(DI521=1,INDEX($DD$7:$DG$7,MATCH(1,$DD521:$DG521,0)),"mixedProduct")</f>
        <v>EnergyInput</v>
      </c>
      <c r="DK521">
        <f>IF(DD521=1,DK$7,0)</f>
        <v>0</v>
      </c>
      <c r="DL521" t="str">
        <f>IF(DE521=1,DL$7,0)</f>
        <v>Energy</v>
      </c>
      <c r="DM521">
        <f>IF(DF521=1,DM$7,0)</f>
        <v>0</v>
      </c>
      <c r="DN521">
        <f>IF(DG521=1,DN$7,0)</f>
        <v>0</v>
      </c>
      <c r="DO521">
        <v>0</v>
      </c>
      <c r="DP521">
        <v>1</v>
      </c>
      <c r="DQ521" t="s">
        <v>2526</v>
      </c>
      <c r="DR521" t="s">
        <v>2527</v>
      </c>
      <c r="DS521">
        <v>0</v>
      </c>
      <c r="DT521">
        <f>SUM(DO521:DP521)</f>
        <v>1</v>
      </c>
      <c r="DU521" s="143" t="str">
        <f>IF(DO521=1,"self-calculated DF",IF(DP521=1,"external DF used","explicit C balance"))</f>
        <v>external DF used</v>
      </c>
      <c r="DV521">
        <v>1</v>
      </c>
      <c r="DW521">
        <v>1</v>
      </c>
      <c r="DX521">
        <v>1</v>
      </c>
      <c r="DY521">
        <v>1</v>
      </c>
      <c r="DZ521">
        <v>0</v>
      </c>
      <c r="EA521" s="143">
        <v>0</v>
      </c>
      <c r="EB521">
        <v>1</v>
      </c>
      <c r="EC521">
        <v>1</v>
      </c>
      <c r="ED521">
        <v>0</v>
      </c>
      <c r="EE521">
        <v>0</v>
      </c>
      <c r="EF521">
        <v>1</v>
      </c>
      <c r="EG521">
        <v>0</v>
      </c>
      <c r="EH521">
        <v>0</v>
      </c>
      <c r="EI521" s="2">
        <v>0</v>
      </c>
      <c r="EK521" t="str">
        <f>IF(AND(AND(AND(OR($DX521=1,$DW521=1),OR($EC521=1,$EA521=1)),SUM($DV521:$DZ521,$EF521)&gt;=4),SUM($EA521:$EE521)&gt;=2),"Whole sector","")</f>
        <v>Whole sector</v>
      </c>
      <c r="EL521" t="str">
        <f>IF(AND(AND(OR($DX521=1,$DW521=1),AND($EC521=0,$EA521=0)),SUM($DV521:$DZ521,$EF521)&gt;=4),"Ecosystem approach","")</f>
        <v/>
      </c>
      <c r="EM521" s="2" t="str">
        <f>IF(AND(AND(AND($DX521=0,$DW521=0),OR($EC521=1,$EA521=1)),SUM($EB521:$EE521)&gt;=2),"Technology approach","")</f>
        <v/>
      </c>
      <c r="EP521" t="b">
        <f>IF(ISNUMBER(BU521),IF(ABS(BU521-[2]QC_indicators!$B$2)&gt;3*[2]QC_indicators!$C$2,"C ratio",IF(ISNUMBER(BY521),IF(ABS(BY521-[2]QC_indicators!$B$1)&gt;3*[2]QC_indicators!$C$1,"DF","no"))),IF(ISNUMBER(BY521),IF(ABS(BY521-[2]QC_indicators!$B$1)&gt;3*[2]QC_indicators!$C$1,"DF","no")))</f>
        <v>0</v>
      </c>
      <c r="ET521" s="266" t="s">
        <v>3275</v>
      </c>
    </row>
    <row r="522" spans="1:150" ht="15" hidden="1" customHeight="1">
      <c r="A522" s="1" t="s">
        <v>1425</v>
      </c>
      <c r="B522" t="s">
        <v>2492</v>
      </c>
      <c r="C522" t="s">
        <v>2493</v>
      </c>
      <c r="D522" t="s">
        <v>2494</v>
      </c>
      <c r="E522" t="s">
        <v>2495</v>
      </c>
      <c r="F522" t="s">
        <v>2496</v>
      </c>
      <c r="G522" t="s">
        <v>1431</v>
      </c>
      <c r="H522" t="s">
        <v>255</v>
      </c>
      <c r="I522">
        <v>2016</v>
      </c>
      <c r="J522">
        <v>24</v>
      </c>
      <c r="K522" t="s">
        <v>2497</v>
      </c>
      <c r="M522" t="str">
        <f>LEFT($D522,FIND(",",$D522)-1)&amp;"_"&amp;I522&amp;L522</f>
        <v>Zubizarreta-Gerendiain_2016</v>
      </c>
      <c r="N522" t="s">
        <v>223</v>
      </c>
      <c r="O522" s="145" t="s">
        <v>1156</v>
      </c>
      <c r="Q522" t="s">
        <v>257</v>
      </c>
      <c r="R522" s="264" t="s">
        <v>224</v>
      </c>
      <c r="S522" s="1" t="s">
        <v>2528</v>
      </c>
      <c r="T522" t="s">
        <v>2512</v>
      </c>
      <c r="U522" t="s">
        <v>2531</v>
      </c>
      <c r="V522">
        <v>0</v>
      </c>
      <c r="W522">
        <v>0</v>
      </c>
      <c r="X522">
        <v>0</v>
      </c>
      <c r="Y522">
        <v>1</v>
      </c>
      <c r="Z522">
        <v>0</v>
      </c>
      <c r="AA522">
        <v>0</v>
      </c>
      <c r="AB522">
        <v>0</v>
      </c>
      <c r="AC522">
        <v>0</v>
      </c>
      <c r="AD522">
        <v>0</v>
      </c>
      <c r="AE522">
        <v>0</v>
      </c>
      <c r="AF522">
        <v>0</v>
      </c>
      <c r="AG522">
        <v>0</v>
      </c>
      <c r="AH522">
        <v>0</v>
      </c>
      <c r="AI522">
        <v>0</v>
      </c>
      <c r="AJ522">
        <v>0</v>
      </c>
      <c r="AK522">
        <v>0</v>
      </c>
      <c r="AL522">
        <v>0</v>
      </c>
      <c r="AM522">
        <v>0</v>
      </c>
      <c r="AN522">
        <v>2</v>
      </c>
      <c r="AO522">
        <v>2</v>
      </c>
      <c r="AP522">
        <v>0</v>
      </c>
      <c r="AQ522">
        <v>0</v>
      </c>
      <c r="AR522">
        <v>0</v>
      </c>
      <c r="AS522">
        <v>0</v>
      </c>
      <c r="AT522">
        <v>0</v>
      </c>
      <c r="AU522">
        <v>0</v>
      </c>
      <c r="AV522">
        <v>0</v>
      </c>
      <c r="AW522">
        <v>0</v>
      </c>
      <c r="AX522" s="141">
        <f>COUNTIF(V522:AW522,"&lt;&gt;0")</f>
        <v>3</v>
      </c>
      <c r="AY522" s="141">
        <f>COUNTIF(V522:AL522,"&lt;&gt;0")</f>
        <v>1</v>
      </c>
      <c r="AZ522">
        <f>COUNTIF(V522:AC522,"&lt;&gt;0")</f>
        <v>1</v>
      </c>
      <c r="BA522">
        <f>COUNTIF(AD522:AI522,"&lt;&gt;0")</f>
        <v>0</v>
      </c>
      <c r="BB522">
        <f>COUNTIF(AJ522:AL522,"&lt;&gt;0")</f>
        <v>0</v>
      </c>
      <c r="BC522">
        <f>COUNTIF(AS522:AW522,"&lt;&gt;0")</f>
        <v>0</v>
      </c>
      <c r="BD522">
        <f>COUNTIF(AM522:AR522,"&lt;&gt;0")</f>
        <v>2</v>
      </c>
      <c r="BE522" t="str">
        <f t="array" ref="BE522">IF(AY522=1,INDEX($V$7:$AL$7,MATCH(TRUE,INDEX($V522:$AW522&lt;&gt;0,),0)),IF(AY522=0,INDEX($AM$7:$AW$7,MATCH(1,$AM522:$AW522,0)),IF(BF522="Multiple strategies","mixed drivers",IF(BF522="Supply chain","multiple supply","multiple silviculture"))))</f>
        <v xml:space="preserve">cutting intensity </v>
      </c>
      <c r="BF522" s="2" t="str" cm="1">
        <f t="array" ref="BF522">IF(COUNTIF(AZ522:BB522,"&lt;&gt;0")=1,INDEX($V$4:$AW$4,MATCH(TRUE,INDEX($V522:$AW522&lt;&gt;0,),0)),IF(COUNTIF(AZ522:BB522,"&lt;&gt;0")=0,INDEX($AM$4:$AW$4,MATCH(1,$AM522:$AW522,0)),"Multiple strategies"))</f>
        <v>SilvicultureRemov</v>
      </c>
      <c r="BM522" s="143"/>
      <c r="BN522" s="143"/>
      <c r="BP522" s="143" t="s">
        <v>233</v>
      </c>
      <c r="BQ522" s="143"/>
      <c r="BR522" t="s">
        <v>1197</v>
      </c>
      <c r="BS522">
        <v>29674.236421725247</v>
      </c>
      <c r="BT522">
        <v>26666.712460063867</v>
      </c>
      <c r="BU522" s="144">
        <f>IFERROR(BT522/BS522,"")</f>
        <v>0.89864864864864735</v>
      </c>
      <c r="BV522" s="144">
        <f>BT522-BS522</f>
        <v>-3007.5239616613799</v>
      </c>
      <c r="BW522" s="144"/>
      <c r="BX522" s="144">
        <f>BV522</f>
        <v>-3007.5239616613799</v>
      </c>
      <c r="BY522" t="str">
        <f>IFERROR(BX522/BO522,"")</f>
        <v/>
      </c>
      <c r="BZ522">
        <v>0</v>
      </c>
      <c r="CA522">
        <v>0</v>
      </c>
      <c r="CB522">
        <v>0</v>
      </c>
      <c r="CC522">
        <v>0</v>
      </c>
      <c r="CD522">
        <v>0</v>
      </c>
      <c r="CE522">
        <v>0</v>
      </c>
      <c r="CF522">
        <v>0</v>
      </c>
      <c r="CG522">
        <v>0</v>
      </c>
      <c r="CH522">
        <v>0</v>
      </c>
      <c r="CI522">
        <v>0</v>
      </c>
      <c r="CJ522">
        <v>0</v>
      </c>
      <c r="CK522">
        <v>0</v>
      </c>
      <c r="CL522">
        <v>0</v>
      </c>
      <c r="CM522">
        <v>1</v>
      </c>
      <c r="CN522" t="str">
        <f>IF(BL522&lt;BK522,"refNeedCorrection","refOK")</f>
        <v>refOK</v>
      </c>
      <c r="CO522"/>
      <c r="CP522"/>
      <c r="CQ522"/>
      <c r="CR522">
        <f>IF($CN522="refOK",$BS522,$BT522)*IF($BP522="Emissions positive",-1,1)</f>
        <v>29674.236421725247</v>
      </c>
      <c r="CS522">
        <f>IF($CN522="refOK",$BT522,$BS522)*IF($BP522="Emissions positive",-1,1)</f>
        <v>26666.712460063867</v>
      </c>
      <c r="CT522">
        <f>IF($CN522="refNeedCorrection",-BX522,BX522)*IF($BP522="Emissions positive",-1,1)</f>
        <v>-3007.5239616613799</v>
      </c>
      <c r="CU522" t="str">
        <f>IFERROR(CT522/CQ522,"")</f>
        <v/>
      </c>
      <c r="CV522" s="2">
        <f>IFERROR((CS522-CR522)/ABS(CR522),"")</f>
        <v>-0.10135135135135261</v>
      </c>
      <c r="CW522" s="1" t="s">
        <v>1201</v>
      </c>
      <c r="CX522" t="str">
        <f>IF(OR($CW522="prd",$CW522="std",$CW522="cit"),"loc",IF(OR($CW522="eur",$CW522="reg",$CW522="coy"),"reg",$CW522))</f>
        <v>reg</v>
      </c>
      <c r="CY522" t="s">
        <v>236</v>
      </c>
      <c r="CZ522">
        <v>2010</v>
      </c>
      <c r="DA522">
        <v>2070</v>
      </c>
      <c r="DB522">
        <f>DA522-CZ522</f>
        <v>60</v>
      </c>
      <c r="DC522" t="str">
        <f>IF(DB522=0,"0",IF(AND(DB522&gt;=1,DB522&lt;=30),"1-30",IF(AND(DB522&gt;30,DB522&lt;=70),"31-70",IF(AND(DB522&gt;70,DB522&lt;=100),"71-100",IF(DB522&gt;100,"+100")))))</f>
        <v>31-70</v>
      </c>
      <c r="DD522">
        <v>0</v>
      </c>
      <c r="DE522">
        <v>1</v>
      </c>
      <c r="DF522">
        <v>0</v>
      </c>
      <c r="DG522">
        <v>0</v>
      </c>
      <c r="DH522">
        <v>0</v>
      </c>
      <c r="DI522">
        <f>SUM(DD522:DG522)</f>
        <v>1</v>
      </c>
      <c r="DJ522" t="str">
        <f>IF(DI522=1,INDEX($DD$7:$DG$7,MATCH(1,$DD522:$DG522,0)),"mixedProduct")</f>
        <v>EnergyInput</v>
      </c>
      <c r="DK522">
        <f>IF(DD522=1,DK$7,0)</f>
        <v>0</v>
      </c>
      <c r="DL522" t="str">
        <f>IF(DE522=1,DL$7,0)</f>
        <v>Energy</v>
      </c>
      <c r="DM522">
        <f>IF(DF522=1,DM$7,0)</f>
        <v>0</v>
      </c>
      <c r="DN522">
        <f>IF(DG522=1,DN$7,0)</f>
        <v>0</v>
      </c>
      <c r="DO522">
        <v>0</v>
      </c>
      <c r="DP522">
        <v>0</v>
      </c>
      <c r="DQ522">
        <v>0</v>
      </c>
      <c r="DR522">
        <v>0</v>
      </c>
      <c r="DS522">
        <v>0</v>
      </c>
      <c r="DT522">
        <f>SUM(DO522:DP522)</f>
        <v>0</v>
      </c>
      <c r="DU522" s="143" t="str">
        <f>IF(DO522=1,"self-calculated DF",IF(DP522=1,"external DF used","explicit C balance"))</f>
        <v>explicit C balance</v>
      </c>
      <c r="DV522">
        <v>1</v>
      </c>
      <c r="DW522">
        <v>1</v>
      </c>
      <c r="DX522">
        <v>1</v>
      </c>
      <c r="DY522">
        <v>0</v>
      </c>
      <c r="DZ522">
        <v>0</v>
      </c>
      <c r="EA522" s="143">
        <v>0</v>
      </c>
      <c r="EB522">
        <v>1</v>
      </c>
      <c r="EC522">
        <v>1</v>
      </c>
      <c r="ED522">
        <v>0</v>
      </c>
      <c r="EE522">
        <v>0</v>
      </c>
      <c r="EF522">
        <v>1</v>
      </c>
      <c r="EG522">
        <v>0</v>
      </c>
      <c r="EH522">
        <v>0</v>
      </c>
      <c r="EI522" s="2">
        <v>0</v>
      </c>
      <c r="EK522" t="str">
        <f>IF(AND(AND(AND(OR($DX522=1,$DW522=1),OR($EC522=1,$EA522=1)),SUM($DV522:$DZ522,$EF522)&gt;=4),SUM($EA522:$EE522)&gt;=2),"Whole sector","")</f>
        <v>Whole sector</v>
      </c>
      <c r="EL522" t="str">
        <f>IF(AND(AND(OR($DX522=1,$DW522=1),AND($EC522=0,$EA522=0)),SUM($DV522:$DZ522,$EF522)&gt;=4),"Ecosystem approach","")</f>
        <v/>
      </c>
      <c r="EM522" s="2" t="str">
        <f>IF(AND(AND(AND($DX522=0,$DW522=0),OR($EC522=1,$EA522=1)),SUM($EB522:$EE522)&gt;=2),"Technology approach","")</f>
        <v/>
      </c>
      <c r="EP522" t="b">
        <f>IF(ISNUMBER(BU522),IF(ABS(BU522-[2]QC_indicators!$B$2)&gt;3*[2]QC_indicators!$C$2,"C ratio",IF(ISNUMBER(BY522),IF(ABS(BY522-[2]QC_indicators!$B$1)&gt;3*[2]QC_indicators!$C$1,"DF","no"))),IF(ISNUMBER(BY522),IF(ABS(BY522-[2]QC_indicators!$B$1)&gt;3*[2]QC_indicators!$C$1,"DF","no")))</f>
        <v>0</v>
      </c>
      <c r="ET522" s="266" t="s">
        <v>3275</v>
      </c>
    </row>
    <row r="523" spans="1:150" ht="15" customHeight="1">
      <c r="A523" s="1" t="s">
        <v>1974</v>
      </c>
      <c r="B523" t="s">
        <v>2447</v>
      </c>
      <c r="C523" t="s">
        <v>2448</v>
      </c>
      <c r="D523" t="s">
        <v>2449</v>
      </c>
      <c r="E523" t="s">
        <v>2450</v>
      </c>
      <c r="F523" t="s">
        <v>2451</v>
      </c>
      <c r="G523" t="s">
        <v>1980</v>
      </c>
      <c r="H523" t="s">
        <v>255</v>
      </c>
      <c r="I523">
        <v>2018</v>
      </c>
      <c r="J523">
        <v>8</v>
      </c>
      <c r="K523" t="s">
        <v>2452</v>
      </c>
      <c r="M523" t="str">
        <f>LEFT($D523,FIND(",",$D523)-1)&amp;"_"&amp;I523&amp;L523</f>
        <v>Valade_2018</v>
      </c>
      <c r="N523" t="s">
        <v>223</v>
      </c>
      <c r="O523" s="145" t="s">
        <v>1156</v>
      </c>
      <c r="Q523" t="s">
        <v>257</v>
      </c>
      <c r="R523" s="255" t="s">
        <v>226</v>
      </c>
      <c r="S523" s="1" t="s">
        <v>2458</v>
      </c>
      <c r="T523" t="s">
        <v>2446</v>
      </c>
      <c r="U523" t="s">
        <v>2459</v>
      </c>
      <c r="V523">
        <v>0</v>
      </c>
      <c r="W523">
        <v>0</v>
      </c>
      <c r="X523">
        <v>1</v>
      </c>
      <c r="Y523">
        <v>0</v>
      </c>
      <c r="Z523">
        <v>0</v>
      </c>
      <c r="AA523">
        <v>0</v>
      </c>
      <c r="AB523">
        <v>0</v>
      </c>
      <c r="AC523">
        <v>0</v>
      </c>
      <c r="AD523">
        <v>0</v>
      </c>
      <c r="AE523">
        <v>0</v>
      </c>
      <c r="AF523">
        <v>0</v>
      </c>
      <c r="AG523">
        <v>0</v>
      </c>
      <c r="AH523">
        <v>0</v>
      </c>
      <c r="AI523">
        <v>0</v>
      </c>
      <c r="AJ523">
        <v>0</v>
      </c>
      <c r="AK523">
        <v>0</v>
      </c>
      <c r="AL523">
        <v>0</v>
      </c>
      <c r="AM523">
        <v>0</v>
      </c>
      <c r="AN523">
        <v>0</v>
      </c>
      <c r="AO523">
        <v>0</v>
      </c>
      <c r="AP523">
        <v>0</v>
      </c>
      <c r="AQ523">
        <v>0</v>
      </c>
      <c r="AR523">
        <v>0</v>
      </c>
      <c r="AS523">
        <v>0</v>
      </c>
      <c r="AT523">
        <v>0</v>
      </c>
      <c r="AU523">
        <v>0</v>
      </c>
      <c r="AV523">
        <v>0</v>
      </c>
      <c r="AW523">
        <v>0</v>
      </c>
      <c r="AX523" s="141">
        <f>COUNTIF(V523:AW523,"&lt;&gt;0")</f>
        <v>1</v>
      </c>
      <c r="AY523" s="141">
        <f>COUNTIF(V523:AL523,"&lt;&gt;0")</f>
        <v>1</v>
      </c>
      <c r="AZ523">
        <f>COUNTIF(V523:AC523,"&lt;&gt;0")</f>
        <v>1</v>
      </c>
      <c r="BA523">
        <f>COUNTIF(AD523:AI523,"&lt;&gt;0")</f>
        <v>0</v>
      </c>
      <c r="BB523">
        <f>COUNTIF(AJ523:AL523,"&lt;&gt;0")</f>
        <v>0</v>
      </c>
      <c r="BC523">
        <f>COUNTIF(AS523:AW523,"&lt;&gt;0")</f>
        <v>0</v>
      </c>
      <c r="BD523">
        <f>COUNTIF(AM523:AR523,"&lt;&gt;0")</f>
        <v>0</v>
      </c>
      <c r="BE523" t="str">
        <f t="array" ref="BE523">IF(AY523=1,INDEX($V$7:$AL$7,MATCH(TRUE,INDEX($V523:$AW523&lt;&gt;0,),0)),IF(AY523=0,INDEX($AM$7:$AW$7,MATCH(1,$AM523:$AW523,0)),IF(BF523="Multiple strategies","mixed drivers",IF(BF523="Supply chain","multiple supply","multiple silviculture"))))</f>
        <v>rotation length</v>
      </c>
      <c r="BF523" s="2" t="str" cm="1">
        <f t="array" ref="BF523">IF(COUNTIF(AZ523:BB523,"&lt;&gt;0")=1,INDEX($V$4:$AW$4,MATCH(TRUE,INDEX($V523:$AW523&lt;&gt;0,),0)),IF(COUNTIF(AZ523:BB523,"&lt;&gt;0")=0,INDEX($AM$4:$AW$4,MATCH(1,$AM523:$AW523,0)),"Multiple strategies"))</f>
        <v>SilvicultureRemov</v>
      </c>
      <c r="BG523" s="1" t="s">
        <v>322</v>
      </c>
      <c r="BH523" t="s">
        <v>2455</v>
      </c>
      <c r="BI523" s="260" t="s">
        <v>3401</v>
      </c>
      <c r="BJ523" t="s">
        <v>1325</v>
      </c>
      <c r="BK523">
        <v>1168.5023099755704</v>
      </c>
      <c r="BL523">
        <v>2095.3144563242754</v>
      </c>
      <c r="BM523" s="143">
        <f>BL523/BK523</f>
        <v>1.7931624425869399</v>
      </c>
      <c r="BN523">
        <f>BL523-BK523</f>
        <v>926.81214634870503</v>
      </c>
      <c r="BO523">
        <f>BN523*10^6</f>
        <v>926812146.34870505</v>
      </c>
      <c r="BP523" t="s">
        <v>233</v>
      </c>
      <c r="BQ523" s="260" t="s">
        <v>3404</v>
      </c>
      <c r="BR523" t="s">
        <v>1361</v>
      </c>
      <c r="BS523">
        <v>391.99006315946394</v>
      </c>
      <c r="BT523">
        <v>74.541239000000004</v>
      </c>
      <c r="BU523" s="144">
        <f>IFERROR(BT523/BS523,"")</f>
        <v>0.19016104234682135</v>
      </c>
      <c r="BV523" s="144">
        <f>BT523-BS523</f>
        <v>-317.44882415946392</v>
      </c>
      <c r="BW523" s="144"/>
      <c r="BX523">
        <f>BV523*10^6*C_to_CO2</f>
        <v>-1165037184.6652327</v>
      </c>
      <c r="BY523">
        <f>IFERROR(BX523/BO523,"")</f>
        <v>-1.2570370266024735</v>
      </c>
      <c r="BZ523">
        <v>0</v>
      </c>
      <c r="CA523">
        <v>0</v>
      </c>
      <c r="CB523">
        <v>0</v>
      </c>
      <c r="CC523">
        <v>0</v>
      </c>
      <c r="CD523">
        <v>0</v>
      </c>
      <c r="CE523">
        <v>0</v>
      </c>
      <c r="CF523">
        <v>0</v>
      </c>
      <c r="CG523">
        <v>0</v>
      </c>
      <c r="CH523">
        <v>0</v>
      </c>
      <c r="CI523">
        <v>0</v>
      </c>
      <c r="CJ523">
        <v>0</v>
      </c>
      <c r="CK523">
        <v>0</v>
      </c>
      <c r="CL523">
        <v>0</v>
      </c>
      <c r="CM523">
        <v>0</v>
      </c>
      <c r="CN523" t="str">
        <f>IF($BL523&lt;$BK523,"refNeedCorrection","refOK")</f>
        <v>refOK</v>
      </c>
      <c r="CO523">
        <f>IF($CN523="refNeedCorrection",BL523,BK523)</f>
        <v>1168.5023099755704</v>
      </c>
      <c r="CP523">
        <f>IF($CN523="refNeedCorrection",BK523,BL523)</f>
        <v>2095.3144563242754</v>
      </c>
      <c r="CQ523">
        <f>IF($CN523="refOK",$BO523,-$BO523)</f>
        <v>926812146.34870505</v>
      </c>
      <c r="CR523">
        <f>IF($CN523="refOK",$BS523,$BT523)*IF($BP523="Emissions positive",-1,1)</f>
        <v>391.99006315946394</v>
      </c>
      <c r="CS523">
        <f>IF($CN523="refOK",$BT523,$BS523)*IF($BP523="Emissions positive",-1,1)</f>
        <v>74.541239000000004</v>
      </c>
      <c r="CT523">
        <f>IF($CN523="refNeedCorrection",-BX523,BX523)*IF($BP523="Emissions positive",-1,1)</f>
        <v>-1165037184.6652327</v>
      </c>
      <c r="CU523">
        <f>IFERROR(CT523/CQ523,"")</f>
        <v>-1.2570370266024735</v>
      </c>
      <c r="CV523" s="2">
        <f>IFERROR((CS523-CR523)/ABS(CR523),"")</f>
        <v>-0.80983895765317859</v>
      </c>
      <c r="CW523" s="1" t="s">
        <v>1205</v>
      </c>
      <c r="CX523" t="str">
        <f>IF(OR($CW523="prd",$CW523="std",$CW523="cit"),"loc",IF(OR($CW523="eur",$CW523="reg",$CW523="coy"),"reg",$CW523))</f>
        <v>reg</v>
      </c>
      <c r="CY523" t="s">
        <v>731</v>
      </c>
      <c r="CZ523">
        <v>2015</v>
      </c>
      <c r="DA523">
        <v>2040</v>
      </c>
      <c r="DB523">
        <f>DA523-CZ523</f>
        <v>25</v>
      </c>
      <c r="DC523" t="str">
        <f>IF(DB523=0,"0",IF(AND(DB523&gt;=1,DB523&lt;=30),"1-30",IF(AND(DB523&gt;30,DB523&lt;=70),"31-70",IF(AND(DB523&gt;70,DB523&lt;=100),"71-100",IF(DB523&gt;100,"+100")))))</f>
        <v>1-30</v>
      </c>
      <c r="DD523">
        <v>1</v>
      </c>
      <c r="DE523">
        <v>1</v>
      </c>
      <c r="DF523">
        <v>1</v>
      </c>
      <c r="DG523">
        <v>1</v>
      </c>
      <c r="DI523">
        <f>SUM(DD523:DG523)</f>
        <v>4</v>
      </c>
      <c r="DJ523" t="str">
        <f>IF(DI523=1,INDEX($DD$7:$DG$7,MATCH(1,$DD523:$DG523,0)),"mixedProduct")</f>
        <v>mixedProduct</v>
      </c>
      <c r="DK523" t="str">
        <f>IF(DD523=1,DK$7,0)</f>
        <v>Upstream</v>
      </c>
      <c r="DL523" t="str">
        <f>IF(DE523=1,DL$7,0)</f>
        <v>Energy</v>
      </c>
      <c r="DM523" t="str">
        <f>IF(DF523=1,DM$7,0)</f>
        <v>Pulp/Paper</v>
      </c>
      <c r="DN523" t="str">
        <f>IF(DG523=1,DN$7,0)</f>
        <v>Timber</v>
      </c>
      <c r="DO523">
        <v>0</v>
      </c>
      <c r="DP523">
        <v>0</v>
      </c>
      <c r="DQ523">
        <v>0</v>
      </c>
      <c r="DR523">
        <v>0</v>
      </c>
      <c r="DS523">
        <v>0</v>
      </c>
      <c r="DT523">
        <f>SUM(DO523:DP523)</f>
        <v>0</v>
      </c>
      <c r="DU523" s="143" t="str">
        <f>IF(DO523=1,"self-calculated DF",IF(DP523=1,"external DF used","explicit C balance"))</f>
        <v>explicit C balance</v>
      </c>
      <c r="DV523">
        <v>0</v>
      </c>
      <c r="DW523">
        <v>1</v>
      </c>
      <c r="DX523">
        <v>1</v>
      </c>
      <c r="DY523">
        <v>1</v>
      </c>
      <c r="DZ523">
        <v>1</v>
      </c>
      <c r="EA523" s="143">
        <v>0</v>
      </c>
      <c r="EB523">
        <v>0</v>
      </c>
      <c r="EC523">
        <v>0</v>
      </c>
      <c r="ED523">
        <v>0</v>
      </c>
      <c r="EE523">
        <v>0</v>
      </c>
      <c r="EF523">
        <v>1</v>
      </c>
      <c r="EG523">
        <v>0</v>
      </c>
      <c r="EH523">
        <v>0</v>
      </c>
      <c r="EI523" s="2">
        <v>0</v>
      </c>
      <c r="EK523" t="str">
        <f>IF(AND(AND(AND(OR($DX523=1,$DW523=1),OR($EC523=1,$EA523=1)),SUM($DV523:$DZ523,$EF523)&gt;=4),SUM($EA523:$EE523)&gt;=2),"Whole sector","")</f>
        <v/>
      </c>
      <c r="EL523" t="str">
        <f>IF(AND(AND(OR($DX523=1,$DW523=1),AND($EC523=0,$EA523=0)),SUM($DV523:$DZ523,$EF523)&gt;=4),"Ecosystem approach","")</f>
        <v>Ecosystem approach</v>
      </c>
      <c r="EM523" s="2" t="str">
        <f>IF(AND(AND(AND($DX523=0,$DW523=0),OR($EC523=1,$EA523=1)),SUM($EB523:$EE523)&gt;=2),"Technology approach","")</f>
        <v/>
      </c>
      <c r="EP523" t="str">
        <f>IF(ISNUMBER(BU523),IF(ABS(BU523-[4]QC_indicators!$B$2)&gt;3*[4]QC_indicators!$C$2,"C ratio",IF(ISNUMBER(BY523),IF(ABS(BY523-[4]QC_indicators!$B$1)&gt;3*[4]QC_indicators!$C$1,"DF","no"))),IF(ISNUMBER(BY523),IF(ABS(BY523-[4]QC_indicators!$B$1)&gt;3*[4]QC_indicators!$C$1,"DF","no")))</f>
        <v>no</v>
      </c>
      <c r="EQ523" t="s">
        <v>2380</v>
      </c>
      <c r="ET523" s="266" t="s">
        <v>3275</v>
      </c>
    </row>
    <row r="524" spans="1:150" ht="15" hidden="1" customHeight="1">
      <c r="A524" s="1" t="s">
        <v>1425</v>
      </c>
      <c r="B524" t="s">
        <v>2492</v>
      </c>
      <c r="C524" t="s">
        <v>2493</v>
      </c>
      <c r="D524" t="s">
        <v>2494</v>
      </c>
      <c r="E524" t="s">
        <v>2495</v>
      </c>
      <c r="F524" t="s">
        <v>2496</v>
      </c>
      <c r="G524" t="s">
        <v>1431</v>
      </c>
      <c r="H524" t="s">
        <v>255</v>
      </c>
      <c r="I524">
        <v>2016</v>
      </c>
      <c r="J524">
        <v>24</v>
      </c>
      <c r="K524" t="s">
        <v>2497</v>
      </c>
      <c r="M524" t="str">
        <f>LEFT($D524,FIND(",",$D524)-1)&amp;"_"&amp;I524&amp;L524</f>
        <v>Zubizarreta-Gerendiain_2016</v>
      </c>
      <c r="N524" t="s">
        <v>223</v>
      </c>
      <c r="O524" s="145" t="s">
        <v>1156</v>
      </c>
      <c r="Q524" t="s">
        <v>257</v>
      </c>
      <c r="R524" s="264" t="s">
        <v>224</v>
      </c>
      <c r="S524" s="1" t="s">
        <v>2528</v>
      </c>
      <c r="T524" t="s">
        <v>2516</v>
      </c>
      <c r="U524" t="s">
        <v>2532</v>
      </c>
      <c r="V524">
        <v>0</v>
      </c>
      <c r="W524">
        <v>0</v>
      </c>
      <c r="X524">
        <v>0</v>
      </c>
      <c r="Y524">
        <v>1</v>
      </c>
      <c r="Z524">
        <v>0</v>
      </c>
      <c r="AA524">
        <v>0</v>
      </c>
      <c r="AB524">
        <v>0</v>
      </c>
      <c r="AC524">
        <v>0</v>
      </c>
      <c r="AD524">
        <v>0</v>
      </c>
      <c r="AE524">
        <v>0</v>
      </c>
      <c r="AF524">
        <v>0</v>
      </c>
      <c r="AG524">
        <v>0</v>
      </c>
      <c r="AH524">
        <v>0</v>
      </c>
      <c r="AI524">
        <v>0</v>
      </c>
      <c r="AJ524">
        <v>0</v>
      </c>
      <c r="AK524">
        <v>0</v>
      </c>
      <c r="AL524">
        <v>0</v>
      </c>
      <c r="AM524">
        <v>0</v>
      </c>
      <c r="AN524">
        <v>2</v>
      </c>
      <c r="AO524">
        <v>2</v>
      </c>
      <c r="AP524">
        <v>0</v>
      </c>
      <c r="AQ524">
        <v>0</v>
      </c>
      <c r="AR524">
        <v>0</v>
      </c>
      <c r="AS524">
        <v>0</v>
      </c>
      <c r="AT524">
        <v>0</v>
      </c>
      <c r="AU524">
        <v>0</v>
      </c>
      <c r="AV524">
        <v>0</v>
      </c>
      <c r="AW524">
        <v>0</v>
      </c>
      <c r="AX524" s="141">
        <f>COUNTIF(V524:AW524,"&lt;&gt;0")</f>
        <v>3</v>
      </c>
      <c r="AY524" s="141">
        <f>COUNTIF(V524:AL524,"&lt;&gt;0")</f>
        <v>1</v>
      </c>
      <c r="AZ524">
        <f>COUNTIF(V524:AC524,"&lt;&gt;0")</f>
        <v>1</v>
      </c>
      <c r="BA524">
        <f>COUNTIF(AD524:AI524,"&lt;&gt;0")</f>
        <v>0</v>
      </c>
      <c r="BB524">
        <f>COUNTIF(AJ524:AL524,"&lt;&gt;0")</f>
        <v>0</v>
      </c>
      <c r="BC524">
        <f>COUNTIF(AS524:AW524,"&lt;&gt;0")</f>
        <v>0</v>
      </c>
      <c r="BD524">
        <f>COUNTIF(AM524:AR524,"&lt;&gt;0")</f>
        <v>2</v>
      </c>
      <c r="BE524" t="str">
        <f t="array" ref="BE524">IF(AY524=1,INDEX($V$7:$AL$7,MATCH(TRUE,INDEX($V524:$AW524&lt;&gt;0,),0)),IF(AY524=0,INDEX($AM$7:$AW$7,MATCH(1,$AM524:$AW524,0)),IF(BF524="Multiple strategies","mixed drivers",IF(BF524="Supply chain","multiple supply","multiple silviculture"))))</f>
        <v xml:space="preserve">cutting intensity </v>
      </c>
      <c r="BF524" s="2" t="str" cm="1">
        <f t="array" ref="BF524">IF(COUNTIF(AZ524:BB524,"&lt;&gt;0")=1,INDEX($V$4:$AW$4,MATCH(TRUE,INDEX($V524:$AW524&lt;&gt;0,),0)),IF(COUNTIF(AZ524:BB524,"&lt;&gt;0")=0,INDEX($AM$4:$AW$4,MATCH(1,$AM524:$AW524,0)),"Multiple strategies"))</f>
        <v>SilvicultureRemov</v>
      </c>
      <c r="BM524" s="143"/>
      <c r="BN524" s="143"/>
      <c r="BP524" s="143" t="s">
        <v>233</v>
      </c>
      <c r="BQ524" s="143"/>
      <c r="BR524" t="s">
        <v>1197</v>
      </c>
      <c r="BS524">
        <v>88354.450391061444</v>
      </c>
      <c r="BT524">
        <v>96599.033631284721</v>
      </c>
      <c r="BU524" s="144">
        <f>IFERROR(BT524/BS524,"")</f>
        <v>1.0933125972006199</v>
      </c>
      <c r="BV524" s="144">
        <f>BT524-BS524</f>
        <v>8244.5832402232772</v>
      </c>
      <c r="BW524" s="144"/>
      <c r="BX524" s="144">
        <f>BV524</f>
        <v>8244.5832402232772</v>
      </c>
      <c r="BY524" t="str">
        <f>IFERROR(BX524/BO524,"")</f>
        <v/>
      </c>
      <c r="BZ524">
        <v>0</v>
      </c>
      <c r="CA524">
        <v>0</v>
      </c>
      <c r="CB524">
        <v>0</v>
      </c>
      <c r="CC524">
        <v>0</v>
      </c>
      <c r="CD524">
        <v>0</v>
      </c>
      <c r="CE524">
        <v>0</v>
      </c>
      <c r="CF524">
        <v>0</v>
      </c>
      <c r="CG524">
        <v>0</v>
      </c>
      <c r="CH524">
        <v>0</v>
      </c>
      <c r="CI524">
        <v>0</v>
      </c>
      <c r="CJ524">
        <v>0</v>
      </c>
      <c r="CK524">
        <v>0</v>
      </c>
      <c r="CL524">
        <v>0</v>
      </c>
      <c r="CM524">
        <v>1</v>
      </c>
      <c r="CN524" t="str">
        <f>IF(BL524&lt;BK524,"refNeedCorrection","refOK")</f>
        <v>refOK</v>
      </c>
      <c r="CO524"/>
      <c r="CP524"/>
      <c r="CQ524"/>
      <c r="CR524">
        <f>IF($CN524="refOK",$BS524,$BT524)*IF($BP524="Emissions positive",-1,1)</f>
        <v>88354.450391061444</v>
      </c>
      <c r="CS524">
        <f>IF($CN524="refOK",$BT524,$BS524)*IF($BP524="Emissions positive",-1,1)</f>
        <v>96599.033631284721</v>
      </c>
      <c r="CT524">
        <f>IF($CN524="refNeedCorrection",-BX524,BX524)*IF($BP524="Emissions positive",-1,1)</f>
        <v>8244.5832402232772</v>
      </c>
      <c r="CU524" t="str">
        <f>IFERROR(CT524/CQ524,"")</f>
        <v/>
      </c>
      <c r="CV524" s="2">
        <f>IFERROR((CS524-CR524)/ABS(CR524),"")</f>
        <v>9.3312597200619976E-2</v>
      </c>
      <c r="CW524" s="1" t="s">
        <v>1201</v>
      </c>
      <c r="CX524" t="str">
        <f>IF(OR($CW524="prd",$CW524="std",$CW524="cit"),"loc",IF(OR($CW524="eur",$CW524="reg",$CW524="coy"),"reg",$CW524))</f>
        <v>reg</v>
      </c>
      <c r="CY524" t="s">
        <v>236</v>
      </c>
      <c r="CZ524">
        <v>2010</v>
      </c>
      <c r="DA524">
        <v>2070</v>
      </c>
      <c r="DB524">
        <f>DA524-CZ524</f>
        <v>60</v>
      </c>
      <c r="DC524" t="str">
        <f>IF(DB524=0,"0",IF(AND(DB524&gt;=1,DB524&lt;=30),"1-30",IF(AND(DB524&gt;30,DB524&lt;=70),"31-70",IF(AND(DB524&gt;70,DB524&lt;=100),"71-100",IF(DB524&gt;100,"+100")))))</f>
        <v>31-70</v>
      </c>
      <c r="DD524">
        <v>0</v>
      </c>
      <c r="DE524">
        <v>1</v>
      </c>
      <c r="DF524">
        <v>0</v>
      </c>
      <c r="DG524">
        <v>0</v>
      </c>
      <c r="DH524">
        <v>0</v>
      </c>
      <c r="DI524">
        <f>SUM(DD524:DG524)</f>
        <v>1</v>
      </c>
      <c r="DJ524" t="str">
        <f>IF(DI524=1,INDEX($DD$7:$DG$7,MATCH(1,$DD524:$DG524,0)),"mixedProduct")</f>
        <v>EnergyInput</v>
      </c>
      <c r="DK524">
        <f>IF(DD524=1,DK$7,0)</f>
        <v>0</v>
      </c>
      <c r="DL524" t="str">
        <f>IF(DE524=1,DL$7,0)</f>
        <v>Energy</v>
      </c>
      <c r="DM524">
        <f>IF(DF524=1,DM$7,0)</f>
        <v>0</v>
      </c>
      <c r="DN524">
        <f>IF(DG524=1,DN$7,0)</f>
        <v>0</v>
      </c>
      <c r="DO524">
        <v>0</v>
      </c>
      <c r="DP524">
        <v>1</v>
      </c>
      <c r="DQ524" t="s">
        <v>2526</v>
      </c>
      <c r="DR524" t="s">
        <v>2527</v>
      </c>
      <c r="DS524">
        <v>0</v>
      </c>
      <c r="DT524">
        <f>SUM(DO524:DP524)</f>
        <v>1</v>
      </c>
      <c r="DU524" s="143" t="str">
        <f>IF(DO524=1,"self-calculated DF",IF(DP524=1,"external DF used","explicit C balance"))</f>
        <v>external DF used</v>
      </c>
      <c r="DV524">
        <v>1</v>
      </c>
      <c r="DW524">
        <v>1</v>
      </c>
      <c r="DX524">
        <v>1</v>
      </c>
      <c r="DY524">
        <v>1</v>
      </c>
      <c r="DZ524">
        <v>0</v>
      </c>
      <c r="EA524" s="143">
        <v>0</v>
      </c>
      <c r="EB524">
        <v>1</v>
      </c>
      <c r="EC524">
        <v>1</v>
      </c>
      <c r="ED524">
        <v>0</v>
      </c>
      <c r="EE524">
        <v>0</v>
      </c>
      <c r="EF524">
        <v>1</v>
      </c>
      <c r="EG524">
        <v>0</v>
      </c>
      <c r="EH524">
        <v>0</v>
      </c>
      <c r="EI524" s="2">
        <v>0</v>
      </c>
      <c r="EK524" t="str">
        <f>IF(AND(AND(AND(OR($DX524=1,$DW524=1),OR($EC524=1,$EA524=1)),SUM($DV524:$DZ524,$EF524)&gt;=4),SUM($EA524:$EE524)&gt;=2),"Whole sector","")</f>
        <v>Whole sector</v>
      </c>
      <c r="EL524" t="str">
        <f>IF(AND(AND(OR($DX524=1,$DW524=1),AND($EC524=0,$EA524=0)),SUM($DV524:$DZ524,$EF524)&gt;=4),"Ecosystem approach","")</f>
        <v/>
      </c>
      <c r="EM524" s="2" t="str">
        <f>IF(AND(AND(AND($DX524=0,$DW524=0),OR($EC524=1,$EA524=1)),SUM($EB524:$EE524)&gt;=2),"Technology approach","")</f>
        <v/>
      </c>
      <c r="EP524" t="b">
        <f>IF(ISNUMBER(BU524),IF(ABS(BU524-[2]QC_indicators!$B$2)&gt;3*[2]QC_indicators!$C$2,"C ratio",IF(ISNUMBER(BY524),IF(ABS(BY524-[2]QC_indicators!$B$1)&gt;3*[2]QC_indicators!$C$1,"DF","no"))),IF(ISNUMBER(BY524),IF(ABS(BY524-[2]QC_indicators!$B$1)&gt;3*[2]QC_indicators!$C$1,"DF","no")))</f>
        <v>0</v>
      </c>
      <c r="ET524" s="266" t="s">
        <v>3275</v>
      </c>
    </row>
    <row r="525" spans="1:150" ht="15" hidden="1" customHeight="1">
      <c r="A525" s="1" t="s">
        <v>1425</v>
      </c>
      <c r="B525" t="s">
        <v>2492</v>
      </c>
      <c r="C525" t="s">
        <v>2493</v>
      </c>
      <c r="D525" t="s">
        <v>2494</v>
      </c>
      <c r="E525" t="s">
        <v>2495</v>
      </c>
      <c r="F525" t="s">
        <v>2496</v>
      </c>
      <c r="G525" t="s">
        <v>1431</v>
      </c>
      <c r="H525" t="s">
        <v>255</v>
      </c>
      <c r="I525">
        <v>2016</v>
      </c>
      <c r="J525">
        <v>24</v>
      </c>
      <c r="K525" t="s">
        <v>2497</v>
      </c>
      <c r="M525" t="str">
        <f>LEFT($D525,FIND(",",$D525)-1)&amp;"_"&amp;I525&amp;L525</f>
        <v>Zubizarreta-Gerendiain_2016</v>
      </c>
      <c r="N525" t="s">
        <v>223</v>
      </c>
      <c r="O525" s="145" t="s">
        <v>1156</v>
      </c>
      <c r="Q525" t="s">
        <v>257</v>
      </c>
      <c r="R525" s="264" t="s">
        <v>224</v>
      </c>
      <c r="S525" s="1" t="s">
        <v>2528</v>
      </c>
      <c r="T525" t="s">
        <v>2516</v>
      </c>
      <c r="U525" t="s">
        <v>2532</v>
      </c>
      <c r="V525">
        <v>0</v>
      </c>
      <c r="W525">
        <v>0</v>
      </c>
      <c r="X525">
        <v>0</v>
      </c>
      <c r="Y525">
        <v>1</v>
      </c>
      <c r="Z525">
        <v>0</v>
      </c>
      <c r="AA525">
        <v>0</v>
      </c>
      <c r="AB525">
        <v>0</v>
      </c>
      <c r="AC525">
        <v>0</v>
      </c>
      <c r="AD525">
        <v>0</v>
      </c>
      <c r="AE525">
        <v>0</v>
      </c>
      <c r="AF525">
        <v>0</v>
      </c>
      <c r="AG525">
        <v>0</v>
      </c>
      <c r="AH525">
        <v>0</v>
      </c>
      <c r="AI525">
        <v>0</v>
      </c>
      <c r="AJ525">
        <v>0</v>
      </c>
      <c r="AK525">
        <v>0</v>
      </c>
      <c r="AL525">
        <v>0</v>
      </c>
      <c r="AM525">
        <v>0</v>
      </c>
      <c r="AN525">
        <v>2</v>
      </c>
      <c r="AO525">
        <v>2</v>
      </c>
      <c r="AP525">
        <v>0</v>
      </c>
      <c r="AQ525">
        <v>0</v>
      </c>
      <c r="AR525">
        <v>0</v>
      </c>
      <c r="AS525">
        <v>0</v>
      </c>
      <c r="AT525">
        <v>0</v>
      </c>
      <c r="AU525">
        <v>0</v>
      </c>
      <c r="AV525">
        <v>0</v>
      </c>
      <c r="AW525">
        <v>0</v>
      </c>
      <c r="AX525" s="141">
        <f>COUNTIF(V525:AW525,"&lt;&gt;0")</f>
        <v>3</v>
      </c>
      <c r="AY525" s="141">
        <f>COUNTIF(V525:AL525,"&lt;&gt;0")</f>
        <v>1</v>
      </c>
      <c r="AZ525">
        <f>COUNTIF(V525:AC525,"&lt;&gt;0")</f>
        <v>1</v>
      </c>
      <c r="BA525">
        <f>COUNTIF(AD525:AI525,"&lt;&gt;0")</f>
        <v>0</v>
      </c>
      <c r="BB525">
        <f>COUNTIF(AJ525:AL525,"&lt;&gt;0")</f>
        <v>0</v>
      </c>
      <c r="BC525">
        <f>COUNTIF(AS525:AW525,"&lt;&gt;0")</f>
        <v>0</v>
      </c>
      <c r="BD525">
        <f>COUNTIF(AM525:AR525,"&lt;&gt;0")</f>
        <v>2</v>
      </c>
      <c r="BE525" t="str">
        <f t="array" ref="BE525">IF(AY525=1,INDEX($V$7:$AL$7,MATCH(TRUE,INDEX($V525:$AW525&lt;&gt;0,),0)),IF(AY525=0,INDEX($AM$7:$AW$7,MATCH(1,$AM525:$AW525,0)),IF(BF525="Multiple strategies","mixed drivers",IF(BF525="Supply chain","multiple supply","multiple silviculture"))))</f>
        <v xml:space="preserve">cutting intensity </v>
      </c>
      <c r="BF525" s="2" t="str" cm="1">
        <f t="array" ref="BF525">IF(COUNTIF(AZ525:BB525,"&lt;&gt;0")=1,INDEX($V$4:$AW$4,MATCH(TRUE,INDEX($V525:$AW525&lt;&gt;0,),0)),IF(COUNTIF(AZ525:BB525,"&lt;&gt;0")=0,INDEX($AM$4:$AW$4,MATCH(1,$AM525:$AW525,0)),"Multiple strategies"))</f>
        <v>SilvicultureRemov</v>
      </c>
      <c r="BM525" s="143"/>
      <c r="BN525" s="143"/>
      <c r="BP525" s="143" t="s">
        <v>233</v>
      </c>
      <c r="BQ525" s="143"/>
      <c r="BR525" t="s">
        <v>1197</v>
      </c>
      <c r="BS525">
        <v>12985.218603352034</v>
      </c>
      <c r="BT525">
        <v>14015.791508379965</v>
      </c>
      <c r="BU525" s="144">
        <f>IFERROR(BT525/BS525,"")</f>
        <v>1.0793650793650789</v>
      </c>
      <c r="BV525" s="144">
        <f>BT525-BS525</f>
        <v>1030.5729050279315</v>
      </c>
      <c r="BW525" s="144"/>
      <c r="BX525" s="144">
        <f>BV525</f>
        <v>1030.5729050279315</v>
      </c>
      <c r="BY525" t="str">
        <f>IFERROR(BX525/BO525,"")</f>
        <v/>
      </c>
      <c r="BZ525">
        <v>0</v>
      </c>
      <c r="CA525">
        <v>0</v>
      </c>
      <c r="CB525">
        <v>0</v>
      </c>
      <c r="CC525">
        <v>0</v>
      </c>
      <c r="CD525">
        <v>0</v>
      </c>
      <c r="CE525">
        <v>0</v>
      </c>
      <c r="CF525">
        <v>0</v>
      </c>
      <c r="CG525">
        <v>0</v>
      </c>
      <c r="CH525">
        <v>0</v>
      </c>
      <c r="CI525">
        <v>0</v>
      </c>
      <c r="CJ525">
        <v>0</v>
      </c>
      <c r="CK525">
        <v>0</v>
      </c>
      <c r="CL525">
        <v>0</v>
      </c>
      <c r="CM525">
        <v>1</v>
      </c>
      <c r="CN525" t="str">
        <f>IF(BL525&lt;BK525,"refNeedCorrection","refOK")</f>
        <v>refOK</v>
      </c>
      <c r="CO525"/>
      <c r="CP525"/>
      <c r="CQ525"/>
      <c r="CR525">
        <f>IF($CN525="refOK",$BS525,$BT525)*IF($BP525="Emissions positive",-1,1)</f>
        <v>12985.218603352034</v>
      </c>
      <c r="CS525">
        <f>IF($CN525="refOK",$BT525,$BS525)*IF($BP525="Emissions positive",-1,1)</f>
        <v>14015.791508379965</v>
      </c>
      <c r="CT525">
        <f>IF($CN525="refNeedCorrection",-BX525,BX525)*IF($BP525="Emissions positive",-1,1)</f>
        <v>1030.5729050279315</v>
      </c>
      <c r="CU525" t="str">
        <f>IFERROR(CT525/CQ525,"")</f>
        <v/>
      </c>
      <c r="CV525" s="2">
        <f>IFERROR((CS525-CR525)/ABS(CR525),"")</f>
        <v>7.9365079365078778E-2</v>
      </c>
      <c r="CW525" s="1" t="s">
        <v>1201</v>
      </c>
      <c r="CX525" t="str">
        <f>IF(OR($CW525="prd",$CW525="std",$CW525="cit"),"loc",IF(OR($CW525="eur",$CW525="reg",$CW525="coy"),"reg",$CW525))</f>
        <v>reg</v>
      </c>
      <c r="CY525" t="s">
        <v>236</v>
      </c>
      <c r="CZ525">
        <v>2010</v>
      </c>
      <c r="DA525">
        <v>2070</v>
      </c>
      <c r="DB525">
        <f>DA525-CZ525</f>
        <v>60</v>
      </c>
      <c r="DC525" t="str">
        <f>IF(DB525=0,"0",IF(AND(DB525&gt;=1,DB525&lt;=30),"1-30",IF(AND(DB525&gt;30,DB525&lt;=70),"31-70",IF(AND(DB525&gt;70,DB525&lt;=100),"71-100",IF(DB525&gt;100,"+100")))))</f>
        <v>31-70</v>
      </c>
      <c r="DD525">
        <v>0</v>
      </c>
      <c r="DE525">
        <v>1</v>
      </c>
      <c r="DF525">
        <v>0</v>
      </c>
      <c r="DG525">
        <v>0</v>
      </c>
      <c r="DH525">
        <v>0</v>
      </c>
      <c r="DI525">
        <f>SUM(DD525:DG525)</f>
        <v>1</v>
      </c>
      <c r="DJ525" t="str">
        <f>IF(DI525=1,INDEX($DD$7:$DG$7,MATCH(1,$DD525:$DG525,0)),"mixedProduct")</f>
        <v>EnergyInput</v>
      </c>
      <c r="DK525">
        <f>IF(DD525=1,DK$7,0)</f>
        <v>0</v>
      </c>
      <c r="DL525" t="str">
        <f>IF(DE525=1,DL$7,0)</f>
        <v>Energy</v>
      </c>
      <c r="DM525">
        <f>IF(DF525=1,DM$7,0)</f>
        <v>0</v>
      </c>
      <c r="DN525">
        <f>IF(DG525=1,DN$7,0)</f>
        <v>0</v>
      </c>
      <c r="DO525">
        <v>0</v>
      </c>
      <c r="DP525">
        <v>0</v>
      </c>
      <c r="DQ525">
        <v>0</v>
      </c>
      <c r="DR525">
        <v>0</v>
      </c>
      <c r="DS525">
        <v>0</v>
      </c>
      <c r="DT525">
        <f>SUM(DO525:DP525)</f>
        <v>0</v>
      </c>
      <c r="DU525" s="143" t="str">
        <f>IF(DO525=1,"self-calculated DF",IF(DP525=1,"external DF used","explicit C balance"))</f>
        <v>explicit C balance</v>
      </c>
      <c r="DV525">
        <v>1</v>
      </c>
      <c r="DW525">
        <v>1</v>
      </c>
      <c r="DX525">
        <v>1</v>
      </c>
      <c r="DY525">
        <v>0</v>
      </c>
      <c r="DZ525">
        <v>0</v>
      </c>
      <c r="EA525" s="143">
        <v>0</v>
      </c>
      <c r="EB525">
        <v>1</v>
      </c>
      <c r="EC525">
        <v>1</v>
      </c>
      <c r="ED525">
        <v>0</v>
      </c>
      <c r="EE525">
        <v>0</v>
      </c>
      <c r="EF525">
        <v>1</v>
      </c>
      <c r="EG525">
        <v>0</v>
      </c>
      <c r="EH525">
        <v>0</v>
      </c>
      <c r="EI525" s="2">
        <v>0</v>
      </c>
      <c r="EK525" t="str">
        <f>IF(AND(AND(AND(OR($DX525=1,$DW525=1),OR($EC525=1,$EA525=1)),SUM($DV525:$DZ525,$EF525)&gt;=4),SUM($EA525:$EE525)&gt;=2),"Whole sector","")</f>
        <v>Whole sector</v>
      </c>
      <c r="EL525" t="str">
        <f>IF(AND(AND(OR($DX525=1,$DW525=1),AND($EC525=0,$EA525=0)),SUM($DV525:$DZ525,$EF525)&gt;=4),"Ecosystem approach","")</f>
        <v/>
      </c>
      <c r="EM525" s="2" t="str">
        <f>IF(AND(AND(AND($DX525=0,$DW525=0),OR($EC525=1,$EA525=1)),SUM($EB525:$EE525)&gt;=2),"Technology approach","")</f>
        <v/>
      </c>
      <c r="EP525" t="b">
        <f>IF(ISNUMBER(BU525),IF(ABS(BU525-[2]QC_indicators!$B$2)&gt;3*[2]QC_indicators!$C$2,"C ratio",IF(ISNUMBER(BY525),IF(ABS(BY525-[2]QC_indicators!$B$1)&gt;3*[2]QC_indicators!$C$1,"DF","no"))),IF(ISNUMBER(BY525),IF(ABS(BY525-[2]QC_indicators!$B$1)&gt;3*[2]QC_indicators!$C$1,"DF","no")))</f>
        <v>0</v>
      </c>
      <c r="ET525" s="266" t="s">
        <v>3275</v>
      </c>
    </row>
    <row r="526" spans="1:150" ht="15" customHeight="1">
      <c r="A526" s="1" t="s">
        <v>1974</v>
      </c>
      <c r="B526" t="s">
        <v>2447</v>
      </c>
      <c r="C526" t="s">
        <v>2448</v>
      </c>
      <c r="D526" t="s">
        <v>2449</v>
      </c>
      <c r="E526" t="s">
        <v>2450</v>
      </c>
      <c r="F526" t="s">
        <v>2451</v>
      </c>
      <c r="G526" t="s">
        <v>1980</v>
      </c>
      <c r="H526" t="s">
        <v>255</v>
      </c>
      <c r="I526">
        <v>2018</v>
      </c>
      <c r="J526">
        <v>8</v>
      </c>
      <c r="K526" t="s">
        <v>2452</v>
      </c>
      <c r="M526" t="str">
        <f>LEFT($D526,FIND(",",$D526)-1)&amp;"_"&amp;I526&amp;L526</f>
        <v>Valade_2018</v>
      </c>
      <c r="N526" t="s">
        <v>223</v>
      </c>
      <c r="O526" s="145" t="s">
        <v>1156</v>
      </c>
      <c r="Q526" t="s">
        <v>257</v>
      </c>
      <c r="R526" s="255" t="s">
        <v>226</v>
      </c>
      <c r="S526" s="1" t="s">
        <v>2460</v>
      </c>
      <c r="T526" t="s">
        <v>2446</v>
      </c>
      <c r="U526" t="s">
        <v>2461</v>
      </c>
      <c r="V526">
        <v>0</v>
      </c>
      <c r="W526">
        <v>0</v>
      </c>
      <c r="X526">
        <v>1</v>
      </c>
      <c r="Y526">
        <v>0</v>
      </c>
      <c r="Z526">
        <v>0</v>
      </c>
      <c r="AA526">
        <v>0</v>
      </c>
      <c r="AB526">
        <v>0</v>
      </c>
      <c r="AC526">
        <v>0</v>
      </c>
      <c r="AD526">
        <v>0</v>
      </c>
      <c r="AE526">
        <v>0</v>
      </c>
      <c r="AF526">
        <v>0</v>
      </c>
      <c r="AG526">
        <v>0</v>
      </c>
      <c r="AH526">
        <v>0</v>
      </c>
      <c r="AI526">
        <v>0</v>
      </c>
      <c r="AJ526">
        <v>0</v>
      </c>
      <c r="AK526">
        <v>0</v>
      </c>
      <c r="AL526">
        <v>0</v>
      </c>
      <c r="AM526">
        <v>0</v>
      </c>
      <c r="AN526">
        <v>0</v>
      </c>
      <c r="AO526">
        <v>0</v>
      </c>
      <c r="AP526">
        <v>0</v>
      </c>
      <c r="AQ526">
        <v>0</v>
      </c>
      <c r="AR526">
        <v>0</v>
      </c>
      <c r="AS526">
        <v>0</v>
      </c>
      <c r="AT526">
        <v>0</v>
      </c>
      <c r="AU526">
        <v>0</v>
      </c>
      <c r="AV526">
        <v>0</v>
      </c>
      <c r="AW526">
        <v>0</v>
      </c>
      <c r="AX526" s="141">
        <f>COUNTIF(V526:AW526,"&lt;&gt;0")</f>
        <v>1</v>
      </c>
      <c r="AY526" s="141">
        <f>COUNTIF(V526:AL526,"&lt;&gt;0")</f>
        <v>1</v>
      </c>
      <c r="AZ526">
        <f>COUNTIF(V526:AC526,"&lt;&gt;0")</f>
        <v>1</v>
      </c>
      <c r="BA526">
        <f>COUNTIF(AD526:AI526,"&lt;&gt;0")</f>
        <v>0</v>
      </c>
      <c r="BB526">
        <f>COUNTIF(AJ526:AL526,"&lt;&gt;0")</f>
        <v>0</v>
      </c>
      <c r="BC526">
        <f>COUNTIF(AS526:AW526,"&lt;&gt;0")</f>
        <v>0</v>
      </c>
      <c r="BD526">
        <f>COUNTIF(AM526:AR526,"&lt;&gt;0")</f>
        <v>0</v>
      </c>
      <c r="BE526" t="str">
        <f t="array" ref="BE526">IF(AY526=1,INDEX($V$7:$AL$7,MATCH(TRUE,INDEX($V526:$AW526&lt;&gt;0,),0)),IF(AY526=0,INDEX($AM$7:$AW$7,MATCH(1,$AM526:$AW526,0)),IF(BF526="Multiple strategies","mixed drivers",IF(BF526="Supply chain","multiple supply","multiple silviculture"))))</f>
        <v>rotation length</v>
      </c>
      <c r="BF526" s="2" t="str" cm="1">
        <f t="array" ref="BF526">IF(COUNTIF(AZ526:BB526,"&lt;&gt;0")=1,INDEX($V$4:$AW$4,MATCH(TRUE,INDEX($V526:$AW526&lt;&gt;0,),0)),IF(COUNTIF(AZ526:BB526,"&lt;&gt;0")=0,INDEX($AM$4:$AW$4,MATCH(1,$AM526:$AW526,0)),"Multiple strategies"))</f>
        <v>SilvicultureRemov</v>
      </c>
      <c r="BG526" s="1" t="s">
        <v>322</v>
      </c>
      <c r="BH526" t="s">
        <v>2455</v>
      </c>
      <c r="BI526" s="260" t="s">
        <v>3401</v>
      </c>
      <c r="BJ526" t="s">
        <v>1325</v>
      </c>
      <c r="BK526">
        <v>1168.5023099755704</v>
      </c>
      <c r="BL526">
        <v>1580.9377497587932</v>
      </c>
      <c r="BM526" s="143">
        <f>BL526/BK526</f>
        <v>1.3529607397967793</v>
      </c>
      <c r="BN526">
        <f>BL526-BK526</f>
        <v>412.43543978322282</v>
      </c>
      <c r="BO526">
        <f>BN526*10^6</f>
        <v>412435439.78322279</v>
      </c>
      <c r="BP526" t="s">
        <v>233</v>
      </c>
      <c r="BQ526" s="260" t="s">
        <v>3404</v>
      </c>
      <c r="BR526" t="s">
        <v>1361</v>
      </c>
      <c r="BS526">
        <v>391.99006315946394</v>
      </c>
      <c r="BT526">
        <v>290.06454500000001</v>
      </c>
      <c r="BU526" s="144">
        <f>IFERROR(BT526/BS526,"")</f>
        <v>0.73997933177709152</v>
      </c>
      <c r="BV526" s="144">
        <f>BT526-BS526</f>
        <v>-101.92551815946393</v>
      </c>
      <c r="BW526" s="144"/>
      <c r="BX526">
        <f>BV526*10^6*C_to_CO2</f>
        <v>-374066651.64523262</v>
      </c>
      <c r="BY526">
        <f>IFERROR(BX526/BO526,"")</f>
        <v>-0.90697019597016948</v>
      </c>
      <c r="BZ526">
        <v>0</v>
      </c>
      <c r="CA526">
        <v>0</v>
      </c>
      <c r="CB526">
        <v>0</v>
      </c>
      <c r="CC526">
        <v>0</v>
      </c>
      <c r="CD526">
        <v>0</v>
      </c>
      <c r="CE526">
        <v>0</v>
      </c>
      <c r="CF526">
        <v>0</v>
      </c>
      <c r="CG526">
        <v>0</v>
      </c>
      <c r="CH526">
        <v>0</v>
      </c>
      <c r="CI526">
        <v>0</v>
      </c>
      <c r="CJ526">
        <v>0</v>
      </c>
      <c r="CK526">
        <v>0</v>
      </c>
      <c r="CL526">
        <v>0</v>
      </c>
      <c r="CM526">
        <v>0</v>
      </c>
      <c r="CN526" t="str">
        <f>IF($BL526&lt;$BK526,"refNeedCorrection","refOK")</f>
        <v>refOK</v>
      </c>
      <c r="CO526">
        <f>IF($CN526="refNeedCorrection",BL526,BK526)</f>
        <v>1168.5023099755704</v>
      </c>
      <c r="CP526">
        <f>IF($CN526="refNeedCorrection",BK526,BL526)</f>
        <v>1580.9377497587932</v>
      </c>
      <c r="CQ526">
        <f>IF($CN526="refOK",$BO526,-$BO526)</f>
        <v>412435439.78322279</v>
      </c>
      <c r="CR526">
        <f>IF($CN526="refOK",$BS526,$BT526)*IF($BP526="Emissions positive",-1,1)</f>
        <v>391.99006315946394</v>
      </c>
      <c r="CS526">
        <f>IF($CN526="refOK",$BT526,$BS526)*IF($BP526="Emissions positive",-1,1)</f>
        <v>290.06454500000001</v>
      </c>
      <c r="CT526">
        <f>IF($CN526="refNeedCorrection",-BX526,BX526)*IF($BP526="Emissions positive",-1,1)</f>
        <v>-374066651.64523262</v>
      </c>
      <c r="CU526">
        <f>IFERROR(CT526/CQ526,"")</f>
        <v>-0.90697019597016948</v>
      </c>
      <c r="CV526" s="2">
        <f>IFERROR((CS526-CR526)/ABS(CR526),"")</f>
        <v>-0.26002066822290854</v>
      </c>
      <c r="CW526" s="1" t="s">
        <v>1205</v>
      </c>
      <c r="CX526" t="str">
        <f>IF(OR($CW526="prd",$CW526="std",$CW526="cit"),"loc",IF(OR($CW526="eur",$CW526="reg",$CW526="coy"),"reg",$CW526))</f>
        <v>reg</v>
      </c>
      <c r="CY526" t="s">
        <v>731</v>
      </c>
      <c r="CZ526">
        <v>2015</v>
      </c>
      <c r="DA526">
        <v>2040</v>
      </c>
      <c r="DB526">
        <f>DA526-CZ526</f>
        <v>25</v>
      </c>
      <c r="DC526" t="str">
        <f>IF(DB526=0,"0",IF(AND(DB526&gt;=1,DB526&lt;=30),"1-30",IF(AND(DB526&gt;30,DB526&lt;=70),"31-70",IF(AND(DB526&gt;70,DB526&lt;=100),"71-100",IF(DB526&gt;100,"+100")))))</f>
        <v>1-30</v>
      </c>
      <c r="DD526">
        <v>1</v>
      </c>
      <c r="DE526">
        <v>1</v>
      </c>
      <c r="DF526">
        <v>1</v>
      </c>
      <c r="DG526">
        <v>1</v>
      </c>
      <c r="DI526">
        <f>SUM(DD526:DG526)</f>
        <v>4</v>
      </c>
      <c r="DJ526" t="str">
        <f>IF(DI526=1,INDEX($DD$7:$DG$7,MATCH(1,$DD526:$DG526,0)),"mixedProduct")</f>
        <v>mixedProduct</v>
      </c>
      <c r="DK526" t="str">
        <f>IF(DD526=1,DK$7,0)</f>
        <v>Upstream</v>
      </c>
      <c r="DL526" t="str">
        <f>IF(DE526=1,DL$7,0)</f>
        <v>Energy</v>
      </c>
      <c r="DM526" t="str">
        <f>IF(DF526=1,DM$7,0)</f>
        <v>Pulp/Paper</v>
      </c>
      <c r="DN526" t="str">
        <f>IF(DG526=1,DN$7,0)</f>
        <v>Timber</v>
      </c>
      <c r="DO526">
        <v>0</v>
      </c>
      <c r="DP526">
        <v>0</v>
      </c>
      <c r="DQ526">
        <v>0</v>
      </c>
      <c r="DR526">
        <v>0</v>
      </c>
      <c r="DS526">
        <v>0</v>
      </c>
      <c r="DT526">
        <f>SUM(DO526:DP526)</f>
        <v>0</v>
      </c>
      <c r="DU526" s="143" t="str">
        <f>IF(DO526=1,"self-calculated DF",IF(DP526=1,"external DF used","explicit C balance"))</f>
        <v>explicit C balance</v>
      </c>
      <c r="DV526">
        <v>0</v>
      </c>
      <c r="DW526">
        <v>1</v>
      </c>
      <c r="DX526">
        <v>1</v>
      </c>
      <c r="DY526">
        <v>1</v>
      </c>
      <c r="DZ526">
        <v>1</v>
      </c>
      <c r="EA526" s="143">
        <v>0</v>
      </c>
      <c r="EB526">
        <v>0</v>
      </c>
      <c r="EC526">
        <v>0</v>
      </c>
      <c r="ED526">
        <v>0</v>
      </c>
      <c r="EE526">
        <v>0</v>
      </c>
      <c r="EF526">
        <v>1</v>
      </c>
      <c r="EG526">
        <v>0</v>
      </c>
      <c r="EH526">
        <v>0</v>
      </c>
      <c r="EI526" s="2">
        <v>0</v>
      </c>
      <c r="EK526" t="str">
        <f>IF(AND(AND(AND(OR($DX526=1,$DW526=1),OR($EC526=1,$EA526=1)),SUM($DV526:$DZ526,$EF526)&gt;=4),SUM($EA526:$EE526)&gt;=2),"Whole sector","")</f>
        <v/>
      </c>
      <c r="EL526" t="str">
        <f>IF(AND(AND(OR($DX526=1,$DW526=1),AND($EC526=0,$EA526=0)),SUM($DV526:$DZ526,$EF526)&gt;=4),"Ecosystem approach","")</f>
        <v>Ecosystem approach</v>
      </c>
      <c r="EM526" s="2" t="str">
        <f>IF(AND(AND(AND($DX526=0,$DW526=0),OR($EC526=1,$EA526=1)),SUM($EB526:$EE526)&gt;=2),"Technology approach","")</f>
        <v/>
      </c>
      <c r="EP526" t="str">
        <f>IF(ISNUMBER(BU526),IF(ABS(BU526-[4]QC_indicators!$B$2)&gt;3*[4]QC_indicators!$C$2,"C ratio",IF(ISNUMBER(BY526),IF(ABS(BY526-[4]QC_indicators!$B$1)&gt;3*[4]QC_indicators!$C$1,"DF","no"))),IF(ISNUMBER(BY526),IF(ABS(BY526-[4]QC_indicators!$B$1)&gt;3*[4]QC_indicators!$C$1,"DF","no")))</f>
        <v>no</v>
      </c>
      <c r="EQ526" t="s">
        <v>2380</v>
      </c>
      <c r="ET526" s="266" t="s">
        <v>3275</v>
      </c>
    </row>
    <row r="527" spans="1:150" ht="15" hidden="1" customHeight="1">
      <c r="A527" s="186" t="s">
        <v>1425</v>
      </c>
      <c r="B527" s="185" t="s">
        <v>2118</v>
      </c>
      <c r="C527" s="185" t="s">
        <v>2119</v>
      </c>
      <c r="D527" s="185" t="s">
        <v>2120</v>
      </c>
      <c r="E527" s="185" t="s">
        <v>2121</v>
      </c>
      <c r="F527" s="185" t="s">
        <v>2122</v>
      </c>
      <c r="G527" s="185" t="s">
        <v>1431</v>
      </c>
      <c r="H527" s="185" t="s">
        <v>255</v>
      </c>
      <c r="I527" s="185">
        <v>2014</v>
      </c>
      <c r="J527" s="185">
        <v>45</v>
      </c>
      <c r="K527" s="185" t="s">
        <v>2123</v>
      </c>
      <c r="L527" s="185"/>
      <c r="M527" t="str">
        <f>LEFT($D527,FIND(",",$D527)-1)&amp;"_"&amp;I527&amp;L527</f>
        <v>Pukkala_2014</v>
      </c>
      <c r="N527" t="s">
        <v>223</v>
      </c>
      <c r="O527" s="187" t="s">
        <v>226</v>
      </c>
      <c r="P527" s="185" t="s">
        <v>1156</v>
      </c>
      <c r="Q527" s="185"/>
      <c r="R527" s="264" t="s">
        <v>224</v>
      </c>
      <c r="S527" s="186" t="s">
        <v>2132</v>
      </c>
      <c r="T527" s="185" t="s">
        <v>2125</v>
      </c>
      <c r="U527" s="185" t="s">
        <v>2136</v>
      </c>
      <c r="V527" s="185">
        <v>0</v>
      </c>
      <c r="W527" s="185">
        <v>0</v>
      </c>
      <c r="X527" s="185">
        <v>0</v>
      </c>
      <c r="Y527" s="185">
        <v>1</v>
      </c>
      <c r="Z527" s="185">
        <v>0</v>
      </c>
      <c r="AA527" s="185">
        <v>0</v>
      </c>
      <c r="AB527" s="185">
        <v>0</v>
      </c>
      <c r="AC527" s="185">
        <v>0</v>
      </c>
      <c r="AD527" s="185">
        <v>0</v>
      </c>
      <c r="AE527" s="185">
        <v>0</v>
      </c>
      <c r="AF527" s="185">
        <v>0</v>
      </c>
      <c r="AG527" s="185">
        <v>0</v>
      </c>
      <c r="AH527" s="185">
        <v>0</v>
      </c>
      <c r="AI527" s="185">
        <v>0</v>
      </c>
      <c r="AJ527" s="185">
        <v>0</v>
      </c>
      <c r="AK527" s="185">
        <v>0</v>
      </c>
      <c r="AL527" s="185">
        <v>0</v>
      </c>
      <c r="AM527" s="185">
        <v>0</v>
      </c>
      <c r="AN527" s="185">
        <v>0</v>
      </c>
      <c r="AO527" s="185">
        <v>0</v>
      </c>
      <c r="AP527" s="185">
        <v>0</v>
      </c>
      <c r="AQ527" s="185">
        <v>0</v>
      </c>
      <c r="AR527" s="185">
        <v>0</v>
      </c>
      <c r="AS527" s="185">
        <v>0</v>
      </c>
      <c r="AT527" s="185">
        <v>0</v>
      </c>
      <c r="AU527" s="185">
        <v>0</v>
      </c>
      <c r="AV527" s="185">
        <v>0</v>
      </c>
      <c r="AW527" s="185">
        <v>0</v>
      </c>
      <c r="AX527" s="141">
        <f>COUNTIF(V527:AW527,"&lt;&gt;0")</f>
        <v>1</v>
      </c>
      <c r="AY527" s="141">
        <f>COUNTIF(V527:AL527,"&lt;&gt;0")</f>
        <v>1</v>
      </c>
      <c r="AZ527">
        <f>COUNTIF(V527:AC527,"&lt;&gt;0")</f>
        <v>1</v>
      </c>
      <c r="BA527">
        <f>COUNTIF(AD527:AI527,"&lt;&gt;0")</f>
        <v>0</v>
      </c>
      <c r="BB527">
        <f>COUNTIF(AJ527:AL527,"&lt;&gt;0")</f>
        <v>0</v>
      </c>
      <c r="BC527">
        <f>COUNTIF(AS527:AW527,"&lt;&gt;0")</f>
        <v>0</v>
      </c>
      <c r="BD527">
        <f>COUNTIF(AM527:AR527,"&lt;&gt;0")</f>
        <v>0</v>
      </c>
      <c r="BE527" t="str">
        <f t="array" ref="BE527">IF(AY527=1,INDEX($V$7:$AL$7,MATCH(TRUE,INDEX($V527:$AW527&lt;&gt;0,),0)),IF(AY527=0,INDEX($AM$7:$AW$7,MATCH(1,$AM527:$AW527,0)),IF(BF527="Multiple strategies","mixed drivers",IF(BF527="Supply chain","multiple supply","multiple silviculture"))))</f>
        <v xml:space="preserve">cutting intensity </v>
      </c>
      <c r="BF527" s="2" t="str" cm="1">
        <f t="array" ref="BF527">IF(COUNTIF(AZ527:BB527,"&lt;&gt;0")=1,INDEX($V$4:$AW$4,MATCH(TRUE,INDEX($V527:$AW527&lt;&gt;0,),0)),IF(COUNTIF(AZ527:BB527,"&lt;&gt;0")=0,INDEX($AM$4:$AW$4,MATCH(1,$AM527:$AW527,0)),"Multiple strategies"))</f>
        <v>SilvicultureRemov</v>
      </c>
      <c r="BG527" s="186" t="s">
        <v>230</v>
      </c>
      <c r="BH527" s="185" t="s">
        <v>2127</v>
      </c>
      <c r="BI527" s="185" t="s">
        <v>2128</v>
      </c>
      <c r="BJ527" s="185" t="s">
        <v>2129</v>
      </c>
      <c r="BK527" s="185">
        <v>1.004</v>
      </c>
      <c r="BL527" s="185">
        <v>1.0269999999999999</v>
      </c>
      <c r="BM527" s="185">
        <f>IFERROR(BL527/BK527,"")</f>
        <v>1.0229083665338645</v>
      </c>
      <c r="BN527" s="185">
        <f>BL527-BK527</f>
        <v>2.2999999999999909E-2</v>
      </c>
      <c r="BO527" s="185">
        <f>+BN527*tC_to_m3</f>
        <v>9.9869735128093398E-2</v>
      </c>
      <c r="BP527" s="185" t="s">
        <v>233</v>
      </c>
      <c r="BQ527" s="185" t="s">
        <v>2130</v>
      </c>
      <c r="BR527" s="185" t="s">
        <v>2129</v>
      </c>
      <c r="BS527" s="185">
        <v>0.72399999999999998</v>
      </c>
      <c r="BT527" s="185">
        <v>0.77300000000000002</v>
      </c>
      <c r="BU527" s="189">
        <f>BT527/BS527</f>
        <v>1.0676795580110499</v>
      </c>
      <c r="BV527" s="185">
        <f>BT527-BS527</f>
        <v>4.9000000000000044E-2</v>
      </c>
      <c r="BW527" s="185"/>
      <c r="BX527" s="185">
        <f>BV527*C_to_CO2</f>
        <v>0.17983000000000016</v>
      </c>
      <c r="BY527">
        <f>IFERROR(BX527/BO527,"")</f>
        <v>1.8006456086956608</v>
      </c>
      <c r="BZ527" s="185">
        <v>0</v>
      </c>
      <c r="CA527" s="185">
        <v>0</v>
      </c>
      <c r="CB527" s="185">
        <v>0</v>
      </c>
      <c r="CC527" s="185">
        <v>0</v>
      </c>
      <c r="CD527" s="185">
        <v>0</v>
      </c>
      <c r="CE527" s="185">
        <v>0</v>
      </c>
      <c r="CF527" s="185">
        <v>0</v>
      </c>
      <c r="CG527" s="185">
        <v>0</v>
      </c>
      <c r="CH527" s="185">
        <v>0</v>
      </c>
      <c r="CI527" s="185">
        <v>0</v>
      </c>
      <c r="CJ527" s="185">
        <v>0</v>
      </c>
      <c r="CK527" s="185">
        <v>0</v>
      </c>
      <c r="CL527" s="185">
        <v>0</v>
      </c>
      <c r="CM527" s="185">
        <v>1</v>
      </c>
      <c r="CN527" s="185" t="str">
        <f>IF($BL527&lt;$BK527,"refNeedCorrection","refOK")</f>
        <v>refOK</v>
      </c>
      <c r="CO527" s="185">
        <f>IF($CN527="refOK",$BK527,$BL527)</f>
        <v>1.004</v>
      </c>
      <c r="CP527" s="185">
        <f>IF($CN527="refOK",$BL527,$BK527)</f>
        <v>1.0269999999999999</v>
      </c>
      <c r="CQ527" s="185">
        <f>IF($CN527="refOK",$BO527,-$BO527)</f>
        <v>9.9869735128093398E-2</v>
      </c>
      <c r="CR527" s="185">
        <f>IF($CN527="refOK",$BS527,$BT527)*IF($BP527="Emissions positive",-1,1)</f>
        <v>0.72399999999999998</v>
      </c>
      <c r="CS527" s="185">
        <f>IF($CN527="refOK",$BT527,$BS527)*IF($BP527="Emissions positive",-1,1)</f>
        <v>0.77300000000000002</v>
      </c>
      <c r="CT527" s="185">
        <f>IF($CN527="refNeedCorrection",-BX527,BX527)*IF($BP527="Emissions positive",-1,1)</f>
        <v>0.17983000000000016</v>
      </c>
      <c r="CU527">
        <f>IFERROR(CT527/CQ527,"")</f>
        <v>1.8006456086956608</v>
      </c>
      <c r="CV527" s="188">
        <f>IFERROR((CS527-CR527)/ABS(CR527),"")</f>
        <v>6.7679558011049787E-2</v>
      </c>
      <c r="CW527" s="186" t="s">
        <v>2038</v>
      </c>
      <c r="CX527" t="str">
        <f>IF(OR($CW527="prd",$CW527="std",$CW527="cit"),"loc",IF(OR($CW527="eur",$CW527="reg",$CW527="coy"),"reg",$CW527))</f>
        <v>reg</v>
      </c>
      <c r="CY527" s="185" t="s">
        <v>236</v>
      </c>
      <c r="CZ527" s="185"/>
      <c r="DA527" s="185"/>
      <c r="DB527" s="185">
        <v>30</v>
      </c>
      <c r="DC527" t="str">
        <f>IF(DB527=0,"0",IF(AND(DB527&gt;=1,DB527&lt;=30),"1-30",IF(AND(DB527&gt;30,DB527&lt;=70),"31-70",IF(AND(DB527&gt;70,DB527&lt;=100),"71-100",IF(DB527&gt;100,"+100")))))</f>
        <v>1-30</v>
      </c>
      <c r="DD527">
        <v>1</v>
      </c>
      <c r="DE527">
        <v>1</v>
      </c>
      <c r="DF527">
        <v>1</v>
      </c>
      <c r="DG527">
        <v>1</v>
      </c>
      <c r="DH527" s="185">
        <v>0</v>
      </c>
      <c r="DI527">
        <f>SUM(DD527:DG527)</f>
        <v>4</v>
      </c>
      <c r="DJ527" t="str">
        <f>IF(DI527=1,INDEX($DD$7:$DG$7,MATCH(1,$DD527:$DG527,0)),"mixedProduct")</f>
        <v>mixedProduct</v>
      </c>
      <c r="DK527" t="str">
        <f>IF(DD527=1,DK$7,0)</f>
        <v>Upstream</v>
      </c>
      <c r="DL527" t="str">
        <f>IF(DE527=1,DL$7,0)</f>
        <v>Energy</v>
      </c>
      <c r="DM527" t="str">
        <f>IF(DF527=1,DM$7,0)</f>
        <v>Pulp/Paper</v>
      </c>
      <c r="DN527" t="str">
        <f>IF(DG527=1,DN$7,0)</f>
        <v>Timber</v>
      </c>
      <c r="DO527" s="185">
        <v>0</v>
      </c>
      <c r="DP527" s="185">
        <v>1</v>
      </c>
      <c r="DQ527" s="190" t="s">
        <v>2131</v>
      </c>
      <c r="DR527" s="190" t="s">
        <v>2131</v>
      </c>
      <c r="DS527" s="190">
        <v>0</v>
      </c>
      <c r="DT527" s="185"/>
      <c r="DU527" s="191" t="str">
        <f>IF(DO527=1,"self-calculated DF",IF(DP527=1,"external DF used","explicit C balance"))</f>
        <v>external DF used</v>
      </c>
      <c r="DV527" s="185">
        <v>1</v>
      </c>
      <c r="DW527" s="185">
        <v>1</v>
      </c>
      <c r="DX527" s="185">
        <v>1</v>
      </c>
      <c r="DY527" s="185">
        <v>1</v>
      </c>
      <c r="DZ527" s="185">
        <v>1</v>
      </c>
      <c r="EA527" s="185">
        <v>1</v>
      </c>
      <c r="EB527" s="185">
        <v>1</v>
      </c>
      <c r="EC527" s="185">
        <v>1</v>
      </c>
      <c r="ED527" s="185">
        <v>0</v>
      </c>
      <c r="EE527" s="185">
        <v>0</v>
      </c>
      <c r="EF527" s="185">
        <v>1</v>
      </c>
      <c r="EG527" s="185">
        <v>0</v>
      </c>
      <c r="EH527" s="185">
        <v>0</v>
      </c>
      <c r="EI527" s="188">
        <v>0</v>
      </c>
      <c r="EK527" t="str">
        <f>IF(AND(AND(AND(OR($DX527=1,$DW527=1),OR($EC527=1,$EA527=1)),SUM($DV527:$DZ527,$EF527)&gt;=4),SUM($EA527:$EE527)&gt;=2),"Whole sector","")</f>
        <v>Whole sector</v>
      </c>
      <c r="EL527" t="str">
        <f>IF(AND(AND(OR($DX527=1,$DW527=1),AND($EC527=0,$EA527=0)),SUM($DV527:$DZ527,$EF527)&gt;=4),"Ecosystem approach","")</f>
        <v/>
      </c>
      <c r="EM527" s="2" t="str">
        <f>IF(AND(AND(AND($DX527=0,$DW527=0),OR($EC527=1,$EA527=1)),SUM($EB527:$EE527)&gt;=2),"Technology approach","")</f>
        <v/>
      </c>
      <c r="EN527" s="185"/>
      <c r="EO527" s="185"/>
      <c r="EP527" t="str">
        <f>IF(ISNUMBER(BU527),IF(ABS(BU527-[2]QC_indicators!$B$2)&gt;3*[2]QC_indicators!$C$2,"C ratio",IF(ISNUMBER(BY527),IF(ABS(BY527-[2]QC_indicators!$B$1)&gt;3*[2]QC_indicators!$C$1,"DF","no"))),IF(ISNUMBER(BY527),IF(ABS(BY527-[2]QC_indicators!$B$1)&gt;3*[2]QC_indicators!$C$1,"DF","no")))</f>
        <v>no</v>
      </c>
      <c r="EQ527" s="185"/>
      <c r="ER527" s="185"/>
      <c r="ES527" s="185"/>
      <c r="ET527" s="266" t="s">
        <v>3225</v>
      </c>
    </row>
    <row r="528" spans="1:150" ht="15" customHeight="1">
      <c r="A528" s="1" t="s">
        <v>1272</v>
      </c>
      <c r="B528" t="s">
        <v>1273</v>
      </c>
      <c r="C528" t="s">
        <v>1274</v>
      </c>
      <c r="D528" t="s">
        <v>1275</v>
      </c>
      <c r="E528" t="s">
        <v>1276</v>
      </c>
      <c r="F528" t="s">
        <v>1277</v>
      </c>
      <c r="G528" t="s">
        <v>1278</v>
      </c>
      <c r="I528">
        <v>2019</v>
      </c>
      <c r="K528" t="s">
        <v>1279</v>
      </c>
      <c r="M528" t="str">
        <f>LEFT($D528,FIND(",",$D528)-1)&amp;"_"&amp;I528&amp;L528</f>
        <v>Baskent_2019</v>
      </c>
      <c r="N528" t="s">
        <v>223</v>
      </c>
      <c r="O528" s="140" t="s">
        <v>514</v>
      </c>
      <c r="Q528" t="s">
        <v>225</v>
      </c>
      <c r="R528" s="271" t="s">
        <v>275</v>
      </c>
      <c r="S528" s="1" t="s">
        <v>1280</v>
      </c>
      <c r="T528" s="143" t="s">
        <v>1281</v>
      </c>
      <c r="U528" t="s">
        <v>1113</v>
      </c>
      <c r="V528" s="143">
        <v>0</v>
      </c>
      <c r="W528" s="143">
        <v>0</v>
      </c>
      <c r="X528" s="143">
        <v>0</v>
      </c>
      <c r="Y528" s="143">
        <v>1</v>
      </c>
      <c r="Z528" s="143">
        <v>2</v>
      </c>
      <c r="AA528" s="143">
        <v>0</v>
      </c>
      <c r="AB528" s="143">
        <v>0</v>
      </c>
      <c r="AC528" s="143">
        <v>0</v>
      </c>
      <c r="AD528">
        <v>0</v>
      </c>
      <c r="AE528">
        <v>0</v>
      </c>
      <c r="AF528">
        <v>2</v>
      </c>
      <c r="AG528">
        <v>0</v>
      </c>
      <c r="AH528">
        <v>0</v>
      </c>
      <c r="AI528">
        <v>0</v>
      </c>
      <c r="AJ528">
        <v>2</v>
      </c>
      <c r="AK528">
        <v>0</v>
      </c>
      <c r="AL528">
        <v>0</v>
      </c>
      <c r="AM528">
        <v>0</v>
      </c>
      <c r="AN528">
        <v>2</v>
      </c>
      <c r="AO528">
        <v>2</v>
      </c>
      <c r="AP528">
        <v>0</v>
      </c>
      <c r="AQ528">
        <v>0</v>
      </c>
      <c r="AR528">
        <v>0</v>
      </c>
      <c r="AS528">
        <v>2</v>
      </c>
      <c r="AT528">
        <v>0</v>
      </c>
      <c r="AU528">
        <v>0</v>
      </c>
      <c r="AV528">
        <v>0</v>
      </c>
      <c r="AW528">
        <v>2</v>
      </c>
      <c r="AX528" s="141">
        <f>COUNTIF(V528:AW528,"&lt;&gt;0")</f>
        <v>8</v>
      </c>
      <c r="AY528" s="141">
        <f>COUNTIF(V528:AL528,"&lt;&gt;0")</f>
        <v>4</v>
      </c>
      <c r="AZ528">
        <f>COUNTIF(V528:AC528,"&lt;&gt;0")</f>
        <v>2</v>
      </c>
      <c r="BA528">
        <f>COUNTIF(AD528:AI528,"&lt;&gt;0")</f>
        <v>1</v>
      </c>
      <c r="BB528">
        <f>COUNTIF(AJ528:AL528,"&lt;&gt;0")</f>
        <v>1</v>
      </c>
      <c r="BC528">
        <f>COUNTIF(AS528:AW528,"&lt;&gt;0")</f>
        <v>2</v>
      </c>
      <c r="BD528">
        <f>COUNTIF(AM528:AR528,"&lt;&gt;0")</f>
        <v>2</v>
      </c>
      <c r="BE528" t="str">
        <f t="array" ref="BE528">IF(AY528=1,INDEX($V$7:$AL$7,MATCH(TRUE,INDEX($V528:$AW528&lt;&gt;0,),0)),IF(AY528=0,INDEX($AM$7:$AW$7,MATCH(1,$AM528:$AW528,0)),IF(BF528="Multiple strategies","mixed drivers",IF(BF528="Supply chain","multiple supply","multiple silviculture"))))</f>
        <v>mixed drivers</v>
      </c>
      <c r="BF528" s="2" t="str">
        <f t="array" ref="BF528">IF(COUNTIF(AZ528:BB528,"&lt;&gt;0")=1,INDEX($V$4:$AW$4,MATCH(TRUE,INDEX($V528:$AW528&lt;&gt;0,),0)),IF(COUNTIF(AZ528:BB528,"&lt;&gt;0")=0,INDEX($AM$4:$AW$4,MATCH(1,$AM528:$AW528,0)),"Multiple strategies"))</f>
        <v>Multiple strategies</v>
      </c>
      <c r="BG528" s="1" t="s">
        <v>322</v>
      </c>
      <c r="BH528" t="s">
        <v>1282</v>
      </c>
      <c r="BJ528" s="143" t="s">
        <v>279</v>
      </c>
      <c r="BK528">
        <v>21.305418719211811</v>
      </c>
      <c r="BL528">
        <v>22.204433497536925</v>
      </c>
      <c r="BM528">
        <f>BL528/BK528</f>
        <v>1.0421965317919071</v>
      </c>
      <c r="BN528">
        <f>BL528-BK528</f>
        <v>0.89901477832511389</v>
      </c>
      <c r="BO528" s="143">
        <f>BN528*tC_to_m3</f>
        <v>3.9036681646770037</v>
      </c>
      <c r="BP528" t="s">
        <v>233</v>
      </c>
      <c r="BQ528" t="s">
        <v>789</v>
      </c>
      <c r="BR528" s="143" t="s">
        <v>279</v>
      </c>
      <c r="BS528">
        <v>54.215357944132023</v>
      </c>
      <c r="BT528">
        <v>42.123971298234274</v>
      </c>
      <c r="BU528" s="144">
        <f>IFERROR(BT528/BS528,"")</f>
        <v>0.77697488120695035</v>
      </c>
      <c r="BV528">
        <f>BT528-BS528</f>
        <v>-12.091386645897749</v>
      </c>
      <c r="BX528">
        <f>BV528*C_to_CO2</f>
        <v>-44.375388990444741</v>
      </c>
      <c r="BY528">
        <f>IFERROR(BX528/BO528,"")</f>
        <v>-11.367613003580297</v>
      </c>
      <c r="BZ528" s="143">
        <v>0</v>
      </c>
      <c r="CA528" s="143">
        <v>0</v>
      </c>
      <c r="CB528" s="143">
        <v>0</v>
      </c>
      <c r="CC528" s="143">
        <v>0</v>
      </c>
      <c r="CD528" s="143">
        <v>0</v>
      </c>
      <c r="CE528" s="143">
        <v>0</v>
      </c>
      <c r="CF528" s="143">
        <v>0</v>
      </c>
      <c r="CG528" s="143">
        <v>1</v>
      </c>
      <c r="CH528" s="143">
        <v>0</v>
      </c>
      <c r="CI528" s="143">
        <v>1</v>
      </c>
      <c r="CJ528" s="143">
        <v>1</v>
      </c>
      <c r="CK528" s="143">
        <v>0</v>
      </c>
      <c r="CL528" s="143">
        <v>1</v>
      </c>
      <c r="CM528" s="143">
        <v>0</v>
      </c>
      <c r="CN528" t="str">
        <f>IF($BL528&lt;$BK528,"refNeedCorrection","refOK")</f>
        <v>refOK</v>
      </c>
      <c r="CO528">
        <f>IF($CN528="refOK",$BK528,$BL528)</f>
        <v>21.305418719211811</v>
      </c>
      <c r="CP528">
        <f>IF($CN528="refOK",$BL528,$BK528)</f>
        <v>22.204433497536925</v>
      </c>
      <c r="CQ528">
        <f>IF($CN528="refOK",$BO528,-$BO528)</f>
        <v>3.9036681646770037</v>
      </c>
      <c r="CR528">
        <f>IF($CN528="refOK",$BS528,$BT528)*IF($BP528="Emissions positive",-1,1)</f>
        <v>54.215357944132023</v>
      </c>
      <c r="CS528">
        <f>IF($CN528="refOK",$BT528,$BS528)*IF($BP528="Emissions positive",-1,1)</f>
        <v>42.123971298234274</v>
      </c>
      <c r="CT528">
        <f>IF($CN528="refNeedCorrection",-BX528,BX528)*IF($BP528="Emissions positive",-1,1)</f>
        <v>-44.375388990444741</v>
      </c>
      <c r="CU528">
        <f>IFERROR(CT528/CQ528,"")</f>
        <v>-11.367613003580297</v>
      </c>
      <c r="CV528" s="2">
        <f>IFERROR((CS528-CR528)/ABS(CR528),"")</f>
        <v>-0.22302511879304959</v>
      </c>
      <c r="CW528" s="1" t="s">
        <v>1201</v>
      </c>
      <c r="CX528" t="str">
        <f>IF(OR($CW528="prd",$CW528="std",$CW528="cit"),"loc",IF(OR($CW528="eur",$CW528="reg",$CW528="coy"),"reg",$CW528))</f>
        <v>reg</v>
      </c>
      <c r="CY528" t="s">
        <v>1283</v>
      </c>
      <c r="CZ528">
        <v>2010</v>
      </c>
      <c r="DA528" s="143">
        <v>2100</v>
      </c>
      <c r="DB528" s="143">
        <f>DA528-CZ528</f>
        <v>90</v>
      </c>
      <c r="DC528" t="str">
        <f>IF(DB528=0,"0",IF(AND(DB528&gt;=1,DB528&lt;=30),"1-30",IF(AND(DB528&gt;30,DB528&lt;=70),"31-70",IF(AND(DB528&gt;70,DB528&lt;=100),"71-100",IF(DB528&gt;100,"+100")))))</f>
        <v>71-100</v>
      </c>
      <c r="DD528">
        <v>1</v>
      </c>
      <c r="DE528">
        <v>1</v>
      </c>
      <c r="DF528">
        <v>1</v>
      </c>
      <c r="DG528">
        <v>1</v>
      </c>
      <c r="DI528">
        <f>SUM(DD528:DG528)</f>
        <v>4</v>
      </c>
      <c r="DJ528" t="str">
        <f>IF(DI528=1,INDEX($DD$7:$DG$7,MATCH(1,$DD528:$DG528,0)),"mixedProduct")</f>
        <v>mixedProduct</v>
      </c>
      <c r="DK528" t="str">
        <f>IF(DD528=1,DK$7,0)</f>
        <v>Upstream</v>
      </c>
      <c r="DL528" t="str">
        <f>IF(DE528=1,DL$7,0)</f>
        <v>Energy</v>
      </c>
      <c r="DM528" t="str">
        <f>IF(DF528=1,DM$7,0)</f>
        <v>Pulp/Paper</v>
      </c>
      <c r="DN528" t="str">
        <f>IF(DG528=1,DN$7,0)</f>
        <v>Timber</v>
      </c>
      <c r="DO528" s="143">
        <v>1</v>
      </c>
      <c r="DP528">
        <v>0</v>
      </c>
      <c r="DQ528" s="143">
        <v>0</v>
      </c>
      <c r="DR528" s="143">
        <v>0</v>
      </c>
      <c r="DS528" s="143" t="s">
        <v>1284</v>
      </c>
      <c r="DT528">
        <f>SUM(DO528:DP528)</f>
        <v>1</v>
      </c>
      <c r="DU528" s="143" t="str">
        <f>IF(DO528=1,"self-calculated DF",IF(DP528=1,"external DF used","explicit C balance"))</f>
        <v>self-calculated DF</v>
      </c>
      <c r="DV528" s="143">
        <v>0</v>
      </c>
      <c r="DW528">
        <v>1</v>
      </c>
      <c r="DX528" s="143">
        <v>1</v>
      </c>
      <c r="DY528" s="143">
        <v>1</v>
      </c>
      <c r="DZ528">
        <v>1</v>
      </c>
      <c r="EA528">
        <v>0</v>
      </c>
      <c r="EB528" s="143">
        <v>0</v>
      </c>
      <c r="EC528">
        <v>0</v>
      </c>
      <c r="ED528" s="143">
        <v>0</v>
      </c>
      <c r="EE528">
        <v>0</v>
      </c>
      <c r="EF528">
        <v>1</v>
      </c>
      <c r="EG528" s="143">
        <v>0</v>
      </c>
      <c r="EH528">
        <v>0</v>
      </c>
      <c r="EI528" s="2">
        <v>0</v>
      </c>
      <c r="EK528" t="str">
        <f>IF(AND(AND(AND(OR($DX528=1,$DW528=1),OR($EC528=1,$EA528=1)),SUM($DV528:$DZ528,$EF528)&gt;=4),SUM($EA528:$EE528)&gt;=2),"Whole sector","")</f>
        <v/>
      </c>
      <c r="EL528" t="str">
        <f>IF(AND(AND(OR($DX528=1,$DW528=1),AND($EC528=0,$EA528=0)),SUM($DV528:$DZ528,$EF528)&gt;=4),"Ecosystem approach","")</f>
        <v>Ecosystem approach</v>
      </c>
      <c r="EM528" s="2" t="str">
        <f>IF(AND(AND(AND($DX528=0,$DW528=0),OR($EC528=1,$EA528=1)),SUM($EB528:$EE528)&gt;=2),"Technology approach","")</f>
        <v/>
      </c>
      <c r="EN528" t="s">
        <v>1285</v>
      </c>
      <c r="EP528" t="str">
        <f>IF(ISNUMBER(BU528),IF(ABS(BU528-[3]QC_indicators!$B$2)&gt;3*[3]QC_indicators!$C$2,"C ratio",IF(ISNUMBER(BY528),IF(ABS(BY528-[3]QC_indicators!$B$1)&gt;3*[3]QC_indicators!$C$1,"DF","no"))),IF(ISNUMBER(BY528),IF(ABS(BY528-[3]QC_indicators!$B$1)&gt;3*[3]QC_indicators!$C$1,"DF","no")))</f>
        <v>DF</v>
      </c>
      <c r="EQ528" t="s">
        <v>287</v>
      </c>
      <c r="ER528" t="s">
        <v>1286</v>
      </c>
      <c r="ET528" s="266" t="s">
        <v>3275</v>
      </c>
    </row>
    <row r="529" spans="1:150" ht="15" hidden="1" customHeight="1">
      <c r="A529" s="186" t="s">
        <v>1425</v>
      </c>
      <c r="B529" s="185" t="s">
        <v>2118</v>
      </c>
      <c r="C529" s="185" t="s">
        <v>2119</v>
      </c>
      <c r="D529" s="185" t="s">
        <v>2120</v>
      </c>
      <c r="E529" s="185" t="s">
        <v>2121</v>
      </c>
      <c r="F529" s="185" t="s">
        <v>2122</v>
      </c>
      <c r="G529" s="185" t="s">
        <v>1431</v>
      </c>
      <c r="H529" s="185" t="s">
        <v>255</v>
      </c>
      <c r="I529" s="185">
        <v>2014</v>
      </c>
      <c r="J529" s="185">
        <v>45</v>
      </c>
      <c r="K529" s="185" t="s">
        <v>2123</v>
      </c>
      <c r="L529" s="185"/>
      <c r="M529" t="str">
        <f>LEFT($D529,FIND(",",$D529)-1)&amp;"_"&amp;I529&amp;L529</f>
        <v>Pukkala_2014</v>
      </c>
      <c r="N529" t="s">
        <v>223</v>
      </c>
      <c r="O529" s="187" t="s">
        <v>226</v>
      </c>
      <c r="P529" s="185" t="s">
        <v>1156</v>
      </c>
      <c r="Q529" s="185"/>
      <c r="R529" s="264" t="s">
        <v>224</v>
      </c>
      <c r="S529" s="186" t="s">
        <v>2132</v>
      </c>
      <c r="T529" s="185" t="s">
        <v>2133</v>
      </c>
      <c r="U529" s="185" t="s">
        <v>2126</v>
      </c>
      <c r="V529" s="185">
        <v>0</v>
      </c>
      <c r="W529" s="185">
        <v>0</v>
      </c>
      <c r="X529" s="185">
        <v>0</v>
      </c>
      <c r="Y529" s="185">
        <v>1</v>
      </c>
      <c r="Z529" s="185">
        <v>0</v>
      </c>
      <c r="AA529" s="185">
        <v>0</v>
      </c>
      <c r="AB529" s="185">
        <v>0</v>
      </c>
      <c r="AC529" s="185">
        <v>0</v>
      </c>
      <c r="AD529" s="185">
        <v>0</v>
      </c>
      <c r="AE529" s="185">
        <v>0</v>
      </c>
      <c r="AF529" s="185">
        <v>0</v>
      </c>
      <c r="AG529" s="185">
        <v>0</v>
      </c>
      <c r="AH529" s="185">
        <v>0</v>
      </c>
      <c r="AI529" s="185">
        <v>0</v>
      </c>
      <c r="AJ529" s="185">
        <v>0</v>
      </c>
      <c r="AK529" s="185">
        <v>0</v>
      </c>
      <c r="AL529" s="185">
        <v>0</v>
      </c>
      <c r="AM529" s="185">
        <v>0</v>
      </c>
      <c r="AN529" s="185">
        <v>0</v>
      </c>
      <c r="AO529" s="185">
        <v>0</v>
      </c>
      <c r="AP529" s="185">
        <v>0</v>
      </c>
      <c r="AQ529" s="185">
        <v>0</v>
      </c>
      <c r="AR529" s="185">
        <v>0</v>
      </c>
      <c r="AS529" s="185">
        <v>0</v>
      </c>
      <c r="AT529" s="185">
        <v>0</v>
      </c>
      <c r="AU529" s="185">
        <v>0</v>
      </c>
      <c r="AV529" s="185">
        <v>0</v>
      </c>
      <c r="AW529" s="185">
        <v>0</v>
      </c>
      <c r="AX529" s="141">
        <f>COUNTIF(V529:AW529,"&lt;&gt;0")</f>
        <v>1</v>
      </c>
      <c r="AY529" s="141">
        <f>COUNTIF(V529:AL529,"&lt;&gt;0")</f>
        <v>1</v>
      </c>
      <c r="AZ529">
        <f>COUNTIF(V529:AC529,"&lt;&gt;0")</f>
        <v>1</v>
      </c>
      <c r="BA529">
        <f>COUNTIF(AD529:AI529,"&lt;&gt;0")</f>
        <v>0</v>
      </c>
      <c r="BB529">
        <f>COUNTIF(AJ529:AL529,"&lt;&gt;0")</f>
        <v>0</v>
      </c>
      <c r="BC529">
        <f>COUNTIF(AS529:AW529,"&lt;&gt;0")</f>
        <v>0</v>
      </c>
      <c r="BD529">
        <f>COUNTIF(AM529:AR529,"&lt;&gt;0")</f>
        <v>0</v>
      </c>
      <c r="BE529" t="str">
        <f t="array" ref="BE529">IF(AY529=1,INDEX($V$7:$AL$7,MATCH(TRUE,INDEX($V529:$AW529&lt;&gt;0,),0)),IF(AY529=0,INDEX($AM$7:$AW$7,MATCH(1,$AM529:$AW529,0)),IF(BF529="Multiple strategies","mixed drivers",IF(BF529="Supply chain","multiple supply","multiple silviculture"))))</f>
        <v xml:space="preserve">cutting intensity </v>
      </c>
      <c r="BF529" s="2" t="str" cm="1">
        <f t="array" ref="BF529">IF(COUNTIF(AZ529:BB529,"&lt;&gt;0")=1,INDEX($V$4:$AW$4,MATCH(TRUE,INDEX($V529:$AW529&lt;&gt;0,),0)),IF(COUNTIF(AZ529:BB529,"&lt;&gt;0")=0,INDEX($AM$4:$AW$4,MATCH(1,$AM529:$AW529,0)),"Multiple strategies"))</f>
        <v>SilvicultureRemov</v>
      </c>
      <c r="BG529" s="186" t="s">
        <v>230</v>
      </c>
      <c r="BH529" s="185" t="s">
        <v>2127</v>
      </c>
      <c r="BI529" s="185" t="s">
        <v>2128</v>
      </c>
      <c r="BJ529" s="185" t="s">
        <v>2129</v>
      </c>
      <c r="BK529" s="185">
        <v>0.95599999999999996</v>
      </c>
      <c r="BL529" s="185">
        <v>1.0920000000000001</v>
      </c>
      <c r="BM529" s="185">
        <f>IFERROR(BL529/BK529,"")</f>
        <v>1.1422594142259415</v>
      </c>
      <c r="BN529" s="185">
        <f>BL529-BK529</f>
        <v>0.13600000000000012</v>
      </c>
      <c r="BO529" s="185">
        <f>+BN529*tC_to_m3</f>
        <v>0.59053408597481605</v>
      </c>
      <c r="BP529" s="185" t="s">
        <v>233</v>
      </c>
      <c r="BQ529" s="185" t="s">
        <v>2130</v>
      </c>
      <c r="BR529" s="185" t="s">
        <v>2129</v>
      </c>
      <c r="BS529" s="185">
        <v>0.77500000000000002</v>
      </c>
      <c r="BT529" s="185">
        <v>0.63800000000000001</v>
      </c>
      <c r="BU529" s="189">
        <f>BT529/BS529</f>
        <v>0.82322580645161292</v>
      </c>
      <c r="BV529" s="185">
        <f>BT529-BS529</f>
        <v>-0.13700000000000001</v>
      </c>
      <c r="BW529" s="185"/>
      <c r="BX529" s="185">
        <f>BV529*C_to_CO2</f>
        <v>-0.50279000000000007</v>
      </c>
      <c r="BY529">
        <f>IFERROR(BX529/BO529,"")</f>
        <v>-0.85141571323529341</v>
      </c>
      <c r="BZ529" s="185">
        <v>0</v>
      </c>
      <c r="CA529" s="185">
        <v>0</v>
      </c>
      <c r="CB529" s="185">
        <v>0</v>
      </c>
      <c r="CC529" s="185">
        <v>0</v>
      </c>
      <c r="CD529" s="185">
        <v>0</v>
      </c>
      <c r="CE529" s="185">
        <v>0</v>
      </c>
      <c r="CF529" s="185">
        <v>0</v>
      </c>
      <c r="CG529" s="185">
        <v>0</v>
      </c>
      <c r="CH529" s="185">
        <v>0</v>
      </c>
      <c r="CI529" s="185">
        <v>0</v>
      </c>
      <c r="CJ529" s="185">
        <v>0</v>
      </c>
      <c r="CK529" s="185">
        <v>0</v>
      </c>
      <c r="CL529" s="185">
        <v>0</v>
      </c>
      <c r="CM529" s="185">
        <v>1</v>
      </c>
      <c r="CN529" s="185" t="str">
        <f>IF($BL529&lt;$BK529,"refNeedCorrection","refOK")</f>
        <v>refOK</v>
      </c>
      <c r="CO529" s="185">
        <f>IF($CN529="refOK",$BK529,$BL529)</f>
        <v>0.95599999999999996</v>
      </c>
      <c r="CP529" s="185">
        <f>IF($CN529="refOK",$BL529,$BK529)</f>
        <v>1.0920000000000001</v>
      </c>
      <c r="CQ529" s="185">
        <f>IF($CN529="refOK",$BO529,-$BO529)</f>
        <v>0.59053408597481605</v>
      </c>
      <c r="CR529" s="185">
        <f>IF($CN529="refOK",$BS529,$BT529)*IF($BP529="Emissions positive",-1,1)</f>
        <v>0.77500000000000002</v>
      </c>
      <c r="CS529" s="185">
        <f>IF($CN529="refOK",$BT529,$BS529)*IF($BP529="Emissions positive",-1,1)</f>
        <v>0.63800000000000001</v>
      </c>
      <c r="CT529" s="185">
        <f>IF($CN529="refNeedCorrection",-BX529,BX529)*IF($BP529="Emissions positive",-1,1)</f>
        <v>-0.50279000000000007</v>
      </c>
      <c r="CU529">
        <f>IFERROR(CT529/CQ529,"")</f>
        <v>-0.85141571323529341</v>
      </c>
      <c r="CV529" s="188">
        <f>IFERROR((CS529-CR529)/ABS(CR529),"")</f>
        <v>-0.17677419354838711</v>
      </c>
      <c r="CW529" s="186" t="s">
        <v>2038</v>
      </c>
      <c r="CX529" t="str">
        <f>IF(OR($CW529="prd",$CW529="std",$CW529="cit"),"loc",IF(OR($CW529="eur",$CW529="reg",$CW529="coy"),"reg",$CW529))</f>
        <v>reg</v>
      </c>
      <c r="CY529" s="185" t="s">
        <v>236</v>
      </c>
      <c r="CZ529" s="185"/>
      <c r="DA529" s="185"/>
      <c r="DB529" s="185">
        <v>30</v>
      </c>
      <c r="DC529" t="str">
        <f>IF(DB529=0,"0",IF(AND(DB529&gt;=1,DB529&lt;=30),"1-30",IF(AND(DB529&gt;30,DB529&lt;=70),"31-70",IF(AND(DB529&gt;70,DB529&lt;=100),"71-100",IF(DB529&gt;100,"+100")))))</f>
        <v>1-30</v>
      </c>
      <c r="DD529">
        <v>1</v>
      </c>
      <c r="DE529">
        <v>1</v>
      </c>
      <c r="DF529">
        <v>1</v>
      </c>
      <c r="DG529">
        <v>1</v>
      </c>
      <c r="DH529" s="185">
        <v>0</v>
      </c>
      <c r="DI529">
        <f>SUM(DD529:DG529)</f>
        <v>4</v>
      </c>
      <c r="DJ529" t="str">
        <f>IF(DI529=1,INDEX($DD$7:$DG$7,MATCH(1,$DD529:$DG529,0)),"mixedProduct")</f>
        <v>mixedProduct</v>
      </c>
      <c r="DK529" t="str">
        <f>IF(DD529=1,DK$7,0)</f>
        <v>Upstream</v>
      </c>
      <c r="DL529" t="str">
        <f>IF(DE529=1,DL$7,0)</f>
        <v>Energy</v>
      </c>
      <c r="DM529" t="str">
        <f>IF(DF529=1,DM$7,0)</f>
        <v>Pulp/Paper</v>
      </c>
      <c r="DN529" t="str">
        <f>IF(DG529=1,DN$7,0)</f>
        <v>Timber</v>
      </c>
      <c r="DO529" s="185">
        <v>0</v>
      </c>
      <c r="DP529" s="185">
        <v>1</v>
      </c>
      <c r="DQ529" s="190" t="s">
        <v>2131</v>
      </c>
      <c r="DR529" s="190" t="s">
        <v>2131</v>
      </c>
      <c r="DS529" s="190">
        <v>0</v>
      </c>
      <c r="DT529" s="185"/>
      <c r="DU529" s="191" t="str">
        <f>IF(DO529=1,"self-calculated DF",IF(DP529=1,"external DF used","explicit C balance"))</f>
        <v>external DF used</v>
      </c>
      <c r="DV529" s="185">
        <v>1</v>
      </c>
      <c r="DW529" s="185">
        <v>1</v>
      </c>
      <c r="DX529" s="185">
        <v>1</v>
      </c>
      <c r="DY529" s="185">
        <v>1</v>
      </c>
      <c r="DZ529" s="185">
        <v>1</v>
      </c>
      <c r="EA529" s="185">
        <v>1</v>
      </c>
      <c r="EB529" s="185">
        <v>1</v>
      </c>
      <c r="EC529" s="185">
        <v>1</v>
      </c>
      <c r="ED529" s="185">
        <v>0</v>
      </c>
      <c r="EE529" s="185">
        <v>0</v>
      </c>
      <c r="EF529" s="185">
        <v>1</v>
      </c>
      <c r="EG529" s="185">
        <v>0</v>
      </c>
      <c r="EH529" s="185">
        <v>0</v>
      </c>
      <c r="EI529" s="188">
        <v>0</v>
      </c>
      <c r="EK529" t="str">
        <f>IF(AND(AND(AND(OR($DX529=1,$DW529=1),OR($EC529=1,$EA529=1)),SUM($DV529:$DZ529,$EF529)&gt;=4),SUM($EA529:$EE529)&gt;=2),"Whole sector","")</f>
        <v>Whole sector</v>
      </c>
      <c r="EL529" t="str">
        <f>IF(AND(AND(OR($DX529=1,$DW529=1),AND($EC529=0,$EA529=0)),SUM($DV529:$DZ529,$EF529)&gt;=4),"Ecosystem approach","")</f>
        <v/>
      </c>
      <c r="EM529" s="2" t="str">
        <f>IF(AND(AND(AND($DX529=0,$DW529=0),OR($EC529=1,$EA529=1)),SUM($EB529:$EE529)&gt;=2),"Technology approach","")</f>
        <v/>
      </c>
      <c r="EN529" s="185"/>
      <c r="EO529" s="185"/>
      <c r="EP529" t="str">
        <f>IF(ISNUMBER(BU529),IF(ABS(BU529-[2]QC_indicators!$B$2)&gt;3*[2]QC_indicators!$C$2,"C ratio",IF(ISNUMBER(BY529),IF(ABS(BY529-[2]QC_indicators!$B$1)&gt;3*[2]QC_indicators!$C$1,"DF","no"))),IF(ISNUMBER(BY529),IF(ABS(BY529-[2]QC_indicators!$B$1)&gt;3*[2]QC_indicators!$C$1,"DF","no")))</f>
        <v>no</v>
      </c>
      <c r="EQ529" s="185"/>
      <c r="ER529" s="185"/>
      <c r="ES529" s="185"/>
      <c r="ET529" s="266" t="s">
        <v>3225</v>
      </c>
    </row>
    <row r="530" spans="1:150" ht="15" customHeight="1">
      <c r="A530" s="1" t="s">
        <v>1272</v>
      </c>
      <c r="B530" t="s">
        <v>1273</v>
      </c>
      <c r="C530" t="s">
        <v>1274</v>
      </c>
      <c r="D530" t="s">
        <v>1275</v>
      </c>
      <c r="E530" t="s">
        <v>1276</v>
      </c>
      <c r="F530" t="s">
        <v>1277</v>
      </c>
      <c r="G530" t="s">
        <v>1278</v>
      </c>
      <c r="I530">
        <v>2019</v>
      </c>
      <c r="K530" t="s">
        <v>1279</v>
      </c>
      <c r="M530" t="str">
        <f>LEFT($D530,FIND(",",$D530)-1)&amp;"_"&amp;I530&amp;L530</f>
        <v>Baskent_2019</v>
      </c>
      <c r="N530" t="s">
        <v>223</v>
      </c>
      <c r="O530" s="140" t="s">
        <v>514</v>
      </c>
      <c r="Q530" t="s">
        <v>225</v>
      </c>
      <c r="R530" s="271" t="s">
        <v>275</v>
      </c>
      <c r="S530" s="1" t="s">
        <v>1280</v>
      </c>
      <c r="T530" t="s">
        <v>1113</v>
      </c>
      <c r="U530" s="143" t="s">
        <v>1287</v>
      </c>
      <c r="V530" s="143">
        <v>0</v>
      </c>
      <c r="W530" s="143">
        <v>0</v>
      </c>
      <c r="X530" s="143">
        <v>0</v>
      </c>
      <c r="Y530" s="143">
        <v>1</v>
      </c>
      <c r="Z530" s="143">
        <v>2</v>
      </c>
      <c r="AA530" s="143">
        <v>0</v>
      </c>
      <c r="AB530" s="143">
        <v>0</v>
      </c>
      <c r="AC530" s="143">
        <v>0</v>
      </c>
      <c r="AD530">
        <v>0</v>
      </c>
      <c r="AE530">
        <v>0</v>
      </c>
      <c r="AF530">
        <v>2</v>
      </c>
      <c r="AG530">
        <v>0</v>
      </c>
      <c r="AH530">
        <v>0</v>
      </c>
      <c r="AI530">
        <v>0</v>
      </c>
      <c r="AJ530">
        <v>2</v>
      </c>
      <c r="AK530">
        <v>0</v>
      </c>
      <c r="AL530">
        <v>0</v>
      </c>
      <c r="AM530">
        <v>0</v>
      </c>
      <c r="AN530">
        <v>2</v>
      </c>
      <c r="AO530">
        <v>2</v>
      </c>
      <c r="AP530">
        <v>0</v>
      </c>
      <c r="AQ530">
        <v>0</v>
      </c>
      <c r="AR530">
        <v>0</v>
      </c>
      <c r="AS530">
        <v>2</v>
      </c>
      <c r="AT530">
        <v>0</v>
      </c>
      <c r="AU530">
        <v>0</v>
      </c>
      <c r="AV530">
        <v>0</v>
      </c>
      <c r="AW530">
        <v>2</v>
      </c>
      <c r="AX530" s="141">
        <f>COUNTIF(V530:AW530,"&lt;&gt;0")</f>
        <v>8</v>
      </c>
      <c r="AY530" s="141">
        <f>COUNTIF(V530:AL530,"&lt;&gt;0")</f>
        <v>4</v>
      </c>
      <c r="AZ530">
        <f>COUNTIF(V530:AC530,"&lt;&gt;0")</f>
        <v>2</v>
      </c>
      <c r="BA530">
        <f>COUNTIF(AD530:AI530,"&lt;&gt;0")</f>
        <v>1</v>
      </c>
      <c r="BB530">
        <f>COUNTIF(AJ530:AL530,"&lt;&gt;0")</f>
        <v>1</v>
      </c>
      <c r="BC530">
        <f>COUNTIF(AS530:AW530,"&lt;&gt;0")</f>
        <v>2</v>
      </c>
      <c r="BD530">
        <f>COUNTIF(AM530:AR530,"&lt;&gt;0")</f>
        <v>2</v>
      </c>
      <c r="BE530" t="str">
        <f t="array" ref="BE530">IF(AY530=1,INDEX($V$7:$AL$7,MATCH(TRUE,INDEX($V530:$AW530&lt;&gt;0,),0)),IF(AY530=0,INDEX($AM$7:$AW$7,MATCH(1,$AM530:$AW530,0)),IF(BF530="Multiple strategies","mixed drivers",IF(BF530="Supply chain","multiple supply","multiple silviculture"))))</f>
        <v>mixed drivers</v>
      </c>
      <c r="BF530" s="2" t="str">
        <f t="array" ref="BF530">IF(COUNTIF(AZ530:BB530,"&lt;&gt;0")=1,INDEX($V$4:$AW$4,MATCH(TRUE,INDEX($V530:$AW530&lt;&gt;0,),0)),IF(COUNTIF(AZ530:BB530,"&lt;&gt;0")=0,INDEX($AM$4:$AW$4,MATCH(1,$AM530:$AW530,0)),"Multiple strategies"))</f>
        <v>Multiple strategies</v>
      </c>
      <c r="BG530" s="1" t="s">
        <v>322</v>
      </c>
      <c r="BH530" t="s">
        <v>1282</v>
      </c>
      <c r="BJ530" s="143" t="s">
        <v>279</v>
      </c>
      <c r="BK530">
        <v>22.204433497536925</v>
      </c>
      <c r="BL530">
        <v>22.426108374384221</v>
      </c>
      <c r="BM530" s="143">
        <f>BL530/BK530</f>
        <v>1.0099833610648921</v>
      </c>
      <c r="BN530">
        <f>BL530-BK530</f>
        <v>0.22167487684729537</v>
      </c>
      <c r="BO530" s="143">
        <f>BN530*tC_to_m3</f>
        <v>0.96254831457792178</v>
      </c>
      <c r="BP530" t="s">
        <v>233</v>
      </c>
      <c r="BQ530" t="s">
        <v>789</v>
      </c>
      <c r="BR530" s="143" t="s">
        <v>279</v>
      </c>
      <c r="BS530">
        <v>33.994657876790122</v>
      </c>
      <c r="BT530">
        <v>34.185894521482062</v>
      </c>
      <c r="BU530" s="144">
        <f>IFERROR(BT530/BS530,"")</f>
        <v>1.0056254910811298</v>
      </c>
      <c r="BV530">
        <f>BT530-BS530</f>
        <v>0.19123664469194068</v>
      </c>
      <c r="BX530">
        <f>BV530*C_to_CO2</f>
        <v>0.70183848601942234</v>
      </c>
      <c r="BY530">
        <f>IFERROR(BX530/BO530,"")</f>
        <v>0.7291462416898824</v>
      </c>
      <c r="BZ530" s="143">
        <v>0</v>
      </c>
      <c r="CA530" s="143">
        <v>0</v>
      </c>
      <c r="CB530" s="143">
        <v>0</v>
      </c>
      <c r="CC530" s="143">
        <v>0</v>
      </c>
      <c r="CD530" s="143">
        <v>0</v>
      </c>
      <c r="CE530" s="143">
        <v>0</v>
      </c>
      <c r="CF530" s="143">
        <v>0</v>
      </c>
      <c r="CG530" s="143">
        <v>1</v>
      </c>
      <c r="CH530" s="143">
        <v>0</v>
      </c>
      <c r="CI530" s="143">
        <v>1</v>
      </c>
      <c r="CJ530" s="143">
        <v>1</v>
      </c>
      <c r="CK530" s="143">
        <v>0</v>
      </c>
      <c r="CL530" s="143">
        <v>1</v>
      </c>
      <c r="CM530" s="143">
        <v>0</v>
      </c>
      <c r="CN530" t="str">
        <f>IF($BL530&lt;$BK530,"refNeedCorrection","refOK")</f>
        <v>refOK</v>
      </c>
      <c r="CO530">
        <f>IF($CN530="refOK",$BK530,$BL530)</f>
        <v>22.204433497536925</v>
      </c>
      <c r="CP530">
        <f>IF($CN530="refOK",$BL530,$BK530)</f>
        <v>22.426108374384221</v>
      </c>
      <c r="CQ530">
        <f>IF($CN530="refOK",$BO530,-$BO530)</f>
        <v>0.96254831457792178</v>
      </c>
      <c r="CR530">
        <f>IF($CN530="refOK",$BS530,$BT530)*IF($BP530="Emissions positive",-1,1)</f>
        <v>33.994657876790122</v>
      </c>
      <c r="CS530">
        <f>IF($CN530="refOK",$BT530,$BS530)*IF($BP530="Emissions positive",-1,1)</f>
        <v>34.185894521482062</v>
      </c>
      <c r="CT530">
        <f>IF($CN530="refNeedCorrection",-BX530,BX530)*IF($BP530="Emissions positive",-1,1)</f>
        <v>0.70183848601942234</v>
      </c>
      <c r="CU530">
        <f>IFERROR(CT530/CQ530,"")</f>
        <v>0.7291462416898824</v>
      </c>
      <c r="CV530" s="2">
        <f>IFERROR((CS530-CR530)/ABS(CR530),"")</f>
        <v>5.6254910811297694E-3</v>
      </c>
      <c r="CW530" s="1" t="s">
        <v>1201</v>
      </c>
      <c r="CX530" t="str">
        <f>IF(OR($CW530="prd",$CW530="std",$CW530="cit"),"loc",IF(OR($CW530="eur",$CW530="reg",$CW530="coy"),"reg",$CW530))</f>
        <v>reg</v>
      </c>
      <c r="CY530" t="s">
        <v>1283</v>
      </c>
      <c r="CZ530">
        <v>2010</v>
      </c>
      <c r="DA530" s="143">
        <v>2100</v>
      </c>
      <c r="DB530" s="143">
        <f>DA530-CZ530</f>
        <v>90</v>
      </c>
      <c r="DC530" t="str">
        <f>IF(DB530=0,"0",IF(AND(DB530&gt;=1,DB530&lt;=30),"1-30",IF(AND(DB530&gt;30,DB530&lt;=70),"31-70",IF(AND(DB530&gt;70,DB530&lt;=100),"71-100",IF(DB530&gt;100,"+100")))))</f>
        <v>71-100</v>
      </c>
      <c r="DD530">
        <v>1</v>
      </c>
      <c r="DE530">
        <v>1</v>
      </c>
      <c r="DF530">
        <v>1</v>
      </c>
      <c r="DG530">
        <v>1</v>
      </c>
      <c r="DI530">
        <f>SUM(DD530:DG530)</f>
        <v>4</v>
      </c>
      <c r="DJ530" t="str">
        <f>IF(DI530=1,INDEX($DD$7:$DG$7,MATCH(1,$DD530:$DG530,0)),"mixedProduct")</f>
        <v>mixedProduct</v>
      </c>
      <c r="DK530" t="str">
        <f>IF(DD530=1,DK$7,0)</f>
        <v>Upstream</v>
      </c>
      <c r="DL530" t="str">
        <f>IF(DE530=1,DL$7,0)</f>
        <v>Energy</v>
      </c>
      <c r="DM530" t="str">
        <f>IF(DF530=1,DM$7,0)</f>
        <v>Pulp/Paper</v>
      </c>
      <c r="DN530" t="str">
        <f>IF(DG530=1,DN$7,0)</f>
        <v>Timber</v>
      </c>
      <c r="DO530" s="143">
        <v>1</v>
      </c>
      <c r="DP530">
        <v>0</v>
      </c>
      <c r="DQ530" s="143">
        <v>0</v>
      </c>
      <c r="DR530" s="143">
        <v>0</v>
      </c>
      <c r="DS530" s="143" t="s">
        <v>1284</v>
      </c>
      <c r="DT530">
        <f>SUM(DO530:DP530)</f>
        <v>1</v>
      </c>
      <c r="DU530" s="143" t="str">
        <f>IF(DO530=1,"self-calculated DF",IF(DP530=1,"external DF used","explicit C balance"))</f>
        <v>self-calculated DF</v>
      </c>
      <c r="DV530" s="143">
        <v>0</v>
      </c>
      <c r="DW530">
        <v>1</v>
      </c>
      <c r="DX530" s="143">
        <v>1</v>
      </c>
      <c r="DY530" s="143">
        <v>1</v>
      </c>
      <c r="DZ530">
        <v>1</v>
      </c>
      <c r="EA530">
        <v>0</v>
      </c>
      <c r="EB530" s="143">
        <v>0</v>
      </c>
      <c r="EC530">
        <v>0</v>
      </c>
      <c r="ED530" s="143">
        <v>0</v>
      </c>
      <c r="EE530">
        <v>0</v>
      </c>
      <c r="EF530">
        <v>1</v>
      </c>
      <c r="EG530" s="143">
        <v>0</v>
      </c>
      <c r="EH530">
        <v>0</v>
      </c>
      <c r="EI530" s="2">
        <v>0</v>
      </c>
      <c r="EK530" t="str">
        <f>IF(AND(AND(AND(OR($DX530=1,$DW530=1),OR($EC530=1,$EA530=1)),SUM($DV530:$DZ530,$EF530)&gt;=4),SUM($EA530:$EE530)&gt;=2),"Whole sector","")</f>
        <v/>
      </c>
      <c r="EL530" t="str">
        <f>IF(AND(AND(OR($DX530=1,$DW530=1),AND($EC530=0,$EA530=0)),SUM($DV530:$DZ530,$EF530)&gt;=4),"Ecosystem approach","")</f>
        <v>Ecosystem approach</v>
      </c>
      <c r="EM530" s="2" t="str">
        <f>IF(AND(AND(AND($DX530=0,$DW530=0),OR($EC530=1,$EA530=1)),SUM($EB530:$EE530)&gt;=2),"Technology approach","")</f>
        <v/>
      </c>
      <c r="EN530" t="s">
        <v>1285</v>
      </c>
      <c r="EP530" t="str">
        <f>IF(ISNUMBER(BU530),IF(ABS(BU530-[3]QC_indicators!$B$2)&gt;3*[3]QC_indicators!$C$2,"C ratio",IF(ISNUMBER(BY530),IF(ABS(BY530-[3]QC_indicators!$B$1)&gt;3*[3]QC_indicators!$C$1,"DF","no"))),IF(ISNUMBER(BY530),IF(ABS(BY530-[3]QC_indicators!$B$1)&gt;3*[3]QC_indicators!$C$1,"DF","no")))</f>
        <v>no</v>
      </c>
      <c r="EQ530" t="s">
        <v>287</v>
      </c>
      <c r="ER530" t="s">
        <v>1286</v>
      </c>
      <c r="ET530" s="266" t="s">
        <v>3275</v>
      </c>
    </row>
    <row r="531" spans="1:150" ht="15" customHeight="1">
      <c r="A531" s="1" t="s">
        <v>1272</v>
      </c>
      <c r="B531" t="s">
        <v>1273</v>
      </c>
      <c r="C531" t="s">
        <v>1274</v>
      </c>
      <c r="D531" t="s">
        <v>1275</v>
      </c>
      <c r="E531" t="s">
        <v>1276</v>
      </c>
      <c r="F531" t="s">
        <v>1277</v>
      </c>
      <c r="G531" t="s">
        <v>1278</v>
      </c>
      <c r="I531">
        <v>2019</v>
      </c>
      <c r="K531" t="s">
        <v>1279</v>
      </c>
      <c r="M531" t="str">
        <f>LEFT($D531,FIND(",",$D531)-1)&amp;"_"&amp;I531&amp;L531</f>
        <v>Baskent_2019</v>
      </c>
      <c r="N531" t="s">
        <v>223</v>
      </c>
      <c r="O531" s="140" t="s">
        <v>514</v>
      </c>
      <c r="Q531" t="s">
        <v>225</v>
      </c>
      <c r="R531" s="271" t="s">
        <v>275</v>
      </c>
      <c r="S531" s="1" t="s">
        <v>1280</v>
      </c>
      <c r="T531" t="s">
        <v>1113</v>
      </c>
      <c r="U531" s="143" t="s">
        <v>1287</v>
      </c>
      <c r="V531" s="143">
        <v>0</v>
      </c>
      <c r="W531" s="143">
        <v>0</v>
      </c>
      <c r="X531" s="143">
        <v>0</v>
      </c>
      <c r="Y531" s="143">
        <v>1</v>
      </c>
      <c r="Z531" s="143">
        <v>2</v>
      </c>
      <c r="AA531" s="143">
        <v>0</v>
      </c>
      <c r="AB531" s="143">
        <v>0</v>
      </c>
      <c r="AC531" s="143">
        <v>0</v>
      </c>
      <c r="AD531">
        <v>0</v>
      </c>
      <c r="AE531">
        <v>0</v>
      </c>
      <c r="AF531">
        <v>2</v>
      </c>
      <c r="AG531">
        <v>0</v>
      </c>
      <c r="AH531">
        <v>0</v>
      </c>
      <c r="AI531">
        <v>0</v>
      </c>
      <c r="AJ531">
        <v>2</v>
      </c>
      <c r="AK531">
        <v>0</v>
      </c>
      <c r="AL531">
        <v>0</v>
      </c>
      <c r="AM531">
        <v>0</v>
      </c>
      <c r="AN531">
        <v>2</v>
      </c>
      <c r="AO531">
        <v>2</v>
      </c>
      <c r="AP531">
        <v>0</v>
      </c>
      <c r="AQ531">
        <v>0</v>
      </c>
      <c r="AR531">
        <v>0</v>
      </c>
      <c r="AS531">
        <v>2</v>
      </c>
      <c r="AT531">
        <v>0</v>
      </c>
      <c r="AU531">
        <v>0</v>
      </c>
      <c r="AV531">
        <v>0</v>
      </c>
      <c r="AW531">
        <v>2</v>
      </c>
      <c r="AX531" s="141">
        <f>COUNTIF(V531:AW531,"&lt;&gt;0")</f>
        <v>8</v>
      </c>
      <c r="AY531" s="141">
        <f>COUNTIF(V531:AL531,"&lt;&gt;0")</f>
        <v>4</v>
      </c>
      <c r="AZ531">
        <f>COUNTIF(V531:AC531,"&lt;&gt;0")</f>
        <v>2</v>
      </c>
      <c r="BA531">
        <f>COUNTIF(AD531:AI531,"&lt;&gt;0")</f>
        <v>1</v>
      </c>
      <c r="BB531">
        <f>COUNTIF(AJ531:AL531,"&lt;&gt;0")</f>
        <v>1</v>
      </c>
      <c r="BC531">
        <f>COUNTIF(AS531:AW531,"&lt;&gt;0")</f>
        <v>2</v>
      </c>
      <c r="BD531">
        <f>COUNTIF(AM531:AR531,"&lt;&gt;0")</f>
        <v>2</v>
      </c>
      <c r="BE531" t="str">
        <f t="array" ref="BE531">IF(AY531=1,INDEX($V$7:$AL$7,MATCH(TRUE,INDEX($V531:$AW531&lt;&gt;0,),0)),IF(AY531=0,INDEX($AM$7:$AW$7,MATCH(1,$AM531:$AW531,0)),IF(BF531="Multiple strategies","mixed drivers",IF(BF531="Supply chain","multiple supply","multiple silviculture"))))</f>
        <v>mixed drivers</v>
      </c>
      <c r="BF531" s="2" t="str">
        <f t="array" ref="BF531">IF(COUNTIF(AZ531:BB531,"&lt;&gt;0")=1,INDEX($V$4:$AW$4,MATCH(TRUE,INDEX($V531:$AW531&lt;&gt;0,),0)),IF(COUNTIF(AZ531:BB531,"&lt;&gt;0")=0,INDEX($AM$4:$AW$4,MATCH(1,$AM531:$AW531,0)),"Multiple strategies"))</f>
        <v>Multiple strategies</v>
      </c>
      <c r="BG531" s="1" t="s">
        <v>322</v>
      </c>
      <c r="BH531" t="s">
        <v>1282</v>
      </c>
      <c r="BJ531" s="143" t="s">
        <v>279</v>
      </c>
      <c r="BK531">
        <v>10.270935960591125</v>
      </c>
      <c r="BL531">
        <v>11.20689655172413</v>
      </c>
      <c r="BM531" s="143">
        <f>BL531/BK531</f>
        <v>1.091127098321343</v>
      </c>
      <c r="BN531">
        <f>BL531-BK531</f>
        <v>0.93596059113300534</v>
      </c>
      <c r="BO531" s="143">
        <f>BN531*tC_to_m3</f>
        <v>4.0640928837733625</v>
      </c>
      <c r="BP531" t="s">
        <v>233</v>
      </c>
      <c r="BQ531" t="s">
        <v>789</v>
      </c>
      <c r="BR531" s="143" t="s">
        <v>279</v>
      </c>
      <c r="BS531">
        <v>33.994657876790122</v>
      </c>
      <c r="BT531">
        <v>34.185894521482062</v>
      </c>
      <c r="BU531" s="144">
        <f>IFERROR(BT531/BS531,"")</f>
        <v>1.0056254910811298</v>
      </c>
      <c r="BV531">
        <f>BT531-BS531</f>
        <v>0.19123664469194068</v>
      </c>
      <c r="BX531">
        <f>BV531*C_to_CO2</f>
        <v>0.70183848601942234</v>
      </c>
      <c r="BY531">
        <f>IFERROR(BX531/BO531,"")</f>
        <v>0.1726925309265547</v>
      </c>
      <c r="BZ531" s="143">
        <v>0</v>
      </c>
      <c r="CA531" s="143">
        <v>0</v>
      </c>
      <c r="CB531" s="143">
        <v>0</v>
      </c>
      <c r="CC531" s="143">
        <v>0</v>
      </c>
      <c r="CD531" s="143">
        <v>0</v>
      </c>
      <c r="CE531" s="143">
        <v>0</v>
      </c>
      <c r="CF531" s="143">
        <v>0</v>
      </c>
      <c r="CG531" s="143">
        <v>1</v>
      </c>
      <c r="CH531" s="143">
        <v>0</v>
      </c>
      <c r="CI531" s="143">
        <v>1</v>
      </c>
      <c r="CJ531" s="143">
        <v>1</v>
      </c>
      <c r="CK531" s="143">
        <v>0</v>
      </c>
      <c r="CL531" s="143">
        <v>1</v>
      </c>
      <c r="CM531" s="143">
        <v>0</v>
      </c>
      <c r="CN531" t="str">
        <f>IF($BL531&lt;$BK531,"refNeedCorrection","refOK")</f>
        <v>refOK</v>
      </c>
      <c r="CO531">
        <f>IF($CN531="refOK",$BK531,$BL531)</f>
        <v>10.270935960591125</v>
      </c>
      <c r="CP531">
        <f>IF($CN531="refOK",$BL531,$BK531)</f>
        <v>11.20689655172413</v>
      </c>
      <c r="CQ531">
        <f>IF($CN531="refOK",$BO531,-$BO531)</f>
        <v>4.0640928837733625</v>
      </c>
      <c r="CR531">
        <f>IF($CN531="refOK",$BS531,$BT531)*IF($BP531="Emissions positive",-1,1)</f>
        <v>33.994657876790122</v>
      </c>
      <c r="CS531">
        <f>IF($CN531="refOK",$BT531,$BS531)*IF($BP531="Emissions positive",-1,1)</f>
        <v>34.185894521482062</v>
      </c>
      <c r="CT531">
        <f>IF($CN531="refNeedCorrection",-BX531,BX531)*IF($BP531="Emissions positive",-1,1)</f>
        <v>0.70183848601942234</v>
      </c>
      <c r="CU531">
        <f>IFERROR(CT531/CQ531,"")</f>
        <v>0.1726925309265547</v>
      </c>
      <c r="CV531" s="2">
        <f>IFERROR((CS531-CR531)/ABS(CR531),"")</f>
        <v>5.6254910811297694E-3</v>
      </c>
      <c r="CW531" s="1" t="s">
        <v>1201</v>
      </c>
      <c r="CX531" t="str">
        <f>IF(OR($CW531="prd",$CW531="std",$CW531="cit"),"loc",IF(OR($CW531="eur",$CW531="reg",$CW531="coy"),"reg",$CW531))</f>
        <v>reg</v>
      </c>
      <c r="CY531" t="s">
        <v>1283</v>
      </c>
      <c r="CZ531">
        <v>2010</v>
      </c>
      <c r="DA531" s="143">
        <v>2060</v>
      </c>
      <c r="DB531" s="143">
        <f>DA531-CZ531</f>
        <v>50</v>
      </c>
      <c r="DC531" t="str">
        <f>IF(DB531=0,"0",IF(AND(DB531&gt;=1,DB531&lt;=30),"1-30",IF(AND(DB531&gt;30,DB531&lt;=70),"31-70",IF(AND(DB531&gt;70,DB531&lt;=100),"71-100",IF(DB531&gt;100,"+100")))))</f>
        <v>31-70</v>
      </c>
      <c r="DD531">
        <v>1</v>
      </c>
      <c r="DE531">
        <v>1</v>
      </c>
      <c r="DF531">
        <v>1</v>
      </c>
      <c r="DG531">
        <v>1</v>
      </c>
      <c r="DI531">
        <f>SUM(DD531:DG531)</f>
        <v>4</v>
      </c>
      <c r="DJ531" t="str">
        <f>IF(DI531=1,INDEX($DD$7:$DG$7,MATCH(1,$DD531:$DG531,0)),"mixedProduct")</f>
        <v>mixedProduct</v>
      </c>
      <c r="DK531" t="str">
        <f>IF(DD531=1,DK$7,0)</f>
        <v>Upstream</v>
      </c>
      <c r="DL531" t="str">
        <f>IF(DE531=1,DL$7,0)</f>
        <v>Energy</v>
      </c>
      <c r="DM531" t="str">
        <f>IF(DF531=1,DM$7,0)</f>
        <v>Pulp/Paper</v>
      </c>
      <c r="DN531" t="str">
        <f>IF(DG531=1,DN$7,0)</f>
        <v>Timber</v>
      </c>
      <c r="DO531" s="143">
        <v>1</v>
      </c>
      <c r="DP531">
        <v>0</v>
      </c>
      <c r="DQ531" s="143">
        <v>0</v>
      </c>
      <c r="DR531" s="143">
        <v>0</v>
      </c>
      <c r="DS531" s="143" t="s">
        <v>1284</v>
      </c>
      <c r="DT531">
        <f>SUM(DO531:DP531)</f>
        <v>1</v>
      </c>
      <c r="DU531" s="143" t="str">
        <f>IF(DO531=1,"self-calculated DF",IF(DP531=1,"external DF used","explicit C balance"))</f>
        <v>self-calculated DF</v>
      </c>
      <c r="DV531" s="143">
        <v>0</v>
      </c>
      <c r="DW531">
        <v>1</v>
      </c>
      <c r="DX531" s="143">
        <v>1</v>
      </c>
      <c r="DY531" s="143">
        <v>1</v>
      </c>
      <c r="DZ531">
        <v>1</v>
      </c>
      <c r="EA531">
        <v>0</v>
      </c>
      <c r="EB531" s="143">
        <v>0</v>
      </c>
      <c r="EC531">
        <v>0</v>
      </c>
      <c r="ED531" s="143">
        <v>0</v>
      </c>
      <c r="EE531">
        <v>0</v>
      </c>
      <c r="EF531">
        <v>1</v>
      </c>
      <c r="EG531" s="143">
        <v>0</v>
      </c>
      <c r="EH531">
        <v>0</v>
      </c>
      <c r="EI531" s="2">
        <v>0</v>
      </c>
      <c r="EK531" t="str">
        <f>IF(AND(AND(AND(OR($DX531=1,$DW531=1),OR($EC531=1,$EA531=1)),SUM($DV531:$DZ531,$EF531)&gt;=4),SUM($EA531:$EE531)&gt;=2),"Whole sector","")</f>
        <v/>
      </c>
      <c r="EL531" t="str">
        <f>IF(AND(AND(OR($DX531=1,$DW531=1),AND($EC531=0,$EA531=0)),SUM($DV531:$DZ531,$EF531)&gt;=4),"Ecosystem approach","")</f>
        <v>Ecosystem approach</v>
      </c>
      <c r="EM531" s="2" t="str">
        <f>IF(AND(AND(AND($DX531=0,$DW531=0),OR($EC531=1,$EA531=1)),SUM($EB531:$EE531)&gt;=2),"Technology approach","")</f>
        <v/>
      </c>
      <c r="EN531" t="s">
        <v>1285</v>
      </c>
      <c r="EP531" t="str">
        <f>IF(ISNUMBER(BU531),IF(ABS(BU531-[3]QC_indicators!$B$2)&gt;3*[3]QC_indicators!$C$2,"C ratio",IF(ISNUMBER(BY531),IF(ABS(BY531-[3]QC_indicators!$B$1)&gt;3*[3]QC_indicators!$C$1,"DF","no"))),IF(ISNUMBER(BY531),IF(ABS(BY531-[3]QC_indicators!$B$1)&gt;3*[3]QC_indicators!$C$1,"DF","no")))</f>
        <v>no</v>
      </c>
      <c r="EQ531" t="s">
        <v>287</v>
      </c>
      <c r="ER531" t="s">
        <v>1286</v>
      </c>
      <c r="ET531" s="266" t="s">
        <v>3275</v>
      </c>
    </row>
    <row r="532" spans="1:150" ht="15" customHeight="1">
      <c r="A532" s="1" t="s">
        <v>1272</v>
      </c>
      <c r="B532" t="s">
        <v>1273</v>
      </c>
      <c r="C532" t="s">
        <v>1274</v>
      </c>
      <c r="D532" t="s">
        <v>1275</v>
      </c>
      <c r="E532" t="s">
        <v>1276</v>
      </c>
      <c r="F532" t="s">
        <v>1277</v>
      </c>
      <c r="G532" t="s">
        <v>1278</v>
      </c>
      <c r="I532">
        <v>2019</v>
      </c>
      <c r="K532" t="s">
        <v>1279</v>
      </c>
      <c r="M532" t="str">
        <f>LEFT($D532,FIND(",",$D532)-1)&amp;"_"&amp;I532&amp;L532</f>
        <v>Baskent_2019</v>
      </c>
      <c r="N532" t="s">
        <v>223</v>
      </c>
      <c r="O532" s="140" t="s">
        <v>514</v>
      </c>
      <c r="Q532" t="s">
        <v>225</v>
      </c>
      <c r="R532" s="271" t="s">
        <v>275</v>
      </c>
      <c r="S532" s="1" t="s">
        <v>1280</v>
      </c>
      <c r="T532" t="s">
        <v>1113</v>
      </c>
      <c r="U532" s="143" t="s">
        <v>1281</v>
      </c>
      <c r="V532" s="143">
        <v>0</v>
      </c>
      <c r="W532" s="143">
        <v>0</v>
      </c>
      <c r="X532" s="143">
        <v>0</v>
      </c>
      <c r="Y532" s="143">
        <v>1</v>
      </c>
      <c r="Z532" s="143">
        <v>2</v>
      </c>
      <c r="AA532" s="143">
        <v>0</v>
      </c>
      <c r="AB532" s="143">
        <v>0</v>
      </c>
      <c r="AC532" s="143">
        <v>0</v>
      </c>
      <c r="AD532">
        <v>0</v>
      </c>
      <c r="AE532">
        <v>0</v>
      </c>
      <c r="AF532">
        <v>2</v>
      </c>
      <c r="AG532">
        <v>0</v>
      </c>
      <c r="AH532">
        <v>0</v>
      </c>
      <c r="AI532">
        <v>0</v>
      </c>
      <c r="AJ532">
        <v>2</v>
      </c>
      <c r="AK532">
        <v>0</v>
      </c>
      <c r="AL532">
        <v>0</v>
      </c>
      <c r="AM532">
        <v>0</v>
      </c>
      <c r="AN532">
        <v>2</v>
      </c>
      <c r="AO532">
        <v>2</v>
      </c>
      <c r="AP532">
        <v>0</v>
      </c>
      <c r="AQ532">
        <v>0</v>
      </c>
      <c r="AR532">
        <v>0</v>
      </c>
      <c r="AS532">
        <v>2</v>
      </c>
      <c r="AT532">
        <v>0</v>
      </c>
      <c r="AU532">
        <v>0</v>
      </c>
      <c r="AV532">
        <v>0</v>
      </c>
      <c r="AW532">
        <v>2</v>
      </c>
      <c r="AX532" s="141">
        <f>COUNTIF(V532:AW532,"&lt;&gt;0")</f>
        <v>8</v>
      </c>
      <c r="AY532" s="141">
        <f>COUNTIF(V532:AL532,"&lt;&gt;0")</f>
        <v>4</v>
      </c>
      <c r="AZ532">
        <f>COUNTIF(V532:AC532,"&lt;&gt;0")</f>
        <v>2</v>
      </c>
      <c r="BA532">
        <f>COUNTIF(AD532:AI532,"&lt;&gt;0")</f>
        <v>1</v>
      </c>
      <c r="BB532">
        <f>COUNTIF(AJ532:AL532,"&lt;&gt;0")</f>
        <v>1</v>
      </c>
      <c r="BC532">
        <f>COUNTIF(AS532:AW532,"&lt;&gt;0")</f>
        <v>2</v>
      </c>
      <c r="BD532">
        <f>COUNTIF(AM532:AR532,"&lt;&gt;0")</f>
        <v>2</v>
      </c>
      <c r="BE532" t="str">
        <f t="array" ref="BE532">IF(AY532=1,INDEX($V$7:$AL$7,MATCH(TRUE,INDEX($V532:$AW532&lt;&gt;0,),0)),IF(AY532=0,INDEX($AM$7:$AW$7,MATCH(1,$AM532:$AW532,0)),IF(BF532="Multiple strategies","mixed drivers",IF(BF532="Supply chain","multiple supply","multiple silviculture"))))</f>
        <v>mixed drivers</v>
      </c>
      <c r="BF532" s="2" t="str">
        <f t="array" ref="BF532">IF(COUNTIF(AZ532:BB532,"&lt;&gt;0")=1,INDEX($V$4:$AW$4,MATCH(TRUE,INDEX($V532:$AW532&lt;&gt;0,),0)),IF(COUNTIF(AZ532:BB532,"&lt;&gt;0")=0,INDEX($AM$4:$AW$4,MATCH(1,$AM532:$AW532,0)),"Multiple strategies"))</f>
        <v>Multiple strategies</v>
      </c>
      <c r="BG532" s="1" t="s">
        <v>322</v>
      </c>
      <c r="BH532" t="s">
        <v>1282</v>
      </c>
      <c r="BJ532" s="143" t="s">
        <v>279</v>
      </c>
      <c r="BK532">
        <v>10.270935960591125</v>
      </c>
      <c r="BL532">
        <v>10.566502463054182</v>
      </c>
      <c r="BM532" s="143">
        <f>BL532/BK532</f>
        <v>1.0287769784172665</v>
      </c>
      <c r="BN532">
        <f>BL532-BK532</f>
        <v>0.29556650246305693</v>
      </c>
      <c r="BO532" s="143">
        <f>BN532*tC_to_m3</f>
        <v>1.2833977527705469</v>
      </c>
      <c r="BP532" t="s">
        <v>233</v>
      </c>
      <c r="BQ532" t="s">
        <v>789</v>
      </c>
      <c r="BR532" s="143" t="s">
        <v>279</v>
      </c>
      <c r="BS532">
        <v>33.994657876790122</v>
      </c>
      <c r="BT532">
        <v>34.822007358186738</v>
      </c>
      <c r="BU532" s="144">
        <f>IFERROR(BT532/BS532,"")</f>
        <v>1.0243376322360782</v>
      </c>
      <c r="BV532">
        <f>BT532-BS532</f>
        <v>0.82734948139661668</v>
      </c>
      <c r="BX532">
        <f>BV532*C_to_CO2</f>
        <v>3.0363725967255832</v>
      </c>
      <c r="BY532">
        <f>IFERROR(BX532/BO532,"")</f>
        <v>2.3658858605376123</v>
      </c>
      <c r="BZ532" s="143">
        <v>0</v>
      </c>
      <c r="CA532" s="143">
        <v>0</v>
      </c>
      <c r="CB532" s="143">
        <v>0</v>
      </c>
      <c r="CC532" s="143">
        <v>0</v>
      </c>
      <c r="CD532" s="143">
        <v>0</v>
      </c>
      <c r="CE532" s="143">
        <v>0</v>
      </c>
      <c r="CF532" s="143">
        <v>0</v>
      </c>
      <c r="CG532" s="143">
        <v>1</v>
      </c>
      <c r="CH532" s="143">
        <v>0</v>
      </c>
      <c r="CI532" s="143">
        <v>1</v>
      </c>
      <c r="CJ532" s="143">
        <v>1</v>
      </c>
      <c r="CK532" s="143">
        <v>0</v>
      </c>
      <c r="CL532" s="143">
        <v>1</v>
      </c>
      <c r="CM532" s="143">
        <v>0</v>
      </c>
      <c r="CN532" t="str">
        <f>IF($BL532&lt;$BK532,"refNeedCorrection","refOK")</f>
        <v>refOK</v>
      </c>
      <c r="CO532">
        <f>IF($CN532="refOK",$BK532,$BL532)</f>
        <v>10.270935960591125</v>
      </c>
      <c r="CP532">
        <f>IF($CN532="refOK",$BL532,$BK532)</f>
        <v>10.566502463054182</v>
      </c>
      <c r="CQ532">
        <f>IF($CN532="refOK",$BO532,-$BO532)</f>
        <v>1.2833977527705469</v>
      </c>
      <c r="CR532">
        <f>IF($CN532="refOK",$BS532,$BT532)*IF($BP532="Emissions positive",-1,1)</f>
        <v>33.994657876790122</v>
      </c>
      <c r="CS532">
        <f>IF($CN532="refOK",$BT532,$BS532)*IF($BP532="Emissions positive",-1,1)</f>
        <v>34.822007358186738</v>
      </c>
      <c r="CT532">
        <f>IF($CN532="refNeedCorrection",-BX532,BX532)*IF($BP532="Emissions positive",-1,1)</f>
        <v>3.0363725967255832</v>
      </c>
      <c r="CU532">
        <f>IFERROR(CT532/CQ532,"")</f>
        <v>2.3658858605376123</v>
      </c>
      <c r="CV532" s="2">
        <f>IFERROR((CS532-CR532)/ABS(CR532),"")</f>
        <v>2.4337632236078193E-2</v>
      </c>
      <c r="CW532" s="1" t="s">
        <v>1201</v>
      </c>
      <c r="CX532" t="str">
        <f>IF(OR($CW532="prd",$CW532="std",$CW532="cit"),"loc",IF(OR($CW532="eur",$CW532="reg",$CW532="coy"),"reg",$CW532))</f>
        <v>reg</v>
      </c>
      <c r="CY532" t="s">
        <v>1283</v>
      </c>
      <c r="CZ532">
        <v>2010</v>
      </c>
      <c r="DA532" s="143">
        <v>2060</v>
      </c>
      <c r="DB532" s="143">
        <f>DA532-CZ532</f>
        <v>50</v>
      </c>
      <c r="DC532" t="str">
        <f>IF(DB532=0,"0",IF(AND(DB532&gt;=1,DB532&lt;=30),"1-30",IF(AND(DB532&gt;30,DB532&lt;=70),"31-70",IF(AND(DB532&gt;70,DB532&lt;=100),"71-100",IF(DB532&gt;100,"+100")))))</f>
        <v>31-70</v>
      </c>
      <c r="DD532">
        <v>1</v>
      </c>
      <c r="DE532">
        <v>1</v>
      </c>
      <c r="DF532">
        <v>1</v>
      </c>
      <c r="DG532">
        <v>1</v>
      </c>
      <c r="DI532">
        <f>SUM(DD532:DG532)</f>
        <v>4</v>
      </c>
      <c r="DJ532" t="str">
        <f>IF(DI532=1,INDEX($DD$7:$DG$7,MATCH(1,$DD532:$DG532,0)),"mixedProduct")</f>
        <v>mixedProduct</v>
      </c>
      <c r="DK532" t="str">
        <f>IF(DD532=1,DK$7,0)</f>
        <v>Upstream</v>
      </c>
      <c r="DL532" t="str">
        <f>IF(DE532=1,DL$7,0)</f>
        <v>Energy</v>
      </c>
      <c r="DM532" t="str">
        <f>IF(DF532=1,DM$7,0)</f>
        <v>Pulp/Paper</v>
      </c>
      <c r="DN532" t="str">
        <f>IF(DG532=1,DN$7,0)</f>
        <v>Timber</v>
      </c>
      <c r="DO532" s="143">
        <v>1</v>
      </c>
      <c r="DP532">
        <v>0</v>
      </c>
      <c r="DQ532" s="143">
        <v>0</v>
      </c>
      <c r="DR532" s="143">
        <v>0</v>
      </c>
      <c r="DS532" s="143" t="s">
        <v>1284</v>
      </c>
      <c r="DT532">
        <f>SUM(DO532:DP532)</f>
        <v>1</v>
      </c>
      <c r="DU532" s="143" t="str">
        <f>IF(DO532=1,"self-calculated DF",IF(DP532=1,"external DF used","explicit C balance"))</f>
        <v>self-calculated DF</v>
      </c>
      <c r="DV532" s="143">
        <v>0</v>
      </c>
      <c r="DW532">
        <v>1</v>
      </c>
      <c r="DX532" s="143">
        <v>1</v>
      </c>
      <c r="DY532" s="143">
        <v>1</v>
      </c>
      <c r="DZ532">
        <v>1</v>
      </c>
      <c r="EA532">
        <v>0</v>
      </c>
      <c r="EB532" s="143">
        <v>0</v>
      </c>
      <c r="EC532">
        <v>0</v>
      </c>
      <c r="ED532" s="143">
        <v>0</v>
      </c>
      <c r="EE532">
        <v>0</v>
      </c>
      <c r="EF532">
        <v>1</v>
      </c>
      <c r="EG532" s="143">
        <v>0</v>
      </c>
      <c r="EH532">
        <v>0</v>
      </c>
      <c r="EI532" s="2">
        <v>0</v>
      </c>
      <c r="EK532" t="str">
        <f>IF(AND(AND(AND(OR($DX532=1,$DW532=1),OR($EC532=1,$EA532=1)),SUM($DV532:$DZ532,$EF532)&gt;=4),SUM($EA532:$EE532)&gt;=2),"Whole sector","")</f>
        <v/>
      </c>
      <c r="EL532" t="str">
        <f>IF(AND(AND(OR($DX532=1,$DW532=1),AND($EC532=0,$EA532=0)),SUM($DV532:$DZ532,$EF532)&gt;=4),"Ecosystem approach","")</f>
        <v>Ecosystem approach</v>
      </c>
      <c r="EM532" s="2" t="str">
        <f>IF(AND(AND(AND($DX532=0,$DW532=0),OR($EC532=1,$EA532=1)),SUM($EB532:$EE532)&gt;=2),"Technology approach","")</f>
        <v/>
      </c>
      <c r="EN532" t="s">
        <v>1285</v>
      </c>
      <c r="EP532" t="str">
        <f>IF(ISNUMBER(BU532),IF(ABS(BU532-[3]QC_indicators!$B$2)&gt;3*[3]QC_indicators!$C$2,"C ratio",IF(ISNUMBER(BY532),IF(ABS(BY532-[3]QC_indicators!$B$1)&gt;3*[3]QC_indicators!$C$1,"DF","no"))),IF(ISNUMBER(BY532),IF(ABS(BY532-[3]QC_indicators!$B$1)&gt;3*[3]QC_indicators!$C$1,"DF","no")))</f>
        <v>no</v>
      </c>
      <c r="EQ532" t="s">
        <v>287</v>
      </c>
      <c r="ER532" t="s">
        <v>1286</v>
      </c>
      <c r="ET532" s="266" t="s">
        <v>3275</v>
      </c>
    </row>
    <row r="533" spans="1:150" ht="15" customHeight="1">
      <c r="A533" s="1" t="s">
        <v>487</v>
      </c>
      <c r="B533" t="s">
        <v>488</v>
      </c>
      <c r="C533" t="s">
        <v>489</v>
      </c>
      <c r="D533" t="s">
        <v>490</v>
      </c>
      <c r="E533" t="s">
        <v>491</v>
      </c>
      <c r="F533" t="s">
        <v>492</v>
      </c>
      <c r="G533" t="s">
        <v>493</v>
      </c>
      <c r="H533" t="s">
        <v>255</v>
      </c>
      <c r="I533">
        <v>2019</v>
      </c>
      <c r="J533">
        <v>3</v>
      </c>
      <c r="K533" t="s">
        <v>494</v>
      </c>
      <c r="M533" t="str">
        <f>LEFT($D533,FIND(",",$D533)-1)&amp;"_"&amp;I533&amp;L533</f>
        <v>Butarbutar_2019</v>
      </c>
      <c r="N533" t="s">
        <v>223</v>
      </c>
      <c r="O533" s="145" t="s">
        <v>224</v>
      </c>
      <c r="Q533" s="266" t="s">
        <v>257</v>
      </c>
      <c r="R533" s="271" t="s">
        <v>1156</v>
      </c>
      <c r="S533" s="1" t="s">
        <v>495</v>
      </c>
      <c r="T533" t="s">
        <v>496</v>
      </c>
      <c r="U533" t="s">
        <v>497</v>
      </c>
      <c r="V533">
        <v>0</v>
      </c>
      <c r="W533">
        <v>0</v>
      </c>
      <c r="X533">
        <v>0</v>
      </c>
      <c r="Y533">
        <v>1</v>
      </c>
      <c r="Z533">
        <v>0</v>
      </c>
      <c r="AA533">
        <v>0</v>
      </c>
      <c r="AB533">
        <v>0</v>
      </c>
      <c r="AC533">
        <v>0</v>
      </c>
      <c r="AD533">
        <v>0</v>
      </c>
      <c r="AE533">
        <v>0</v>
      </c>
      <c r="AF533">
        <v>0</v>
      </c>
      <c r="AG533">
        <v>0</v>
      </c>
      <c r="AH533">
        <v>0</v>
      </c>
      <c r="AI533">
        <v>0</v>
      </c>
      <c r="AJ533">
        <v>0</v>
      </c>
      <c r="AK533">
        <v>0</v>
      </c>
      <c r="AL533">
        <v>0</v>
      </c>
      <c r="AM533">
        <v>0</v>
      </c>
      <c r="AN533">
        <v>0</v>
      </c>
      <c r="AO533">
        <v>0</v>
      </c>
      <c r="AP533">
        <v>0</v>
      </c>
      <c r="AQ533">
        <v>0</v>
      </c>
      <c r="AR533">
        <v>0</v>
      </c>
      <c r="AS533">
        <v>0</v>
      </c>
      <c r="AT533">
        <v>0</v>
      </c>
      <c r="AU533">
        <v>0</v>
      </c>
      <c r="AV533">
        <v>0</v>
      </c>
      <c r="AW533">
        <v>0</v>
      </c>
      <c r="AX533" s="141">
        <f>COUNTIF(V533:AW533,"&lt;&gt;0")</f>
        <v>1</v>
      </c>
      <c r="AY533" s="141">
        <f>COUNTIF(V533:AL533,"&lt;&gt;0")</f>
        <v>1</v>
      </c>
      <c r="AZ533">
        <f>COUNTIF(V533:AC533,"&lt;&gt;0")</f>
        <v>1</v>
      </c>
      <c r="BA533">
        <f>COUNTIF(AD533:AI533,"&lt;&gt;0")</f>
        <v>0</v>
      </c>
      <c r="BB533">
        <f>COUNTIF(AJ533:AL533,"&lt;&gt;0")</f>
        <v>0</v>
      </c>
      <c r="BC533">
        <f>COUNTIF(AS533:AW533,"&lt;&gt;0")</f>
        <v>0</v>
      </c>
      <c r="BD533">
        <f>COUNTIF(AM533:AR533,"&lt;&gt;0")</f>
        <v>0</v>
      </c>
      <c r="BE533" t="str" cm="1">
        <f t="array" ref="BE533">IF(AY533=1,INDEX($V$7:$AL$7,MATCH(TRUE,INDEX($V533:$AW533&lt;&gt;0,),0)),IF(AY533=0,INDEX($AM$7:$AW$7,MATCH(1,$AM533:$AW533,0)),IF(BF533="Multiple strategies","mixed drivers",IF(BF533="Supply chain","multiple supply","multiple silviculture"))))</f>
        <v xml:space="preserve">cutting intensity </v>
      </c>
      <c r="BF533" s="2" t="str" cm="1">
        <f t="array" ref="BF533">IF(COUNTIF(AZ533:BB533,"&lt;&gt;0")=1,INDEX($V$4:$AW$4,MATCH(TRUE,INDEX($V533:$AW533&lt;&gt;0,),0)),IF(COUNTIF(AZ533:BB533,"&lt;&gt;0")=0,INDEX($AM$4:$AW$4,MATCH(1,$AM533:$AW533,0)),"Multiple strategies"))</f>
        <v>SilvicultureRemov</v>
      </c>
      <c r="BG533" s="1" t="s">
        <v>322</v>
      </c>
      <c r="BH533" t="s">
        <v>498</v>
      </c>
      <c r="BJ533" t="s">
        <v>499</v>
      </c>
      <c r="BK533">
        <v>165.50800000000001</v>
      </c>
      <c r="BL533">
        <v>165.50800000000001</v>
      </c>
      <c r="BN533">
        <f>BL533-BK533</f>
        <v>0</v>
      </c>
      <c r="BO533">
        <f>BL533-BK533</f>
        <v>0</v>
      </c>
      <c r="BP533" s="266" t="s">
        <v>233</v>
      </c>
      <c r="BQ533" s="266"/>
      <c r="BR533" t="s">
        <v>279</v>
      </c>
      <c r="BS533">
        <v>-45.97</v>
      </c>
      <c r="BT533">
        <v>-58.93</v>
      </c>
      <c r="BU533" s="144">
        <v>1.2819229932564717</v>
      </c>
      <c r="BV533">
        <v>-12.96</v>
      </c>
      <c r="BX533">
        <f>BV533*C_to_CO2</f>
        <v>-47.563200000000002</v>
      </c>
      <c r="BY533" t="str">
        <f>IFERROR(BX533/BO533,"")</f>
        <v/>
      </c>
      <c r="BZ533" s="143">
        <v>0</v>
      </c>
      <c r="CA533" s="143">
        <v>0</v>
      </c>
      <c r="CB533" s="143">
        <v>0</v>
      </c>
      <c r="CC533" s="143">
        <v>0</v>
      </c>
      <c r="CD533" s="143">
        <v>0</v>
      </c>
      <c r="CE533" s="143">
        <v>0</v>
      </c>
      <c r="CF533" s="143">
        <v>0</v>
      </c>
      <c r="CG533" s="143">
        <v>0</v>
      </c>
      <c r="CH533" s="143">
        <v>0</v>
      </c>
      <c r="CI533" s="143">
        <v>0</v>
      </c>
      <c r="CJ533" s="143">
        <v>0</v>
      </c>
      <c r="CK533" s="143">
        <v>0</v>
      </c>
      <c r="CL533" s="143">
        <v>0</v>
      </c>
      <c r="CM533">
        <v>0</v>
      </c>
      <c r="CN533" t="str">
        <f>IF($BL533&lt;$BK533,"refNeedCorrection","refOK")</f>
        <v>refOK</v>
      </c>
      <c r="CO533">
        <f>IF($CN533="refOK",$BK533,$BL533)</f>
        <v>165.50800000000001</v>
      </c>
      <c r="CP533">
        <f>IF($CN533="refOK",$BL533,$BK533)</f>
        <v>165.50800000000001</v>
      </c>
      <c r="CQ533">
        <f>IF($CN533="refOK",$BO533,-$BO533)</f>
        <v>0</v>
      </c>
      <c r="CR533">
        <f>IF($CN533="refOK",$BS533,$BT533)*IF($BP533="Emissions positive",-1,1)</f>
        <v>-45.97</v>
      </c>
      <c r="CS533">
        <f>IF($CN533="refOK",$BT533,$BS533)*IF($BP533="Emissions positive",-1,1)</f>
        <v>-58.93</v>
      </c>
      <c r="CT533">
        <f>IF($CN533="refNeedCorrection",-BX533,BX533)*IF($BP533="Emissions positive",-1,1)</f>
        <v>-47.563200000000002</v>
      </c>
      <c r="CU533" t="str">
        <f>IFERROR(CT533/CQ533,"")</f>
        <v/>
      </c>
      <c r="CV533" s="2">
        <f>IFERROR((CS533-CR533)/ABS(CR533),"")</f>
        <v>-0.28192299325647163</v>
      </c>
      <c r="CW533" s="1" t="s">
        <v>235</v>
      </c>
      <c r="CX533" s="266" t="str">
        <f>IF(OR($CW533="prd",$CW533="std",$CW533="cit"),"loc",IF(OR($CW533="eur",$CW533="reg",$CW533="coy"),"reg",$CW533))</f>
        <v>loc</v>
      </c>
      <c r="CY533" t="s">
        <v>281</v>
      </c>
      <c r="CZ533">
        <v>1985</v>
      </c>
      <c r="DA533">
        <v>2016</v>
      </c>
      <c r="DB533">
        <f>DA533-CZ533</f>
        <v>31</v>
      </c>
      <c r="DC533" t="str">
        <f>IF(DB533=0,"0",IF(AND(DB533&gt;=1,DB533&lt;=30),"1-30",IF(AND(DB533&gt;30,DB533&lt;=70),"31-70",IF(AND(DB533&gt;70,DB533&lt;=100),"71-100",IF(DB533&gt;100,"+100")))))</f>
        <v>31-70</v>
      </c>
      <c r="DD533">
        <v>1</v>
      </c>
      <c r="DE533">
        <v>0</v>
      </c>
      <c r="DF533">
        <v>0</v>
      </c>
      <c r="DG533">
        <v>0</v>
      </c>
      <c r="DI533">
        <f>SUM(DD533:DG533)</f>
        <v>1</v>
      </c>
      <c r="DJ533" t="str">
        <f>IF(DI533=1,INDEX($DD$7:$DG$7,MATCH(1,$DD533:$DG533,0)),"mixedProduct")</f>
        <v>UpstreamInput</v>
      </c>
      <c r="DK533" t="str">
        <f>IF(DD533=1,DK$7,0)</f>
        <v>Upstream</v>
      </c>
      <c r="DL533">
        <f>IF(DE533=1,DL$7,0)</f>
        <v>0</v>
      </c>
      <c r="DM533">
        <f>IF(DF533=1,DM$7,0)</f>
        <v>0</v>
      </c>
      <c r="DN533">
        <f>IF(DG533=1,DN$7,0)</f>
        <v>0</v>
      </c>
      <c r="DO533">
        <v>0</v>
      </c>
      <c r="DP533" s="143">
        <v>0</v>
      </c>
      <c r="DQ533" s="143">
        <v>0</v>
      </c>
      <c r="DR533" s="143">
        <v>0</v>
      </c>
      <c r="DS533">
        <v>0</v>
      </c>
      <c r="DT533">
        <f>SUM(DO533:DP533)</f>
        <v>0</v>
      </c>
      <c r="DU533" s="143" t="str">
        <f>IF(DO533=1,"self-calculated DF",IF(DP533=1,"external DF used","explicit C balance"))</f>
        <v>explicit C balance</v>
      </c>
      <c r="DV533">
        <v>1</v>
      </c>
      <c r="DW533" s="143">
        <v>1</v>
      </c>
      <c r="DX533" s="143">
        <v>1</v>
      </c>
      <c r="DY533" s="143">
        <v>0</v>
      </c>
      <c r="DZ533">
        <v>0</v>
      </c>
      <c r="EA533" s="143">
        <v>0</v>
      </c>
      <c r="EB533">
        <v>0</v>
      </c>
      <c r="EC533" s="143">
        <v>0</v>
      </c>
      <c r="ED533" s="143">
        <v>0</v>
      </c>
      <c r="EE533">
        <v>0</v>
      </c>
      <c r="EF533">
        <v>1</v>
      </c>
      <c r="EG533" s="143">
        <v>0</v>
      </c>
      <c r="EH533" s="143">
        <v>0</v>
      </c>
      <c r="EI533" s="2">
        <v>0</v>
      </c>
      <c r="EK533" t="str">
        <f>IF(AND(AND(AND(OR($DX533=1,$DW533=1),OR($EC533=1,$EA533=1)),SUM($DV533:$DZ533,$EF533)&gt;=4),SUM($EA533:$EE533)&gt;=2),"Whole sector","")</f>
        <v/>
      </c>
      <c r="EL533" t="str">
        <f>IF(AND(AND(OR($DX533=1,$DW533=1),AND($EC533=0,$EA533=0)),SUM($DV533:$DZ533,$EF533)&gt;=4),"Ecosystem approach","")</f>
        <v>Ecosystem approach</v>
      </c>
      <c r="EM533" s="2" t="str">
        <f>IF(AND(AND(AND($DX533=0,$DW533=0),OR($EC533=1,$EA533=1)),SUM($EB533:$EE533)&gt;=2),"Technology approach","")</f>
        <v/>
      </c>
      <c r="EP533" t="b">
        <f>IF(ISNUMBER(BU533),IF(ABS(BU533-[1]QC_indicators!$B$2)&gt;3*[1]QC_indicators!$C$2,"C ratio",IF(ISNUMBER(BY533),IF(ABS(BY533-[1]QC_indicators!$B$1)&gt;3*[1]QC_indicators!$C$1,"DF","no"))),IF(ISNUMBER(BY533),IF(ABS(BY533-[1]QC_indicators!$B$1)&gt;3*[1]QC_indicators!$C$1,"DF","no")))</f>
        <v>0</v>
      </c>
      <c r="ER533" s="296" t="s">
        <v>350</v>
      </c>
      <c r="ET533" s="266" t="s">
        <v>3409</v>
      </c>
    </row>
    <row r="534" spans="1:150" ht="15" customHeight="1">
      <c r="A534" s="1" t="s">
        <v>487</v>
      </c>
      <c r="B534" t="s">
        <v>488</v>
      </c>
      <c r="C534" t="s">
        <v>489</v>
      </c>
      <c r="D534" t="s">
        <v>490</v>
      </c>
      <c r="E534" t="s">
        <v>491</v>
      </c>
      <c r="F534" t="s">
        <v>492</v>
      </c>
      <c r="G534" t="s">
        <v>493</v>
      </c>
      <c r="H534" t="s">
        <v>255</v>
      </c>
      <c r="I534">
        <v>2019</v>
      </c>
      <c r="J534">
        <v>3</v>
      </c>
      <c r="K534" t="s">
        <v>494</v>
      </c>
      <c r="M534" t="str">
        <f>LEFT($D534,FIND(",",$D534)-1)&amp;"_"&amp;I534&amp;L534</f>
        <v>Butarbutar_2019</v>
      </c>
      <c r="N534" t="s">
        <v>223</v>
      </c>
      <c r="O534" s="145" t="s">
        <v>224</v>
      </c>
      <c r="Q534" s="266" t="s">
        <v>257</v>
      </c>
      <c r="R534" s="271" t="s">
        <v>1156</v>
      </c>
      <c r="S534" s="1" t="s">
        <v>495</v>
      </c>
      <c r="T534" t="s">
        <v>496</v>
      </c>
      <c r="U534" t="s">
        <v>500</v>
      </c>
      <c r="V534">
        <v>0</v>
      </c>
      <c r="W534">
        <v>0</v>
      </c>
      <c r="X534">
        <v>0</v>
      </c>
      <c r="Y534">
        <v>1</v>
      </c>
      <c r="Z534">
        <v>0</v>
      </c>
      <c r="AA534">
        <v>0</v>
      </c>
      <c r="AB534">
        <v>0</v>
      </c>
      <c r="AC534">
        <v>0</v>
      </c>
      <c r="AD534">
        <v>0</v>
      </c>
      <c r="AE534">
        <v>0</v>
      </c>
      <c r="AF534">
        <v>0</v>
      </c>
      <c r="AG534">
        <v>0</v>
      </c>
      <c r="AH534">
        <v>0</v>
      </c>
      <c r="AI534">
        <v>0</v>
      </c>
      <c r="AJ534">
        <v>0</v>
      </c>
      <c r="AK534">
        <v>0</v>
      </c>
      <c r="AL534">
        <v>0</v>
      </c>
      <c r="AM534">
        <v>0</v>
      </c>
      <c r="AN534">
        <v>0</v>
      </c>
      <c r="AO534">
        <v>0</v>
      </c>
      <c r="AP534">
        <v>0</v>
      </c>
      <c r="AQ534">
        <v>0</v>
      </c>
      <c r="AR534">
        <v>0</v>
      </c>
      <c r="AS534">
        <v>0</v>
      </c>
      <c r="AT534">
        <v>0</v>
      </c>
      <c r="AU534">
        <v>0</v>
      </c>
      <c r="AV534">
        <v>0</v>
      </c>
      <c r="AW534">
        <v>0</v>
      </c>
      <c r="AX534" s="141">
        <f>COUNTIF(V534:AW534,"&lt;&gt;0")</f>
        <v>1</v>
      </c>
      <c r="AY534" s="141">
        <f>COUNTIF(V534:AL534,"&lt;&gt;0")</f>
        <v>1</v>
      </c>
      <c r="AZ534">
        <f>COUNTIF(V534:AC534,"&lt;&gt;0")</f>
        <v>1</v>
      </c>
      <c r="BA534">
        <f>COUNTIF(AD534:AI534,"&lt;&gt;0")</f>
        <v>0</v>
      </c>
      <c r="BB534">
        <f>COUNTIF(AJ534:AL534,"&lt;&gt;0")</f>
        <v>0</v>
      </c>
      <c r="BC534">
        <f>COUNTIF(AS534:AW534,"&lt;&gt;0")</f>
        <v>0</v>
      </c>
      <c r="BD534">
        <f>COUNTIF(AM534:AR534,"&lt;&gt;0")</f>
        <v>0</v>
      </c>
      <c r="BE534" t="str" cm="1">
        <f t="array" ref="BE534">IF(AY534=1,INDEX($V$7:$AL$7,MATCH(TRUE,INDEX($V534:$AW534&lt;&gt;0,),0)),IF(AY534=0,INDEX($AM$7:$AW$7,MATCH(1,$AM534:$AW534,0)),IF(BF534="Multiple strategies","mixed drivers",IF(BF534="Supply chain","multiple supply","multiple silviculture"))))</f>
        <v xml:space="preserve">cutting intensity </v>
      </c>
      <c r="BF534" s="2" t="str" cm="1">
        <f t="array" ref="BF534">IF(COUNTIF(AZ534:BB534,"&lt;&gt;0")=1,INDEX($V$4:$AW$4,MATCH(TRUE,INDEX($V534:$AW534&lt;&gt;0,),0)),IF(COUNTIF(AZ534:BB534,"&lt;&gt;0")=0,INDEX($AM$4:$AW$4,MATCH(1,$AM534:$AW534,0)),"Multiple strategies"))</f>
        <v>SilvicultureRemov</v>
      </c>
      <c r="BG534" s="1" t="s">
        <v>322</v>
      </c>
      <c r="BH534" t="s">
        <v>498</v>
      </c>
      <c r="BJ534" t="s">
        <v>499</v>
      </c>
      <c r="BK534">
        <v>165.50800000000001</v>
      </c>
      <c r="BL534">
        <v>165.50800000000001</v>
      </c>
      <c r="BN534">
        <f>BL534-BK534</f>
        <v>0</v>
      </c>
      <c r="BO534">
        <f>BL534-BK534</f>
        <v>0</v>
      </c>
      <c r="BP534" s="266" t="s">
        <v>233</v>
      </c>
      <c r="BQ534" s="266"/>
      <c r="BR534" t="s">
        <v>279</v>
      </c>
      <c r="BS534">
        <v>-45.97</v>
      </c>
      <c r="BT534">
        <v>-57.37</v>
      </c>
      <c r="BU534" s="144">
        <v>1.2479878181422668</v>
      </c>
      <c r="BV534">
        <v>-11.399999999999999</v>
      </c>
      <c r="BX534">
        <f>BV534*C_to_CO2</f>
        <v>-41.837999999999994</v>
      </c>
      <c r="BY534" t="str">
        <f>IFERROR(BX534/BO534,"")</f>
        <v/>
      </c>
      <c r="BZ534" s="143">
        <v>0</v>
      </c>
      <c r="CA534" s="143">
        <v>0</v>
      </c>
      <c r="CB534" s="143">
        <v>0</v>
      </c>
      <c r="CC534" s="143">
        <v>0</v>
      </c>
      <c r="CD534" s="143">
        <v>0</v>
      </c>
      <c r="CE534" s="143">
        <v>0</v>
      </c>
      <c r="CF534" s="143">
        <v>0</v>
      </c>
      <c r="CG534" s="143">
        <v>0</v>
      </c>
      <c r="CH534" s="143">
        <v>0</v>
      </c>
      <c r="CI534" s="143">
        <v>0</v>
      </c>
      <c r="CJ534" s="143">
        <v>0</v>
      </c>
      <c r="CK534" s="143">
        <v>0</v>
      </c>
      <c r="CL534" s="143">
        <v>0</v>
      </c>
      <c r="CM534">
        <v>0</v>
      </c>
      <c r="CN534" t="str">
        <f>IF($BL534&lt;$BK534,"refNeedCorrection","refOK")</f>
        <v>refOK</v>
      </c>
      <c r="CO534">
        <f>IF($CN534="refOK",$BK534,$BL534)</f>
        <v>165.50800000000001</v>
      </c>
      <c r="CP534">
        <f>IF($CN534="refOK",$BL534,$BK534)</f>
        <v>165.50800000000001</v>
      </c>
      <c r="CQ534">
        <f>IF($CN534="refOK",$BO534,-$BO534)</f>
        <v>0</v>
      </c>
      <c r="CR534">
        <f>IF($CN534="refOK",$BS534,$BT534)*IF($BP534="Emissions positive",-1,1)</f>
        <v>-45.97</v>
      </c>
      <c r="CS534">
        <f>IF($CN534="refOK",$BT534,$BS534)*IF($BP534="Emissions positive",-1,1)</f>
        <v>-57.37</v>
      </c>
      <c r="CT534">
        <f>IF($CN534="refNeedCorrection",-BX534,BX534)*IF($BP534="Emissions positive",-1,1)</f>
        <v>-41.837999999999994</v>
      </c>
      <c r="CU534" t="str">
        <f>IFERROR(CT534/CQ534,"")</f>
        <v/>
      </c>
      <c r="CV534" s="2">
        <f>IFERROR((CS534-CR534)/ABS(CR534),"")</f>
        <v>-0.24798781814226667</v>
      </c>
      <c r="CW534" s="1" t="s">
        <v>235</v>
      </c>
      <c r="CX534" s="266" t="str">
        <f>IF(OR($CW534="prd",$CW534="std",$CW534="cit"),"loc",IF(OR($CW534="eur",$CW534="reg",$CW534="coy"),"reg",$CW534))</f>
        <v>loc</v>
      </c>
      <c r="CY534" t="s">
        <v>281</v>
      </c>
      <c r="CZ534">
        <v>1985</v>
      </c>
      <c r="DA534">
        <v>2016</v>
      </c>
      <c r="DB534">
        <f>DA534-CZ534</f>
        <v>31</v>
      </c>
      <c r="DC534" t="str">
        <f>IF(DB534=0,"0",IF(AND(DB534&gt;=1,DB534&lt;=30),"1-30",IF(AND(DB534&gt;30,DB534&lt;=70),"31-70",IF(AND(DB534&gt;70,DB534&lt;=100),"71-100",IF(DB534&gt;100,"+100")))))</f>
        <v>31-70</v>
      </c>
      <c r="DD534">
        <v>1</v>
      </c>
      <c r="DE534">
        <v>0</v>
      </c>
      <c r="DF534">
        <v>0</v>
      </c>
      <c r="DG534">
        <v>0</v>
      </c>
      <c r="DI534">
        <f>SUM(DD534:DG534)</f>
        <v>1</v>
      </c>
      <c r="DJ534" t="str">
        <f>IF(DI534=1,INDEX($DD$7:$DG$7,MATCH(1,$DD534:$DG534,0)),"mixedProduct")</f>
        <v>UpstreamInput</v>
      </c>
      <c r="DK534" t="str">
        <f>IF(DD534=1,DK$7,0)</f>
        <v>Upstream</v>
      </c>
      <c r="DL534">
        <f>IF(DE534=1,DL$7,0)</f>
        <v>0</v>
      </c>
      <c r="DM534">
        <f>IF(DF534=1,DM$7,0)</f>
        <v>0</v>
      </c>
      <c r="DN534">
        <f>IF(DG534=1,DN$7,0)</f>
        <v>0</v>
      </c>
      <c r="DO534">
        <v>0</v>
      </c>
      <c r="DP534" s="143">
        <v>0</v>
      </c>
      <c r="DQ534" s="143">
        <v>0</v>
      </c>
      <c r="DR534" s="143">
        <v>0</v>
      </c>
      <c r="DS534">
        <v>0</v>
      </c>
      <c r="DT534">
        <f>SUM(DO534:DP534)</f>
        <v>0</v>
      </c>
      <c r="DU534" s="143" t="str">
        <f>IF(DO534=1,"self-calculated DF",IF(DP534=1,"external DF used","explicit C balance"))</f>
        <v>explicit C balance</v>
      </c>
      <c r="DV534">
        <v>1</v>
      </c>
      <c r="DW534" s="143">
        <v>1</v>
      </c>
      <c r="DX534" s="143">
        <v>1</v>
      </c>
      <c r="DY534" s="143">
        <v>0</v>
      </c>
      <c r="DZ534">
        <v>0</v>
      </c>
      <c r="EA534" s="143">
        <v>0</v>
      </c>
      <c r="EB534">
        <v>0</v>
      </c>
      <c r="EC534" s="143">
        <v>0</v>
      </c>
      <c r="ED534" s="143">
        <v>0</v>
      </c>
      <c r="EE534">
        <v>0</v>
      </c>
      <c r="EF534">
        <v>1</v>
      </c>
      <c r="EG534" s="143">
        <v>0</v>
      </c>
      <c r="EH534" s="143">
        <v>0</v>
      </c>
      <c r="EI534" s="2">
        <v>0</v>
      </c>
      <c r="EK534" t="str">
        <f>IF(AND(AND(AND(OR($DX534=1,$DW534=1),OR($EC534=1,$EA534=1)),SUM($DV534:$DZ534,$EF534)&gt;=4),SUM($EA534:$EE534)&gt;=2),"Whole sector","")</f>
        <v/>
      </c>
      <c r="EL534" t="str">
        <f>IF(AND(AND(OR($DX534=1,$DW534=1),AND($EC534=0,$EA534=0)),SUM($DV534:$DZ534,$EF534)&gt;=4),"Ecosystem approach","")</f>
        <v>Ecosystem approach</v>
      </c>
      <c r="EM534" s="2" t="str">
        <f>IF(AND(AND(AND($DX534=0,$DW534=0),OR($EC534=1,$EA534=1)),SUM($EB534:$EE534)&gt;=2),"Technology approach","")</f>
        <v/>
      </c>
      <c r="EP534" t="b">
        <f>IF(ISNUMBER(BU534),IF(ABS(BU534-[1]QC_indicators!$B$2)&gt;3*[1]QC_indicators!$C$2,"C ratio",IF(ISNUMBER(BY534),IF(ABS(BY534-[1]QC_indicators!$B$1)&gt;3*[1]QC_indicators!$C$1,"DF","no"))),IF(ISNUMBER(BY534),IF(ABS(BY534-[1]QC_indicators!$B$1)&gt;3*[1]QC_indicators!$C$1,"DF","no")))</f>
        <v>0</v>
      </c>
      <c r="ER534" s="296" t="s">
        <v>350</v>
      </c>
      <c r="ET534" s="266" t="s">
        <v>3409</v>
      </c>
    </row>
    <row r="535" spans="1:150" ht="15" hidden="1" customHeight="1">
      <c r="A535" s="1" t="s">
        <v>1810</v>
      </c>
      <c r="B535" t="s">
        <v>2477</v>
      </c>
      <c r="C535" t="s">
        <v>2478</v>
      </c>
      <c r="D535" t="s">
        <v>2479</v>
      </c>
      <c r="E535" t="s">
        <v>2480</v>
      </c>
      <c r="F535" t="s">
        <v>2481</v>
      </c>
      <c r="G535" t="s">
        <v>1816</v>
      </c>
      <c r="H535" t="s">
        <v>255</v>
      </c>
      <c r="I535">
        <v>2010</v>
      </c>
      <c r="J535">
        <v>100</v>
      </c>
      <c r="K535" t="s">
        <v>2482</v>
      </c>
      <c r="M535" t="str">
        <f>LEFT($D535,FIND(",",$D535)-1)&amp;"_"&amp;I535&amp;L535</f>
        <v>Werner_2010</v>
      </c>
      <c r="N535" t="s">
        <v>223</v>
      </c>
      <c r="O535" s="145" t="s">
        <v>1156</v>
      </c>
      <c r="Q535" t="s">
        <v>257</v>
      </c>
      <c r="R535" s="264" t="s">
        <v>224</v>
      </c>
      <c r="S535" s="1" t="s">
        <v>2483</v>
      </c>
      <c r="T535" t="s">
        <v>2484</v>
      </c>
      <c r="U535" t="s">
        <v>1157</v>
      </c>
      <c r="V535">
        <v>1</v>
      </c>
      <c r="W535">
        <v>0</v>
      </c>
      <c r="X535">
        <v>2</v>
      </c>
      <c r="Y535">
        <v>0</v>
      </c>
      <c r="Z535">
        <v>0</v>
      </c>
      <c r="AA535">
        <v>0</v>
      </c>
      <c r="AB535">
        <v>0</v>
      </c>
      <c r="AC535">
        <v>0</v>
      </c>
      <c r="AD535">
        <v>0</v>
      </c>
      <c r="AE535">
        <v>0</v>
      </c>
      <c r="AF535">
        <v>0</v>
      </c>
      <c r="AG535">
        <v>0</v>
      </c>
      <c r="AH535">
        <v>0</v>
      </c>
      <c r="AI535">
        <v>0</v>
      </c>
      <c r="AJ535">
        <v>0</v>
      </c>
      <c r="AK535">
        <v>0</v>
      </c>
      <c r="AL535">
        <v>0</v>
      </c>
      <c r="AM535">
        <v>0</v>
      </c>
      <c r="AN535">
        <v>0</v>
      </c>
      <c r="AO535">
        <v>0</v>
      </c>
      <c r="AP535">
        <v>0</v>
      </c>
      <c r="AQ535">
        <v>0</v>
      </c>
      <c r="AR535">
        <v>0</v>
      </c>
      <c r="AS535">
        <v>0</v>
      </c>
      <c r="AT535">
        <v>0</v>
      </c>
      <c r="AU535">
        <v>0</v>
      </c>
      <c r="AV535">
        <v>0</v>
      </c>
      <c r="AW535">
        <v>0</v>
      </c>
      <c r="AX535" s="141">
        <f>COUNTIF(V535:AW535,"&lt;&gt;0")</f>
        <v>2</v>
      </c>
      <c r="AY535" s="141">
        <f>COUNTIF(V535:AL535,"&lt;&gt;0")</f>
        <v>2</v>
      </c>
      <c r="AZ535">
        <f>COUNTIF(V535:AC535,"&lt;&gt;0")</f>
        <v>2</v>
      </c>
      <c r="BA535">
        <f>COUNTIF(AD535:AI535,"&lt;&gt;0")</f>
        <v>0</v>
      </c>
      <c r="BB535">
        <f>COUNTIF(AJ535:AL535,"&lt;&gt;0")</f>
        <v>0</v>
      </c>
      <c r="BC535">
        <f>COUNTIF(AS535:AW535,"&lt;&gt;0")</f>
        <v>0</v>
      </c>
      <c r="BD535">
        <f>COUNTIF(AM535:AR535,"&lt;&gt;0")</f>
        <v>0</v>
      </c>
      <c r="BE535" t="str">
        <f t="array" ref="BE535">IF(AY535=1,INDEX($V$7:$AL$7,MATCH(TRUE,INDEX($V535:$AW535&lt;&gt;0,),0)),IF(AY535=0,INDEX($AM$7:$AW$7,MATCH(1,$AM535:$AW535,0)),IF(BF535="Multiple strategies","mixed drivers",IF(BF535="Supply chain","multiple supply","multiple silviculture"))))</f>
        <v>multiple silviculture</v>
      </c>
      <c r="BF535" s="2" t="str" cm="1">
        <f t="array" ref="BF535">IF(COUNTIF(AZ535:BB535,"&lt;&gt;0")=1,INDEX($V$4:$AW$4,MATCH(TRUE,INDEX($V535:$AW535&lt;&gt;0,),0)),IF(COUNTIF(AZ535:BB535,"&lt;&gt;0")=0,INDEX($AM$4:$AW$4,MATCH(1,$AM535:$AW535,0)),"Multiple strategies"))</f>
        <v>SilvicultureRemov</v>
      </c>
      <c r="BG535" s="1" t="s">
        <v>322</v>
      </c>
      <c r="BH535" t="s">
        <v>2455</v>
      </c>
      <c r="BI535" s="266" t="s">
        <v>3254</v>
      </c>
      <c r="BJ535" t="s">
        <v>1325</v>
      </c>
      <c r="BK535">
        <v>120</v>
      </c>
      <c r="BL535">
        <v>163.5</v>
      </c>
      <c r="BM535" s="143">
        <f>BL535/BK535</f>
        <v>1.3625</v>
      </c>
      <c r="BN535">
        <f>BL535-BK535</f>
        <v>43.5</v>
      </c>
      <c r="BO535">
        <f>BN535*10^6</f>
        <v>43500000</v>
      </c>
      <c r="BP535" t="s">
        <v>233</v>
      </c>
      <c r="BQ535" s="153" t="s">
        <v>3255</v>
      </c>
      <c r="BR535" t="s">
        <v>2327</v>
      </c>
      <c r="BS535">
        <v>370.31517322497803</v>
      </c>
      <c r="BT535">
        <v>266.57399486740798</v>
      </c>
      <c r="BU535" s="144">
        <f>IFERROR(BT535/BS535,"")</f>
        <v>0.71985706809117422</v>
      </c>
      <c r="BV535" s="144">
        <f>BT535-BS535</f>
        <v>-103.74117835757005</v>
      </c>
      <c r="BW535" s="144"/>
      <c r="BX535">
        <f>BV535*10^6</f>
        <v>-103741178.35757005</v>
      </c>
      <c r="BY535">
        <f>IFERROR(BX535/BO535,"")</f>
        <v>-2.3848546748866677</v>
      </c>
      <c r="BZ535">
        <v>0</v>
      </c>
      <c r="CA535">
        <v>0</v>
      </c>
      <c r="CB535">
        <v>0</v>
      </c>
      <c r="CC535">
        <v>0</v>
      </c>
      <c r="CD535">
        <v>0</v>
      </c>
      <c r="CE535">
        <v>0</v>
      </c>
      <c r="CF535">
        <v>0</v>
      </c>
      <c r="CG535">
        <v>0</v>
      </c>
      <c r="CH535">
        <v>0</v>
      </c>
      <c r="CI535">
        <v>0</v>
      </c>
      <c r="CJ535">
        <v>0</v>
      </c>
      <c r="CK535">
        <v>0</v>
      </c>
      <c r="CL535">
        <v>0</v>
      </c>
      <c r="CM535">
        <v>1</v>
      </c>
      <c r="CN535" t="str">
        <f>IF($BL535&lt;$BK535,"refNeedCorrection","refOK")</f>
        <v>refOK</v>
      </c>
      <c r="CO535">
        <f>IF($CN535="refOK",$BK535,$BL535)</f>
        <v>120</v>
      </c>
      <c r="CP535">
        <f>IF($CN535="refOK",$BL535,$BK535)</f>
        <v>163.5</v>
      </c>
      <c r="CQ535">
        <f>IF($CN535="refOK",$BO535,-$BO535)</f>
        <v>43500000</v>
      </c>
      <c r="CR535">
        <f>IF($CN535="refOK",$BS535,$BT535)*IF($BP535="Emissions positive",-1,1)</f>
        <v>370.31517322497803</v>
      </c>
      <c r="CS535">
        <f>IF($CN535="refOK",$BT535,$BS535)*IF($BP535="Emissions positive",-1,1)</f>
        <v>266.57399486740798</v>
      </c>
      <c r="CT535">
        <f>IF($CN535="refNeedCorrection",-BX535,BX535)*IF($BP535="Emissions positive",-1,1)</f>
        <v>-103741178.35757005</v>
      </c>
      <c r="CU535">
        <f>IFERROR(CT535/CQ535,"")</f>
        <v>-2.3848546748866677</v>
      </c>
      <c r="CV535" s="2">
        <f>IFERROR((CS535-CR535)/ABS(CR535),"")</f>
        <v>-0.28014293190882578</v>
      </c>
      <c r="CW535" s="1" t="s">
        <v>1205</v>
      </c>
      <c r="CX535" t="str">
        <f>IF(OR($CW535="prd",$CW535="std",$CW535="cit"),"loc",IF(OR($CW535="eur",$CW535="reg",$CW535="coy"),"reg",$CW535))</f>
        <v>reg</v>
      </c>
      <c r="CY535" t="s">
        <v>641</v>
      </c>
      <c r="CZ535">
        <v>2000</v>
      </c>
      <c r="DA535">
        <v>2030</v>
      </c>
      <c r="DB535">
        <f>DA535-CZ535</f>
        <v>30</v>
      </c>
      <c r="DC535" t="str">
        <f>IF(DB535=0,"0",IF(AND(DB535&gt;=1,DB535&lt;=30),"1-30",IF(AND(DB535&gt;30,DB535&lt;=70),"31-70",IF(AND(DB535&gt;70,DB535&lt;=100),"71-100",IF(DB535&gt;100,"+100")))))</f>
        <v>1-30</v>
      </c>
      <c r="DD535">
        <v>1</v>
      </c>
      <c r="DE535">
        <v>1</v>
      </c>
      <c r="DF535">
        <v>1</v>
      </c>
      <c r="DG535">
        <v>1</v>
      </c>
      <c r="DH535">
        <v>0</v>
      </c>
      <c r="DI535">
        <f>SUM(DD535:DG535)</f>
        <v>4</v>
      </c>
      <c r="DJ535" t="str">
        <f>IF(DI535=1,INDEX($DD$7:$DG$7,MATCH(1,$DD535:$DG535,0)),"mixedProduct")</f>
        <v>mixedProduct</v>
      </c>
      <c r="DK535" t="str">
        <f>IF(DD535=1,DK$7,0)</f>
        <v>Upstream</v>
      </c>
      <c r="DL535" t="str">
        <f>IF(DE535=1,DL$7,0)</f>
        <v>Energy</v>
      </c>
      <c r="DM535" t="str">
        <f>IF(DF535=1,DM$7,0)</f>
        <v>Pulp/Paper</v>
      </c>
      <c r="DN535" t="str">
        <f>IF(DG535=1,DN$7,0)</f>
        <v>Timber</v>
      </c>
      <c r="DO535">
        <v>0</v>
      </c>
      <c r="DP535">
        <v>1</v>
      </c>
      <c r="DQ535" t="s">
        <v>2485</v>
      </c>
      <c r="DR535" t="s">
        <v>2486</v>
      </c>
      <c r="DT535">
        <f>SUM(DO535:DP535)</f>
        <v>1</v>
      </c>
      <c r="DU535" s="143" t="str">
        <f>IF(DO535=1,"self-calculated DF",IF(DP535=1,"external DF used","explicit C balance"))</f>
        <v>external DF used</v>
      </c>
      <c r="DV535">
        <v>1</v>
      </c>
      <c r="DW535">
        <v>1</v>
      </c>
      <c r="DX535">
        <v>1</v>
      </c>
      <c r="DY535">
        <v>1</v>
      </c>
      <c r="DZ535">
        <v>1</v>
      </c>
      <c r="EA535" s="143">
        <v>1</v>
      </c>
      <c r="EB535">
        <v>1</v>
      </c>
      <c r="EC535">
        <v>1</v>
      </c>
      <c r="ED535">
        <v>0</v>
      </c>
      <c r="EE535">
        <v>0</v>
      </c>
      <c r="EF535">
        <v>1</v>
      </c>
      <c r="EG535">
        <v>0</v>
      </c>
      <c r="EH535">
        <v>0</v>
      </c>
      <c r="EI535" s="2">
        <v>0</v>
      </c>
      <c r="EK535" t="str">
        <f>IF(AND(AND(AND(OR($DX535=1,$DW535=1),OR($EC535=1,$EA535=1)),SUM($DV535:$DZ535,$EF535)&gt;=4),SUM($EA535:$EE535)&gt;=2),"Whole sector","")</f>
        <v>Whole sector</v>
      </c>
      <c r="EL535" t="str">
        <f>IF(AND(AND(OR($DX535=1,$DW535=1),AND($EC535=0,$EA535=0)),SUM($DV535:$DZ535,$EF535)&gt;=4),"Ecosystem approach","")</f>
        <v/>
      </c>
      <c r="EM535" s="2" t="str">
        <f>IF(AND(AND(AND($DX535=0,$DW535=0),OR($EC535=1,$EA535=1)),SUM($EB535:$EE535)&gt;=2),"Technology approach","")</f>
        <v/>
      </c>
      <c r="EN535" t="s">
        <v>2487</v>
      </c>
      <c r="EP535" t="str">
        <f>IF(ISNUMBER(BU535),IF(ABS(BU535-[2]QC_indicators!$B$2)&gt;3*[2]QC_indicators!$C$2,"C ratio",IF(ISNUMBER(BY535),IF(ABS(BY535-[2]QC_indicators!$B$1)&gt;3*[2]QC_indicators!$C$1,"DF","no"))),IF(ISNUMBER(BY535),IF(ABS(BY535-[2]QC_indicators!$B$1)&gt;3*[2]QC_indicators!$C$1,"DF","no")))</f>
        <v>no</v>
      </c>
      <c r="ET535" s="266" t="s">
        <v>3256</v>
      </c>
    </row>
    <row r="536" spans="1:150" ht="15" hidden="1" customHeight="1">
      <c r="A536" s="1" t="s">
        <v>1810</v>
      </c>
      <c r="B536" t="s">
        <v>2477</v>
      </c>
      <c r="C536" t="s">
        <v>2478</v>
      </c>
      <c r="D536" t="s">
        <v>2479</v>
      </c>
      <c r="E536" t="s">
        <v>2480</v>
      </c>
      <c r="F536" t="s">
        <v>2481</v>
      </c>
      <c r="G536" t="s">
        <v>1816</v>
      </c>
      <c r="H536" t="s">
        <v>255</v>
      </c>
      <c r="I536">
        <v>2010</v>
      </c>
      <c r="J536">
        <v>100</v>
      </c>
      <c r="K536" t="s">
        <v>2482</v>
      </c>
      <c r="M536" t="str">
        <f>LEFT($D536,FIND(",",$D536)-1)&amp;"_"&amp;I536&amp;L536</f>
        <v>Werner_2010</v>
      </c>
      <c r="N536" t="s">
        <v>223</v>
      </c>
      <c r="O536" s="145" t="s">
        <v>1156</v>
      </c>
      <c r="Q536" t="s">
        <v>257</v>
      </c>
      <c r="R536" s="264" t="s">
        <v>224</v>
      </c>
      <c r="S536" s="265" t="s">
        <v>3257</v>
      </c>
      <c r="T536" t="s">
        <v>2484</v>
      </c>
      <c r="U536" t="s">
        <v>2490</v>
      </c>
      <c r="V536">
        <v>2</v>
      </c>
      <c r="W536">
        <v>0</v>
      </c>
      <c r="X536">
        <v>1</v>
      </c>
      <c r="Y536">
        <v>2</v>
      </c>
      <c r="Z536">
        <v>0</v>
      </c>
      <c r="AA536">
        <v>0</v>
      </c>
      <c r="AB536">
        <v>0</v>
      </c>
      <c r="AC536">
        <v>0</v>
      </c>
      <c r="AD536">
        <v>0</v>
      </c>
      <c r="AE536">
        <v>0</v>
      </c>
      <c r="AF536">
        <v>0</v>
      </c>
      <c r="AG536">
        <v>0</v>
      </c>
      <c r="AH536">
        <v>0</v>
      </c>
      <c r="AI536">
        <v>0</v>
      </c>
      <c r="AJ536">
        <v>0</v>
      </c>
      <c r="AK536">
        <v>0</v>
      </c>
      <c r="AL536">
        <v>0</v>
      </c>
      <c r="AM536">
        <v>0</v>
      </c>
      <c r="AN536">
        <v>0</v>
      </c>
      <c r="AO536">
        <v>0</v>
      </c>
      <c r="AP536">
        <v>0</v>
      </c>
      <c r="AQ536">
        <v>0</v>
      </c>
      <c r="AR536">
        <v>0</v>
      </c>
      <c r="AS536">
        <v>0</v>
      </c>
      <c r="AT536">
        <v>0</v>
      </c>
      <c r="AU536">
        <v>0</v>
      </c>
      <c r="AV536">
        <v>0</v>
      </c>
      <c r="AW536">
        <v>0</v>
      </c>
      <c r="AX536" s="141">
        <f>COUNTIF(V536:AW536,"&lt;&gt;0")</f>
        <v>3</v>
      </c>
      <c r="AY536" s="141">
        <f>COUNTIF(V536:AL536,"&lt;&gt;0")</f>
        <v>3</v>
      </c>
      <c r="AZ536">
        <f>COUNTIF(V536:AC536,"&lt;&gt;0")</f>
        <v>3</v>
      </c>
      <c r="BA536">
        <f>COUNTIF(AD536:AI536,"&lt;&gt;0")</f>
        <v>0</v>
      </c>
      <c r="BB536">
        <f>COUNTIF(AJ536:AL536,"&lt;&gt;0")</f>
        <v>0</v>
      </c>
      <c r="BC536">
        <f>COUNTIF(AS536:AW536,"&lt;&gt;0")</f>
        <v>0</v>
      </c>
      <c r="BD536">
        <f>COUNTIF(AM536:AR536,"&lt;&gt;0")</f>
        <v>0</v>
      </c>
      <c r="BE536" t="str">
        <f t="array" ref="BE536">IF(AY536=1,INDEX($V$7:$AL$7,MATCH(TRUE,INDEX($V536:$AW536&lt;&gt;0,),0)),IF(AY536=0,INDEX($AM$7:$AW$7,MATCH(1,$AM536:$AW536,0)),IF(BF536="Multiple strategies","mixed drivers",IF(BF536="Supply chain","multiple supply","multiple silviculture"))))</f>
        <v>multiple silviculture</v>
      </c>
      <c r="BF536" s="2" t="str" cm="1">
        <f t="array" ref="BF536">IF(COUNTIF(AZ536:BB536,"&lt;&gt;0")=1,INDEX($V$4:$AW$4,MATCH(TRUE,INDEX($V536:$AW536&lt;&gt;0,),0)),IF(COUNTIF(AZ536:BB536,"&lt;&gt;0")=0,INDEX($AM$4:$AW$4,MATCH(1,$AM536:$AW536,0)),"Multiple strategies"))</f>
        <v>SilvicultureRemov</v>
      </c>
      <c r="BG536" s="1" t="s">
        <v>322</v>
      </c>
      <c r="BH536" t="s">
        <v>2455</v>
      </c>
      <c r="BI536" s="266" t="s">
        <v>3254</v>
      </c>
      <c r="BJ536" t="s">
        <v>1325</v>
      </c>
      <c r="BK536">
        <v>120</v>
      </c>
      <c r="BL536">
        <v>213</v>
      </c>
      <c r="BM536" s="143">
        <f>BL536/BK536</f>
        <v>1.7749999999999999</v>
      </c>
      <c r="BN536">
        <f>BL536-BK536</f>
        <v>93</v>
      </c>
      <c r="BO536">
        <f>BN536*10^6</f>
        <v>93000000</v>
      </c>
      <c r="BP536" t="s">
        <v>233</v>
      </c>
      <c r="BQ536" s="153" t="s">
        <v>3255</v>
      </c>
      <c r="BR536" t="s">
        <v>2327</v>
      </c>
      <c r="BS536">
        <v>370.31517322497803</v>
      </c>
      <c r="BT536">
        <v>288.61473481608198</v>
      </c>
      <c r="BU536" s="144">
        <f>IFERROR(BT536/BS536,"")</f>
        <v>0.77937593618595669</v>
      </c>
      <c r="BV536" s="144">
        <f>BT536-BS536</f>
        <v>-81.700438408896048</v>
      </c>
      <c r="BW536" s="144"/>
      <c r="BX536">
        <f>BV536*10^6</f>
        <v>-81700438.408896044</v>
      </c>
      <c r="BY536">
        <f>IFERROR(BX536/BO536,"")</f>
        <v>-0.87849933773006494</v>
      </c>
      <c r="BZ536">
        <v>0</v>
      </c>
      <c r="CA536">
        <v>0</v>
      </c>
      <c r="CB536">
        <v>0</v>
      </c>
      <c r="CC536">
        <v>0</v>
      </c>
      <c r="CD536">
        <v>0</v>
      </c>
      <c r="CE536">
        <v>0</v>
      </c>
      <c r="CF536">
        <v>0</v>
      </c>
      <c r="CG536">
        <v>0</v>
      </c>
      <c r="CH536">
        <v>0</v>
      </c>
      <c r="CI536">
        <v>0</v>
      </c>
      <c r="CJ536">
        <v>0</v>
      </c>
      <c r="CK536">
        <v>0</v>
      </c>
      <c r="CL536">
        <v>0</v>
      </c>
      <c r="CM536">
        <v>1</v>
      </c>
      <c r="CN536" t="str">
        <f>IF($BL536&lt;$BK536,"refNeedCorrection","refOK")</f>
        <v>refOK</v>
      </c>
      <c r="CO536">
        <f>IF($CN536="refOK",$BK536,$BL536)</f>
        <v>120</v>
      </c>
      <c r="CP536">
        <f>IF($CN536="refOK",$BL536,$BK536)</f>
        <v>213</v>
      </c>
      <c r="CQ536">
        <f>IF($CN536="refOK",$BO536,-$BO536)</f>
        <v>93000000</v>
      </c>
      <c r="CR536">
        <f>IF($CN536="refOK",$BS536,$BT536)*IF($BP536="Emissions positive",-1,1)</f>
        <v>370.31517322497803</v>
      </c>
      <c r="CS536">
        <f>IF($CN536="refOK",$BT536,$BS536)*IF($BP536="Emissions positive",-1,1)</f>
        <v>288.61473481608198</v>
      </c>
      <c r="CT536">
        <f>IF($CN536="refNeedCorrection",-BX536,BX536)*IF($BP536="Emissions positive",-1,1)</f>
        <v>-81700438.408896044</v>
      </c>
      <c r="CU536">
        <f>IFERROR(CT536/CQ536,"")</f>
        <v>-0.87849933773006494</v>
      </c>
      <c r="CV536" s="2">
        <f>IFERROR((CS536-CR536)/ABS(CR536),"")</f>
        <v>-0.22062406381404329</v>
      </c>
      <c r="CW536" s="1" t="s">
        <v>1205</v>
      </c>
      <c r="CX536" t="str">
        <f>IF(OR($CW536="prd",$CW536="std",$CW536="cit"),"loc",IF(OR($CW536="eur",$CW536="reg",$CW536="coy"),"reg",$CW536))</f>
        <v>reg</v>
      </c>
      <c r="CY536" t="s">
        <v>641</v>
      </c>
      <c r="CZ536">
        <v>2000</v>
      </c>
      <c r="DA536">
        <v>2030</v>
      </c>
      <c r="DB536">
        <f>DA536-CZ536</f>
        <v>30</v>
      </c>
      <c r="DC536" t="str">
        <f>IF(DB536=0,"0",IF(AND(DB536&gt;=1,DB536&lt;=30),"1-30",IF(AND(DB536&gt;30,DB536&lt;=70),"31-70",IF(AND(DB536&gt;70,DB536&lt;=100),"71-100",IF(DB536&gt;100,"+100")))))</f>
        <v>1-30</v>
      </c>
      <c r="DD536">
        <v>0</v>
      </c>
      <c r="DE536">
        <v>1</v>
      </c>
      <c r="DF536">
        <v>0</v>
      </c>
      <c r="DG536">
        <v>0</v>
      </c>
      <c r="DH536">
        <v>0</v>
      </c>
      <c r="DI536">
        <f>SUM(DD536:DG536)</f>
        <v>1</v>
      </c>
      <c r="DJ536" t="str">
        <f>IF(DI536=1,INDEX($DD$7:$DG$7,MATCH(1,$DD536:$DG536,0)),"mixedProduct")</f>
        <v>EnergyInput</v>
      </c>
      <c r="DK536">
        <f>IF(DD536=1,DK$7,0)</f>
        <v>0</v>
      </c>
      <c r="DL536" t="str">
        <f>IF(DE536=1,DL$7,0)</f>
        <v>Energy</v>
      </c>
      <c r="DM536">
        <f>IF(DF536=1,DM$7,0)</f>
        <v>0</v>
      </c>
      <c r="DN536">
        <f>IF(DG536=1,DN$7,0)</f>
        <v>0</v>
      </c>
      <c r="DO536">
        <v>0</v>
      </c>
      <c r="DP536">
        <v>1</v>
      </c>
      <c r="DQ536" t="s">
        <v>2485</v>
      </c>
      <c r="DR536" t="s">
        <v>2486</v>
      </c>
      <c r="DT536">
        <f>SUM(DO536:DP536)</f>
        <v>1</v>
      </c>
      <c r="DU536" s="143" t="str">
        <f>IF(DO536=1,"self-calculated DF",IF(DP536=1,"external DF used","explicit C balance"))</f>
        <v>external DF used</v>
      </c>
      <c r="DV536">
        <v>1</v>
      </c>
      <c r="DW536">
        <v>1</v>
      </c>
      <c r="DX536">
        <v>1</v>
      </c>
      <c r="DY536">
        <v>1</v>
      </c>
      <c r="DZ536">
        <v>1</v>
      </c>
      <c r="EA536" s="143">
        <v>1</v>
      </c>
      <c r="EB536">
        <v>1</v>
      </c>
      <c r="EC536">
        <v>1</v>
      </c>
      <c r="ED536">
        <v>0</v>
      </c>
      <c r="EE536">
        <v>0</v>
      </c>
      <c r="EF536">
        <v>1</v>
      </c>
      <c r="EG536">
        <v>0</v>
      </c>
      <c r="EH536">
        <v>0</v>
      </c>
      <c r="EI536" s="2">
        <v>0</v>
      </c>
      <c r="EK536" t="str">
        <f>IF(AND(AND(AND(OR($DX536=1,$DW536=1),OR($EC536=1,$EA536=1)),SUM($DV536:$DZ536,$EF536)&gt;=4),SUM($EA536:$EE536)&gt;=2),"Whole sector","")</f>
        <v>Whole sector</v>
      </c>
      <c r="EL536" t="str">
        <f>IF(AND(AND(OR($DX536=1,$DW536=1),AND($EC536=0,$EA536=0)),SUM($DV536:$DZ536,$EF536)&gt;=4),"Ecosystem approach","")</f>
        <v/>
      </c>
      <c r="EM536" s="2" t="str">
        <f>IF(AND(AND(AND($DX536=0,$DW536=0),OR($EC536=1,$EA536=1)),SUM($EB536:$EE536)&gt;=2),"Technology approach","")</f>
        <v/>
      </c>
      <c r="EN536" t="s">
        <v>2487</v>
      </c>
      <c r="EP536" t="str">
        <f>IF(ISNUMBER(BU536),IF(ABS(BU536-[2]QC_indicators!$B$2)&gt;3*[2]QC_indicators!$C$2,"C ratio",IF(ISNUMBER(BY536),IF(ABS(BY536-[2]QC_indicators!$B$1)&gt;3*[2]QC_indicators!$C$1,"DF","no"))),IF(ISNUMBER(BY536),IF(ABS(BY536-[2]QC_indicators!$B$1)&gt;3*[2]QC_indicators!$C$1,"DF","no")))</f>
        <v>no</v>
      </c>
      <c r="ET536" s="266" t="s">
        <v>3256</v>
      </c>
    </row>
    <row r="537" spans="1:150" ht="15" hidden="1" customHeight="1">
      <c r="A537" s="1" t="s">
        <v>1810</v>
      </c>
      <c r="B537" t="s">
        <v>2477</v>
      </c>
      <c r="C537" t="s">
        <v>2478</v>
      </c>
      <c r="D537" t="s">
        <v>2479</v>
      </c>
      <c r="E537" t="s">
        <v>2480</v>
      </c>
      <c r="F537" t="s">
        <v>2481</v>
      </c>
      <c r="G537" t="s">
        <v>1816</v>
      </c>
      <c r="H537" t="s">
        <v>255</v>
      </c>
      <c r="I537">
        <v>2010</v>
      </c>
      <c r="J537">
        <v>100</v>
      </c>
      <c r="K537" t="s">
        <v>2482</v>
      </c>
      <c r="M537" t="str">
        <f>LEFT($D537,FIND(",",$D537)-1)&amp;"_"&amp;I537&amp;L537</f>
        <v>Werner_2010</v>
      </c>
      <c r="N537" t="s">
        <v>223</v>
      </c>
      <c r="O537" s="145" t="s">
        <v>1156</v>
      </c>
      <c r="Q537" t="s">
        <v>257</v>
      </c>
      <c r="R537" s="264" t="s">
        <v>224</v>
      </c>
      <c r="S537" s="1" t="s">
        <v>2483</v>
      </c>
      <c r="T537" t="s">
        <v>2484</v>
      </c>
      <c r="U537" t="s">
        <v>2488</v>
      </c>
      <c r="V537">
        <v>1</v>
      </c>
      <c r="W537">
        <v>0</v>
      </c>
      <c r="X537">
        <v>2</v>
      </c>
      <c r="Y537">
        <v>0</v>
      </c>
      <c r="Z537">
        <v>0</v>
      </c>
      <c r="AA537">
        <v>0</v>
      </c>
      <c r="AB537">
        <v>0</v>
      </c>
      <c r="AC537">
        <v>0</v>
      </c>
      <c r="AD537">
        <v>0</v>
      </c>
      <c r="AE537">
        <v>0</v>
      </c>
      <c r="AF537">
        <v>0</v>
      </c>
      <c r="AG537">
        <v>0</v>
      </c>
      <c r="AH537">
        <v>0</v>
      </c>
      <c r="AI537">
        <v>0</v>
      </c>
      <c r="AJ537">
        <v>0</v>
      </c>
      <c r="AK537">
        <v>0</v>
      </c>
      <c r="AL537">
        <v>0</v>
      </c>
      <c r="AM537">
        <v>0</v>
      </c>
      <c r="AN537">
        <v>0</v>
      </c>
      <c r="AO537">
        <v>0</v>
      </c>
      <c r="AP537">
        <v>0</v>
      </c>
      <c r="AQ537">
        <v>0</v>
      </c>
      <c r="AR537">
        <v>0</v>
      </c>
      <c r="AS537">
        <v>0</v>
      </c>
      <c r="AT537">
        <v>0</v>
      </c>
      <c r="AU537">
        <v>0</v>
      </c>
      <c r="AV537">
        <v>0</v>
      </c>
      <c r="AW537">
        <v>0</v>
      </c>
      <c r="AX537" s="141">
        <f>COUNTIF(V537:AW537,"&lt;&gt;0")</f>
        <v>2</v>
      </c>
      <c r="AY537" s="141">
        <f>COUNTIF(V537:AL537,"&lt;&gt;0")</f>
        <v>2</v>
      </c>
      <c r="AZ537">
        <f>COUNTIF(V537:AC537,"&lt;&gt;0")</f>
        <v>2</v>
      </c>
      <c r="BA537">
        <f>COUNTIF(AD537:AI537,"&lt;&gt;0")</f>
        <v>0</v>
      </c>
      <c r="BB537">
        <f>COUNTIF(AJ537:AL537,"&lt;&gt;0")</f>
        <v>0</v>
      </c>
      <c r="BC537">
        <f>COUNTIF(AS537:AW537,"&lt;&gt;0")</f>
        <v>0</v>
      </c>
      <c r="BD537">
        <f>COUNTIF(AM537:AR537,"&lt;&gt;0")</f>
        <v>0</v>
      </c>
      <c r="BE537" t="str">
        <f t="array" ref="BE537">IF(AY537=1,INDEX($V$7:$AL$7,MATCH(TRUE,INDEX($V537:$AW537&lt;&gt;0,),0)),IF(AY537=0,INDEX($AM$7:$AW$7,MATCH(1,$AM537:$AW537,0)),IF(BF537="Multiple strategies","mixed drivers",IF(BF537="Supply chain","multiple supply","multiple silviculture"))))</f>
        <v>multiple silviculture</v>
      </c>
      <c r="BF537" s="2" t="str" cm="1">
        <f t="array" ref="BF537">IF(COUNTIF(AZ537:BB537,"&lt;&gt;0")=1,INDEX($V$4:$AW$4,MATCH(TRUE,INDEX($V537:$AW537&lt;&gt;0,),0)),IF(COUNTIF(AZ537:BB537,"&lt;&gt;0")=0,INDEX($AM$4:$AW$4,MATCH(1,$AM537:$AW537,0)),"Multiple strategies"))</f>
        <v>SilvicultureRemov</v>
      </c>
      <c r="BG537" s="1" t="s">
        <v>322</v>
      </c>
      <c r="BH537" t="s">
        <v>2455</v>
      </c>
      <c r="BI537" s="266" t="s">
        <v>3254</v>
      </c>
      <c r="BJ537" t="s">
        <v>1325</v>
      </c>
      <c r="BK537">
        <v>120</v>
      </c>
      <c r="BL537">
        <v>202.5</v>
      </c>
      <c r="BM537" s="143">
        <f>BL537/BK537</f>
        <v>1.6875</v>
      </c>
      <c r="BN537">
        <f>BL537-BK537</f>
        <v>82.5</v>
      </c>
      <c r="BO537">
        <f>BN537*10^6</f>
        <v>82500000</v>
      </c>
      <c r="BP537" t="s">
        <v>233</v>
      </c>
      <c r="BQ537" s="153" t="s">
        <v>3255</v>
      </c>
      <c r="BR537" t="s">
        <v>2327</v>
      </c>
      <c r="BS537">
        <v>370.31517322497803</v>
      </c>
      <c r="BT537">
        <v>319.65087681779301</v>
      </c>
      <c r="BU537" s="144">
        <f>IFERROR(BT537/BS537,"")</f>
        <v>0.86318600999801631</v>
      </c>
      <c r="BV537" s="144">
        <f>BT537-BS537</f>
        <v>-50.66429640718502</v>
      </c>
      <c r="BW537" s="144"/>
      <c r="BX537">
        <f>BV537*10^6</f>
        <v>-50664296.407185018</v>
      </c>
      <c r="BY537">
        <f>IFERROR(BX537/BO537,"")</f>
        <v>-0.61411268372345473</v>
      </c>
      <c r="BZ537">
        <v>0</v>
      </c>
      <c r="CA537">
        <v>0</v>
      </c>
      <c r="CB537">
        <v>0</v>
      </c>
      <c r="CC537">
        <v>0</v>
      </c>
      <c r="CD537">
        <v>0</v>
      </c>
      <c r="CE537">
        <v>0</v>
      </c>
      <c r="CF537">
        <v>0</v>
      </c>
      <c r="CG537">
        <v>0</v>
      </c>
      <c r="CH537">
        <v>0</v>
      </c>
      <c r="CI537">
        <v>0</v>
      </c>
      <c r="CJ537">
        <v>0</v>
      </c>
      <c r="CK537">
        <v>0</v>
      </c>
      <c r="CL537">
        <v>0</v>
      </c>
      <c r="CM537">
        <v>1</v>
      </c>
      <c r="CN537" t="str">
        <f>IF($BL537&lt;$BK537,"refNeedCorrection","refOK")</f>
        <v>refOK</v>
      </c>
      <c r="CO537">
        <f>IF($CN537="refOK",$BK537,$BL537)</f>
        <v>120</v>
      </c>
      <c r="CP537">
        <f>IF($CN537="refOK",$BL537,$BK537)</f>
        <v>202.5</v>
      </c>
      <c r="CQ537">
        <f>IF($CN537="refOK",$BO537,-$BO537)</f>
        <v>82500000</v>
      </c>
      <c r="CR537">
        <f>IF($CN537="refOK",$BS537,$BT537)*IF($BP537="Emissions positive",-1,1)</f>
        <v>370.31517322497803</v>
      </c>
      <c r="CS537">
        <f>IF($CN537="refOK",$BT537,$BS537)*IF($BP537="Emissions positive",-1,1)</f>
        <v>319.65087681779301</v>
      </c>
      <c r="CT537">
        <f>IF($CN537="refNeedCorrection",-BX537,BX537)*IF($BP537="Emissions positive",-1,1)</f>
        <v>-50664296.407185018</v>
      </c>
      <c r="CU537">
        <f>IFERROR(CT537/CQ537,"")</f>
        <v>-0.61411268372345473</v>
      </c>
      <c r="CV537" s="2">
        <f>IFERROR((CS537-CR537)/ABS(CR537),"")</f>
        <v>-0.13681399000198374</v>
      </c>
      <c r="CW537" s="1" t="s">
        <v>1205</v>
      </c>
      <c r="CX537" t="str">
        <f>IF(OR($CW537="prd",$CW537="std",$CW537="cit"),"loc",IF(OR($CW537="eur",$CW537="reg",$CW537="coy"),"reg",$CW537))</f>
        <v>reg</v>
      </c>
      <c r="CY537" t="s">
        <v>641</v>
      </c>
      <c r="CZ537">
        <v>2000</v>
      </c>
      <c r="DA537">
        <v>2030</v>
      </c>
      <c r="DB537">
        <f>DA537-CZ537</f>
        <v>30</v>
      </c>
      <c r="DC537" t="str">
        <f>IF(DB537=0,"0",IF(AND(DB537&gt;=1,DB537&lt;=30),"1-30",IF(AND(DB537&gt;30,DB537&lt;=70),"31-70",IF(AND(DB537&gt;70,DB537&lt;=100),"71-100",IF(DB537&gt;100,"+100")))))</f>
        <v>1-30</v>
      </c>
      <c r="DD537">
        <v>1</v>
      </c>
      <c r="DE537">
        <v>1</v>
      </c>
      <c r="DF537">
        <v>1</v>
      </c>
      <c r="DG537">
        <v>1</v>
      </c>
      <c r="DH537">
        <v>0</v>
      </c>
      <c r="DI537">
        <f>SUM(DD537:DG537)</f>
        <v>4</v>
      </c>
      <c r="DJ537" t="str">
        <f>IF(DI537=1,INDEX($DD$7:$DG$7,MATCH(1,$DD537:$DG537,0)),"mixedProduct")</f>
        <v>mixedProduct</v>
      </c>
      <c r="DK537" t="str">
        <f>IF(DD537=1,DK$7,0)</f>
        <v>Upstream</v>
      </c>
      <c r="DL537" t="str">
        <f>IF(DE537=1,DL$7,0)</f>
        <v>Energy</v>
      </c>
      <c r="DM537" t="str">
        <f>IF(DF537=1,DM$7,0)</f>
        <v>Pulp/Paper</v>
      </c>
      <c r="DN537" t="str">
        <f>IF(DG537=1,DN$7,0)</f>
        <v>Timber</v>
      </c>
      <c r="DO537">
        <v>0</v>
      </c>
      <c r="DP537">
        <v>1</v>
      </c>
      <c r="DQ537" t="s">
        <v>2485</v>
      </c>
      <c r="DR537" t="s">
        <v>2486</v>
      </c>
      <c r="DT537">
        <f>SUM(DO537:DP537)</f>
        <v>1</v>
      </c>
      <c r="DU537" s="143" t="str">
        <f>IF(DO537=1,"self-calculated DF",IF(DP537=1,"external DF used","explicit C balance"))</f>
        <v>external DF used</v>
      </c>
      <c r="DV537">
        <v>1</v>
      </c>
      <c r="DW537">
        <v>1</v>
      </c>
      <c r="DX537">
        <v>1</v>
      </c>
      <c r="DY537">
        <v>1</v>
      </c>
      <c r="DZ537">
        <v>1</v>
      </c>
      <c r="EA537" s="143">
        <v>1</v>
      </c>
      <c r="EB537">
        <v>1</v>
      </c>
      <c r="EC537">
        <v>1</v>
      </c>
      <c r="ED537">
        <v>0</v>
      </c>
      <c r="EE537">
        <v>0</v>
      </c>
      <c r="EF537">
        <v>1</v>
      </c>
      <c r="EG537">
        <v>0</v>
      </c>
      <c r="EH537">
        <v>0</v>
      </c>
      <c r="EI537" s="2">
        <v>0</v>
      </c>
      <c r="EK537" t="str">
        <f>IF(AND(AND(AND(OR($DX537=1,$DW537=1),OR($EC537=1,$EA537=1)),SUM($DV537:$DZ537,$EF537)&gt;=4),SUM($EA537:$EE537)&gt;=2),"Whole sector","")</f>
        <v>Whole sector</v>
      </c>
      <c r="EL537" t="str">
        <f>IF(AND(AND(OR($DX537=1,$DW537=1),AND($EC537=0,$EA537=0)),SUM($DV537:$DZ537,$EF537)&gt;=4),"Ecosystem approach","")</f>
        <v/>
      </c>
      <c r="EM537" s="2" t="str">
        <f>IF(AND(AND(AND($DX537=0,$DW537=0),OR($EC537=1,$EA537=1)),SUM($EB537:$EE537)&gt;=2),"Technology approach","")</f>
        <v/>
      </c>
      <c r="EN537" t="s">
        <v>2487</v>
      </c>
      <c r="EP537" t="str">
        <f>IF(ISNUMBER(BU537),IF(ABS(BU537-[2]QC_indicators!$B$2)&gt;3*[2]QC_indicators!$C$2,"C ratio",IF(ISNUMBER(BY537),IF(ABS(BY537-[2]QC_indicators!$B$1)&gt;3*[2]QC_indicators!$C$1,"DF","no"))),IF(ISNUMBER(BY537),IF(ABS(BY537-[2]QC_indicators!$B$1)&gt;3*[2]QC_indicators!$C$1,"DF","no")))</f>
        <v>no</v>
      </c>
      <c r="ET537" s="266" t="s">
        <v>3256</v>
      </c>
    </row>
    <row r="538" spans="1:150" ht="15" hidden="1" customHeight="1">
      <c r="A538" s="1" t="s">
        <v>1810</v>
      </c>
      <c r="B538" t="s">
        <v>2477</v>
      </c>
      <c r="C538" t="s">
        <v>2478</v>
      </c>
      <c r="D538" t="s">
        <v>2479</v>
      </c>
      <c r="E538" t="s">
        <v>2480</v>
      </c>
      <c r="F538" t="s">
        <v>2481</v>
      </c>
      <c r="G538" t="s">
        <v>1816</v>
      </c>
      <c r="H538" t="s">
        <v>255</v>
      </c>
      <c r="I538">
        <v>2010</v>
      </c>
      <c r="J538">
        <v>100</v>
      </c>
      <c r="K538" t="s">
        <v>2482</v>
      </c>
      <c r="M538" t="str">
        <f>LEFT($D538,FIND(",",$D538)-1)&amp;"_"&amp;I538&amp;L538</f>
        <v>Werner_2010</v>
      </c>
      <c r="N538" t="s">
        <v>223</v>
      </c>
      <c r="O538" s="145" t="s">
        <v>1156</v>
      </c>
      <c r="Q538" t="s">
        <v>257</v>
      </c>
      <c r="R538" s="264" t="s">
        <v>224</v>
      </c>
      <c r="S538" s="265" t="s">
        <v>3257</v>
      </c>
      <c r="T538" t="s">
        <v>2484</v>
      </c>
      <c r="U538" t="s">
        <v>2489</v>
      </c>
      <c r="V538">
        <v>2</v>
      </c>
      <c r="W538">
        <v>0</v>
      </c>
      <c r="X538">
        <v>1</v>
      </c>
      <c r="Y538">
        <v>2</v>
      </c>
      <c r="Z538">
        <v>0</v>
      </c>
      <c r="AA538">
        <v>0</v>
      </c>
      <c r="AB538">
        <v>0</v>
      </c>
      <c r="AC538">
        <v>0</v>
      </c>
      <c r="AD538">
        <v>0</v>
      </c>
      <c r="AE538">
        <v>0</v>
      </c>
      <c r="AF538">
        <v>0</v>
      </c>
      <c r="AG538">
        <v>0</v>
      </c>
      <c r="AH538">
        <v>0</v>
      </c>
      <c r="AI538">
        <v>0</v>
      </c>
      <c r="AJ538">
        <v>0</v>
      </c>
      <c r="AK538">
        <v>0</v>
      </c>
      <c r="AL538">
        <v>0</v>
      </c>
      <c r="AM538">
        <v>0</v>
      </c>
      <c r="AN538">
        <v>0</v>
      </c>
      <c r="AO538">
        <v>0</v>
      </c>
      <c r="AP538">
        <v>0</v>
      </c>
      <c r="AQ538">
        <v>0</v>
      </c>
      <c r="AR538">
        <v>0</v>
      </c>
      <c r="AS538">
        <v>0</v>
      </c>
      <c r="AT538">
        <v>0</v>
      </c>
      <c r="AU538">
        <v>0</v>
      </c>
      <c r="AV538">
        <v>0</v>
      </c>
      <c r="AW538">
        <v>0</v>
      </c>
      <c r="AX538" s="141">
        <f>COUNTIF(V538:AW538,"&lt;&gt;0")</f>
        <v>3</v>
      </c>
      <c r="AY538" s="141">
        <f>COUNTIF(V538:AL538,"&lt;&gt;0")</f>
        <v>3</v>
      </c>
      <c r="AZ538">
        <f>COUNTIF(V538:AC538,"&lt;&gt;0")</f>
        <v>3</v>
      </c>
      <c r="BA538">
        <f>COUNTIF(AD538:AI538,"&lt;&gt;0")</f>
        <v>0</v>
      </c>
      <c r="BB538">
        <f>COUNTIF(AJ538:AL538,"&lt;&gt;0")</f>
        <v>0</v>
      </c>
      <c r="BC538">
        <f>COUNTIF(AS538:AW538,"&lt;&gt;0")</f>
        <v>0</v>
      </c>
      <c r="BD538">
        <f>COUNTIF(AM538:AR538,"&lt;&gt;0")</f>
        <v>0</v>
      </c>
      <c r="BE538" t="str">
        <f t="array" ref="BE538">IF(AY538=1,INDEX($V$7:$AL$7,MATCH(TRUE,INDEX($V538:$AW538&lt;&gt;0,),0)),IF(AY538=0,INDEX($AM$7:$AW$7,MATCH(1,$AM538:$AW538,0)),IF(BF538="Multiple strategies","mixed drivers",IF(BF538="Supply chain","multiple supply","multiple silviculture"))))</f>
        <v>multiple silviculture</v>
      </c>
      <c r="BF538" s="2" t="str" cm="1">
        <f t="array" ref="BF538">IF(COUNTIF(AZ538:BB538,"&lt;&gt;0")=1,INDEX($V$4:$AW$4,MATCH(TRUE,INDEX($V538:$AW538&lt;&gt;0,),0)),IF(COUNTIF(AZ538:BB538,"&lt;&gt;0")=0,INDEX($AM$4:$AW$4,MATCH(1,$AM538:$AW538,0)),"Multiple strategies"))</f>
        <v>SilvicultureRemov</v>
      </c>
      <c r="BG538" s="1" t="s">
        <v>322</v>
      </c>
      <c r="BH538" t="s">
        <v>2455</v>
      </c>
      <c r="BI538" s="266" t="s">
        <v>3254</v>
      </c>
      <c r="BJ538" t="s">
        <v>1325</v>
      </c>
      <c r="BK538">
        <v>120</v>
      </c>
      <c r="BL538">
        <v>213</v>
      </c>
      <c r="BM538" s="143">
        <f>BL538/BK538</f>
        <v>1.7749999999999999</v>
      </c>
      <c r="BN538">
        <f>BL538-BK538</f>
        <v>93</v>
      </c>
      <c r="BO538">
        <f>BN538*10^6</f>
        <v>93000000</v>
      </c>
      <c r="BP538" t="s">
        <v>233</v>
      </c>
      <c r="BQ538" s="153" t="s">
        <v>3255</v>
      </c>
      <c r="BR538" t="s">
        <v>2327</v>
      </c>
      <c r="BS538">
        <v>370.31517322497803</v>
      </c>
      <c r="BT538">
        <v>329.01578554855797</v>
      </c>
      <c r="BU538" s="144">
        <f>IFERROR(BT538/BS538,"")</f>
        <v>0.8884750324520746</v>
      </c>
      <c r="BV538" s="144">
        <f>BT538-BS538</f>
        <v>-41.299387676420054</v>
      </c>
      <c r="BW538" s="144"/>
      <c r="BX538">
        <f>BV538*10^6</f>
        <v>-41299387.676420055</v>
      </c>
      <c r="BY538">
        <f>IFERROR(BX538/BO538,"")</f>
        <v>-0.44407943738086081</v>
      </c>
      <c r="BZ538">
        <v>0</v>
      </c>
      <c r="CA538">
        <v>0</v>
      </c>
      <c r="CB538">
        <v>0</v>
      </c>
      <c r="CC538">
        <v>0</v>
      </c>
      <c r="CD538">
        <v>0</v>
      </c>
      <c r="CE538">
        <v>0</v>
      </c>
      <c r="CF538">
        <v>0</v>
      </c>
      <c r="CG538">
        <v>0</v>
      </c>
      <c r="CH538">
        <v>0</v>
      </c>
      <c r="CI538">
        <v>0</v>
      </c>
      <c r="CJ538">
        <v>0</v>
      </c>
      <c r="CK538">
        <v>0</v>
      </c>
      <c r="CL538">
        <v>0</v>
      </c>
      <c r="CM538">
        <v>1</v>
      </c>
      <c r="CN538" t="str">
        <f>IF($BL538&lt;$BK538,"refNeedCorrection","refOK")</f>
        <v>refOK</v>
      </c>
      <c r="CO538">
        <f>IF($CN538="refOK",$BK538,$BL538)</f>
        <v>120</v>
      </c>
      <c r="CP538">
        <f>IF($CN538="refOK",$BL538,$BK538)</f>
        <v>213</v>
      </c>
      <c r="CQ538">
        <f>IF($CN538="refOK",$BO538,-$BO538)</f>
        <v>93000000</v>
      </c>
      <c r="CR538">
        <f>IF($CN538="refOK",$BS538,$BT538)*IF($BP538="Emissions positive",-1,1)</f>
        <v>370.31517322497803</v>
      </c>
      <c r="CS538">
        <f>IF($CN538="refOK",$BT538,$BS538)*IF($BP538="Emissions positive",-1,1)</f>
        <v>329.01578554855797</v>
      </c>
      <c r="CT538">
        <f>IF($CN538="refNeedCorrection",-BX538,BX538)*IF($BP538="Emissions positive",-1,1)</f>
        <v>-41299387.676420055</v>
      </c>
      <c r="CU538">
        <f>IFERROR(CT538/CQ538,"")</f>
        <v>-0.44407943738086081</v>
      </c>
      <c r="CV538" s="2">
        <f>IFERROR((CS538-CR538)/ABS(CR538),"")</f>
        <v>-0.11152496754792542</v>
      </c>
      <c r="CW538" s="1" t="s">
        <v>1205</v>
      </c>
      <c r="CX538" t="str">
        <f>IF(OR($CW538="prd",$CW538="std",$CW538="cit"),"loc",IF(OR($CW538="eur",$CW538="reg",$CW538="coy"),"reg",$CW538))</f>
        <v>reg</v>
      </c>
      <c r="CY538" t="s">
        <v>641</v>
      </c>
      <c r="CZ538">
        <v>2000</v>
      </c>
      <c r="DA538">
        <v>2030</v>
      </c>
      <c r="DB538">
        <f>DA538-CZ538</f>
        <v>30</v>
      </c>
      <c r="DC538" t="str">
        <f>IF(DB538=0,"0",IF(AND(DB538&gt;=1,DB538&lt;=30),"1-30",IF(AND(DB538&gt;30,DB538&lt;=70),"31-70",IF(AND(DB538&gt;70,DB538&lt;=100),"71-100",IF(DB538&gt;100,"+100")))))</f>
        <v>1-30</v>
      </c>
      <c r="DD538">
        <v>0</v>
      </c>
      <c r="DE538">
        <v>0</v>
      </c>
      <c r="DF538">
        <v>0</v>
      </c>
      <c r="DG538">
        <v>1</v>
      </c>
      <c r="DH538">
        <v>0</v>
      </c>
      <c r="DI538">
        <f>SUM(DD538:DG538)</f>
        <v>1</v>
      </c>
      <c r="DJ538" t="str">
        <f>IF(DI538=1,INDEX($DD$7:$DG$7,MATCH(1,$DD538:$DG538,0)),"mixedProduct")</f>
        <v>TimberInput</v>
      </c>
      <c r="DK538">
        <f>IF(DD538=1,DK$7,0)</f>
        <v>0</v>
      </c>
      <c r="DL538">
        <f>IF(DE538=1,DL$7,0)</f>
        <v>0</v>
      </c>
      <c r="DM538">
        <f>IF(DF538=1,DM$7,0)</f>
        <v>0</v>
      </c>
      <c r="DN538" t="str">
        <f>IF(DG538=1,DN$7,0)</f>
        <v>Timber</v>
      </c>
      <c r="DO538">
        <v>0</v>
      </c>
      <c r="DP538">
        <v>1</v>
      </c>
      <c r="DQ538" t="s">
        <v>2485</v>
      </c>
      <c r="DR538" t="s">
        <v>2486</v>
      </c>
      <c r="DT538">
        <f>SUM(DO538:DP538)</f>
        <v>1</v>
      </c>
      <c r="DU538" s="143" t="str">
        <f>IF(DO538=1,"self-calculated DF",IF(DP538=1,"external DF used","explicit C balance"))</f>
        <v>external DF used</v>
      </c>
      <c r="DV538">
        <v>1</v>
      </c>
      <c r="DW538">
        <v>1</v>
      </c>
      <c r="DX538">
        <v>1</v>
      </c>
      <c r="DY538">
        <v>1</v>
      </c>
      <c r="DZ538">
        <v>1</v>
      </c>
      <c r="EA538" s="143">
        <v>1</v>
      </c>
      <c r="EB538">
        <v>1</v>
      </c>
      <c r="EC538">
        <v>1</v>
      </c>
      <c r="ED538">
        <v>0</v>
      </c>
      <c r="EE538">
        <v>0</v>
      </c>
      <c r="EF538">
        <v>1</v>
      </c>
      <c r="EG538">
        <v>0</v>
      </c>
      <c r="EH538">
        <v>0</v>
      </c>
      <c r="EI538" s="2">
        <v>0</v>
      </c>
      <c r="EK538" t="str">
        <f>IF(AND(AND(AND(OR($DX538=1,$DW538=1),OR($EC538=1,$EA538=1)),SUM($DV538:$DZ538,$EF538)&gt;=4),SUM($EA538:$EE538)&gt;=2),"Whole sector","")</f>
        <v>Whole sector</v>
      </c>
      <c r="EL538" t="str">
        <f>IF(AND(AND(OR($DX538=1,$DW538=1),AND($EC538=0,$EA538=0)),SUM($DV538:$DZ538,$EF538)&gt;=4),"Ecosystem approach","")</f>
        <v/>
      </c>
      <c r="EM538" s="2" t="str">
        <f>IF(AND(AND(AND($DX538=0,$DW538=0),OR($EC538=1,$EA538=1)),SUM($EB538:$EE538)&gt;=2),"Technology approach","")</f>
        <v/>
      </c>
      <c r="EN538" t="s">
        <v>2487</v>
      </c>
      <c r="EP538" t="str">
        <f>IF(ISNUMBER(BU538),IF(ABS(BU538-[2]QC_indicators!$B$2)&gt;3*[2]QC_indicators!$C$2,"C ratio",IF(ISNUMBER(BY538),IF(ABS(BY538-[2]QC_indicators!$B$1)&gt;3*[2]QC_indicators!$C$1,"DF","no"))),IF(ISNUMBER(BY538),IF(ABS(BY538-[2]QC_indicators!$B$1)&gt;3*[2]QC_indicators!$C$1,"DF","no")))</f>
        <v>no</v>
      </c>
      <c r="ET538" s="266" t="s">
        <v>3256</v>
      </c>
    </row>
    <row r="539" spans="1:150" ht="15" customHeight="1">
      <c r="A539" s="1" t="s">
        <v>487</v>
      </c>
      <c r="B539" t="s">
        <v>488</v>
      </c>
      <c r="C539" t="s">
        <v>489</v>
      </c>
      <c r="D539" t="s">
        <v>490</v>
      </c>
      <c r="E539" t="s">
        <v>491</v>
      </c>
      <c r="F539" t="s">
        <v>492</v>
      </c>
      <c r="G539" t="s">
        <v>493</v>
      </c>
      <c r="H539" t="s">
        <v>255</v>
      </c>
      <c r="I539">
        <v>2019</v>
      </c>
      <c r="J539">
        <v>3</v>
      </c>
      <c r="K539" t="s">
        <v>494</v>
      </c>
      <c r="M539" t="str">
        <f>LEFT($D539,FIND(",",$D539)-1)&amp;"_"&amp;I539&amp;L539</f>
        <v>Butarbutar_2019</v>
      </c>
      <c r="N539" t="s">
        <v>223</v>
      </c>
      <c r="O539" s="145" t="s">
        <v>224</v>
      </c>
      <c r="Q539" s="266" t="s">
        <v>257</v>
      </c>
      <c r="R539" s="271" t="s">
        <v>1156</v>
      </c>
      <c r="S539" s="1" t="s">
        <v>495</v>
      </c>
      <c r="T539" t="s">
        <v>496</v>
      </c>
      <c r="U539" t="s">
        <v>227</v>
      </c>
      <c r="V539">
        <v>0</v>
      </c>
      <c r="W539">
        <v>0</v>
      </c>
      <c r="X539">
        <v>0</v>
      </c>
      <c r="Y539">
        <v>1</v>
      </c>
      <c r="Z539">
        <v>0</v>
      </c>
      <c r="AA539">
        <v>0</v>
      </c>
      <c r="AB539">
        <v>0</v>
      </c>
      <c r="AC539">
        <v>0</v>
      </c>
      <c r="AD539">
        <v>0</v>
      </c>
      <c r="AE539">
        <v>0</v>
      </c>
      <c r="AF539">
        <v>0</v>
      </c>
      <c r="AG539">
        <v>0</v>
      </c>
      <c r="AH539">
        <v>0</v>
      </c>
      <c r="AI539">
        <v>0</v>
      </c>
      <c r="AJ539">
        <v>0</v>
      </c>
      <c r="AK539">
        <v>0</v>
      </c>
      <c r="AL539">
        <v>0</v>
      </c>
      <c r="AM539">
        <v>0</v>
      </c>
      <c r="AN539">
        <v>0</v>
      </c>
      <c r="AO539">
        <v>0</v>
      </c>
      <c r="AP539">
        <v>0</v>
      </c>
      <c r="AQ539">
        <v>0</v>
      </c>
      <c r="AR539">
        <v>0</v>
      </c>
      <c r="AS539">
        <v>0</v>
      </c>
      <c r="AT539">
        <v>0</v>
      </c>
      <c r="AU539">
        <v>0</v>
      </c>
      <c r="AV539">
        <v>0</v>
      </c>
      <c r="AW539">
        <v>0</v>
      </c>
      <c r="AX539" s="141">
        <f>COUNTIF(V539:AW539,"&lt;&gt;0")</f>
        <v>1</v>
      </c>
      <c r="AY539" s="141">
        <f>COUNTIF(V539:AL539,"&lt;&gt;0")</f>
        <v>1</v>
      </c>
      <c r="AZ539">
        <f>COUNTIF(V539:AC539,"&lt;&gt;0")</f>
        <v>1</v>
      </c>
      <c r="BA539">
        <f>COUNTIF(AD539:AI539,"&lt;&gt;0")</f>
        <v>0</v>
      </c>
      <c r="BB539">
        <f>COUNTIF(AJ539:AL539,"&lt;&gt;0")</f>
        <v>0</v>
      </c>
      <c r="BC539">
        <f>COUNTIF(AS539:AW539,"&lt;&gt;0")</f>
        <v>0</v>
      </c>
      <c r="BD539">
        <f>COUNTIF(AM539:AR539,"&lt;&gt;0")</f>
        <v>0</v>
      </c>
      <c r="BE539" t="str" cm="1">
        <f t="array" ref="BE539">IF(AY539=1,INDEX($V$7:$AL$7,MATCH(TRUE,INDEX($V539:$AW539&lt;&gt;0,),0)),IF(AY539=0,INDEX($AM$7:$AW$7,MATCH(1,$AM539:$AW539,0)),IF(BF539="Multiple strategies","mixed drivers",IF(BF539="Supply chain","multiple supply","multiple silviculture"))))</f>
        <v xml:space="preserve">cutting intensity </v>
      </c>
      <c r="BF539" s="2" t="str" cm="1">
        <f t="array" ref="BF539">IF(COUNTIF(AZ539:BB539,"&lt;&gt;0")=1,INDEX($V$4:$AW$4,MATCH(TRUE,INDEX($V539:$AW539&lt;&gt;0,),0)),IF(COUNTIF(AZ539:BB539,"&lt;&gt;0")=0,INDEX($AM$4:$AW$4,MATCH(1,$AM539:$AW539,0)),"Multiple strategies"))</f>
        <v>SilvicultureRemov</v>
      </c>
      <c r="BG539" s="1" t="s">
        <v>322</v>
      </c>
      <c r="BH539" t="s">
        <v>498</v>
      </c>
      <c r="BJ539" t="s">
        <v>499</v>
      </c>
      <c r="BK539">
        <v>165.50800000000001</v>
      </c>
      <c r="BL539">
        <v>165.50800000000001</v>
      </c>
      <c r="BN539">
        <f>BL539-BK539</f>
        <v>0</v>
      </c>
      <c r="BO539">
        <f>BL539-BK539</f>
        <v>0</v>
      </c>
      <c r="BP539" s="266" t="s">
        <v>233</v>
      </c>
      <c r="BQ539" s="266"/>
      <c r="BR539" t="s">
        <v>279</v>
      </c>
      <c r="BS539">
        <v>-45.97</v>
      </c>
      <c r="BT539">
        <v>-45.85</v>
      </c>
      <c r="BU539" s="144">
        <v>0.99738960191429193</v>
      </c>
      <c r="BV539">
        <v>0.11999999999999744</v>
      </c>
      <c r="BX539">
        <f>BV539*C_to_CO2</f>
        <v>0.44039999999999058</v>
      </c>
      <c r="BY539" t="str">
        <f>IFERROR(BX539/BO539,"")</f>
        <v/>
      </c>
      <c r="BZ539" s="143">
        <v>0</v>
      </c>
      <c r="CA539" s="143">
        <v>0</v>
      </c>
      <c r="CB539" s="143">
        <v>0</v>
      </c>
      <c r="CC539" s="143">
        <v>0</v>
      </c>
      <c r="CD539" s="143">
        <v>0</v>
      </c>
      <c r="CE539" s="143">
        <v>0</v>
      </c>
      <c r="CF539" s="143">
        <v>0</v>
      </c>
      <c r="CG539" s="143">
        <v>0</v>
      </c>
      <c r="CH539" s="143">
        <v>0</v>
      </c>
      <c r="CI539" s="143">
        <v>0</v>
      </c>
      <c r="CJ539" s="143">
        <v>0</v>
      </c>
      <c r="CK539" s="143">
        <v>0</v>
      </c>
      <c r="CL539" s="143">
        <v>0</v>
      </c>
      <c r="CM539">
        <v>0</v>
      </c>
      <c r="CN539" t="str">
        <f>IF($BL539&lt;$BK539,"refNeedCorrection","refOK")</f>
        <v>refOK</v>
      </c>
      <c r="CO539">
        <f>IF($CN539="refOK",$BK539,$BL539)</f>
        <v>165.50800000000001</v>
      </c>
      <c r="CP539">
        <f>IF($CN539="refOK",$BL539,$BK539)</f>
        <v>165.50800000000001</v>
      </c>
      <c r="CQ539">
        <f>IF($CN539="refOK",$BO539,-$BO539)</f>
        <v>0</v>
      </c>
      <c r="CR539">
        <f>IF($CN539="refOK",$BS539,$BT539)*IF($BP539="Emissions positive",-1,1)</f>
        <v>-45.97</v>
      </c>
      <c r="CS539">
        <f>IF($CN539="refOK",$BT539,$BS539)*IF($BP539="Emissions positive",-1,1)</f>
        <v>-45.85</v>
      </c>
      <c r="CT539">
        <f>IF($CN539="refNeedCorrection",-BX539,BX539)*IF($BP539="Emissions positive",-1,1)</f>
        <v>0.44039999999999058</v>
      </c>
      <c r="CU539" t="str">
        <f>IFERROR(CT539/CQ539,"")</f>
        <v/>
      </c>
      <c r="CV539" s="2">
        <f>IFERROR((CS539-CR539)/ABS(CR539),"")</f>
        <v>2.6103980857080148E-3</v>
      </c>
      <c r="CW539" s="1" t="s">
        <v>235</v>
      </c>
      <c r="CX539" s="266" t="str">
        <f>IF(OR($CW539="prd",$CW539="std",$CW539="cit"),"loc",IF(OR($CW539="eur",$CW539="reg",$CW539="coy"),"reg",$CW539))</f>
        <v>loc</v>
      </c>
      <c r="CY539" t="s">
        <v>281</v>
      </c>
      <c r="CZ539">
        <v>1985</v>
      </c>
      <c r="DA539">
        <v>2016</v>
      </c>
      <c r="DB539">
        <f>DA539-CZ539</f>
        <v>31</v>
      </c>
      <c r="DC539" t="str">
        <f>IF(DB539=0,"0",IF(AND(DB539&gt;=1,DB539&lt;=30),"1-30",IF(AND(DB539&gt;30,DB539&lt;=70),"31-70",IF(AND(DB539&gt;70,DB539&lt;=100),"71-100",IF(DB539&gt;100,"+100")))))</f>
        <v>31-70</v>
      </c>
      <c r="DD539">
        <v>1</v>
      </c>
      <c r="DE539">
        <v>0</v>
      </c>
      <c r="DF539">
        <v>0</v>
      </c>
      <c r="DG539">
        <v>0</v>
      </c>
      <c r="DI539">
        <f>SUM(DD539:DG539)</f>
        <v>1</v>
      </c>
      <c r="DJ539" t="str">
        <f>IF(DI539=1,INDEX($DD$7:$DG$7,MATCH(1,$DD539:$DG539,0)),"mixedProduct")</f>
        <v>UpstreamInput</v>
      </c>
      <c r="DK539" t="str">
        <f>IF(DD539=1,DK$7,0)</f>
        <v>Upstream</v>
      </c>
      <c r="DL539">
        <f>IF(DE539=1,DL$7,0)</f>
        <v>0</v>
      </c>
      <c r="DM539">
        <f>IF(DF539=1,DM$7,0)</f>
        <v>0</v>
      </c>
      <c r="DN539">
        <f>IF(DG539=1,DN$7,0)</f>
        <v>0</v>
      </c>
      <c r="DO539">
        <v>0</v>
      </c>
      <c r="DP539" s="143">
        <v>0</v>
      </c>
      <c r="DQ539" s="143">
        <v>0</v>
      </c>
      <c r="DR539" s="143">
        <v>0</v>
      </c>
      <c r="DS539">
        <v>0</v>
      </c>
      <c r="DT539">
        <f>SUM(DO539:DP539)</f>
        <v>0</v>
      </c>
      <c r="DU539" s="143" t="str">
        <f>IF(DO539=1,"self-calculated DF",IF(DP539=1,"external DF used","explicit C balance"))</f>
        <v>explicit C balance</v>
      </c>
      <c r="DV539">
        <v>1</v>
      </c>
      <c r="DW539" s="143">
        <v>1</v>
      </c>
      <c r="DX539" s="143">
        <v>1</v>
      </c>
      <c r="DY539" s="143">
        <v>0</v>
      </c>
      <c r="DZ539">
        <v>0</v>
      </c>
      <c r="EA539" s="143">
        <v>0</v>
      </c>
      <c r="EB539">
        <v>0</v>
      </c>
      <c r="EC539" s="143">
        <v>0</v>
      </c>
      <c r="ED539" s="143">
        <v>0</v>
      </c>
      <c r="EE539">
        <v>0</v>
      </c>
      <c r="EF539">
        <v>1</v>
      </c>
      <c r="EG539" s="143">
        <v>0</v>
      </c>
      <c r="EH539" s="143">
        <v>0</v>
      </c>
      <c r="EI539" s="2">
        <v>0</v>
      </c>
      <c r="EK539" t="str">
        <f>IF(AND(AND(AND(OR($DX539=1,$DW539=1),OR($EC539=1,$EA539=1)),SUM($DV539:$DZ539,$EF539)&gt;=4),SUM($EA539:$EE539)&gt;=2),"Whole sector","")</f>
        <v/>
      </c>
      <c r="EL539" t="str">
        <f>IF(AND(AND(OR($DX539=1,$DW539=1),AND($EC539=0,$EA539=0)),SUM($DV539:$DZ539,$EF539)&gt;=4),"Ecosystem approach","")</f>
        <v>Ecosystem approach</v>
      </c>
      <c r="EM539" s="2" t="str">
        <f>IF(AND(AND(AND($DX539=0,$DW539=0),OR($EC539=1,$EA539=1)),SUM($EB539:$EE539)&gt;=2),"Technology approach","")</f>
        <v/>
      </c>
      <c r="EP539" t="b">
        <f>IF(ISNUMBER(BU539),IF(ABS(BU539-[1]QC_indicators!$B$2)&gt;3*[1]QC_indicators!$C$2,"C ratio",IF(ISNUMBER(BY539),IF(ABS(BY539-[1]QC_indicators!$B$1)&gt;3*[1]QC_indicators!$C$1,"DF","no"))),IF(ISNUMBER(BY539),IF(ABS(BY539-[1]QC_indicators!$B$1)&gt;3*[1]QC_indicators!$C$1,"DF","no")))</f>
        <v>0</v>
      </c>
      <c r="ER539" s="296" t="s">
        <v>350</v>
      </c>
      <c r="ET539" s="266" t="s">
        <v>3409</v>
      </c>
    </row>
    <row r="540" spans="1:150" ht="15" customHeight="1">
      <c r="A540" s="1" t="s">
        <v>487</v>
      </c>
      <c r="B540" t="s">
        <v>488</v>
      </c>
      <c r="C540" t="s">
        <v>489</v>
      </c>
      <c r="D540" t="s">
        <v>490</v>
      </c>
      <c r="E540" t="s">
        <v>491</v>
      </c>
      <c r="F540" t="s">
        <v>492</v>
      </c>
      <c r="G540" t="s">
        <v>493</v>
      </c>
      <c r="H540" t="s">
        <v>255</v>
      </c>
      <c r="I540">
        <v>2019</v>
      </c>
      <c r="J540">
        <v>3</v>
      </c>
      <c r="K540" t="s">
        <v>494</v>
      </c>
      <c r="M540" t="str">
        <f>LEFT($D540,FIND(",",$D540)-1)&amp;"_"&amp;I540&amp;L540</f>
        <v>Butarbutar_2019</v>
      </c>
      <c r="N540" t="s">
        <v>223</v>
      </c>
      <c r="O540" s="145" t="s">
        <v>224</v>
      </c>
      <c r="Q540" s="266" t="s">
        <v>257</v>
      </c>
      <c r="R540" s="271" t="s">
        <v>1156</v>
      </c>
      <c r="S540" s="1" t="s">
        <v>501</v>
      </c>
      <c r="T540" t="s">
        <v>502</v>
      </c>
      <c r="U540" t="s">
        <v>503</v>
      </c>
      <c r="V540">
        <v>0</v>
      </c>
      <c r="W540">
        <v>0</v>
      </c>
      <c r="X540">
        <v>0</v>
      </c>
      <c r="Y540">
        <v>0</v>
      </c>
      <c r="Z540">
        <v>0</v>
      </c>
      <c r="AA540">
        <v>0</v>
      </c>
      <c r="AB540">
        <v>0</v>
      </c>
      <c r="AC540">
        <v>1</v>
      </c>
      <c r="AD540">
        <v>0</v>
      </c>
      <c r="AE540">
        <v>0</v>
      </c>
      <c r="AF540">
        <v>0</v>
      </c>
      <c r="AG540">
        <v>0</v>
      </c>
      <c r="AH540">
        <v>0</v>
      </c>
      <c r="AI540">
        <v>0</v>
      </c>
      <c r="AJ540">
        <v>0</v>
      </c>
      <c r="AK540">
        <v>0</v>
      </c>
      <c r="AL540">
        <v>0</v>
      </c>
      <c r="AM540">
        <v>0</v>
      </c>
      <c r="AN540">
        <v>0</v>
      </c>
      <c r="AO540">
        <v>0</v>
      </c>
      <c r="AP540">
        <v>0</v>
      </c>
      <c r="AQ540">
        <v>0</v>
      </c>
      <c r="AR540">
        <v>0</v>
      </c>
      <c r="AS540">
        <v>0</v>
      </c>
      <c r="AT540">
        <v>0</v>
      </c>
      <c r="AU540">
        <v>0</v>
      </c>
      <c r="AV540">
        <v>0</v>
      </c>
      <c r="AW540">
        <v>0</v>
      </c>
      <c r="AX540" s="141">
        <f>COUNTIF(V540:AW540,"&lt;&gt;0")</f>
        <v>1</v>
      </c>
      <c r="AY540" s="141">
        <f>COUNTIF(V540:AL540,"&lt;&gt;0")</f>
        <v>1</v>
      </c>
      <c r="AZ540">
        <f>COUNTIF(V540:AC540,"&lt;&gt;0")</f>
        <v>1</v>
      </c>
      <c r="BA540">
        <f>COUNTIF(AD540:AI540,"&lt;&gt;0")</f>
        <v>0</v>
      </c>
      <c r="BB540">
        <f>COUNTIF(AJ540:AL540,"&lt;&gt;0")</f>
        <v>0</v>
      </c>
      <c r="BC540">
        <f>COUNTIF(AS540:AW540,"&lt;&gt;0")</f>
        <v>0</v>
      </c>
      <c r="BD540">
        <f>COUNTIF(AM540:AR540,"&lt;&gt;0")</f>
        <v>0</v>
      </c>
      <c r="BE540" t="str" cm="1">
        <f t="array" ref="BE540">IF(AY540=1,INDEX($V$7:$AL$7,MATCH(TRUE,INDEX($V540:$AW540&lt;&gt;0,),0)),IF(AY540=0,INDEX($AM$7:$AW$7,MATCH(1,$AM540:$AW540,0)),IF(BF540="Multiple strategies","mixed drivers",IF(BF540="Supply chain","multiple supply","multiple silviculture"))))</f>
        <v>site fertility</v>
      </c>
      <c r="BF540" s="2" t="str" cm="1">
        <f t="array" ref="BF540">IF(COUNTIF(AZ540:BB540,"&lt;&gt;0")=1,INDEX($V$4:$AW$4,MATCH(TRUE,INDEX($V540:$AW540&lt;&gt;0,),0)),IF(COUNTIF(AZ540:BB540,"&lt;&gt;0")=0,INDEX($AM$4:$AW$4,MATCH(1,$AM540:$AW540,0)),"Multiple strategies"))</f>
        <v>SilvicultureProd</v>
      </c>
      <c r="BG540" s="1" t="s">
        <v>322</v>
      </c>
      <c r="BH540" t="s">
        <v>498</v>
      </c>
      <c r="BJ540" t="s">
        <v>499</v>
      </c>
      <c r="BK540">
        <v>165.50800000000001</v>
      </c>
      <c r="BL540">
        <v>236.78800000000001</v>
      </c>
      <c r="BN540">
        <f>BL540-BK540</f>
        <v>71.28</v>
      </c>
      <c r="BO540">
        <f>BL540-BK540</f>
        <v>71.28</v>
      </c>
      <c r="BP540" s="266" t="s">
        <v>233</v>
      </c>
      <c r="BQ540" s="266"/>
      <c r="BR540" t="s">
        <v>279</v>
      </c>
      <c r="BS540">
        <v>-55.46</v>
      </c>
      <c r="BT540">
        <v>-65.53</v>
      </c>
      <c r="BU540" s="144">
        <v>1.1815723043635051</v>
      </c>
      <c r="BV540">
        <v>-10.07</v>
      </c>
      <c r="BX540">
        <f>BV540*C_to_CO2</f>
        <v>-36.956899999999997</v>
      </c>
      <c r="BY540">
        <f>IFERROR(BX540/BO540,"")</f>
        <v>-0.51847502805836132</v>
      </c>
      <c r="BZ540" s="143">
        <v>0</v>
      </c>
      <c r="CA540" s="143">
        <v>0</v>
      </c>
      <c r="CB540" s="143">
        <v>0</v>
      </c>
      <c r="CC540" s="143">
        <v>0</v>
      </c>
      <c r="CD540" s="143">
        <v>0</v>
      </c>
      <c r="CE540" s="143">
        <v>0</v>
      </c>
      <c r="CF540" s="143">
        <v>0</v>
      </c>
      <c r="CG540" s="143">
        <v>0</v>
      </c>
      <c r="CH540" s="143">
        <v>0</v>
      </c>
      <c r="CI540" s="143">
        <v>0</v>
      </c>
      <c r="CJ540" s="143">
        <v>0</v>
      </c>
      <c r="CK540" s="143">
        <v>0</v>
      </c>
      <c r="CL540" s="143">
        <v>0</v>
      </c>
      <c r="CM540">
        <v>0</v>
      </c>
      <c r="CN540" t="str">
        <f>IF($BL540&lt;$BK540,"refNeedCorrection","refOK")</f>
        <v>refOK</v>
      </c>
      <c r="CO540">
        <f>IF($CN540="refOK",$BK540,$BL540)</f>
        <v>165.50800000000001</v>
      </c>
      <c r="CP540">
        <f>IF($CN540="refOK",$BL540,$BK540)</f>
        <v>236.78800000000001</v>
      </c>
      <c r="CQ540">
        <f>IF($CN540="refOK",$BO540,-$BO540)</f>
        <v>71.28</v>
      </c>
      <c r="CR540">
        <f>IF($CN540="refOK",$BS540,$BT540)*IF($BP540="Emissions positive",-1,1)</f>
        <v>-55.46</v>
      </c>
      <c r="CS540">
        <f>IF($CN540="refOK",$BT540,$BS540)*IF($BP540="Emissions positive",-1,1)</f>
        <v>-65.53</v>
      </c>
      <c r="CT540">
        <f>IF($CN540="refNeedCorrection",-BX540,BX540)*IF($BP540="Emissions positive",-1,1)</f>
        <v>-36.956899999999997</v>
      </c>
      <c r="CU540">
        <f>IFERROR(CT540/CQ540,"")</f>
        <v>-0.51847502805836132</v>
      </c>
      <c r="CV540" s="2">
        <f>IFERROR((CS540-CR540)/ABS(CR540),"")</f>
        <v>-0.18157230436350524</v>
      </c>
      <c r="CW540" s="1" t="s">
        <v>235</v>
      </c>
      <c r="CX540" s="266" t="str">
        <f>IF(OR($CW540="prd",$CW540="std",$CW540="cit"),"loc",IF(OR($CW540="eur",$CW540="reg",$CW540="coy"),"reg",$CW540))</f>
        <v>loc</v>
      </c>
      <c r="CY540" t="s">
        <v>281</v>
      </c>
      <c r="CZ540">
        <v>1985</v>
      </c>
      <c r="DA540">
        <v>2016</v>
      </c>
      <c r="DB540">
        <f>DA540-CZ540</f>
        <v>31</v>
      </c>
      <c r="DC540" t="str">
        <f>IF(DB540=0,"0",IF(AND(DB540&gt;=1,DB540&lt;=30),"1-30",IF(AND(DB540&gt;30,DB540&lt;=70),"31-70",IF(AND(DB540&gt;70,DB540&lt;=100),"71-100",IF(DB540&gt;100,"+100")))))</f>
        <v>31-70</v>
      </c>
      <c r="DD540">
        <v>1</v>
      </c>
      <c r="DE540">
        <v>0</v>
      </c>
      <c r="DF540">
        <v>0</v>
      </c>
      <c r="DG540">
        <v>0</v>
      </c>
      <c r="DI540">
        <f>SUM(DD540:DG540)</f>
        <v>1</v>
      </c>
      <c r="DJ540" t="str">
        <f>IF(DI540=1,INDEX($DD$7:$DG$7,MATCH(1,$DD540:$DG540,0)),"mixedProduct")</f>
        <v>UpstreamInput</v>
      </c>
      <c r="DK540" t="str">
        <f>IF(DD540=1,DK$7,0)</f>
        <v>Upstream</v>
      </c>
      <c r="DL540">
        <f>IF(DE540=1,DL$7,0)</f>
        <v>0</v>
      </c>
      <c r="DM540">
        <f>IF(DF540=1,DM$7,0)</f>
        <v>0</v>
      </c>
      <c r="DN540">
        <f>IF(DG540=1,DN$7,0)</f>
        <v>0</v>
      </c>
      <c r="DO540">
        <v>0</v>
      </c>
      <c r="DP540" s="143">
        <v>0</v>
      </c>
      <c r="DQ540" s="143">
        <v>0</v>
      </c>
      <c r="DR540" s="143">
        <v>0</v>
      </c>
      <c r="DS540">
        <v>0</v>
      </c>
      <c r="DT540">
        <f>SUM(DO540:DP540)</f>
        <v>0</v>
      </c>
      <c r="DU540" s="143" t="str">
        <f>IF(DO540=1,"self-calculated DF",IF(DP540=1,"external DF used","explicit C balance"))</f>
        <v>explicit C balance</v>
      </c>
      <c r="DV540">
        <v>1</v>
      </c>
      <c r="DW540" s="143">
        <v>1</v>
      </c>
      <c r="DX540" s="143">
        <v>1</v>
      </c>
      <c r="DY540" s="143">
        <v>0</v>
      </c>
      <c r="DZ540">
        <v>0</v>
      </c>
      <c r="EA540" s="141">
        <v>0</v>
      </c>
      <c r="EB540">
        <v>0</v>
      </c>
      <c r="EC540" s="143">
        <v>0</v>
      </c>
      <c r="ED540" s="143">
        <v>0</v>
      </c>
      <c r="EE540">
        <v>0</v>
      </c>
      <c r="EF540">
        <v>1</v>
      </c>
      <c r="EG540" s="143">
        <v>0</v>
      </c>
      <c r="EH540" s="143">
        <v>0</v>
      </c>
      <c r="EI540" s="2">
        <v>0</v>
      </c>
      <c r="EJ540" s="321"/>
      <c r="EK540" t="str">
        <f>IF(AND(AND(AND(OR($DX540=1,$DW540=1),OR($EC540=1,$EA540=1)),SUM($DV540:$DZ540,$EF540)&gt;=4),SUM($EA540:$EE540)&gt;=2),"Whole sector","")</f>
        <v/>
      </c>
      <c r="EL540" t="str">
        <f>IF(AND(AND(OR($DX540=1,$DW540=1),AND($EC540=0,$EA540=0)),SUM($DV540:$DZ540,$EF540)&gt;=4),"Ecosystem approach","")</f>
        <v>Ecosystem approach</v>
      </c>
      <c r="EM540" s="2" t="str">
        <f>IF(AND(AND(AND($DX540=0,$DW540=0),OR($EC540=1,$EA540=1)),SUM($EB540:$EE540)&gt;=2),"Technology approach","")</f>
        <v/>
      </c>
      <c r="EP540" t="str">
        <f>IF(ISNUMBER(BU540),IF(ABS(BU540-[1]QC_indicators!$B$2)&gt;3*[1]QC_indicators!$C$2,"C ratio",IF(ISNUMBER(BY540),IF(ABS(BY540-[1]QC_indicators!$B$1)&gt;3*[1]QC_indicators!$C$1,"DF","no"))),IF(ISNUMBER(BY540),IF(ABS(BY540-[1]QC_indicators!$B$1)&gt;3*[1]QC_indicators!$C$1,"DF","no")))</f>
        <v>no</v>
      </c>
      <c r="ER540" s="296" t="s">
        <v>350</v>
      </c>
      <c r="ET540" s="266" t="s">
        <v>3409</v>
      </c>
    </row>
    <row r="541" spans="1:150" ht="15" customHeight="1">
      <c r="A541" s="1" t="s">
        <v>487</v>
      </c>
      <c r="B541" t="s">
        <v>488</v>
      </c>
      <c r="C541" t="s">
        <v>489</v>
      </c>
      <c r="D541" t="s">
        <v>490</v>
      </c>
      <c r="E541" t="s">
        <v>491</v>
      </c>
      <c r="F541" t="s">
        <v>492</v>
      </c>
      <c r="G541" t="s">
        <v>493</v>
      </c>
      <c r="H541" t="s">
        <v>255</v>
      </c>
      <c r="I541">
        <v>2019</v>
      </c>
      <c r="J541">
        <v>3</v>
      </c>
      <c r="K541" t="s">
        <v>494</v>
      </c>
      <c r="M541" t="str">
        <f>LEFT($D541,FIND(",",$D541)-1)&amp;"_"&amp;I541&amp;L541</f>
        <v>Butarbutar_2019</v>
      </c>
      <c r="N541" t="s">
        <v>223</v>
      </c>
      <c r="O541" s="145" t="s">
        <v>224</v>
      </c>
      <c r="Q541" s="266" t="s">
        <v>257</v>
      </c>
      <c r="R541" s="271" t="s">
        <v>1156</v>
      </c>
      <c r="S541" s="1" t="s">
        <v>501</v>
      </c>
      <c r="T541" t="s">
        <v>502</v>
      </c>
      <c r="U541" t="s">
        <v>504</v>
      </c>
      <c r="V541">
        <v>0</v>
      </c>
      <c r="W541">
        <v>0</v>
      </c>
      <c r="X541">
        <v>0</v>
      </c>
      <c r="Y541">
        <v>0</v>
      </c>
      <c r="Z541">
        <v>0</v>
      </c>
      <c r="AA541">
        <v>0</v>
      </c>
      <c r="AB541">
        <v>0</v>
      </c>
      <c r="AC541">
        <v>1</v>
      </c>
      <c r="AD541">
        <v>0</v>
      </c>
      <c r="AE541">
        <v>0</v>
      </c>
      <c r="AF541">
        <v>0</v>
      </c>
      <c r="AG541">
        <v>0</v>
      </c>
      <c r="AH541">
        <v>0</v>
      </c>
      <c r="AI541">
        <v>0</v>
      </c>
      <c r="AJ541">
        <v>0</v>
      </c>
      <c r="AK541">
        <v>0</v>
      </c>
      <c r="AL541">
        <v>0</v>
      </c>
      <c r="AM541">
        <v>0</v>
      </c>
      <c r="AN541">
        <v>0</v>
      </c>
      <c r="AO541">
        <v>0</v>
      </c>
      <c r="AP541">
        <v>0</v>
      </c>
      <c r="AQ541">
        <v>0</v>
      </c>
      <c r="AR541">
        <v>0</v>
      </c>
      <c r="AS541">
        <v>0</v>
      </c>
      <c r="AT541">
        <v>0</v>
      </c>
      <c r="AU541">
        <v>0</v>
      </c>
      <c r="AV541">
        <v>0</v>
      </c>
      <c r="AW541">
        <v>0</v>
      </c>
      <c r="AX541" s="141">
        <f>COUNTIF(V541:AW541,"&lt;&gt;0")</f>
        <v>1</v>
      </c>
      <c r="AY541" s="141">
        <f>COUNTIF(V541:AL541,"&lt;&gt;0")</f>
        <v>1</v>
      </c>
      <c r="AZ541">
        <f>COUNTIF(V541:AC541,"&lt;&gt;0")</f>
        <v>1</v>
      </c>
      <c r="BA541">
        <f>COUNTIF(AD541:AI541,"&lt;&gt;0")</f>
        <v>0</v>
      </c>
      <c r="BB541">
        <f>COUNTIF(AJ541:AL541,"&lt;&gt;0")</f>
        <v>0</v>
      </c>
      <c r="BC541">
        <f>COUNTIF(AS541:AW541,"&lt;&gt;0")</f>
        <v>0</v>
      </c>
      <c r="BD541">
        <f>COUNTIF(AM541:AR541,"&lt;&gt;0")</f>
        <v>0</v>
      </c>
      <c r="BE541" t="str" cm="1">
        <f t="array" ref="BE541">IF(AY541=1,INDEX($V$7:$AL$7,MATCH(TRUE,INDEX($V541:$AW541&lt;&gt;0,),0)),IF(AY541=0,INDEX($AM$7:$AW$7,MATCH(1,$AM541:$AW541,0)),IF(BF541="Multiple strategies","mixed drivers",IF(BF541="Supply chain","multiple supply","multiple silviculture"))))</f>
        <v>site fertility</v>
      </c>
      <c r="BF541" s="2" t="str" cm="1">
        <f t="array" ref="BF541">IF(COUNTIF(AZ541:BB541,"&lt;&gt;0")=1,INDEX($V$4:$AW$4,MATCH(TRUE,INDEX($V541:$AW541&lt;&gt;0,),0)),IF(COUNTIF(AZ541:BB541,"&lt;&gt;0")=0,INDEX($AM$4:$AW$4,MATCH(1,$AM541:$AW541,0)),"Multiple strategies"))</f>
        <v>SilvicultureProd</v>
      </c>
      <c r="BG541" s="1" t="s">
        <v>322</v>
      </c>
      <c r="BH541" t="s">
        <v>498</v>
      </c>
      <c r="BJ541" t="s">
        <v>499</v>
      </c>
      <c r="BK541">
        <v>165.50800000000001</v>
      </c>
      <c r="BL541">
        <v>648.06500000000005</v>
      </c>
      <c r="BN541">
        <f>BL541-BK541</f>
        <v>482.55700000000002</v>
      </c>
      <c r="BO541">
        <f>BL541-BK541</f>
        <v>482.55700000000002</v>
      </c>
      <c r="BP541" s="266" t="s">
        <v>233</v>
      </c>
      <c r="BQ541" s="266"/>
      <c r="BR541" t="s">
        <v>279</v>
      </c>
      <c r="BS541">
        <v>-55.46</v>
      </c>
      <c r="BT541">
        <v>-48.93</v>
      </c>
      <c r="BU541" s="144">
        <v>0.88225748287053729</v>
      </c>
      <c r="BV541">
        <v>6.5300000000000011</v>
      </c>
      <c r="BX541">
        <f>BV541*C_to_CO2</f>
        <v>23.965100000000003</v>
      </c>
      <c r="BY541">
        <f>IFERROR(BX541/BO541,"")</f>
        <v>4.9662734143324005E-2</v>
      </c>
      <c r="BZ541" s="143">
        <v>0</v>
      </c>
      <c r="CA541" s="143">
        <v>0</v>
      </c>
      <c r="CB541" s="143">
        <v>0</v>
      </c>
      <c r="CC541" s="143">
        <v>0</v>
      </c>
      <c r="CD541" s="143">
        <v>0</v>
      </c>
      <c r="CE541" s="143">
        <v>0</v>
      </c>
      <c r="CF541" s="143">
        <v>0</v>
      </c>
      <c r="CG541" s="143">
        <v>0</v>
      </c>
      <c r="CH541" s="143">
        <v>0</v>
      </c>
      <c r="CI541" s="143">
        <v>0</v>
      </c>
      <c r="CJ541" s="143">
        <v>0</v>
      </c>
      <c r="CK541" s="143">
        <v>0</v>
      </c>
      <c r="CL541" s="143">
        <v>0</v>
      </c>
      <c r="CM541">
        <v>0</v>
      </c>
      <c r="CN541" t="str">
        <f>IF($BL541&lt;$BK541,"refNeedCorrection","refOK")</f>
        <v>refOK</v>
      </c>
      <c r="CO541">
        <f>IF($CN541="refNeedCorrection",BL541,BK541)</f>
        <v>165.50800000000001</v>
      </c>
      <c r="CP541">
        <f>IF($CN541="refNeedCorrection",BK541,BL541)</f>
        <v>648.06500000000005</v>
      </c>
      <c r="CQ541">
        <f>IF($CN541="refOK",$BO541,-$BO541)</f>
        <v>482.55700000000002</v>
      </c>
      <c r="CR541">
        <f>IF($CN541="refOK",$BS541,$BT541)*IF($BP541="Emissions positive",-1,1)</f>
        <v>-55.46</v>
      </c>
      <c r="CS541">
        <f>IF($CN541="refOK",$BT541,$BS541)*IF($BP541="Emissions positive",-1,1)</f>
        <v>-48.93</v>
      </c>
      <c r="CT541">
        <f>IF($CN541="refNeedCorrection",-BX541,BX541)*IF($BP541="Emissions positive",-1,1)</f>
        <v>23.965100000000003</v>
      </c>
      <c r="CU541">
        <f>IFERROR(CT541/CQ541,"")</f>
        <v>4.9662734143324005E-2</v>
      </c>
      <c r="CV541" s="2">
        <f>IFERROR((CS541-CR541)/ABS(CR541),"")</f>
        <v>0.1177425171294627</v>
      </c>
      <c r="CW541" s="1" t="s">
        <v>235</v>
      </c>
      <c r="CX541" s="266" t="str">
        <f>IF(OR($CW541="prd",$CW541="std",$CW541="cit"),"loc",IF(OR($CW541="eur",$CW541="reg",$CW541="coy"),"reg",$CW541))</f>
        <v>loc</v>
      </c>
      <c r="CY541" t="s">
        <v>281</v>
      </c>
      <c r="CZ541">
        <v>1985</v>
      </c>
      <c r="DA541">
        <v>2016</v>
      </c>
      <c r="DB541">
        <f>DA541-CZ541</f>
        <v>31</v>
      </c>
      <c r="DC541" t="str">
        <f>IF(DB541=0,"0",IF(AND(DB541&gt;=1,DB541&lt;=30),"1-30",IF(AND(DB541&gt;30,DB541&lt;=70),"31-70",IF(AND(DB541&gt;70,DB541&lt;=100),"71-100",IF(DB541&gt;100,"+100")))))</f>
        <v>31-70</v>
      </c>
      <c r="DD541">
        <v>1</v>
      </c>
      <c r="DE541">
        <v>0</v>
      </c>
      <c r="DF541">
        <v>0</v>
      </c>
      <c r="DG541">
        <v>0</v>
      </c>
      <c r="DI541">
        <f>SUM(DD541:DG541)</f>
        <v>1</v>
      </c>
      <c r="DJ541" t="str">
        <f>IF(DI541=1,INDEX($DD$7:$DG$7,MATCH(1,$DD541:$DG541,0)),"mixedProduct")</f>
        <v>UpstreamInput</v>
      </c>
      <c r="DK541" t="str">
        <f>IF(DD541=1,DK$7,0)</f>
        <v>Upstream</v>
      </c>
      <c r="DL541">
        <f>IF(DE541=1,DL$7,0)</f>
        <v>0</v>
      </c>
      <c r="DM541">
        <f>IF(DF541=1,DM$7,0)</f>
        <v>0</v>
      </c>
      <c r="DN541">
        <f>IF(DG541=1,DN$7,0)</f>
        <v>0</v>
      </c>
      <c r="DO541">
        <v>0</v>
      </c>
      <c r="DP541" s="143">
        <v>0</v>
      </c>
      <c r="DQ541" s="143">
        <v>0</v>
      </c>
      <c r="DR541" s="143">
        <v>0</v>
      </c>
      <c r="DS541">
        <v>0</v>
      </c>
      <c r="DT541">
        <f>SUM(DO541:DP541)</f>
        <v>0</v>
      </c>
      <c r="DU541" s="143" t="str">
        <f>IF(DO541=1,"self-calculated DF",IF(DP541=1,"external DF used","explicit C balance"))</f>
        <v>explicit C balance</v>
      </c>
      <c r="DV541">
        <v>1</v>
      </c>
      <c r="DW541" s="143">
        <v>1</v>
      </c>
      <c r="DX541" s="143">
        <v>1</v>
      </c>
      <c r="DY541" s="143">
        <v>0</v>
      </c>
      <c r="DZ541">
        <v>0</v>
      </c>
      <c r="EA541" s="141">
        <v>0</v>
      </c>
      <c r="EB541">
        <v>0</v>
      </c>
      <c r="EC541" s="143">
        <v>0</v>
      </c>
      <c r="ED541" s="143">
        <v>0</v>
      </c>
      <c r="EE541">
        <v>0</v>
      </c>
      <c r="EF541">
        <v>1</v>
      </c>
      <c r="EG541" s="143">
        <v>0</v>
      </c>
      <c r="EH541" s="143">
        <v>0</v>
      </c>
      <c r="EI541" s="2">
        <v>0</v>
      </c>
      <c r="EJ541" s="321"/>
      <c r="EK541" t="str">
        <f>IF(AND(AND(AND(OR($DX541=1,$DW541=1),OR($EC541=1,$EA541=1)),SUM($DV541:$DZ541,$EF541)&gt;=4),SUM($EA541:$EE541)&gt;=2),"Whole sector","")</f>
        <v/>
      </c>
      <c r="EL541" t="str">
        <f>IF(AND(AND(OR($DX541=1,$DW541=1),AND($EC541=0,$EA541=0)),SUM($DV541:$DZ541,$EF541)&gt;=4),"Ecosystem approach","")</f>
        <v>Ecosystem approach</v>
      </c>
      <c r="EM541" s="2" t="str">
        <f>IF(AND(AND(AND($DX541=0,$DW541=0),OR($EC541=1,$EA541=1)),SUM($EB541:$EE541)&gt;=2),"Technology approach","")</f>
        <v/>
      </c>
      <c r="EP541" t="str">
        <f>IF(ISNUMBER(BU541),IF(ABS(BU541-[1]QC_indicators!$B$2)&gt;3*[1]QC_indicators!$C$2,"C ratio",IF(ISNUMBER(BY541),IF(ABS(BY541-[1]QC_indicators!$B$1)&gt;3*[1]QC_indicators!$C$1,"DF","no"))),IF(ISNUMBER(BY541),IF(ABS(BY541-[1]QC_indicators!$B$1)&gt;3*[1]QC_indicators!$C$1,"DF","no")))</f>
        <v>no</v>
      </c>
      <c r="ER541" s="296" t="s">
        <v>350</v>
      </c>
      <c r="ET541" s="266" t="s">
        <v>3409</v>
      </c>
    </row>
    <row r="542" spans="1:150" ht="15" customHeight="1">
      <c r="A542" s="1" t="s">
        <v>487</v>
      </c>
      <c r="B542" t="s">
        <v>488</v>
      </c>
      <c r="C542" t="s">
        <v>489</v>
      </c>
      <c r="D542" t="s">
        <v>490</v>
      </c>
      <c r="E542" t="s">
        <v>491</v>
      </c>
      <c r="F542" t="s">
        <v>492</v>
      </c>
      <c r="G542" t="s">
        <v>493</v>
      </c>
      <c r="H542" t="s">
        <v>255</v>
      </c>
      <c r="I542">
        <v>2019</v>
      </c>
      <c r="J542">
        <v>3</v>
      </c>
      <c r="K542" t="s">
        <v>494</v>
      </c>
      <c r="M542" t="str">
        <f>LEFT($D542,FIND(",",$D542)-1)&amp;"_"&amp;I542&amp;L542</f>
        <v>Butarbutar_2019</v>
      </c>
      <c r="N542" t="s">
        <v>223</v>
      </c>
      <c r="O542" s="145" t="s">
        <v>224</v>
      </c>
      <c r="Q542" s="266" t="s">
        <v>257</v>
      </c>
      <c r="R542" s="271" t="s">
        <v>1156</v>
      </c>
      <c r="S542" s="1" t="s">
        <v>501</v>
      </c>
      <c r="T542" t="s">
        <v>502</v>
      </c>
      <c r="U542" t="s">
        <v>505</v>
      </c>
      <c r="V542">
        <v>0</v>
      </c>
      <c r="W542">
        <v>0</v>
      </c>
      <c r="X542">
        <v>0</v>
      </c>
      <c r="Y542">
        <v>0</v>
      </c>
      <c r="Z542">
        <v>0</v>
      </c>
      <c r="AA542">
        <v>0</v>
      </c>
      <c r="AB542">
        <v>0</v>
      </c>
      <c r="AC542">
        <v>1</v>
      </c>
      <c r="AD542">
        <v>0</v>
      </c>
      <c r="AE542">
        <v>0</v>
      </c>
      <c r="AF542">
        <v>0</v>
      </c>
      <c r="AG542">
        <v>0</v>
      </c>
      <c r="AH542">
        <v>0</v>
      </c>
      <c r="AI542">
        <v>0</v>
      </c>
      <c r="AJ542">
        <v>0</v>
      </c>
      <c r="AK542">
        <v>0</v>
      </c>
      <c r="AL542">
        <v>0</v>
      </c>
      <c r="AM542">
        <v>0</v>
      </c>
      <c r="AN542">
        <v>0</v>
      </c>
      <c r="AO542">
        <v>0</v>
      </c>
      <c r="AP542">
        <v>0</v>
      </c>
      <c r="AQ542">
        <v>0</v>
      </c>
      <c r="AR542">
        <v>0</v>
      </c>
      <c r="AS542">
        <v>0</v>
      </c>
      <c r="AT542">
        <v>0</v>
      </c>
      <c r="AU542">
        <v>0</v>
      </c>
      <c r="AV542">
        <v>0</v>
      </c>
      <c r="AW542">
        <v>0</v>
      </c>
      <c r="AX542" s="141">
        <f>COUNTIF(V542:AW542,"&lt;&gt;0")</f>
        <v>1</v>
      </c>
      <c r="AY542" s="141">
        <f>COUNTIF(V542:AL542,"&lt;&gt;0")</f>
        <v>1</v>
      </c>
      <c r="AZ542">
        <f>COUNTIF(V542:AC542,"&lt;&gt;0")</f>
        <v>1</v>
      </c>
      <c r="BA542">
        <f>COUNTIF(AD542:AI542,"&lt;&gt;0")</f>
        <v>0</v>
      </c>
      <c r="BB542">
        <f>COUNTIF(AJ542:AL542,"&lt;&gt;0")</f>
        <v>0</v>
      </c>
      <c r="BC542">
        <f>COUNTIF(AS542:AW542,"&lt;&gt;0")</f>
        <v>0</v>
      </c>
      <c r="BD542">
        <f>COUNTIF(AM542:AR542,"&lt;&gt;0")</f>
        <v>0</v>
      </c>
      <c r="BE542" t="str" cm="1">
        <f t="array" ref="BE542">IF(AY542=1,INDEX($V$7:$AL$7,MATCH(TRUE,INDEX($V542:$AW542&lt;&gt;0,),0)),IF(AY542=0,INDEX($AM$7:$AW$7,MATCH(1,$AM542:$AW542,0)),IF(BF542="Multiple strategies","mixed drivers",IF(BF542="Supply chain","multiple supply","multiple silviculture"))))</f>
        <v>site fertility</v>
      </c>
      <c r="BF542" s="2" t="str" cm="1">
        <f t="array" ref="BF542">IF(COUNTIF(AZ542:BB542,"&lt;&gt;0")=1,INDEX($V$4:$AW$4,MATCH(TRUE,INDEX($V542:$AW542&lt;&gt;0,),0)),IF(COUNTIF(AZ542:BB542,"&lt;&gt;0")=0,INDEX($AM$4:$AW$4,MATCH(1,$AM542:$AW542,0)),"Multiple strategies"))</f>
        <v>SilvicultureProd</v>
      </c>
      <c r="BG542" s="1" t="s">
        <v>322</v>
      </c>
      <c r="BH542" t="s">
        <v>498</v>
      </c>
      <c r="BJ542" t="s">
        <v>499</v>
      </c>
      <c r="BK542">
        <v>165.50800000000001</v>
      </c>
      <c r="BL542">
        <v>606.21199999999999</v>
      </c>
      <c r="BN542">
        <f>BL542-BK542</f>
        <v>440.70399999999995</v>
      </c>
      <c r="BO542">
        <f>BL542-BK542</f>
        <v>440.70399999999995</v>
      </c>
      <c r="BP542" s="266" t="s">
        <v>233</v>
      </c>
      <c r="BQ542" s="266"/>
      <c r="BR542" t="s">
        <v>279</v>
      </c>
      <c r="BS542">
        <v>-55.46</v>
      </c>
      <c r="BT542">
        <v>-26.16</v>
      </c>
      <c r="BU542" s="144">
        <v>0.4716913090515687</v>
      </c>
      <c r="BV542">
        <v>29.3</v>
      </c>
      <c r="BX542">
        <f>BV542*C_to_CO2</f>
        <v>107.53100000000001</v>
      </c>
      <c r="BY542">
        <f>IFERROR(BX542/BO542,"")</f>
        <v>0.2439982391809469</v>
      </c>
      <c r="BZ542" s="143">
        <v>0</v>
      </c>
      <c r="CA542" s="143">
        <v>0</v>
      </c>
      <c r="CB542" s="143">
        <v>0</v>
      </c>
      <c r="CC542" s="143">
        <v>0</v>
      </c>
      <c r="CD542" s="143">
        <v>0</v>
      </c>
      <c r="CE542" s="143">
        <v>0</v>
      </c>
      <c r="CF542" s="143">
        <v>0</v>
      </c>
      <c r="CG542" s="143">
        <v>0</v>
      </c>
      <c r="CH542" s="143">
        <v>0</v>
      </c>
      <c r="CI542" s="143">
        <v>0</v>
      </c>
      <c r="CJ542" s="143">
        <v>0</v>
      </c>
      <c r="CK542" s="143">
        <v>0</v>
      </c>
      <c r="CL542" s="143">
        <v>0</v>
      </c>
      <c r="CM542">
        <v>0</v>
      </c>
      <c r="CN542" t="str">
        <f>IF($BL542&lt;$BK542,"refNeedCorrection","refOK")</f>
        <v>refOK</v>
      </c>
      <c r="CO542">
        <f>IF($CN542="refNeedCorrection",BL542,BK542)</f>
        <v>165.50800000000001</v>
      </c>
      <c r="CP542">
        <f>IF($CN542="refNeedCorrection",BK542,BL542)</f>
        <v>606.21199999999999</v>
      </c>
      <c r="CQ542">
        <f>IF($CN542="refOK",$BO542,-$BO542)</f>
        <v>440.70399999999995</v>
      </c>
      <c r="CR542">
        <f>IF($CN542="refOK",$BS542,$BT542)*IF($BP542="Emissions positive",-1,1)</f>
        <v>-55.46</v>
      </c>
      <c r="CS542">
        <f>IF($CN542="refOK",$BT542,$BS542)*IF($BP542="Emissions positive",-1,1)</f>
        <v>-26.16</v>
      </c>
      <c r="CT542">
        <f>IF($CN542="refNeedCorrection",-BX542,BX542)*IF($BP542="Emissions positive",-1,1)</f>
        <v>107.53100000000001</v>
      </c>
      <c r="CU542">
        <f>IFERROR(CT542/CQ542,"")</f>
        <v>0.2439982391809469</v>
      </c>
      <c r="CV542" s="2">
        <f>IFERROR((CS542-CR542)/ABS(CR542),"")</f>
        <v>0.52830869094843136</v>
      </c>
      <c r="CW542" s="1" t="s">
        <v>235</v>
      </c>
      <c r="CX542" s="266" t="str">
        <f>IF(OR($CW542="prd",$CW542="std",$CW542="cit"),"loc",IF(OR($CW542="eur",$CW542="reg",$CW542="coy"),"reg",$CW542))</f>
        <v>loc</v>
      </c>
      <c r="CY542" t="s">
        <v>281</v>
      </c>
      <c r="CZ542">
        <v>1985</v>
      </c>
      <c r="DA542">
        <v>2016</v>
      </c>
      <c r="DB542">
        <f>DA542-CZ542</f>
        <v>31</v>
      </c>
      <c r="DC542" t="str">
        <f>IF(DB542=0,"0",IF(AND(DB542&gt;=1,DB542&lt;=30),"1-30",IF(AND(DB542&gt;30,DB542&lt;=70),"31-70",IF(AND(DB542&gt;70,DB542&lt;=100),"71-100",IF(DB542&gt;100,"+100")))))</f>
        <v>31-70</v>
      </c>
      <c r="DD542">
        <v>1</v>
      </c>
      <c r="DE542">
        <v>0</v>
      </c>
      <c r="DF542">
        <v>0</v>
      </c>
      <c r="DG542">
        <v>0</v>
      </c>
      <c r="DI542">
        <f>SUM(DD542:DG542)</f>
        <v>1</v>
      </c>
      <c r="DJ542" t="str">
        <f>IF(DI542=1,INDEX($DD$7:$DG$7,MATCH(1,$DD542:$DG542,0)),"mixedProduct")</f>
        <v>UpstreamInput</v>
      </c>
      <c r="DK542" t="str">
        <f>IF(DD542=1,DK$7,0)</f>
        <v>Upstream</v>
      </c>
      <c r="DL542">
        <f>IF(DE542=1,DL$7,0)</f>
        <v>0</v>
      </c>
      <c r="DM542">
        <f>IF(DF542=1,DM$7,0)</f>
        <v>0</v>
      </c>
      <c r="DN542">
        <f>IF(DG542=1,DN$7,0)</f>
        <v>0</v>
      </c>
      <c r="DO542">
        <v>0</v>
      </c>
      <c r="DP542" s="143">
        <v>0</v>
      </c>
      <c r="DQ542" s="143">
        <v>0</v>
      </c>
      <c r="DR542" s="143">
        <v>0</v>
      </c>
      <c r="DS542">
        <v>0</v>
      </c>
      <c r="DT542">
        <f>SUM(DO542:DP542)</f>
        <v>0</v>
      </c>
      <c r="DU542" s="143" t="str">
        <f>IF(DO542=1,"self-calculated DF",IF(DP542=1,"external DF used","explicit C balance"))</f>
        <v>explicit C balance</v>
      </c>
      <c r="DV542">
        <v>1</v>
      </c>
      <c r="DW542" s="143">
        <v>1</v>
      </c>
      <c r="DX542" s="143">
        <v>1</v>
      </c>
      <c r="DY542" s="143">
        <v>0</v>
      </c>
      <c r="DZ542">
        <v>0</v>
      </c>
      <c r="EA542" s="266">
        <v>0</v>
      </c>
      <c r="EB542">
        <v>0</v>
      </c>
      <c r="EC542" s="143">
        <v>0</v>
      </c>
      <c r="ED542" s="143">
        <v>0</v>
      </c>
      <c r="EE542">
        <v>0</v>
      </c>
      <c r="EF542">
        <v>1</v>
      </c>
      <c r="EG542" s="143">
        <v>0</v>
      </c>
      <c r="EH542" s="143">
        <v>0</v>
      </c>
      <c r="EI542" s="2">
        <v>0</v>
      </c>
      <c r="EJ542" s="321"/>
      <c r="EK542" t="str">
        <f>IF(AND(AND(AND(OR($DX542=1,$DW542=1),OR($EC542=1,$EA542=1)),SUM($DV542:$DZ542,$EF542)&gt;=4),SUM($EA542:$EE542)&gt;=2),"Whole sector","")</f>
        <v/>
      </c>
      <c r="EL542" t="str">
        <f>IF(AND(AND(OR($DX542=1,$DW542=1),AND($EC542=0,$EA542=0)),SUM($DV542:$DZ542,$EF542)&gt;=4),"Ecosystem approach","")</f>
        <v>Ecosystem approach</v>
      </c>
      <c r="EM542" s="2" t="str">
        <f>IF(AND(AND(AND($DX542=0,$DW542=0),OR($EC542=1,$EA542=1)),SUM($EB542:$EE542)&gt;=2),"Technology approach","")</f>
        <v/>
      </c>
      <c r="EP542" t="str">
        <f>IF(ISNUMBER(BU542),IF(ABS(BU542-[1]QC_indicators!$B$2)&gt;3*[1]QC_indicators!$C$2,"C ratio",IF(ISNUMBER(BY542),IF(ABS(BY542-[1]QC_indicators!$B$1)&gt;3*[1]QC_indicators!$C$1,"DF","no"))),IF(ISNUMBER(BY542),IF(ABS(BY542-[1]QC_indicators!$B$1)&gt;3*[1]QC_indicators!$C$1,"DF","no")))</f>
        <v>no</v>
      </c>
      <c r="ER542" s="296" t="s">
        <v>350</v>
      </c>
      <c r="ET542" s="266" t="s">
        <v>3409</v>
      </c>
    </row>
    <row r="543" spans="1:150" ht="15" customHeight="1">
      <c r="A543" s="174" t="s">
        <v>1288</v>
      </c>
      <c r="B543" s="141" t="s">
        <v>1289</v>
      </c>
      <c r="C543" s="141" t="s">
        <v>1290</v>
      </c>
      <c r="D543" s="141" t="s">
        <v>1291</v>
      </c>
      <c r="E543" s="141" t="s">
        <v>1292</v>
      </c>
      <c r="F543" s="141" t="s">
        <v>1293</v>
      </c>
      <c r="G543" s="141" t="s">
        <v>1294</v>
      </c>
      <c r="H543" s="141"/>
      <c r="I543" s="141">
        <v>2019</v>
      </c>
      <c r="J543" s="141"/>
      <c r="K543" s="141" t="s">
        <v>1295</v>
      </c>
      <c r="L543" s="141"/>
      <c r="M543" t="str">
        <f>LEFT($D543,FIND(",",$D543)-1)&amp;"_"&amp;I543&amp;L543</f>
        <v>Bosch_2019</v>
      </c>
      <c r="N543" t="s">
        <v>223</v>
      </c>
      <c r="O543" s="175" t="s">
        <v>226</v>
      </c>
      <c r="P543" s="141" t="s">
        <v>224</v>
      </c>
      <c r="Q543" s="266" t="s">
        <v>225</v>
      </c>
      <c r="R543" s="271" t="s">
        <v>1156</v>
      </c>
      <c r="S543" s="174" t="s">
        <v>1296</v>
      </c>
      <c r="T543" s="141" t="s">
        <v>1297</v>
      </c>
      <c r="U543" s="141" t="s">
        <v>1298</v>
      </c>
      <c r="V543" s="141">
        <v>1</v>
      </c>
      <c r="W543" s="141">
        <v>0</v>
      </c>
      <c r="X543" s="141">
        <v>0</v>
      </c>
      <c r="Y543" s="141">
        <v>0</v>
      </c>
      <c r="Z543" s="141">
        <v>0</v>
      </c>
      <c r="AA543" s="141">
        <v>0</v>
      </c>
      <c r="AB543" s="141">
        <v>0</v>
      </c>
      <c r="AC543" s="141">
        <v>0</v>
      </c>
      <c r="AD543" s="141">
        <v>0</v>
      </c>
      <c r="AE543" s="141">
        <v>0</v>
      </c>
      <c r="AF543" s="141">
        <v>0</v>
      </c>
      <c r="AG543" s="141">
        <v>0</v>
      </c>
      <c r="AH543" s="141">
        <v>0</v>
      </c>
      <c r="AI543" s="141">
        <v>0</v>
      </c>
      <c r="AJ543" s="141">
        <v>0</v>
      </c>
      <c r="AK543" s="141">
        <v>0</v>
      </c>
      <c r="AL543" s="141">
        <v>0</v>
      </c>
      <c r="AM543" s="141">
        <v>0</v>
      </c>
      <c r="AN543" s="141">
        <v>0</v>
      </c>
      <c r="AO543" s="141">
        <v>0</v>
      </c>
      <c r="AP543" s="141">
        <v>0</v>
      </c>
      <c r="AQ543" s="141">
        <v>0</v>
      </c>
      <c r="AR543" s="141">
        <v>0</v>
      </c>
      <c r="AS543" s="141">
        <v>0</v>
      </c>
      <c r="AT543" s="141">
        <v>0</v>
      </c>
      <c r="AU543" s="141">
        <v>0</v>
      </c>
      <c r="AV543" s="141">
        <v>0</v>
      </c>
      <c r="AW543" s="141">
        <v>0</v>
      </c>
      <c r="AX543" s="141">
        <f>COUNTIF(V543:AW543,"&lt;&gt;0")</f>
        <v>1</v>
      </c>
      <c r="AY543" s="141">
        <f>COUNTIF(V543:AL543,"&lt;&gt;0")</f>
        <v>1</v>
      </c>
      <c r="AZ543">
        <f>COUNTIF(V543:AC543,"&lt;&gt;0")</f>
        <v>1</v>
      </c>
      <c r="BA543">
        <f>COUNTIF(AD543:AI543,"&lt;&gt;0")</f>
        <v>0</v>
      </c>
      <c r="BB543">
        <f>COUNTIF(AJ543:AL543,"&lt;&gt;0")</f>
        <v>0</v>
      </c>
      <c r="BC543">
        <f>COUNTIF(AS543:AW543,"&lt;&gt;0")</f>
        <v>0</v>
      </c>
      <c r="BD543">
        <f>COUNTIF(AM543:AR543,"&lt;&gt;0")</f>
        <v>0</v>
      </c>
      <c r="BE543" t="str" cm="1">
        <f t="array" ref="BE543">IF(AY543=1,INDEX($V$7:$AL$7,MATCH(TRUE,INDEX($V543:$AW543&lt;&gt;0,),0)),IF(AY543=0,INDEX($AM$7:$AW$7,MATCH(1,$AM543:$AW543,0)),IF(BF543="Multiple strategies","mixed drivers",IF(BF543="Supply chain","multiple supply","multiple silviculture"))))</f>
        <v>area subject to harvest</v>
      </c>
      <c r="BF543" s="2" t="str" cm="1">
        <f t="array" ref="BF543">IF(COUNTIF(AZ543:BB543,"&lt;&gt;0")=1,INDEX($V$4:$AW$4,MATCH(TRUE,INDEX($V543:$AW543&lt;&gt;0,),0)),IF(COUNTIF(AZ543:BB543,"&lt;&gt;0")=0,INDEX($AM$4:$AW$4,MATCH(1,$AM543:$AW543,0)),"Multiple strategies"))</f>
        <v>SilvicultureRemov</v>
      </c>
      <c r="BG543" s="173" t="s">
        <v>322</v>
      </c>
      <c r="BH543" s="141" t="s">
        <v>1299</v>
      </c>
      <c r="BI543" s="141" t="s">
        <v>1300</v>
      </c>
      <c r="BJ543" s="163" t="s">
        <v>1301</v>
      </c>
      <c r="BK543" s="158">
        <v>2159</v>
      </c>
      <c r="BL543" s="163">
        <v>2405</v>
      </c>
      <c r="BM543" s="266">
        <f>BL543/BK543</f>
        <v>1.1139416396479851</v>
      </c>
      <c r="BN543">
        <f>BL543-BK543</f>
        <v>246</v>
      </c>
      <c r="BO543" s="158">
        <f>BN543*10^6</f>
        <v>246000000</v>
      </c>
      <c r="BP543" s="266" t="s">
        <v>396</v>
      </c>
      <c r="BQ543" s="153" t="s">
        <v>788</v>
      </c>
      <c r="BR543" s="151" t="s">
        <v>1302</v>
      </c>
      <c r="BS543" s="141"/>
      <c r="BT543" s="163"/>
      <c r="BU543" s="144" t="str">
        <f>IFERROR(BT543/BS543,"")</f>
        <v/>
      </c>
      <c r="BV543" s="176">
        <v>190</v>
      </c>
      <c r="BX543">
        <f>BV543*10^6</f>
        <v>190000000</v>
      </c>
      <c r="BY543">
        <f>IFERROR(BX543/BO543,"")</f>
        <v>0.77235772357723576</v>
      </c>
      <c r="BZ543" s="141">
        <v>0</v>
      </c>
      <c r="CA543" s="141">
        <v>0</v>
      </c>
      <c r="CB543" s="141">
        <v>0</v>
      </c>
      <c r="CC543" s="141">
        <v>0</v>
      </c>
      <c r="CD543" s="141">
        <v>0</v>
      </c>
      <c r="CE543" s="141">
        <v>0</v>
      </c>
      <c r="CF543" s="141">
        <v>0</v>
      </c>
      <c r="CG543" s="141">
        <v>0</v>
      </c>
      <c r="CH543" s="141">
        <v>0</v>
      </c>
      <c r="CI543" s="141">
        <v>0</v>
      </c>
      <c r="CJ543" s="141">
        <v>0</v>
      </c>
      <c r="CK543" s="141">
        <v>0</v>
      </c>
      <c r="CL543" s="141">
        <v>0</v>
      </c>
      <c r="CM543" s="141">
        <v>1</v>
      </c>
      <c r="CN543" t="str">
        <f>IF(BL543&lt;BK543,"refNeedCorrection","refOK")</f>
        <v>refOK</v>
      </c>
      <c r="CO543">
        <f>IF($CN543="refOK",$BK543,$BL543)</f>
        <v>2159</v>
      </c>
      <c r="CP543">
        <f>IF($CN543="refOK",$BL543,$BK543)</f>
        <v>2405</v>
      </c>
      <c r="CQ543">
        <f>IF($CN543="refOK",$BO543,-$BO543)</f>
        <v>246000000</v>
      </c>
      <c r="CR543">
        <f>IF($CN543="refOK",$BS543,$BT543)*IF($BP543="Emissions positive",-1,1)</f>
        <v>0</v>
      </c>
      <c r="CS543">
        <f>IF($CN543="refOK",$BT543,$BS543)*IF($BP543="Emissions positive",-1,1)</f>
        <v>0</v>
      </c>
      <c r="CT543">
        <f>IF($CN543="refNeedCorrection",-BX543,BX543)*IF($BP543="Emissions positive",-1,1)</f>
        <v>-190000000</v>
      </c>
      <c r="CU543">
        <f>IFERROR(CT543/CQ543,"")</f>
        <v>-0.77235772357723576</v>
      </c>
      <c r="CV543" s="2" t="str">
        <f>IFERROR((CS543-CR543)/ABS(CR543),"")</f>
        <v/>
      </c>
      <c r="CW543" s="174" t="s">
        <v>1205</v>
      </c>
      <c r="CX543" s="266" t="str">
        <f>IF(OR($CW543="prd",$CW543="std",$CW543="cit"),"loc",IF(OR($CW543="eur",$CW543="reg",$CW543="coy"),"reg",$CW543))</f>
        <v>reg</v>
      </c>
      <c r="CY543" s="141" t="s">
        <v>1303</v>
      </c>
      <c r="CZ543" s="141">
        <v>2016</v>
      </c>
      <c r="DA543" s="163">
        <v>2046</v>
      </c>
      <c r="DB543" s="163">
        <v>30</v>
      </c>
      <c r="DC543" t="str">
        <f>IF(DB543=0,"0",IF(AND(DB543&gt;=1,DB543&lt;=30),"1-30",IF(AND(DB543&gt;30,DB543&lt;=70),"31-70",IF(AND(DB543&gt;70,DB543&lt;=100),"71-100",IF(DB543&gt;100,"+100")))))</f>
        <v>1-30</v>
      </c>
      <c r="DD543" s="141">
        <v>1</v>
      </c>
      <c r="DE543" s="141">
        <v>1</v>
      </c>
      <c r="DF543" s="141">
        <v>0</v>
      </c>
      <c r="DG543" s="141">
        <v>1</v>
      </c>
      <c r="DI543">
        <f>SUM(DD543:DG543)</f>
        <v>3</v>
      </c>
      <c r="DJ543" t="str">
        <f>IF(DI543=1,INDEX($DD$7:$DG$7,MATCH(1,$DD543:$DG543,0)),"mixedProduct")</f>
        <v>mixedProduct</v>
      </c>
      <c r="DK543" t="str">
        <f>IF(DD543=1,DK$7,0)</f>
        <v>Upstream</v>
      </c>
      <c r="DL543" t="str">
        <f>IF(DE543=1,DL$7,0)</f>
        <v>Energy</v>
      </c>
      <c r="DM543">
        <f>IF(DF543=1,DM$7,0)</f>
        <v>0</v>
      </c>
      <c r="DN543" t="str">
        <f>IF(DG543=1,DN$7,0)</f>
        <v>Timber</v>
      </c>
      <c r="DO543" s="163">
        <v>0</v>
      </c>
      <c r="DP543" s="141">
        <v>0</v>
      </c>
      <c r="DQ543" s="163">
        <v>0</v>
      </c>
      <c r="DR543" s="163">
        <v>0</v>
      </c>
      <c r="DS543" s="163">
        <v>0</v>
      </c>
      <c r="DT543">
        <f>SUM(DO543:DP543)</f>
        <v>0</v>
      </c>
      <c r="DU543" s="143" t="str">
        <f>IF(DO543=1,"self-calculated DF",IF(DP543=1,"external DF used","explicit C balance"))</f>
        <v>explicit C balance</v>
      </c>
      <c r="DV543" s="163">
        <v>1</v>
      </c>
      <c r="DW543" s="141">
        <v>1</v>
      </c>
      <c r="DX543" s="163">
        <v>1</v>
      </c>
      <c r="DY543" s="163">
        <v>1</v>
      </c>
      <c r="DZ543" s="141">
        <v>0</v>
      </c>
      <c r="EA543" s="141">
        <v>0</v>
      </c>
      <c r="EB543" s="143">
        <v>0</v>
      </c>
      <c r="EC543" s="141">
        <v>0</v>
      </c>
      <c r="ED543" s="143">
        <v>0</v>
      </c>
      <c r="EE543" s="143">
        <v>0</v>
      </c>
      <c r="EF543" s="141">
        <v>1</v>
      </c>
      <c r="EG543" s="163">
        <v>0</v>
      </c>
      <c r="EH543" s="141">
        <v>0</v>
      </c>
      <c r="EI543" s="177">
        <v>0</v>
      </c>
      <c r="EJ543" s="321"/>
      <c r="EK543" t="str">
        <f>IF(AND(AND(AND(OR($DX543=1,$DW543=1),OR($EC543=1,$EA543=1)),SUM($DV543:$DZ543,$EF543)&gt;=4),SUM($EA543:$EE543)&gt;=2),"Whole sector","")</f>
        <v/>
      </c>
      <c r="EL543" t="str">
        <f>IF(AND(AND(OR($DX543=1,$DW543=1),AND($EC543=0,$EA543=0)),SUM($DV543:$DZ543,$EF543)&gt;=4),"Ecosystem approach","")</f>
        <v>Ecosystem approach</v>
      </c>
      <c r="EM543" s="2" t="str">
        <f>IF(AND(AND(AND($DX543=0,$DW543=0),OR($EC543=1,$EA543=1)),SUM($EB543:$EE543)&gt;=2),"Technology approach","")</f>
        <v/>
      </c>
      <c r="EN543" s="141"/>
      <c r="EP543" t="str">
        <f>IF(ISNUMBER(BU543),IF(ABS(BU543-[1]QC_indicators!$B$2)&gt;3*[1]QC_indicators!$C$2,"C ratio",IF(ISNUMBER(BY543),IF(ABS(BY543-[1]QC_indicators!$B$1)&gt;3*[1]QC_indicators!$C$1,"DF","no"))),IF(ISNUMBER(BY543),IF(ABS(BY543-[1]QC_indicators!$B$1)&gt;3*[1]QC_indicators!$C$1,"DF","no")))</f>
        <v>no</v>
      </c>
      <c r="ER543" s="296" t="s">
        <v>1304</v>
      </c>
      <c r="ET543" s="266" t="s">
        <v>3409</v>
      </c>
    </row>
    <row r="544" spans="1:150" ht="15" customHeight="1">
      <c r="A544" s="174" t="s">
        <v>1288</v>
      </c>
      <c r="B544" s="141" t="s">
        <v>1289</v>
      </c>
      <c r="C544" s="141" t="s">
        <v>1290</v>
      </c>
      <c r="D544" s="141" t="s">
        <v>1291</v>
      </c>
      <c r="E544" s="141" t="s">
        <v>1292</v>
      </c>
      <c r="F544" s="141" t="s">
        <v>1293</v>
      </c>
      <c r="G544" s="141" t="s">
        <v>1294</v>
      </c>
      <c r="H544" s="141"/>
      <c r="I544" s="141">
        <v>2019</v>
      </c>
      <c r="J544" s="141"/>
      <c r="K544" s="141" t="s">
        <v>1295</v>
      </c>
      <c r="L544" s="141"/>
      <c r="M544" t="str">
        <f>LEFT($D544,FIND(",",$D544)-1)&amp;"_"&amp;I544&amp;L544</f>
        <v>Bosch_2019</v>
      </c>
      <c r="N544" t="s">
        <v>223</v>
      </c>
      <c r="O544" s="175" t="s">
        <v>226</v>
      </c>
      <c r="P544" s="141" t="s">
        <v>224</v>
      </c>
      <c r="Q544" s="266" t="s">
        <v>225</v>
      </c>
      <c r="R544" s="271" t="s">
        <v>1156</v>
      </c>
      <c r="S544" s="174" t="s">
        <v>1305</v>
      </c>
      <c r="T544" s="141" t="s">
        <v>1306</v>
      </c>
      <c r="U544" s="141" t="s">
        <v>1298</v>
      </c>
      <c r="V544" s="141">
        <v>1</v>
      </c>
      <c r="W544" s="141">
        <v>0</v>
      </c>
      <c r="X544" s="141">
        <v>0</v>
      </c>
      <c r="Y544" s="141">
        <v>0</v>
      </c>
      <c r="Z544" s="141">
        <v>0</v>
      </c>
      <c r="AA544" s="141">
        <v>0</v>
      </c>
      <c r="AB544" s="141">
        <v>0</v>
      </c>
      <c r="AC544" s="141">
        <v>0</v>
      </c>
      <c r="AD544" s="141">
        <v>0</v>
      </c>
      <c r="AE544" s="141">
        <v>0</v>
      </c>
      <c r="AF544" s="141">
        <v>0</v>
      </c>
      <c r="AG544" s="141">
        <v>0</v>
      </c>
      <c r="AH544" s="141">
        <v>0</v>
      </c>
      <c r="AI544" s="141">
        <v>0</v>
      </c>
      <c r="AJ544" s="141">
        <v>0</v>
      </c>
      <c r="AK544" s="141">
        <v>0</v>
      </c>
      <c r="AL544" s="141">
        <v>0</v>
      </c>
      <c r="AM544" s="141">
        <v>0</v>
      </c>
      <c r="AN544" s="141">
        <v>0</v>
      </c>
      <c r="AO544" s="141">
        <v>0</v>
      </c>
      <c r="AP544" s="141">
        <v>0</v>
      </c>
      <c r="AQ544" s="141">
        <v>0</v>
      </c>
      <c r="AR544" s="141">
        <v>0</v>
      </c>
      <c r="AS544" s="141">
        <v>0</v>
      </c>
      <c r="AT544" s="141">
        <v>0</v>
      </c>
      <c r="AU544" s="141">
        <v>0</v>
      </c>
      <c r="AV544" s="141">
        <v>0</v>
      </c>
      <c r="AW544" s="141">
        <v>0</v>
      </c>
      <c r="AX544" s="141">
        <f>COUNTIF(V544:AW544,"&lt;&gt;0")</f>
        <v>1</v>
      </c>
      <c r="AY544" s="141">
        <f>COUNTIF(V544:AL544,"&lt;&gt;0")</f>
        <v>1</v>
      </c>
      <c r="AZ544">
        <f>COUNTIF(V544:AC544,"&lt;&gt;0")</f>
        <v>1</v>
      </c>
      <c r="BA544">
        <f>COUNTIF(AD544:AI544,"&lt;&gt;0")</f>
        <v>0</v>
      </c>
      <c r="BB544">
        <f>COUNTIF(AJ544:AL544,"&lt;&gt;0")</f>
        <v>0</v>
      </c>
      <c r="BC544">
        <f>COUNTIF(AS544:AW544,"&lt;&gt;0")</f>
        <v>0</v>
      </c>
      <c r="BD544">
        <f>COUNTIF(AM544:AR544,"&lt;&gt;0")</f>
        <v>0</v>
      </c>
      <c r="BE544" t="str" cm="1">
        <f t="array" ref="BE544">IF(AY544=1,INDEX($V$7:$AL$7,MATCH(TRUE,INDEX($V544:$AW544&lt;&gt;0,),0)),IF(AY544=0,INDEX($AM$7:$AW$7,MATCH(1,$AM544:$AW544,0)),IF(BF544="Multiple strategies","mixed drivers",IF(BF544="Supply chain","multiple supply","multiple silviculture"))))</f>
        <v>area subject to harvest</v>
      </c>
      <c r="BF544" s="2" t="str" cm="1">
        <f t="array" ref="BF544">IF(COUNTIF(AZ544:BB544,"&lt;&gt;0")=1,INDEX($V$4:$AW$4,MATCH(TRUE,INDEX($V544:$AW544&lt;&gt;0,),0)),IF(COUNTIF(AZ544:BB544,"&lt;&gt;0")=0,INDEX($AM$4:$AW$4,MATCH(1,$AM544:$AW544,0)),"Multiple strategies"))</f>
        <v>SilvicultureRemov</v>
      </c>
      <c r="BG544" s="173" t="s">
        <v>322</v>
      </c>
      <c r="BH544" s="141" t="s">
        <v>1299</v>
      </c>
      <c r="BI544" s="141" t="s">
        <v>1300</v>
      </c>
      <c r="BJ544" s="163" t="s">
        <v>1301</v>
      </c>
      <c r="BK544" s="176">
        <v>2330</v>
      </c>
      <c r="BL544" s="163">
        <v>2405</v>
      </c>
      <c r="BM544" s="266">
        <f>BL544/BK544</f>
        <v>1.0321888412017168</v>
      </c>
      <c r="BN544">
        <f>BL544-BK544</f>
        <v>75</v>
      </c>
      <c r="BO544" s="158">
        <f>BN544*10^6</f>
        <v>75000000</v>
      </c>
      <c r="BP544" s="266" t="s">
        <v>396</v>
      </c>
      <c r="BQ544" s="153" t="s">
        <v>430</v>
      </c>
      <c r="BR544" s="151" t="s">
        <v>1302</v>
      </c>
      <c r="BS544" s="141"/>
      <c r="BT544" s="163"/>
      <c r="BU544" s="144" t="str">
        <f>IFERROR(BT544/BS544,"")</f>
        <v/>
      </c>
      <c r="BV544" s="176">
        <v>58</v>
      </c>
      <c r="BX544">
        <f>BV544*10^6</f>
        <v>58000000</v>
      </c>
      <c r="BY544">
        <f>IFERROR(BX544/BO544,"")</f>
        <v>0.77333333333333332</v>
      </c>
      <c r="BZ544" s="141">
        <v>0</v>
      </c>
      <c r="CA544" s="141">
        <v>0</v>
      </c>
      <c r="CB544" s="141">
        <v>0</v>
      </c>
      <c r="CC544" s="141">
        <v>0</v>
      </c>
      <c r="CD544" s="141">
        <v>0</v>
      </c>
      <c r="CE544" s="141">
        <v>0</v>
      </c>
      <c r="CF544" s="141">
        <v>0</v>
      </c>
      <c r="CG544" s="141">
        <v>0</v>
      </c>
      <c r="CH544" s="141">
        <v>0</v>
      </c>
      <c r="CI544" s="141">
        <v>0</v>
      </c>
      <c r="CJ544" s="141">
        <v>0</v>
      </c>
      <c r="CK544" s="141">
        <v>0</v>
      </c>
      <c r="CL544" s="141">
        <v>0</v>
      </c>
      <c r="CM544" s="141">
        <v>1</v>
      </c>
      <c r="CN544" t="str">
        <f>IF(BL544&lt;BK544,"refNeedCorrection","refOK")</f>
        <v>refOK</v>
      </c>
      <c r="CO544">
        <f>IF($CN544="refOK",$BK544,$BL544)</f>
        <v>2330</v>
      </c>
      <c r="CP544">
        <f>IF($CN544="refOK",$BL544,$BK544)</f>
        <v>2405</v>
      </c>
      <c r="CQ544">
        <f>IF($CN544="refOK",$BO544,-$BO544)</f>
        <v>75000000</v>
      </c>
      <c r="CR544">
        <f>IF($CN544="refOK",$BS544,$BT544)*IF($BP544="Emissions positive",-1,1)</f>
        <v>0</v>
      </c>
      <c r="CS544">
        <f>IF($CN544="refOK",$BT544,$BS544)*IF($BP544="Emissions positive",-1,1)</f>
        <v>0</v>
      </c>
      <c r="CT544">
        <f>IF($CN544="refNeedCorrection",-BX544,BX544)*IF($BP544="Emissions positive",-1,1)</f>
        <v>-58000000</v>
      </c>
      <c r="CU544">
        <f>IFERROR(CT544/CQ544,"")</f>
        <v>-0.77333333333333332</v>
      </c>
      <c r="CV544" s="2" t="str">
        <f>IFERROR((CS544-CR544)/ABS(CR544),"")</f>
        <v/>
      </c>
      <c r="CW544" s="174" t="s">
        <v>1205</v>
      </c>
      <c r="CX544" s="266" t="str">
        <f>IF(OR($CW544="prd",$CW544="std",$CW544="cit"),"loc",IF(OR($CW544="eur",$CW544="reg",$CW544="coy"),"reg",$CW544))</f>
        <v>reg</v>
      </c>
      <c r="CY544" s="141" t="s">
        <v>1303</v>
      </c>
      <c r="CZ544" s="141">
        <v>2016</v>
      </c>
      <c r="DA544" s="163">
        <v>2046</v>
      </c>
      <c r="DB544" s="163">
        <v>30</v>
      </c>
      <c r="DC544" t="str">
        <f>IF(DB544=0,"0",IF(AND(DB544&gt;=1,DB544&lt;=30),"1-30",IF(AND(DB544&gt;30,DB544&lt;=70),"31-70",IF(AND(DB544&gt;70,DB544&lt;=100),"71-100",IF(DB544&gt;100,"+100")))))</f>
        <v>1-30</v>
      </c>
      <c r="DD544" s="141">
        <v>1</v>
      </c>
      <c r="DE544" s="141">
        <v>1</v>
      </c>
      <c r="DF544" s="141">
        <v>0</v>
      </c>
      <c r="DG544" s="141">
        <v>1</v>
      </c>
      <c r="DI544">
        <f>SUM(DD544:DG544)</f>
        <v>3</v>
      </c>
      <c r="DJ544" t="str">
        <f>IF(DI544=1,INDEX($DD$7:$DG$7,MATCH(1,$DD544:$DG544,0)),"mixedProduct")</f>
        <v>mixedProduct</v>
      </c>
      <c r="DK544" t="str">
        <f>IF(DD544=1,DK$7,0)</f>
        <v>Upstream</v>
      </c>
      <c r="DL544" t="str">
        <f>IF(DE544=1,DL$7,0)</f>
        <v>Energy</v>
      </c>
      <c r="DM544">
        <f>IF(DF544=1,DM$7,0)</f>
        <v>0</v>
      </c>
      <c r="DN544" t="str">
        <f>IF(DG544=1,DN$7,0)</f>
        <v>Timber</v>
      </c>
      <c r="DO544" s="163">
        <v>0</v>
      </c>
      <c r="DP544" s="141">
        <v>0</v>
      </c>
      <c r="DQ544" s="163">
        <v>0</v>
      </c>
      <c r="DR544" s="163">
        <v>0</v>
      </c>
      <c r="DS544" s="163">
        <v>0</v>
      </c>
      <c r="DT544">
        <f>SUM(DO544:DP544)</f>
        <v>0</v>
      </c>
      <c r="DU544" s="143" t="str">
        <f>IF(DO544=1,"self-calculated DF",IF(DP544=1,"external DF used","explicit C balance"))</f>
        <v>explicit C balance</v>
      </c>
      <c r="DV544" s="163">
        <v>1</v>
      </c>
      <c r="DW544" s="141">
        <v>1</v>
      </c>
      <c r="DX544" s="163">
        <v>1</v>
      </c>
      <c r="DY544" s="163">
        <v>1</v>
      </c>
      <c r="DZ544" s="141">
        <v>0</v>
      </c>
      <c r="EA544" s="141">
        <v>0</v>
      </c>
      <c r="EB544" s="143">
        <v>0</v>
      </c>
      <c r="EC544" s="141">
        <v>0</v>
      </c>
      <c r="ED544" s="143">
        <v>0</v>
      </c>
      <c r="EE544" s="143">
        <v>0</v>
      </c>
      <c r="EF544" s="141">
        <v>1</v>
      </c>
      <c r="EG544" s="163">
        <v>0</v>
      </c>
      <c r="EH544" s="141">
        <v>0</v>
      </c>
      <c r="EI544" s="177">
        <v>0</v>
      </c>
      <c r="EJ544" s="321"/>
      <c r="EK544" t="str">
        <f>IF(AND(AND(AND(OR($DX544=1,$DW544=1),OR($EC544=1,$EA544=1)),SUM($DV544:$DZ544,$EF544)&gt;=4),SUM($EA544:$EE544)&gt;=2),"Whole sector","")</f>
        <v/>
      </c>
      <c r="EL544" t="str">
        <f>IF(AND(AND(OR($DX544=1,$DW544=1),AND($EC544=0,$EA544=0)),SUM($DV544:$DZ544,$EF544)&gt;=4),"Ecosystem approach","")</f>
        <v>Ecosystem approach</v>
      </c>
      <c r="EM544" s="2" t="str">
        <f>IF(AND(AND(AND($DX544=0,$DW544=0),OR($EC544=1,$EA544=1)),SUM($EB544:$EE544)&gt;=2),"Technology approach","")</f>
        <v/>
      </c>
      <c r="EN544" s="141"/>
      <c r="EP544" t="str">
        <f>IF(ISNUMBER(BU544),IF(ABS(BU544-[1]QC_indicators!$B$2)&gt;3*[1]QC_indicators!$C$2,"C ratio",IF(ISNUMBER(BY544),IF(ABS(BY544-[1]QC_indicators!$B$1)&gt;3*[1]QC_indicators!$C$1,"DF","no"))),IF(ISNUMBER(BY544),IF(ABS(BY544-[1]QC_indicators!$B$1)&gt;3*[1]QC_indicators!$C$1,"DF","no")))</f>
        <v>no</v>
      </c>
      <c r="ER544" s="296" t="s">
        <v>1304</v>
      </c>
      <c r="ET544" s="266" t="s">
        <v>3409</v>
      </c>
    </row>
    <row r="545" spans="1:150" ht="15" hidden="1" customHeight="1">
      <c r="A545" s="1" t="s">
        <v>588</v>
      </c>
      <c r="B545" t="s">
        <v>1989</v>
      </c>
      <c r="C545" t="s">
        <v>1990</v>
      </c>
      <c r="D545" t="s">
        <v>1991</v>
      </c>
      <c r="E545" t="s">
        <v>1992</v>
      </c>
      <c r="F545" t="s">
        <v>1993</v>
      </c>
      <c r="G545" t="s">
        <v>594</v>
      </c>
      <c r="H545" t="s">
        <v>255</v>
      </c>
      <c r="I545">
        <v>2018</v>
      </c>
      <c r="J545">
        <v>7</v>
      </c>
      <c r="K545" t="s">
        <v>1994</v>
      </c>
      <c r="M545" t="str">
        <f>LEFT($D545,FIND(",",$D545)-1)&amp;"_"&amp;I545&amp;L545</f>
        <v>Nakano_2018</v>
      </c>
      <c r="N545" t="s">
        <v>223</v>
      </c>
      <c r="O545" s="157" t="s">
        <v>275</v>
      </c>
      <c r="P545" t="s">
        <v>962</v>
      </c>
      <c r="Q545" t="s">
        <v>390</v>
      </c>
      <c r="R545" s="264" t="s">
        <v>224</v>
      </c>
      <c r="S545" s="1" t="s">
        <v>2004</v>
      </c>
      <c r="T545" t="s">
        <v>2005</v>
      </c>
      <c r="U545" t="s">
        <v>2006</v>
      </c>
      <c r="V545">
        <v>0</v>
      </c>
      <c r="W545">
        <v>0</v>
      </c>
      <c r="X545">
        <v>0</v>
      </c>
      <c r="Y545">
        <v>1</v>
      </c>
      <c r="Z545">
        <v>0</v>
      </c>
      <c r="AA545">
        <v>0</v>
      </c>
      <c r="AB545">
        <v>0</v>
      </c>
      <c r="AC545">
        <v>0</v>
      </c>
      <c r="AD545">
        <v>0</v>
      </c>
      <c r="AE545">
        <v>0</v>
      </c>
      <c r="AF545">
        <v>0</v>
      </c>
      <c r="AG545">
        <v>0</v>
      </c>
      <c r="AH545">
        <v>0</v>
      </c>
      <c r="AI545">
        <v>0</v>
      </c>
      <c r="AJ545">
        <v>0</v>
      </c>
      <c r="AK545">
        <v>0</v>
      </c>
      <c r="AL545">
        <v>0</v>
      </c>
      <c r="AM545">
        <v>0</v>
      </c>
      <c r="AN545">
        <v>0</v>
      </c>
      <c r="AO545">
        <v>0</v>
      </c>
      <c r="AP545">
        <v>0</v>
      </c>
      <c r="AQ545">
        <v>0</v>
      </c>
      <c r="AR545">
        <v>0</v>
      </c>
      <c r="AS545">
        <v>0</v>
      </c>
      <c r="AT545">
        <v>0</v>
      </c>
      <c r="AU545">
        <v>0</v>
      </c>
      <c r="AV545">
        <v>0</v>
      </c>
      <c r="AW545">
        <v>0</v>
      </c>
      <c r="AX545" s="141">
        <f>COUNTIF(V545:AW545,"&lt;&gt;0")</f>
        <v>1</v>
      </c>
      <c r="AY545" s="141">
        <f>COUNTIF(V545:AL545,"&lt;&gt;0")</f>
        <v>1</v>
      </c>
      <c r="AZ545">
        <f>COUNTIF(V545:AC545,"&lt;&gt;0")</f>
        <v>1</v>
      </c>
      <c r="BA545">
        <f>COUNTIF(AD545:AI545,"&lt;&gt;0")</f>
        <v>0</v>
      </c>
      <c r="BB545">
        <f>COUNTIF(AJ545:AL545,"&lt;&gt;0")</f>
        <v>0</v>
      </c>
      <c r="BC545">
        <f>COUNTIF(AS545:AW545,"&lt;&gt;0")</f>
        <v>0</v>
      </c>
      <c r="BD545">
        <f>COUNTIF(AM545:AR545,"&lt;&gt;0")</f>
        <v>0</v>
      </c>
      <c r="BE545" t="str">
        <f t="array" ref="BE545">IF(AY545=1,INDEX($V$7:$AL$7,MATCH(TRUE,INDEX($V545:$AW545&lt;&gt;0,),0)),IF(AY545=0,INDEX($AM$7:$AW$7,MATCH(1,$AM545:$AW545,0)),IF(BF545="Multiple strategies","mixed drivers",IF(BF545="Supply chain","multiple supply","multiple silviculture"))))</f>
        <v xml:space="preserve">cutting intensity </v>
      </c>
      <c r="BF545" s="2" t="str" cm="1">
        <f t="array" ref="BF545">IF(COUNTIF(AZ545:BB545,"&lt;&gt;0")=1,INDEX($V$4:$AW$4,MATCH(TRUE,INDEX($V545:$AW545&lt;&gt;0,),0)),IF(COUNTIF(AZ545:BB545,"&lt;&gt;0")=0,INDEX($AM$4:$AW$4,MATCH(1,$AM545:$AW545,0)),"Multiple strategies"))</f>
        <v>SilvicultureRemov</v>
      </c>
      <c r="BG545" s="1" t="s">
        <v>322</v>
      </c>
      <c r="BH545" t="s">
        <v>1998</v>
      </c>
      <c r="BI545" t="s">
        <v>1999</v>
      </c>
      <c r="BJ545" t="s">
        <v>2000</v>
      </c>
      <c r="BK545">
        <v>1</v>
      </c>
      <c r="BL545">
        <v>1</v>
      </c>
      <c r="BM545">
        <v>1</v>
      </c>
      <c r="BN545">
        <f>BL545-BK545</f>
        <v>0</v>
      </c>
      <c r="BO545">
        <f>BN545</f>
        <v>0</v>
      </c>
      <c r="BP545" t="s">
        <v>396</v>
      </c>
      <c r="BQ545" s="266" t="s">
        <v>3185</v>
      </c>
      <c r="BR545" t="s">
        <v>2007</v>
      </c>
      <c r="BS545">
        <v>2.5973154362416099E-2</v>
      </c>
      <c r="BT545">
        <v>2.5973154362416099E-2</v>
      </c>
      <c r="BU545" s="144">
        <v>1</v>
      </c>
      <c r="BV545">
        <f>BT545-BS545</f>
        <v>0</v>
      </c>
      <c r="BX545">
        <v>0</v>
      </c>
      <c r="BY545" t="str">
        <f>IFERROR(BX545/BO545,"")</f>
        <v/>
      </c>
      <c r="BZ545">
        <v>0</v>
      </c>
      <c r="CA545">
        <v>0</v>
      </c>
      <c r="CB545">
        <v>0</v>
      </c>
      <c r="CC545">
        <v>0</v>
      </c>
      <c r="CD545">
        <v>0</v>
      </c>
      <c r="CE545">
        <v>0</v>
      </c>
      <c r="CF545">
        <v>0</v>
      </c>
      <c r="CG545">
        <v>0</v>
      </c>
      <c r="CH545">
        <v>0</v>
      </c>
      <c r="CI545">
        <v>0</v>
      </c>
      <c r="CJ545">
        <v>0</v>
      </c>
      <c r="CK545">
        <v>0</v>
      </c>
      <c r="CL545">
        <v>0</v>
      </c>
      <c r="CM545">
        <v>0</v>
      </c>
      <c r="CN545" t="str">
        <f>IF($BL545&lt;$BK545,"refNeedCorrection","refOK")</f>
        <v>refOK</v>
      </c>
      <c r="CO545">
        <f>IF($CN545="refOK",$BK545,$BL545)</f>
        <v>1</v>
      </c>
      <c r="CP545">
        <f>IF($CN545="refOK",$BL545,$BK545)</f>
        <v>1</v>
      </c>
      <c r="CQ545">
        <f>IF($CN545="refOK",$BO545,-$BO545)</f>
        <v>0</v>
      </c>
      <c r="CR545">
        <f>IF($CN545="refOK",$BS545,$BT545)*IF($BP545="Emissions positive",-1,1)</f>
        <v>-2.5973154362416099E-2</v>
      </c>
      <c r="CS545">
        <f>IF($CN545="refOK",$BT545,$BS545)*IF($BP545="Emissions positive",-1,1)</f>
        <v>-2.5973154362416099E-2</v>
      </c>
      <c r="CT545">
        <f>IF($CN545="refNeedCorrection",-BX545,BX545)*IF($BP545="Emissions positive",-1,1)</f>
        <v>0</v>
      </c>
      <c r="CU545" t="str">
        <f>IFERROR(CT545/CQ545,"")</f>
        <v/>
      </c>
      <c r="CV545" s="2">
        <f>IFERROR((CS545-CR545)/ABS(CR545),"")</f>
        <v>0</v>
      </c>
      <c r="CW545" s="1" t="s">
        <v>1205</v>
      </c>
      <c r="CX545" t="str">
        <f>IF(OR($CW545="prd",$CW545="std",$CW545="cit"),"loc",IF(OR($CW545="eur",$CW545="reg",$CW545="coy"),"reg",$CW545))</f>
        <v>reg</v>
      </c>
      <c r="CY545" t="s">
        <v>963</v>
      </c>
      <c r="CZ545">
        <v>0</v>
      </c>
      <c r="DA545">
        <v>0</v>
      </c>
      <c r="DB545">
        <v>0</v>
      </c>
      <c r="DC545" t="str">
        <f>IF(DB545=0,"0",IF(AND(DB545&gt;=1,DB545&lt;=30),"1-30",IF(AND(DB545&gt;30,DB545&lt;=70),"31-70",IF(AND(DB545&gt;70,DB545&lt;=100),"71-100",IF(DB545&gt;100,"+100")))))</f>
        <v>0</v>
      </c>
      <c r="DD545">
        <v>1</v>
      </c>
      <c r="DE545">
        <v>0</v>
      </c>
      <c r="DF545">
        <v>0</v>
      </c>
      <c r="DG545">
        <v>0</v>
      </c>
      <c r="DI545">
        <v>1</v>
      </c>
      <c r="DJ545" t="str">
        <f>IF(DI545=1,INDEX($DD$7:$DG$7,MATCH(1,$DD545:$DG545,0)),"mixedProduct")</f>
        <v>UpstreamInput</v>
      </c>
      <c r="DK545" t="str">
        <f>IF(DD545=1,DK$7,0)</f>
        <v>Upstream</v>
      </c>
      <c r="DL545">
        <f>IF(DE545=1,DL$7,0)</f>
        <v>0</v>
      </c>
      <c r="DM545">
        <f>IF(DF545=1,DM$7,0)</f>
        <v>0</v>
      </c>
      <c r="DN545">
        <f>IF(DG545=1,DN$7,0)</f>
        <v>0</v>
      </c>
      <c r="DO545">
        <v>0</v>
      </c>
      <c r="DP545">
        <v>0</v>
      </c>
      <c r="DQ545">
        <v>0</v>
      </c>
      <c r="DR545">
        <v>0</v>
      </c>
      <c r="DS545">
        <v>0</v>
      </c>
      <c r="DT545">
        <f>SUM(DO545:DP545)</f>
        <v>0</v>
      </c>
      <c r="DU545" s="143" t="s">
        <v>964</v>
      </c>
      <c r="DV545">
        <v>0</v>
      </c>
      <c r="DW545">
        <v>0</v>
      </c>
      <c r="DX545">
        <v>0</v>
      </c>
      <c r="DY545">
        <v>0</v>
      </c>
      <c r="DZ545">
        <v>0</v>
      </c>
      <c r="EA545" s="143">
        <v>0</v>
      </c>
      <c r="EB545">
        <v>1</v>
      </c>
      <c r="EC545">
        <v>0</v>
      </c>
      <c r="ED545">
        <v>0</v>
      </c>
      <c r="EE545">
        <v>0</v>
      </c>
      <c r="EF545">
        <v>0</v>
      </c>
      <c r="EG545">
        <v>0</v>
      </c>
      <c r="EH545">
        <v>0</v>
      </c>
      <c r="EI545" s="2">
        <v>0</v>
      </c>
      <c r="EJ545"/>
      <c r="EK545" t="str">
        <f>IF(AND(AND(AND(OR($DX545=1,$DW545=1),OR($EC545=1,$EA545=1)),SUM($DV545:$DZ545,$EF545)&gt;=4),SUM($EA545:$EE545)&gt;=2),"Whole sector","")</f>
        <v/>
      </c>
      <c r="EL545" t="str">
        <f>IF(AND(AND(OR($DX545=1,$DW545=1),AND($EC545=0,$EA545=0)),SUM($DV545:$DZ545,$EF545)&gt;=4),"Ecosystem approach","")</f>
        <v/>
      </c>
      <c r="EM545" s="2" t="str">
        <f>IF(AND(AND(AND($DX545=0,$DW545=0),OR($EC545=1,$EA545=1)),SUM($EB545:$EE545)&gt;=2),"Technology approach","")</f>
        <v/>
      </c>
      <c r="EP545" t="b">
        <f>IF(ISNUMBER(BU545),IF(ABS(BU545-[2]QC_indicators!$B$2)&gt;3*[2]QC_indicators!$C$2,"C ratio",IF(ISNUMBER(BY545),IF(ABS(BY545-[2]QC_indicators!$B$1)&gt;3*[2]QC_indicators!$C$1,"DF","no"))),IF(ISNUMBER(BY545),IF(ABS(BY545-[2]QC_indicators!$B$1)&gt;3*[2]QC_indicators!$C$1,"DF","no")))</f>
        <v>0</v>
      </c>
      <c r="ET545" s="266" t="s">
        <v>3184</v>
      </c>
    </row>
    <row r="546" spans="1:150" ht="15" hidden="1" customHeight="1">
      <c r="A546" s="1" t="s">
        <v>588</v>
      </c>
      <c r="B546" t="s">
        <v>1989</v>
      </c>
      <c r="C546" t="s">
        <v>1990</v>
      </c>
      <c r="D546" t="s">
        <v>1991</v>
      </c>
      <c r="E546" t="s">
        <v>1992</v>
      </c>
      <c r="F546" t="s">
        <v>1993</v>
      </c>
      <c r="G546" t="s">
        <v>594</v>
      </c>
      <c r="H546" t="s">
        <v>255</v>
      </c>
      <c r="I546">
        <v>2018</v>
      </c>
      <c r="J546">
        <v>7</v>
      </c>
      <c r="K546" t="s">
        <v>1994</v>
      </c>
      <c r="M546" t="str">
        <f>LEFT($D546,FIND(",",$D546)-1)&amp;"_"&amp;I546&amp;L546</f>
        <v>Nakano_2018</v>
      </c>
      <c r="N546" t="s">
        <v>223</v>
      </c>
      <c r="O546" s="157" t="s">
        <v>275</v>
      </c>
      <c r="P546" t="s">
        <v>962</v>
      </c>
      <c r="Q546" t="s">
        <v>390</v>
      </c>
      <c r="R546" s="264" t="s">
        <v>224</v>
      </c>
      <c r="S546" s="1" t="s">
        <v>2008</v>
      </c>
      <c r="T546" t="s">
        <v>2009</v>
      </c>
      <c r="U546" t="s">
        <v>2010</v>
      </c>
      <c r="V546">
        <v>0</v>
      </c>
      <c r="W546">
        <v>0</v>
      </c>
      <c r="X546">
        <v>0</v>
      </c>
      <c r="Y546">
        <v>1</v>
      </c>
      <c r="Z546">
        <v>0</v>
      </c>
      <c r="AA546">
        <v>0</v>
      </c>
      <c r="AB546">
        <v>0</v>
      </c>
      <c r="AC546">
        <v>0</v>
      </c>
      <c r="AD546">
        <v>0</v>
      </c>
      <c r="AE546">
        <v>0</v>
      </c>
      <c r="AF546">
        <v>0</v>
      </c>
      <c r="AG546">
        <v>0</v>
      </c>
      <c r="AH546">
        <v>0</v>
      </c>
      <c r="AI546">
        <v>0</v>
      </c>
      <c r="AJ546">
        <v>0</v>
      </c>
      <c r="AK546">
        <v>0</v>
      </c>
      <c r="AL546">
        <v>0</v>
      </c>
      <c r="AM546">
        <v>0</v>
      </c>
      <c r="AN546">
        <v>0</v>
      </c>
      <c r="AO546">
        <v>0</v>
      </c>
      <c r="AP546">
        <v>0</v>
      </c>
      <c r="AQ546">
        <v>0</v>
      </c>
      <c r="AR546">
        <v>0</v>
      </c>
      <c r="AS546">
        <v>0</v>
      </c>
      <c r="AT546">
        <v>0</v>
      </c>
      <c r="AU546">
        <v>0</v>
      </c>
      <c r="AV546">
        <v>0</v>
      </c>
      <c r="AW546">
        <v>0</v>
      </c>
      <c r="AX546" s="141">
        <f>COUNTIF(V546:AW546,"&lt;&gt;0")</f>
        <v>1</v>
      </c>
      <c r="AY546" s="141">
        <f>COUNTIF(V546:AL546,"&lt;&gt;0")</f>
        <v>1</v>
      </c>
      <c r="AZ546">
        <f>COUNTIF(V546:AC546,"&lt;&gt;0")</f>
        <v>1</v>
      </c>
      <c r="BA546">
        <f>COUNTIF(AD546:AI546,"&lt;&gt;0")</f>
        <v>0</v>
      </c>
      <c r="BB546">
        <f>COUNTIF(AJ546:AL546,"&lt;&gt;0")</f>
        <v>0</v>
      </c>
      <c r="BC546">
        <f>COUNTIF(AS546:AW546,"&lt;&gt;0")</f>
        <v>0</v>
      </c>
      <c r="BD546">
        <f>COUNTIF(AM546:AR546,"&lt;&gt;0")</f>
        <v>0</v>
      </c>
      <c r="BE546" t="str">
        <f t="array" ref="BE546">IF(AY546=1,INDEX($V$7:$AL$7,MATCH(TRUE,INDEX($V546:$AW546&lt;&gt;0,),0)),IF(AY546=0,INDEX($AM$7:$AW$7,MATCH(1,$AM546:$AW546,0)),IF(BF546="Multiple strategies","mixed drivers",IF(BF546="Supply chain","multiple supply","multiple silviculture"))))</f>
        <v xml:space="preserve">cutting intensity </v>
      </c>
      <c r="BF546" s="2" t="str" cm="1">
        <f t="array" ref="BF546">IF(COUNTIF(AZ546:BB546,"&lt;&gt;0")=1,INDEX($V$4:$AW$4,MATCH(TRUE,INDEX($V546:$AW546&lt;&gt;0,),0)),IF(COUNTIF(AZ546:BB546,"&lt;&gt;0")=0,INDEX($AM$4:$AW$4,MATCH(1,$AM546:$AW546,0)),"Multiple strategies"))</f>
        <v>SilvicultureRemov</v>
      </c>
      <c r="BG546" s="1" t="s">
        <v>322</v>
      </c>
      <c r="BH546" t="s">
        <v>1998</v>
      </c>
      <c r="BI546" t="s">
        <v>1999</v>
      </c>
      <c r="BJ546" t="s">
        <v>2000</v>
      </c>
      <c r="BK546">
        <v>1</v>
      </c>
      <c r="BL546">
        <v>1</v>
      </c>
      <c r="BM546">
        <v>1</v>
      </c>
      <c r="BN546">
        <f>BL546-BK546</f>
        <v>0</v>
      </c>
      <c r="BO546">
        <f>BN546</f>
        <v>0</v>
      </c>
      <c r="BP546" t="s">
        <v>396</v>
      </c>
      <c r="BQ546" s="266" t="s">
        <v>3185</v>
      </c>
      <c r="BR546" t="s">
        <v>2007</v>
      </c>
      <c r="BS546">
        <v>2.1208053691275101E-2</v>
      </c>
      <c r="BT546">
        <v>2.2080536912751601E-2</v>
      </c>
      <c r="BU546" s="144">
        <v>1.0411392405063289</v>
      </c>
      <c r="BV546">
        <f>BT546-BS546</f>
        <v>8.7248322147650062E-4</v>
      </c>
      <c r="BX546">
        <v>8.7248322147650062E-4</v>
      </c>
      <c r="BY546" t="str">
        <f>IFERROR(BX546/BO546,"")</f>
        <v/>
      </c>
      <c r="BZ546">
        <v>0</v>
      </c>
      <c r="CA546">
        <v>0</v>
      </c>
      <c r="CB546">
        <v>0</v>
      </c>
      <c r="CC546">
        <v>0</v>
      </c>
      <c r="CD546">
        <v>0</v>
      </c>
      <c r="CE546">
        <v>0</v>
      </c>
      <c r="CF546">
        <v>0</v>
      </c>
      <c r="CG546">
        <v>0</v>
      </c>
      <c r="CH546">
        <v>0</v>
      </c>
      <c r="CI546">
        <v>0</v>
      </c>
      <c r="CJ546">
        <v>0</v>
      </c>
      <c r="CK546">
        <v>0</v>
      </c>
      <c r="CL546">
        <v>0</v>
      </c>
      <c r="CM546">
        <v>0</v>
      </c>
      <c r="CN546" t="str">
        <f>IF($BL546&lt;$BK546,"refNeedCorrection","refOK")</f>
        <v>refOK</v>
      </c>
      <c r="CO546">
        <f>IF($CN546="refOK",$BK546,$BL546)</f>
        <v>1</v>
      </c>
      <c r="CP546">
        <f>IF($CN546="refOK",$BL546,$BK546)</f>
        <v>1</v>
      </c>
      <c r="CQ546">
        <f>IF($CN546="refOK",$BO546,-$BO546)</f>
        <v>0</v>
      </c>
      <c r="CR546">
        <f>IF($CN546="refOK",$BS546,$BT546)*IF($BP546="Emissions positive",-1,1)</f>
        <v>-2.1208053691275101E-2</v>
      </c>
      <c r="CS546">
        <f>IF($CN546="refOK",$BT546,$BS546)*IF($BP546="Emissions positive",-1,1)</f>
        <v>-2.2080536912751601E-2</v>
      </c>
      <c r="CT546">
        <f>IF($CN546="refNeedCorrection",-BX546,BX546)*IF($BP546="Emissions positive",-1,1)</f>
        <v>-8.7248322147650062E-4</v>
      </c>
      <c r="CU546" t="str">
        <f>IFERROR(CT546/CQ546,"")</f>
        <v/>
      </c>
      <c r="CV546" s="2">
        <f>IFERROR((CS546-CR546)/ABS(CR546),"")</f>
        <v>-4.1139240506328799E-2</v>
      </c>
      <c r="CW546" s="1" t="s">
        <v>1205</v>
      </c>
      <c r="CX546" t="str">
        <f>IF(OR($CW546="prd",$CW546="std",$CW546="cit"),"loc",IF(OR($CW546="eur",$CW546="reg",$CW546="coy"),"reg",$CW546))</f>
        <v>reg</v>
      </c>
      <c r="CY546" t="s">
        <v>963</v>
      </c>
      <c r="CZ546">
        <v>0</v>
      </c>
      <c r="DA546">
        <v>0</v>
      </c>
      <c r="DB546">
        <v>0</v>
      </c>
      <c r="DC546" t="str">
        <f>IF(DB546=0,"0",IF(AND(DB546&gt;=1,DB546&lt;=30),"1-30",IF(AND(DB546&gt;30,DB546&lt;=70),"31-70",IF(AND(DB546&gt;70,DB546&lt;=100),"71-100",IF(DB546&gt;100,"+100")))))</f>
        <v>0</v>
      </c>
      <c r="DD546">
        <v>1</v>
      </c>
      <c r="DE546">
        <v>0</v>
      </c>
      <c r="DF546">
        <v>0</v>
      </c>
      <c r="DG546">
        <v>0</v>
      </c>
      <c r="DI546">
        <v>1</v>
      </c>
      <c r="DJ546" t="str">
        <f>IF(DI546=1,INDEX($DD$7:$DG$7,MATCH(1,$DD546:$DG546,0)),"mixedProduct")</f>
        <v>UpstreamInput</v>
      </c>
      <c r="DK546" t="str">
        <f>IF(DD546=1,DK$7,0)</f>
        <v>Upstream</v>
      </c>
      <c r="DL546">
        <f>IF(DE546=1,DL$7,0)</f>
        <v>0</v>
      </c>
      <c r="DM546">
        <f>IF(DF546=1,DM$7,0)</f>
        <v>0</v>
      </c>
      <c r="DN546">
        <f>IF(DG546=1,DN$7,0)</f>
        <v>0</v>
      </c>
      <c r="DO546">
        <v>0</v>
      </c>
      <c r="DP546">
        <v>0</v>
      </c>
      <c r="DQ546">
        <v>0</v>
      </c>
      <c r="DR546">
        <v>0</v>
      </c>
      <c r="DS546">
        <v>0</v>
      </c>
      <c r="DT546">
        <f>SUM(DO546:DP546)</f>
        <v>0</v>
      </c>
      <c r="DU546" s="143" t="s">
        <v>964</v>
      </c>
      <c r="DV546">
        <v>0</v>
      </c>
      <c r="DW546">
        <v>0</v>
      </c>
      <c r="DX546">
        <v>0</v>
      </c>
      <c r="DY546">
        <v>0</v>
      </c>
      <c r="DZ546">
        <v>0</v>
      </c>
      <c r="EA546" s="143">
        <v>0</v>
      </c>
      <c r="EB546">
        <v>1</v>
      </c>
      <c r="EC546">
        <v>0</v>
      </c>
      <c r="ED546">
        <v>0</v>
      </c>
      <c r="EE546">
        <v>0</v>
      </c>
      <c r="EF546">
        <v>0</v>
      </c>
      <c r="EG546">
        <v>0</v>
      </c>
      <c r="EH546">
        <v>0</v>
      </c>
      <c r="EI546" s="2">
        <v>0</v>
      </c>
      <c r="EJ546"/>
      <c r="EK546" t="str">
        <f>IF(AND(AND(AND(OR($DX546=1,$DW546=1),OR($EC546=1,$EA546=1)),SUM($DV546:$DZ546,$EF546)&gt;=4),SUM($EA546:$EE546)&gt;=2),"Whole sector","")</f>
        <v/>
      </c>
      <c r="EL546" t="str">
        <f>IF(AND(AND(OR($DX546=1,$DW546=1),AND($EC546=0,$EA546=0)),SUM($DV546:$DZ546,$EF546)&gt;=4),"Ecosystem approach","")</f>
        <v/>
      </c>
      <c r="EM546" s="2" t="str">
        <f>IF(AND(AND(AND($DX546=0,$DW546=0),OR($EC546=1,$EA546=1)),SUM($EB546:$EE546)&gt;=2),"Technology approach","")</f>
        <v/>
      </c>
      <c r="EP546" t="b">
        <f>IF(ISNUMBER(BU546),IF(ABS(BU546-[2]QC_indicators!$B$2)&gt;3*[2]QC_indicators!$C$2,"C ratio",IF(ISNUMBER(BY546),IF(ABS(BY546-[2]QC_indicators!$B$1)&gt;3*[2]QC_indicators!$C$1,"DF","no"))),IF(ISNUMBER(BY546),IF(ABS(BY546-[2]QC_indicators!$B$1)&gt;3*[2]QC_indicators!$C$1,"DF","no")))</f>
        <v>0</v>
      </c>
      <c r="ET546" s="266" t="s">
        <v>3184</v>
      </c>
    </row>
    <row r="547" spans="1:150" ht="15" hidden="1" customHeight="1">
      <c r="A547" s="1" t="s">
        <v>588</v>
      </c>
      <c r="B547" t="s">
        <v>1989</v>
      </c>
      <c r="C547" t="s">
        <v>1990</v>
      </c>
      <c r="D547" t="s">
        <v>1991</v>
      </c>
      <c r="E547" t="s">
        <v>1992</v>
      </c>
      <c r="F547" t="s">
        <v>1993</v>
      </c>
      <c r="G547" t="s">
        <v>594</v>
      </c>
      <c r="H547" t="s">
        <v>255</v>
      </c>
      <c r="I547">
        <v>2018</v>
      </c>
      <c r="J547">
        <v>7</v>
      </c>
      <c r="K547" t="s">
        <v>1994</v>
      </c>
      <c r="M547" t="str">
        <f>LEFT($D547,FIND(",",$D547)-1)&amp;"_"&amp;I547&amp;L547</f>
        <v>Nakano_2018</v>
      </c>
      <c r="N547" t="s">
        <v>223</v>
      </c>
      <c r="O547" s="157" t="s">
        <v>275</v>
      </c>
      <c r="P547" t="s">
        <v>962</v>
      </c>
      <c r="Q547" t="s">
        <v>390</v>
      </c>
      <c r="R547" s="264" t="s">
        <v>224</v>
      </c>
      <c r="S547" s="1" t="s">
        <v>2004</v>
      </c>
      <c r="T547" t="s">
        <v>2011</v>
      </c>
      <c r="U547" t="s">
        <v>2012</v>
      </c>
      <c r="V547">
        <v>0</v>
      </c>
      <c r="W547">
        <v>0</v>
      </c>
      <c r="X547">
        <v>0</v>
      </c>
      <c r="Y547">
        <v>1</v>
      </c>
      <c r="Z547">
        <v>0</v>
      </c>
      <c r="AA547">
        <v>0</v>
      </c>
      <c r="AB547">
        <v>0</v>
      </c>
      <c r="AC547">
        <v>0</v>
      </c>
      <c r="AD547">
        <v>0</v>
      </c>
      <c r="AE547">
        <v>0</v>
      </c>
      <c r="AF547">
        <v>0</v>
      </c>
      <c r="AG547">
        <v>0</v>
      </c>
      <c r="AH547">
        <v>0</v>
      </c>
      <c r="AI547">
        <v>0</v>
      </c>
      <c r="AJ547">
        <v>0</v>
      </c>
      <c r="AK547">
        <v>0</v>
      </c>
      <c r="AL547">
        <v>0</v>
      </c>
      <c r="AM547">
        <v>0</v>
      </c>
      <c r="AN547">
        <v>0</v>
      </c>
      <c r="AO547">
        <v>0</v>
      </c>
      <c r="AP547">
        <v>0</v>
      </c>
      <c r="AQ547">
        <v>0</v>
      </c>
      <c r="AR547">
        <v>0</v>
      </c>
      <c r="AS547">
        <v>0</v>
      </c>
      <c r="AT547">
        <v>0</v>
      </c>
      <c r="AU547">
        <v>0</v>
      </c>
      <c r="AV547">
        <v>0</v>
      </c>
      <c r="AW547">
        <v>0</v>
      </c>
      <c r="AX547" s="141">
        <f>COUNTIF(V547:AW547,"&lt;&gt;0")</f>
        <v>1</v>
      </c>
      <c r="AY547" s="141">
        <f>COUNTIF(V547:AL547,"&lt;&gt;0")</f>
        <v>1</v>
      </c>
      <c r="AZ547">
        <f>COUNTIF(V547:AC547,"&lt;&gt;0")</f>
        <v>1</v>
      </c>
      <c r="BA547">
        <f>COUNTIF(AD547:AI547,"&lt;&gt;0")</f>
        <v>0</v>
      </c>
      <c r="BB547">
        <f>COUNTIF(AJ547:AL547,"&lt;&gt;0")</f>
        <v>0</v>
      </c>
      <c r="BC547">
        <f>COUNTIF(AS547:AW547,"&lt;&gt;0")</f>
        <v>0</v>
      </c>
      <c r="BD547">
        <f>COUNTIF(AM547:AR547,"&lt;&gt;0")</f>
        <v>0</v>
      </c>
      <c r="BE547" t="str">
        <f t="array" ref="BE547">IF(AY547=1,INDEX($V$7:$AL$7,MATCH(TRUE,INDEX($V547:$AW547&lt;&gt;0,),0)),IF(AY547=0,INDEX($AM$7:$AW$7,MATCH(1,$AM547:$AW547,0)),IF(BF547="Multiple strategies","mixed drivers",IF(BF547="Supply chain","multiple supply","multiple silviculture"))))</f>
        <v xml:space="preserve">cutting intensity </v>
      </c>
      <c r="BF547" s="2" t="str" cm="1">
        <f t="array" ref="BF547">IF(COUNTIF(AZ547:BB547,"&lt;&gt;0")=1,INDEX($V$4:$AW$4,MATCH(TRUE,INDEX($V547:$AW547&lt;&gt;0,),0)),IF(COUNTIF(AZ547:BB547,"&lt;&gt;0")=0,INDEX($AM$4:$AW$4,MATCH(1,$AM547:$AW547,0)),"Multiple strategies"))</f>
        <v>SilvicultureRemov</v>
      </c>
      <c r="BG547" s="1" t="s">
        <v>322</v>
      </c>
      <c r="BH547" t="s">
        <v>1998</v>
      </c>
      <c r="BI547" t="s">
        <v>1999</v>
      </c>
      <c r="BJ547" t="s">
        <v>2000</v>
      </c>
      <c r="BK547">
        <v>1</v>
      </c>
      <c r="BL547">
        <v>1</v>
      </c>
      <c r="BM547">
        <v>1</v>
      </c>
      <c r="BN547">
        <f>BL547-BK547</f>
        <v>0</v>
      </c>
      <c r="BO547">
        <f>BN547</f>
        <v>0</v>
      </c>
      <c r="BP547" t="s">
        <v>396</v>
      </c>
      <c r="BQ547" s="266" t="s">
        <v>3185</v>
      </c>
      <c r="BR547" t="s">
        <v>2007</v>
      </c>
      <c r="BS547">
        <v>2.43624161073825E-2</v>
      </c>
      <c r="BT547">
        <v>2.5234899328859001E-2</v>
      </c>
      <c r="BU547" s="144">
        <v>1.0358126721763081</v>
      </c>
      <c r="BV547">
        <f>BT547-BS547</f>
        <v>8.7248322147650062E-4</v>
      </c>
      <c r="BX547">
        <v>8.7248322147650062E-4</v>
      </c>
      <c r="BY547" t="str">
        <f>IFERROR(BX547/BO547,"")</f>
        <v/>
      </c>
      <c r="BZ547">
        <v>0</v>
      </c>
      <c r="CA547">
        <v>0</v>
      </c>
      <c r="CB547">
        <v>0</v>
      </c>
      <c r="CC547">
        <v>0</v>
      </c>
      <c r="CD547">
        <v>0</v>
      </c>
      <c r="CE547">
        <v>0</v>
      </c>
      <c r="CF547">
        <v>0</v>
      </c>
      <c r="CG547">
        <v>0</v>
      </c>
      <c r="CH547">
        <v>0</v>
      </c>
      <c r="CI547">
        <v>0</v>
      </c>
      <c r="CJ547">
        <v>0</v>
      </c>
      <c r="CK547">
        <v>0</v>
      </c>
      <c r="CL547">
        <v>0</v>
      </c>
      <c r="CM547">
        <v>0</v>
      </c>
      <c r="CN547" t="str">
        <f>IF($BL547&lt;$BK547,"refNeedCorrection","refOK")</f>
        <v>refOK</v>
      </c>
      <c r="CO547">
        <f>IF($CN547="refOK",$BK547,$BL547)</f>
        <v>1</v>
      </c>
      <c r="CP547">
        <f>IF($CN547="refOK",$BL547,$BK547)</f>
        <v>1</v>
      </c>
      <c r="CQ547">
        <f>IF($CN547="refOK",$BO547,-$BO547)</f>
        <v>0</v>
      </c>
      <c r="CR547">
        <f>IF($CN547="refOK",$BS547,$BT547)*IF($BP547="Emissions positive",-1,1)</f>
        <v>-2.43624161073825E-2</v>
      </c>
      <c r="CS547">
        <f>IF($CN547="refOK",$BT547,$BS547)*IF($BP547="Emissions positive",-1,1)</f>
        <v>-2.5234899328859001E-2</v>
      </c>
      <c r="CT547">
        <f>IF($CN547="refNeedCorrection",-BX547,BX547)*IF($BP547="Emissions positive",-1,1)</f>
        <v>-8.7248322147650062E-4</v>
      </c>
      <c r="CU547" t="str">
        <f>IFERROR(CT547/CQ547,"")</f>
        <v/>
      </c>
      <c r="CV547" s="2">
        <f>IFERROR((CS547-CR547)/ABS(CR547),"")</f>
        <v>-3.5812672176308229E-2</v>
      </c>
      <c r="CW547" s="1" t="s">
        <v>1205</v>
      </c>
      <c r="CX547" t="str">
        <f>IF(OR($CW547="prd",$CW547="std",$CW547="cit"),"loc",IF(OR($CW547="eur",$CW547="reg",$CW547="coy"),"reg",$CW547))</f>
        <v>reg</v>
      </c>
      <c r="CY547" t="s">
        <v>963</v>
      </c>
      <c r="CZ547">
        <v>0</v>
      </c>
      <c r="DA547">
        <v>0</v>
      </c>
      <c r="DB547">
        <v>0</v>
      </c>
      <c r="DC547" t="str">
        <f>IF(DB547=0,"0",IF(AND(DB547&gt;=1,DB547&lt;=30),"1-30",IF(AND(DB547&gt;30,DB547&lt;=70),"31-70",IF(AND(DB547&gt;70,DB547&lt;=100),"71-100",IF(DB547&gt;100,"+100")))))</f>
        <v>0</v>
      </c>
      <c r="DD547">
        <v>1</v>
      </c>
      <c r="DE547">
        <v>0</v>
      </c>
      <c r="DF547">
        <v>0</v>
      </c>
      <c r="DG547">
        <v>0</v>
      </c>
      <c r="DI547">
        <v>1</v>
      </c>
      <c r="DJ547" t="str">
        <f>IF(DI547=1,INDEX($DD$7:$DG$7,MATCH(1,$DD547:$DG547,0)),"mixedProduct")</f>
        <v>UpstreamInput</v>
      </c>
      <c r="DK547" t="str">
        <f>IF(DD547=1,DK$7,0)</f>
        <v>Upstream</v>
      </c>
      <c r="DL547">
        <f>IF(DE547=1,DL$7,0)</f>
        <v>0</v>
      </c>
      <c r="DM547">
        <f>IF(DF547=1,DM$7,0)</f>
        <v>0</v>
      </c>
      <c r="DN547">
        <f>IF(DG547=1,DN$7,0)</f>
        <v>0</v>
      </c>
      <c r="DO547">
        <v>0</v>
      </c>
      <c r="DP547">
        <v>0</v>
      </c>
      <c r="DQ547">
        <v>0</v>
      </c>
      <c r="DR547">
        <v>0</v>
      </c>
      <c r="DS547">
        <v>0</v>
      </c>
      <c r="DT547">
        <f>SUM(DO547:DP547)</f>
        <v>0</v>
      </c>
      <c r="DU547" s="143" t="s">
        <v>964</v>
      </c>
      <c r="DV547">
        <v>0</v>
      </c>
      <c r="DW547">
        <v>0</v>
      </c>
      <c r="DX547">
        <v>0</v>
      </c>
      <c r="DY547">
        <v>0</v>
      </c>
      <c r="DZ547">
        <v>0</v>
      </c>
      <c r="EA547" s="143">
        <v>0</v>
      </c>
      <c r="EB547">
        <v>1</v>
      </c>
      <c r="EC547">
        <v>0</v>
      </c>
      <c r="ED547">
        <v>0</v>
      </c>
      <c r="EE547">
        <v>0</v>
      </c>
      <c r="EF547">
        <v>0</v>
      </c>
      <c r="EG547">
        <v>0</v>
      </c>
      <c r="EH547">
        <v>0</v>
      </c>
      <c r="EI547" s="2">
        <v>0</v>
      </c>
      <c r="EJ547"/>
      <c r="EK547" t="str">
        <f>IF(AND(AND(AND(OR($DX547=1,$DW547=1),OR($EC547=1,$EA547=1)),SUM($DV547:$DZ547,$EF547)&gt;=4),SUM($EA547:$EE547)&gt;=2),"Whole sector","")</f>
        <v/>
      </c>
      <c r="EL547" t="str">
        <f>IF(AND(AND(OR($DX547=1,$DW547=1),AND($EC547=0,$EA547=0)),SUM($DV547:$DZ547,$EF547)&gt;=4),"Ecosystem approach","")</f>
        <v/>
      </c>
      <c r="EM547" s="2" t="str">
        <f>IF(AND(AND(AND($DX547=0,$DW547=0),OR($EC547=1,$EA547=1)),SUM($EB547:$EE547)&gt;=2),"Technology approach","")</f>
        <v/>
      </c>
      <c r="EP547" t="b">
        <f>IF(ISNUMBER(BU547),IF(ABS(BU547-[2]QC_indicators!$B$2)&gt;3*[2]QC_indicators!$C$2,"C ratio",IF(ISNUMBER(BY547),IF(ABS(BY547-[2]QC_indicators!$B$1)&gt;3*[2]QC_indicators!$C$1,"DF","no"))),IF(ISNUMBER(BY547),IF(ABS(BY547-[2]QC_indicators!$B$1)&gt;3*[2]QC_indicators!$C$1,"DF","no")))</f>
        <v>0</v>
      </c>
      <c r="ET547" s="266" t="s">
        <v>3184</v>
      </c>
    </row>
    <row r="548" spans="1:150" ht="15" hidden="1" customHeight="1">
      <c r="A548" s="1" t="s">
        <v>588</v>
      </c>
      <c r="B548" t="s">
        <v>1989</v>
      </c>
      <c r="C548" t="s">
        <v>1990</v>
      </c>
      <c r="D548" t="s">
        <v>1991</v>
      </c>
      <c r="E548" t="s">
        <v>1992</v>
      </c>
      <c r="F548" t="s">
        <v>1993</v>
      </c>
      <c r="G548" t="s">
        <v>594</v>
      </c>
      <c r="H548" t="s">
        <v>255</v>
      </c>
      <c r="I548">
        <v>2018</v>
      </c>
      <c r="J548">
        <v>7</v>
      </c>
      <c r="K548" t="s">
        <v>1994</v>
      </c>
      <c r="M548" t="str">
        <f>LEFT($D548,FIND(",",$D548)-1)&amp;"_"&amp;I548&amp;L548</f>
        <v>Nakano_2018</v>
      </c>
      <c r="N548" t="s">
        <v>223</v>
      </c>
      <c r="O548" s="157" t="s">
        <v>275</v>
      </c>
      <c r="P548" t="s">
        <v>962</v>
      </c>
      <c r="Q548" t="s">
        <v>390</v>
      </c>
      <c r="R548" s="264" t="s">
        <v>224</v>
      </c>
      <c r="S548" s="1" t="s">
        <v>2004</v>
      </c>
      <c r="T548" t="s">
        <v>2013</v>
      </c>
      <c r="U548" t="s">
        <v>2014</v>
      </c>
      <c r="V548">
        <v>0</v>
      </c>
      <c r="W548">
        <v>0</v>
      </c>
      <c r="X548">
        <v>0</v>
      </c>
      <c r="Y548">
        <v>1</v>
      </c>
      <c r="Z548">
        <v>0</v>
      </c>
      <c r="AA548">
        <v>0</v>
      </c>
      <c r="AB548">
        <v>0</v>
      </c>
      <c r="AC548">
        <v>0</v>
      </c>
      <c r="AD548">
        <v>0</v>
      </c>
      <c r="AE548">
        <v>0</v>
      </c>
      <c r="AF548">
        <v>0</v>
      </c>
      <c r="AG548">
        <v>0</v>
      </c>
      <c r="AH548">
        <v>0</v>
      </c>
      <c r="AI548">
        <v>0</v>
      </c>
      <c r="AJ548">
        <v>0</v>
      </c>
      <c r="AK548">
        <v>0</v>
      </c>
      <c r="AL548">
        <v>0</v>
      </c>
      <c r="AM548">
        <v>0</v>
      </c>
      <c r="AN548">
        <v>0</v>
      </c>
      <c r="AO548">
        <v>0</v>
      </c>
      <c r="AP548">
        <v>0</v>
      </c>
      <c r="AQ548">
        <v>0</v>
      </c>
      <c r="AR548">
        <v>0</v>
      </c>
      <c r="AS548">
        <v>0</v>
      </c>
      <c r="AT548">
        <v>0</v>
      </c>
      <c r="AU548">
        <v>0</v>
      </c>
      <c r="AV548">
        <v>0</v>
      </c>
      <c r="AW548">
        <v>0</v>
      </c>
      <c r="AX548" s="141">
        <f>COUNTIF(V548:AW548,"&lt;&gt;0")</f>
        <v>1</v>
      </c>
      <c r="AY548" s="141">
        <f>COUNTIF(V548:AL548,"&lt;&gt;0")</f>
        <v>1</v>
      </c>
      <c r="AZ548">
        <f>COUNTIF(V548:AC548,"&lt;&gt;0")</f>
        <v>1</v>
      </c>
      <c r="BA548">
        <f>COUNTIF(AD548:AI548,"&lt;&gt;0")</f>
        <v>0</v>
      </c>
      <c r="BB548">
        <f>COUNTIF(AJ548:AL548,"&lt;&gt;0")</f>
        <v>0</v>
      </c>
      <c r="BC548">
        <f>COUNTIF(AS548:AW548,"&lt;&gt;0")</f>
        <v>0</v>
      </c>
      <c r="BD548">
        <f>COUNTIF(AM548:AR548,"&lt;&gt;0")</f>
        <v>0</v>
      </c>
      <c r="BE548" t="str">
        <f t="array" ref="BE548">IF(AY548=1,INDEX($V$7:$AL$7,MATCH(TRUE,INDEX($V548:$AW548&lt;&gt;0,),0)),IF(AY548=0,INDEX($AM$7:$AW$7,MATCH(1,$AM548:$AW548,0)),IF(BF548="Multiple strategies","mixed drivers",IF(BF548="Supply chain","multiple supply","multiple silviculture"))))</f>
        <v xml:space="preserve">cutting intensity </v>
      </c>
      <c r="BF548" s="2" t="str" cm="1">
        <f t="array" ref="BF548">IF(COUNTIF(AZ548:BB548,"&lt;&gt;0")=1,INDEX($V$4:$AW$4,MATCH(TRUE,INDEX($V548:$AW548&lt;&gt;0,),0)),IF(COUNTIF(AZ548:BB548,"&lt;&gt;0")=0,INDEX($AM$4:$AW$4,MATCH(1,$AM548:$AW548,0)),"Multiple strategies"))</f>
        <v>SilvicultureRemov</v>
      </c>
      <c r="BG548" s="1" t="s">
        <v>322</v>
      </c>
      <c r="BH548" t="s">
        <v>1998</v>
      </c>
      <c r="BI548" t="s">
        <v>1999</v>
      </c>
      <c r="BJ548" t="s">
        <v>2000</v>
      </c>
      <c r="BK548">
        <v>1</v>
      </c>
      <c r="BL548">
        <v>1</v>
      </c>
      <c r="BM548">
        <v>1</v>
      </c>
      <c r="BN548">
        <f>BL548-BK548</f>
        <v>0</v>
      </c>
      <c r="BO548">
        <f>BN548</f>
        <v>0</v>
      </c>
      <c r="BP548" t="s">
        <v>396</v>
      </c>
      <c r="BQ548" s="266" t="s">
        <v>3185</v>
      </c>
      <c r="BR548" t="s">
        <v>2007</v>
      </c>
      <c r="BS548">
        <v>2.5033557046979803E-2</v>
      </c>
      <c r="BT548">
        <v>2.5771812080536902E-2</v>
      </c>
      <c r="BU548" s="144">
        <v>1.0294906166219859</v>
      </c>
      <c r="BV548">
        <f>BT548-BS548</f>
        <v>7.3825503355709823E-4</v>
      </c>
      <c r="BX548">
        <v>7.3825503355709823E-4</v>
      </c>
      <c r="BY548" t="str">
        <f>IFERROR(BX548/BO548,"")</f>
        <v/>
      </c>
      <c r="BZ548">
        <v>0</v>
      </c>
      <c r="CA548">
        <v>0</v>
      </c>
      <c r="CB548">
        <v>0</v>
      </c>
      <c r="CC548">
        <v>0</v>
      </c>
      <c r="CD548">
        <v>0</v>
      </c>
      <c r="CE548">
        <v>0</v>
      </c>
      <c r="CF548">
        <v>0</v>
      </c>
      <c r="CG548">
        <v>0</v>
      </c>
      <c r="CH548">
        <v>0</v>
      </c>
      <c r="CI548">
        <v>0</v>
      </c>
      <c r="CJ548">
        <v>0</v>
      </c>
      <c r="CK548">
        <v>0</v>
      </c>
      <c r="CL548">
        <v>0</v>
      </c>
      <c r="CM548">
        <v>0</v>
      </c>
      <c r="CN548" t="str">
        <f>IF($BL548&lt;$BK548,"refNeedCorrection","refOK")</f>
        <v>refOK</v>
      </c>
      <c r="CO548">
        <f>IF($CN548="refOK",$BK548,$BL548)</f>
        <v>1</v>
      </c>
      <c r="CP548">
        <f>IF($CN548="refOK",$BL548,$BK548)</f>
        <v>1</v>
      </c>
      <c r="CQ548">
        <f>IF($CN548="refOK",$BO548,-$BO548)</f>
        <v>0</v>
      </c>
      <c r="CR548">
        <f>IF($CN548="refOK",$BS548,$BT548)*IF($BP548="Emissions positive",-1,1)</f>
        <v>-2.5033557046979803E-2</v>
      </c>
      <c r="CS548">
        <f>IF($CN548="refOK",$BT548,$BS548)*IF($BP548="Emissions positive",-1,1)</f>
        <v>-2.5771812080536902E-2</v>
      </c>
      <c r="CT548">
        <f>IF($CN548="refNeedCorrection",-BX548,BX548)*IF($BP548="Emissions positive",-1,1)</f>
        <v>-7.3825503355709823E-4</v>
      </c>
      <c r="CU548" t="str">
        <f>IFERROR(CT548/CQ548,"")</f>
        <v/>
      </c>
      <c r="CV548" s="2">
        <f>IFERROR((CS548-CR548)/ABS(CR548),"")</f>
        <v>-2.9490616621986036E-2</v>
      </c>
      <c r="CW548" s="1" t="s">
        <v>1205</v>
      </c>
      <c r="CX548" t="str">
        <f>IF(OR($CW548="prd",$CW548="std",$CW548="cit"),"loc",IF(OR($CW548="eur",$CW548="reg",$CW548="coy"),"reg",$CW548))</f>
        <v>reg</v>
      </c>
      <c r="CY548" t="s">
        <v>963</v>
      </c>
      <c r="CZ548">
        <v>0</v>
      </c>
      <c r="DA548">
        <v>0</v>
      </c>
      <c r="DB548">
        <v>0</v>
      </c>
      <c r="DC548" t="str">
        <f>IF(DB548=0,"0",IF(AND(DB548&gt;=1,DB548&lt;=30),"1-30",IF(AND(DB548&gt;30,DB548&lt;=70),"31-70",IF(AND(DB548&gt;70,DB548&lt;=100),"71-100",IF(DB548&gt;100,"+100")))))</f>
        <v>0</v>
      </c>
      <c r="DD548">
        <v>1</v>
      </c>
      <c r="DE548">
        <v>0</v>
      </c>
      <c r="DF548">
        <v>0</v>
      </c>
      <c r="DG548">
        <v>0</v>
      </c>
      <c r="DI548">
        <v>1</v>
      </c>
      <c r="DJ548" t="str">
        <f>IF(DI548=1,INDEX($DD$7:$DG$7,MATCH(1,$DD548:$DG548,0)),"mixedProduct")</f>
        <v>UpstreamInput</v>
      </c>
      <c r="DK548" t="str">
        <f>IF(DD548=1,DK$7,0)</f>
        <v>Upstream</v>
      </c>
      <c r="DL548">
        <f>IF(DE548=1,DL$7,0)</f>
        <v>0</v>
      </c>
      <c r="DM548">
        <f>IF(DF548=1,DM$7,0)</f>
        <v>0</v>
      </c>
      <c r="DN548">
        <f>IF(DG548=1,DN$7,0)</f>
        <v>0</v>
      </c>
      <c r="DO548">
        <v>0</v>
      </c>
      <c r="DP548">
        <v>0</v>
      </c>
      <c r="DQ548">
        <v>0</v>
      </c>
      <c r="DR548">
        <v>0</v>
      </c>
      <c r="DS548">
        <v>0</v>
      </c>
      <c r="DT548">
        <f>SUM(DO548:DP548)</f>
        <v>0</v>
      </c>
      <c r="DU548" s="143" t="s">
        <v>964</v>
      </c>
      <c r="DV548">
        <v>0</v>
      </c>
      <c r="DW548">
        <v>0</v>
      </c>
      <c r="DX548">
        <v>0</v>
      </c>
      <c r="DY548">
        <v>0</v>
      </c>
      <c r="DZ548">
        <v>0</v>
      </c>
      <c r="EA548" s="143">
        <v>0</v>
      </c>
      <c r="EB548">
        <v>1</v>
      </c>
      <c r="EC548">
        <v>0</v>
      </c>
      <c r="ED548">
        <v>0</v>
      </c>
      <c r="EE548">
        <v>0</v>
      </c>
      <c r="EF548">
        <v>0</v>
      </c>
      <c r="EG548">
        <v>0</v>
      </c>
      <c r="EH548">
        <v>0</v>
      </c>
      <c r="EI548" s="2">
        <v>0</v>
      </c>
      <c r="EJ548"/>
      <c r="EK548" t="str">
        <f>IF(AND(AND(AND(OR($DX548=1,$DW548=1),OR($EC548=1,$EA548=1)),SUM($DV548:$DZ548,$EF548)&gt;=4),SUM($EA548:$EE548)&gt;=2),"Whole sector","")</f>
        <v/>
      </c>
      <c r="EL548" t="str">
        <f>IF(AND(AND(OR($DX548=1,$DW548=1),AND($EC548=0,$EA548=0)),SUM($DV548:$DZ548,$EF548)&gt;=4),"Ecosystem approach","")</f>
        <v/>
      </c>
      <c r="EM548" s="2" t="str">
        <f>IF(AND(AND(AND($DX548=0,$DW548=0),OR($EC548=1,$EA548=1)),SUM($EB548:$EE548)&gt;=2),"Technology approach","")</f>
        <v/>
      </c>
      <c r="EP548" t="b">
        <f>IF(ISNUMBER(BU548),IF(ABS(BU548-[2]QC_indicators!$B$2)&gt;3*[2]QC_indicators!$C$2,"C ratio",IF(ISNUMBER(BY548),IF(ABS(BY548-[2]QC_indicators!$B$1)&gt;3*[2]QC_indicators!$C$1,"DF","no"))),IF(ISNUMBER(BY548),IF(ABS(BY548-[2]QC_indicators!$B$1)&gt;3*[2]QC_indicators!$C$1,"DF","no")))</f>
        <v>0</v>
      </c>
      <c r="ET548" s="266" t="s">
        <v>3184</v>
      </c>
    </row>
    <row r="549" spans="1:150" ht="15" hidden="1" customHeight="1">
      <c r="A549" s="1" t="s">
        <v>928</v>
      </c>
      <c r="B549" t="s">
        <v>1851</v>
      </c>
      <c r="C549" t="s">
        <v>1852</v>
      </c>
      <c r="D549" t="s">
        <v>1853</v>
      </c>
      <c r="E549" t="s">
        <v>1854</v>
      </c>
      <c r="F549" t="s">
        <v>1855</v>
      </c>
      <c r="G549" t="s">
        <v>934</v>
      </c>
      <c r="H549" t="s">
        <v>255</v>
      </c>
      <c r="I549">
        <v>2019</v>
      </c>
      <c r="J549">
        <v>8</v>
      </c>
      <c r="K549" t="s">
        <v>1856</v>
      </c>
      <c r="M549" t="str">
        <f>LEFT($D549,FIND(",",$D549)-1)&amp;"_"&amp;I549&amp;L549</f>
        <v>Kogler_2019</v>
      </c>
      <c r="N549" t="s">
        <v>2584</v>
      </c>
      <c r="O549" s="171" t="s">
        <v>514</v>
      </c>
      <c r="P549" t="s">
        <v>962</v>
      </c>
      <c r="Q549" t="s">
        <v>390</v>
      </c>
      <c r="R549" s="264" t="s">
        <v>224</v>
      </c>
      <c r="S549" s="1" t="s">
        <v>1857</v>
      </c>
      <c r="T549" t="s">
        <v>1858</v>
      </c>
      <c r="U549" t="s">
        <v>1859</v>
      </c>
      <c r="V549">
        <v>0</v>
      </c>
      <c r="W549">
        <v>0</v>
      </c>
      <c r="X549">
        <v>0</v>
      </c>
      <c r="Y549">
        <v>1</v>
      </c>
      <c r="Z549">
        <v>0</v>
      </c>
      <c r="AA549">
        <v>0</v>
      </c>
      <c r="AB549">
        <v>0</v>
      </c>
      <c r="AC549">
        <v>0</v>
      </c>
      <c r="AD549">
        <v>0</v>
      </c>
      <c r="AE549">
        <v>0</v>
      </c>
      <c r="AF549">
        <v>0</v>
      </c>
      <c r="AG549">
        <v>0</v>
      </c>
      <c r="AH549">
        <v>0</v>
      </c>
      <c r="AI549">
        <v>0</v>
      </c>
      <c r="AJ549">
        <v>0</v>
      </c>
      <c r="AK549">
        <v>0</v>
      </c>
      <c r="AL549">
        <v>0</v>
      </c>
      <c r="AM549">
        <v>0</v>
      </c>
      <c r="AN549">
        <v>0</v>
      </c>
      <c r="AO549">
        <v>2</v>
      </c>
      <c r="AP549">
        <v>0</v>
      </c>
      <c r="AQ549">
        <v>0</v>
      </c>
      <c r="AR549">
        <v>0</v>
      </c>
      <c r="AS549">
        <v>0</v>
      </c>
      <c r="AT549">
        <v>0</v>
      </c>
      <c r="AU549">
        <v>0</v>
      </c>
      <c r="AV549">
        <v>0</v>
      </c>
      <c r="AW549">
        <v>0</v>
      </c>
      <c r="AX549" s="141">
        <f>COUNTIF(V549:AW549,"&lt;&gt;0")</f>
        <v>2</v>
      </c>
      <c r="AY549" s="141">
        <f>COUNTIF(V549:AL549,"&lt;&gt;0")</f>
        <v>1</v>
      </c>
      <c r="AZ549">
        <f>COUNTIF(V549:AC549,"&lt;&gt;0")</f>
        <v>1</v>
      </c>
      <c r="BA549">
        <f>COUNTIF(AD549:AI549,"&lt;&gt;0")</f>
        <v>0</v>
      </c>
      <c r="BB549">
        <f>COUNTIF(AJ549:AL549,"&lt;&gt;0")</f>
        <v>0</v>
      </c>
      <c r="BC549">
        <f>COUNTIF(AS549:AW549,"&lt;&gt;0")</f>
        <v>0</v>
      </c>
      <c r="BD549">
        <f>COUNTIF(AM549:AR549,"&lt;&gt;0")</f>
        <v>1</v>
      </c>
      <c r="BE549" t="str">
        <f t="array" ref="BE549">IF(AY549=1,INDEX($V$7:$AL$7,MATCH(TRUE,INDEX($V549:$AW549&lt;&gt;0,),0)),IF(AY549=0,INDEX($AM$7:$AW$7,MATCH(1,$AM549:$AW549,0)),IF(BF549="Multiple strategies","mixed drivers",IF(BF549="Supply chain","multiple supply","multiple silviculture"))))</f>
        <v xml:space="preserve">cutting intensity </v>
      </c>
      <c r="BF549" s="2" t="str" cm="1">
        <f t="array" ref="BF549">IF(COUNTIF(AZ549:BB549,"&lt;&gt;0")=1,INDEX($V$4:$AW$4,MATCH(TRUE,INDEX($V549:$AW549&lt;&gt;0,),0)),IF(COUNTIF(AZ549:BB549,"&lt;&gt;0")=0,INDEX($AM$4:$AW$4,MATCH(1,$AM549:$AW549,0)),"Multiple strategies"))</f>
        <v>SilvicultureRemov</v>
      </c>
      <c r="BG549" s="1" t="s">
        <v>322</v>
      </c>
      <c r="BH549" t="s">
        <v>1860</v>
      </c>
      <c r="BI549" t="s">
        <v>613</v>
      </c>
      <c r="BJ549" t="s">
        <v>499</v>
      </c>
      <c r="BK549">
        <v>35082</v>
      </c>
      <c r="BL549">
        <v>37563</v>
      </c>
      <c r="BM549" t="s">
        <v>545</v>
      </c>
      <c r="BN549">
        <f>BL549-BK549</f>
        <v>2481</v>
      </c>
      <c r="BO549">
        <f>BN549</f>
        <v>2481</v>
      </c>
      <c r="BP549" t="s">
        <v>396</v>
      </c>
      <c r="BQ549" t="s">
        <v>1861</v>
      </c>
      <c r="BR549" s="266" t="s">
        <v>3151</v>
      </c>
      <c r="BS549">
        <v>541</v>
      </c>
      <c r="BT549">
        <v>579</v>
      </c>
      <c r="BU549" s="144">
        <v>1.0702402957486137</v>
      </c>
      <c r="BV549" s="152">
        <f>BT549-BS549</f>
        <v>38</v>
      </c>
      <c r="BX549">
        <f>BV549*10^6</f>
        <v>38000000</v>
      </c>
      <c r="BY549">
        <f>IFERROR(BX549/BO549,"")</f>
        <v>15316.404675534059</v>
      </c>
      <c r="BZ549">
        <v>0</v>
      </c>
      <c r="CA549">
        <v>0</v>
      </c>
      <c r="CB549">
        <v>0</v>
      </c>
      <c r="CC549">
        <v>0</v>
      </c>
      <c r="CD549">
        <v>0</v>
      </c>
      <c r="CE549">
        <v>0</v>
      </c>
      <c r="CF549">
        <v>0</v>
      </c>
      <c r="CG549">
        <v>0</v>
      </c>
      <c r="CH549">
        <v>0</v>
      </c>
      <c r="CI549">
        <v>0</v>
      </c>
      <c r="CJ549">
        <v>0</v>
      </c>
      <c r="CK549">
        <v>0</v>
      </c>
      <c r="CL549">
        <v>0</v>
      </c>
      <c r="CM549">
        <v>0</v>
      </c>
      <c r="CN549" t="str">
        <f>IF($BL549&lt;$BK549,"refNeedCorrection","refOK")</f>
        <v>refOK</v>
      </c>
      <c r="CO549">
        <f>IF($CN549="refOK",$BK549,$BL549)</f>
        <v>35082</v>
      </c>
      <c r="CP549">
        <f>IF($CN549="refOK",$BL549,$BK549)</f>
        <v>37563</v>
      </c>
      <c r="CQ549">
        <f>IF($CN549="refOK",$BO549,-$BO549)</f>
        <v>2481</v>
      </c>
      <c r="CR549">
        <f>IF($CN549="refOK",$BS549,$BT549)*IF($BP549="Emissions positive",-1,1)</f>
        <v>-541</v>
      </c>
      <c r="CS549">
        <f>IF($CN549="refOK",$BT549,$BS549)*IF($BP549="Emissions positive",-1,1)</f>
        <v>-579</v>
      </c>
      <c r="CT549">
        <f>IF($CN549="refNeedCorrection",-BX549,BX549)*IF($BP549="Emissions positive",-1,1)</f>
        <v>-38000000</v>
      </c>
      <c r="CU549">
        <f>IFERROR(CT549/CQ549,"")</f>
        <v>-15316.404675534059</v>
      </c>
      <c r="CV549" s="2">
        <f>IFERROR((CS549-CR549)/ABS(CR549),"")</f>
        <v>-7.0240295748613679E-2</v>
      </c>
      <c r="CW549" s="1" t="s">
        <v>1205</v>
      </c>
      <c r="CX549" t="str">
        <f>IF(OR($CW549="prd",$CW549="std",$CW549="cit"),"loc",IF(OR($CW549="eur",$CW549="reg",$CW549="coy"),"reg",$CW549))</f>
        <v>reg</v>
      </c>
      <c r="CY549" t="s">
        <v>668</v>
      </c>
      <c r="CZ549">
        <v>0</v>
      </c>
      <c r="DA549">
        <v>0</v>
      </c>
      <c r="DB549">
        <v>0</v>
      </c>
      <c r="DC549" t="str">
        <f>IF(DB549=0,"0",IF(AND(DB549&gt;=1,DB549&lt;=30),"1-30",IF(AND(DB549&gt;30,DB549&lt;=70),"31-70",IF(AND(DB549&gt;70,DB549&lt;=100),"71-100",IF(DB549&gt;100,"+100")))))</f>
        <v>0</v>
      </c>
      <c r="DD549">
        <v>1</v>
      </c>
      <c r="DE549">
        <v>0</v>
      </c>
      <c r="DF549">
        <v>0</v>
      </c>
      <c r="DG549">
        <v>0</v>
      </c>
      <c r="DI549">
        <v>1</v>
      </c>
      <c r="DJ549" t="str">
        <f>IF(DI549=1,INDEX($DD$7:$DG$7,MATCH(1,$DD549:$DG549,0)),"mixedProduct")</f>
        <v>UpstreamInput</v>
      </c>
      <c r="DK549" t="str">
        <f>IF(DD549=1,DK$7,0)</f>
        <v>Upstream</v>
      </c>
      <c r="DL549">
        <f>IF(DE549=1,DL$7,0)</f>
        <v>0</v>
      </c>
      <c r="DM549">
        <f>IF(DF549=1,DM$7,0)</f>
        <v>0</v>
      </c>
      <c r="DN549">
        <f>IF(DG549=1,DN$7,0)</f>
        <v>0</v>
      </c>
      <c r="DO549">
        <v>0</v>
      </c>
      <c r="DP549">
        <v>0</v>
      </c>
      <c r="DQ549">
        <v>0</v>
      </c>
      <c r="DR549">
        <v>0</v>
      </c>
      <c r="DS549">
        <v>0</v>
      </c>
      <c r="DT549">
        <f>SUM(DO549:DP549)</f>
        <v>0</v>
      </c>
      <c r="DU549" s="143" t="s">
        <v>964</v>
      </c>
      <c r="DV549">
        <v>0</v>
      </c>
      <c r="DW549">
        <v>0</v>
      </c>
      <c r="DX549">
        <v>0</v>
      </c>
      <c r="DY549">
        <v>0</v>
      </c>
      <c r="DZ549">
        <v>0</v>
      </c>
      <c r="EA549" s="143">
        <v>0</v>
      </c>
      <c r="EB549">
        <v>1</v>
      </c>
      <c r="EC549">
        <v>0</v>
      </c>
      <c r="ED549">
        <v>0</v>
      </c>
      <c r="EE549">
        <v>0</v>
      </c>
      <c r="EF549">
        <v>0</v>
      </c>
      <c r="EG549">
        <v>0</v>
      </c>
      <c r="EH549">
        <v>0</v>
      </c>
      <c r="EI549" s="2">
        <v>0</v>
      </c>
      <c r="EJ549"/>
      <c r="EK549" t="str">
        <f>IF(AND(AND(AND(OR($DX549=1,$DW549=1),OR($EC549=1,$EA549=1)),SUM($DV549:$DZ549,$EF549)&gt;=4),SUM($EA549:$EE549)&gt;=2),"Whole sector","")</f>
        <v/>
      </c>
      <c r="EL549" t="str">
        <f>IF(AND(AND(OR($DX549=1,$DW549=1),AND($EC549=0,$EA549=0)),SUM($DV549:$DZ549,$EF549)&gt;=4),"Ecosystem approach","")</f>
        <v/>
      </c>
      <c r="EM549" s="2" t="str">
        <f>IF(AND(AND(AND($DX549=0,$DW549=0),OR($EC549=1,$EA549=1)),SUM($EB549:$EE549)&gt;=2),"Technology approach","")</f>
        <v/>
      </c>
      <c r="EP549" t="str">
        <f>IF(ISNUMBER(BU549),IF(ABS(BU549-[2]QC_indicators!$B$2)&gt;3*[2]QC_indicators!$C$2,"C ratio",IF(ISNUMBER(BY549),IF(ABS(BY549-[2]QC_indicators!$B$1)&gt;3*[2]QC_indicators!$C$1,"DF","no"))),IF(ISNUMBER(BY549),IF(ABS(BY549-[2]QC_indicators!$B$1)&gt;3*[2]QC_indicators!$C$1,"DF","no")))</f>
        <v>no</v>
      </c>
      <c r="ET549" s="266" t="s">
        <v>3152</v>
      </c>
    </row>
    <row r="550" spans="1:150" ht="15" hidden="1" customHeight="1">
      <c r="A550" s="1" t="s">
        <v>928</v>
      </c>
      <c r="B550" t="s">
        <v>1851</v>
      </c>
      <c r="C550" t="s">
        <v>1852</v>
      </c>
      <c r="D550" t="s">
        <v>1853</v>
      </c>
      <c r="E550" t="s">
        <v>1854</v>
      </c>
      <c r="F550" t="s">
        <v>1855</v>
      </c>
      <c r="G550" t="s">
        <v>934</v>
      </c>
      <c r="H550" t="s">
        <v>255</v>
      </c>
      <c r="I550">
        <v>2019</v>
      </c>
      <c r="J550">
        <v>8</v>
      </c>
      <c r="K550" t="s">
        <v>1856</v>
      </c>
      <c r="M550" t="str">
        <f>LEFT($D550,FIND(",",$D550)-1)&amp;"_"&amp;I550&amp;L550</f>
        <v>Kogler_2019</v>
      </c>
      <c r="N550" t="s">
        <v>2584</v>
      </c>
      <c r="O550" s="171" t="s">
        <v>514</v>
      </c>
      <c r="P550" t="s">
        <v>962</v>
      </c>
      <c r="Q550" t="s">
        <v>390</v>
      </c>
      <c r="R550" s="264" t="s">
        <v>224</v>
      </c>
      <c r="S550" s="1" t="s">
        <v>1857</v>
      </c>
      <c r="T550" t="s">
        <v>1858</v>
      </c>
      <c r="U550" t="s">
        <v>1862</v>
      </c>
      <c r="V550">
        <v>0</v>
      </c>
      <c r="W550">
        <v>0</v>
      </c>
      <c r="X550">
        <v>0</v>
      </c>
      <c r="Y550">
        <v>1</v>
      </c>
      <c r="Z550">
        <v>0</v>
      </c>
      <c r="AA550">
        <v>0</v>
      </c>
      <c r="AB550">
        <v>0</v>
      </c>
      <c r="AC550">
        <v>0</v>
      </c>
      <c r="AD550">
        <v>0</v>
      </c>
      <c r="AE550">
        <v>0</v>
      </c>
      <c r="AF550">
        <v>0</v>
      </c>
      <c r="AG550">
        <v>0</v>
      </c>
      <c r="AH550">
        <v>0</v>
      </c>
      <c r="AI550">
        <v>0</v>
      </c>
      <c r="AJ550">
        <v>0</v>
      </c>
      <c r="AK550">
        <v>0</v>
      </c>
      <c r="AL550">
        <v>0</v>
      </c>
      <c r="AM550">
        <v>0</v>
      </c>
      <c r="AN550">
        <v>0</v>
      </c>
      <c r="AO550">
        <v>0</v>
      </c>
      <c r="AP550">
        <v>0</v>
      </c>
      <c r="AQ550">
        <v>0</v>
      </c>
      <c r="AR550">
        <v>0</v>
      </c>
      <c r="AS550">
        <v>0</v>
      </c>
      <c r="AT550">
        <v>0</v>
      </c>
      <c r="AU550">
        <v>0</v>
      </c>
      <c r="AV550">
        <v>0</v>
      </c>
      <c r="AW550">
        <v>0</v>
      </c>
      <c r="AX550" s="141">
        <f>COUNTIF(V550:AW550,"&lt;&gt;0")</f>
        <v>1</v>
      </c>
      <c r="AY550" s="141">
        <f>COUNTIF(V550:AL550,"&lt;&gt;0")</f>
        <v>1</v>
      </c>
      <c r="AZ550">
        <f>COUNTIF(V550:AC550,"&lt;&gt;0")</f>
        <v>1</v>
      </c>
      <c r="BA550">
        <f>COUNTIF(AD550:AI550,"&lt;&gt;0")</f>
        <v>0</v>
      </c>
      <c r="BB550">
        <f>COUNTIF(AJ550:AL550,"&lt;&gt;0")</f>
        <v>0</v>
      </c>
      <c r="BC550">
        <f>COUNTIF(AS550:AW550,"&lt;&gt;0")</f>
        <v>0</v>
      </c>
      <c r="BD550">
        <f>COUNTIF(AM550:AR550,"&lt;&gt;0")</f>
        <v>0</v>
      </c>
      <c r="BE550" t="str">
        <f t="array" ref="BE550">IF(AY550=1,INDEX($V$7:$AL$7,MATCH(TRUE,INDEX($V550:$AW550&lt;&gt;0,),0)),IF(AY550=0,INDEX($AM$7:$AW$7,MATCH(1,$AM550:$AW550,0)),IF(BF550="Multiple strategies","mixed drivers",IF(BF550="Supply chain","multiple supply","multiple silviculture"))))</f>
        <v xml:space="preserve">cutting intensity </v>
      </c>
      <c r="BF550" s="2" t="str" cm="1">
        <f t="array" ref="BF550">IF(COUNTIF(AZ550:BB550,"&lt;&gt;0")=1,INDEX($V$4:$AW$4,MATCH(TRUE,INDEX($V550:$AW550&lt;&gt;0,),0)),IF(COUNTIF(AZ550:BB550,"&lt;&gt;0")=0,INDEX($AM$4:$AW$4,MATCH(1,$AM550:$AW550,0)),"Multiple strategies"))</f>
        <v>SilvicultureRemov</v>
      </c>
      <c r="BG550" s="1" t="s">
        <v>322</v>
      </c>
      <c r="BH550" t="s">
        <v>1860</v>
      </c>
      <c r="BI550" t="s">
        <v>613</v>
      </c>
      <c r="BJ550" t="s">
        <v>499</v>
      </c>
      <c r="BK550">
        <v>35082</v>
      </c>
      <c r="BL550">
        <v>80258</v>
      </c>
      <c r="BM550" t="s">
        <v>545</v>
      </c>
      <c r="BN550">
        <f>BL550-BK550</f>
        <v>45176</v>
      </c>
      <c r="BO550">
        <f>BN550</f>
        <v>45176</v>
      </c>
      <c r="BP550" t="s">
        <v>396</v>
      </c>
      <c r="BQ550" t="s">
        <v>1861</v>
      </c>
      <c r="BR550" s="266" t="s">
        <v>3151</v>
      </c>
      <c r="BS550">
        <v>541</v>
      </c>
      <c r="BT550">
        <v>1270</v>
      </c>
      <c r="BU550" s="144">
        <v>2.3475046210720887</v>
      </c>
      <c r="BV550" s="152">
        <f>BT550-BS550</f>
        <v>729</v>
      </c>
      <c r="BX550">
        <f>BV550*10^6</f>
        <v>729000000</v>
      </c>
      <c r="BY550">
        <f>IFERROR(BX550/BO550,"")</f>
        <v>16136.886842571277</v>
      </c>
      <c r="BZ550">
        <v>0</v>
      </c>
      <c r="CA550">
        <v>0</v>
      </c>
      <c r="CB550">
        <v>0</v>
      </c>
      <c r="CC550">
        <v>0</v>
      </c>
      <c r="CD550">
        <v>0</v>
      </c>
      <c r="CE550">
        <v>0</v>
      </c>
      <c r="CF550">
        <v>0</v>
      </c>
      <c r="CG550">
        <v>0</v>
      </c>
      <c r="CH550">
        <v>0</v>
      </c>
      <c r="CI550">
        <v>0</v>
      </c>
      <c r="CJ550">
        <v>0</v>
      </c>
      <c r="CK550">
        <v>0</v>
      </c>
      <c r="CL550">
        <v>0</v>
      </c>
      <c r="CM550">
        <v>0</v>
      </c>
      <c r="CN550" t="str">
        <f>IF($BL550&lt;$BK550,"refNeedCorrection","refOK")</f>
        <v>refOK</v>
      </c>
      <c r="CO550">
        <f>IF($CN550="refOK",$BK550,$BL550)</f>
        <v>35082</v>
      </c>
      <c r="CP550">
        <f>IF($CN550="refOK",$BL550,$BK550)</f>
        <v>80258</v>
      </c>
      <c r="CQ550">
        <f>IF($CN550="refOK",$BO550,-$BO550)</f>
        <v>45176</v>
      </c>
      <c r="CR550">
        <f>IF($CN550="refOK",$BS550,$BT550)*IF($BP550="Emissions positive",-1,1)</f>
        <v>-541</v>
      </c>
      <c r="CS550">
        <f>IF($CN550="refOK",$BT550,$BS550)*IF($BP550="Emissions positive",-1,1)</f>
        <v>-1270</v>
      </c>
      <c r="CT550">
        <f>IF($CN550="refNeedCorrection",-BX550,BX550)*IF($BP550="Emissions positive",-1,1)</f>
        <v>-729000000</v>
      </c>
      <c r="CU550">
        <f>IFERROR(CT550/CQ550,"")</f>
        <v>-16136.886842571277</v>
      </c>
      <c r="CV550" s="2">
        <f>IFERROR((CS550-CR550)/ABS(CR550),"")</f>
        <v>-1.3475046210720887</v>
      </c>
      <c r="CW550" s="1" t="s">
        <v>1205</v>
      </c>
      <c r="CX550" t="str">
        <f>IF(OR($CW550="prd",$CW550="std",$CW550="cit"),"loc",IF(OR($CW550="eur",$CW550="reg",$CW550="coy"),"reg",$CW550))</f>
        <v>reg</v>
      </c>
      <c r="CY550" t="s">
        <v>668</v>
      </c>
      <c r="CZ550">
        <v>0</v>
      </c>
      <c r="DA550">
        <v>0</v>
      </c>
      <c r="DB550">
        <v>0</v>
      </c>
      <c r="DC550" t="str">
        <f>IF(DB550=0,"0",IF(AND(DB550&gt;=1,DB550&lt;=30),"1-30",IF(AND(DB550&gt;30,DB550&lt;=70),"31-70",IF(AND(DB550&gt;70,DB550&lt;=100),"71-100",IF(DB550&gt;100,"+100")))))</f>
        <v>0</v>
      </c>
      <c r="DD550">
        <v>1</v>
      </c>
      <c r="DE550">
        <v>0</v>
      </c>
      <c r="DF550">
        <v>0</v>
      </c>
      <c r="DG550">
        <v>0</v>
      </c>
      <c r="DI550">
        <v>1</v>
      </c>
      <c r="DJ550" t="str">
        <f>IF(DI550=1,INDEX($DD$7:$DG$7,MATCH(1,$DD550:$DG550,0)),"mixedProduct")</f>
        <v>UpstreamInput</v>
      </c>
      <c r="DK550" t="str">
        <f>IF(DD550=1,DK$7,0)</f>
        <v>Upstream</v>
      </c>
      <c r="DL550">
        <f>IF(DE550=1,DL$7,0)</f>
        <v>0</v>
      </c>
      <c r="DM550">
        <f>IF(DF550=1,DM$7,0)</f>
        <v>0</v>
      </c>
      <c r="DN550">
        <f>IF(DG550=1,DN$7,0)</f>
        <v>0</v>
      </c>
      <c r="DO550">
        <v>0</v>
      </c>
      <c r="DP550">
        <v>0</v>
      </c>
      <c r="DQ550">
        <v>0</v>
      </c>
      <c r="DR550">
        <v>0</v>
      </c>
      <c r="DS550">
        <v>0</v>
      </c>
      <c r="DT550">
        <f>SUM(DO550:DP550)</f>
        <v>0</v>
      </c>
      <c r="DU550" s="143" t="s">
        <v>964</v>
      </c>
      <c r="DV550">
        <v>0</v>
      </c>
      <c r="DW550">
        <v>0</v>
      </c>
      <c r="DX550">
        <v>0</v>
      </c>
      <c r="DY550">
        <v>0</v>
      </c>
      <c r="DZ550">
        <v>0</v>
      </c>
      <c r="EA550" s="143">
        <v>0</v>
      </c>
      <c r="EB550">
        <v>1</v>
      </c>
      <c r="EC550">
        <v>0</v>
      </c>
      <c r="ED550">
        <v>0</v>
      </c>
      <c r="EE550">
        <v>0</v>
      </c>
      <c r="EF550">
        <v>0</v>
      </c>
      <c r="EG550">
        <v>0</v>
      </c>
      <c r="EH550">
        <v>0</v>
      </c>
      <c r="EI550" s="2">
        <v>0</v>
      </c>
      <c r="EJ550"/>
      <c r="EK550" t="str">
        <f>IF(AND(AND(AND(OR($DX550=1,$DW550=1),OR($EC550=1,$EA550=1)),SUM($DV550:$DZ550,$EF550)&gt;=4),SUM($EA550:$EE550)&gt;=2),"Whole sector","")</f>
        <v/>
      </c>
      <c r="EL550" t="str">
        <f>IF(AND(AND(OR($DX550=1,$DW550=1),AND($EC550=0,$EA550=0)),SUM($DV550:$DZ550,$EF550)&gt;=4),"Ecosystem approach","")</f>
        <v/>
      </c>
      <c r="EM550" s="2" t="str">
        <f>IF(AND(AND(AND($DX550=0,$DW550=0),OR($EC550=1,$EA550=1)),SUM($EB550:$EE550)&gt;=2),"Technology approach","")</f>
        <v/>
      </c>
      <c r="EP550" t="str">
        <f>IF(ISNUMBER(BU550),IF(ABS(BU550-[2]QC_indicators!$B$2)&gt;3*[2]QC_indicators!$C$2,"C ratio",IF(ISNUMBER(BY550),IF(ABS(BY550-[2]QC_indicators!$B$1)&gt;3*[2]QC_indicators!$C$1,"DF","no"))),IF(ISNUMBER(BY550),IF(ABS(BY550-[2]QC_indicators!$B$1)&gt;3*[2]QC_indicators!$C$1,"DF","no")))</f>
        <v>no</v>
      </c>
      <c r="ET550" s="266" t="s">
        <v>3152</v>
      </c>
    </row>
    <row r="551" spans="1:150" ht="18" hidden="1" customHeight="1">
      <c r="A551" s="1" t="s">
        <v>928</v>
      </c>
      <c r="B551" t="s">
        <v>1851</v>
      </c>
      <c r="C551" t="s">
        <v>1852</v>
      </c>
      <c r="D551" t="s">
        <v>1853</v>
      </c>
      <c r="E551" t="s">
        <v>1854</v>
      </c>
      <c r="F551" t="s">
        <v>1855</v>
      </c>
      <c r="G551" t="s">
        <v>934</v>
      </c>
      <c r="H551" t="s">
        <v>255</v>
      </c>
      <c r="I551">
        <v>2019</v>
      </c>
      <c r="J551">
        <v>8</v>
      </c>
      <c r="K551" t="s">
        <v>1856</v>
      </c>
      <c r="M551" t="str">
        <f>LEFT($D551,FIND(",",$D551)-1)&amp;"_"&amp;I551&amp;L551</f>
        <v>Kogler_2019</v>
      </c>
      <c r="N551" t="s">
        <v>2584</v>
      </c>
      <c r="O551" s="171" t="s">
        <v>514</v>
      </c>
      <c r="P551" t="s">
        <v>962</v>
      </c>
      <c r="Q551" t="s">
        <v>390</v>
      </c>
      <c r="R551" s="264" t="s">
        <v>224</v>
      </c>
      <c r="S551" s="1" t="s">
        <v>1857</v>
      </c>
      <c r="T551" t="s">
        <v>1859</v>
      </c>
      <c r="U551" t="s">
        <v>1862</v>
      </c>
      <c r="V551">
        <v>0</v>
      </c>
      <c r="W551">
        <v>0</v>
      </c>
      <c r="X551">
        <v>0</v>
      </c>
      <c r="Y551">
        <v>1</v>
      </c>
      <c r="Z551">
        <v>0</v>
      </c>
      <c r="AA551">
        <v>0</v>
      </c>
      <c r="AB551">
        <v>0</v>
      </c>
      <c r="AC551">
        <v>0</v>
      </c>
      <c r="AD551">
        <v>0</v>
      </c>
      <c r="AE551">
        <v>0</v>
      </c>
      <c r="AF551">
        <v>0</v>
      </c>
      <c r="AG551">
        <v>0</v>
      </c>
      <c r="AH551">
        <v>0</v>
      </c>
      <c r="AI551">
        <v>0</v>
      </c>
      <c r="AJ551">
        <v>0</v>
      </c>
      <c r="AK551">
        <v>0</v>
      </c>
      <c r="AL551">
        <v>0</v>
      </c>
      <c r="AM551">
        <v>0</v>
      </c>
      <c r="AN551">
        <v>0</v>
      </c>
      <c r="AO551">
        <v>0</v>
      </c>
      <c r="AP551">
        <v>0</v>
      </c>
      <c r="AQ551">
        <v>2</v>
      </c>
      <c r="AR551">
        <v>0</v>
      </c>
      <c r="AS551">
        <v>0</v>
      </c>
      <c r="AT551">
        <v>0</v>
      </c>
      <c r="AU551">
        <v>0</v>
      </c>
      <c r="AV551">
        <v>0</v>
      </c>
      <c r="AW551">
        <v>0</v>
      </c>
      <c r="AX551" s="141">
        <f>COUNTIF(V551:AW551,"&lt;&gt;0")</f>
        <v>2</v>
      </c>
      <c r="AY551" s="141">
        <f>COUNTIF(V551:AL551,"&lt;&gt;0")</f>
        <v>1</v>
      </c>
      <c r="AZ551">
        <f>COUNTIF(V551:AC551,"&lt;&gt;0")</f>
        <v>1</v>
      </c>
      <c r="BA551">
        <f>COUNTIF(AD551:AI551,"&lt;&gt;0")</f>
        <v>0</v>
      </c>
      <c r="BB551">
        <f>COUNTIF(AJ551:AL551,"&lt;&gt;0")</f>
        <v>0</v>
      </c>
      <c r="BC551">
        <f>COUNTIF(AS551:AW551,"&lt;&gt;0")</f>
        <v>0</v>
      </c>
      <c r="BD551">
        <f>COUNTIF(AM551:AR551,"&lt;&gt;0")</f>
        <v>1</v>
      </c>
      <c r="BE551" t="str">
        <f t="array" ref="BE551">IF(AY551=1,INDEX($V$7:$AL$7,MATCH(TRUE,INDEX($V551:$AW551&lt;&gt;0,),0)),IF(AY551=0,INDEX($AM$7:$AW$7,MATCH(1,$AM551:$AW551,0)),IF(BF551="Multiple strategies","mixed drivers",IF(BF551="Supply chain","multiple supply","multiple silviculture"))))</f>
        <v xml:space="preserve">cutting intensity </v>
      </c>
      <c r="BF551" s="2" t="str" cm="1">
        <f t="array" ref="BF551">IF(COUNTIF(AZ551:BB551,"&lt;&gt;0")=1,INDEX($V$4:$AW$4,MATCH(TRUE,INDEX($V551:$AW551&lt;&gt;0,),0)),IF(COUNTIF(AZ551:BB551,"&lt;&gt;0")=0,INDEX($AM$4:$AW$4,MATCH(1,$AM551:$AW551,0)),"Multiple strategies"))</f>
        <v>SilvicultureRemov</v>
      </c>
      <c r="BG551" s="1" t="s">
        <v>322</v>
      </c>
      <c r="BH551" t="s">
        <v>1860</v>
      </c>
      <c r="BI551" t="s">
        <v>613</v>
      </c>
      <c r="BJ551" t="s">
        <v>499</v>
      </c>
      <c r="BK551">
        <v>37563</v>
      </c>
      <c r="BL551">
        <v>80258</v>
      </c>
      <c r="BM551" t="s">
        <v>545</v>
      </c>
      <c r="BN551">
        <f>BL551-BK551</f>
        <v>42695</v>
      </c>
      <c r="BO551">
        <f>BN551</f>
        <v>42695</v>
      </c>
      <c r="BP551" t="s">
        <v>396</v>
      </c>
      <c r="BQ551" t="s">
        <v>1861</v>
      </c>
      <c r="BR551" s="266" t="s">
        <v>3151</v>
      </c>
      <c r="BS551">
        <v>579</v>
      </c>
      <c r="BT551">
        <v>1270</v>
      </c>
      <c r="BU551" s="144">
        <v>2.1934369602763386</v>
      </c>
      <c r="BV551" s="152">
        <f>BT551-BS551</f>
        <v>691</v>
      </c>
      <c r="BX551">
        <f>BV551*10^6</f>
        <v>691000000</v>
      </c>
      <c r="BY551">
        <f>IFERROR(BX551/BO551,"")</f>
        <v>16184.564937346293</v>
      </c>
      <c r="BZ551">
        <v>0</v>
      </c>
      <c r="CA551">
        <v>0</v>
      </c>
      <c r="CB551">
        <v>0</v>
      </c>
      <c r="CC551">
        <v>0</v>
      </c>
      <c r="CD551">
        <v>0</v>
      </c>
      <c r="CE551">
        <v>0</v>
      </c>
      <c r="CF551">
        <v>0</v>
      </c>
      <c r="CG551">
        <v>0</v>
      </c>
      <c r="CH551">
        <v>0</v>
      </c>
      <c r="CI551">
        <v>0</v>
      </c>
      <c r="CJ551">
        <v>0</v>
      </c>
      <c r="CK551">
        <v>0</v>
      </c>
      <c r="CL551">
        <v>0</v>
      </c>
      <c r="CM551">
        <v>0</v>
      </c>
      <c r="CN551" t="str">
        <f>IF($BL551&lt;$BK551,"refNeedCorrection","refOK")</f>
        <v>refOK</v>
      </c>
      <c r="CO551">
        <f>IF($CN551="refOK",$BK551,$BL551)</f>
        <v>37563</v>
      </c>
      <c r="CP551">
        <f>IF($CN551="refOK",$BL551,$BK551)</f>
        <v>80258</v>
      </c>
      <c r="CQ551">
        <f>IF($CN551="refOK",$BO551,-$BO551)</f>
        <v>42695</v>
      </c>
      <c r="CR551">
        <f>IF($CN551="refOK",$BS551,$BT551)*IF($BP551="Emissions positive",-1,1)</f>
        <v>-579</v>
      </c>
      <c r="CS551">
        <f>IF($CN551="refOK",$BT551,$BS551)*IF($BP551="Emissions positive",-1,1)</f>
        <v>-1270</v>
      </c>
      <c r="CT551">
        <f>IF($CN551="refNeedCorrection",-BX551,BX551)*IF($BP551="Emissions positive",-1,1)</f>
        <v>-691000000</v>
      </c>
      <c r="CU551">
        <f>IFERROR(CT551/CQ551,"")</f>
        <v>-16184.564937346293</v>
      </c>
      <c r="CV551" s="2">
        <f>IFERROR((CS551-CR551)/ABS(CR551),"")</f>
        <v>-1.1934369602763386</v>
      </c>
      <c r="CW551" s="1" t="s">
        <v>1205</v>
      </c>
      <c r="CX551" t="str">
        <f>IF(OR($CW551="prd",$CW551="std",$CW551="cit"),"loc",IF(OR($CW551="eur",$CW551="reg",$CW551="coy"),"reg",$CW551))</f>
        <v>reg</v>
      </c>
      <c r="CY551" t="s">
        <v>668</v>
      </c>
      <c r="CZ551">
        <v>0</v>
      </c>
      <c r="DA551">
        <v>0</v>
      </c>
      <c r="DB551">
        <v>0</v>
      </c>
      <c r="DC551" t="str">
        <f>IF(DB551=0,"0",IF(AND(DB551&gt;=1,DB551&lt;=30),"1-30",IF(AND(DB551&gt;30,DB551&lt;=70),"31-70",IF(AND(DB551&gt;70,DB551&lt;=100),"71-100",IF(DB551&gt;100,"+100")))))</f>
        <v>0</v>
      </c>
      <c r="DD551">
        <v>1</v>
      </c>
      <c r="DE551">
        <v>0</v>
      </c>
      <c r="DF551">
        <v>0</v>
      </c>
      <c r="DG551">
        <v>0</v>
      </c>
      <c r="DI551">
        <v>1</v>
      </c>
      <c r="DJ551" t="str">
        <f>IF(DI551=1,INDEX($DD$7:$DG$7,MATCH(1,$DD551:$DG551,0)),"mixedProduct")</f>
        <v>UpstreamInput</v>
      </c>
      <c r="DK551" t="str">
        <f>IF(DD551=1,DK$7,0)</f>
        <v>Upstream</v>
      </c>
      <c r="DL551">
        <f>IF(DE551=1,DL$7,0)</f>
        <v>0</v>
      </c>
      <c r="DM551">
        <f>IF(DF551=1,DM$7,0)</f>
        <v>0</v>
      </c>
      <c r="DN551">
        <f>IF(DG551=1,DN$7,0)</f>
        <v>0</v>
      </c>
      <c r="DO551">
        <v>0</v>
      </c>
      <c r="DP551">
        <v>0</v>
      </c>
      <c r="DQ551">
        <v>0</v>
      </c>
      <c r="DR551">
        <v>0</v>
      </c>
      <c r="DS551">
        <v>0</v>
      </c>
      <c r="DT551">
        <f>SUM(DO551:DP551)</f>
        <v>0</v>
      </c>
      <c r="DU551" s="143" t="s">
        <v>964</v>
      </c>
      <c r="DV551">
        <v>0</v>
      </c>
      <c r="DW551">
        <v>0</v>
      </c>
      <c r="DX551">
        <v>0</v>
      </c>
      <c r="DY551">
        <v>0</v>
      </c>
      <c r="DZ551">
        <v>0</v>
      </c>
      <c r="EA551" s="143">
        <v>0</v>
      </c>
      <c r="EB551">
        <v>1</v>
      </c>
      <c r="EC551">
        <v>0</v>
      </c>
      <c r="ED551">
        <v>0</v>
      </c>
      <c r="EE551">
        <v>0</v>
      </c>
      <c r="EF551">
        <v>0</v>
      </c>
      <c r="EG551">
        <v>0</v>
      </c>
      <c r="EH551">
        <v>0</v>
      </c>
      <c r="EI551" s="2">
        <v>0</v>
      </c>
      <c r="EJ551"/>
      <c r="EK551" t="str">
        <f>IF(AND(AND(AND(OR($DX551=1,$DW551=1),OR($EC551=1,$EA551=1)),SUM($DV551:$DZ551,$EF551)&gt;=4),SUM($EA551:$EE551)&gt;=2),"Whole sector","")</f>
        <v/>
      </c>
      <c r="EL551" t="str">
        <f>IF(AND(AND(OR($DX551=1,$DW551=1),AND($EC551=0,$EA551=0)),SUM($DV551:$DZ551,$EF551)&gt;=4),"Ecosystem approach","")</f>
        <v/>
      </c>
      <c r="EM551" s="2" t="str">
        <f>IF(AND(AND(AND($DX551=0,$DW551=0),OR($EC551=1,$EA551=1)),SUM($EB551:$EE551)&gt;=2),"Technology approach","")</f>
        <v/>
      </c>
      <c r="EP551" t="str">
        <f>IF(ISNUMBER(BU551),IF(ABS(BU551-[2]QC_indicators!$B$2)&gt;3*[2]QC_indicators!$C$2,"C ratio",IF(ISNUMBER(BY551),IF(ABS(BY551-[2]QC_indicators!$B$1)&gt;3*[2]QC_indicators!$C$1,"DF","no"))),IF(ISNUMBER(BY551),IF(ABS(BY551-[2]QC_indicators!$B$1)&gt;3*[2]QC_indicators!$C$1,"DF","no")))</f>
        <v>no</v>
      </c>
      <c r="ET551" s="266" t="s">
        <v>3152</v>
      </c>
    </row>
    <row r="552" spans="1:150" ht="15" hidden="1" customHeight="1">
      <c r="A552" s="1" t="s">
        <v>928</v>
      </c>
      <c r="B552" t="s">
        <v>1851</v>
      </c>
      <c r="C552" t="s">
        <v>1852</v>
      </c>
      <c r="D552" t="s">
        <v>1853</v>
      </c>
      <c r="E552" t="s">
        <v>1854</v>
      </c>
      <c r="F552" t="s">
        <v>1855</v>
      </c>
      <c r="G552" t="s">
        <v>934</v>
      </c>
      <c r="H552" t="s">
        <v>255</v>
      </c>
      <c r="I552">
        <v>2019</v>
      </c>
      <c r="J552">
        <v>8</v>
      </c>
      <c r="K552" t="s">
        <v>1856</v>
      </c>
      <c r="M552" t="str">
        <f>LEFT($D552,FIND(",",$D552)-1)&amp;"_"&amp;I552&amp;L552</f>
        <v>Kogler_2019</v>
      </c>
      <c r="N552" t="s">
        <v>2584</v>
      </c>
      <c r="O552" s="171" t="s">
        <v>514</v>
      </c>
      <c r="P552" t="s">
        <v>962</v>
      </c>
      <c r="Q552" t="s">
        <v>390</v>
      </c>
      <c r="R552" s="264" t="s">
        <v>224</v>
      </c>
      <c r="S552" s="1" t="s">
        <v>1857</v>
      </c>
      <c r="T552" t="s">
        <v>1866</v>
      </c>
      <c r="U552" t="s">
        <v>1867</v>
      </c>
      <c r="V552">
        <v>0</v>
      </c>
      <c r="W552">
        <v>0</v>
      </c>
      <c r="X552">
        <v>0</v>
      </c>
      <c r="Y552">
        <v>1</v>
      </c>
      <c r="Z552">
        <v>0</v>
      </c>
      <c r="AA552">
        <v>0</v>
      </c>
      <c r="AB552">
        <v>0</v>
      </c>
      <c r="AC552">
        <v>0</v>
      </c>
      <c r="AD552">
        <v>0</v>
      </c>
      <c r="AE552">
        <v>0</v>
      </c>
      <c r="AF552">
        <v>0</v>
      </c>
      <c r="AG552">
        <v>0</v>
      </c>
      <c r="AH552">
        <v>0</v>
      </c>
      <c r="AI552">
        <v>0</v>
      </c>
      <c r="AJ552">
        <v>0</v>
      </c>
      <c r="AK552">
        <v>0</v>
      </c>
      <c r="AL552">
        <v>0</v>
      </c>
      <c r="AM552">
        <v>0</v>
      </c>
      <c r="AN552">
        <v>0</v>
      </c>
      <c r="AO552">
        <v>2</v>
      </c>
      <c r="AP552">
        <v>0</v>
      </c>
      <c r="AQ552">
        <v>0</v>
      </c>
      <c r="AR552">
        <v>0</v>
      </c>
      <c r="AS552">
        <v>0</v>
      </c>
      <c r="AT552">
        <v>0</v>
      </c>
      <c r="AU552">
        <v>0</v>
      </c>
      <c r="AV552">
        <v>0</v>
      </c>
      <c r="AW552">
        <v>0</v>
      </c>
      <c r="AX552" s="141">
        <f>COUNTIF(V552:AW552,"&lt;&gt;0")</f>
        <v>2</v>
      </c>
      <c r="AY552" s="141">
        <f>COUNTIF(V552:AL552,"&lt;&gt;0")</f>
        <v>1</v>
      </c>
      <c r="AZ552">
        <f>COUNTIF(V552:AC552,"&lt;&gt;0")</f>
        <v>1</v>
      </c>
      <c r="BA552">
        <f>COUNTIF(AD552:AI552,"&lt;&gt;0")</f>
        <v>0</v>
      </c>
      <c r="BB552">
        <f>COUNTIF(AJ552:AL552,"&lt;&gt;0")</f>
        <v>0</v>
      </c>
      <c r="BC552">
        <f>COUNTIF(AS552:AW552,"&lt;&gt;0")</f>
        <v>0</v>
      </c>
      <c r="BD552">
        <f>COUNTIF(AM552:AR552,"&lt;&gt;0")</f>
        <v>1</v>
      </c>
      <c r="BE552" t="str">
        <f t="array" ref="BE552">IF(AY552=1,INDEX($V$7:$AL$7,MATCH(TRUE,INDEX($V552:$AW552&lt;&gt;0,),0)),IF(AY552=0,INDEX($AM$7:$AW$7,MATCH(1,$AM552:$AW552,0)),IF(BF552="Multiple strategies","mixed drivers",IF(BF552="Supply chain","multiple supply","multiple silviculture"))))</f>
        <v xml:space="preserve">cutting intensity </v>
      </c>
      <c r="BF552" s="2" t="str" cm="1">
        <f t="array" ref="BF552">IF(COUNTIF(AZ552:BB552,"&lt;&gt;0")=1,INDEX($V$4:$AW$4,MATCH(TRUE,INDEX($V552:$AW552&lt;&gt;0,),0)),IF(COUNTIF(AZ552:BB552,"&lt;&gt;0")=0,INDEX($AM$4:$AW$4,MATCH(1,$AM552:$AW552,0)),"Multiple strategies"))</f>
        <v>SilvicultureRemov</v>
      </c>
      <c r="BG552" s="1" t="s">
        <v>322</v>
      </c>
      <c r="BH552" t="s">
        <v>1860</v>
      </c>
      <c r="BI552" t="s">
        <v>613</v>
      </c>
      <c r="BJ552" t="s">
        <v>499</v>
      </c>
      <c r="BK552">
        <v>37628</v>
      </c>
      <c r="BL552">
        <v>39771</v>
      </c>
      <c r="BM552" t="s">
        <v>545</v>
      </c>
      <c r="BN552">
        <f>BL552-BK552</f>
        <v>2143</v>
      </c>
      <c r="BO552">
        <f>BN552</f>
        <v>2143</v>
      </c>
      <c r="BP552" t="s">
        <v>396</v>
      </c>
      <c r="BQ552" t="s">
        <v>1861</v>
      </c>
      <c r="BR552" s="266" t="s">
        <v>3151</v>
      </c>
      <c r="BS552">
        <v>721</v>
      </c>
      <c r="BT552">
        <v>762</v>
      </c>
      <c r="BU552" s="144">
        <v>1.0568654646324549</v>
      </c>
      <c r="BV552" s="152">
        <f>BT552-BS552</f>
        <v>41</v>
      </c>
      <c r="BX552">
        <f>BV552*10^6</f>
        <v>41000000</v>
      </c>
      <c r="BY552">
        <f>IFERROR(BX552/BO552,"")</f>
        <v>19132.057862809146</v>
      </c>
      <c r="BZ552">
        <v>0</v>
      </c>
      <c r="CA552">
        <v>0</v>
      </c>
      <c r="CB552">
        <v>0</v>
      </c>
      <c r="CC552">
        <v>0</v>
      </c>
      <c r="CD552">
        <v>0</v>
      </c>
      <c r="CE552">
        <v>0</v>
      </c>
      <c r="CF552">
        <v>0</v>
      </c>
      <c r="CG552">
        <v>0</v>
      </c>
      <c r="CH552">
        <v>0</v>
      </c>
      <c r="CI552">
        <v>0</v>
      </c>
      <c r="CJ552">
        <v>0</v>
      </c>
      <c r="CK552">
        <v>0</v>
      </c>
      <c r="CL552">
        <v>0</v>
      </c>
      <c r="CM552">
        <v>0</v>
      </c>
      <c r="CN552" t="str">
        <f>IF($BL552&lt;$BK552,"refNeedCorrection","refOK")</f>
        <v>refOK</v>
      </c>
      <c r="CO552">
        <f>IF($CN552="refOK",$BK552,$BL552)</f>
        <v>37628</v>
      </c>
      <c r="CP552">
        <f>IF($CN552="refOK",$BL552,$BK552)</f>
        <v>39771</v>
      </c>
      <c r="CQ552">
        <f>IF($CN552="refOK",$BO552,-$BO552)</f>
        <v>2143</v>
      </c>
      <c r="CR552">
        <f>IF($CN552="refOK",$BS552,$BT552)*IF($BP552="Emissions positive",-1,1)</f>
        <v>-721</v>
      </c>
      <c r="CS552">
        <f>IF($CN552="refOK",$BT552,$BS552)*IF($BP552="Emissions positive",-1,1)</f>
        <v>-762</v>
      </c>
      <c r="CT552">
        <f>IF($CN552="refNeedCorrection",-BX552,BX552)*IF($BP552="Emissions positive",-1,1)</f>
        <v>-41000000</v>
      </c>
      <c r="CU552">
        <f>IFERROR(CT552/CQ552,"")</f>
        <v>-19132.057862809146</v>
      </c>
      <c r="CV552" s="2">
        <f>IFERROR((CS552-CR552)/ABS(CR552),"")</f>
        <v>-5.6865464632454926E-2</v>
      </c>
      <c r="CW552" s="1" t="s">
        <v>1205</v>
      </c>
      <c r="CX552" t="str">
        <f>IF(OR($CW552="prd",$CW552="std",$CW552="cit"),"loc",IF(OR($CW552="eur",$CW552="reg",$CW552="coy"),"reg",$CW552))</f>
        <v>reg</v>
      </c>
      <c r="CY552" t="s">
        <v>668</v>
      </c>
      <c r="CZ552">
        <v>0</v>
      </c>
      <c r="DA552">
        <v>0</v>
      </c>
      <c r="DB552">
        <v>0</v>
      </c>
      <c r="DC552" t="str">
        <f>IF(DB552=0,"0",IF(AND(DB552&gt;=1,DB552&lt;=30),"1-30",IF(AND(DB552&gt;30,DB552&lt;=70),"31-70",IF(AND(DB552&gt;70,DB552&lt;=100),"71-100",IF(DB552&gt;100,"+100")))))</f>
        <v>0</v>
      </c>
      <c r="DD552">
        <v>1</v>
      </c>
      <c r="DE552">
        <v>0</v>
      </c>
      <c r="DF552">
        <v>0</v>
      </c>
      <c r="DG552">
        <v>0</v>
      </c>
      <c r="DI552">
        <v>1</v>
      </c>
      <c r="DJ552" t="str">
        <f>IF(DI552=1,INDEX($DD$7:$DG$7,MATCH(1,$DD552:$DG552,0)),"mixedProduct")</f>
        <v>UpstreamInput</v>
      </c>
      <c r="DK552" t="str">
        <f>IF(DD552=1,DK$7,0)</f>
        <v>Upstream</v>
      </c>
      <c r="DL552">
        <f>IF(DE552=1,DL$7,0)</f>
        <v>0</v>
      </c>
      <c r="DM552">
        <f>IF(DF552=1,DM$7,0)</f>
        <v>0</v>
      </c>
      <c r="DN552">
        <f>IF(DG552=1,DN$7,0)</f>
        <v>0</v>
      </c>
      <c r="DO552">
        <v>0</v>
      </c>
      <c r="DP552">
        <v>0</v>
      </c>
      <c r="DQ552">
        <v>0</v>
      </c>
      <c r="DR552">
        <v>0</v>
      </c>
      <c r="DS552">
        <v>0</v>
      </c>
      <c r="DT552">
        <f>SUM(DO552:DP552)</f>
        <v>0</v>
      </c>
      <c r="DU552" s="143" t="s">
        <v>964</v>
      </c>
      <c r="DV552">
        <v>0</v>
      </c>
      <c r="DW552">
        <v>0</v>
      </c>
      <c r="DX552">
        <v>0</v>
      </c>
      <c r="DY552">
        <v>0</v>
      </c>
      <c r="DZ552">
        <v>0</v>
      </c>
      <c r="EA552" s="143">
        <v>0</v>
      </c>
      <c r="EB552">
        <v>1</v>
      </c>
      <c r="EC552">
        <v>0</v>
      </c>
      <c r="ED552">
        <v>0</v>
      </c>
      <c r="EE552">
        <v>0</v>
      </c>
      <c r="EF552">
        <v>0</v>
      </c>
      <c r="EG552">
        <v>0</v>
      </c>
      <c r="EH552">
        <v>0</v>
      </c>
      <c r="EI552" s="2">
        <v>0</v>
      </c>
      <c r="EJ552"/>
      <c r="EK552" t="str">
        <f>IF(AND(AND(AND(OR($DX552=1,$DW552=1),OR($EC552=1,$EA552=1)),SUM($DV552:$DZ552,$EF552)&gt;=4),SUM($EA552:$EE552)&gt;=2),"Whole sector","")</f>
        <v/>
      </c>
      <c r="EL552" t="str">
        <f>IF(AND(AND(OR($DX552=1,$DW552=1),AND($EC552=0,$EA552=0)),SUM($DV552:$DZ552,$EF552)&gt;=4),"Ecosystem approach","")</f>
        <v/>
      </c>
      <c r="EM552" s="2" t="str">
        <f>IF(AND(AND(AND($DX552=0,$DW552=0),OR($EC552=1,$EA552=1)),SUM($EB552:$EE552)&gt;=2),"Technology approach","")</f>
        <v/>
      </c>
      <c r="EP552" t="str">
        <f>IF(ISNUMBER(BU552),IF(ABS(BU552-[2]QC_indicators!$B$2)&gt;3*[2]QC_indicators!$C$2,"C ratio",IF(ISNUMBER(BY552),IF(ABS(BY552-[2]QC_indicators!$B$1)&gt;3*[2]QC_indicators!$C$1,"DF","no"))),IF(ISNUMBER(BY552),IF(ABS(BY552-[2]QC_indicators!$B$1)&gt;3*[2]QC_indicators!$C$1,"DF","no")))</f>
        <v>no</v>
      </c>
      <c r="ET552" s="266" t="s">
        <v>3152</v>
      </c>
    </row>
    <row r="553" spans="1:150" ht="15" hidden="1" customHeight="1">
      <c r="A553" s="1" t="s">
        <v>928</v>
      </c>
      <c r="B553" t="s">
        <v>1851</v>
      </c>
      <c r="C553" t="s">
        <v>1852</v>
      </c>
      <c r="D553" t="s">
        <v>1853</v>
      </c>
      <c r="E553" t="s">
        <v>1854</v>
      </c>
      <c r="F553" t="s">
        <v>1855</v>
      </c>
      <c r="G553" t="s">
        <v>934</v>
      </c>
      <c r="H553" t="s">
        <v>255</v>
      </c>
      <c r="I553">
        <v>2019</v>
      </c>
      <c r="J553">
        <v>8</v>
      </c>
      <c r="K553" t="s">
        <v>1856</v>
      </c>
      <c r="M553" t="str">
        <f>LEFT($D553,FIND(",",$D553)-1)&amp;"_"&amp;I553&amp;L553</f>
        <v>Kogler_2019</v>
      </c>
      <c r="N553" t="s">
        <v>2584</v>
      </c>
      <c r="O553" s="171" t="s">
        <v>514</v>
      </c>
      <c r="P553" t="s">
        <v>962</v>
      </c>
      <c r="Q553" t="s">
        <v>390</v>
      </c>
      <c r="R553" s="264" t="s">
        <v>224</v>
      </c>
      <c r="S553" s="1" t="s">
        <v>1857</v>
      </c>
      <c r="T553" t="s">
        <v>1866</v>
      </c>
      <c r="U553" t="s">
        <v>1868</v>
      </c>
      <c r="V553">
        <v>0</v>
      </c>
      <c r="W553">
        <v>0</v>
      </c>
      <c r="X553">
        <v>0</v>
      </c>
      <c r="Y553">
        <v>1</v>
      </c>
      <c r="Z553">
        <v>0</v>
      </c>
      <c r="AA553">
        <v>0</v>
      </c>
      <c r="AB553">
        <v>0</v>
      </c>
      <c r="AC553">
        <v>0</v>
      </c>
      <c r="AD553">
        <v>0</v>
      </c>
      <c r="AE553">
        <v>0</v>
      </c>
      <c r="AF553">
        <v>0</v>
      </c>
      <c r="AG553">
        <v>0</v>
      </c>
      <c r="AH553">
        <v>0</v>
      </c>
      <c r="AI553">
        <v>0</v>
      </c>
      <c r="AJ553">
        <v>0</v>
      </c>
      <c r="AK553">
        <v>0</v>
      </c>
      <c r="AL553">
        <v>0</v>
      </c>
      <c r="AM553">
        <v>0</v>
      </c>
      <c r="AN553">
        <v>0</v>
      </c>
      <c r="AO553">
        <v>0</v>
      </c>
      <c r="AP553">
        <v>0</v>
      </c>
      <c r="AQ553">
        <v>0</v>
      </c>
      <c r="AR553">
        <v>0</v>
      </c>
      <c r="AS553">
        <v>0</v>
      </c>
      <c r="AT553">
        <v>0</v>
      </c>
      <c r="AU553">
        <v>0</v>
      </c>
      <c r="AV553">
        <v>0</v>
      </c>
      <c r="AW553">
        <v>0</v>
      </c>
      <c r="AX553" s="141">
        <f>COUNTIF(V553:AW553,"&lt;&gt;0")</f>
        <v>1</v>
      </c>
      <c r="AY553" s="141">
        <f>COUNTIF(V553:AL553,"&lt;&gt;0")</f>
        <v>1</v>
      </c>
      <c r="AZ553">
        <f>COUNTIF(V553:AC553,"&lt;&gt;0")</f>
        <v>1</v>
      </c>
      <c r="BA553">
        <f>COUNTIF(AD553:AI553,"&lt;&gt;0")</f>
        <v>0</v>
      </c>
      <c r="BB553">
        <f>COUNTIF(AJ553:AL553,"&lt;&gt;0")</f>
        <v>0</v>
      </c>
      <c r="BC553">
        <f>COUNTIF(AS553:AW553,"&lt;&gt;0")</f>
        <v>0</v>
      </c>
      <c r="BD553">
        <f>COUNTIF(AM553:AR553,"&lt;&gt;0")</f>
        <v>0</v>
      </c>
      <c r="BE553" t="str">
        <f t="array" ref="BE553">IF(AY553=1,INDEX($V$7:$AL$7,MATCH(TRUE,INDEX($V553:$AW553&lt;&gt;0,),0)),IF(AY553=0,INDEX($AM$7:$AW$7,MATCH(1,$AM553:$AW553,0)),IF(BF553="Multiple strategies","mixed drivers",IF(BF553="Supply chain","multiple supply","multiple silviculture"))))</f>
        <v xml:space="preserve">cutting intensity </v>
      </c>
      <c r="BF553" s="2" t="str" cm="1">
        <f t="array" ref="BF553">IF(COUNTIF(AZ553:BB553,"&lt;&gt;0")=1,INDEX($V$4:$AW$4,MATCH(TRUE,INDEX($V553:$AW553&lt;&gt;0,),0)),IF(COUNTIF(AZ553:BB553,"&lt;&gt;0")=0,INDEX($AM$4:$AW$4,MATCH(1,$AM553:$AW553,0)),"Multiple strategies"))</f>
        <v>SilvicultureRemov</v>
      </c>
      <c r="BG553" s="1" t="s">
        <v>322</v>
      </c>
      <c r="BH553" t="s">
        <v>1860</v>
      </c>
      <c r="BI553" t="s">
        <v>613</v>
      </c>
      <c r="BJ553" t="s">
        <v>499</v>
      </c>
      <c r="BK553">
        <v>37628</v>
      </c>
      <c r="BL553">
        <v>75469</v>
      </c>
      <c r="BM553" t="s">
        <v>545</v>
      </c>
      <c r="BN553">
        <f>BL553-BK553</f>
        <v>37841</v>
      </c>
      <c r="BO553">
        <f>BN553</f>
        <v>37841</v>
      </c>
      <c r="BP553" t="s">
        <v>396</v>
      </c>
      <c r="BQ553" t="s">
        <v>1861</v>
      </c>
      <c r="BR553" s="266" t="s">
        <v>3151</v>
      </c>
      <c r="BS553">
        <v>721</v>
      </c>
      <c r="BT553">
        <v>1447</v>
      </c>
      <c r="BU553" s="144">
        <v>2.0069348127600555</v>
      </c>
      <c r="BV553" s="152">
        <f>BT553-BS553</f>
        <v>726</v>
      </c>
      <c r="BX553">
        <f>BV553*10^6</f>
        <v>726000000</v>
      </c>
      <c r="BY553">
        <f>IFERROR(BX553/BO553,"")</f>
        <v>19185.539494199413</v>
      </c>
      <c r="BZ553">
        <v>0</v>
      </c>
      <c r="CA553">
        <v>0</v>
      </c>
      <c r="CB553">
        <v>0</v>
      </c>
      <c r="CC553">
        <v>0</v>
      </c>
      <c r="CD553">
        <v>0</v>
      </c>
      <c r="CE553">
        <v>0</v>
      </c>
      <c r="CF553">
        <v>0</v>
      </c>
      <c r="CG553">
        <v>0</v>
      </c>
      <c r="CH553">
        <v>0</v>
      </c>
      <c r="CI553">
        <v>0</v>
      </c>
      <c r="CJ553">
        <v>0</v>
      </c>
      <c r="CK553">
        <v>0</v>
      </c>
      <c r="CL553">
        <v>0</v>
      </c>
      <c r="CM553">
        <v>0</v>
      </c>
      <c r="CN553" t="str">
        <f>IF($BL553&lt;$BK553,"refNeedCorrection","refOK")</f>
        <v>refOK</v>
      </c>
      <c r="CO553">
        <f>IF($CN553="refOK",$BK553,$BL553)</f>
        <v>37628</v>
      </c>
      <c r="CP553">
        <f>IF($CN553="refOK",$BL553,$BK553)</f>
        <v>75469</v>
      </c>
      <c r="CQ553">
        <f>IF($CN553="refOK",$BO553,-$BO553)</f>
        <v>37841</v>
      </c>
      <c r="CR553">
        <f>IF($CN553="refOK",$BS553,$BT553)*IF($BP553="Emissions positive",-1,1)</f>
        <v>-721</v>
      </c>
      <c r="CS553">
        <f>IF($CN553="refOK",$BT553,$BS553)*IF($BP553="Emissions positive",-1,1)</f>
        <v>-1447</v>
      </c>
      <c r="CT553">
        <f>IF($CN553="refNeedCorrection",-BX553,BX553)*IF($BP553="Emissions positive",-1,1)</f>
        <v>-726000000</v>
      </c>
      <c r="CU553">
        <f>IFERROR(CT553/CQ553,"")</f>
        <v>-19185.539494199413</v>
      </c>
      <c r="CV553" s="2">
        <f>IFERROR((CS553-CR553)/ABS(CR553),"")</f>
        <v>-1.0069348127600555</v>
      </c>
      <c r="CW553" s="1" t="s">
        <v>1205</v>
      </c>
      <c r="CX553" t="str">
        <f>IF(OR($CW553="prd",$CW553="std",$CW553="cit"),"loc",IF(OR($CW553="eur",$CW553="reg",$CW553="coy"),"reg",$CW553))</f>
        <v>reg</v>
      </c>
      <c r="CY553" t="s">
        <v>668</v>
      </c>
      <c r="CZ553">
        <v>0</v>
      </c>
      <c r="DA553">
        <v>0</v>
      </c>
      <c r="DB553">
        <v>0</v>
      </c>
      <c r="DC553" t="str">
        <f>IF(DB553=0,"0",IF(AND(DB553&gt;=1,DB553&lt;=30),"1-30",IF(AND(DB553&gt;30,DB553&lt;=70),"31-70",IF(AND(DB553&gt;70,DB553&lt;=100),"71-100",IF(DB553&gt;100,"+100")))))</f>
        <v>0</v>
      </c>
      <c r="DD553">
        <v>1</v>
      </c>
      <c r="DE553">
        <v>0</v>
      </c>
      <c r="DF553">
        <v>0</v>
      </c>
      <c r="DG553">
        <v>0</v>
      </c>
      <c r="DI553">
        <v>1</v>
      </c>
      <c r="DJ553" t="str">
        <f>IF(DI553=1,INDEX($DD$7:$DG$7,MATCH(1,$DD553:$DG553,0)),"mixedProduct")</f>
        <v>UpstreamInput</v>
      </c>
      <c r="DK553" t="str">
        <f>IF(DD553=1,DK$7,0)</f>
        <v>Upstream</v>
      </c>
      <c r="DL553">
        <f>IF(DE553=1,DL$7,0)</f>
        <v>0</v>
      </c>
      <c r="DM553">
        <f>IF(DF553=1,DM$7,0)</f>
        <v>0</v>
      </c>
      <c r="DN553">
        <f>IF(DG553=1,DN$7,0)</f>
        <v>0</v>
      </c>
      <c r="DO553">
        <v>0</v>
      </c>
      <c r="DP553">
        <v>0</v>
      </c>
      <c r="DQ553">
        <v>0</v>
      </c>
      <c r="DR553">
        <v>0</v>
      </c>
      <c r="DS553">
        <v>0</v>
      </c>
      <c r="DT553">
        <f>SUM(DO553:DP553)</f>
        <v>0</v>
      </c>
      <c r="DU553" s="143" t="s">
        <v>964</v>
      </c>
      <c r="DV553">
        <v>0</v>
      </c>
      <c r="DW553">
        <v>0</v>
      </c>
      <c r="DX553">
        <v>0</v>
      </c>
      <c r="DY553">
        <v>0</v>
      </c>
      <c r="DZ553">
        <v>0</v>
      </c>
      <c r="EA553" s="143">
        <v>0</v>
      </c>
      <c r="EB553">
        <v>1</v>
      </c>
      <c r="EC553">
        <v>0</v>
      </c>
      <c r="ED553">
        <v>0</v>
      </c>
      <c r="EE553">
        <v>0</v>
      </c>
      <c r="EF553">
        <v>0</v>
      </c>
      <c r="EG553">
        <v>0</v>
      </c>
      <c r="EH553">
        <v>0</v>
      </c>
      <c r="EI553" s="2">
        <v>0</v>
      </c>
      <c r="EJ553"/>
      <c r="EK553" t="str">
        <f>IF(AND(AND(AND(OR($DX553=1,$DW553=1),OR($EC553=1,$EA553=1)),SUM($DV553:$DZ553,$EF553)&gt;=4),SUM($EA553:$EE553)&gt;=2),"Whole sector","")</f>
        <v/>
      </c>
      <c r="EL553" t="str">
        <f>IF(AND(AND(OR($DX553=1,$DW553=1),AND($EC553=0,$EA553=0)),SUM($DV553:$DZ553,$EF553)&gt;=4),"Ecosystem approach","")</f>
        <v/>
      </c>
      <c r="EM553" s="2" t="str">
        <f>IF(AND(AND(AND($DX553=0,$DW553=0),OR($EC553=1,$EA553=1)),SUM($EB553:$EE553)&gt;=2),"Technology approach","")</f>
        <v/>
      </c>
      <c r="EP553" t="str">
        <f>IF(ISNUMBER(BU553),IF(ABS(BU553-[2]QC_indicators!$B$2)&gt;3*[2]QC_indicators!$C$2,"C ratio",IF(ISNUMBER(BY553),IF(ABS(BY553-[2]QC_indicators!$B$1)&gt;3*[2]QC_indicators!$C$1,"DF","no"))),IF(ISNUMBER(BY553),IF(ABS(BY553-[2]QC_indicators!$B$1)&gt;3*[2]QC_indicators!$C$1,"DF","no")))</f>
        <v>no</v>
      </c>
      <c r="ET553" s="266" t="s">
        <v>3152</v>
      </c>
    </row>
    <row r="554" spans="1:150" ht="15" hidden="1" customHeight="1">
      <c r="A554" s="1" t="s">
        <v>928</v>
      </c>
      <c r="B554" t="s">
        <v>1851</v>
      </c>
      <c r="C554" t="s">
        <v>1852</v>
      </c>
      <c r="D554" t="s">
        <v>1853</v>
      </c>
      <c r="E554" t="s">
        <v>1854</v>
      </c>
      <c r="F554" t="s">
        <v>1855</v>
      </c>
      <c r="G554" t="s">
        <v>934</v>
      </c>
      <c r="H554" t="s">
        <v>255</v>
      </c>
      <c r="I554">
        <v>2019</v>
      </c>
      <c r="J554">
        <v>8</v>
      </c>
      <c r="K554" t="s">
        <v>1856</v>
      </c>
      <c r="M554" t="str">
        <f>LEFT($D554,FIND(",",$D554)-1)&amp;"_"&amp;I554&amp;L554</f>
        <v>Kogler_2019</v>
      </c>
      <c r="N554" t="s">
        <v>2584</v>
      </c>
      <c r="O554" s="171" t="s">
        <v>514</v>
      </c>
      <c r="P554" t="s">
        <v>962</v>
      </c>
      <c r="Q554" t="s">
        <v>390</v>
      </c>
      <c r="R554" s="264" t="s">
        <v>224</v>
      </c>
      <c r="S554" s="1" t="s">
        <v>1857</v>
      </c>
      <c r="T554" t="s">
        <v>1863</v>
      </c>
      <c r="U554" t="s">
        <v>1864</v>
      </c>
      <c r="V554">
        <v>0</v>
      </c>
      <c r="W554">
        <v>0</v>
      </c>
      <c r="X554">
        <v>0</v>
      </c>
      <c r="Y554">
        <v>1</v>
      </c>
      <c r="Z554">
        <v>0</v>
      </c>
      <c r="AA554">
        <v>0</v>
      </c>
      <c r="AB554">
        <v>0</v>
      </c>
      <c r="AC554">
        <v>0</v>
      </c>
      <c r="AD554">
        <v>0</v>
      </c>
      <c r="AE554">
        <v>0</v>
      </c>
      <c r="AF554">
        <v>0</v>
      </c>
      <c r="AG554">
        <v>0</v>
      </c>
      <c r="AH554">
        <v>0</v>
      </c>
      <c r="AI554">
        <v>0</v>
      </c>
      <c r="AJ554">
        <v>0</v>
      </c>
      <c r="AK554">
        <v>0</v>
      </c>
      <c r="AL554">
        <v>0</v>
      </c>
      <c r="AM554">
        <v>0</v>
      </c>
      <c r="AN554">
        <v>0</v>
      </c>
      <c r="AO554">
        <v>2</v>
      </c>
      <c r="AP554">
        <v>0</v>
      </c>
      <c r="AQ554">
        <v>0</v>
      </c>
      <c r="AR554">
        <v>0</v>
      </c>
      <c r="AS554">
        <v>0</v>
      </c>
      <c r="AT554">
        <v>0</v>
      </c>
      <c r="AU554">
        <v>0</v>
      </c>
      <c r="AV554">
        <v>0</v>
      </c>
      <c r="AW554">
        <v>0</v>
      </c>
      <c r="AX554" s="141">
        <f>COUNTIF(V554:AW554,"&lt;&gt;0")</f>
        <v>2</v>
      </c>
      <c r="AY554" s="141">
        <f>COUNTIF(V554:AL554,"&lt;&gt;0")</f>
        <v>1</v>
      </c>
      <c r="AZ554">
        <f>COUNTIF(V554:AC554,"&lt;&gt;0")</f>
        <v>1</v>
      </c>
      <c r="BA554">
        <f>COUNTIF(AD554:AI554,"&lt;&gt;0")</f>
        <v>0</v>
      </c>
      <c r="BB554">
        <f>COUNTIF(AJ554:AL554,"&lt;&gt;0")</f>
        <v>0</v>
      </c>
      <c r="BC554">
        <f>COUNTIF(AS554:AW554,"&lt;&gt;0")</f>
        <v>0</v>
      </c>
      <c r="BD554">
        <f>COUNTIF(AM554:AR554,"&lt;&gt;0")</f>
        <v>1</v>
      </c>
      <c r="BE554" t="str">
        <f t="array" ref="BE554">IF(AY554=1,INDEX($V$7:$AL$7,MATCH(TRUE,INDEX($V554:$AW554&lt;&gt;0,),0)),IF(AY554=0,INDEX($AM$7:$AW$7,MATCH(1,$AM554:$AW554,0)),IF(BF554="Multiple strategies","mixed drivers",IF(BF554="Supply chain","multiple supply","multiple silviculture"))))</f>
        <v xml:space="preserve">cutting intensity </v>
      </c>
      <c r="BF554" s="2" t="str" cm="1">
        <f t="array" ref="BF554">IF(COUNTIF(AZ554:BB554,"&lt;&gt;0")=1,INDEX($V$4:$AW$4,MATCH(TRUE,INDEX($V554:$AW554&lt;&gt;0,),0)),IF(COUNTIF(AZ554:BB554,"&lt;&gt;0")=0,INDEX($AM$4:$AW$4,MATCH(1,$AM554:$AW554,0)),"Multiple strategies"))</f>
        <v>SilvicultureRemov</v>
      </c>
      <c r="BG554" s="1" t="s">
        <v>322</v>
      </c>
      <c r="BH554" t="s">
        <v>1860</v>
      </c>
      <c r="BI554" t="s">
        <v>613</v>
      </c>
      <c r="BJ554" t="s">
        <v>499</v>
      </c>
      <c r="BK554">
        <v>38360</v>
      </c>
      <c r="BL554">
        <v>41581</v>
      </c>
      <c r="BM554" t="s">
        <v>545</v>
      </c>
      <c r="BN554">
        <f>BL554-BK554</f>
        <v>3221</v>
      </c>
      <c r="BO554">
        <f>BN554</f>
        <v>3221</v>
      </c>
      <c r="BP554" t="s">
        <v>396</v>
      </c>
      <c r="BQ554" t="s">
        <v>1861</v>
      </c>
      <c r="BR554" s="266" t="s">
        <v>3151</v>
      </c>
      <c r="BS554">
        <v>665</v>
      </c>
      <c r="BT554">
        <v>719</v>
      </c>
      <c r="BU554" s="144">
        <v>1.0812030075187971</v>
      </c>
      <c r="BV554" s="152">
        <f>BT554-BS554</f>
        <v>54</v>
      </c>
      <c r="BX554">
        <f>BV554*10^6</f>
        <v>54000000</v>
      </c>
      <c r="BY554">
        <f>IFERROR(BX554/BO554,"")</f>
        <v>16764.979819931697</v>
      </c>
      <c r="BZ554">
        <v>0</v>
      </c>
      <c r="CA554">
        <v>0</v>
      </c>
      <c r="CB554">
        <v>0</v>
      </c>
      <c r="CC554">
        <v>0</v>
      </c>
      <c r="CD554">
        <v>0</v>
      </c>
      <c r="CE554">
        <v>0</v>
      </c>
      <c r="CF554">
        <v>0</v>
      </c>
      <c r="CG554">
        <v>0</v>
      </c>
      <c r="CH554">
        <v>0</v>
      </c>
      <c r="CI554">
        <v>0</v>
      </c>
      <c r="CJ554">
        <v>0</v>
      </c>
      <c r="CK554">
        <v>0</v>
      </c>
      <c r="CL554">
        <v>0</v>
      </c>
      <c r="CM554">
        <v>0</v>
      </c>
      <c r="CN554" t="str">
        <f>IF($BL554&lt;$BK554,"refNeedCorrection","refOK")</f>
        <v>refOK</v>
      </c>
      <c r="CO554">
        <f>IF($CN554="refOK",$BK554,$BL554)</f>
        <v>38360</v>
      </c>
      <c r="CP554">
        <f>IF($CN554="refOK",$BL554,$BK554)</f>
        <v>41581</v>
      </c>
      <c r="CQ554">
        <f>IF($CN554="refOK",$BO554,-$BO554)</f>
        <v>3221</v>
      </c>
      <c r="CR554">
        <f>IF($CN554="refOK",$BS554,$BT554)*IF($BP554="Emissions positive",-1,1)</f>
        <v>-665</v>
      </c>
      <c r="CS554">
        <f>IF($CN554="refOK",$BT554,$BS554)*IF($BP554="Emissions positive",-1,1)</f>
        <v>-719</v>
      </c>
      <c r="CT554">
        <f>IF($CN554="refNeedCorrection",-BX554,BX554)*IF($BP554="Emissions positive",-1,1)</f>
        <v>-54000000</v>
      </c>
      <c r="CU554">
        <f>IFERROR(CT554/CQ554,"")</f>
        <v>-16764.979819931697</v>
      </c>
      <c r="CV554" s="2">
        <f>IFERROR((CS554-CR554)/ABS(CR554),"")</f>
        <v>-8.1203007518796999E-2</v>
      </c>
      <c r="CW554" s="1" t="s">
        <v>1205</v>
      </c>
      <c r="CX554" t="str">
        <f>IF(OR($CW554="prd",$CW554="std",$CW554="cit"),"loc",IF(OR($CW554="eur",$CW554="reg",$CW554="coy"),"reg",$CW554))</f>
        <v>reg</v>
      </c>
      <c r="CY554" t="s">
        <v>668</v>
      </c>
      <c r="CZ554">
        <v>0</v>
      </c>
      <c r="DA554">
        <v>0</v>
      </c>
      <c r="DB554">
        <v>0</v>
      </c>
      <c r="DC554" t="str">
        <f>IF(DB554=0,"0",IF(AND(DB554&gt;=1,DB554&lt;=30),"1-30",IF(AND(DB554&gt;30,DB554&lt;=70),"31-70",IF(AND(DB554&gt;70,DB554&lt;=100),"71-100",IF(DB554&gt;100,"+100")))))</f>
        <v>0</v>
      </c>
      <c r="DD554">
        <v>1</v>
      </c>
      <c r="DE554">
        <v>0</v>
      </c>
      <c r="DF554">
        <v>0</v>
      </c>
      <c r="DG554">
        <v>0</v>
      </c>
      <c r="DI554">
        <v>1</v>
      </c>
      <c r="DJ554" t="str">
        <f>IF(DI554=1,INDEX($DD$7:$DG$7,MATCH(1,$DD554:$DG554,0)),"mixedProduct")</f>
        <v>UpstreamInput</v>
      </c>
      <c r="DK554" t="str">
        <f>IF(DD554=1,DK$7,0)</f>
        <v>Upstream</v>
      </c>
      <c r="DL554">
        <f>IF(DE554=1,DL$7,0)</f>
        <v>0</v>
      </c>
      <c r="DM554">
        <f>IF(DF554=1,DM$7,0)</f>
        <v>0</v>
      </c>
      <c r="DN554">
        <f>IF(DG554=1,DN$7,0)</f>
        <v>0</v>
      </c>
      <c r="DO554">
        <v>0</v>
      </c>
      <c r="DP554">
        <v>0</v>
      </c>
      <c r="DQ554">
        <v>0</v>
      </c>
      <c r="DR554">
        <v>0</v>
      </c>
      <c r="DS554">
        <v>0</v>
      </c>
      <c r="DT554">
        <f>SUM(DO554:DP554)</f>
        <v>0</v>
      </c>
      <c r="DU554" s="143" t="s">
        <v>964</v>
      </c>
      <c r="DV554">
        <v>0</v>
      </c>
      <c r="DW554">
        <v>0</v>
      </c>
      <c r="DX554">
        <v>0</v>
      </c>
      <c r="DY554">
        <v>0</v>
      </c>
      <c r="DZ554">
        <v>0</v>
      </c>
      <c r="EA554" s="143">
        <v>0</v>
      </c>
      <c r="EB554">
        <v>1</v>
      </c>
      <c r="EC554">
        <v>0</v>
      </c>
      <c r="ED554">
        <v>0</v>
      </c>
      <c r="EE554">
        <v>0</v>
      </c>
      <c r="EF554">
        <v>0</v>
      </c>
      <c r="EG554">
        <v>0</v>
      </c>
      <c r="EH554">
        <v>0</v>
      </c>
      <c r="EI554" s="2">
        <v>0</v>
      </c>
      <c r="EJ554"/>
      <c r="EK554" t="str">
        <f>IF(AND(AND(AND(OR($DX554=1,$DW554=1),OR($EC554=1,$EA554=1)),SUM($DV554:$DZ554,$EF554)&gt;=4),SUM($EA554:$EE554)&gt;=2),"Whole sector","")</f>
        <v/>
      </c>
      <c r="EL554" t="str">
        <f>IF(AND(AND(OR($DX554=1,$DW554=1),AND($EC554=0,$EA554=0)),SUM($DV554:$DZ554,$EF554)&gt;=4),"Ecosystem approach","")</f>
        <v/>
      </c>
      <c r="EM554" s="2" t="str">
        <f>IF(AND(AND(AND($DX554=0,$DW554=0),OR($EC554=1,$EA554=1)),SUM($EB554:$EE554)&gt;=2),"Technology approach","")</f>
        <v/>
      </c>
      <c r="EP554" t="str">
        <f>IF(ISNUMBER(BU554),IF(ABS(BU554-[2]QC_indicators!$B$2)&gt;3*[2]QC_indicators!$C$2,"C ratio",IF(ISNUMBER(BY554),IF(ABS(BY554-[2]QC_indicators!$B$1)&gt;3*[2]QC_indicators!$C$1,"DF","no"))),IF(ISNUMBER(BY554),IF(ABS(BY554-[2]QC_indicators!$B$1)&gt;3*[2]QC_indicators!$C$1,"DF","no")))</f>
        <v>no</v>
      </c>
      <c r="ET554" s="266" t="s">
        <v>3152</v>
      </c>
    </row>
    <row r="555" spans="1:150" ht="15" hidden="1" customHeight="1">
      <c r="A555" s="1" t="s">
        <v>928</v>
      </c>
      <c r="B555" t="s">
        <v>1851</v>
      </c>
      <c r="C555" t="s">
        <v>1852</v>
      </c>
      <c r="D555" t="s">
        <v>1853</v>
      </c>
      <c r="E555" t="s">
        <v>1854</v>
      </c>
      <c r="F555" t="s">
        <v>1855</v>
      </c>
      <c r="G555" t="s">
        <v>934</v>
      </c>
      <c r="H555" t="s">
        <v>255</v>
      </c>
      <c r="I555">
        <v>2019</v>
      </c>
      <c r="J555">
        <v>8</v>
      </c>
      <c r="K555" t="s">
        <v>1856</v>
      </c>
      <c r="M555" t="str">
        <f>LEFT($D555,FIND(",",$D555)-1)&amp;"_"&amp;I555&amp;L555</f>
        <v>Kogler_2019</v>
      </c>
      <c r="N555" t="s">
        <v>2584</v>
      </c>
      <c r="O555" s="171" t="s">
        <v>514</v>
      </c>
      <c r="P555" t="s">
        <v>962</v>
      </c>
      <c r="Q555" t="s">
        <v>390</v>
      </c>
      <c r="R555" s="264" t="s">
        <v>224</v>
      </c>
      <c r="S555" s="1" t="s">
        <v>1857</v>
      </c>
      <c r="T555" t="s">
        <v>1863</v>
      </c>
      <c r="U555" t="s">
        <v>1865</v>
      </c>
      <c r="V555">
        <v>0</v>
      </c>
      <c r="W555">
        <v>0</v>
      </c>
      <c r="X555">
        <v>0</v>
      </c>
      <c r="Y555">
        <v>1</v>
      </c>
      <c r="Z555">
        <v>0</v>
      </c>
      <c r="AA555">
        <v>0</v>
      </c>
      <c r="AB555">
        <v>0</v>
      </c>
      <c r="AC555">
        <v>0</v>
      </c>
      <c r="AD555">
        <v>0</v>
      </c>
      <c r="AE555">
        <v>0</v>
      </c>
      <c r="AF555">
        <v>0</v>
      </c>
      <c r="AG555">
        <v>0</v>
      </c>
      <c r="AH555">
        <v>0</v>
      </c>
      <c r="AI555">
        <v>0</v>
      </c>
      <c r="AJ555">
        <v>0</v>
      </c>
      <c r="AK555">
        <v>0</v>
      </c>
      <c r="AL555">
        <v>0</v>
      </c>
      <c r="AM555">
        <v>0</v>
      </c>
      <c r="AN555">
        <v>0</v>
      </c>
      <c r="AO555">
        <v>0</v>
      </c>
      <c r="AP555">
        <v>0</v>
      </c>
      <c r="AQ555">
        <v>0</v>
      </c>
      <c r="AR555">
        <v>0</v>
      </c>
      <c r="AS555">
        <v>0</v>
      </c>
      <c r="AT555">
        <v>0</v>
      </c>
      <c r="AU555">
        <v>0</v>
      </c>
      <c r="AV555">
        <v>0</v>
      </c>
      <c r="AW555">
        <v>0</v>
      </c>
      <c r="AX555" s="141">
        <f>COUNTIF(V555:AW555,"&lt;&gt;0")</f>
        <v>1</v>
      </c>
      <c r="AY555" s="141">
        <f>COUNTIF(V555:AL555,"&lt;&gt;0")</f>
        <v>1</v>
      </c>
      <c r="AZ555">
        <f>COUNTIF(V555:AC555,"&lt;&gt;0")</f>
        <v>1</v>
      </c>
      <c r="BA555">
        <f>COUNTIF(AD555:AI555,"&lt;&gt;0")</f>
        <v>0</v>
      </c>
      <c r="BB555">
        <f>COUNTIF(AJ555:AL555,"&lt;&gt;0")</f>
        <v>0</v>
      </c>
      <c r="BC555">
        <f>COUNTIF(AS555:AW555,"&lt;&gt;0")</f>
        <v>0</v>
      </c>
      <c r="BD555">
        <f>COUNTIF(AM555:AR555,"&lt;&gt;0")</f>
        <v>0</v>
      </c>
      <c r="BE555" t="str">
        <f t="array" ref="BE555">IF(AY555=1,INDEX($V$7:$AL$7,MATCH(TRUE,INDEX($V555:$AW555&lt;&gt;0,),0)),IF(AY555=0,INDEX($AM$7:$AW$7,MATCH(1,$AM555:$AW555,0)),IF(BF555="Multiple strategies","mixed drivers",IF(BF555="Supply chain","multiple supply","multiple silviculture"))))</f>
        <v xml:space="preserve">cutting intensity </v>
      </c>
      <c r="BF555" s="2" t="str" cm="1">
        <f t="array" ref="BF555">IF(COUNTIF(AZ555:BB555,"&lt;&gt;0")=1,INDEX($V$4:$AW$4,MATCH(TRUE,INDEX($V555:$AW555&lt;&gt;0,),0)),IF(COUNTIF(AZ555:BB555,"&lt;&gt;0")=0,INDEX($AM$4:$AW$4,MATCH(1,$AM555:$AW555,0)),"Multiple strategies"))</f>
        <v>SilvicultureRemov</v>
      </c>
      <c r="BG555" s="1" t="s">
        <v>322</v>
      </c>
      <c r="BH555" t="s">
        <v>1860</v>
      </c>
      <c r="BI555" t="s">
        <v>613</v>
      </c>
      <c r="BJ555" t="s">
        <v>499</v>
      </c>
      <c r="BK555">
        <v>38360</v>
      </c>
      <c r="BL555">
        <v>86651</v>
      </c>
      <c r="BM555" t="s">
        <v>545</v>
      </c>
      <c r="BN555">
        <f>BL555-BK555</f>
        <v>48291</v>
      </c>
      <c r="BO555">
        <f>BN555</f>
        <v>48291</v>
      </c>
      <c r="BP555" t="s">
        <v>396</v>
      </c>
      <c r="BQ555" t="s">
        <v>1861</v>
      </c>
      <c r="BR555" s="266" t="s">
        <v>3151</v>
      </c>
      <c r="BS555">
        <v>665</v>
      </c>
      <c r="BT555">
        <v>1500</v>
      </c>
      <c r="BU555" s="144">
        <v>2.255639097744361</v>
      </c>
      <c r="BV555" s="152">
        <f>BT555-BS555</f>
        <v>835</v>
      </c>
      <c r="BX555">
        <f>BV555*10^6</f>
        <v>835000000</v>
      </c>
      <c r="BY555">
        <f>IFERROR(BX555/BO555,"")</f>
        <v>17291.006605785758</v>
      </c>
      <c r="BZ555">
        <v>0</v>
      </c>
      <c r="CA555">
        <v>0</v>
      </c>
      <c r="CB555">
        <v>0</v>
      </c>
      <c r="CC555">
        <v>0</v>
      </c>
      <c r="CD555">
        <v>0</v>
      </c>
      <c r="CE555">
        <v>0</v>
      </c>
      <c r="CF555">
        <v>0</v>
      </c>
      <c r="CG555">
        <v>0</v>
      </c>
      <c r="CH555">
        <v>0</v>
      </c>
      <c r="CI555">
        <v>0</v>
      </c>
      <c r="CJ555">
        <v>0</v>
      </c>
      <c r="CK555">
        <v>0</v>
      </c>
      <c r="CL555">
        <v>0</v>
      </c>
      <c r="CM555">
        <v>0</v>
      </c>
      <c r="CN555" t="str">
        <f>IF($BL555&lt;$BK555,"refNeedCorrection","refOK")</f>
        <v>refOK</v>
      </c>
      <c r="CO555">
        <f>IF($CN555="refOK",$BK555,$BL555)</f>
        <v>38360</v>
      </c>
      <c r="CP555">
        <f>IF($CN555="refOK",$BL555,$BK555)</f>
        <v>86651</v>
      </c>
      <c r="CQ555">
        <f>IF($CN555="refOK",$BO555,-$BO555)</f>
        <v>48291</v>
      </c>
      <c r="CR555">
        <f>IF($CN555="refOK",$BS555,$BT555)*IF($BP555="Emissions positive",-1,1)</f>
        <v>-665</v>
      </c>
      <c r="CS555">
        <f>IF($CN555="refOK",$BT555,$BS555)*IF($BP555="Emissions positive",-1,1)</f>
        <v>-1500</v>
      </c>
      <c r="CT555">
        <f>IF($CN555="refNeedCorrection",-BX555,BX555)*IF($BP555="Emissions positive",-1,1)</f>
        <v>-835000000</v>
      </c>
      <c r="CU555">
        <f>IFERROR(CT555/CQ555,"")</f>
        <v>-17291.006605785758</v>
      </c>
      <c r="CV555" s="2">
        <f>IFERROR((CS555-CR555)/ABS(CR555),"")</f>
        <v>-1.255639097744361</v>
      </c>
      <c r="CW555" s="1" t="s">
        <v>1205</v>
      </c>
      <c r="CX555" t="str">
        <f>IF(OR($CW555="prd",$CW555="std",$CW555="cit"),"loc",IF(OR($CW555="eur",$CW555="reg",$CW555="coy"),"reg",$CW555))</f>
        <v>reg</v>
      </c>
      <c r="CY555" t="s">
        <v>668</v>
      </c>
      <c r="CZ555">
        <v>0</v>
      </c>
      <c r="DA555">
        <v>0</v>
      </c>
      <c r="DB555">
        <v>0</v>
      </c>
      <c r="DC555" t="str">
        <f>IF(DB555=0,"0",IF(AND(DB555&gt;=1,DB555&lt;=30),"1-30",IF(AND(DB555&gt;30,DB555&lt;=70),"31-70",IF(AND(DB555&gt;70,DB555&lt;=100),"71-100",IF(DB555&gt;100,"+100")))))</f>
        <v>0</v>
      </c>
      <c r="DD555">
        <v>1</v>
      </c>
      <c r="DE555">
        <v>0</v>
      </c>
      <c r="DF555">
        <v>0</v>
      </c>
      <c r="DG555">
        <v>0</v>
      </c>
      <c r="DI555">
        <v>1</v>
      </c>
      <c r="DJ555" t="str">
        <f>IF(DI555=1,INDEX($DD$7:$DG$7,MATCH(1,$DD555:$DG555,0)),"mixedProduct")</f>
        <v>UpstreamInput</v>
      </c>
      <c r="DK555" t="str">
        <f>IF(DD555=1,DK$7,0)</f>
        <v>Upstream</v>
      </c>
      <c r="DL555">
        <f>IF(DE555=1,DL$7,0)</f>
        <v>0</v>
      </c>
      <c r="DM555">
        <f>IF(DF555=1,DM$7,0)</f>
        <v>0</v>
      </c>
      <c r="DN555">
        <f>IF(DG555=1,DN$7,0)</f>
        <v>0</v>
      </c>
      <c r="DO555">
        <v>0</v>
      </c>
      <c r="DP555">
        <v>0</v>
      </c>
      <c r="DQ555">
        <v>0</v>
      </c>
      <c r="DR555">
        <v>0</v>
      </c>
      <c r="DS555">
        <v>0</v>
      </c>
      <c r="DT555">
        <f>SUM(DO555:DP555)</f>
        <v>0</v>
      </c>
      <c r="DU555" s="143" t="s">
        <v>964</v>
      </c>
      <c r="DV555">
        <v>0</v>
      </c>
      <c r="DW555">
        <v>0</v>
      </c>
      <c r="DX555">
        <v>0</v>
      </c>
      <c r="DY555">
        <v>0</v>
      </c>
      <c r="DZ555">
        <v>0</v>
      </c>
      <c r="EA555" s="143">
        <v>0</v>
      </c>
      <c r="EB555">
        <v>1</v>
      </c>
      <c r="EC555">
        <v>0</v>
      </c>
      <c r="ED555">
        <v>0</v>
      </c>
      <c r="EE555">
        <v>0</v>
      </c>
      <c r="EF555">
        <v>0</v>
      </c>
      <c r="EG555">
        <v>0</v>
      </c>
      <c r="EH555">
        <v>0</v>
      </c>
      <c r="EI555" s="2">
        <v>0</v>
      </c>
      <c r="EK555" t="str">
        <f>IF(AND(AND(AND(OR($DX555=1,$DW555=1),OR($EC555=1,$EA555=1)),SUM($DV555:$DZ555,$EF555)&gt;=4),SUM($EA555:$EE555)&gt;=2),"Whole sector","")</f>
        <v/>
      </c>
      <c r="EL555" t="str">
        <f>IF(AND(AND(OR($DX555=1,$DW555=1),AND($EC555=0,$EA555=0)),SUM($DV555:$DZ555,$EF555)&gt;=4),"Ecosystem approach","")</f>
        <v/>
      </c>
      <c r="EM555" s="2" t="str">
        <f>IF(AND(AND(AND($DX555=0,$DW555=0),OR($EC555=1,$EA555=1)),SUM($EB555:$EE555)&gt;=2),"Technology approach","")</f>
        <v/>
      </c>
      <c r="EP555" t="str">
        <f>IF(ISNUMBER(BU555),IF(ABS(BU555-[2]QC_indicators!$B$2)&gt;3*[2]QC_indicators!$C$2,"C ratio",IF(ISNUMBER(BY555),IF(ABS(BY555-[2]QC_indicators!$B$1)&gt;3*[2]QC_indicators!$C$1,"DF","no"))),IF(ISNUMBER(BY555),IF(ABS(BY555-[2]QC_indicators!$B$1)&gt;3*[2]QC_indicators!$C$1,"DF","no")))</f>
        <v>no</v>
      </c>
      <c r="ET555" s="266" t="s">
        <v>3152</v>
      </c>
    </row>
    <row r="556" spans="1:150" ht="15" hidden="1" customHeight="1">
      <c r="A556" s="1" t="s">
        <v>928</v>
      </c>
      <c r="B556" t="s">
        <v>1851</v>
      </c>
      <c r="C556" t="s">
        <v>1852</v>
      </c>
      <c r="D556" t="s">
        <v>1853</v>
      </c>
      <c r="E556" t="s">
        <v>1854</v>
      </c>
      <c r="F556" t="s">
        <v>1855</v>
      </c>
      <c r="G556" t="s">
        <v>934</v>
      </c>
      <c r="H556" t="s">
        <v>255</v>
      </c>
      <c r="I556">
        <v>2019</v>
      </c>
      <c r="J556">
        <v>8</v>
      </c>
      <c r="K556" t="s">
        <v>1856</v>
      </c>
      <c r="M556" t="str">
        <f>LEFT($D556,FIND(",",$D556)-1)&amp;"_"&amp;I556&amp;L556</f>
        <v>Kogler_2019</v>
      </c>
      <c r="N556" t="s">
        <v>2584</v>
      </c>
      <c r="O556" s="171" t="s">
        <v>514</v>
      </c>
      <c r="P556" t="s">
        <v>962</v>
      </c>
      <c r="Q556" t="s">
        <v>390</v>
      </c>
      <c r="R556" s="264" t="s">
        <v>224</v>
      </c>
      <c r="S556" s="1" t="s">
        <v>1857</v>
      </c>
      <c r="T556" t="s">
        <v>1867</v>
      </c>
      <c r="U556" t="s">
        <v>1868</v>
      </c>
      <c r="V556">
        <v>0</v>
      </c>
      <c r="W556">
        <v>0</v>
      </c>
      <c r="X556">
        <v>0</v>
      </c>
      <c r="Y556">
        <v>1</v>
      </c>
      <c r="Z556">
        <v>0</v>
      </c>
      <c r="AA556">
        <v>0</v>
      </c>
      <c r="AB556">
        <v>0</v>
      </c>
      <c r="AC556">
        <v>0</v>
      </c>
      <c r="AD556">
        <v>0</v>
      </c>
      <c r="AE556">
        <v>0</v>
      </c>
      <c r="AF556">
        <v>0</v>
      </c>
      <c r="AG556">
        <v>0</v>
      </c>
      <c r="AH556">
        <v>0</v>
      </c>
      <c r="AI556">
        <v>0</v>
      </c>
      <c r="AJ556">
        <v>0</v>
      </c>
      <c r="AK556">
        <v>0</v>
      </c>
      <c r="AL556">
        <v>0</v>
      </c>
      <c r="AM556">
        <v>0</v>
      </c>
      <c r="AN556">
        <v>0</v>
      </c>
      <c r="AO556">
        <v>0</v>
      </c>
      <c r="AP556">
        <v>0</v>
      </c>
      <c r="AQ556">
        <v>2</v>
      </c>
      <c r="AR556">
        <v>0</v>
      </c>
      <c r="AS556">
        <v>0</v>
      </c>
      <c r="AT556">
        <v>0</v>
      </c>
      <c r="AU556">
        <v>0</v>
      </c>
      <c r="AV556">
        <v>0</v>
      </c>
      <c r="AW556">
        <v>0</v>
      </c>
      <c r="AX556" s="141">
        <f>COUNTIF(V556:AW556,"&lt;&gt;0")</f>
        <v>2</v>
      </c>
      <c r="AY556" s="141">
        <f>COUNTIF(V556:AL556,"&lt;&gt;0")</f>
        <v>1</v>
      </c>
      <c r="AZ556">
        <f>COUNTIF(V556:AC556,"&lt;&gt;0")</f>
        <v>1</v>
      </c>
      <c r="BA556">
        <f>COUNTIF(AD556:AI556,"&lt;&gt;0")</f>
        <v>0</v>
      </c>
      <c r="BB556">
        <f>COUNTIF(AJ556:AL556,"&lt;&gt;0")</f>
        <v>0</v>
      </c>
      <c r="BC556">
        <f>COUNTIF(AS556:AW556,"&lt;&gt;0")</f>
        <v>0</v>
      </c>
      <c r="BD556">
        <f>COUNTIF(AM556:AR556,"&lt;&gt;0")</f>
        <v>1</v>
      </c>
      <c r="BE556" t="str">
        <f t="array" ref="BE556">IF(AY556=1,INDEX($V$7:$AL$7,MATCH(TRUE,INDEX($V556:$AW556&lt;&gt;0,),0)),IF(AY556=0,INDEX($AM$7:$AW$7,MATCH(1,$AM556:$AW556,0)),IF(BF556="Multiple strategies","mixed drivers",IF(BF556="Supply chain","multiple supply","multiple silviculture"))))</f>
        <v xml:space="preserve">cutting intensity </v>
      </c>
      <c r="BF556" s="2" t="str" cm="1">
        <f t="array" ref="BF556">IF(COUNTIF(AZ556:BB556,"&lt;&gt;0")=1,INDEX($V$4:$AW$4,MATCH(TRUE,INDEX($V556:$AW556&lt;&gt;0,),0)),IF(COUNTIF(AZ556:BB556,"&lt;&gt;0")=0,INDEX($AM$4:$AW$4,MATCH(1,$AM556:$AW556,0)),"Multiple strategies"))</f>
        <v>SilvicultureRemov</v>
      </c>
      <c r="BG556" s="1" t="s">
        <v>322</v>
      </c>
      <c r="BH556" t="s">
        <v>1860</v>
      </c>
      <c r="BI556" t="s">
        <v>613</v>
      </c>
      <c r="BJ556" t="s">
        <v>499</v>
      </c>
      <c r="BK556">
        <v>39771</v>
      </c>
      <c r="BL556">
        <v>75469</v>
      </c>
      <c r="BM556" t="s">
        <v>545</v>
      </c>
      <c r="BN556">
        <f>BL556-BK556</f>
        <v>35698</v>
      </c>
      <c r="BO556">
        <f>BN556</f>
        <v>35698</v>
      </c>
      <c r="BP556" t="s">
        <v>396</v>
      </c>
      <c r="BQ556" t="s">
        <v>1861</v>
      </c>
      <c r="BR556" s="266" t="s">
        <v>3151</v>
      </c>
      <c r="BS556">
        <v>762</v>
      </c>
      <c r="BT556">
        <v>1447</v>
      </c>
      <c r="BU556" s="144">
        <v>1.8989501312335959</v>
      </c>
      <c r="BV556" s="152">
        <f>BT556-BS556</f>
        <v>685</v>
      </c>
      <c r="BX556">
        <f>BV556*10^6</f>
        <v>685000000</v>
      </c>
      <c r="BY556">
        <f>IFERROR(BX556/BO556,"")</f>
        <v>19188.750070031936</v>
      </c>
      <c r="BZ556">
        <v>0</v>
      </c>
      <c r="CA556">
        <v>0</v>
      </c>
      <c r="CB556">
        <v>0</v>
      </c>
      <c r="CC556">
        <v>0</v>
      </c>
      <c r="CD556">
        <v>0</v>
      </c>
      <c r="CE556">
        <v>0</v>
      </c>
      <c r="CF556">
        <v>0</v>
      </c>
      <c r="CG556">
        <v>0</v>
      </c>
      <c r="CH556">
        <v>0</v>
      </c>
      <c r="CI556">
        <v>0</v>
      </c>
      <c r="CJ556">
        <v>0</v>
      </c>
      <c r="CK556">
        <v>0</v>
      </c>
      <c r="CL556">
        <v>0</v>
      </c>
      <c r="CM556">
        <v>0</v>
      </c>
      <c r="CN556" t="str">
        <f>IF($BL556&lt;$BK556,"refNeedCorrection","refOK")</f>
        <v>refOK</v>
      </c>
      <c r="CO556">
        <f>IF($CN556="refOK",$BK556,$BL556)</f>
        <v>39771</v>
      </c>
      <c r="CP556">
        <f>IF($CN556="refOK",$BL556,$BK556)</f>
        <v>75469</v>
      </c>
      <c r="CQ556">
        <f>IF($CN556="refOK",$BO556,-$BO556)</f>
        <v>35698</v>
      </c>
      <c r="CR556">
        <f>IF($CN556="refOK",$BS556,$BT556)*IF($BP556="Emissions positive",-1,1)</f>
        <v>-762</v>
      </c>
      <c r="CS556">
        <f>IF($CN556="refOK",$BT556,$BS556)*IF($BP556="Emissions positive",-1,1)</f>
        <v>-1447</v>
      </c>
      <c r="CT556">
        <f>IF($CN556="refNeedCorrection",-BX556,BX556)*IF($BP556="Emissions positive",-1,1)</f>
        <v>-685000000</v>
      </c>
      <c r="CU556">
        <f>IFERROR(CT556/CQ556,"")</f>
        <v>-19188.750070031936</v>
      </c>
      <c r="CV556" s="2">
        <f>IFERROR((CS556-CR556)/ABS(CR556),"")</f>
        <v>-0.89895013123359579</v>
      </c>
      <c r="CW556" s="1" t="s">
        <v>1205</v>
      </c>
      <c r="CX556" t="str">
        <f>IF(OR($CW556="prd",$CW556="std",$CW556="cit"),"loc",IF(OR($CW556="eur",$CW556="reg",$CW556="coy"),"reg",$CW556))</f>
        <v>reg</v>
      </c>
      <c r="CY556" t="s">
        <v>668</v>
      </c>
      <c r="CZ556">
        <v>0</v>
      </c>
      <c r="DA556">
        <v>0</v>
      </c>
      <c r="DB556">
        <v>0</v>
      </c>
      <c r="DC556" t="str">
        <f>IF(DB556=0,"0",IF(AND(DB556&gt;=1,DB556&lt;=30),"1-30",IF(AND(DB556&gt;30,DB556&lt;=70),"31-70",IF(AND(DB556&gt;70,DB556&lt;=100),"71-100",IF(DB556&gt;100,"+100")))))</f>
        <v>0</v>
      </c>
      <c r="DD556">
        <v>1</v>
      </c>
      <c r="DE556">
        <v>0</v>
      </c>
      <c r="DF556">
        <v>0</v>
      </c>
      <c r="DG556">
        <v>0</v>
      </c>
      <c r="DI556">
        <v>1</v>
      </c>
      <c r="DJ556" t="str">
        <f>IF(DI556=1,INDEX($DD$7:$DG$7,MATCH(1,$DD556:$DG556,0)),"mixedProduct")</f>
        <v>UpstreamInput</v>
      </c>
      <c r="DK556" t="str">
        <f>IF(DD556=1,DK$7,0)</f>
        <v>Upstream</v>
      </c>
      <c r="DL556">
        <f>IF(DE556=1,DL$7,0)</f>
        <v>0</v>
      </c>
      <c r="DM556">
        <f>IF(DF556=1,DM$7,0)</f>
        <v>0</v>
      </c>
      <c r="DN556">
        <f>IF(DG556=1,DN$7,0)</f>
        <v>0</v>
      </c>
      <c r="DO556">
        <v>0</v>
      </c>
      <c r="DP556">
        <v>0</v>
      </c>
      <c r="DQ556">
        <v>0</v>
      </c>
      <c r="DR556">
        <v>0</v>
      </c>
      <c r="DS556">
        <v>0</v>
      </c>
      <c r="DT556">
        <f>SUM(DO556:DP556)</f>
        <v>0</v>
      </c>
      <c r="DU556" s="143" t="s">
        <v>964</v>
      </c>
      <c r="DV556">
        <v>0</v>
      </c>
      <c r="DW556">
        <v>0</v>
      </c>
      <c r="DX556">
        <v>0</v>
      </c>
      <c r="DY556">
        <v>0</v>
      </c>
      <c r="DZ556">
        <v>0</v>
      </c>
      <c r="EA556" s="143">
        <v>0</v>
      </c>
      <c r="EB556">
        <v>1</v>
      </c>
      <c r="EC556">
        <v>0</v>
      </c>
      <c r="ED556">
        <v>0</v>
      </c>
      <c r="EE556">
        <v>0</v>
      </c>
      <c r="EF556">
        <v>0</v>
      </c>
      <c r="EG556">
        <v>0</v>
      </c>
      <c r="EH556">
        <v>0</v>
      </c>
      <c r="EI556" s="2">
        <v>0</v>
      </c>
      <c r="EK556" t="str">
        <f>IF(AND(AND(AND(OR($DX556=1,$DW556=1),OR($EC556=1,$EA556=1)),SUM($DV556:$DZ556,$EF556)&gt;=4),SUM($EA556:$EE556)&gt;=2),"Whole sector","")</f>
        <v/>
      </c>
      <c r="EL556" t="str">
        <f>IF(AND(AND(OR($DX556=1,$DW556=1),AND($EC556=0,$EA556=0)),SUM($DV556:$DZ556,$EF556)&gt;=4),"Ecosystem approach","")</f>
        <v/>
      </c>
      <c r="EM556" s="2" t="str">
        <f>IF(AND(AND(AND($DX556=0,$DW556=0),OR($EC556=1,$EA556=1)),SUM($EB556:$EE556)&gt;=2),"Technology approach","")</f>
        <v/>
      </c>
      <c r="EP556" t="str">
        <f>IF(ISNUMBER(BU556),IF(ABS(BU556-[2]QC_indicators!$B$2)&gt;3*[2]QC_indicators!$C$2,"C ratio",IF(ISNUMBER(BY556),IF(ABS(BY556-[2]QC_indicators!$B$1)&gt;3*[2]QC_indicators!$C$1,"DF","no"))),IF(ISNUMBER(BY556),IF(ABS(BY556-[2]QC_indicators!$B$1)&gt;3*[2]QC_indicators!$C$1,"DF","no")))</f>
        <v>no</v>
      </c>
      <c r="ET556" s="266" t="s">
        <v>3152</v>
      </c>
    </row>
    <row r="557" spans="1:150" ht="15" hidden="1" customHeight="1">
      <c r="A557" s="1" t="s">
        <v>928</v>
      </c>
      <c r="B557" t="s">
        <v>1851</v>
      </c>
      <c r="C557" t="s">
        <v>1852</v>
      </c>
      <c r="D557" t="s">
        <v>1853</v>
      </c>
      <c r="E557" t="s">
        <v>1854</v>
      </c>
      <c r="F557" t="s">
        <v>1855</v>
      </c>
      <c r="G557" t="s">
        <v>934</v>
      </c>
      <c r="H557" t="s">
        <v>255</v>
      </c>
      <c r="I557">
        <v>2019</v>
      </c>
      <c r="J557">
        <v>8</v>
      </c>
      <c r="K557" t="s">
        <v>1856</v>
      </c>
      <c r="M557" t="str">
        <f>LEFT($D557,FIND(",",$D557)-1)&amp;"_"&amp;I557&amp;L557</f>
        <v>Kogler_2019</v>
      </c>
      <c r="N557" t="s">
        <v>2584</v>
      </c>
      <c r="O557" s="171" t="s">
        <v>514</v>
      </c>
      <c r="P557" t="s">
        <v>962</v>
      </c>
      <c r="Q557" t="s">
        <v>390</v>
      </c>
      <c r="R557" s="264" t="s">
        <v>224</v>
      </c>
      <c r="S557" s="1" t="s">
        <v>1857</v>
      </c>
      <c r="T557" t="s">
        <v>1864</v>
      </c>
      <c r="U557" t="s">
        <v>1865</v>
      </c>
      <c r="V557">
        <v>0</v>
      </c>
      <c r="W557">
        <v>0</v>
      </c>
      <c r="X557">
        <v>0</v>
      </c>
      <c r="Y557">
        <v>1</v>
      </c>
      <c r="Z557">
        <v>0</v>
      </c>
      <c r="AA557">
        <v>0</v>
      </c>
      <c r="AB557">
        <v>0</v>
      </c>
      <c r="AC557">
        <v>0</v>
      </c>
      <c r="AD557">
        <v>0</v>
      </c>
      <c r="AE557">
        <v>0</v>
      </c>
      <c r="AF557">
        <v>0</v>
      </c>
      <c r="AG557">
        <v>0</v>
      </c>
      <c r="AH557">
        <v>0</v>
      </c>
      <c r="AI557">
        <v>0</v>
      </c>
      <c r="AJ557">
        <v>0</v>
      </c>
      <c r="AK557">
        <v>0</v>
      </c>
      <c r="AL557">
        <v>0</v>
      </c>
      <c r="AM557">
        <v>0</v>
      </c>
      <c r="AN557">
        <v>0</v>
      </c>
      <c r="AO557">
        <v>0</v>
      </c>
      <c r="AP557">
        <v>0</v>
      </c>
      <c r="AQ557">
        <v>2</v>
      </c>
      <c r="AR557">
        <v>0</v>
      </c>
      <c r="AS557">
        <v>0</v>
      </c>
      <c r="AT557">
        <v>0</v>
      </c>
      <c r="AU557">
        <v>0</v>
      </c>
      <c r="AV557">
        <v>0</v>
      </c>
      <c r="AW557">
        <v>0</v>
      </c>
      <c r="AX557" s="141">
        <f>COUNTIF(V557:AW557,"&lt;&gt;0")</f>
        <v>2</v>
      </c>
      <c r="AY557" s="141">
        <f>COUNTIF(V557:AL557,"&lt;&gt;0")</f>
        <v>1</v>
      </c>
      <c r="AZ557">
        <f>COUNTIF(V557:AC557,"&lt;&gt;0")</f>
        <v>1</v>
      </c>
      <c r="BA557">
        <f>COUNTIF(AD557:AI557,"&lt;&gt;0")</f>
        <v>0</v>
      </c>
      <c r="BB557">
        <f>COUNTIF(AJ557:AL557,"&lt;&gt;0")</f>
        <v>0</v>
      </c>
      <c r="BC557">
        <f>COUNTIF(AS557:AW557,"&lt;&gt;0")</f>
        <v>0</v>
      </c>
      <c r="BD557">
        <f>COUNTIF(AM557:AR557,"&lt;&gt;0")</f>
        <v>1</v>
      </c>
      <c r="BE557" t="str">
        <f t="array" ref="BE557">IF(AY557=1,INDEX($V$7:$AL$7,MATCH(TRUE,INDEX($V557:$AW557&lt;&gt;0,),0)),IF(AY557=0,INDEX($AM$7:$AW$7,MATCH(1,$AM557:$AW557,0)),IF(BF557="Multiple strategies","mixed drivers",IF(BF557="Supply chain","multiple supply","multiple silviculture"))))</f>
        <v xml:space="preserve">cutting intensity </v>
      </c>
      <c r="BF557" s="2" t="str" cm="1">
        <f t="array" ref="BF557">IF(COUNTIF(AZ557:BB557,"&lt;&gt;0")=1,INDEX($V$4:$AW$4,MATCH(TRUE,INDEX($V557:$AW557&lt;&gt;0,),0)),IF(COUNTIF(AZ557:BB557,"&lt;&gt;0")=0,INDEX($AM$4:$AW$4,MATCH(1,$AM557:$AW557,0)),"Multiple strategies"))</f>
        <v>SilvicultureRemov</v>
      </c>
      <c r="BG557" s="1" t="s">
        <v>322</v>
      </c>
      <c r="BH557" t="s">
        <v>1860</v>
      </c>
      <c r="BI557" t="s">
        <v>613</v>
      </c>
      <c r="BJ557" t="s">
        <v>499</v>
      </c>
      <c r="BK557">
        <v>41581</v>
      </c>
      <c r="BL557">
        <v>86651</v>
      </c>
      <c r="BM557" t="s">
        <v>545</v>
      </c>
      <c r="BN557">
        <f>BL557-BK557</f>
        <v>45070</v>
      </c>
      <c r="BO557">
        <f>BN557</f>
        <v>45070</v>
      </c>
      <c r="BP557" t="s">
        <v>396</v>
      </c>
      <c r="BQ557" t="s">
        <v>1861</v>
      </c>
      <c r="BR557" s="266" t="s">
        <v>3151</v>
      </c>
      <c r="BS557">
        <v>719</v>
      </c>
      <c r="BT557">
        <v>1500</v>
      </c>
      <c r="BU557" s="144">
        <v>2.0862308762169679</v>
      </c>
      <c r="BV557" s="152">
        <f>BT557-BS557</f>
        <v>781</v>
      </c>
      <c r="BX557">
        <f>BV557*10^6</f>
        <v>781000000</v>
      </c>
      <c r="BY557">
        <f>IFERROR(BX557/BO557,"")</f>
        <v>17328.599955624584</v>
      </c>
      <c r="BZ557">
        <v>0</v>
      </c>
      <c r="CA557">
        <v>0</v>
      </c>
      <c r="CB557">
        <v>0</v>
      </c>
      <c r="CC557">
        <v>0</v>
      </c>
      <c r="CD557">
        <v>0</v>
      </c>
      <c r="CE557">
        <v>0</v>
      </c>
      <c r="CF557">
        <v>0</v>
      </c>
      <c r="CG557">
        <v>0</v>
      </c>
      <c r="CH557">
        <v>0</v>
      </c>
      <c r="CI557">
        <v>0</v>
      </c>
      <c r="CJ557">
        <v>0</v>
      </c>
      <c r="CK557">
        <v>0</v>
      </c>
      <c r="CL557">
        <v>0</v>
      </c>
      <c r="CM557">
        <v>0</v>
      </c>
      <c r="CN557" t="str">
        <f>IF($BL557&lt;$BK557,"refNeedCorrection","refOK")</f>
        <v>refOK</v>
      </c>
      <c r="CO557">
        <f>IF($CN557="refOK",$BK557,$BL557)</f>
        <v>41581</v>
      </c>
      <c r="CP557">
        <f>IF($CN557="refOK",$BL557,$BK557)</f>
        <v>86651</v>
      </c>
      <c r="CQ557">
        <f>IF($CN557="refOK",$BO557,-$BO557)</f>
        <v>45070</v>
      </c>
      <c r="CR557">
        <f>IF($CN557="refOK",$BS557,$BT557)*IF($BP557="Emissions positive",-1,1)</f>
        <v>-719</v>
      </c>
      <c r="CS557">
        <f>IF($CN557="refOK",$BT557,$BS557)*IF($BP557="Emissions positive",-1,1)</f>
        <v>-1500</v>
      </c>
      <c r="CT557">
        <f>IF($CN557="refNeedCorrection",-BX557,BX557)*IF($BP557="Emissions positive",-1,1)</f>
        <v>-781000000</v>
      </c>
      <c r="CU557">
        <f>IFERROR(CT557/CQ557,"")</f>
        <v>-17328.599955624584</v>
      </c>
      <c r="CV557" s="2">
        <f>IFERROR((CS557-CR557)/ABS(CR557),"")</f>
        <v>-1.0862308762169681</v>
      </c>
      <c r="CW557" s="1" t="s">
        <v>1205</v>
      </c>
      <c r="CX557" t="str">
        <f>IF(OR($CW557="prd",$CW557="std",$CW557="cit"),"loc",IF(OR($CW557="eur",$CW557="reg",$CW557="coy"),"reg",$CW557))</f>
        <v>reg</v>
      </c>
      <c r="CY557" t="s">
        <v>668</v>
      </c>
      <c r="CZ557">
        <v>0</v>
      </c>
      <c r="DA557">
        <v>0</v>
      </c>
      <c r="DB557">
        <v>0</v>
      </c>
      <c r="DC557" t="str">
        <f>IF(DB557=0,"0",IF(AND(DB557&gt;=1,DB557&lt;=30),"1-30",IF(AND(DB557&gt;30,DB557&lt;=70),"31-70",IF(AND(DB557&gt;70,DB557&lt;=100),"71-100",IF(DB557&gt;100,"+100")))))</f>
        <v>0</v>
      </c>
      <c r="DD557">
        <v>1</v>
      </c>
      <c r="DE557">
        <v>0</v>
      </c>
      <c r="DF557">
        <v>0</v>
      </c>
      <c r="DG557">
        <v>0</v>
      </c>
      <c r="DI557">
        <v>1</v>
      </c>
      <c r="DJ557" t="str">
        <f>IF(DI557=1,INDEX($DD$7:$DG$7,MATCH(1,$DD557:$DG557,0)),"mixedProduct")</f>
        <v>UpstreamInput</v>
      </c>
      <c r="DK557" t="str">
        <f>IF(DD557=1,DK$7,0)</f>
        <v>Upstream</v>
      </c>
      <c r="DL557">
        <f>IF(DE557=1,DL$7,0)</f>
        <v>0</v>
      </c>
      <c r="DM557">
        <f>IF(DF557=1,DM$7,0)</f>
        <v>0</v>
      </c>
      <c r="DN557">
        <f>IF(DG557=1,DN$7,0)</f>
        <v>0</v>
      </c>
      <c r="DO557">
        <v>0</v>
      </c>
      <c r="DP557">
        <v>0</v>
      </c>
      <c r="DQ557">
        <v>0</v>
      </c>
      <c r="DR557">
        <v>0</v>
      </c>
      <c r="DS557">
        <v>0</v>
      </c>
      <c r="DT557">
        <f>SUM(DO557:DP557)</f>
        <v>0</v>
      </c>
      <c r="DU557" s="143" t="s">
        <v>964</v>
      </c>
      <c r="DV557">
        <v>0</v>
      </c>
      <c r="DW557">
        <v>0</v>
      </c>
      <c r="DX557">
        <v>0</v>
      </c>
      <c r="DY557">
        <v>0</v>
      </c>
      <c r="DZ557">
        <v>0</v>
      </c>
      <c r="EA557" s="143">
        <v>0</v>
      </c>
      <c r="EB557">
        <v>1</v>
      </c>
      <c r="EC557">
        <v>0</v>
      </c>
      <c r="ED557">
        <v>0</v>
      </c>
      <c r="EE557">
        <v>0</v>
      </c>
      <c r="EF557">
        <v>0</v>
      </c>
      <c r="EG557">
        <v>0</v>
      </c>
      <c r="EH557">
        <v>0</v>
      </c>
      <c r="EI557" s="2">
        <v>0</v>
      </c>
      <c r="EK557" t="str">
        <f>IF(AND(AND(AND(OR($DX557=1,$DW557=1),OR($EC557=1,$EA557=1)),SUM($DV557:$DZ557,$EF557)&gt;=4),SUM($EA557:$EE557)&gt;=2),"Whole sector","")</f>
        <v/>
      </c>
      <c r="EL557" t="str">
        <f>IF(AND(AND(OR($DX557=1,$DW557=1),AND($EC557=0,$EA557=0)),SUM($DV557:$DZ557,$EF557)&gt;=4),"Ecosystem approach","")</f>
        <v/>
      </c>
      <c r="EM557" s="2" t="str">
        <f>IF(AND(AND(AND($DX557=0,$DW557=0),OR($EC557=1,$EA557=1)),SUM($EB557:$EE557)&gt;=2),"Technology approach","")</f>
        <v/>
      </c>
      <c r="EP557" t="str">
        <f>IF(ISNUMBER(BU557),IF(ABS(BU557-[2]QC_indicators!$B$2)&gt;3*[2]QC_indicators!$C$2,"C ratio",IF(ISNUMBER(BY557),IF(ABS(BY557-[2]QC_indicators!$B$1)&gt;3*[2]QC_indicators!$C$1,"DF","no"))),IF(ISNUMBER(BY557),IF(ABS(BY557-[2]QC_indicators!$B$1)&gt;3*[2]QC_indicators!$C$1,"DF","no")))</f>
        <v>no</v>
      </c>
      <c r="ET557" s="266" t="s">
        <v>3152</v>
      </c>
    </row>
    <row r="558" spans="1:150" ht="15" customHeight="1">
      <c r="A558" s="174" t="s">
        <v>1288</v>
      </c>
      <c r="B558" s="141" t="s">
        <v>1289</v>
      </c>
      <c r="C558" s="141" t="s">
        <v>1290</v>
      </c>
      <c r="D558" s="141" t="s">
        <v>1291</v>
      </c>
      <c r="E558" s="141" t="s">
        <v>1292</v>
      </c>
      <c r="F558" s="141" t="s">
        <v>1293</v>
      </c>
      <c r="G558" s="141" t="s">
        <v>1294</v>
      </c>
      <c r="H558" s="141"/>
      <c r="I558" s="141">
        <v>2019</v>
      </c>
      <c r="J558" s="141"/>
      <c r="K558" s="141" t="s">
        <v>1295</v>
      </c>
      <c r="L558" s="141"/>
      <c r="M558" t="str">
        <f>LEFT($D558,FIND(",",$D558)-1)&amp;"_"&amp;I558&amp;L558</f>
        <v>Bosch_2019</v>
      </c>
      <c r="N558" t="s">
        <v>223</v>
      </c>
      <c r="O558" s="175" t="s">
        <v>226</v>
      </c>
      <c r="P558" s="141" t="s">
        <v>224</v>
      </c>
      <c r="Q558" s="266" t="s">
        <v>225</v>
      </c>
      <c r="R558" s="271" t="s">
        <v>1156</v>
      </c>
      <c r="S558" s="174" t="s">
        <v>1305</v>
      </c>
      <c r="T558" s="141" t="s">
        <v>1306</v>
      </c>
      <c r="U558" s="141" t="s">
        <v>1298</v>
      </c>
      <c r="V558" s="141">
        <v>1</v>
      </c>
      <c r="W558" s="141">
        <v>0</v>
      </c>
      <c r="X558" s="141">
        <v>0</v>
      </c>
      <c r="Y558" s="141">
        <v>0</v>
      </c>
      <c r="Z558" s="141">
        <v>0</v>
      </c>
      <c r="AA558" s="141">
        <v>0</v>
      </c>
      <c r="AB558" s="141">
        <v>0</v>
      </c>
      <c r="AC558" s="141">
        <v>0</v>
      </c>
      <c r="AD558" s="141">
        <v>0</v>
      </c>
      <c r="AE558" s="141">
        <v>0</v>
      </c>
      <c r="AF558" s="141">
        <v>0</v>
      </c>
      <c r="AG558" s="141">
        <v>0</v>
      </c>
      <c r="AH558" s="141">
        <v>0</v>
      </c>
      <c r="AI558" s="141">
        <v>0</v>
      </c>
      <c r="AJ558" s="141">
        <v>0</v>
      </c>
      <c r="AK558" s="141">
        <v>0</v>
      </c>
      <c r="AL558" s="141">
        <v>0</v>
      </c>
      <c r="AM558" s="141">
        <v>0</v>
      </c>
      <c r="AN558" s="141">
        <v>0</v>
      </c>
      <c r="AO558" s="141">
        <v>0</v>
      </c>
      <c r="AP558" s="141">
        <v>0</v>
      </c>
      <c r="AQ558" s="141">
        <v>0</v>
      </c>
      <c r="AR558" s="141">
        <v>0</v>
      </c>
      <c r="AS558" s="141">
        <v>0</v>
      </c>
      <c r="AT558" s="141">
        <v>0</v>
      </c>
      <c r="AU558" s="141">
        <v>0</v>
      </c>
      <c r="AV558" s="141">
        <v>0</v>
      </c>
      <c r="AW558" s="141">
        <v>0</v>
      </c>
      <c r="AX558" s="141">
        <f>COUNTIF(V558:AW558,"&lt;&gt;0")</f>
        <v>1</v>
      </c>
      <c r="AY558" s="141">
        <f>COUNTIF(V558:AL558,"&lt;&gt;0")</f>
        <v>1</v>
      </c>
      <c r="AZ558">
        <f>COUNTIF(V558:AC558,"&lt;&gt;0")</f>
        <v>1</v>
      </c>
      <c r="BA558">
        <f>COUNTIF(AD558:AI558,"&lt;&gt;0")</f>
        <v>0</v>
      </c>
      <c r="BB558">
        <f>COUNTIF(AJ558:AL558,"&lt;&gt;0")</f>
        <v>0</v>
      </c>
      <c r="BC558">
        <f>COUNTIF(AS558:AW558,"&lt;&gt;0")</f>
        <v>0</v>
      </c>
      <c r="BD558">
        <f>COUNTIF(AM558:AR558,"&lt;&gt;0")</f>
        <v>0</v>
      </c>
      <c r="BE558" t="str" cm="1">
        <f t="array" ref="BE558">IF(AY558=1,INDEX($V$7:$AL$7,MATCH(TRUE,INDEX($V558:$AW558&lt;&gt;0,),0)),IF(AY558=0,INDEX($AM$7:$AW$7,MATCH(1,$AM558:$AW558,0)),IF(BF558="Multiple strategies","mixed drivers",IF(BF558="Supply chain","multiple supply","multiple silviculture"))))</f>
        <v>area subject to harvest</v>
      </c>
      <c r="BF558" s="2" t="str" cm="1">
        <f t="array" ref="BF558">IF(COUNTIF(AZ558:BB558,"&lt;&gt;0")=1,INDEX($V$4:$AW$4,MATCH(TRUE,INDEX($V558:$AW558&lt;&gt;0,),0)),IF(COUNTIF(AZ558:BB558,"&lt;&gt;0")=0,INDEX($AM$4:$AW$4,MATCH(1,$AM558:$AW558,0)),"Multiple strategies"))</f>
        <v>SilvicultureRemov</v>
      </c>
      <c r="BG558" s="173" t="s">
        <v>322</v>
      </c>
      <c r="BH558" s="141" t="s">
        <v>1299</v>
      </c>
      <c r="BI558" s="141" t="s">
        <v>1300</v>
      </c>
      <c r="BJ558" s="163" t="s">
        <v>1301</v>
      </c>
      <c r="BK558" s="176">
        <v>2330</v>
      </c>
      <c r="BL558" s="163">
        <v>2405</v>
      </c>
      <c r="BM558" s="266">
        <f>BL558/BK558</f>
        <v>1.0321888412017168</v>
      </c>
      <c r="BN558">
        <f>BL558-BK558</f>
        <v>75</v>
      </c>
      <c r="BO558" s="158">
        <f>BN558*10^6</f>
        <v>75000000</v>
      </c>
      <c r="BP558" s="266" t="s">
        <v>396</v>
      </c>
      <c r="BQ558" s="153" t="s">
        <v>430</v>
      </c>
      <c r="BR558" s="151" t="s">
        <v>1302</v>
      </c>
      <c r="BS558" s="141"/>
      <c r="BT558" s="163"/>
      <c r="BU558" s="144" t="str">
        <f>IFERROR(BT558/BS558,"")</f>
        <v/>
      </c>
      <c r="BV558" s="176">
        <v>79</v>
      </c>
      <c r="BX558">
        <f>BV558*10^6</f>
        <v>79000000</v>
      </c>
      <c r="BY558">
        <f>IFERROR(BX558/BO558,"")</f>
        <v>1.0533333333333332</v>
      </c>
      <c r="BZ558" s="141">
        <v>0</v>
      </c>
      <c r="CA558" s="141">
        <v>0</v>
      </c>
      <c r="CB558" s="141">
        <v>0</v>
      </c>
      <c r="CC558" s="141">
        <v>0</v>
      </c>
      <c r="CD558" s="141">
        <v>0</v>
      </c>
      <c r="CE558" s="141">
        <v>0</v>
      </c>
      <c r="CF558" s="141">
        <v>0</v>
      </c>
      <c r="CG558" s="141">
        <v>0</v>
      </c>
      <c r="CH558" s="141">
        <v>0</v>
      </c>
      <c r="CI558" s="141">
        <v>0</v>
      </c>
      <c r="CJ558" s="141">
        <v>0</v>
      </c>
      <c r="CK558" s="141">
        <v>0</v>
      </c>
      <c r="CL558" s="141">
        <v>0</v>
      </c>
      <c r="CM558" s="141">
        <v>1</v>
      </c>
      <c r="CN558" t="str">
        <f>IF(BL558&lt;BK558,"refNeedCorrection","refOK")</f>
        <v>refOK</v>
      </c>
      <c r="CO558">
        <f>IF($CN558="refOK",$BK558,$BL558)</f>
        <v>2330</v>
      </c>
      <c r="CP558">
        <f>IF($CN558="refOK",$BL558,$BK558)</f>
        <v>2405</v>
      </c>
      <c r="CQ558">
        <f>IF($CN558="refOK",$BO558,-$BO558)</f>
        <v>75000000</v>
      </c>
      <c r="CR558">
        <f>IF($CN558="refOK",$BS558,$BT558)*IF($BP558="Emissions positive",-1,1)</f>
        <v>0</v>
      </c>
      <c r="CS558">
        <f>IF($CN558="refOK",$BT558,$BS558)*IF($BP558="Emissions positive",-1,1)</f>
        <v>0</v>
      </c>
      <c r="CT558">
        <f>IF($CN558="refNeedCorrection",-BX558,BX558)*IF($BP558="Emissions positive",-1,1)</f>
        <v>-79000000</v>
      </c>
      <c r="CU558">
        <f>IFERROR(CT558/CQ558,"")</f>
        <v>-1.0533333333333332</v>
      </c>
      <c r="CV558" s="2" t="str">
        <f>IFERROR((CS558-CR558)/ABS(CR558),"")</f>
        <v/>
      </c>
      <c r="CW558" s="174" t="s">
        <v>1205</v>
      </c>
      <c r="CX558" s="266" t="str">
        <f>IF(OR($CW558="prd",$CW558="std",$CW558="cit"),"loc",IF(OR($CW558="eur",$CW558="reg",$CW558="coy"),"reg",$CW558))</f>
        <v>reg</v>
      </c>
      <c r="CY558" s="141" t="s">
        <v>1303</v>
      </c>
      <c r="CZ558" s="141">
        <v>2016</v>
      </c>
      <c r="DA558" s="163">
        <v>2046</v>
      </c>
      <c r="DB558" s="163">
        <v>30</v>
      </c>
      <c r="DC558" t="str">
        <f>IF(DB558=0,"0",IF(AND(DB558&gt;=1,DB558&lt;=30),"1-30",IF(AND(DB558&gt;30,DB558&lt;=70),"31-70",IF(AND(DB558&gt;70,DB558&lt;=100),"71-100",IF(DB558&gt;100,"+100")))))</f>
        <v>1-30</v>
      </c>
      <c r="DD558" s="141">
        <v>1</v>
      </c>
      <c r="DE558" s="141">
        <v>1</v>
      </c>
      <c r="DF558" s="141">
        <v>0</v>
      </c>
      <c r="DG558" s="141">
        <v>1</v>
      </c>
      <c r="DI558">
        <f>SUM(DD558:DG558)</f>
        <v>3</v>
      </c>
      <c r="DJ558" t="str">
        <f>IF(DI558=1,INDEX($DD$7:$DG$7,MATCH(1,$DD558:$DG558,0)),"mixedProduct")</f>
        <v>mixedProduct</v>
      </c>
      <c r="DK558" t="str">
        <f>IF(DD558=1,DK$7,0)</f>
        <v>Upstream</v>
      </c>
      <c r="DL558" t="str">
        <f>IF(DE558=1,DL$7,0)</f>
        <v>Energy</v>
      </c>
      <c r="DM558">
        <f>IF(DF558=1,DM$7,0)</f>
        <v>0</v>
      </c>
      <c r="DN558" t="str">
        <f>IF(DG558=1,DN$7,0)</f>
        <v>Timber</v>
      </c>
      <c r="DO558" s="163">
        <v>0</v>
      </c>
      <c r="DP558" s="141">
        <v>0</v>
      </c>
      <c r="DQ558" s="163">
        <v>0</v>
      </c>
      <c r="DR558" s="163">
        <v>0</v>
      </c>
      <c r="DS558" s="163">
        <v>0</v>
      </c>
      <c r="DT558">
        <f>SUM(DO558:DP558)</f>
        <v>0</v>
      </c>
      <c r="DU558" s="143" t="str">
        <f>IF(DO558=1,"self-calculated DF",IF(DP558=1,"external DF used","explicit C balance"))</f>
        <v>explicit C balance</v>
      </c>
      <c r="DV558" s="163">
        <v>1</v>
      </c>
      <c r="DW558" s="141">
        <v>1</v>
      </c>
      <c r="DX558" s="163">
        <v>1</v>
      </c>
      <c r="DY558" s="163">
        <v>0</v>
      </c>
      <c r="DZ558" s="141">
        <v>0</v>
      </c>
      <c r="EA558" s="141">
        <v>0</v>
      </c>
      <c r="EB558" s="143">
        <v>0</v>
      </c>
      <c r="EC558" s="141">
        <v>0</v>
      </c>
      <c r="ED558" s="143">
        <v>0</v>
      </c>
      <c r="EE558" s="143">
        <v>0</v>
      </c>
      <c r="EF558" s="141">
        <v>1</v>
      </c>
      <c r="EG558" s="163">
        <v>0</v>
      </c>
      <c r="EH558" s="141">
        <v>0</v>
      </c>
      <c r="EI558" s="177">
        <v>0</v>
      </c>
      <c r="EK558" t="str">
        <f>IF(AND(AND(AND(OR($DX558=1,$DW558=1),OR($EC558=1,$EA558=1)),SUM($DV558:$DZ558,$EF558)&gt;=4),SUM($EA558:$EE558)&gt;=2),"Whole sector","")</f>
        <v/>
      </c>
      <c r="EL558" t="str">
        <f>IF(AND(AND(OR($DX558=1,$DW558=1),AND($EC558=0,$EA558=0)),SUM($DV558:$DZ558,$EF558)&gt;=4),"Ecosystem approach","")</f>
        <v>Ecosystem approach</v>
      </c>
      <c r="EM558" s="2" t="str">
        <f>IF(AND(AND(AND($DX558=0,$DW558=0),OR($EC558=1,$EA558=1)),SUM($EB558:$EE558)&gt;=2),"Technology approach","")</f>
        <v/>
      </c>
      <c r="EN558" s="141"/>
      <c r="EP558" t="str">
        <f>IF(ISNUMBER(BU558),IF(ABS(BU558-[1]QC_indicators!$B$2)&gt;3*[1]QC_indicators!$C$2,"C ratio",IF(ISNUMBER(BY558),IF(ABS(BY558-[1]QC_indicators!$B$1)&gt;3*[1]QC_indicators!$C$1,"DF","no"))),IF(ISNUMBER(BY558),IF(ABS(BY558-[1]QC_indicators!$B$1)&gt;3*[1]QC_indicators!$C$1,"DF","no")))</f>
        <v>no</v>
      </c>
      <c r="ER558" s="296" t="s">
        <v>1304</v>
      </c>
      <c r="ET558" s="266" t="s">
        <v>3409</v>
      </c>
    </row>
    <row r="559" spans="1:150" ht="15" customHeight="1">
      <c r="A559" s="174" t="s">
        <v>1288</v>
      </c>
      <c r="B559" s="141" t="s">
        <v>1289</v>
      </c>
      <c r="C559" s="141" t="s">
        <v>1290</v>
      </c>
      <c r="D559" s="141" t="s">
        <v>1291</v>
      </c>
      <c r="E559" s="141" t="s">
        <v>1292</v>
      </c>
      <c r="F559" s="141" t="s">
        <v>1293</v>
      </c>
      <c r="G559" s="141" t="s">
        <v>1294</v>
      </c>
      <c r="H559" s="141"/>
      <c r="I559" s="141">
        <v>2019</v>
      </c>
      <c r="J559" s="141"/>
      <c r="K559" s="141" t="s">
        <v>1295</v>
      </c>
      <c r="L559" s="141"/>
      <c r="M559" t="str">
        <f>LEFT($D559,FIND(",",$D559)-1)&amp;"_"&amp;I559&amp;L559</f>
        <v>Bosch_2019</v>
      </c>
      <c r="N559" t="s">
        <v>223</v>
      </c>
      <c r="O559" s="175" t="s">
        <v>226</v>
      </c>
      <c r="P559" s="141" t="s">
        <v>224</v>
      </c>
      <c r="Q559" s="266" t="s">
        <v>225</v>
      </c>
      <c r="R559" s="271" t="s">
        <v>1156</v>
      </c>
      <c r="S559" s="174" t="s">
        <v>1296</v>
      </c>
      <c r="T559" s="141" t="s">
        <v>1297</v>
      </c>
      <c r="U559" s="141" t="s">
        <v>1298</v>
      </c>
      <c r="V559" s="141">
        <v>1</v>
      </c>
      <c r="W559" s="141">
        <v>0</v>
      </c>
      <c r="X559" s="141">
        <v>0</v>
      </c>
      <c r="Y559" s="141">
        <v>0</v>
      </c>
      <c r="Z559" s="141">
        <v>0</v>
      </c>
      <c r="AA559" s="141">
        <v>0</v>
      </c>
      <c r="AB559" s="141">
        <v>0</v>
      </c>
      <c r="AC559" s="141">
        <v>0</v>
      </c>
      <c r="AD559" s="141">
        <v>0</v>
      </c>
      <c r="AE559" s="141">
        <v>0</v>
      </c>
      <c r="AF559" s="141">
        <v>0</v>
      </c>
      <c r="AG559" s="141">
        <v>0</v>
      </c>
      <c r="AH559" s="141">
        <v>0</v>
      </c>
      <c r="AI559" s="141">
        <v>0</v>
      </c>
      <c r="AJ559" s="141">
        <v>0</v>
      </c>
      <c r="AK559" s="141">
        <v>0</v>
      </c>
      <c r="AL559" s="141">
        <v>0</v>
      </c>
      <c r="AM559" s="141">
        <v>0</v>
      </c>
      <c r="AN559" s="141">
        <v>0</v>
      </c>
      <c r="AO559" s="141">
        <v>0</v>
      </c>
      <c r="AP559" s="141">
        <v>0</v>
      </c>
      <c r="AQ559" s="141">
        <v>0</v>
      </c>
      <c r="AR559" s="141">
        <v>0</v>
      </c>
      <c r="AS559" s="141">
        <v>0</v>
      </c>
      <c r="AT559" s="141">
        <v>0</v>
      </c>
      <c r="AU559" s="141">
        <v>0</v>
      </c>
      <c r="AV559" s="141">
        <v>0</v>
      </c>
      <c r="AW559" s="141">
        <v>0</v>
      </c>
      <c r="AX559" s="141">
        <f>COUNTIF(V559:AW559,"&lt;&gt;0")</f>
        <v>1</v>
      </c>
      <c r="AY559" s="141">
        <f>COUNTIF(V559:AL559,"&lt;&gt;0")</f>
        <v>1</v>
      </c>
      <c r="AZ559">
        <f>COUNTIF(V559:AC559,"&lt;&gt;0")</f>
        <v>1</v>
      </c>
      <c r="BA559">
        <f>COUNTIF(AD559:AI559,"&lt;&gt;0")</f>
        <v>0</v>
      </c>
      <c r="BB559">
        <f>COUNTIF(AJ559:AL559,"&lt;&gt;0")</f>
        <v>0</v>
      </c>
      <c r="BC559">
        <f>COUNTIF(AS559:AW559,"&lt;&gt;0")</f>
        <v>0</v>
      </c>
      <c r="BD559">
        <f>COUNTIF(AM559:AR559,"&lt;&gt;0")</f>
        <v>0</v>
      </c>
      <c r="BE559" t="str" cm="1">
        <f t="array" ref="BE559">IF(AY559=1,INDEX($V$7:$AL$7,MATCH(TRUE,INDEX($V559:$AW559&lt;&gt;0,),0)),IF(AY559=0,INDEX($AM$7:$AW$7,MATCH(1,$AM559:$AW559,0)),IF(BF559="Multiple strategies","mixed drivers",IF(BF559="Supply chain","multiple supply","multiple silviculture"))))</f>
        <v>area subject to harvest</v>
      </c>
      <c r="BF559" s="2" t="str" cm="1">
        <f t="array" ref="BF559">IF(COUNTIF(AZ559:BB559,"&lt;&gt;0")=1,INDEX($V$4:$AW$4,MATCH(TRUE,INDEX($V559:$AW559&lt;&gt;0,),0)),IF(COUNTIF(AZ559:BB559,"&lt;&gt;0")=0,INDEX($AM$4:$AW$4,MATCH(1,$AM559:$AW559,0)),"Multiple strategies"))</f>
        <v>SilvicultureRemov</v>
      </c>
      <c r="BG559" s="173" t="s">
        <v>322</v>
      </c>
      <c r="BH559" s="141" t="s">
        <v>1299</v>
      </c>
      <c r="BI559" s="141" t="s">
        <v>1300</v>
      </c>
      <c r="BJ559" s="163" t="s">
        <v>1301</v>
      </c>
      <c r="BK559" s="158">
        <v>2159</v>
      </c>
      <c r="BL559" s="163">
        <v>2405</v>
      </c>
      <c r="BM559" s="266">
        <f>BL559/BK559</f>
        <v>1.1139416396479851</v>
      </c>
      <c r="BN559">
        <f>BL559-BK559</f>
        <v>246</v>
      </c>
      <c r="BO559" s="158">
        <f>BN559*10^6</f>
        <v>246000000</v>
      </c>
      <c r="BP559" s="266" t="s">
        <v>396</v>
      </c>
      <c r="BQ559" s="153" t="s">
        <v>788</v>
      </c>
      <c r="BR559" s="151" t="s">
        <v>1302</v>
      </c>
      <c r="BS559" s="141"/>
      <c r="BT559" s="163"/>
      <c r="BU559" s="144" t="str">
        <f>IFERROR(BT559/BS559,"")</f>
        <v/>
      </c>
      <c r="BV559" s="176">
        <v>261</v>
      </c>
      <c r="BX559">
        <f>BV559*10^6</f>
        <v>261000000</v>
      </c>
      <c r="BY559">
        <f>IFERROR(BX559/BO559,"")</f>
        <v>1.0609756097560976</v>
      </c>
      <c r="BZ559" s="141">
        <v>0</v>
      </c>
      <c r="CA559" s="141">
        <v>0</v>
      </c>
      <c r="CB559" s="141">
        <v>0</v>
      </c>
      <c r="CC559" s="141">
        <v>0</v>
      </c>
      <c r="CD559" s="141">
        <v>0</v>
      </c>
      <c r="CE559" s="141">
        <v>0</v>
      </c>
      <c r="CF559" s="141">
        <v>0</v>
      </c>
      <c r="CG559" s="141">
        <v>0</v>
      </c>
      <c r="CH559" s="141">
        <v>0</v>
      </c>
      <c r="CI559" s="141">
        <v>0</v>
      </c>
      <c r="CJ559" s="141">
        <v>0</v>
      </c>
      <c r="CK559" s="141">
        <v>0</v>
      </c>
      <c r="CL559" s="141">
        <v>0</v>
      </c>
      <c r="CM559" s="141">
        <v>1</v>
      </c>
      <c r="CN559" t="str">
        <f>IF(BL559&lt;BK559,"refNeedCorrection","refOK")</f>
        <v>refOK</v>
      </c>
      <c r="CO559">
        <f>IF($CN559="refOK",$BK559,$BL559)</f>
        <v>2159</v>
      </c>
      <c r="CP559">
        <f>IF($CN559="refOK",$BL559,$BK559)</f>
        <v>2405</v>
      </c>
      <c r="CQ559">
        <f>IF($CN559="refOK",$BO559,-$BO559)</f>
        <v>246000000</v>
      </c>
      <c r="CR559">
        <f>IF($CN559="refOK",$BS559,$BT559)*IF($BP559="Emissions positive",-1,1)</f>
        <v>0</v>
      </c>
      <c r="CS559">
        <f>IF($CN559="refOK",$BT559,$BS559)*IF($BP559="Emissions positive",-1,1)</f>
        <v>0</v>
      </c>
      <c r="CT559">
        <f>IF($CN559="refNeedCorrection",-BX559,BX559)*IF($BP559="Emissions positive",-1,1)</f>
        <v>-261000000</v>
      </c>
      <c r="CU559">
        <f>IFERROR(CT559/CQ559,"")</f>
        <v>-1.0609756097560976</v>
      </c>
      <c r="CV559" s="2" t="str">
        <f>IFERROR((CS559-CR559)/ABS(CR559),"")</f>
        <v/>
      </c>
      <c r="CW559" s="174" t="s">
        <v>1205</v>
      </c>
      <c r="CX559" s="266" t="str">
        <f>IF(OR($CW559="prd",$CW559="std",$CW559="cit"),"loc",IF(OR($CW559="eur",$CW559="reg",$CW559="coy"),"reg",$CW559))</f>
        <v>reg</v>
      </c>
      <c r="CY559" s="141" t="s">
        <v>1303</v>
      </c>
      <c r="CZ559" s="141">
        <v>2016</v>
      </c>
      <c r="DA559" s="163">
        <v>2046</v>
      </c>
      <c r="DB559" s="163">
        <v>30</v>
      </c>
      <c r="DC559" t="str">
        <f>IF(DB559=0,"0",IF(AND(DB559&gt;=1,DB559&lt;=30),"1-30",IF(AND(DB559&gt;30,DB559&lt;=70),"31-70",IF(AND(DB559&gt;70,DB559&lt;=100),"71-100",IF(DB559&gt;100,"+100")))))</f>
        <v>1-30</v>
      </c>
      <c r="DD559" s="141">
        <v>1</v>
      </c>
      <c r="DE559" s="141">
        <v>1</v>
      </c>
      <c r="DF559" s="141">
        <v>0</v>
      </c>
      <c r="DG559" s="141">
        <v>1</v>
      </c>
      <c r="DI559">
        <f>SUM(DD559:DG559)</f>
        <v>3</v>
      </c>
      <c r="DJ559" t="str">
        <f>IF(DI559=1,INDEX($DD$7:$DG$7,MATCH(1,$DD559:$DG559,0)),"mixedProduct")</f>
        <v>mixedProduct</v>
      </c>
      <c r="DK559" t="str">
        <f>IF(DD559=1,DK$7,0)</f>
        <v>Upstream</v>
      </c>
      <c r="DL559" t="str">
        <f>IF(DE559=1,DL$7,0)</f>
        <v>Energy</v>
      </c>
      <c r="DM559">
        <f>IF(DF559=1,DM$7,0)</f>
        <v>0</v>
      </c>
      <c r="DN559" t="str">
        <f>IF(DG559=1,DN$7,0)</f>
        <v>Timber</v>
      </c>
      <c r="DO559" s="163">
        <v>0</v>
      </c>
      <c r="DP559" s="141">
        <v>0</v>
      </c>
      <c r="DQ559" s="163">
        <v>0</v>
      </c>
      <c r="DR559" s="163">
        <v>0</v>
      </c>
      <c r="DS559" s="163">
        <v>0</v>
      </c>
      <c r="DT559">
        <f>SUM(DO559:DP559)</f>
        <v>0</v>
      </c>
      <c r="DU559" s="143" t="str">
        <f>IF(DO559=1,"self-calculated DF",IF(DP559=1,"external DF used","explicit C balance"))</f>
        <v>explicit C balance</v>
      </c>
      <c r="DV559" s="163">
        <v>1</v>
      </c>
      <c r="DW559" s="141">
        <v>1</v>
      </c>
      <c r="DX559" s="163">
        <v>1</v>
      </c>
      <c r="DY559" s="163">
        <v>0</v>
      </c>
      <c r="DZ559" s="141">
        <v>0</v>
      </c>
      <c r="EA559" s="141">
        <v>0</v>
      </c>
      <c r="EB559" s="143">
        <v>0</v>
      </c>
      <c r="EC559" s="141">
        <v>0</v>
      </c>
      <c r="ED559" s="143">
        <v>0</v>
      </c>
      <c r="EE559" s="143">
        <v>0</v>
      </c>
      <c r="EF559" s="141">
        <v>1</v>
      </c>
      <c r="EG559" s="163">
        <v>0</v>
      </c>
      <c r="EH559" s="141">
        <v>0</v>
      </c>
      <c r="EI559" s="177">
        <v>0</v>
      </c>
      <c r="EK559" t="str">
        <f>IF(AND(AND(AND(OR($DX559=1,$DW559=1),OR($EC559=1,$EA559=1)),SUM($DV559:$DZ559,$EF559)&gt;=4),SUM($EA559:$EE559)&gt;=2),"Whole sector","")</f>
        <v/>
      </c>
      <c r="EL559" t="str">
        <f>IF(AND(AND(OR($DX559=1,$DW559=1),AND($EC559=0,$EA559=0)),SUM($DV559:$DZ559,$EF559)&gt;=4),"Ecosystem approach","")</f>
        <v>Ecosystem approach</v>
      </c>
      <c r="EM559" s="2" t="str">
        <f>IF(AND(AND(AND($DX559=0,$DW559=0),OR($EC559=1,$EA559=1)),SUM($EB559:$EE559)&gt;=2),"Technology approach","")</f>
        <v/>
      </c>
      <c r="EN559" s="141"/>
      <c r="EP559" t="str">
        <f>IF(ISNUMBER(BU559),IF(ABS(BU559-[1]QC_indicators!$B$2)&gt;3*[1]QC_indicators!$C$2,"C ratio",IF(ISNUMBER(BY559),IF(ABS(BY559-[1]QC_indicators!$B$1)&gt;3*[1]QC_indicators!$C$1,"DF","no"))),IF(ISNUMBER(BY559),IF(ABS(BY559-[1]QC_indicators!$B$1)&gt;3*[1]QC_indicators!$C$1,"DF","no")))</f>
        <v>no</v>
      </c>
      <c r="ER559" s="296" t="s">
        <v>1304</v>
      </c>
      <c r="ET559" s="266" t="s">
        <v>3409</v>
      </c>
    </row>
    <row r="560" spans="1:150" ht="15" customHeight="1">
      <c r="A560" s="174" t="s">
        <v>1288</v>
      </c>
      <c r="B560" s="141" t="s">
        <v>1289</v>
      </c>
      <c r="C560" s="141" t="s">
        <v>1290</v>
      </c>
      <c r="D560" s="141" t="s">
        <v>1291</v>
      </c>
      <c r="E560" s="141" t="s">
        <v>1292</v>
      </c>
      <c r="F560" s="141" t="s">
        <v>1293</v>
      </c>
      <c r="G560" s="141" t="s">
        <v>1294</v>
      </c>
      <c r="H560" s="141"/>
      <c r="I560" s="141">
        <v>2019</v>
      </c>
      <c r="J560" s="141"/>
      <c r="K560" s="141" t="s">
        <v>1295</v>
      </c>
      <c r="L560" s="141"/>
      <c r="M560" t="str">
        <f>LEFT($D560,FIND(",",$D560)-1)&amp;"_"&amp;I560&amp;L560</f>
        <v>Bosch_2019</v>
      </c>
      <c r="N560" t="s">
        <v>223</v>
      </c>
      <c r="O560" s="175" t="s">
        <v>226</v>
      </c>
      <c r="P560" s="141" t="s">
        <v>224</v>
      </c>
      <c r="Q560" s="266" t="s">
        <v>225</v>
      </c>
      <c r="R560" s="271" t="s">
        <v>1156</v>
      </c>
      <c r="S560" s="174" t="s">
        <v>1309</v>
      </c>
      <c r="T560" s="141" t="s">
        <v>1310</v>
      </c>
      <c r="U560" s="141" t="s">
        <v>1298</v>
      </c>
      <c r="V560" s="141">
        <v>0</v>
      </c>
      <c r="W560" s="141">
        <v>0</v>
      </c>
      <c r="X560" s="141">
        <v>1</v>
      </c>
      <c r="Y560" s="141">
        <v>0</v>
      </c>
      <c r="Z560" s="141">
        <v>0</v>
      </c>
      <c r="AA560" s="141">
        <v>0</v>
      </c>
      <c r="AB560" s="141">
        <v>0</v>
      </c>
      <c r="AC560" s="141">
        <v>0</v>
      </c>
      <c r="AD560" s="141">
        <v>0</v>
      </c>
      <c r="AE560" s="141">
        <v>0</v>
      </c>
      <c r="AF560" s="141">
        <v>0</v>
      </c>
      <c r="AG560" s="141">
        <v>0</v>
      </c>
      <c r="AH560" s="141">
        <v>0</v>
      </c>
      <c r="AI560" s="141">
        <v>0</v>
      </c>
      <c r="AJ560" s="141">
        <v>0</v>
      </c>
      <c r="AK560" s="141">
        <v>0</v>
      </c>
      <c r="AL560" s="141">
        <v>0</v>
      </c>
      <c r="AM560" s="141">
        <v>0</v>
      </c>
      <c r="AN560" s="141">
        <v>0</v>
      </c>
      <c r="AO560" s="141">
        <v>0</v>
      </c>
      <c r="AP560" s="141">
        <v>0</v>
      </c>
      <c r="AQ560" s="141">
        <v>0</v>
      </c>
      <c r="AR560" s="141">
        <v>0</v>
      </c>
      <c r="AS560" s="141">
        <v>0</v>
      </c>
      <c r="AT560" s="141">
        <v>0</v>
      </c>
      <c r="AU560" s="141">
        <v>0</v>
      </c>
      <c r="AV560" s="141">
        <v>0</v>
      </c>
      <c r="AW560" s="141">
        <v>0</v>
      </c>
      <c r="AX560" s="141">
        <f>COUNTIF(V560:AW560,"&lt;&gt;0")</f>
        <v>1</v>
      </c>
      <c r="AY560" s="141">
        <f>COUNTIF(V560:AL560,"&lt;&gt;0")</f>
        <v>1</v>
      </c>
      <c r="AZ560">
        <f>COUNTIF(V560:AC560,"&lt;&gt;0")</f>
        <v>1</v>
      </c>
      <c r="BA560">
        <f>COUNTIF(AD560:AI560,"&lt;&gt;0")</f>
        <v>0</v>
      </c>
      <c r="BB560">
        <f>COUNTIF(AJ560:AL560,"&lt;&gt;0")</f>
        <v>0</v>
      </c>
      <c r="BC560">
        <f>COUNTIF(AS560:AW560,"&lt;&gt;0")</f>
        <v>0</v>
      </c>
      <c r="BD560">
        <f>COUNTIF(AM560:AR560,"&lt;&gt;0")</f>
        <v>0</v>
      </c>
      <c r="BE560" t="str" cm="1">
        <f t="array" ref="BE560">IF(AY560=1,INDEX($V$7:$AL$7,MATCH(TRUE,INDEX($V560:$AW560&lt;&gt;0,),0)),IF(AY560=0,INDEX($AM$7:$AW$7,MATCH(1,$AM560:$AW560,0)),IF(BF560="Multiple strategies","mixed drivers",IF(BF560="Supply chain","multiple supply","multiple silviculture"))))</f>
        <v>rotation length</v>
      </c>
      <c r="BF560" s="2" t="str" cm="1">
        <f t="array" ref="BF560">IF(COUNTIF(AZ560:BB560,"&lt;&gt;0")=1,INDEX($V$4:$AW$4,MATCH(TRUE,INDEX($V560:$AW560&lt;&gt;0,),0)),IF(COUNTIF(AZ560:BB560,"&lt;&gt;0")=0,INDEX($AM$4:$AW$4,MATCH(1,$AM560:$AW560,0)),"Multiple strategies"))</f>
        <v>SilvicultureRemov</v>
      </c>
      <c r="BG560" s="173" t="s">
        <v>322</v>
      </c>
      <c r="BH560" s="141" t="s">
        <v>1299</v>
      </c>
      <c r="BI560" s="141" t="s">
        <v>1300</v>
      </c>
      <c r="BJ560" s="163" t="s">
        <v>1301</v>
      </c>
      <c r="BK560" s="176">
        <v>2167</v>
      </c>
      <c r="BL560" s="163">
        <v>2405</v>
      </c>
      <c r="BM560" s="163">
        <f>BL560/BK560</f>
        <v>1.1098292570373789</v>
      </c>
      <c r="BN560">
        <f>BL560-BK560</f>
        <v>238</v>
      </c>
      <c r="BO560" s="158">
        <f>BN560*10^6</f>
        <v>238000000</v>
      </c>
      <c r="BP560" s="266" t="s">
        <v>396</v>
      </c>
      <c r="BQ560" s="266" t="s">
        <v>703</v>
      </c>
      <c r="BR560" s="151" t="s">
        <v>1302</v>
      </c>
      <c r="BS560" s="163"/>
      <c r="BT560" s="141"/>
      <c r="BU560" s="144"/>
      <c r="BV560" s="176">
        <v>250</v>
      </c>
      <c r="BX560">
        <f>BV560*10^6</f>
        <v>250000000</v>
      </c>
      <c r="BY560">
        <f>IFERROR(BX560/BO560,"")</f>
        <v>1.0504201680672269</v>
      </c>
      <c r="BZ560" s="141">
        <v>0</v>
      </c>
      <c r="CA560" s="141">
        <v>0</v>
      </c>
      <c r="CB560" s="141">
        <v>0</v>
      </c>
      <c r="CC560" s="141">
        <v>0</v>
      </c>
      <c r="CD560" s="141">
        <v>0</v>
      </c>
      <c r="CE560" s="141">
        <v>0</v>
      </c>
      <c r="CF560" s="141">
        <v>0</v>
      </c>
      <c r="CG560" s="141">
        <v>0</v>
      </c>
      <c r="CH560" s="141">
        <v>0</v>
      </c>
      <c r="CI560" s="141">
        <v>0</v>
      </c>
      <c r="CJ560" s="141">
        <v>0</v>
      </c>
      <c r="CK560" s="141">
        <v>0</v>
      </c>
      <c r="CL560" s="141">
        <v>0</v>
      </c>
      <c r="CM560" s="141">
        <v>1</v>
      </c>
      <c r="CN560" t="str">
        <f>IF(BL560&lt;BK560,"refNeedCorrection","refOK")</f>
        <v>refOK</v>
      </c>
      <c r="CO560">
        <f>IF($CN560="refOK",$BK560,$BL560)</f>
        <v>2167</v>
      </c>
      <c r="CP560">
        <f>IF($CN560="refOK",$BL560,$BK560)</f>
        <v>2405</v>
      </c>
      <c r="CQ560">
        <f>IF($CN560="refOK",$BO560,-$BO560)</f>
        <v>238000000</v>
      </c>
      <c r="CR560">
        <f>IF($CN560="refOK",$BS560,$BT560)*IF($BP560="Emissions positive",-1,1)</f>
        <v>0</v>
      </c>
      <c r="CS560">
        <f>IF($CN560="refOK",$BT560,$BS560)*IF($BP560="Emissions positive",-1,1)</f>
        <v>0</v>
      </c>
      <c r="CT560">
        <f>IF($CN560="refNeedCorrection",-BX560,BX560)*IF($BP560="Emissions positive",-1,1)</f>
        <v>-250000000</v>
      </c>
      <c r="CU560">
        <f>IFERROR(CT560/CQ560,"")</f>
        <v>-1.0504201680672269</v>
      </c>
      <c r="CV560" s="2" t="str">
        <f>IFERROR((CS560-CR560)/ABS(CR560),"")</f>
        <v/>
      </c>
      <c r="CW560" s="174" t="s">
        <v>1205</v>
      </c>
      <c r="CX560" s="266" t="str">
        <f>IF(OR($CW560="prd",$CW560="std",$CW560="cit"),"loc",IF(OR($CW560="eur",$CW560="reg",$CW560="coy"),"reg",$CW560))</f>
        <v>reg</v>
      </c>
      <c r="CY560" s="141" t="s">
        <v>1303</v>
      </c>
      <c r="CZ560" s="141">
        <v>2016</v>
      </c>
      <c r="DA560" s="163">
        <v>2046</v>
      </c>
      <c r="DB560" s="163">
        <v>30</v>
      </c>
      <c r="DC560" t="str">
        <f>IF(DB560=0,"0",IF(AND(DB560&gt;=1,DB560&lt;=30),"1-30",IF(AND(DB560&gt;30,DB560&lt;=70),"31-70",IF(AND(DB560&gt;70,DB560&lt;=100),"71-100",IF(DB560&gt;100,"+100")))))</f>
        <v>1-30</v>
      </c>
      <c r="DD560" s="141">
        <v>1</v>
      </c>
      <c r="DE560" s="141">
        <v>1</v>
      </c>
      <c r="DF560" s="141">
        <v>0</v>
      </c>
      <c r="DG560" s="141">
        <v>1</v>
      </c>
      <c r="DI560">
        <f>SUM(DD560:DG560)</f>
        <v>3</v>
      </c>
      <c r="DJ560" t="str">
        <f>IF(DI560=1,INDEX($DD$7:$DG$7,MATCH(1,$DD560:$DG560,0)),"mixedProduct")</f>
        <v>mixedProduct</v>
      </c>
      <c r="DK560" t="str">
        <f>IF(DD560=1,DK$7,0)</f>
        <v>Upstream</v>
      </c>
      <c r="DL560" t="str">
        <f>IF(DE560=1,DL$7,0)</f>
        <v>Energy</v>
      </c>
      <c r="DM560">
        <f>IF(DF560=1,DM$7,0)</f>
        <v>0</v>
      </c>
      <c r="DN560" t="str">
        <f>IF(DG560=1,DN$7,0)</f>
        <v>Timber</v>
      </c>
      <c r="DO560" s="163">
        <v>0</v>
      </c>
      <c r="DP560" s="141">
        <v>0</v>
      </c>
      <c r="DQ560" s="163">
        <v>0</v>
      </c>
      <c r="DR560" s="163">
        <v>0</v>
      </c>
      <c r="DS560" s="163">
        <v>0</v>
      </c>
      <c r="DT560">
        <f>SUM(DO560:DP560)</f>
        <v>0</v>
      </c>
      <c r="DU560" s="143" t="str">
        <f>IF(DO560=1,"self-calculated DF",IF(DP560=1,"external DF used","explicit C balance"))</f>
        <v>explicit C balance</v>
      </c>
      <c r="DV560" s="163">
        <v>1</v>
      </c>
      <c r="DW560" s="141">
        <v>1</v>
      </c>
      <c r="DX560" s="163">
        <v>1</v>
      </c>
      <c r="DY560" s="163">
        <v>1</v>
      </c>
      <c r="DZ560" s="141">
        <v>0</v>
      </c>
      <c r="EA560" s="141">
        <v>0</v>
      </c>
      <c r="EB560" s="143">
        <v>0</v>
      </c>
      <c r="EC560" s="141">
        <v>0</v>
      </c>
      <c r="ED560" s="143">
        <v>0</v>
      </c>
      <c r="EE560" s="143">
        <v>0</v>
      </c>
      <c r="EF560" s="141">
        <v>1</v>
      </c>
      <c r="EG560" s="163">
        <v>0</v>
      </c>
      <c r="EH560" s="141">
        <v>0</v>
      </c>
      <c r="EI560" s="177">
        <v>0</v>
      </c>
      <c r="EK560" t="str">
        <f>IF(AND(AND(AND(OR($DX560=1,$DW560=1),OR($EC560=1,$EA560=1)),SUM($DV560:$DZ560,$EF560)&gt;=4),SUM($EA560:$EE560)&gt;=2),"Whole sector","")</f>
        <v/>
      </c>
      <c r="EL560" t="str">
        <f>IF(AND(AND(OR($DX560=1,$DW560=1),AND($EC560=0,$EA560=0)),SUM($DV560:$DZ560,$EF560)&gt;=4),"Ecosystem approach","")</f>
        <v>Ecosystem approach</v>
      </c>
      <c r="EM560" s="2" t="str">
        <f>IF(AND(AND(AND($DX560=0,$DW560=0),OR($EC560=1,$EA560=1)),SUM($EB560:$EE560)&gt;=2),"Technology approach","")</f>
        <v/>
      </c>
      <c r="EN560" s="141"/>
      <c r="EP560" t="str">
        <f>IF(ISNUMBER(BU560),IF(ABS(BU560-[1]QC_indicators!$B$2)&gt;3*[1]QC_indicators!$C$2,"C ratio",IF(ISNUMBER(BY560),IF(ABS(BY560-[1]QC_indicators!$B$1)&gt;3*[1]QC_indicators!$C$1,"DF","no"))),IF(ISNUMBER(BY560),IF(ABS(BY560-[1]QC_indicators!$B$1)&gt;3*[1]QC_indicators!$C$1,"DF","no")))</f>
        <v>no</v>
      </c>
      <c r="ER560" s="296" t="s">
        <v>1304</v>
      </c>
      <c r="ET560" s="266" t="s">
        <v>3409</v>
      </c>
    </row>
    <row r="561" spans="1:151" ht="15" customHeight="1">
      <c r="A561" s="174" t="s">
        <v>1288</v>
      </c>
      <c r="B561" s="141" t="s">
        <v>1289</v>
      </c>
      <c r="C561" s="141" t="s">
        <v>1290</v>
      </c>
      <c r="D561" s="141" t="s">
        <v>1291</v>
      </c>
      <c r="E561" s="141" t="s">
        <v>1292</v>
      </c>
      <c r="F561" s="141" t="s">
        <v>1293</v>
      </c>
      <c r="G561" s="141" t="s">
        <v>1294</v>
      </c>
      <c r="H561" s="141"/>
      <c r="I561" s="141">
        <v>2019</v>
      </c>
      <c r="J561" s="141"/>
      <c r="K561" s="141" t="s">
        <v>1295</v>
      </c>
      <c r="L561" s="141"/>
      <c r="M561" t="str">
        <f>LEFT($D561,FIND(",",$D561)-1)&amp;"_"&amp;I561&amp;L561</f>
        <v>Bosch_2019</v>
      </c>
      <c r="N561" t="s">
        <v>223</v>
      </c>
      <c r="O561" s="175" t="s">
        <v>226</v>
      </c>
      <c r="P561" s="141" t="s">
        <v>224</v>
      </c>
      <c r="Q561" s="266" t="s">
        <v>225</v>
      </c>
      <c r="R561" s="271" t="s">
        <v>1156</v>
      </c>
      <c r="S561" s="174" t="s">
        <v>1309</v>
      </c>
      <c r="T561" s="141" t="s">
        <v>1310</v>
      </c>
      <c r="U561" s="141" t="s">
        <v>1298</v>
      </c>
      <c r="V561" s="141">
        <v>0</v>
      </c>
      <c r="W561" s="141">
        <v>0</v>
      </c>
      <c r="X561" s="141">
        <v>1</v>
      </c>
      <c r="Y561" s="141">
        <v>0</v>
      </c>
      <c r="Z561" s="141">
        <v>0</v>
      </c>
      <c r="AA561" s="141">
        <v>0</v>
      </c>
      <c r="AB561" s="141">
        <v>0</v>
      </c>
      <c r="AC561" s="141">
        <v>0</v>
      </c>
      <c r="AD561" s="141">
        <v>0</v>
      </c>
      <c r="AE561" s="141">
        <v>0</v>
      </c>
      <c r="AF561" s="141">
        <v>0</v>
      </c>
      <c r="AG561" s="141">
        <v>0</v>
      </c>
      <c r="AH561" s="141">
        <v>0</v>
      </c>
      <c r="AI561" s="141">
        <v>0</v>
      </c>
      <c r="AJ561" s="141">
        <v>0</v>
      </c>
      <c r="AK561" s="141">
        <v>0</v>
      </c>
      <c r="AL561" s="141">
        <v>0</v>
      </c>
      <c r="AM561" s="141">
        <v>0</v>
      </c>
      <c r="AN561" s="141">
        <v>0</v>
      </c>
      <c r="AO561" s="141">
        <v>0</v>
      </c>
      <c r="AP561" s="141">
        <v>0</v>
      </c>
      <c r="AQ561" s="141">
        <v>0</v>
      </c>
      <c r="AR561" s="141">
        <v>0</v>
      </c>
      <c r="AS561" s="141">
        <v>0</v>
      </c>
      <c r="AT561" s="141">
        <v>0</v>
      </c>
      <c r="AU561" s="141">
        <v>0</v>
      </c>
      <c r="AV561" s="141">
        <v>0</v>
      </c>
      <c r="AW561" s="141">
        <v>0</v>
      </c>
      <c r="AX561" s="141">
        <f>COUNTIF(V561:AW561,"&lt;&gt;0")</f>
        <v>1</v>
      </c>
      <c r="AY561" s="141">
        <f>COUNTIF(V561:AL561,"&lt;&gt;0")</f>
        <v>1</v>
      </c>
      <c r="AZ561">
        <f>COUNTIF(V561:AC561,"&lt;&gt;0")</f>
        <v>1</v>
      </c>
      <c r="BA561">
        <f>COUNTIF(AD561:AI561,"&lt;&gt;0")</f>
        <v>0</v>
      </c>
      <c r="BB561">
        <f>COUNTIF(AJ561:AL561,"&lt;&gt;0")</f>
        <v>0</v>
      </c>
      <c r="BC561">
        <f>COUNTIF(AS561:AW561,"&lt;&gt;0")</f>
        <v>0</v>
      </c>
      <c r="BD561">
        <f>COUNTIF(AM561:AR561,"&lt;&gt;0")</f>
        <v>0</v>
      </c>
      <c r="BE561" t="str" cm="1">
        <f t="array" ref="BE561">IF(AY561=1,INDEX($V$7:$AL$7,MATCH(TRUE,INDEX($V561:$AW561&lt;&gt;0,),0)),IF(AY561=0,INDEX($AM$7:$AW$7,MATCH(1,$AM561:$AW561,0)),IF(BF561="Multiple strategies","mixed drivers",IF(BF561="Supply chain","multiple supply","multiple silviculture"))))</f>
        <v>rotation length</v>
      </c>
      <c r="BF561" s="2" t="str" cm="1">
        <f t="array" ref="BF561">IF(COUNTIF(AZ561:BB561,"&lt;&gt;0")=1,INDEX($V$4:$AW$4,MATCH(TRUE,INDEX($V561:$AW561&lt;&gt;0,),0)),IF(COUNTIF(AZ561:BB561,"&lt;&gt;0")=0,INDEX($AM$4:$AW$4,MATCH(1,$AM561:$AW561,0)),"Multiple strategies"))</f>
        <v>SilvicultureRemov</v>
      </c>
      <c r="BG561" s="173" t="s">
        <v>322</v>
      </c>
      <c r="BH561" s="141" t="s">
        <v>1299</v>
      </c>
      <c r="BI561" s="141" t="s">
        <v>1300</v>
      </c>
      <c r="BJ561" s="163" t="s">
        <v>1301</v>
      </c>
      <c r="BK561" s="176">
        <v>2167</v>
      </c>
      <c r="BL561" s="163">
        <v>2405</v>
      </c>
      <c r="BM561" s="163">
        <f>BL561/BK561</f>
        <v>1.1098292570373789</v>
      </c>
      <c r="BN561">
        <f>BL561-BK561</f>
        <v>238</v>
      </c>
      <c r="BO561" s="158">
        <f>BN561*10^6</f>
        <v>238000000</v>
      </c>
      <c r="BP561" s="266" t="s">
        <v>396</v>
      </c>
      <c r="BQ561" s="266" t="s">
        <v>703</v>
      </c>
      <c r="BR561" s="151" t="s">
        <v>1302</v>
      </c>
      <c r="BS561" s="163"/>
      <c r="BT561" s="141"/>
      <c r="BU561" s="144"/>
      <c r="BV561" s="176">
        <v>306</v>
      </c>
      <c r="BX561">
        <f>BV561*10^6</f>
        <v>306000000</v>
      </c>
      <c r="BY561">
        <f>IFERROR(BX561/BO561,"")</f>
        <v>1.2857142857142858</v>
      </c>
      <c r="BZ561" s="141">
        <v>0</v>
      </c>
      <c r="CA561" s="141">
        <v>0</v>
      </c>
      <c r="CB561" s="141">
        <v>0</v>
      </c>
      <c r="CC561" s="141">
        <v>0</v>
      </c>
      <c r="CD561" s="141">
        <v>0</v>
      </c>
      <c r="CE561" s="141">
        <v>0</v>
      </c>
      <c r="CF561" s="141">
        <v>0</v>
      </c>
      <c r="CG561" s="141">
        <v>0</v>
      </c>
      <c r="CH561" s="141">
        <v>0</v>
      </c>
      <c r="CI561" s="141">
        <v>0</v>
      </c>
      <c r="CJ561" s="141">
        <v>0</v>
      </c>
      <c r="CK561" s="141">
        <v>0</v>
      </c>
      <c r="CL561" s="141">
        <v>0</v>
      </c>
      <c r="CM561" s="141">
        <v>1</v>
      </c>
      <c r="CN561" t="str">
        <f>IF(BL561&lt;BK561,"refNeedCorrection","refOK")</f>
        <v>refOK</v>
      </c>
      <c r="CO561">
        <f>IF($CN561="refOK",$BK561,$BL561)</f>
        <v>2167</v>
      </c>
      <c r="CP561">
        <f>IF($CN561="refOK",$BL561,$BK561)</f>
        <v>2405</v>
      </c>
      <c r="CQ561">
        <f>IF($CN561="refOK",$BO561,-$BO561)</f>
        <v>238000000</v>
      </c>
      <c r="CR561">
        <f>IF($CN561="refOK",$BS561,$BT561)*IF($BP561="Emissions positive",-1,1)</f>
        <v>0</v>
      </c>
      <c r="CS561">
        <f>IF($CN561="refOK",$BT561,$BS561)*IF($BP561="Emissions positive",-1,1)</f>
        <v>0</v>
      </c>
      <c r="CT561">
        <f>IF($CN561="refNeedCorrection",-BX561,BX561)*IF($BP561="Emissions positive",-1,1)</f>
        <v>-306000000</v>
      </c>
      <c r="CU561">
        <f>IFERROR(CT561/CQ561,"")</f>
        <v>-1.2857142857142858</v>
      </c>
      <c r="CV561" s="2" t="str">
        <f>IFERROR((CS561-CR561)/ABS(CR561),"")</f>
        <v/>
      </c>
      <c r="CW561" s="174" t="s">
        <v>1205</v>
      </c>
      <c r="CX561" s="266" t="str">
        <f>IF(OR($CW561="prd",$CW561="std",$CW561="cit"),"loc",IF(OR($CW561="eur",$CW561="reg",$CW561="coy"),"reg",$CW561))</f>
        <v>reg</v>
      </c>
      <c r="CY561" s="141" t="s">
        <v>1303</v>
      </c>
      <c r="CZ561" s="141">
        <v>2016</v>
      </c>
      <c r="DA561" s="163">
        <v>2046</v>
      </c>
      <c r="DB561" s="163">
        <v>30</v>
      </c>
      <c r="DC561" t="str">
        <f>IF(DB561=0,"0",IF(AND(DB561&gt;=1,DB561&lt;=30),"1-30",IF(AND(DB561&gt;30,DB561&lt;=70),"31-70",IF(AND(DB561&gt;70,DB561&lt;=100),"71-100",IF(DB561&gt;100,"+100")))))</f>
        <v>1-30</v>
      </c>
      <c r="DD561" s="141">
        <v>1</v>
      </c>
      <c r="DE561" s="141">
        <v>1</v>
      </c>
      <c r="DF561" s="141">
        <v>0</v>
      </c>
      <c r="DG561" s="141">
        <v>1</v>
      </c>
      <c r="DI561">
        <f>SUM(DD561:DG561)</f>
        <v>3</v>
      </c>
      <c r="DJ561" t="str">
        <f>IF(DI561=1,INDEX($DD$7:$DG$7,MATCH(1,$DD561:$DG561,0)),"mixedProduct")</f>
        <v>mixedProduct</v>
      </c>
      <c r="DK561" t="str">
        <f>IF(DD561=1,DK$7,0)</f>
        <v>Upstream</v>
      </c>
      <c r="DL561" t="str">
        <f>IF(DE561=1,DL$7,0)</f>
        <v>Energy</v>
      </c>
      <c r="DM561">
        <f>IF(DF561=1,DM$7,0)</f>
        <v>0</v>
      </c>
      <c r="DN561" t="str">
        <f>IF(DG561=1,DN$7,0)</f>
        <v>Timber</v>
      </c>
      <c r="DO561" s="163">
        <v>0</v>
      </c>
      <c r="DP561" s="141">
        <v>0</v>
      </c>
      <c r="DQ561" s="163">
        <v>0</v>
      </c>
      <c r="DR561" s="163">
        <v>0</v>
      </c>
      <c r="DS561" s="163">
        <v>0</v>
      </c>
      <c r="DT561">
        <f>SUM(DO561:DP561)</f>
        <v>0</v>
      </c>
      <c r="DU561" s="143" t="str">
        <f>IF(DO561=1,"self-calculated DF",IF(DP561=1,"external DF used","explicit C balance"))</f>
        <v>explicit C balance</v>
      </c>
      <c r="DV561" s="163">
        <v>1</v>
      </c>
      <c r="DW561" s="141">
        <v>1</v>
      </c>
      <c r="DX561" s="163">
        <v>1</v>
      </c>
      <c r="DY561" s="163">
        <v>0</v>
      </c>
      <c r="DZ561" s="141">
        <v>0</v>
      </c>
      <c r="EA561" s="141">
        <v>0</v>
      </c>
      <c r="EB561" s="143">
        <v>0</v>
      </c>
      <c r="EC561" s="141">
        <v>0</v>
      </c>
      <c r="ED561" s="143">
        <v>0</v>
      </c>
      <c r="EE561" s="143">
        <v>0</v>
      </c>
      <c r="EF561" s="141">
        <v>1</v>
      </c>
      <c r="EG561" s="163">
        <v>0</v>
      </c>
      <c r="EH561" s="141">
        <v>0</v>
      </c>
      <c r="EI561" s="177">
        <v>0</v>
      </c>
      <c r="EK561" t="str">
        <f>IF(AND(AND(AND(OR($DX561=1,$DW561=1),OR($EC561=1,$EA561=1)),SUM($DV561:$DZ561,$EF561)&gt;=4),SUM($EA561:$EE561)&gt;=2),"Whole sector","")</f>
        <v/>
      </c>
      <c r="EL561" t="str">
        <f>IF(AND(AND(OR($DX561=1,$DW561=1),AND($EC561=0,$EA561=0)),SUM($DV561:$DZ561,$EF561)&gt;=4),"Ecosystem approach","")</f>
        <v>Ecosystem approach</v>
      </c>
      <c r="EM561" s="2" t="str">
        <f>IF(AND(AND(AND($DX561=0,$DW561=0),OR($EC561=1,$EA561=1)),SUM($EB561:$EE561)&gt;=2),"Technology approach","")</f>
        <v/>
      </c>
      <c r="EN561" s="141"/>
      <c r="EP561" t="str">
        <f>IF(ISNUMBER(BU561),IF(ABS(BU561-[1]QC_indicators!$B$2)&gt;3*[1]QC_indicators!$C$2,"C ratio",IF(ISNUMBER(BY561),IF(ABS(BY561-[1]QC_indicators!$B$1)&gt;3*[1]QC_indicators!$C$1,"DF","no"))),IF(ISNUMBER(BY561),IF(ABS(BY561-[1]QC_indicators!$B$1)&gt;3*[1]QC_indicators!$C$1,"DF","no")))</f>
        <v>no</v>
      </c>
      <c r="ER561" s="296" t="s">
        <v>1304</v>
      </c>
      <c r="ET561" s="266" t="s">
        <v>3409</v>
      </c>
    </row>
    <row r="562" spans="1:151" ht="15" customHeight="1">
      <c r="A562" s="174" t="s">
        <v>1288</v>
      </c>
      <c r="B562" s="141" t="s">
        <v>1289</v>
      </c>
      <c r="C562" s="141" t="s">
        <v>1290</v>
      </c>
      <c r="D562" s="141" t="s">
        <v>1291</v>
      </c>
      <c r="E562" s="141" t="s">
        <v>1292</v>
      </c>
      <c r="F562" s="141" t="s">
        <v>1293</v>
      </c>
      <c r="G562" s="141" t="s">
        <v>1294</v>
      </c>
      <c r="H562" s="141"/>
      <c r="I562" s="141">
        <v>2019</v>
      </c>
      <c r="J562" s="141"/>
      <c r="K562" s="141" t="s">
        <v>1295</v>
      </c>
      <c r="L562" s="141"/>
      <c r="M562" t="str">
        <f>LEFT($D562,FIND(",",$D562)-1)&amp;"_"&amp;I562&amp;L562</f>
        <v>Bosch_2019</v>
      </c>
      <c r="N562" t="s">
        <v>223</v>
      </c>
      <c r="O562" s="175" t="s">
        <v>226</v>
      </c>
      <c r="P562" s="141" t="s">
        <v>224</v>
      </c>
      <c r="Q562" s="266" t="s">
        <v>225</v>
      </c>
      <c r="R562" s="271" t="s">
        <v>1156</v>
      </c>
      <c r="S562" s="174" t="s">
        <v>1311</v>
      </c>
      <c r="T562" s="141" t="s">
        <v>1298</v>
      </c>
      <c r="U562" s="141" t="s">
        <v>1312</v>
      </c>
      <c r="V562" s="141">
        <v>0</v>
      </c>
      <c r="W562" s="141">
        <v>0</v>
      </c>
      <c r="X562" s="141">
        <v>1</v>
      </c>
      <c r="Y562" s="141">
        <v>0</v>
      </c>
      <c r="Z562" s="141">
        <v>0</v>
      </c>
      <c r="AA562" s="141">
        <v>0</v>
      </c>
      <c r="AB562" s="141">
        <v>0</v>
      </c>
      <c r="AC562" s="141">
        <v>0</v>
      </c>
      <c r="AD562" s="141">
        <v>0</v>
      </c>
      <c r="AE562" s="141">
        <v>0</v>
      </c>
      <c r="AF562" s="141">
        <v>0</v>
      </c>
      <c r="AG562" s="141">
        <v>0</v>
      </c>
      <c r="AH562" s="141">
        <v>0</v>
      </c>
      <c r="AI562" s="141">
        <v>0</v>
      </c>
      <c r="AJ562" s="141">
        <v>0</v>
      </c>
      <c r="AK562" s="141">
        <v>0</v>
      </c>
      <c r="AL562" s="141">
        <v>0</v>
      </c>
      <c r="AM562" s="141">
        <v>0</v>
      </c>
      <c r="AN562" s="141">
        <v>0</v>
      </c>
      <c r="AO562" s="141">
        <v>0</v>
      </c>
      <c r="AP562" s="141">
        <v>0</v>
      </c>
      <c r="AQ562" s="141">
        <v>0</v>
      </c>
      <c r="AR562" s="141">
        <v>0</v>
      </c>
      <c r="AS562" s="141">
        <v>0</v>
      </c>
      <c r="AT562" s="141">
        <v>0</v>
      </c>
      <c r="AU562" s="141">
        <v>0</v>
      </c>
      <c r="AV562" s="141">
        <v>0</v>
      </c>
      <c r="AW562" s="141">
        <v>0</v>
      </c>
      <c r="AX562" s="141">
        <f>COUNTIF(V562:AW562,"&lt;&gt;0")</f>
        <v>1</v>
      </c>
      <c r="AY562" s="141">
        <f>COUNTIF(V562:AL562,"&lt;&gt;0")</f>
        <v>1</v>
      </c>
      <c r="AZ562">
        <f>COUNTIF(V562:AC562,"&lt;&gt;0")</f>
        <v>1</v>
      </c>
      <c r="BA562">
        <f>COUNTIF(AD562:AI562,"&lt;&gt;0")</f>
        <v>0</v>
      </c>
      <c r="BB562">
        <f>COUNTIF(AJ562:AL562,"&lt;&gt;0")</f>
        <v>0</v>
      </c>
      <c r="BC562">
        <f>COUNTIF(AS562:AW562,"&lt;&gt;0")</f>
        <v>0</v>
      </c>
      <c r="BD562">
        <f>COUNTIF(AM562:AR562,"&lt;&gt;0")</f>
        <v>0</v>
      </c>
      <c r="BE562" t="str" cm="1">
        <f t="array" ref="BE562">IF(AY562=1,INDEX($V$7:$AL$7,MATCH(TRUE,INDEX($V562:$AW562&lt;&gt;0,),0)),IF(AY562=0,INDEX($AM$7:$AW$7,MATCH(1,$AM562:$AW562,0)),IF(BF562="Multiple strategies","mixed drivers",IF(BF562="Supply chain","multiple supply","multiple silviculture"))))</f>
        <v>rotation length</v>
      </c>
      <c r="BF562" s="2" t="str" cm="1">
        <f t="array" ref="BF562">IF(COUNTIF(AZ562:BB562,"&lt;&gt;0")=1,INDEX($V$4:$AW$4,MATCH(TRUE,INDEX($V562:$AW562&lt;&gt;0,),0)),IF(COUNTIF(AZ562:BB562,"&lt;&gt;0")=0,INDEX($AM$4:$AW$4,MATCH(1,$AM562:$AW562,0)),"Multiple strategies"))</f>
        <v>SilvicultureRemov</v>
      </c>
      <c r="BG562" s="173" t="s">
        <v>322</v>
      </c>
      <c r="BH562" s="141" t="s">
        <v>1299</v>
      </c>
      <c r="BI562" s="141" t="s">
        <v>1300</v>
      </c>
      <c r="BJ562" s="163" t="s">
        <v>1301</v>
      </c>
      <c r="BK562" s="163">
        <v>2405</v>
      </c>
      <c r="BL562" s="176">
        <v>2642</v>
      </c>
      <c r="BM562" s="266">
        <f>BL562/BK562</f>
        <v>1.0985446985446985</v>
      </c>
      <c r="BN562">
        <f>BL562-BK562</f>
        <v>237</v>
      </c>
      <c r="BO562" s="158">
        <f>BN562*10^6</f>
        <v>237000000</v>
      </c>
      <c r="BP562" s="266" t="s">
        <v>396</v>
      </c>
      <c r="BQ562" s="266" t="s">
        <v>427</v>
      </c>
      <c r="BR562" s="151" t="s">
        <v>1302</v>
      </c>
      <c r="BS562" s="141"/>
      <c r="BT562" s="163"/>
      <c r="BU562" s="144" t="str">
        <f>IFERROR(BT562/BS562,"")</f>
        <v/>
      </c>
      <c r="BV562" s="176">
        <v>372</v>
      </c>
      <c r="BX562">
        <f>BV562*10^6</f>
        <v>372000000</v>
      </c>
      <c r="BY562">
        <f>IFERROR(BX562/BO562,"")</f>
        <v>1.5696202531645569</v>
      </c>
      <c r="BZ562" s="141">
        <v>0</v>
      </c>
      <c r="CA562" s="141">
        <v>0</v>
      </c>
      <c r="CB562" s="141">
        <v>0</v>
      </c>
      <c r="CC562" s="141">
        <v>0</v>
      </c>
      <c r="CD562" s="141">
        <v>0</v>
      </c>
      <c r="CE562" s="141">
        <v>0</v>
      </c>
      <c r="CF562" s="141">
        <v>0</v>
      </c>
      <c r="CG562" s="141">
        <v>0</v>
      </c>
      <c r="CH562" s="141">
        <v>0</v>
      </c>
      <c r="CI562" s="141">
        <v>0</v>
      </c>
      <c r="CJ562" s="141">
        <v>0</v>
      </c>
      <c r="CK562" s="141">
        <v>0</v>
      </c>
      <c r="CL562" s="141">
        <v>0</v>
      </c>
      <c r="CM562" s="141">
        <v>1</v>
      </c>
      <c r="CN562" t="str">
        <f>IF(BL562&lt;BK562,"refNeedCorrection","refOK")</f>
        <v>refOK</v>
      </c>
      <c r="CO562">
        <f>IF($CN562="refOK",$BK562,$BL562)</f>
        <v>2405</v>
      </c>
      <c r="CP562">
        <f>IF($CN562="refOK",$BL562,$BK562)</f>
        <v>2642</v>
      </c>
      <c r="CQ562">
        <f>IF($CN562="refOK",$BO562,-$BO562)</f>
        <v>237000000</v>
      </c>
      <c r="CR562">
        <f>IF($CN562="refOK",$BS562,$BT562)*IF($BP562="Emissions positive",-1,1)</f>
        <v>0</v>
      </c>
      <c r="CS562">
        <f>IF($CN562="refOK",$BT562,$BS562)*IF($BP562="Emissions positive",-1,1)</f>
        <v>0</v>
      </c>
      <c r="CT562">
        <f>IF($CN562="refNeedCorrection",-BX562,BX562)*IF($BP562="Emissions positive",-1,1)</f>
        <v>-372000000</v>
      </c>
      <c r="CU562">
        <f>IFERROR(CT562/CQ562,"")</f>
        <v>-1.5696202531645569</v>
      </c>
      <c r="CV562" s="2" t="str">
        <f>IFERROR((CS562-CR562)/ABS(CR562),"")</f>
        <v/>
      </c>
      <c r="CW562" s="174" t="s">
        <v>1205</v>
      </c>
      <c r="CX562" s="266" t="str">
        <f>IF(OR($CW562="prd",$CW562="std",$CW562="cit"),"loc",IF(OR($CW562="eur",$CW562="reg",$CW562="coy"),"reg",$CW562))</f>
        <v>reg</v>
      </c>
      <c r="CY562" s="141" t="s">
        <v>1303</v>
      </c>
      <c r="CZ562" s="141">
        <v>2016</v>
      </c>
      <c r="DA562" s="163">
        <v>2046</v>
      </c>
      <c r="DB562" s="163">
        <v>30</v>
      </c>
      <c r="DC562" t="str">
        <f>IF(DB562=0,"0",IF(AND(DB562&gt;=1,DB562&lt;=30),"1-30",IF(AND(DB562&gt;30,DB562&lt;=70),"31-70",IF(AND(DB562&gt;70,DB562&lt;=100),"71-100",IF(DB562&gt;100,"+100")))))</f>
        <v>1-30</v>
      </c>
      <c r="DD562" s="141">
        <v>1</v>
      </c>
      <c r="DE562" s="141">
        <v>1</v>
      </c>
      <c r="DF562" s="141">
        <v>0</v>
      </c>
      <c r="DG562" s="141">
        <v>1</v>
      </c>
      <c r="DI562">
        <f>SUM(DD562:DG562)</f>
        <v>3</v>
      </c>
      <c r="DJ562" t="str">
        <f>IF(DI562=1,INDEX($DD$7:$DG$7,MATCH(1,$DD562:$DG562,0)),"mixedProduct")</f>
        <v>mixedProduct</v>
      </c>
      <c r="DK562" t="str">
        <f>IF(DD562=1,DK$7,0)</f>
        <v>Upstream</v>
      </c>
      <c r="DL562" t="str">
        <f>IF(DE562=1,DL$7,0)</f>
        <v>Energy</v>
      </c>
      <c r="DM562">
        <f>IF(DF562=1,DM$7,0)</f>
        <v>0</v>
      </c>
      <c r="DN562" t="str">
        <f>IF(DG562=1,DN$7,0)</f>
        <v>Timber</v>
      </c>
      <c r="DO562" s="163">
        <v>0</v>
      </c>
      <c r="DP562" s="141">
        <v>0</v>
      </c>
      <c r="DQ562" s="163">
        <v>0</v>
      </c>
      <c r="DR562" s="163">
        <v>0</v>
      </c>
      <c r="DS562" s="163">
        <v>0</v>
      </c>
      <c r="DT562">
        <f>SUM(DO562:DP562)</f>
        <v>0</v>
      </c>
      <c r="DU562" s="143" t="str">
        <f>IF(DO562=1,"self-calculated DF",IF(DP562=1,"external DF used","explicit C balance"))</f>
        <v>explicit C balance</v>
      </c>
      <c r="DV562" s="163">
        <v>1</v>
      </c>
      <c r="DW562" s="141">
        <v>1</v>
      </c>
      <c r="DX562" s="163">
        <v>1</v>
      </c>
      <c r="DY562" s="163">
        <v>1</v>
      </c>
      <c r="DZ562" s="141">
        <v>0</v>
      </c>
      <c r="EA562" s="141">
        <v>0</v>
      </c>
      <c r="EB562" s="143">
        <v>0</v>
      </c>
      <c r="EC562" s="141">
        <v>0</v>
      </c>
      <c r="ED562" s="143">
        <v>0</v>
      </c>
      <c r="EE562" s="143">
        <v>0</v>
      </c>
      <c r="EF562" s="141">
        <v>1</v>
      </c>
      <c r="EG562" s="163">
        <v>0</v>
      </c>
      <c r="EH562" s="141">
        <v>0</v>
      </c>
      <c r="EI562" s="177">
        <v>0</v>
      </c>
      <c r="EK562" t="str">
        <f>IF(AND(AND(AND(OR($DX562=1,$DW562=1),OR($EC562=1,$EA562=1)),SUM($DV562:$DZ562,$EF562)&gt;=4),SUM($EA562:$EE562)&gt;=2),"Whole sector","")</f>
        <v/>
      </c>
      <c r="EL562" t="str">
        <f>IF(AND(AND(OR($DX562=1,$DW562=1),AND($EC562=0,$EA562=0)),SUM($DV562:$DZ562,$EF562)&gt;=4),"Ecosystem approach","")</f>
        <v>Ecosystem approach</v>
      </c>
      <c r="EM562" s="2" t="str">
        <f>IF(AND(AND(AND($DX562=0,$DW562=0),OR($EC562=1,$EA562=1)),SUM($EB562:$EE562)&gt;=2),"Technology approach","")</f>
        <v/>
      </c>
      <c r="EN562" s="141"/>
      <c r="EP562" t="str">
        <f>IF(ISNUMBER(BU562),IF(ABS(BU562-[1]QC_indicators!$B$2)&gt;3*[1]QC_indicators!$C$2,"C ratio",IF(ISNUMBER(BY562),IF(ABS(BY562-[1]QC_indicators!$B$1)&gt;3*[1]QC_indicators!$C$1,"DF","no"))),IF(ISNUMBER(BY562),IF(ABS(BY562-[1]QC_indicators!$B$1)&gt;3*[1]QC_indicators!$C$1,"DF","no")))</f>
        <v>no</v>
      </c>
      <c r="ER562" s="296" t="s">
        <v>1304</v>
      </c>
      <c r="ET562" s="266" t="s">
        <v>3409</v>
      </c>
    </row>
    <row r="563" spans="1:151" ht="16.5" customHeight="1">
      <c r="A563" s="174" t="s">
        <v>1288</v>
      </c>
      <c r="B563" s="141" t="s">
        <v>1289</v>
      </c>
      <c r="C563" s="141" t="s">
        <v>1290</v>
      </c>
      <c r="D563" s="141" t="s">
        <v>1291</v>
      </c>
      <c r="E563" s="141" t="s">
        <v>1292</v>
      </c>
      <c r="F563" s="141" t="s">
        <v>1293</v>
      </c>
      <c r="G563" s="141" t="s">
        <v>1294</v>
      </c>
      <c r="H563" s="141"/>
      <c r="I563" s="141">
        <v>2019</v>
      </c>
      <c r="J563" s="141"/>
      <c r="K563" s="141" t="s">
        <v>1295</v>
      </c>
      <c r="L563" s="141"/>
      <c r="M563" t="str">
        <f>LEFT($D563,FIND(",",$D563)-1)&amp;"_"&amp;I563&amp;L563</f>
        <v>Bosch_2019</v>
      </c>
      <c r="N563" t="s">
        <v>223</v>
      </c>
      <c r="O563" s="175" t="s">
        <v>226</v>
      </c>
      <c r="P563" s="141" t="s">
        <v>224</v>
      </c>
      <c r="Q563" s="266" t="s">
        <v>225</v>
      </c>
      <c r="R563" s="271" t="s">
        <v>1156</v>
      </c>
      <c r="S563" s="174" t="s">
        <v>1311</v>
      </c>
      <c r="T563" s="141" t="s">
        <v>1298</v>
      </c>
      <c r="U563" s="141" t="s">
        <v>1312</v>
      </c>
      <c r="V563" s="141">
        <v>0</v>
      </c>
      <c r="W563" s="141">
        <v>0</v>
      </c>
      <c r="X563" s="141">
        <v>1</v>
      </c>
      <c r="Y563" s="141">
        <v>0</v>
      </c>
      <c r="Z563" s="141">
        <v>0</v>
      </c>
      <c r="AA563" s="141">
        <v>0</v>
      </c>
      <c r="AB563" s="141">
        <v>0</v>
      </c>
      <c r="AC563" s="141">
        <v>0</v>
      </c>
      <c r="AD563" s="141">
        <v>0</v>
      </c>
      <c r="AE563" s="141">
        <v>0</v>
      </c>
      <c r="AF563" s="141">
        <v>0</v>
      </c>
      <c r="AG563" s="141">
        <v>0</v>
      </c>
      <c r="AH563" s="141">
        <v>0</v>
      </c>
      <c r="AI563" s="141">
        <v>0</v>
      </c>
      <c r="AJ563" s="141">
        <v>0</v>
      </c>
      <c r="AK563" s="141">
        <v>0</v>
      </c>
      <c r="AL563" s="141">
        <v>0</v>
      </c>
      <c r="AM563" s="141">
        <v>0</v>
      </c>
      <c r="AN563" s="141">
        <v>0</v>
      </c>
      <c r="AO563" s="141">
        <v>0</v>
      </c>
      <c r="AP563" s="141">
        <v>0</v>
      </c>
      <c r="AQ563" s="141">
        <v>0</v>
      </c>
      <c r="AR563" s="141">
        <v>0</v>
      </c>
      <c r="AS563" s="141">
        <v>0</v>
      </c>
      <c r="AT563" s="141">
        <v>0</v>
      </c>
      <c r="AU563" s="141">
        <v>0</v>
      </c>
      <c r="AV563" s="141">
        <v>0</v>
      </c>
      <c r="AW563" s="141">
        <v>0</v>
      </c>
      <c r="AX563" s="141">
        <f>COUNTIF(V563:AW563,"&lt;&gt;0")</f>
        <v>1</v>
      </c>
      <c r="AY563" s="141">
        <f>COUNTIF(V563:AL563,"&lt;&gt;0")</f>
        <v>1</v>
      </c>
      <c r="AZ563">
        <f>COUNTIF(V563:AC563,"&lt;&gt;0")</f>
        <v>1</v>
      </c>
      <c r="BA563">
        <f>COUNTIF(AD563:AI563,"&lt;&gt;0")</f>
        <v>0</v>
      </c>
      <c r="BB563">
        <f>COUNTIF(AJ563:AL563,"&lt;&gt;0")</f>
        <v>0</v>
      </c>
      <c r="BC563">
        <f>COUNTIF(AS563:AW563,"&lt;&gt;0")</f>
        <v>0</v>
      </c>
      <c r="BD563">
        <f>COUNTIF(AM563:AR563,"&lt;&gt;0")</f>
        <v>0</v>
      </c>
      <c r="BE563" t="str" cm="1">
        <f t="array" ref="BE563">IF(AY563=1,INDEX($V$7:$AL$7,MATCH(TRUE,INDEX($V563:$AW563&lt;&gt;0,),0)),IF(AY563=0,INDEX($AM$7:$AW$7,MATCH(1,$AM563:$AW563,0)),IF(BF563="Multiple strategies","mixed drivers",IF(BF563="Supply chain","multiple supply","multiple silviculture"))))</f>
        <v>rotation length</v>
      </c>
      <c r="BF563" s="2" t="str" cm="1">
        <f t="array" ref="BF563">IF(COUNTIF(AZ563:BB563,"&lt;&gt;0")=1,INDEX($V$4:$AW$4,MATCH(TRUE,INDEX($V563:$AW563&lt;&gt;0,),0)),IF(COUNTIF(AZ563:BB563,"&lt;&gt;0")=0,INDEX($AM$4:$AW$4,MATCH(1,$AM563:$AW563,0)),"Multiple strategies"))</f>
        <v>SilvicultureRemov</v>
      </c>
      <c r="BG563" s="173" t="s">
        <v>322</v>
      </c>
      <c r="BH563" s="141" t="s">
        <v>1299</v>
      </c>
      <c r="BI563" s="141" t="s">
        <v>1300</v>
      </c>
      <c r="BJ563" s="163" t="s">
        <v>1301</v>
      </c>
      <c r="BK563" s="163">
        <v>2405</v>
      </c>
      <c r="BL563" s="176">
        <v>2642</v>
      </c>
      <c r="BM563" s="266">
        <f>BL563/BK563</f>
        <v>1.0985446985446985</v>
      </c>
      <c r="BN563">
        <f>BL563-BK563</f>
        <v>237</v>
      </c>
      <c r="BO563" s="158">
        <f>BN563*10^6</f>
        <v>237000000</v>
      </c>
      <c r="BP563" s="266" t="s">
        <v>396</v>
      </c>
      <c r="BQ563" s="266" t="s">
        <v>427</v>
      </c>
      <c r="BR563" s="151" t="s">
        <v>1302</v>
      </c>
      <c r="BS563" s="141"/>
      <c r="BT563" s="163"/>
      <c r="BU563" s="144" t="str">
        <f>IFERROR(BT563/BS563,"")</f>
        <v/>
      </c>
      <c r="BV563" s="176">
        <v>418</v>
      </c>
      <c r="BX563">
        <f>BV563*10^6</f>
        <v>418000000</v>
      </c>
      <c r="BY563">
        <f>IFERROR(BX563/BO563,"")</f>
        <v>1.7637130801687764</v>
      </c>
      <c r="BZ563" s="141">
        <v>0</v>
      </c>
      <c r="CA563" s="141">
        <v>0</v>
      </c>
      <c r="CB563" s="141">
        <v>0</v>
      </c>
      <c r="CC563" s="141">
        <v>0</v>
      </c>
      <c r="CD563" s="141">
        <v>0</v>
      </c>
      <c r="CE563" s="141">
        <v>0</v>
      </c>
      <c r="CF563" s="141">
        <v>0</v>
      </c>
      <c r="CG563" s="141">
        <v>0</v>
      </c>
      <c r="CH563" s="141">
        <v>0</v>
      </c>
      <c r="CI563" s="141">
        <v>0</v>
      </c>
      <c r="CJ563" s="141">
        <v>0</v>
      </c>
      <c r="CK563" s="141">
        <v>0</v>
      </c>
      <c r="CL563" s="141">
        <v>0</v>
      </c>
      <c r="CM563" s="141">
        <v>1</v>
      </c>
      <c r="CN563" t="str">
        <f>IF(BL563&lt;BK563,"refNeedCorrection","refOK")</f>
        <v>refOK</v>
      </c>
      <c r="CO563">
        <f>IF($CN563="refOK",$BK563,$BL563)</f>
        <v>2405</v>
      </c>
      <c r="CP563">
        <f>IF($CN563="refOK",$BL563,$BK563)</f>
        <v>2642</v>
      </c>
      <c r="CQ563">
        <f>IF($CN563="refOK",$BO563,-$BO563)</f>
        <v>237000000</v>
      </c>
      <c r="CR563">
        <f>IF($CN563="refOK",$BS563,$BT563)*IF($BP563="Emissions positive",-1,1)</f>
        <v>0</v>
      </c>
      <c r="CS563">
        <f>IF($CN563="refOK",$BT563,$BS563)*IF($BP563="Emissions positive",-1,1)</f>
        <v>0</v>
      </c>
      <c r="CT563">
        <f>IF($CN563="refNeedCorrection",-BX563,BX563)*IF($BP563="Emissions positive",-1,1)</f>
        <v>-418000000</v>
      </c>
      <c r="CU563">
        <f>IFERROR(CT563/CQ563,"")</f>
        <v>-1.7637130801687764</v>
      </c>
      <c r="CV563" s="2" t="str">
        <f>IFERROR((CS563-CR563)/ABS(CR563),"")</f>
        <v/>
      </c>
      <c r="CW563" s="174" t="s">
        <v>1205</v>
      </c>
      <c r="CX563" s="266" t="str">
        <f>IF(OR($CW563="prd",$CW563="std",$CW563="cit"),"loc",IF(OR($CW563="eur",$CW563="reg",$CW563="coy"),"reg",$CW563))</f>
        <v>reg</v>
      </c>
      <c r="CY563" s="141" t="s">
        <v>1303</v>
      </c>
      <c r="CZ563" s="141">
        <v>2016</v>
      </c>
      <c r="DA563" s="163">
        <v>2046</v>
      </c>
      <c r="DB563" s="163">
        <v>30</v>
      </c>
      <c r="DC563" t="str">
        <f>IF(DB563=0,"0",IF(AND(DB563&gt;=1,DB563&lt;=30),"1-30",IF(AND(DB563&gt;30,DB563&lt;=70),"31-70",IF(AND(DB563&gt;70,DB563&lt;=100),"71-100",IF(DB563&gt;100,"+100")))))</f>
        <v>1-30</v>
      </c>
      <c r="DD563" s="141">
        <v>1</v>
      </c>
      <c r="DE563" s="141">
        <v>1</v>
      </c>
      <c r="DF563" s="141">
        <v>0</v>
      </c>
      <c r="DG563" s="141">
        <v>1</v>
      </c>
      <c r="DI563">
        <f>SUM(DD563:DG563)</f>
        <v>3</v>
      </c>
      <c r="DJ563" t="str">
        <f>IF(DI563=1,INDEX($DD$7:$DG$7,MATCH(1,$DD563:$DG563,0)),"mixedProduct")</f>
        <v>mixedProduct</v>
      </c>
      <c r="DK563" t="str">
        <f>IF(DD563=1,DK$7,0)</f>
        <v>Upstream</v>
      </c>
      <c r="DL563" t="str">
        <f>IF(DE563=1,DL$7,0)</f>
        <v>Energy</v>
      </c>
      <c r="DM563">
        <f>IF(DF563=1,DM$7,0)</f>
        <v>0</v>
      </c>
      <c r="DN563" t="str">
        <f>IF(DG563=1,DN$7,0)</f>
        <v>Timber</v>
      </c>
      <c r="DO563" s="163">
        <v>0</v>
      </c>
      <c r="DP563" s="141">
        <v>0</v>
      </c>
      <c r="DQ563" s="163">
        <v>0</v>
      </c>
      <c r="DR563" s="163">
        <v>0</v>
      </c>
      <c r="DS563" s="163">
        <v>0</v>
      </c>
      <c r="DT563">
        <f>SUM(DO563:DP563)</f>
        <v>0</v>
      </c>
      <c r="DU563" s="143" t="str">
        <f>IF(DO563=1,"self-calculated DF",IF(DP563=1,"external DF used","explicit C balance"))</f>
        <v>explicit C balance</v>
      </c>
      <c r="DV563" s="163">
        <v>1</v>
      </c>
      <c r="DW563" s="141">
        <v>1</v>
      </c>
      <c r="DX563" s="163">
        <v>1</v>
      </c>
      <c r="DY563" s="163">
        <v>0</v>
      </c>
      <c r="DZ563" s="141">
        <v>0</v>
      </c>
      <c r="EA563" s="141">
        <v>0</v>
      </c>
      <c r="EB563" s="143">
        <v>0</v>
      </c>
      <c r="EC563" s="141">
        <v>0</v>
      </c>
      <c r="ED563" s="143">
        <v>0</v>
      </c>
      <c r="EE563" s="143">
        <v>0</v>
      </c>
      <c r="EF563" s="141">
        <v>1</v>
      </c>
      <c r="EG563" s="163">
        <v>0</v>
      </c>
      <c r="EH563" s="141">
        <v>0</v>
      </c>
      <c r="EI563" s="177">
        <v>0</v>
      </c>
      <c r="EK563" t="str">
        <f>IF(AND(AND(AND(OR($DX563=1,$DW563=1),OR($EC563=1,$EA563=1)),SUM($DV563:$DZ563,$EF563)&gt;=4),SUM($EA563:$EE563)&gt;=2),"Whole sector","")</f>
        <v/>
      </c>
      <c r="EL563" t="str">
        <f>IF(AND(AND(OR($DX563=1,$DW563=1),AND($EC563=0,$EA563=0)),SUM($DV563:$DZ563,$EF563)&gt;=4),"Ecosystem approach","")</f>
        <v>Ecosystem approach</v>
      </c>
      <c r="EM563" s="2" t="str">
        <f>IF(AND(AND(AND($DX563=0,$DW563=0),OR($EC563=1,$EA563=1)),SUM($EB563:$EE563)&gt;=2),"Technology approach","")</f>
        <v/>
      </c>
      <c r="EN563" s="141"/>
      <c r="EP563" t="str">
        <f>IF(ISNUMBER(BU563),IF(ABS(BU563-[1]QC_indicators!$B$2)&gt;3*[1]QC_indicators!$C$2,"C ratio",IF(ISNUMBER(BY563),IF(ABS(BY563-[1]QC_indicators!$B$1)&gt;3*[1]QC_indicators!$C$1,"DF","no"))),IF(ISNUMBER(BY563),IF(ABS(BY563-[1]QC_indicators!$B$1)&gt;3*[1]QC_indicators!$C$1,"DF","no")))</f>
        <v>no</v>
      </c>
      <c r="ER563" s="296" t="s">
        <v>1304</v>
      </c>
      <c r="ET563" s="266" t="s">
        <v>3409</v>
      </c>
    </row>
    <row r="564" spans="1:151" ht="14" customHeight="1">
      <c r="A564" s="1" t="s">
        <v>1380</v>
      </c>
      <c r="B564" t="s">
        <v>2573</v>
      </c>
      <c r="C564" t="s">
        <v>2574</v>
      </c>
      <c r="D564" t="s">
        <v>2575</v>
      </c>
      <c r="E564" t="s">
        <v>2576</v>
      </c>
      <c r="F564" t="s">
        <v>2577</v>
      </c>
      <c r="G564" t="s">
        <v>1386</v>
      </c>
      <c r="H564" t="s">
        <v>255</v>
      </c>
      <c r="I564">
        <v>2019</v>
      </c>
      <c r="J564">
        <v>6</v>
      </c>
      <c r="K564" t="s">
        <v>2578</v>
      </c>
      <c r="M564" t="str">
        <f>LEFT($D564,FIND(",",$D564)-1)&amp;"_"&amp;I564&amp;L564</f>
        <v>Mendelsohn_2019</v>
      </c>
      <c r="N564" t="s">
        <v>223</v>
      </c>
      <c r="O564" s="145" t="s">
        <v>226</v>
      </c>
      <c r="Q564" t="s">
        <v>257</v>
      </c>
      <c r="R564" s="264" t="s">
        <v>224</v>
      </c>
      <c r="S564" s="1" t="s">
        <v>2579</v>
      </c>
      <c r="T564" t="s">
        <v>2580</v>
      </c>
      <c r="U564" s="143" t="s">
        <v>2581</v>
      </c>
      <c r="V564">
        <v>1</v>
      </c>
      <c r="W564">
        <v>0</v>
      </c>
      <c r="X564">
        <v>0</v>
      </c>
      <c r="Y564">
        <v>0</v>
      </c>
      <c r="Z564">
        <v>0</v>
      </c>
      <c r="AA564">
        <v>0</v>
      </c>
      <c r="AB564">
        <v>0</v>
      </c>
      <c r="AC564">
        <v>0</v>
      </c>
      <c r="AD564">
        <v>0</v>
      </c>
      <c r="AE564">
        <v>0</v>
      </c>
      <c r="AF564">
        <v>0</v>
      </c>
      <c r="AG564">
        <v>0</v>
      </c>
      <c r="AH564">
        <v>0</v>
      </c>
      <c r="AI564">
        <v>0</v>
      </c>
      <c r="AJ564">
        <v>0</v>
      </c>
      <c r="AK564">
        <v>0</v>
      </c>
      <c r="AL564">
        <v>0</v>
      </c>
      <c r="AM564">
        <v>0</v>
      </c>
      <c r="AN564">
        <v>0</v>
      </c>
      <c r="AO564">
        <v>0</v>
      </c>
      <c r="AP564">
        <v>1</v>
      </c>
      <c r="AQ564">
        <v>1</v>
      </c>
      <c r="AR564">
        <v>0</v>
      </c>
      <c r="AS564">
        <v>0</v>
      </c>
      <c r="AT564">
        <v>0</v>
      </c>
      <c r="AU564">
        <v>1</v>
      </c>
      <c r="AV564">
        <v>0</v>
      </c>
      <c r="AW564">
        <v>0</v>
      </c>
      <c r="AX564" s="141">
        <f>COUNTIF(V564:AW564,"&lt;&gt;0")</f>
        <v>4</v>
      </c>
      <c r="AY564" s="141">
        <f>COUNTIF(V564:AL564,"&lt;&gt;0")</f>
        <v>1</v>
      </c>
      <c r="AZ564">
        <f>COUNTIF(V564:AC564,"&lt;&gt;0")</f>
        <v>1</v>
      </c>
      <c r="BA564">
        <f>COUNTIF(AD564:AI564,"&lt;&gt;0")</f>
        <v>0</v>
      </c>
      <c r="BB564">
        <f>COUNTIF(AJ564:AL564,"&lt;&gt;0")</f>
        <v>0</v>
      </c>
      <c r="BC564">
        <f>COUNTIF(AS564:AW564,"&lt;&gt;0")</f>
        <v>1</v>
      </c>
      <c r="BD564">
        <f>COUNTIF(AM564:AR564,"&lt;&gt;0")</f>
        <v>2</v>
      </c>
      <c r="BE564" t="str">
        <f t="array" ref="BE564">IF(AY564=1,INDEX($V$7:$AL$7,MATCH(TRUE,INDEX($V564:$AW564&lt;&gt;0,),0)),IF(AY564=0,INDEX($AM$7:$AW$7,MATCH(1,$AM564:$AW564,0)),IF(BF564="Multiple strategies","mixed drivers",IF(BF564="Supply chain","multiple supply","multiple silviculture"))))</f>
        <v>area subject to harvest</v>
      </c>
      <c r="BF564" s="2" t="str" cm="1">
        <f t="array" ref="BF564">IF(COUNTIF(AZ564:BB564,"&lt;&gt;0")=1,INDEX($V$4:$AW$4,MATCH(TRUE,INDEX($V564:$AW564&lt;&gt;0,),0)),IF(COUNTIF(AZ564:BB564,"&lt;&gt;0")=0,INDEX($AM$4:$AW$4,MATCH(1,$AM564:$AW564,0)),"Multiple strategies"))</f>
        <v>SilvicultureRemov</v>
      </c>
      <c r="BG564" s="142" t="s">
        <v>322</v>
      </c>
      <c r="BH564" t="s">
        <v>2582</v>
      </c>
      <c r="BI564" s="266" t="s">
        <v>2613</v>
      </c>
      <c r="BJ564" s="143" t="s">
        <v>2229</v>
      </c>
      <c r="BK564">
        <v>0</v>
      </c>
      <c r="BL564" s="143">
        <v>100444.50859993362</v>
      </c>
      <c r="BM564" s="143"/>
      <c r="BN564">
        <f>BL564-BK564</f>
        <v>100444.50859993362</v>
      </c>
      <c r="BO564" s="143">
        <f>BN564*10^6</f>
        <v>100444508599.93361</v>
      </c>
      <c r="BP564" t="s">
        <v>233</v>
      </c>
      <c r="BQ564" s="153" t="s">
        <v>425</v>
      </c>
      <c r="BR564" t="s">
        <v>2583</v>
      </c>
      <c r="BS564" s="143">
        <v>185.5</v>
      </c>
      <c r="BT564">
        <v>93.8</v>
      </c>
      <c r="BU564" s="144">
        <v>0.50566037735849056</v>
      </c>
      <c r="BV564">
        <f>BT564-BS564</f>
        <v>-91.7</v>
      </c>
      <c r="BX564">
        <f>BV564*10^9</f>
        <v>-91700000000</v>
      </c>
      <c r="BY564">
        <f>IFERROR(BX564/BO564,"")</f>
        <v>-0.91294189476537113</v>
      </c>
      <c r="BZ564">
        <v>0</v>
      </c>
      <c r="CA564">
        <v>0</v>
      </c>
      <c r="CB564">
        <v>0</v>
      </c>
      <c r="CC564">
        <v>0</v>
      </c>
      <c r="CD564">
        <v>0</v>
      </c>
      <c r="CE564">
        <v>0</v>
      </c>
      <c r="CF564">
        <v>0</v>
      </c>
      <c r="CG564">
        <v>0</v>
      </c>
      <c r="CH564">
        <v>0</v>
      </c>
      <c r="CI564">
        <v>0</v>
      </c>
      <c r="CJ564">
        <v>0</v>
      </c>
      <c r="CK564">
        <v>0</v>
      </c>
      <c r="CL564">
        <v>0</v>
      </c>
      <c r="CM564">
        <v>0</v>
      </c>
      <c r="CN564" t="str">
        <f>IF($BL564&lt;$BK564,"refNeedCorrection","refOK")</f>
        <v>refOK</v>
      </c>
      <c r="CO564">
        <f>IF($CN564="refNeedCorrection",BL564,BK564)</f>
        <v>0</v>
      </c>
      <c r="CP564">
        <f>IF($CN564="refNeedCorrection",BK564,BL564)</f>
        <v>100444.50859993362</v>
      </c>
      <c r="CQ564">
        <f>IF($CN564="refOK",$BO564,-$BO564)</f>
        <v>100444508599.93361</v>
      </c>
      <c r="CR564">
        <f>IF($CN564="refOK",$BS564,$BT564)*IF($BP564="Emissions positive",-1,1)</f>
        <v>185.5</v>
      </c>
      <c r="CS564">
        <f>IF($CN564="refOK",$BT564,$BS564)*IF($BP564="Emissions positive",-1,1)</f>
        <v>93.8</v>
      </c>
      <c r="CT564">
        <f>IF($CN564="refNeedCorrection",-BX564,BX564)*IF($BP564="Emissions positive",-1,1)</f>
        <v>-91700000000</v>
      </c>
      <c r="CU564">
        <f>IFERROR(CT564/CQ564,"")</f>
        <v>-0.91294189476537113</v>
      </c>
      <c r="CV564" s="2">
        <f>IFERROR((CS564-CR564)/ABS(CR564),"")</f>
        <v>-0.49433962264150944</v>
      </c>
      <c r="CW564" s="1" t="s">
        <v>2541</v>
      </c>
      <c r="CX564" t="str">
        <f>IF(OR($CW564="prd",$CW564="std",$CW564="cit"),"loc",IF(OR($CW564="eur",$CW564="reg",$CW564="coy"),"reg",$CW564))</f>
        <v>w</v>
      </c>
      <c r="CY564" t="s">
        <v>2542</v>
      </c>
      <c r="CZ564" s="143">
        <v>1901</v>
      </c>
      <c r="DA564" s="143">
        <v>2010</v>
      </c>
      <c r="DB564" s="143">
        <v>110</v>
      </c>
      <c r="DC564" t="str">
        <f>IF(DB564=0,"0",IF(AND(DB564&gt;=1,DB564&lt;=30),"1-30",IF(AND(DB564&gt;30,DB564&lt;=70),"31-70",IF(AND(DB564&gt;70,DB564&lt;=100),"71-100",IF(DB564&gt;100,"+100")))))</f>
        <v>+100</v>
      </c>
      <c r="DD564">
        <v>1</v>
      </c>
      <c r="DE564">
        <v>0</v>
      </c>
      <c r="DF564">
        <v>0</v>
      </c>
      <c r="DG564">
        <v>0</v>
      </c>
      <c r="DI564">
        <f>SUM(DD564:DG564)</f>
        <v>1</v>
      </c>
      <c r="DJ564" t="str">
        <f>IF(DI564=1,INDEX($DD$7:$DG$7,MATCH(1,$DD564:$DG564,0)),"mixedProduct")</f>
        <v>UpstreamInput</v>
      </c>
      <c r="DK564" t="str">
        <f>IF(DD564=1,DK$7,0)</f>
        <v>Upstream</v>
      </c>
      <c r="DL564">
        <f>IF(DE564=1,DL$7,0)</f>
        <v>0</v>
      </c>
      <c r="DM564">
        <f>IF(DF564=1,DM$7,0)</f>
        <v>0</v>
      </c>
      <c r="DN564">
        <f>IF(DG564=1,DN$7,0)</f>
        <v>0</v>
      </c>
      <c r="DO564">
        <v>0</v>
      </c>
      <c r="DP564" s="143">
        <v>0</v>
      </c>
      <c r="DQ564" s="143">
        <v>0</v>
      </c>
      <c r="DR564">
        <v>0</v>
      </c>
      <c r="DS564" s="143">
        <v>0</v>
      </c>
      <c r="DT564">
        <f>SUM(DO564:DP564)</f>
        <v>0</v>
      </c>
      <c r="DU564" s="143" t="str">
        <f>IF(DO564=1,"self-calculated DF",IF(DP564=1,"external DF used","explicit C balance"))</f>
        <v>explicit C balance</v>
      </c>
      <c r="DV564" s="143">
        <v>1</v>
      </c>
      <c r="DW564" s="143">
        <v>1</v>
      </c>
      <c r="DX564" s="143">
        <v>1</v>
      </c>
      <c r="DY564" s="143">
        <v>1</v>
      </c>
      <c r="DZ564">
        <v>1</v>
      </c>
      <c r="EA564" s="143">
        <v>0</v>
      </c>
      <c r="EB564" s="143">
        <v>0</v>
      </c>
      <c r="EC564">
        <v>0</v>
      </c>
      <c r="ED564" s="143">
        <v>0</v>
      </c>
      <c r="EE564">
        <v>0</v>
      </c>
      <c r="EF564">
        <v>0</v>
      </c>
      <c r="EG564" s="143">
        <v>0</v>
      </c>
      <c r="EH564">
        <v>0</v>
      </c>
      <c r="EI564" s="2">
        <v>0</v>
      </c>
      <c r="EK564" t="str">
        <f>IF(AND(AND(AND(OR($DX564=1,$DW564=1),OR($EC564=1,$EA564=1)),SUM($DV564:$DZ564,$EF564)&gt;=4),SUM($EA564:$EE564)&gt;=2),"Whole sector","")</f>
        <v/>
      </c>
      <c r="EL564" t="str">
        <f>IF(AND(AND(OR($DX564=1,$DW564=1),AND($EC564=0,$EA564=0)),SUM($DV564:$DZ564,$EF564)&gt;=4),"Ecosystem approach","")</f>
        <v>Ecosystem approach</v>
      </c>
      <c r="EM564" s="2" t="str">
        <f>IF(AND(AND(AND($DX564=0,$DW564=0),OR($EC564=1,$EA564=1)),SUM($EB564:$EE564)&gt;=2),"Technology approach","")</f>
        <v/>
      </c>
      <c r="EP564" t="str">
        <f>IF(ISNUMBER(BU564),IF(ABS(BU564-[2]QC_indicators!$B$2)&gt;3*[2]QC_indicators!$C$2,"C ratio",IF(ISNUMBER(BY564),IF(ABS(BY564-[2]QC_indicators!$B$1)&gt;3*[2]QC_indicators!$C$1,"DF","no"))),IF(ISNUMBER(BY564),IF(ABS(BY564-[2]QC_indicators!$B$1)&gt;3*[2]QC_indicators!$C$1,"DF","no")))</f>
        <v>no</v>
      </c>
      <c r="ER564" s="149" t="s">
        <v>350</v>
      </c>
      <c r="ET564" s="266" t="s">
        <v>3180</v>
      </c>
    </row>
    <row r="565" spans="1:151" ht="15" customHeight="1">
      <c r="A565" s="1" t="s">
        <v>1380</v>
      </c>
      <c r="B565" t="s">
        <v>1744</v>
      </c>
      <c r="C565" t="s">
        <v>1745</v>
      </c>
      <c r="D565" t="s">
        <v>1746</v>
      </c>
      <c r="E565" t="s">
        <v>1747</v>
      </c>
      <c r="F565" t="s">
        <v>1748</v>
      </c>
      <c r="G565" t="s">
        <v>1386</v>
      </c>
      <c r="H565" t="s">
        <v>255</v>
      </c>
      <c r="I565">
        <v>2019</v>
      </c>
      <c r="J565">
        <v>1</v>
      </c>
      <c r="K565" t="s">
        <v>1749</v>
      </c>
      <c r="M565" t="str">
        <f>LEFT($D565,FIND(",",$D565)-1)&amp;"_"&amp;I565&amp;L565</f>
        <v>Jones_2019</v>
      </c>
      <c r="N565" t="s">
        <v>223</v>
      </c>
      <c r="O565" s="171" t="s">
        <v>514</v>
      </c>
      <c r="P565" t="s">
        <v>962</v>
      </c>
      <c r="Q565" t="s">
        <v>390</v>
      </c>
      <c r="R565" s="271" t="s">
        <v>275</v>
      </c>
      <c r="S565" s="1" t="s">
        <v>1750</v>
      </c>
      <c r="T565" t="s">
        <v>1751</v>
      </c>
      <c r="U565" t="s">
        <v>1752</v>
      </c>
      <c r="V565" s="276">
        <v>1</v>
      </c>
      <c r="W565" s="276">
        <v>0</v>
      </c>
      <c r="X565" s="276">
        <v>0</v>
      </c>
      <c r="Y565" s="276">
        <v>0</v>
      </c>
      <c r="Z565" s="276">
        <v>0</v>
      </c>
      <c r="AA565" s="276">
        <v>0</v>
      </c>
      <c r="AB565" s="276">
        <v>0</v>
      </c>
      <c r="AC565" s="276">
        <v>0</v>
      </c>
      <c r="AD565" s="276">
        <v>0</v>
      </c>
      <c r="AE565" s="276">
        <v>0</v>
      </c>
      <c r="AF565" s="276">
        <v>0</v>
      </c>
      <c r="AG565" s="276">
        <v>0</v>
      </c>
      <c r="AH565" s="276">
        <v>0</v>
      </c>
      <c r="AI565" s="276">
        <v>0</v>
      </c>
      <c r="AJ565" s="276">
        <v>0</v>
      </c>
      <c r="AK565" s="276">
        <v>0</v>
      </c>
      <c r="AL565" s="276">
        <v>0</v>
      </c>
      <c r="AM565" s="276">
        <v>0</v>
      </c>
      <c r="AN565" s="276">
        <v>0</v>
      </c>
      <c r="AO565" s="276">
        <v>0</v>
      </c>
      <c r="AP565" s="276">
        <v>0</v>
      </c>
      <c r="AQ565" s="276">
        <v>0</v>
      </c>
      <c r="AR565" s="276">
        <v>0</v>
      </c>
      <c r="AS565" s="276">
        <v>0</v>
      </c>
      <c r="AT565" s="276">
        <v>2</v>
      </c>
      <c r="AU565" s="276">
        <v>0</v>
      </c>
      <c r="AV565" s="276">
        <v>0</v>
      </c>
      <c r="AW565" s="276">
        <v>2</v>
      </c>
      <c r="AX565" s="141">
        <f>COUNTIF(V565:AW565,"&lt;&gt;0")</f>
        <v>3</v>
      </c>
      <c r="AY565" s="141">
        <f>COUNTIF(V565:AL565,"&lt;&gt;0")</f>
        <v>1</v>
      </c>
      <c r="AZ565">
        <f>COUNTIF(V565:AC565,"&lt;&gt;0")</f>
        <v>1</v>
      </c>
      <c r="BA565">
        <f>COUNTIF(AD565:AI565,"&lt;&gt;0")</f>
        <v>0</v>
      </c>
      <c r="BB565">
        <f>COUNTIF(AJ565:AL565,"&lt;&gt;0")</f>
        <v>0</v>
      </c>
      <c r="BC565">
        <f>COUNTIF(AS565:AW565,"&lt;&gt;0")</f>
        <v>2</v>
      </c>
      <c r="BD565">
        <f>COUNTIF(AM565:AR565,"&lt;&gt;0")</f>
        <v>0</v>
      </c>
      <c r="BE565" s="276" t="str">
        <f t="array" ref="BE565">IF(AY565=1,INDEX($V$7:$AL$7,MATCH(TRUE,INDEX($V565:$AW565&lt;&gt;0,),0)),IF(AY565=0,INDEX($AM$7:$AW$7,MATCH(1,$AM565:$AW565,0)),IF(BF565="Multiple strategies","mixed drivers",IF(BF565="Supply chain","multiple supply","multiple silviculture"))))</f>
        <v>area subject to harvest</v>
      </c>
      <c r="BF565" s="2" t="str" cm="1">
        <f t="array" ref="BF565">IF(COUNTIF(AZ565:BB565,"&lt;&gt;0")=1,INDEX($V$4:$AW$4,MATCH(TRUE,INDEX($V565:$AW565&lt;&gt;0,),0)),IF(COUNTIF(AZ565:BB565,"&lt;&gt;0")=0,INDEX($AM$4:$AW$4,MATCH(1,$AM565:$AW565,0)),"Multiple strategies"))</f>
        <v>SilvicultureRemov</v>
      </c>
      <c r="BG565" s="1" t="s">
        <v>322</v>
      </c>
      <c r="BH565" t="s">
        <v>1753</v>
      </c>
      <c r="BI565" t="s">
        <v>1754</v>
      </c>
      <c r="BJ565" t="s">
        <v>499</v>
      </c>
      <c r="BK565">
        <v>2099896818181.8174</v>
      </c>
      <c r="BL565">
        <v>2126067159090.9072</v>
      </c>
      <c r="BM565" t="s">
        <v>545</v>
      </c>
      <c r="BN565">
        <f>BL565-BK565</f>
        <v>26170340909.089844</v>
      </c>
      <c r="BO565">
        <f>BN565</f>
        <v>26170340909.089844</v>
      </c>
      <c r="BP565" t="s">
        <v>396</v>
      </c>
      <c r="BQ565" t="s">
        <v>1755</v>
      </c>
      <c r="BR565" t="s">
        <v>1756</v>
      </c>
      <c r="BS565">
        <v>-5630630.6306306301</v>
      </c>
      <c r="BT565">
        <v>-9234234.2342342511</v>
      </c>
      <c r="BU565" s="144">
        <v>1.6400000000000032</v>
      </c>
      <c r="BV565" s="152">
        <v>-3603603.603603621</v>
      </c>
      <c r="BX565" s="152">
        <f>BV565</f>
        <v>-3603603.603603621</v>
      </c>
      <c r="BY565">
        <f>IFERROR(BX565/BO565,"")</f>
        <v>-1.3769800004217629E-4</v>
      </c>
      <c r="BZ565">
        <v>0</v>
      </c>
      <c r="CA565">
        <v>0</v>
      </c>
      <c r="CB565">
        <v>0</v>
      </c>
      <c r="CC565">
        <v>0</v>
      </c>
      <c r="CD565">
        <v>0</v>
      </c>
      <c r="CE565">
        <v>0</v>
      </c>
      <c r="CF565">
        <v>0</v>
      </c>
      <c r="CG565">
        <v>0</v>
      </c>
      <c r="CH565">
        <v>0</v>
      </c>
      <c r="CI565">
        <v>0</v>
      </c>
      <c r="CJ565">
        <v>0</v>
      </c>
      <c r="CK565">
        <v>0</v>
      </c>
      <c r="CL565">
        <v>0</v>
      </c>
      <c r="CM565">
        <v>0</v>
      </c>
      <c r="CN565" t="str">
        <f>IF($BL565&lt;$BK565,"refNeedCorrection","refOK")</f>
        <v>refOK</v>
      </c>
      <c r="CO565">
        <f>IF($CN565="refOK",$BK565,$BL565)</f>
        <v>2099896818181.8174</v>
      </c>
      <c r="CP565">
        <f>IF($CN565="refOK",$BL565,$BK565)</f>
        <v>2126067159090.9072</v>
      </c>
      <c r="CQ565">
        <f>IF($CN565="refOK",$BO565,-$BO565)</f>
        <v>26170340909.089844</v>
      </c>
      <c r="CR565">
        <f>IF($CN565="refOK",$BS565,$BT565)*IF($BP565="Emissions positive",-1,1)</f>
        <v>5630630.6306306301</v>
      </c>
      <c r="CS565">
        <f>IF($CN565="refOK",$BT565,$BS565)*IF($BP565="Emissions positive",-1,1)</f>
        <v>9234234.2342342511</v>
      </c>
      <c r="CT565">
        <f>IF($CN565="refNeedCorrection",-BX565,BX565)*IF($BP565="Emissions positive",-1,1)</f>
        <v>3603603.603603621</v>
      </c>
      <c r="CU565">
        <f>IFERROR(CT565/CQ565,"")</f>
        <v>1.3769800004217629E-4</v>
      </c>
      <c r="CV565" s="2">
        <f>IFERROR((CS565-CR565)/ABS(CR565),"")</f>
        <v>0.64000000000000312</v>
      </c>
      <c r="CW565" s="1" t="s">
        <v>1201</v>
      </c>
      <c r="CX565" t="str">
        <f>IF(OR($CW565="prd",$CW565="std",$CW565="cit"),"loc",IF(OR($CW565="eur",$CW565="reg",$CW565="coy"),"reg",$CW565))</f>
        <v>reg</v>
      </c>
      <c r="CY565" t="s">
        <v>429</v>
      </c>
      <c r="CZ565">
        <v>2015</v>
      </c>
      <c r="DA565">
        <v>2060</v>
      </c>
      <c r="DB565">
        <v>0</v>
      </c>
      <c r="DC565" t="str">
        <f>IF(DB565=0,"0",IF(AND(DB565&gt;=1,DB565&lt;=30),"1-30",IF(AND(DB565&gt;30,DB565&lt;=70),"31-70",IF(AND(DB565&gt;70,DB565&lt;=100),"71-100",IF(DB565&gt;100,"+100")))))</f>
        <v>0</v>
      </c>
      <c r="DD565">
        <v>1</v>
      </c>
      <c r="DE565">
        <v>0</v>
      </c>
      <c r="DF565">
        <v>0</v>
      </c>
      <c r="DG565">
        <v>0</v>
      </c>
      <c r="DH565">
        <v>0</v>
      </c>
      <c r="DI565">
        <v>1</v>
      </c>
      <c r="DJ565" t="str">
        <f>IF(DI565=1,INDEX($DD$7:$DG$7,MATCH(1,$DD565:$DG565,0)),"mixedProduct")</f>
        <v>UpstreamInput</v>
      </c>
      <c r="DK565" t="str">
        <f>IF(DD565=1,DK$7,0)</f>
        <v>Upstream</v>
      </c>
      <c r="DL565">
        <f>IF(DE565=1,DL$7,0)</f>
        <v>0</v>
      </c>
      <c r="DM565">
        <f>IF(DF565=1,DM$7,0)</f>
        <v>0</v>
      </c>
      <c r="DN565">
        <f>IF(DG565=1,DN$7,0)</f>
        <v>0</v>
      </c>
      <c r="DO565">
        <v>0</v>
      </c>
      <c r="DP565">
        <v>0</v>
      </c>
      <c r="DQ565">
        <v>0</v>
      </c>
      <c r="DR565">
        <v>0</v>
      </c>
      <c r="DS565">
        <v>0</v>
      </c>
      <c r="DT565">
        <f>SUM(DO565:DP565)</f>
        <v>0</v>
      </c>
      <c r="DU565" s="143" t="s">
        <v>964</v>
      </c>
      <c r="DV565">
        <v>1</v>
      </c>
      <c r="DW565">
        <v>1</v>
      </c>
      <c r="DX565">
        <v>1</v>
      </c>
      <c r="DY565">
        <v>0</v>
      </c>
      <c r="DZ565">
        <v>0</v>
      </c>
      <c r="EA565" s="143">
        <v>0</v>
      </c>
      <c r="EB565">
        <v>0</v>
      </c>
      <c r="EC565">
        <v>0</v>
      </c>
      <c r="ED565">
        <v>0</v>
      </c>
      <c r="EE565">
        <v>0</v>
      </c>
      <c r="EF565">
        <v>1</v>
      </c>
      <c r="EG565">
        <v>0</v>
      </c>
      <c r="EH565">
        <v>1</v>
      </c>
      <c r="EI565" s="2">
        <v>0</v>
      </c>
      <c r="EK565" t="str">
        <f>IF(AND(AND(AND(OR($DX565=1,$DW565=1),OR($EC565=1,$EA565=1)),SUM($DV565:$DZ565,$EF565)&gt;=4),SUM($EA565:$EE565)&gt;=2),"Whole sector","")</f>
        <v/>
      </c>
      <c r="EL565" t="str">
        <f>IF(AND(AND(OR($DX565=1,$DW565=1),AND($EC565=0,$EA565=0)),SUM($DV565:$DZ565,$EF565)&gt;=4),"Ecosystem approach","")</f>
        <v>Ecosystem approach</v>
      </c>
      <c r="EM565" s="2" t="str">
        <f>IF(AND(AND(AND($DX565=0,$DW565=0),OR($EC565=1,$EA565=1)),SUM($EB565:$EE565)&gt;=2),"Technology approach","")</f>
        <v/>
      </c>
      <c r="EP565" t="str">
        <f>IF(ISNUMBER(BU565),IF(ABS(BU565-[3]QC_indicators!$B$2)&gt;3*[3]QC_indicators!$C$2,"C ratio",IF(ISNUMBER(BY565),IF(ABS(BY565-[3]QC_indicators!$B$1)&gt;3*[3]QC_indicators!$C$1,"DF","no"))),IF(ISNUMBER(BY565),IF(ABS(BY565-[3]QC_indicators!$B$1)&gt;3*[3]QC_indicators!$C$1,"DF","no")))</f>
        <v>no</v>
      </c>
      <c r="ER565" t="s">
        <v>1757</v>
      </c>
      <c r="ET565" s="266" t="s">
        <v>3269</v>
      </c>
      <c r="EU565" s="266"/>
    </row>
    <row r="566" spans="1:151" ht="15" customHeight="1">
      <c r="A566" s="1" t="s">
        <v>1380</v>
      </c>
      <c r="B566" t="s">
        <v>1744</v>
      </c>
      <c r="C566" t="s">
        <v>1745</v>
      </c>
      <c r="D566" t="s">
        <v>1746</v>
      </c>
      <c r="E566" t="s">
        <v>1747</v>
      </c>
      <c r="F566" t="s">
        <v>1748</v>
      </c>
      <c r="G566" t="s">
        <v>1386</v>
      </c>
      <c r="H566" t="s">
        <v>255</v>
      </c>
      <c r="I566">
        <v>2019</v>
      </c>
      <c r="J566">
        <v>1</v>
      </c>
      <c r="K566" t="s">
        <v>1749</v>
      </c>
      <c r="M566" t="str">
        <f>LEFT($D566,FIND(",",$D566)-1)&amp;"_"&amp;I566&amp;L566</f>
        <v>Jones_2019</v>
      </c>
      <c r="N566" t="s">
        <v>223</v>
      </c>
      <c r="O566" s="171" t="s">
        <v>514</v>
      </c>
      <c r="P566" t="s">
        <v>962</v>
      </c>
      <c r="Q566" t="s">
        <v>390</v>
      </c>
      <c r="R566" s="271" t="s">
        <v>275</v>
      </c>
      <c r="S566" s="1" t="s">
        <v>1758</v>
      </c>
      <c r="T566" t="s">
        <v>1759</v>
      </c>
      <c r="U566" t="s">
        <v>1752</v>
      </c>
      <c r="V566" s="276">
        <v>1</v>
      </c>
      <c r="W566" s="276">
        <v>0</v>
      </c>
      <c r="X566" s="276">
        <v>0</v>
      </c>
      <c r="Y566" s="276">
        <v>0</v>
      </c>
      <c r="Z566" s="276">
        <v>0</v>
      </c>
      <c r="AA566" s="276">
        <v>0</v>
      </c>
      <c r="AB566" s="276">
        <v>0</v>
      </c>
      <c r="AC566" s="276">
        <v>0</v>
      </c>
      <c r="AD566" s="276">
        <v>0</v>
      </c>
      <c r="AE566" s="276">
        <v>0</v>
      </c>
      <c r="AF566" s="276">
        <v>0</v>
      </c>
      <c r="AG566" s="276">
        <v>0</v>
      </c>
      <c r="AH566" s="276">
        <v>0</v>
      </c>
      <c r="AI566" s="276">
        <v>0</v>
      </c>
      <c r="AJ566" s="276">
        <v>0</v>
      </c>
      <c r="AK566" s="276">
        <v>0</v>
      </c>
      <c r="AL566" s="276">
        <v>0</v>
      </c>
      <c r="AM566" s="276">
        <v>0</v>
      </c>
      <c r="AN566" s="276">
        <v>0</v>
      </c>
      <c r="AO566" s="276">
        <v>0</v>
      </c>
      <c r="AP566" s="276">
        <v>0</v>
      </c>
      <c r="AQ566" s="276">
        <v>0</v>
      </c>
      <c r="AR566" s="276">
        <v>0</v>
      </c>
      <c r="AS566" s="276">
        <v>0</v>
      </c>
      <c r="AT566" s="276">
        <v>2</v>
      </c>
      <c r="AU566" s="276">
        <v>0</v>
      </c>
      <c r="AV566" s="276">
        <v>0</v>
      </c>
      <c r="AW566" s="276">
        <v>2</v>
      </c>
      <c r="AX566" s="141">
        <f>COUNTIF(V566:AW566,"&lt;&gt;0")</f>
        <v>3</v>
      </c>
      <c r="AY566" s="141">
        <f>COUNTIF(V566:AL566,"&lt;&gt;0")</f>
        <v>1</v>
      </c>
      <c r="AZ566">
        <f>COUNTIF(V566:AC566,"&lt;&gt;0")</f>
        <v>1</v>
      </c>
      <c r="BA566">
        <f>COUNTIF(AD566:AI566,"&lt;&gt;0")</f>
        <v>0</v>
      </c>
      <c r="BB566">
        <f>COUNTIF(AJ566:AL566,"&lt;&gt;0")</f>
        <v>0</v>
      </c>
      <c r="BC566">
        <f>COUNTIF(AS566:AW566,"&lt;&gt;0")</f>
        <v>2</v>
      </c>
      <c r="BD566">
        <f>COUNTIF(AM566:AR566,"&lt;&gt;0")</f>
        <v>0</v>
      </c>
      <c r="BE566" s="276" t="str">
        <f t="array" ref="BE566">IF(AY566=1,INDEX($V$7:$AL$7,MATCH(TRUE,INDEX($V566:$AW566&lt;&gt;0,),0)),IF(AY566=0,INDEX($AM$7:$AW$7,MATCH(1,$AM566:$AW566,0)),IF(BF566="Multiple strategies","mixed drivers",IF(BF566="Supply chain","multiple supply","multiple silviculture"))))</f>
        <v>area subject to harvest</v>
      </c>
      <c r="BF566" s="2" t="str" cm="1">
        <f t="array" ref="BF566">IF(COUNTIF(AZ566:BB566,"&lt;&gt;0")=1,INDEX($V$4:$AW$4,MATCH(TRUE,INDEX($V566:$AW566&lt;&gt;0,),0)),IF(COUNTIF(AZ566:BB566,"&lt;&gt;0")=0,INDEX($AM$4:$AW$4,MATCH(1,$AM566:$AW566,0)),"Multiple strategies"))</f>
        <v>SilvicultureRemov</v>
      </c>
      <c r="BG566" s="1" t="s">
        <v>322</v>
      </c>
      <c r="BH566" t="s">
        <v>1753</v>
      </c>
      <c r="BI566" t="s">
        <v>1754</v>
      </c>
      <c r="BJ566" t="s">
        <v>499</v>
      </c>
      <c r="BK566">
        <v>2101773977272.7263</v>
      </c>
      <c r="BL566">
        <v>2126067159090.9072</v>
      </c>
      <c r="BM566" t="s">
        <v>545</v>
      </c>
      <c r="BN566">
        <f>BL566-BK566</f>
        <v>24293181818.180908</v>
      </c>
      <c r="BO566">
        <f>BN566</f>
        <v>24293181818.180908</v>
      </c>
      <c r="BP566" t="s">
        <v>396</v>
      </c>
      <c r="BQ566" t="s">
        <v>1755</v>
      </c>
      <c r="BR566" t="s">
        <v>1756</v>
      </c>
      <c r="BS566">
        <v>-6126126.1261261208</v>
      </c>
      <c r="BT566">
        <v>-9234234.2342342511</v>
      </c>
      <c r="BU566" s="144">
        <v>1.5073529411764746</v>
      </c>
      <c r="BV566" s="152">
        <f>BT566-BS566</f>
        <v>-3108108.1081081303</v>
      </c>
      <c r="BX566" s="152">
        <f>BV566</f>
        <v>-3108108.1081081303</v>
      </c>
      <c r="BY566">
        <f>IFERROR(BX566/BO566,"")</f>
        <v>-1.2794158177262873E-4</v>
      </c>
      <c r="BZ566">
        <v>0</v>
      </c>
      <c r="CA566">
        <v>0</v>
      </c>
      <c r="CB566">
        <v>0</v>
      </c>
      <c r="CC566">
        <v>0</v>
      </c>
      <c r="CD566">
        <v>0</v>
      </c>
      <c r="CE566">
        <v>0</v>
      </c>
      <c r="CF566">
        <v>0</v>
      </c>
      <c r="CG566">
        <v>0</v>
      </c>
      <c r="CH566">
        <v>0</v>
      </c>
      <c r="CI566">
        <v>0</v>
      </c>
      <c r="CJ566">
        <v>0</v>
      </c>
      <c r="CK566">
        <v>0</v>
      </c>
      <c r="CL566">
        <v>0</v>
      </c>
      <c r="CM566">
        <v>0</v>
      </c>
      <c r="CN566" t="str">
        <f>IF($BL566&lt;$BK566,"refNeedCorrection","refOK")</f>
        <v>refOK</v>
      </c>
      <c r="CO566">
        <f>IF($CN566="refOK",$BK566,$BL566)</f>
        <v>2101773977272.7263</v>
      </c>
      <c r="CP566">
        <f>IF($CN566="refOK",$BL566,$BK566)</f>
        <v>2126067159090.9072</v>
      </c>
      <c r="CQ566">
        <f>IF($CN566="refOK",$BO566,-$BO566)</f>
        <v>24293181818.180908</v>
      </c>
      <c r="CR566">
        <f>IF($CN566="refOK",$BS566,$BT566)*IF($BP566="Emissions positive",-1,1)</f>
        <v>6126126.1261261208</v>
      </c>
      <c r="CS566">
        <f>IF($CN566="refOK",$BT566,$BS566)*IF($BP566="Emissions positive",-1,1)</f>
        <v>9234234.2342342511</v>
      </c>
      <c r="CT566">
        <f>IF($CN566="refNeedCorrection",-BX566,BX566)*IF($BP566="Emissions positive",-1,1)</f>
        <v>3108108.1081081303</v>
      </c>
      <c r="CU566">
        <f>IFERROR(CT566/CQ566,"")</f>
        <v>1.2794158177262873E-4</v>
      </c>
      <c r="CV566" s="2">
        <f>IFERROR((CS566-CR566)/ABS(CR566),"")</f>
        <v>0.50735294117647467</v>
      </c>
      <c r="CW566" s="1" t="s">
        <v>1201</v>
      </c>
      <c r="CX566" t="str">
        <f>IF(OR($CW566="prd",$CW566="std",$CW566="cit"),"loc",IF(OR($CW566="eur",$CW566="reg",$CW566="coy"),"reg",$CW566))</f>
        <v>reg</v>
      </c>
      <c r="CY566" t="s">
        <v>429</v>
      </c>
      <c r="CZ566">
        <v>2015</v>
      </c>
      <c r="DA566">
        <v>2060</v>
      </c>
      <c r="DB566">
        <v>0</v>
      </c>
      <c r="DC566" t="str">
        <f>IF(DB566=0,"0",IF(AND(DB566&gt;=1,DB566&lt;=30),"1-30",IF(AND(DB566&gt;30,DB566&lt;=70),"31-70",IF(AND(DB566&gt;70,DB566&lt;=100),"71-100",IF(DB566&gt;100,"+100")))))</f>
        <v>0</v>
      </c>
      <c r="DD566">
        <v>1</v>
      </c>
      <c r="DE566">
        <v>0</v>
      </c>
      <c r="DF566">
        <v>0</v>
      </c>
      <c r="DG566">
        <v>0</v>
      </c>
      <c r="DH566">
        <v>0</v>
      </c>
      <c r="DI566">
        <v>1</v>
      </c>
      <c r="DJ566" t="str">
        <f>IF(DI566=1,INDEX($DD$7:$DG$7,MATCH(1,$DD566:$DG566,0)),"mixedProduct")</f>
        <v>UpstreamInput</v>
      </c>
      <c r="DK566" t="str">
        <f>IF(DD566=1,DK$7,0)</f>
        <v>Upstream</v>
      </c>
      <c r="DL566">
        <f>IF(DE566=1,DL$7,0)</f>
        <v>0</v>
      </c>
      <c r="DM566">
        <f>IF(DF566=1,DM$7,0)</f>
        <v>0</v>
      </c>
      <c r="DN566">
        <f>IF(DG566=1,DN$7,0)</f>
        <v>0</v>
      </c>
      <c r="DO566">
        <v>0</v>
      </c>
      <c r="DP566">
        <v>0</v>
      </c>
      <c r="DQ566">
        <v>0</v>
      </c>
      <c r="DR566">
        <v>0</v>
      </c>
      <c r="DS566">
        <v>0</v>
      </c>
      <c r="DT566">
        <f>SUM(DO566:DP566)</f>
        <v>0</v>
      </c>
      <c r="DU566" s="143" t="s">
        <v>964</v>
      </c>
      <c r="DV566">
        <v>1</v>
      </c>
      <c r="DW566">
        <v>1</v>
      </c>
      <c r="DX566">
        <v>1</v>
      </c>
      <c r="DY566">
        <v>0</v>
      </c>
      <c r="DZ566">
        <v>0</v>
      </c>
      <c r="EA566" s="143">
        <v>0</v>
      </c>
      <c r="EB566">
        <v>0</v>
      </c>
      <c r="EC566">
        <v>0</v>
      </c>
      <c r="ED566">
        <v>0</v>
      </c>
      <c r="EE566">
        <v>0</v>
      </c>
      <c r="EF566">
        <v>1</v>
      </c>
      <c r="EG566">
        <v>0</v>
      </c>
      <c r="EH566">
        <v>1</v>
      </c>
      <c r="EI566" s="2">
        <v>0</v>
      </c>
      <c r="EK566" t="str">
        <f>IF(AND(AND(AND(OR($DX566=1,$DW566=1),OR($EC566=1,$EA566=1)),SUM($DV566:$DZ566,$EF566)&gt;=4),SUM($EA566:$EE566)&gt;=2),"Whole sector","")</f>
        <v/>
      </c>
      <c r="EL566" t="str">
        <f>IF(AND(AND(OR($DX566=1,$DW566=1),AND($EC566=0,$EA566=0)),SUM($DV566:$DZ566,$EF566)&gt;=4),"Ecosystem approach","")</f>
        <v>Ecosystem approach</v>
      </c>
      <c r="EM566" s="2" t="str">
        <f>IF(AND(AND(AND($DX566=0,$DW566=0),OR($EC566=1,$EA566=1)),SUM($EB566:$EE566)&gt;=2),"Technology approach","")</f>
        <v/>
      </c>
      <c r="EP566" t="str">
        <f>IF(ISNUMBER(BU566),IF(ABS(BU566-[3]QC_indicators!$B$2)&gt;3*[3]QC_indicators!$C$2,"C ratio",IF(ISNUMBER(BY566),IF(ABS(BY566-[3]QC_indicators!$B$1)&gt;3*[3]QC_indicators!$C$1,"DF","no"))),IF(ISNUMBER(BY566),IF(ABS(BY566-[3]QC_indicators!$B$1)&gt;3*[3]QC_indicators!$C$1,"DF","no")))</f>
        <v>no</v>
      </c>
      <c r="ER566" t="s">
        <v>1757</v>
      </c>
      <c r="ET566" s="266" t="s">
        <v>3269</v>
      </c>
      <c r="EU566" s="266"/>
    </row>
    <row r="567" spans="1:151" ht="15" customHeight="1">
      <c r="A567" s="1" t="s">
        <v>1380</v>
      </c>
      <c r="B567" t="s">
        <v>1744</v>
      </c>
      <c r="C567" t="s">
        <v>1745</v>
      </c>
      <c r="D567" t="s">
        <v>1746</v>
      </c>
      <c r="E567" t="s">
        <v>1747</v>
      </c>
      <c r="F567" t="s">
        <v>1748</v>
      </c>
      <c r="G567" t="s">
        <v>1386</v>
      </c>
      <c r="H567" t="s">
        <v>255</v>
      </c>
      <c r="I567">
        <v>2019</v>
      </c>
      <c r="J567">
        <v>1</v>
      </c>
      <c r="K567" t="s">
        <v>1749</v>
      </c>
      <c r="M567" t="str">
        <f>LEFT($D567,FIND(",",$D567)-1)&amp;"_"&amp;I567&amp;L567</f>
        <v>Jones_2019</v>
      </c>
      <c r="N567" t="s">
        <v>223</v>
      </c>
      <c r="O567" s="171" t="s">
        <v>514</v>
      </c>
      <c r="P567" t="s">
        <v>962</v>
      </c>
      <c r="Q567" t="s">
        <v>390</v>
      </c>
      <c r="R567" s="271" t="s">
        <v>275</v>
      </c>
      <c r="S567" s="1" t="s">
        <v>1760</v>
      </c>
      <c r="T567" t="s">
        <v>1761</v>
      </c>
      <c r="U567" t="s">
        <v>1752</v>
      </c>
      <c r="V567" s="276">
        <v>1</v>
      </c>
      <c r="W567" s="276">
        <v>0</v>
      </c>
      <c r="X567" s="276">
        <v>0</v>
      </c>
      <c r="Y567" s="276">
        <v>0</v>
      </c>
      <c r="Z567" s="276">
        <v>0</v>
      </c>
      <c r="AA567" s="276">
        <v>0</v>
      </c>
      <c r="AB567" s="276">
        <v>0</v>
      </c>
      <c r="AC567" s="276">
        <v>0</v>
      </c>
      <c r="AD567" s="276">
        <v>0</v>
      </c>
      <c r="AE567" s="276">
        <v>0</v>
      </c>
      <c r="AF567" s="276">
        <v>0</v>
      </c>
      <c r="AG567" s="276">
        <v>0</v>
      </c>
      <c r="AH567" s="276">
        <v>0</v>
      </c>
      <c r="AI567" s="276">
        <v>0</v>
      </c>
      <c r="AJ567" s="276">
        <v>0</v>
      </c>
      <c r="AK567" s="276">
        <v>0</v>
      </c>
      <c r="AL567" s="276">
        <v>0</v>
      </c>
      <c r="AM567" s="276">
        <v>0</v>
      </c>
      <c r="AN567" s="276">
        <v>0</v>
      </c>
      <c r="AO567" s="276">
        <v>0</v>
      </c>
      <c r="AP567" s="276">
        <v>0</v>
      </c>
      <c r="AQ567" s="276">
        <v>0</v>
      </c>
      <c r="AR567" s="276">
        <v>0</v>
      </c>
      <c r="AS567" s="276">
        <v>0</v>
      </c>
      <c r="AT567" s="276">
        <v>2</v>
      </c>
      <c r="AU567" s="276">
        <v>0</v>
      </c>
      <c r="AV567" s="276">
        <v>0</v>
      </c>
      <c r="AW567" s="276">
        <v>2</v>
      </c>
      <c r="AX567" s="141">
        <f>COUNTIF(V567:AW567,"&lt;&gt;0")</f>
        <v>3</v>
      </c>
      <c r="AY567" s="141">
        <f>COUNTIF(V567:AL567,"&lt;&gt;0")</f>
        <v>1</v>
      </c>
      <c r="AZ567">
        <f>COUNTIF(V567:AC567,"&lt;&gt;0")</f>
        <v>1</v>
      </c>
      <c r="BA567">
        <f>COUNTIF(AD567:AI567,"&lt;&gt;0")</f>
        <v>0</v>
      </c>
      <c r="BB567">
        <f>COUNTIF(AJ567:AL567,"&lt;&gt;0")</f>
        <v>0</v>
      </c>
      <c r="BC567">
        <f>COUNTIF(AS567:AW567,"&lt;&gt;0")</f>
        <v>2</v>
      </c>
      <c r="BD567">
        <f>COUNTIF(AM567:AR567,"&lt;&gt;0")</f>
        <v>0</v>
      </c>
      <c r="BE567" s="276" t="str">
        <f t="array" ref="BE567">IF(AY567=1,INDEX($V$7:$AL$7,MATCH(TRUE,INDEX($V567:$AW567&lt;&gt;0,),0)),IF(AY567=0,INDEX($AM$7:$AW$7,MATCH(1,$AM567:$AW567,0)),IF(BF567="Multiple strategies","mixed drivers",IF(BF567="Supply chain","multiple supply","multiple silviculture"))))</f>
        <v>area subject to harvest</v>
      </c>
      <c r="BF567" s="2" t="str" cm="1">
        <f t="array" ref="BF567">IF(COUNTIF(AZ567:BB567,"&lt;&gt;0")=1,INDEX($V$4:$AW$4,MATCH(TRUE,INDEX($V567:$AW567&lt;&gt;0,),0)),IF(COUNTIF(AZ567:BB567,"&lt;&gt;0")=0,INDEX($AM$4:$AW$4,MATCH(1,$AM567:$AW567,0)),"Multiple strategies"))</f>
        <v>SilvicultureRemov</v>
      </c>
      <c r="BG567" s="1" t="s">
        <v>322</v>
      </c>
      <c r="BH567" t="s">
        <v>1753</v>
      </c>
      <c r="BI567" t="s">
        <v>1754</v>
      </c>
      <c r="BJ567" t="s">
        <v>499</v>
      </c>
      <c r="BK567">
        <v>2094218749999.9985</v>
      </c>
      <c r="BL567">
        <v>2126067159090.9072</v>
      </c>
      <c r="BM567" t="s">
        <v>545</v>
      </c>
      <c r="BN567">
        <f>BL567-BK567</f>
        <v>31848409090.908691</v>
      </c>
      <c r="BO567">
        <f>BN567</f>
        <v>31848409090.908691</v>
      </c>
      <c r="BP567" t="s">
        <v>396</v>
      </c>
      <c r="BQ567" t="s">
        <v>1755</v>
      </c>
      <c r="BR567" t="s">
        <v>1756</v>
      </c>
      <c r="BS567">
        <v>-5270270.2702702703</v>
      </c>
      <c r="BT567">
        <v>-9234234.2342342511</v>
      </c>
      <c r="BU567" s="144">
        <v>1.7521367521367552</v>
      </c>
      <c r="BV567" s="152">
        <v>-3963963.9639639808</v>
      </c>
      <c r="BX567" s="152">
        <f>BV567</f>
        <v>-3963963.9639639808</v>
      </c>
      <c r="BY567">
        <f>IFERROR(BX567/BO567,"")</f>
        <v>-1.2446348427166859E-4</v>
      </c>
      <c r="BZ567">
        <v>0</v>
      </c>
      <c r="CA567">
        <v>0</v>
      </c>
      <c r="CB567">
        <v>0</v>
      </c>
      <c r="CC567">
        <v>0</v>
      </c>
      <c r="CD567">
        <v>0</v>
      </c>
      <c r="CE567">
        <v>0</v>
      </c>
      <c r="CF567">
        <v>0</v>
      </c>
      <c r="CG567">
        <v>0</v>
      </c>
      <c r="CH567">
        <v>0</v>
      </c>
      <c r="CI567">
        <v>0</v>
      </c>
      <c r="CJ567">
        <v>0</v>
      </c>
      <c r="CK567">
        <v>0</v>
      </c>
      <c r="CL567">
        <v>0</v>
      </c>
      <c r="CM567">
        <v>0</v>
      </c>
      <c r="CN567" t="str">
        <f>IF($BL567&lt;$BK567,"refNeedCorrection","refOK")</f>
        <v>refOK</v>
      </c>
      <c r="CO567">
        <f>IF($CN567="refOK",$BK567,$BL567)</f>
        <v>2094218749999.9985</v>
      </c>
      <c r="CP567">
        <f>IF($CN567="refOK",$BL567,$BK567)</f>
        <v>2126067159090.9072</v>
      </c>
      <c r="CQ567">
        <f>IF($CN567="refOK",$BO567,-$BO567)</f>
        <v>31848409090.908691</v>
      </c>
      <c r="CR567">
        <f>IF($CN567="refOK",$BS567,$BT567)*IF($BP567="Emissions positive",-1,1)</f>
        <v>5270270.2702702703</v>
      </c>
      <c r="CS567">
        <f>IF($CN567="refOK",$BT567,$BS567)*IF($BP567="Emissions positive",-1,1)</f>
        <v>9234234.2342342511</v>
      </c>
      <c r="CT567">
        <f>IF($CN567="refNeedCorrection",-BX567,BX567)*IF($BP567="Emissions positive",-1,1)</f>
        <v>3963963.9639639808</v>
      </c>
      <c r="CU567">
        <f>IFERROR(CT567/CQ567,"")</f>
        <v>1.2446348427166859E-4</v>
      </c>
      <c r="CV567" s="2">
        <f>IFERROR((CS567-CR567)/ABS(CR567),"")</f>
        <v>0.75213675213675535</v>
      </c>
      <c r="CW567" s="1" t="s">
        <v>1201</v>
      </c>
      <c r="CX567" t="str">
        <f>IF(OR($CW567="prd",$CW567="std",$CW567="cit"),"loc",IF(OR($CW567="eur",$CW567="reg",$CW567="coy"),"reg",$CW567))</f>
        <v>reg</v>
      </c>
      <c r="CY567" t="s">
        <v>429</v>
      </c>
      <c r="CZ567">
        <v>2015</v>
      </c>
      <c r="DA567">
        <v>2060</v>
      </c>
      <c r="DB567">
        <v>0</v>
      </c>
      <c r="DC567" t="str">
        <f>IF(DB567=0,"0",IF(AND(DB567&gt;=1,DB567&lt;=30),"1-30",IF(AND(DB567&gt;30,DB567&lt;=70),"31-70",IF(AND(DB567&gt;70,DB567&lt;=100),"71-100",IF(DB567&gt;100,"+100")))))</f>
        <v>0</v>
      </c>
      <c r="DD567">
        <v>1</v>
      </c>
      <c r="DE567">
        <v>0</v>
      </c>
      <c r="DF567">
        <v>0</v>
      </c>
      <c r="DG567">
        <v>0</v>
      </c>
      <c r="DH567">
        <v>0</v>
      </c>
      <c r="DI567">
        <v>1</v>
      </c>
      <c r="DJ567" t="str">
        <f>IF(DI567=1,INDEX($DD$7:$DG$7,MATCH(1,$DD567:$DG567,0)),"mixedProduct")</f>
        <v>UpstreamInput</v>
      </c>
      <c r="DK567" t="str">
        <f>IF(DD567=1,DK$7,0)</f>
        <v>Upstream</v>
      </c>
      <c r="DL567">
        <f>IF(DE567=1,DL$7,0)</f>
        <v>0</v>
      </c>
      <c r="DM567">
        <f>IF(DF567=1,DM$7,0)</f>
        <v>0</v>
      </c>
      <c r="DN567">
        <f>IF(DG567=1,DN$7,0)</f>
        <v>0</v>
      </c>
      <c r="DO567">
        <v>0</v>
      </c>
      <c r="DP567">
        <v>0</v>
      </c>
      <c r="DQ567">
        <v>0</v>
      </c>
      <c r="DR567">
        <v>0</v>
      </c>
      <c r="DS567">
        <v>0</v>
      </c>
      <c r="DT567">
        <f>SUM(DO567:DP567)</f>
        <v>0</v>
      </c>
      <c r="DU567" s="143" t="s">
        <v>964</v>
      </c>
      <c r="DV567">
        <v>1</v>
      </c>
      <c r="DW567">
        <v>1</v>
      </c>
      <c r="DX567">
        <v>1</v>
      </c>
      <c r="DY567">
        <v>0</v>
      </c>
      <c r="DZ567">
        <v>0</v>
      </c>
      <c r="EA567" s="143">
        <v>0</v>
      </c>
      <c r="EB567">
        <v>0</v>
      </c>
      <c r="EC567">
        <v>0</v>
      </c>
      <c r="ED567">
        <v>0</v>
      </c>
      <c r="EE567">
        <v>0</v>
      </c>
      <c r="EF567">
        <v>1</v>
      </c>
      <c r="EG567">
        <v>0</v>
      </c>
      <c r="EH567">
        <v>1</v>
      </c>
      <c r="EI567" s="2">
        <v>0</v>
      </c>
      <c r="EK567" t="str">
        <f>IF(AND(AND(AND(OR($DX567=1,$DW567=1),OR($EC567=1,$EA567=1)),SUM($DV567:$DZ567,$EF567)&gt;=4),SUM($EA567:$EE567)&gt;=2),"Whole sector","")</f>
        <v/>
      </c>
      <c r="EL567" t="str">
        <f>IF(AND(AND(OR($DX567=1,$DW567=1),AND($EC567=0,$EA567=0)),SUM($DV567:$DZ567,$EF567)&gt;=4),"Ecosystem approach","")</f>
        <v>Ecosystem approach</v>
      </c>
      <c r="EM567" s="2" t="str">
        <f>IF(AND(AND(AND($DX567=0,$DW567=0),OR($EC567=1,$EA567=1)),SUM($EB567:$EE567)&gt;=2),"Technology approach","")</f>
        <v/>
      </c>
      <c r="EP567" t="str">
        <f>IF(ISNUMBER(BU567),IF(ABS(BU567-[3]QC_indicators!$B$2)&gt;3*[3]QC_indicators!$C$2,"C ratio",IF(ISNUMBER(BY567),IF(ABS(BY567-[3]QC_indicators!$B$1)&gt;3*[3]QC_indicators!$C$1,"DF","no"))),IF(ISNUMBER(BY567),IF(ABS(BY567-[3]QC_indicators!$B$1)&gt;3*[3]QC_indicators!$C$1,"DF","no")))</f>
        <v>no</v>
      </c>
      <c r="ER567" t="s">
        <v>1757</v>
      </c>
      <c r="ET567" s="266" t="s">
        <v>3269</v>
      </c>
      <c r="EU567" s="266"/>
    </row>
    <row r="568" spans="1:151" ht="15" customHeight="1">
      <c r="A568" s="1" t="s">
        <v>1380</v>
      </c>
      <c r="B568" t="s">
        <v>1744</v>
      </c>
      <c r="C568" t="s">
        <v>1745</v>
      </c>
      <c r="D568" t="s">
        <v>1746</v>
      </c>
      <c r="E568" t="s">
        <v>1747</v>
      </c>
      <c r="F568" t="s">
        <v>1748</v>
      </c>
      <c r="G568" t="s">
        <v>1386</v>
      </c>
      <c r="H568" t="s">
        <v>255</v>
      </c>
      <c r="I568">
        <v>2019</v>
      </c>
      <c r="J568">
        <v>1</v>
      </c>
      <c r="K568" t="s">
        <v>1749</v>
      </c>
      <c r="M568" t="str">
        <f>LEFT($D568,FIND(",",$D568)-1)&amp;"_"&amp;I568&amp;L568</f>
        <v>Jones_2019</v>
      </c>
      <c r="N568" t="s">
        <v>223</v>
      </c>
      <c r="O568" s="171" t="s">
        <v>514</v>
      </c>
      <c r="P568" t="s">
        <v>962</v>
      </c>
      <c r="Q568" t="s">
        <v>390</v>
      </c>
      <c r="R568" s="271" t="s">
        <v>275</v>
      </c>
      <c r="S568" s="1" t="s">
        <v>1758</v>
      </c>
      <c r="T568" t="s">
        <v>1759</v>
      </c>
      <c r="U568" t="s">
        <v>1752</v>
      </c>
      <c r="V568" s="276">
        <v>1</v>
      </c>
      <c r="W568" s="276">
        <v>0</v>
      </c>
      <c r="X568" s="276">
        <v>0</v>
      </c>
      <c r="Y568" s="276">
        <v>0</v>
      </c>
      <c r="Z568" s="276">
        <v>0</v>
      </c>
      <c r="AA568" s="276">
        <v>0</v>
      </c>
      <c r="AB568" s="276">
        <v>0</v>
      </c>
      <c r="AC568" s="276">
        <v>0</v>
      </c>
      <c r="AD568" s="276">
        <v>0</v>
      </c>
      <c r="AE568" s="276">
        <v>0</v>
      </c>
      <c r="AF568" s="276">
        <v>0</v>
      </c>
      <c r="AG568" s="276">
        <v>0</v>
      </c>
      <c r="AH568" s="276">
        <v>0</v>
      </c>
      <c r="AI568" s="276">
        <v>0</v>
      </c>
      <c r="AJ568" s="276">
        <v>0</v>
      </c>
      <c r="AK568" s="276">
        <v>0</v>
      </c>
      <c r="AL568" s="276">
        <v>0</v>
      </c>
      <c r="AM568" s="276">
        <v>0</v>
      </c>
      <c r="AN568" s="276">
        <v>0</v>
      </c>
      <c r="AO568" s="276">
        <v>0</v>
      </c>
      <c r="AP568" s="276">
        <v>0</v>
      </c>
      <c r="AQ568" s="276">
        <v>0</v>
      </c>
      <c r="AR568" s="276">
        <v>0</v>
      </c>
      <c r="AS568" s="276">
        <v>0</v>
      </c>
      <c r="AT568" s="276">
        <v>2</v>
      </c>
      <c r="AU568" s="276">
        <v>0</v>
      </c>
      <c r="AV568" s="276">
        <v>0</v>
      </c>
      <c r="AW568" s="276">
        <v>2</v>
      </c>
      <c r="AX568" s="141">
        <f>COUNTIF(V568:AW568,"&lt;&gt;0")</f>
        <v>3</v>
      </c>
      <c r="AY568" s="141">
        <f>COUNTIF(V568:AL568,"&lt;&gt;0")</f>
        <v>1</v>
      </c>
      <c r="AZ568">
        <f>COUNTIF(V568:AC568,"&lt;&gt;0")</f>
        <v>1</v>
      </c>
      <c r="BA568">
        <f>COUNTIF(AD568:AI568,"&lt;&gt;0")</f>
        <v>0</v>
      </c>
      <c r="BB568">
        <f>COUNTIF(AJ568:AL568,"&lt;&gt;0")</f>
        <v>0</v>
      </c>
      <c r="BC568">
        <f>COUNTIF(AS568:AW568,"&lt;&gt;0")</f>
        <v>2</v>
      </c>
      <c r="BD568">
        <f>COUNTIF(AM568:AR568,"&lt;&gt;0")</f>
        <v>0</v>
      </c>
      <c r="BE568" s="276" t="str">
        <f t="array" ref="BE568">IF(AY568=1,INDEX($V$7:$AL$7,MATCH(TRUE,INDEX($V568:$AW568&lt;&gt;0,),0)),IF(AY568=0,INDEX($AM$7:$AW$7,MATCH(1,$AM568:$AW568,0)),IF(BF568="Multiple strategies","mixed drivers",IF(BF568="Supply chain","multiple supply","multiple silviculture"))))</f>
        <v>area subject to harvest</v>
      </c>
      <c r="BF568" s="2" t="str" cm="1">
        <f t="array" ref="BF568">IF(COUNTIF(AZ568:BB568,"&lt;&gt;0")=1,INDEX($V$4:$AW$4,MATCH(TRUE,INDEX($V568:$AW568&lt;&gt;0,),0)),IF(COUNTIF(AZ568:BB568,"&lt;&gt;0")=0,INDEX($AM$4:$AW$4,MATCH(1,$AM568:$AW568,0)),"Multiple strategies"))</f>
        <v>SilvicultureRemov</v>
      </c>
      <c r="BG568" s="1" t="s">
        <v>322</v>
      </c>
      <c r="BH568" t="s">
        <v>1753</v>
      </c>
      <c r="BI568" t="s">
        <v>1754</v>
      </c>
      <c r="BJ568" t="s">
        <v>499</v>
      </c>
      <c r="BK568">
        <v>1311146022727.2725</v>
      </c>
      <c r="BL568">
        <v>1318747840909.0903</v>
      </c>
      <c r="BM568" t="s">
        <v>545</v>
      </c>
      <c r="BN568">
        <f>BL568-BK568</f>
        <v>7601818181.8178711</v>
      </c>
      <c r="BO568">
        <f>BN568</f>
        <v>7601818181.8178711</v>
      </c>
      <c r="BP568" t="s">
        <v>396</v>
      </c>
      <c r="BQ568" t="s">
        <v>1755</v>
      </c>
      <c r="BR568" t="s">
        <v>1756</v>
      </c>
      <c r="BS568">
        <v>-5414012.7388535002</v>
      </c>
      <c r="BT568">
        <v>-6942675.1592356702</v>
      </c>
      <c r="BU568" s="144">
        <v>1.4622641509433971</v>
      </c>
      <c r="BV568" s="152">
        <v>-2207207.2072072076</v>
      </c>
      <c r="BX568" s="152">
        <f>BV568</f>
        <v>-2207207.2072072076</v>
      </c>
      <c r="BY568">
        <f>IFERROR(BX568/BO568,"")</f>
        <v>-2.9035253861851563E-4</v>
      </c>
      <c r="BZ568">
        <v>0</v>
      </c>
      <c r="CA568">
        <v>0</v>
      </c>
      <c r="CB568">
        <v>0</v>
      </c>
      <c r="CC568">
        <v>0</v>
      </c>
      <c r="CD568">
        <v>0</v>
      </c>
      <c r="CE568">
        <v>0</v>
      </c>
      <c r="CF568">
        <v>0</v>
      </c>
      <c r="CG568">
        <v>0</v>
      </c>
      <c r="CH568">
        <v>0</v>
      </c>
      <c r="CI568">
        <v>0</v>
      </c>
      <c r="CJ568">
        <v>0</v>
      </c>
      <c r="CK568">
        <v>0</v>
      </c>
      <c r="CL568">
        <v>0</v>
      </c>
      <c r="CM568">
        <v>0</v>
      </c>
      <c r="CN568" t="str">
        <f>IF($BL568&lt;$BK568,"refNeedCorrection","refOK")</f>
        <v>refOK</v>
      </c>
      <c r="CO568">
        <f>IF($CN568="refOK",$BK568,$BL568)</f>
        <v>1311146022727.2725</v>
      </c>
      <c r="CP568">
        <f>IF($CN568="refOK",$BL568,$BK568)</f>
        <v>1318747840909.0903</v>
      </c>
      <c r="CQ568">
        <f>IF($CN568="refOK",$BO568,-$BO568)</f>
        <v>7601818181.8178711</v>
      </c>
      <c r="CR568">
        <f>IF($CN568="refOK",$BS568,$BT568)*IF($BP568="Emissions positive",-1,1)</f>
        <v>5414012.7388535002</v>
      </c>
      <c r="CS568">
        <f>IF($CN568="refOK",$BT568,$BS568)*IF($BP568="Emissions positive",-1,1)</f>
        <v>6942675.1592356702</v>
      </c>
      <c r="CT568">
        <f>IF($CN568="refNeedCorrection",-BX568,BX568)*IF($BP568="Emissions positive",-1,1)</f>
        <v>2207207.2072072076</v>
      </c>
      <c r="CU568">
        <f>IFERROR(CT568/CQ568,"")</f>
        <v>2.9035253861851563E-4</v>
      </c>
      <c r="CV568" s="2">
        <f>IFERROR((CS568-CR568)/ABS(CR568),"")</f>
        <v>0.28235294117647153</v>
      </c>
      <c r="CW568" s="1" t="s">
        <v>1201</v>
      </c>
      <c r="CX568" t="str">
        <f>IF(OR($CW568="prd",$CW568="std",$CW568="cit"),"loc",IF(OR($CW568="eur",$CW568="reg",$CW568="coy"),"reg",$CW568))</f>
        <v>reg</v>
      </c>
      <c r="CY568" t="s">
        <v>429</v>
      </c>
      <c r="CZ568">
        <v>2015</v>
      </c>
      <c r="DA568">
        <v>2040</v>
      </c>
      <c r="DB568">
        <v>0</v>
      </c>
      <c r="DC568" t="str">
        <f>IF(DB568=0,"0",IF(AND(DB568&gt;=1,DB568&lt;=30),"1-30",IF(AND(DB568&gt;30,DB568&lt;=70),"31-70",IF(AND(DB568&gt;70,DB568&lt;=100),"71-100",IF(DB568&gt;100,"+100")))))</f>
        <v>0</v>
      </c>
      <c r="DD568">
        <v>1</v>
      </c>
      <c r="DE568">
        <v>0</v>
      </c>
      <c r="DF568">
        <v>0</v>
      </c>
      <c r="DG568">
        <v>0</v>
      </c>
      <c r="DH568">
        <v>0</v>
      </c>
      <c r="DI568">
        <v>1</v>
      </c>
      <c r="DJ568" t="str">
        <f>IF(DI568=1,INDEX($DD$7:$DG$7,MATCH(1,$DD568:$DG568,0)),"mixedProduct")</f>
        <v>UpstreamInput</v>
      </c>
      <c r="DK568" t="str">
        <f>IF(DD568=1,DK$7,0)</f>
        <v>Upstream</v>
      </c>
      <c r="DL568">
        <f>IF(DE568=1,DL$7,0)</f>
        <v>0</v>
      </c>
      <c r="DM568">
        <f>IF(DF568=1,DM$7,0)</f>
        <v>0</v>
      </c>
      <c r="DN568">
        <f>IF(DG568=1,DN$7,0)</f>
        <v>0</v>
      </c>
      <c r="DO568">
        <v>0</v>
      </c>
      <c r="DP568">
        <v>0</v>
      </c>
      <c r="DQ568">
        <v>0</v>
      </c>
      <c r="DR568">
        <v>0</v>
      </c>
      <c r="DS568">
        <v>0</v>
      </c>
      <c r="DT568">
        <f>SUM(DO568:DP568)</f>
        <v>0</v>
      </c>
      <c r="DU568" s="143" t="s">
        <v>964</v>
      </c>
      <c r="DV568">
        <v>1</v>
      </c>
      <c r="DW568">
        <v>1</v>
      </c>
      <c r="DX568">
        <v>1</v>
      </c>
      <c r="DY568">
        <v>0</v>
      </c>
      <c r="DZ568">
        <v>0</v>
      </c>
      <c r="EA568" s="143">
        <v>0</v>
      </c>
      <c r="EB568">
        <v>0</v>
      </c>
      <c r="EC568">
        <v>0</v>
      </c>
      <c r="ED568">
        <v>0</v>
      </c>
      <c r="EE568">
        <v>0</v>
      </c>
      <c r="EF568">
        <v>1</v>
      </c>
      <c r="EG568">
        <v>0</v>
      </c>
      <c r="EH568">
        <v>1</v>
      </c>
      <c r="EI568" s="2">
        <v>0</v>
      </c>
      <c r="EJ568" s="182"/>
      <c r="EK568" t="str">
        <f>IF(AND(AND(AND(OR($DX568=1,$DW568=1),OR($EC568=1,$EA568=1)),SUM($DV568:$DZ568,$EF568)&gt;=4),SUM($EA568:$EE568)&gt;=2),"Whole sector","")</f>
        <v/>
      </c>
      <c r="EL568" t="str">
        <f>IF(AND(AND(OR($DX568=1,$DW568=1),AND($EC568=0,$EA568=0)),SUM($DV568:$DZ568,$EF568)&gt;=4),"Ecosystem approach","")</f>
        <v>Ecosystem approach</v>
      </c>
      <c r="EM568" s="2" t="str">
        <f>IF(AND(AND(AND($DX568=0,$DW568=0),OR($EC568=1,$EA568=1)),SUM($EB568:$EE568)&gt;=2),"Technology approach","")</f>
        <v/>
      </c>
      <c r="EP568" t="str">
        <f>IF(ISNUMBER(BU568),IF(ABS(BU568-[3]QC_indicators!$B$2)&gt;3*[3]QC_indicators!$C$2,"C ratio",IF(ISNUMBER(BY568),IF(ABS(BY568-[3]QC_indicators!$B$1)&gt;3*[3]QC_indicators!$C$1,"DF","no"))),IF(ISNUMBER(BY568),IF(ABS(BY568-[3]QC_indicators!$B$1)&gt;3*[3]QC_indicators!$C$1,"DF","no")))</f>
        <v>no</v>
      </c>
      <c r="ER568" t="s">
        <v>1757</v>
      </c>
      <c r="ET568" s="266" t="s">
        <v>3270</v>
      </c>
      <c r="EU568" s="266"/>
    </row>
    <row r="569" spans="1:151" ht="15" customHeight="1">
      <c r="A569" s="1" t="s">
        <v>1380</v>
      </c>
      <c r="B569" t="s">
        <v>1744</v>
      </c>
      <c r="C569" t="s">
        <v>1745</v>
      </c>
      <c r="D569" t="s">
        <v>1746</v>
      </c>
      <c r="E569" t="s">
        <v>1747</v>
      </c>
      <c r="F569" t="s">
        <v>1748</v>
      </c>
      <c r="G569" t="s">
        <v>1386</v>
      </c>
      <c r="H569" t="s">
        <v>255</v>
      </c>
      <c r="I569">
        <v>2019</v>
      </c>
      <c r="J569">
        <v>1</v>
      </c>
      <c r="K569" t="s">
        <v>1749</v>
      </c>
      <c r="M569" t="str">
        <f>LEFT($D569,FIND(",",$D569)-1)&amp;"_"&amp;I569&amp;L569</f>
        <v>Jones_2019</v>
      </c>
      <c r="N569" t="s">
        <v>223</v>
      </c>
      <c r="O569" s="171" t="s">
        <v>514</v>
      </c>
      <c r="P569" t="s">
        <v>962</v>
      </c>
      <c r="Q569" t="s">
        <v>390</v>
      </c>
      <c r="R569" s="271" t="s">
        <v>275</v>
      </c>
      <c r="S569" s="1" t="s">
        <v>1750</v>
      </c>
      <c r="T569" t="s">
        <v>1751</v>
      </c>
      <c r="U569" t="s">
        <v>1752</v>
      </c>
      <c r="V569" s="276">
        <v>1</v>
      </c>
      <c r="W569" s="276">
        <v>0</v>
      </c>
      <c r="X569" s="276">
        <v>0</v>
      </c>
      <c r="Y569" s="276">
        <v>0</v>
      </c>
      <c r="Z569" s="276">
        <v>0</v>
      </c>
      <c r="AA569" s="276">
        <v>0</v>
      </c>
      <c r="AB569" s="276">
        <v>0</v>
      </c>
      <c r="AC569" s="276">
        <v>0</v>
      </c>
      <c r="AD569" s="276">
        <v>0</v>
      </c>
      <c r="AE569" s="276">
        <v>0</v>
      </c>
      <c r="AF569" s="276">
        <v>0</v>
      </c>
      <c r="AG569" s="276">
        <v>0</v>
      </c>
      <c r="AH569" s="276">
        <v>0</v>
      </c>
      <c r="AI569" s="276">
        <v>0</v>
      </c>
      <c r="AJ569" s="276">
        <v>0</v>
      </c>
      <c r="AK569" s="276">
        <v>0</v>
      </c>
      <c r="AL569" s="276">
        <v>0</v>
      </c>
      <c r="AM569" s="276">
        <v>0</v>
      </c>
      <c r="AN569" s="276">
        <v>0</v>
      </c>
      <c r="AO569" s="276">
        <v>0</v>
      </c>
      <c r="AP569" s="276">
        <v>0</v>
      </c>
      <c r="AQ569" s="276">
        <v>0</v>
      </c>
      <c r="AR569" s="276">
        <v>0</v>
      </c>
      <c r="AS569" s="276">
        <v>0</v>
      </c>
      <c r="AT569" s="276">
        <v>2</v>
      </c>
      <c r="AU569" s="276">
        <v>0</v>
      </c>
      <c r="AV569" s="276">
        <v>0</v>
      </c>
      <c r="AW569" s="276">
        <v>2</v>
      </c>
      <c r="AX569" s="141">
        <f>COUNTIF(V569:AW569,"&lt;&gt;0")</f>
        <v>3</v>
      </c>
      <c r="AY569" s="141">
        <f>COUNTIF(V569:AL569,"&lt;&gt;0")</f>
        <v>1</v>
      </c>
      <c r="AZ569">
        <f>COUNTIF(V569:AC569,"&lt;&gt;0")</f>
        <v>1</v>
      </c>
      <c r="BA569">
        <f>COUNTIF(AD569:AI569,"&lt;&gt;0")</f>
        <v>0</v>
      </c>
      <c r="BB569">
        <f>COUNTIF(AJ569:AL569,"&lt;&gt;0")</f>
        <v>0</v>
      </c>
      <c r="BC569">
        <f>COUNTIF(AS569:AW569,"&lt;&gt;0")</f>
        <v>2</v>
      </c>
      <c r="BD569">
        <f>COUNTIF(AM569:AR569,"&lt;&gt;0")</f>
        <v>0</v>
      </c>
      <c r="BE569" s="276" t="str">
        <f t="array" ref="BE569">IF(AY569=1,INDEX($V$7:$AL$7,MATCH(TRUE,INDEX($V569:$AW569&lt;&gt;0,),0)),IF(AY569=0,INDEX($AM$7:$AW$7,MATCH(1,$AM569:$AW569,0)),IF(BF569="Multiple strategies","mixed drivers",IF(BF569="Supply chain","multiple supply","multiple silviculture"))))</f>
        <v>area subject to harvest</v>
      </c>
      <c r="BF569" s="2" t="str" cm="1">
        <f t="array" ref="BF569">IF(COUNTIF(AZ569:BB569,"&lt;&gt;0")=1,INDEX($V$4:$AW$4,MATCH(TRUE,INDEX($V569:$AW569&lt;&gt;0,),0)),IF(COUNTIF(AZ569:BB569,"&lt;&gt;0")=0,INDEX($AM$4:$AW$4,MATCH(1,$AM569:$AW569,0)),"Multiple strategies"))</f>
        <v>SilvicultureRemov</v>
      </c>
      <c r="BG569" s="1" t="s">
        <v>322</v>
      </c>
      <c r="BH569" t="s">
        <v>1753</v>
      </c>
      <c r="BI569" t="s">
        <v>1754</v>
      </c>
      <c r="BJ569" t="s">
        <v>499</v>
      </c>
      <c r="BK569">
        <v>1311119090909.0903</v>
      </c>
      <c r="BL569">
        <v>1318747840909.0903</v>
      </c>
      <c r="BM569" t="s">
        <v>545</v>
      </c>
      <c r="BN569">
        <f>BL569-BK569</f>
        <v>7628750000</v>
      </c>
      <c r="BO569">
        <f>BN569</f>
        <v>7628750000</v>
      </c>
      <c r="BP569" t="s">
        <v>396</v>
      </c>
      <c r="BQ569" t="s">
        <v>1755</v>
      </c>
      <c r="BR569" t="s">
        <v>1756</v>
      </c>
      <c r="BS569">
        <v>-5605095.5414012698</v>
      </c>
      <c r="BT569">
        <v>-6942675.1592356702</v>
      </c>
      <c r="BU569" s="144">
        <v>1.3963963963963968</v>
      </c>
      <c r="BV569" s="152">
        <v>-1981981.9819819806</v>
      </c>
      <c r="BX569" s="152">
        <f>BV569</f>
        <v>-1981981.9819819806</v>
      </c>
      <c r="BY569">
        <f>IFERROR(BX569/BO569,"")</f>
        <v>-2.5980429060881282E-4</v>
      </c>
      <c r="BZ569">
        <v>0</v>
      </c>
      <c r="CA569">
        <v>0</v>
      </c>
      <c r="CB569">
        <v>0</v>
      </c>
      <c r="CC569">
        <v>0</v>
      </c>
      <c r="CD569">
        <v>0</v>
      </c>
      <c r="CE569">
        <v>0</v>
      </c>
      <c r="CF569">
        <v>0</v>
      </c>
      <c r="CG569">
        <v>0</v>
      </c>
      <c r="CH569">
        <v>0</v>
      </c>
      <c r="CI569">
        <v>0</v>
      </c>
      <c r="CJ569">
        <v>0</v>
      </c>
      <c r="CK569">
        <v>0</v>
      </c>
      <c r="CL569">
        <v>0</v>
      </c>
      <c r="CM569">
        <v>0</v>
      </c>
      <c r="CN569" t="str">
        <f>IF($BL569&lt;$BK569,"refNeedCorrection","refOK")</f>
        <v>refOK</v>
      </c>
      <c r="CO569">
        <f>IF($CN569="refOK",$BK569,$BL569)</f>
        <v>1311119090909.0903</v>
      </c>
      <c r="CP569">
        <f>IF($CN569="refOK",$BL569,$BK569)</f>
        <v>1318747840909.0903</v>
      </c>
      <c r="CQ569">
        <f>IF($CN569="refOK",$BO569,-$BO569)</f>
        <v>7628750000</v>
      </c>
      <c r="CR569">
        <f>IF($CN569="refOK",$BS569,$BT569)*IF($BP569="Emissions positive",-1,1)</f>
        <v>5605095.5414012698</v>
      </c>
      <c r="CS569">
        <f>IF($CN569="refOK",$BT569,$BS569)*IF($BP569="Emissions positive",-1,1)</f>
        <v>6942675.1592356702</v>
      </c>
      <c r="CT569">
        <f>IF($CN569="refNeedCorrection",-BX569,BX569)*IF($BP569="Emissions positive",-1,1)</f>
        <v>1981981.9819819806</v>
      </c>
      <c r="CU569">
        <f>IFERROR(CT569/CQ569,"")</f>
        <v>2.5980429060881282E-4</v>
      </c>
      <c r="CV569" s="2">
        <f>IFERROR((CS569-CR569)/ABS(CR569),"")</f>
        <v>0.23863636363636478</v>
      </c>
      <c r="CW569" s="1" t="s">
        <v>1201</v>
      </c>
      <c r="CX569" t="str">
        <f>IF(OR($CW569="prd",$CW569="std",$CW569="cit"),"loc",IF(OR($CW569="eur",$CW569="reg",$CW569="coy"),"reg",$CW569))</f>
        <v>reg</v>
      </c>
      <c r="CY569" t="s">
        <v>429</v>
      </c>
      <c r="CZ569">
        <v>2015</v>
      </c>
      <c r="DA569">
        <v>2040</v>
      </c>
      <c r="DB569">
        <v>0</v>
      </c>
      <c r="DC569" t="str">
        <f>IF(DB569=0,"0",IF(AND(DB569&gt;=1,DB569&lt;=30),"1-30",IF(AND(DB569&gt;30,DB569&lt;=70),"31-70",IF(AND(DB569&gt;70,DB569&lt;=100),"71-100",IF(DB569&gt;100,"+100")))))</f>
        <v>0</v>
      </c>
      <c r="DD569">
        <v>1</v>
      </c>
      <c r="DE569">
        <v>0</v>
      </c>
      <c r="DF569">
        <v>0</v>
      </c>
      <c r="DG569">
        <v>0</v>
      </c>
      <c r="DH569">
        <v>0</v>
      </c>
      <c r="DI569">
        <v>1</v>
      </c>
      <c r="DJ569" t="str">
        <f>IF(DI569=1,INDEX($DD$7:$DG$7,MATCH(1,$DD569:$DG569,0)),"mixedProduct")</f>
        <v>UpstreamInput</v>
      </c>
      <c r="DK569" t="str">
        <f>IF(DD569=1,DK$7,0)</f>
        <v>Upstream</v>
      </c>
      <c r="DL569">
        <f>IF(DE569=1,DL$7,0)</f>
        <v>0</v>
      </c>
      <c r="DM569">
        <f>IF(DF569=1,DM$7,0)</f>
        <v>0</v>
      </c>
      <c r="DN569">
        <f>IF(DG569=1,DN$7,0)</f>
        <v>0</v>
      </c>
      <c r="DO569">
        <v>0</v>
      </c>
      <c r="DP569">
        <v>0</v>
      </c>
      <c r="DQ569">
        <v>0</v>
      </c>
      <c r="DR569">
        <v>0</v>
      </c>
      <c r="DS569">
        <v>0</v>
      </c>
      <c r="DT569">
        <f>SUM(DO569:DP569)</f>
        <v>0</v>
      </c>
      <c r="DU569" s="143" t="s">
        <v>964</v>
      </c>
      <c r="DV569">
        <v>1</v>
      </c>
      <c r="DW569">
        <v>1</v>
      </c>
      <c r="DX569">
        <v>1</v>
      </c>
      <c r="DY569">
        <v>0</v>
      </c>
      <c r="DZ569">
        <v>0</v>
      </c>
      <c r="EA569" s="143">
        <v>0</v>
      </c>
      <c r="EB569">
        <v>0</v>
      </c>
      <c r="EC569">
        <v>0</v>
      </c>
      <c r="ED569">
        <v>0</v>
      </c>
      <c r="EE569">
        <v>0</v>
      </c>
      <c r="EF569">
        <v>1</v>
      </c>
      <c r="EG569" s="143">
        <v>0</v>
      </c>
      <c r="EH569" s="143">
        <v>1</v>
      </c>
      <c r="EI569" s="2">
        <v>0</v>
      </c>
      <c r="EK569" t="str">
        <f>IF(AND(AND(AND(OR($DX569=1,$DW569=1),OR($EC569=1,$EA569=1)),SUM($DV569:$DZ569,$EF569)&gt;=4),SUM($EA569:$EE569)&gt;=2),"Whole sector","")</f>
        <v/>
      </c>
      <c r="EL569" t="str">
        <f>IF(AND(AND(OR($DX569=1,$DW569=1),AND($EC569=0,$EA569=0)),SUM($DV569:$DZ569,$EF569)&gt;=4),"Ecosystem approach","")</f>
        <v>Ecosystem approach</v>
      </c>
      <c r="EM569" s="2" t="str">
        <f>IF(AND(AND(AND($DX569=0,$DW569=0),OR($EC569=1,$EA569=1)),SUM($EB569:$EE569)&gt;=2),"Technology approach","")</f>
        <v/>
      </c>
      <c r="EP569" t="str">
        <f>IF(ISNUMBER(BU569),IF(ABS(BU569-[3]QC_indicators!$B$2)&gt;3*[3]QC_indicators!$C$2,"C ratio",IF(ISNUMBER(BY569),IF(ABS(BY569-[3]QC_indicators!$B$1)&gt;3*[3]QC_indicators!$C$1,"DF","no"))),IF(ISNUMBER(BY569),IF(ABS(BY569-[3]QC_indicators!$B$1)&gt;3*[3]QC_indicators!$C$1,"DF","no")))</f>
        <v>no</v>
      </c>
      <c r="ER569" t="s">
        <v>1757</v>
      </c>
      <c r="ET569" s="266" t="s">
        <v>3270</v>
      </c>
      <c r="EU569" s="266"/>
    </row>
    <row r="570" spans="1:151" ht="15" customHeight="1">
      <c r="A570" s="1" t="s">
        <v>1380</v>
      </c>
      <c r="B570" t="s">
        <v>1744</v>
      </c>
      <c r="C570" t="s">
        <v>1745</v>
      </c>
      <c r="D570" t="s">
        <v>1746</v>
      </c>
      <c r="E570" t="s">
        <v>1747</v>
      </c>
      <c r="F570" t="s">
        <v>1748</v>
      </c>
      <c r="G570" t="s">
        <v>1386</v>
      </c>
      <c r="H570" t="s">
        <v>255</v>
      </c>
      <c r="I570">
        <v>2019</v>
      </c>
      <c r="J570">
        <v>1</v>
      </c>
      <c r="K570" t="s">
        <v>1749</v>
      </c>
      <c r="M570" t="str">
        <f>LEFT($D570,FIND(",",$D570)-1)&amp;"_"&amp;I570&amp;L570</f>
        <v>Jones_2019</v>
      </c>
      <c r="N570" t="s">
        <v>223</v>
      </c>
      <c r="O570" s="171" t="s">
        <v>514</v>
      </c>
      <c r="P570" t="s">
        <v>962</v>
      </c>
      <c r="Q570" t="s">
        <v>390</v>
      </c>
      <c r="R570" s="271" t="s">
        <v>275</v>
      </c>
      <c r="S570" s="1" t="s">
        <v>1760</v>
      </c>
      <c r="T570" t="s">
        <v>1761</v>
      </c>
      <c r="U570" t="s">
        <v>1752</v>
      </c>
      <c r="V570" s="276">
        <v>1</v>
      </c>
      <c r="W570" s="276">
        <v>0</v>
      </c>
      <c r="X570" s="276">
        <v>0</v>
      </c>
      <c r="Y570" s="276">
        <v>0</v>
      </c>
      <c r="Z570" s="276">
        <v>0</v>
      </c>
      <c r="AA570" s="276">
        <v>0</v>
      </c>
      <c r="AB570" s="276">
        <v>0</v>
      </c>
      <c r="AC570" s="276">
        <v>0</v>
      </c>
      <c r="AD570" s="276">
        <v>0</v>
      </c>
      <c r="AE570" s="276">
        <v>0</v>
      </c>
      <c r="AF570" s="276">
        <v>0</v>
      </c>
      <c r="AG570" s="276">
        <v>0</v>
      </c>
      <c r="AH570" s="276">
        <v>0</v>
      </c>
      <c r="AI570" s="276">
        <v>0</v>
      </c>
      <c r="AJ570" s="276">
        <v>0</v>
      </c>
      <c r="AK570" s="276">
        <v>0</v>
      </c>
      <c r="AL570" s="276">
        <v>0</v>
      </c>
      <c r="AM570" s="276">
        <v>0</v>
      </c>
      <c r="AN570" s="276">
        <v>0</v>
      </c>
      <c r="AO570" s="276">
        <v>0</v>
      </c>
      <c r="AP570" s="276">
        <v>0</v>
      </c>
      <c r="AQ570" s="276">
        <v>0</v>
      </c>
      <c r="AR570" s="276">
        <v>0</v>
      </c>
      <c r="AS570" s="276">
        <v>0</v>
      </c>
      <c r="AT570" s="276">
        <v>2</v>
      </c>
      <c r="AU570" s="276">
        <v>0</v>
      </c>
      <c r="AV570" s="276">
        <v>0</v>
      </c>
      <c r="AW570" s="276">
        <v>2</v>
      </c>
      <c r="AX570" s="141">
        <f>COUNTIF(V570:AW570,"&lt;&gt;0")</f>
        <v>3</v>
      </c>
      <c r="AY570" s="141">
        <f>COUNTIF(V570:AL570,"&lt;&gt;0")</f>
        <v>1</v>
      </c>
      <c r="AZ570">
        <f>COUNTIF(V570:AC570,"&lt;&gt;0")</f>
        <v>1</v>
      </c>
      <c r="BA570">
        <f>COUNTIF(AD570:AI570,"&lt;&gt;0")</f>
        <v>0</v>
      </c>
      <c r="BB570">
        <f>COUNTIF(AJ570:AL570,"&lt;&gt;0")</f>
        <v>0</v>
      </c>
      <c r="BC570">
        <f>COUNTIF(AS570:AW570,"&lt;&gt;0")</f>
        <v>2</v>
      </c>
      <c r="BD570">
        <f>COUNTIF(AM570:AR570,"&lt;&gt;0")</f>
        <v>0</v>
      </c>
      <c r="BE570" s="276" t="str">
        <f t="array" ref="BE570">IF(AY570=1,INDEX($V$7:$AL$7,MATCH(TRUE,INDEX($V570:$AW570&lt;&gt;0,),0)),IF(AY570=0,INDEX($AM$7:$AW$7,MATCH(1,$AM570:$AW570,0)),IF(BF570="Multiple strategies","mixed drivers",IF(BF570="Supply chain","multiple supply","multiple silviculture"))))</f>
        <v>area subject to harvest</v>
      </c>
      <c r="BF570" s="2" t="str" cm="1">
        <f t="array" ref="BF570">IF(COUNTIF(AZ570:BB570,"&lt;&gt;0")=1,INDEX($V$4:$AW$4,MATCH(TRUE,INDEX($V570:$AW570&lt;&gt;0,),0)),IF(COUNTIF(AZ570:BB570,"&lt;&gt;0")=0,INDEX($AM$4:$AW$4,MATCH(1,$AM570:$AW570,0)),"Multiple strategies"))</f>
        <v>SilvicultureRemov</v>
      </c>
      <c r="BG570" s="1" t="s">
        <v>322</v>
      </c>
      <c r="BH570" t="s">
        <v>1753</v>
      </c>
      <c r="BI570" t="s">
        <v>1754</v>
      </c>
      <c r="BJ570" t="s">
        <v>499</v>
      </c>
      <c r="BK570">
        <v>1309693749999.9995</v>
      </c>
      <c r="BL570">
        <v>1318747840909.0903</v>
      </c>
      <c r="BM570" t="s">
        <v>545</v>
      </c>
      <c r="BN570">
        <f>BL570-BK570</f>
        <v>9054090909.0908203</v>
      </c>
      <c r="BO570">
        <f>BN570</f>
        <v>9054090909.0908203</v>
      </c>
      <c r="BP570" t="s">
        <v>396</v>
      </c>
      <c r="BQ570" t="s">
        <v>1755</v>
      </c>
      <c r="BR570" t="s">
        <v>1756</v>
      </c>
      <c r="BS570">
        <v>-5095541.4012738802</v>
      </c>
      <c r="BT570">
        <v>-6942675.1592356702</v>
      </c>
      <c r="BU570" s="144">
        <v>1.519607843137238</v>
      </c>
      <c r="BV570" s="152">
        <v>-2387387.3873873334</v>
      </c>
      <c r="BX570" s="152">
        <f>BV570</f>
        <v>-2387387.3873873334</v>
      </c>
      <c r="BY570">
        <f>IFERROR(BX570/BO570,"")</f>
        <v>-2.6368051871339854E-4</v>
      </c>
      <c r="BZ570">
        <v>0</v>
      </c>
      <c r="CA570">
        <v>0</v>
      </c>
      <c r="CB570">
        <v>0</v>
      </c>
      <c r="CC570">
        <v>0</v>
      </c>
      <c r="CD570">
        <v>0</v>
      </c>
      <c r="CE570">
        <v>0</v>
      </c>
      <c r="CF570">
        <v>0</v>
      </c>
      <c r="CG570">
        <v>0</v>
      </c>
      <c r="CH570">
        <v>0</v>
      </c>
      <c r="CI570">
        <v>0</v>
      </c>
      <c r="CJ570">
        <v>0</v>
      </c>
      <c r="CK570">
        <v>0</v>
      </c>
      <c r="CL570">
        <v>0</v>
      </c>
      <c r="CM570">
        <v>0</v>
      </c>
      <c r="CN570" t="str">
        <f>IF($BL570&lt;$BK570,"refNeedCorrection","refOK")</f>
        <v>refOK</v>
      </c>
      <c r="CO570">
        <f>IF($CN570="refOK",$BK570,$BL570)</f>
        <v>1309693749999.9995</v>
      </c>
      <c r="CP570">
        <f>IF($CN570="refOK",$BL570,$BK570)</f>
        <v>1318747840909.0903</v>
      </c>
      <c r="CQ570">
        <f>IF($CN570="refOK",$BO570,-$BO570)</f>
        <v>9054090909.0908203</v>
      </c>
      <c r="CR570">
        <f>IF($CN570="refOK",$BS570,$BT570)*IF($BP570="Emissions positive",-1,1)</f>
        <v>5095541.4012738802</v>
      </c>
      <c r="CS570">
        <f>IF($CN570="refOK",$BT570,$BS570)*IF($BP570="Emissions positive",-1,1)</f>
        <v>6942675.1592356702</v>
      </c>
      <c r="CT570">
        <f>IF($CN570="refNeedCorrection",-BX570,BX570)*IF($BP570="Emissions positive",-1,1)</f>
        <v>2387387.3873873334</v>
      </c>
      <c r="CU570">
        <f>IFERROR(CT570/CQ570,"")</f>
        <v>2.6368051871339854E-4</v>
      </c>
      <c r="CV570" s="2">
        <f>IFERROR((CS570-CR570)/ABS(CR570),"")</f>
        <v>0.36250000000000165</v>
      </c>
      <c r="CW570" s="1" t="s">
        <v>1201</v>
      </c>
      <c r="CX570" t="str">
        <f>IF(OR($CW570="prd",$CW570="std",$CW570="cit"),"loc",IF(OR($CW570="eur",$CW570="reg",$CW570="coy"),"reg",$CW570))</f>
        <v>reg</v>
      </c>
      <c r="CY570" t="s">
        <v>429</v>
      </c>
      <c r="CZ570">
        <v>2015</v>
      </c>
      <c r="DA570">
        <v>2040</v>
      </c>
      <c r="DB570">
        <v>0</v>
      </c>
      <c r="DC570" t="str">
        <f>IF(DB570=0,"0",IF(AND(DB570&gt;=1,DB570&lt;=30),"1-30",IF(AND(DB570&gt;30,DB570&lt;=70),"31-70",IF(AND(DB570&gt;70,DB570&lt;=100),"71-100",IF(DB570&gt;100,"+100")))))</f>
        <v>0</v>
      </c>
      <c r="DD570">
        <v>1</v>
      </c>
      <c r="DE570">
        <v>0</v>
      </c>
      <c r="DF570">
        <v>0</v>
      </c>
      <c r="DG570">
        <v>0</v>
      </c>
      <c r="DH570">
        <v>0</v>
      </c>
      <c r="DI570">
        <v>1</v>
      </c>
      <c r="DJ570" t="str">
        <f>IF(DI570=1,INDEX($DD$7:$DG$7,MATCH(1,$DD570:$DG570,0)),"mixedProduct")</f>
        <v>UpstreamInput</v>
      </c>
      <c r="DK570" t="str">
        <f>IF(DD570=1,DK$7,0)</f>
        <v>Upstream</v>
      </c>
      <c r="DL570">
        <f>IF(DE570=1,DL$7,0)</f>
        <v>0</v>
      </c>
      <c r="DM570">
        <f>IF(DF570=1,DM$7,0)</f>
        <v>0</v>
      </c>
      <c r="DN570">
        <f>IF(DG570=1,DN$7,0)</f>
        <v>0</v>
      </c>
      <c r="DO570">
        <v>0</v>
      </c>
      <c r="DP570">
        <v>0</v>
      </c>
      <c r="DQ570">
        <v>0</v>
      </c>
      <c r="DR570">
        <v>0</v>
      </c>
      <c r="DS570">
        <v>0</v>
      </c>
      <c r="DT570">
        <f>SUM(DO570:DP570)</f>
        <v>0</v>
      </c>
      <c r="DU570" s="143" t="s">
        <v>964</v>
      </c>
      <c r="DV570">
        <v>1</v>
      </c>
      <c r="DW570">
        <v>1</v>
      </c>
      <c r="DX570">
        <v>1</v>
      </c>
      <c r="DY570">
        <v>0</v>
      </c>
      <c r="DZ570">
        <v>0</v>
      </c>
      <c r="EA570" s="143">
        <v>0</v>
      </c>
      <c r="EB570">
        <v>0</v>
      </c>
      <c r="EC570">
        <v>0</v>
      </c>
      <c r="ED570">
        <v>0</v>
      </c>
      <c r="EE570">
        <v>0</v>
      </c>
      <c r="EF570">
        <v>1</v>
      </c>
      <c r="EG570">
        <v>0</v>
      </c>
      <c r="EH570">
        <v>1</v>
      </c>
      <c r="EI570" s="2">
        <v>0</v>
      </c>
      <c r="EK570" t="str">
        <f>IF(AND(AND(AND(OR($DX570=1,$DW570=1),OR($EC570=1,$EA570=1)),SUM($DV570:$DZ570,$EF570)&gt;=4),SUM($EA570:$EE570)&gt;=2),"Whole sector","")</f>
        <v/>
      </c>
      <c r="EL570" t="str">
        <f>IF(AND(AND(OR($DX570=1,$DW570=1),AND($EC570=0,$EA570=0)),SUM($DV570:$DZ570,$EF570)&gt;=4),"Ecosystem approach","")</f>
        <v>Ecosystem approach</v>
      </c>
      <c r="EM570" s="2" t="str">
        <f>IF(AND(AND(AND($DX570=0,$DW570=0),OR($EC570=1,$EA570=1)),SUM($EB570:$EE570)&gt;=2),"Technology approach","")</f>
        <v/>
      </c>
      <c r="EP570" t="str">
        <f>IF(ISNUMBER(BU570),IF(ABS(BU570-[3]QC_indicators!$B$2)&gt;3*[3]QC_indicators!$C$2,"C ratio",IF(ISNUMBER(BY570),IF(ABS(BY570-[3]QC_indicators!$B$1)&gt;3*[3]QC_indicators!$C$1,"DF","no"))),IF(ISNUMBER(BY570),IF(ABS(BY570-[3]QC_indicators!$B$1)&gt;3*[3]QC_indicators!$C$1,"DF","no")))</f>
        <v>no</v>
      </c>
      <c r="ER570" t="s">
        <v>1757</v>
      </c>
      <c r="ET570" s="266" t="s">
        <v>3270</v>
      </c>
      <c r="EU570" s="266"/>
    </row>
    <row r="571" spans="1:151" ht="15" customHeight="1">
      <c r="A571" s="1" t="s">
        <v>850</v>
      </c>
      <c r="B571" t="s">
        <v>2039</v>
      </c>
      <c r="C571" t="s">
        <v>2040</v>
      </c>
      <c r="D571" t="s">
        <v>2041</v>
      </c>
      <c r="E571" t="s">
        <v>2042</v>
      </c>
      <c r="F571" t="s">
        <v>2043</v>
      </c>
      <c r="G571" t="s">
        <v>856</v>
      </c>
      <c r="H571" t="s">
        <v>255</v>
      </c>
      <c r="I571">
        <v>2020</v>
      </c>
      <c r="J571">
        <v>1</v>
      </c>
      <c r="K571" t="s">
        <v>2044</v>
      </c>
      <c r="M571" t="str">
        <f>LEFT($D571,FIND(",",$D571)-1)&amp;"_"&amp;I571&amp;L571</f>
        <v>Numazawa_2020</v>
      </c>
      <c r="N571" t="s">
        <v>223</v>
      </c>
      <c r="O571" s="157" t="s">
        <v>275</v>
      </c>
      <c r="P571" t="s">
        <v>514</v>
      </c>
      <c r="Q571" t="s">
        <v>390</v>
      </c>
      <c r="R571" s="255" t="s">
        <v>224</v>
      </c>
      <c r="S571" s="1" t="s">
        <v>2045</v>
      </c>
      <c r="T571" t="s">
        <v>2046</v>
      </c>
      <c r="U571" t="s">
        <v>2047</v>
      </c>
      <c r="V571">
        <v>0</v>
      </c>
      <c r="W571">
        <v>0</v>
      </c>
      <c r="X571">
        <v>0</v>
      </c>
      <c r="Y571">
        <v>1</v>
      </c>
      <c r="Z571">
        <v>0</v>
      </c>
      <c r="AA571">
        <v>0</v>
      </c>
      <c r="AB571">
        <v>0</v>
      </c>
      <c r="AC571">
        <v>0</v>
      </c>
      <c r="AD571">
        <v>0</v>
      </c>
      <c r="AE571">
        <v>0</v>
      </c>
      <c r="AF571">
        <v>0</v>
      </c>
      <c r="AG571">
        <v>0</v>
      </c>
      <c r="AH571">
        <v>0</v>
      </c>
      <c r="AI571">
        <v>0</v>
      </c>
      <c r="AJ571">
        <v>0</v>
      </c>
      <c r="AK571">
        <v>0</v>
      </c>
      <c r="AL571">
        <v>0</v>
      </c>
      <c r="AM571">
        <v>0</v>
      </c>
      <c r="AN571">
        <v>0</v>
      </c>
      <c r="AO571">
        <v>0</v>
      </c>
      <c r="AP571">
        <v>0</v>
      </c>
      <c r="AQ571">
        <v>0</v>
      </c>
      <c r="AR571">
        <v>0</v>
      </c>
      <c r="AS571">
        <v>0</v>
      </c>
      <c r="AT571">
        <v>0</v>
      </c>
      <c r="AU571">
        <v>0</v>
      </c>
      <c r="AV571">
        <v>0</v>
      </c>
      <c r="AW571">
        <v>0</v>
      </c>
      <c r="AX571" s="141">
        <f>COUNTIF(V571:AW571,"&lt;&gt;0")</f>
        <v>1</v>
      </c>
      <c r="AY571" s="141">
        <f>COUNTIF(V571:AL571,"&lt;&gt;0")</f>
        <v>1</v>
      </c>
      <c r="AZ571">
        <f>COUNTIF(V571:AC571,"&lt;&gt;0")</f>
        <v>1</v>
      </c>
      <c r="BA571">
        <f>COUNTIF(AD571:AI571,"&lt;&gt;0")</f>
        <v>0</v>
      </c>
      <c r="BB571">
        <f>COUNTIF(AJ571:AL571,"&lt;&gt;0")</f>
        <v>0</v>
      </c>
      <c r="BC571">
        <f>COUNTIF(AS571:AW571,"&lt;&gt;0")</f>
        <v>0</v>
      </c>
      <c r="BD571">
        <f>COUNTIF(AM571:AR571,"&lt;&gt;0")</f>
        <v>0</v>
      </c>
      <c r="BE571" t="str">
        <f t="array" ref="BE571">IF(AY571=1,INDEX($V$7:$AL$7,MATCH(TRUE,INDEX($V571:$AW571&lt;&gt;0,),0)),IF(AY571=0,INDEX($AM$7:$AW$7,MATCH(1,$AM571:$AW571,0)),IF(BF571="Multiple strategies","mixed drivers",IF(BF571="Supply chain","multiple supply","multiple silviculture"))))</f>
        <v xml:space="preserve">cutting intensity </v>
      </c>
      <c r="BF571" s="2" t="str" cm="1">
        <f t="array" ref="BF571">IF(COUNTIF(AZ571:BB571,"&lt;&gt;0")=1,INDEX($V$4:$AW$4,MATCH(TRUE,INDEX($V571:$AW571&lt;&gt;0,),0)),IF(COUNTIF(AZ571:BB571,"&lt;&gt;0")=0,INDEX($AM$4:$AW$4,MATCH(1,$AM571:$AW571,0)),"Multiple strategies"))</f>
        <v>SilvicultureRemov</v>
      </c>
      <c r="BG571" s="1" t="s">
        <v>322</v>
      </c>
      <c r="BH571" s="267" t="s">
        <v>3098</v>
      </c>
      <c r="BI571" s="266" t="s">
        <v>397</v>
      </c>
      <c r="BJ571" t="s">
        <v>2048</v>
      </c>
      <c r="BK571">
        <v>0</v>
      </c>
      <c r="BL571">
        <v>27</v>
      </c>
      <c r="BM571" t="str">
        <f>IFERROR(BL571/BK571,"")</f>
        <v/>
      </c>
      <c r="BN571">
        <f>BL571-BK571</f>
        <v>27</v>
      </c>
      <c r="BO571">
        <f>BN571*t_to_m3</f>
        <v>55.102040816326529</v>
      </c>
      <c r="BP571" t="s">
        <v>233</v>
      </c>
      <c r="BQ571" t="s">
        <v>397</v>
      </c>
      <c r="BR571" t="s">
        <v>2049</v>
      </c>
      <c r="BS571">
        <v>125</v>
      </c>
      <c r="BT571">
        <v>111</v>
      </c>
      <c r="BU571" s="144">
        <f>BT571/BS571</f>
        <v>0.88800000000000001</v>
      </c>
      <c r="BV571">
        <f>BT571-BS571</f>
        <v>-14</v>
      </c>
      <c r="BX571">
        <f>BV571*C_to_CO2</f>
        <v>-51.379999999999995</v>
      </c>
      <c r="BY571">
        <f>IFERROR(BX571/BO571,"")</f>
        <v>-0.93245185185185175</v>
      </c>
      <c r="BZ571">
        <v>0</v>
      </c>
      <c r="CA571">
        <v>0</v>
      </c>
      <c r="CB571">
        <v>0</v>
      </c>
      <c r="CC571">
        <v>0</v>
      </c>
      <c r="CD571">
        <v>0</v>
      </c>
      <c r="CE571">
        <v>0</v>
      </c>
      <c r="CF571">
        <v>0</v>
      </c>
      <c r="CG571">
        <v>0</v>
      </c>
      <c r="CH571">
        <v>0</v>
      </c>
      <c r="CI571">
        <v>0</v>
      </c>
      <c r="CJ571">
        <v>0</v>
      </c>
      <c r="CK571">
        <v>0</v>
      </c>
      <c r="CL571">
        <v>0</v>
      </c>
      <c r="CM571">
        <v>1</v>
      </c>
      <c r="CN571" t="str">
        <f>IF($BL571&lt;$BK571,"refNeedCorrection","refOK")</f>
        <v>refOK</v>
      </c>
      <c r="CO571">
        <f>IF($CN571="refOK",$BK571,$BL571)</f>
        <v>0</v>
      </c>
      <c r="CP571">
        <f>IF($CN571="refOK",$BL571,$BK571)</f>
        <v>27</v>
      </c>
      <c r="CQ571">
        <f>IF($CN571="refOK",$BO571,-$BO571)</f>
        <v>55.102040816326529</v>
      </c>
      <c r="CR571">
        <f>IF($CN571="refOK",$BS571,$BT571)*IF($BP571="Emissions positive",-1,1)</f>
        <v>125</v>
      </c>
      <c r="CS571">
        <f>IF($CN571="refOK",$BT571,$BS571)*IF($BP571="Emissions positive",-1,1)</f>
        <v>111</v>
      </c>
      <c r="CT571">
        <f>IF($CN571="refNeedCorrection",-BX571,BX571)*IF($BP571="Emissions positive",-1,1)</f>
        <v>-51.379999999999995</v>
      </c>
      <c r="CU571">
        <f>IFERROR(CT571/CQ571,"")</f>
        <v>-0.93245185185185175</v>
      </c>
      <c r="CV571" s="2">
        <f>IFERROR((CS571-CR571)/ABS(CR571),"")</f>
        <v>-0.112</v>
      </c>
      <c r="CW571" s="1" t="s">
        <v>2038</v>
      </c>
      <c r="CX571" t="str">
        <f>IF(OR($CW571="prd",$CW571="std",$CW571="cit"),"loc",IF(OR($CW571="eur",$CW571="reg",$CW571="coy"),"reg",$CW571))</f>
        <v>reg</v>
      </c>
      <c r="CY571" t="s">
        <v>521</v>
      </c>
      <c r="DB571">
        <v>120</v>
      </c>
      <c r="DC571" t="str">
        <f>IF(DB571=0,"0",IF(AND(DB571&gt;=1,DB571&lt;=30),"1-30",IF(AND(DB571&gt;30,DB571&lt;=70),"31-70",IF(AND(DB571&gt;70,DB571&lt;=100),"71-100",IF(DB571&gt;100,"+100")))))</f>
        <v>+100</v>
      </c>
      <c r="DD571">
        <v>1</v>
      </c>
      <c r="DE571">
        <v>0</v>
      </c>
      <c r="DF571">
        <v>0</v>
      </c>
      <c r="DG571">
        <v>0</v>
      </c>
      <c r="DH571">
        <v>0</v>
      </c>
      <c r="DI571">
        <f>SUM(DD571:DG571)</f>
        <v>1</v>
      </c>
      <c r="DJ571" t="str">
        <f>IF(DI571=1,INDEX($DD$7:$DG$7,MATCH(1,$DD571:$DG571,0)),"mixedProduct")</f>
        <v>UpstreamInput</v>
      </c>
      <c r="DK571" t="str">
        <f>IF(DD571=1,DK$7,0)</f>
        <v>Upstream</v>
      </c>
      <c r="DL571">
        <f>IF(DE571=1,DL$7,0)</f>
        <v>0</v>
      </c>
      <c r="DM571">
        <f>IF(DF571=1,DM$7,0)</f>
        <v>0</v>
      </c>
      <c r="DN571">
        <f>IF(DG571=1,DN$7,0)</f>
        <v>0</v>
      </c>
      <c r="DT571"/>
      <c r="DU571" s="143" t="str">
        <f>IF(DO571=1,"self-calculated DF",IF(DP571=1,"external DF used","explicit C balance"))</f>
        <v>explicit C balance</v>
      </c>
      <c r="DV571">
        <v>1</v>
      </c>
      <c r="DW571">
        <v>1</v>
      </c>
      <c r="DX571">
        <v>1</v>
      </c>
      <c r="DY571">
        <v>0</v>
      </c>
      <c r="DZ571">
        <v>0</v>
      </c>
      <c r="EA571" s="143">
        <v>0</v>
      </c>
      <c r="EB571">
        <v>0</v>
      </c>
      <c r="EC571">
        <v>0</v>
      </c>
      <c r="ED571">
        <v>0</v>
      </c>
      <c r="EE571">
        <v>0</v>
      </c>
      <c r="EF571">
        <v>1</v>
      </c>
      <c r="EG571">
        <v>0</v>
      </c>
      <c r="EH571">
        <v>0</v>
      </c>
      <c r="EI571" s="2">
        <v>0</v>
      </c>
      <c r="EK571" t="str">
        <f>IF(AND(AND(AND(OR($DX571=1,$DW571=1),OR($EC571=1,$EA571=1)),SUM($DV571:$DZ571,$EF571)&gt;=4),SUM($EA571:$EE571)&gt;=2),"Whole sector","")</f>
        <v/>
      </c>
      <c r="EL571" t="str">
        <f>IF(AND(AND(OR($DX571=1,$DW571=1),AND($EC571=0,$EA571=0)),SUM($DV571:$DZ571,$EF571)&gt;=4),"Ecosystem approach","")</f>
        <v>Ecosystem approach</v>
      </c>
      <c r="EM571" s="2" t="str">
        <f>IF(AND(AND(AND($DX571=0,$DW571=0),OR($EC571=1,$EA571=1)),SUM($EB571:$EE571)&gt;=2),"Technology approach","")</f>
        <v/>
      </c>
      <c r="EP571" t="str">
        <f>IF(ISNUMBER(BU571),IF(ABS(BU571-[2]QC_indicators!$B$2)&gt;3*[2]QC_indicators!$C$2,"C ratio",IF(ISNUMBER(BY571),IF(ABS(BY571-[2]QC_indicators!$B$1)&gt;3*[2]QC_indicators!$C$1,"DF","no"))),IF(ISNUMBER(BY571),IF(ABS(BY571-[2]QC_indicators!$B$1)&gt;3*[2]QC_indicators!$C$1,"DF","no")))</f>
        <v>no</v>
      </c>
      <c r="ET571" s="266" t="s">
        <v>3099</v>
      </c>
    </row>
    <row r="572" spans="1:151" ht="15" customHeight="1">
      <c r="A572" s="1" t="s">
        <v>850</v>
      </c>
      <c r="B572" t="s">
        <v>2039</v>
      </c>
      <c r="C572" t="s">
        <v>2040</v>
      </c>
      <c r="D572" t="s">
        <v>2041</v>
      </c>
      <c r="E572" t="s">
        <v>2042</v>
      </c>
      <c r="F572" t="s">
        <v>2043</v>
      </c>
      <c r="G572" t="s">
        <v>856</v>
      </c>
      <c r="H572" t="s">
        <v>255</v>
      </c>
      <c r="I572">
        <v>2020</v>
      </c>
      <c r="J572">
        <v>1</v>
      </c>
      <c r="K572" t="s">
        <v>2044</v>
      </c>
      <c r="M572" t="str">
        <f>LEFT($D572,FIND(",",$D572)-1)&amp;"_"&amp;I572&amp;L572</f>
        <v>Numazawa_2020</v>
      </c>
      <c r="N572" t="s">
        <v>223</v>
      </c>
      <c r="O572" s="157" t="s">
        <v>275</v>
      </c>
      <c r="P572" t="s">
        <v>514</v>
      </c>
      <c r="Q572" t="s">
        <v>390</v>
      </c>
      <c r="R572" s="255" t="s">
        <v>224</v>
      </c>
      <c r="S572" s="1" t="s">
        <v>1743</v>
      </c>
      <c r="T572" t="s">
        <v>2046</v>
      </c>
      <c r="U572" s="266" t="s">
        <v>2050</v>
      </c>
      <c r="V572">
        <v>0</v>
      </c>
      <c r="W572">
        <v>0</v>
      </c>
      <c r="X572">
        <v>0</v>
      </c>
      <c r="Y572">
        <v>1</v>
      </c>
      <c r="Z572">
        <v>0</v>
      </c>
      <c r="AA572">
        <v>0</v>
      </c>
      <c r="AB572">
        <v>0</v>
      </c>
      <c r="AC572">
        <v>0</v>
      </c>
      <c r="AD572">
        <v>0</v>
      </c>
      <c r="AE572">
        <v>0</v>
      </c>
      <c r="AF572">
        <v>0</v>
      </c>
      <c r="AG572">
        <v>0</v>
      </c>
      <c r="AH572">
        <v>0</v>
      </c>
      <c r="AI572">
        <v>0</v>
      </c>
      <c r="AJ572">
        <v>0</v>
      </c>
      <c r="AK572">
        <v>0</v>
      </c>
      <c r="AL572">
        <v>0</v>
      </c>
      <c r="AM572">
        <v>0</v>
      </c>
      <c r="AN572">
        <v>0</v>
      </c>
      <c r="AO572">
        <v>0</v>
      </c>
      <c r="AP572">
        <v>0</v>
      </c>
      <c r="AQ572">
        <v>0</v>
      </c>
      <c r="AR572">
        <v>0</v>
      </c>
      <c r="AS572">
        <v>0</v>
      </c>
      <c r="AT572">
        <v>0</v>
      </c>
      <c r="AU572">
        <v>0</v>
      </c>
      <c r="AV572">
        <v>0</v>
      </c>
      <c r="AW572">
        <v>0</v>
      </c>
      <c r="AX572" s="141">
        <f>COUNTIF(V572:AW572,"&lt;&gt;0")</f>
        <v>1</v>
      </c>
      <c r="AY572" s="141">
        <f>COUNTIF(V572:AL572,"&lt;&gt;0")</f>
        <v>1</v>
      </c>
      <c r="AZ572">
        <f>COUNTIF(V572:AC572,"&lt;&gt;0")</f>
        <v>1</v>
      </c>
      <c r="BA572">
        <f>COUNTIF(AD572:AI572,"&lt;&gt;0")</f>
        <v>0</v>
      </c>
      <c r="BB572">
        <f>COUNTIF(AJ572:AL572,"&lt;&gt;0")</f>
        <v>0</v>
      </c>
      <c r="BC572">
        <f>COUNTIF(AS572:AW572,"&lt;&gt;0")</f>
        <v>0</v>
      </c>
      <c r="BD572">
        <f>COUNTIF(AM572:AR572,"&lt;&gt;0")</f>
        <v>0</v>
      </c>
      <c r="BE572" t="str">
        <f t="array" ref="BE572">IF(AY572=1,INDEX($V$7:$AL$7,MATCH(TRUE,INDEX($V572:$AW572&lt;&gt;0,),0)),IF(AY572=0,INDEX($AM$7:$AW$7,MATCH(1,$AM572:$AW572,0)),IF(BF572="Multiple strategies","mixed drivers",IF(BF572="Supply chain","multiple supply","multiple silviculture"))))</f>
        <v xml:space="preserve">cutting intensity </v>
      </c>
      <c r="BF572" s="2" t="str" cm="1">
        <f t="array" ref="BF572">IF(COUNTIF(AZ572:BB572,"&lt;&gt;0")=1,INDEX($V$4:$AW$4,MATCH(TRUE,INDEX($V572:$AW572&lt;&gt;0,),0)),IF(COUNTIF(AZ572:BB572,"&lt;&gt;0")=0,INDEX($AM$4:$AW$4,MATCH(1,$AM572:$AW572,0)),"Multiple strategies"))</f>
        <v>SilvicultureRemov</v>
      </c>
      <c r="BG572" s="1" t="s">
        <v>322</v>
      </c>
      <c r="BH572" s="267" t="s">
        <v>3098</v>
      </c>
      <c r="BI572" s="266" t="s">
        <v>1150</v>
      </c>
      <c r="BJ572" t="s">
        <v>2048</v>
      </c>
      <c r="BK572">
        <v>0</v>
      </c>
      <c r="BL572">
        <v>9</v>
      </c>
      <c r="BM572" t="str">
        <f>IFERROR(BL572/BK572,"")</f>
        <v/>
      </c>
      <c r="BN572">
        <f>BL572-BK572</f>
        <v>9</v>
      </c>
      <c r="BO572">
        <f>BN572*t_to_m3</f>
        <v>18.367346938775512</v>
      </c>
      <c r="BP572" t="s">
        <v>233</v>
      </c>
      <c r="BQ572" t="s">
        <v>397</v>
      </c>
      <c r="BR572" t="s">
        <v>2049</v>
      </c>
      <c r="BS572">
        <v>125</v>
      </c>
      <c r="BT572">
        <v>122</v>
      </c>
      <c r="BU572" s="144">
        <f>BT572/BS572</f>
        <v>0.97599999999999998</v>
      </c>
      <c r="BV572">
        <f>BT572-BS572</f>
        <v>-3</v>
      </c>
      <c r="BX572">
        <f>BV572*C_to_CO2</f>
        <v>-11.01</v>
      </c>
      <c r="BY572">
        <f>IFERROR(BX572/BO572,"")</f>
        <v>-0.59943333333333326</v>
      </c>
      <c r="BZ572">
        <v>0</v>
      </c>
      <c r="CA572">
        <v>0</v>
      </c>
      <c r="CB572">
        <v>0</v>
      </c>
      <c r="CC572">
        <v>0</v>
      </c>
      <c r="CD572">
        <v>0</v>
      </c>
      <c r="CE572">
        <v>0</v>
      </c>
      <c r="CF572">
        <v>0</v>
      </c>
      <c r="CG572">
        <v>0</v>
      </c>
      <c r="CH572">
        <v>0</v>
      </c>
      <c r="CI572">
        <v>0</v>
      </c>
      <c r="CJ572">
        <v>0</v>
      </c>
      <c r="CK572">
        <v>0</v>
      </c>
      <c r="CL572">
        <v>0</v>
      </c>
      <c r="CM572">
        <v>1</v>
      </c>
      <c r="CN572" t="str">
        <f>IF($BL572&lt;$BK572,"refNeedCorrection","refOK")</f>
        <v>refOK</v>
      </c>
      <c r="CO572">
        <f>IF($CN572="refOK",$BK572,$BL572)</f>
        <v>0</v>
      </c>
      <c r="CP572">
        <f>IF($CN572="refOK",$BL572,$BK572)</f>
        <v>9</v>
      </c>
      <c r="CQ572">
        <f>IF($CN572="refOK",$BO572,-$BO572)</f>
        <v>18.367346938775512</v>
      </c>
      <c r="CR572">
        <f>IF($CN572="refOK",$BS572,$BT572)*IF($BP572="Emissions positive",-1,1)</f>
        <v>125</v>
      </c>
      <c r="CS572">
        <f>IF($CN572="refOK",$BT572,$BS572)*IF($BP572="Emissions positive",-1,1)</f>
        <v>122</v>
      </c>
      <c r="CT572">
        <f>IF($CN572="refNeedCorrection",-BX572,BX572)*IF($BP572="Emissions positive",-1,1)</f>
        <v>-11.01</v>
      </c>
      <c r="CU572">
        <f>IFERROR(CT572/CQ572,"")</f>
        <v>-0.59943333333333326</v>
      </c>
      <c r="CV572" s="2">
        <f>IFERROR((CS572-CR572)/ABS(CR572),"")</f>
        <v>-2.4E-2</v>
      </c>
      <c r="CW572" s="1" t="s">
        <v>2038</v>
      </c>
      <c r="CX572" t="str">
        <f>IF(OR($CW572="prd",$CW572="std",$CW572="cit"),"loc",IF(OR($CW572="eur",$CW572="reg",$CW572="coy"),"reg",$CW572))</f>
        <v>reg</v>
      </c>
      <c r="CY572" t="s">
        <v>521</v>
      </c>
      <c r="DB572">
        <v>120</v>
      </c>
      <c r="DC572" t="str">
        <f>IF(DB572=0,"0",IF(AND(DB572&gt;=1,DB572&lt;=30),"1-30",IF(AND(DB572&gt;30,DB572&lt;=70),"31-70",IF(AND(DB572&gt;70,DB572&lt;=100),"71-100",IF(DB572&gt;100,"+100")))))</f>
        <v>+100</v>
      </c>
      <c r="DD572">
        <v>1</v>
      </c>
      <c r="DE572">
        <v>0</v>
      </c>
      <c r="DF572">
        <v>0</v>
      </c>
      <c r="DG572">
        <v>0</v>
      </c>
      <c r="DH572">
        <v>0</v>
      </c>
      <c r="DI572">
        <f>SUM(DD572:DH572)</f>
        <v>1</v>
      </c>
      <c r="DJ572" t="str">
        <f>IF(DI572=1,INDEX($DD$7:$DG$7,MATCH(1,$DD572:$DG572,0)),"mixedProduct")</f>
        <v>UpstreamInput</v>
      </c>
      <c r="DK572" t="str">
        <f>IF(DD572=1,DK$7,0)</f>
        <v>Upstream</v>
      </c>
      <c r="DL572">
        <f>IF(DE572=1,DL$7,0)</f>
        <v>0</v>
      </c>
      <c r="DM572">
        <f>IF(DF572=1,DM$7,0)</f>
        <v>0</v>
      </c>
      <c r="DN572">
        <f>IF(DG572=1,DN$7,0)</f>
        <v>0</v>
      </c>
      <c r="DT572"/>
      <c r="DU572" s="143" t="str">
        <f>IF(DO572=1,"self-calculated DF",IF(DP572=1,"external DF used","explicit C balance"))</f>
        <v>explicit C balance</v>
      </c>
      <c r="DV572">
        <v>1</v>
      </c>
      <c r="DW572">
        <v>1</v>
      </c>
      <c r="DX572">
        <v>1</v>
      </c>
      <c r="DY572">
        <v>0</v>
      </c>
      <c r="DZ572">
        <v>0</v>
      </c>
      <c r="EA572" s="143">
        <v>0</v>
      </c>
      <c r="EB572">
        <v>0</v>
      </c>
      <c r="EC572">
        <v>0</v>
      </c>
      <c r="ED572">
        <v>0</v>
      </c>
      <c r="EE572">
        <v>0</v>
      </c>
      <c r="EF572">
        <v>1</v>
      </c>
      <c r="EG572">
        <v>0</v>
      </c>
      <c r="EH572">
        <v>0</v>
      </c>
      <c r="EI572" s="2">
        <v>0</v>
      </c>
      <c r="EK572" t="str">
        <f>IF(AND(AND(AND(OR($DX572=1,$DW572=1),OR($EC572=1,$EA572=1)),SUM($DV572:$DZ572,$EF572)&gt;=4),SUM($EA572:$EE572)&gt;=2),"Whole sector","")</f>
        <v/>
      </c>
      <c r="EL572" t="str">
        <f>IF(AND(AND(OR($DX572=1,$DW572=1),AND($EC572=0,$EA572=0)),SUM($DV572:$DZ572,$EF572)&gt;=4),"Ecosystem approach","")</f>
        <v>Ecosystem approach</v>
      </c>
      <c r="EM572" s="2" t="str">
        <f>IF(AND(AND(AND($DX572=0,$DW572=0),OR($EC572=1,$EA572=1)),SUM($EB572:$EE572)&gt;=2),"Technology approach","")</f>
        <v/>
      </c>
      <c r="EP572" t="str">
        <f>IF(ISNUMBER(BU572),IF(ABS(BU572-[2]QC_indicators!$B$2)&gt;3*[2]QC_indicators!$C$2,"C ratio",IF(ISNUMBER(BY572),IF(ABS(BY572-[2]QC_indicators!$B$1)&gt;3*[2]QC_indicators!$C$1,"DF","no"))),IF(ISNUMBER(BY572),IF(ABS(BY572-[2]QC_indicators!$B$1)&gt;3*[2]QC_indicators!$C$1,"DF","no")))</f>
        <v>no</v>
      </c>
      <c r="ET572" s="266" t="s">
        <v>3099</v>
      </c>
    </row>
    <row r="573" spans="1:151" ht="15" customHeight="1">
      <c r="A573" s="1" t="s">
        <v>850</v>
      </c>
      <c r="B573" t="s">
        <v>2039</v>
      </c>
      <c r="C573" t="s">
        <v>2040</v>
      </c>
      <c r="D573" t="s">
        <v>2041</v>
      </c>
      <c r="E573" t="s">
        <v>2042</v>
      </c>
      <c r="F573" t="s">
        <v>2043</v>
      </c>
      <c r="G573" t="s">
        <v>856</v>
      </c>
      <c r="H573" t="s">
        <v>255</v>
      </c>
      <c r="I573">
        <v>2020</v>
      </c>
      <c r="J573">
        <v>1</v>
      </c>
      <c r="K573" t="s">
        <v>2044</v>
      </c>
      <c r="M573" t="str">
        <f>LEFT($D573,FIND(",",$D573)-1)&amp;"_"&amp;I573&amp;L573</f>
        <v>Numazawa_2020</v>
      </c>
      <c r="N573" t="s">
        <v>223</v>
      </c>
      <c r="O573" s="157" t="s">
        <v>275</v>
      </c>
      <c r="P573" t="s">
        <v>514</v>
      </c>
      <c r="Q573" t="s">
        <v>390</v>
      </c>
      <c r="R573" s="255" t="s">
        <v>224</v>
      </c>
      <c r="S573" s="1" t="s">
        <v>2051</v>
      </c>
      <c r="T573" t="s">
        <v>2046</v>
      </c>
      <c r="U573" t="s">
        <v>2052</v>
      </c>
      <c r="V573">
        <v>0</v>
      </c>
      <c r="W573">
        <v>0</v>
      </c>
      <c r="X573">
        <v>0</v>
      </c>
      <c r="Y573">
        <v>1</v>
      </c>
      <c r="Z573">
        <v>0</v>
      </c>
      <c r="AA573">
        <v>0</v>
      </c>
      <c r="AB573">
        <v>0</v>
      </c>
      <c r="AC573">
        <v>0</v>
      </c>
      <c r="AD573">
        <v>0</v>
      </c>
      <c r="AE573">
        <v>0</v>
      </c>
      <c r="AF573">
        <v>0</v>
      </c>
      <c r="AG573">
        <v>0</v>
      </c>
      <c r="AH573">
        <v>0</v>
      </c>
      <c r="AI573">
        <v>0</v>
      </c>
      <c r="AJ573">
        <v>0</v>
      </c>
      <c r="AK573">
        <v>0</v>
      </c>
      <c r="AL573">
        <v>0</v>
      </c>
      <c r="AM573">
        <v>0</v>
      </c>
      <c r="AN573">
        <v>0</v>
      </c>
      <c r="AO573">
        <v>0</v>
      </c>
      <c r="AP573">
        <v>0</v>
      </c>
      <c r="AQ573">
        <v>0</v>
      </c>
      <c r="AR573">
        <v>0</v>
      </c>
      <c r="AS573">
        <v>0</v>
      </c>
      <c r="AT573">
        <v>0</v>
      </c>
      <c r="AU573">
        <v>0</v>
      </c>
      <c r="AV573">
        <v>0</v>
      </c>
      <c r="AW573">
        <v>0</v>
      </c>
      <c r="AX573" s="141">
        <f>COUNTIF(V573:AW573,"&lt;&gt;0")</f>
        <v>1</v>
      </c>
      <c r="AY573" s="141">
        <f>COUNTIF(V573:AL573,"&lt;&gt;0")</f>
        <v>1</v>
      </c>
      <c r="AZ573">
        <f>COUNTIF(V573:AC573,"&lt;&gt;0")</f>
        <v>1</v>
      </c>
      <c r="BA573">
        <f>COUNTIF(AD573:AI573,"&lt;&gt;0")</f>
        <v>0</v>
      </c>
      <c r="BB573">
        <f>COUNTIF(AJ573:AL573,"&lt;&gt;0")</f>
        <v>0</v>
      </c>
      <c r="BC573">
        <f>COUNTIF(AS573:AW573,"&lt;&gt;0")</f>
        <v>0</v>
      </c>
      <c r="BD573">
        <f>COUNTIF(AM573:AR573,"&lt;&gt;0")</f>
        <v>0</v>
      </c>
      <c r="BE573" t="str">
        <f t="array" ref="BE573">IF(AY573=1,INDEX($V$7:$AL$7,MATCH(TRUE,INDEX($V573:$AW573&lt;&gt;0,),0)),IF(AY573=0,INDEX($AM$7:$AW$7,MATCH(1,$AM573:$AW573,0)),IF(BF573="Multiple strategies","mixed drivers",IF(BF573="Supply chain","multiple supply","multiple silviculture"))))</f>
        <v xml:space="preserve">cutting intensity </v>
      </c>
      <c r="BF573" s="2" t="str" cm="1">
        <f t="array" ref="BF573">IF(COUNTIF(AZ573:BB573,"&lt;&gt;0")=1,INDEX($V$4:$AW$4,MATCH(TRUE,INDEX($V573:$AW573&lt;&gt;0,),0)),IF(COUNTIF(AZ573:BB573,"&lt;&gt;0")=0,INDEX($AM$4:$AW$4,MATCH(1,$AM573:$AW573,0)),"Multiple strategies"))</f>
        <v>SilvicultureRemov</v>
      </c>
      <c r="BG573" s="1" t="s">
        <v>322</v>
      </c>
      <c r="BH573" s="267" t="s">
        <v>3098</v>
      </c>
      <c r="BI573" s="266" t="s">
        <v>397</v>
      </c>
      <c r="BJ573" t="s">
        <v>2048</v>
      </c>
      <c r="BK573">
        <v>0</v>
      </c>
      <c r="BL573">
        <v>84</v>
      </c>
      <c r="BM573" t="str">
        <f>IFERROR(BL573/BK573,"")</f>
        <v/>
      </c>
      <c r="BN573">
        <f>BL573-BK573</f>
        <v>84</v>
      </c>
      <c r="BO573">
        <f>BN573*t_to_m3</f>
        <v>171.42857142857144</v>
      </c>
      <c r="BP573" t="s">
        <v>233</v>
      </c>
      <c r="BQ573" t="s">
        <v>397</v>
      </c>
      <c r="BR573" t="s">
        <v>2049</v>
      </c>
      <c r="BS573">
        <v>125</v>
      </c>
      <c r="BT573">
        <v>112</v>
      </c>
      <c r="BU573" s="144">
        <f>BT573/BS573</f>
        <v>0.89600000000000002</v>
      </c>
      <c r="BV573">
        <f>BT573-BS573</f>
        <v>-13</v>
      </c>
      <c r="BX573">
        <f>BV573*C_to_CO2</f>
        <v>-47.71</v>
      </c>
      <c r="BY573">
        <f>IFERROR(BX573/BO573,"")</f>
        <v>-0.27830833333333332</v>
      </c>
      <c r="BZ573">
        <v>0</v>
      </c>
      <c r="CA573">
        <v>0</v>
      </c>
      <c r="CB573">
        <v>0</v>
      </c>
      <c r="CC573">
        <v>0</v>
      </c>
      <c r="CD573">
        <v>0</v>
      </c>
      <c r="CE573">
        <v>0</v>
      </c>
      <c r="CF573">
        <v>0</v>
      </c>
      <c r="CG573">
        <v>0</v>
      </c>
      <c r="CH573">
        <v>0</v>
      </c>
      <c r="CI573">
        <v>0</v>
      </c>
      <c r="CJ573">
        <v>0</v>
      </c>
      <c r="CK573">
        <v>0</v>
      </c>
      <c r="CL573">
        <v>0</v>
      </c>
      <c r="CM573">
        <v>1</v>
      </c>
      <c r="CN573" t="str">
        <f>IF($BL573&lt;$BK573,"refNeedCorrection","refOK")</f>
        <v>refOK</v>
      </c>
      <c r="CO573">
        <f>IF($CN573="refOK",$BK573,$BL573)</f>
        <v>0</v>
      </c>
      <c r="CP573">
        <f>IF($CN573="refOK",$BL573,$BK573)</f>
        <v>84</v>
      </c>
      <c r="CQ573">
        <f>IF($CN573="refOK",$BO573,-$BO573)</f>
        <v>171.42857142857144</v>
      </c>
      <c r="CR573">
        <f>IF($CN573="refOK",$BS573,$BT573)*IF($BP573="Emissions positive",-1,1)</f>
        <v>125</v>
      </c>
      <c r="CS573">
        <f>IF($CN573="refOK",$BT573,$BS573)*IF($BP573="Emissions positive",-1,1)</f>
        <v>112</v>
      </c>
      <c r="CT573">
        <f>IF($CN573="refNeedCorrection",-BX573,BX573)*IF($BP573="Emissions positive",-1,1)</f>
        <v>-47.71</v>
      </c>
      <c r="CU573">
        <f>IFERROR(CT573/CQ573,"")</f>
        <v>-0.27830833333333332</v>
      </c>
      <c r="CV573" s="2">
        <f>IFERROR((CS573-CR573)/ABS(CR573),"")</f>
        <v>-0.104</v>
      </c>
      <c r="CW573" s="1" t="s">
        <v>2038</v>
      </c>
      <c r="CX573" t="str">
        <f>IF(OR($CW573="prd",$CW573="std",$CW573="cit"),"loc",IF(OR($CW573="eur",$CW573="reg",$CW573="coy"),"reg",$CW573))</f>
        <v>reg</v>
      </c>
      <c r="CY573" t="s">
        <v>521</v>
      </c>
      <c r="DB573">
        <v>120</v>
      </c>
      <c r="DC573" t="str">
        <f>IF(DB573=0,"0",IF(AND(DB573&gt;=1,DB573&lt;=30),"1-30",IF(AND(DB573&gt;30,DB573&lt;=70),"31-70",IF(AND(DB573&gt;70,DB573&lt;=100),"71-100",IF(DB573&gt;100,"+100")))))</f>
        <v>+100</v>
      </c>
      <c r="DD573">
        <v>1</v>
      </c>
      <c r="DE573">
        <v>0</v>
      </c>
      <c r="DF573">
        <v>0</v>
      </c>
      <c r="DG573">
        <v>0</v>
      </c>
      <c r="DH573">
        <v>0</v>
      </c>
      <c r="DI573">
        <f>SUM(DD573:DG573)</f>
        <v>1</v>
      </c>
      <c r="DJ573" t="str">
        <f>IF(DI573=1,INDEX($DD$7:$DG$7,MATCH(1,$DD573:$DG573,0)),"mixedProduct")</f>
        <v>UpstreamInput</v>
      </c>
      <c r="DK573" t="str">
        <f>IF(DD573=1,DK$7,0)</f>
        <v>Upstream</v>
      </c>
      <c r="DL573">
        <f>IF(DE573=1,DL$7,0)</f>
        <v>0</v>
      </c>
      <c r="DM573">
        <f>IF(DF573=1,DM$7,0)</f>
        <v>0</v>
      </c>
      <c r="DN573">
        <f>IF(DG573=1,DN$7,0)</f>
        <v>0</v>
      </c>
      <c r="DT573"/>
      <c r="DU573" s="143" t="str">
        <f>IF(DO573=1,"self-calculated DF",IF(DP573=1,"external DF used","explicit C balance"))</f>
        <v>explicit C balance</v>
      </c>
      <c r="DV573">
        <v>1</v>
      </c>
      <c r="DW573">
        <v>1</v>
      </c>
      <c r="DX573">
        <v>1</v>
      </c>
      <c r="DY573">
        <v>0</v>
      </c>
      <c r="DZ573">
        <v>0</v>
      </c>
      <c r="EA573" s="143">
        <v>0</v>
      </c>
      <c r="EB573">
        <v>0</v>
      </c>
      <c r="EC573">
        <v>0</v>
      </c>
      <c r="ED573">
        <v>0</v>
      </c>
      <c r="EE573">
        <v>0</v>
      </c>
      <c r="EF573">
        <v>1</v>
      </c>
      <c r="EG573">
        <v>0</v>
      </c>
      <c r="EH573">
        <v>0</v>
      </c>
      <c r="EI573" s="2">
        <v>0</v>
      </c>
      <c r="EK573" t="str">
        <f>IF(AND(AND(AND(OR($DX573=1,$DW573=1),OR($EC573=1,$EA573=1)),SUM($DV573:$DZ573,$EF573)&gt;=4),SUM($EA573:$EE573)&gt;=2),"Whole sector","")</f>
        <v/>
      </c>
      <c r="EL573" t="str">
        <f>IF(AND(AND(OR($DX573=1,$DW573=1),AND($EC573=0,$EA573=0)),SUM($DV573:$DZ573,$EF573)&gt;=4),"Ecosystem approach","")</f>
        <v>Ecosystem approach</v>
      </c>
      <c r="EM573" s="2" t="str">
        <f>IF(AND(AND(AND($DX573=0,$DW573=0),OR($EC573=1,$EA573=1)),SUM($EB573:$EE573)&gt;=2),"Technology approach","")</f>
        <v/>
      </c>
      <c r="EP573" t="str">
        <f>IF(ISNUMBER(BU573),IF(ABS(BU573-[2]QC_indicators!$B$2)&gt;3*[2]QC_indicators!$C$2,"C ratio",IF(ISNUMBER(BY573),IF(ABS(BY573-[2]QC_indicators!$B$1)&gt;3*[2]QC_indicators!$C$1,"DF","no"))),IF(ISNUMBER(BY573),IF(ABS(BY573-[2]QC_indicators!$B$1)&gt;3*[2]QC_indicators!$C$1,"DF","no")))</f>
        <v>no</v>
      </c>
      <c r="ET573" s="266" t="s">
        <v>3099</v>
      </c>
    </row>
    <row r="574" spans="1:151" ht="15" customHeight="1">
      <c r="A574" s="1" t="s">
        <v>850</v>
      </c>
      <c r="B574" t="s">
        <v>2039</v>
      </c>
      <c r="C574" t="s">
        <v>2040</v>
      </c>
      <c r="D574" t="s">
        <v>2041</v>
      </c>
      <c r="E574" t="s">
        <v>2042</v>
      </c>
      <c r="F574" t="s">
        <v>2043</v>
      </c>
      <c r="G574" t="s">
        <v>856</v>
      </c>
      <c r="H574" t="s">
        <v>255</v>
      </c>
      <c r="I574">
        <v>2020</v>
      </c>
      <c r="J574">
        <v>1</v>
      </c>
      <c r="K574" t="s">
        <v>2044</v>
      </c>
      <c r="M574" t="str">
        <f>LEFT($D574,FIND(",",$D574)-1)&amp;"_"&amp;I574&amp;L574</f>
        <v>Numazawa_2020</v>
      </c>
      <c r="N574" t="s">
        <v>223</v>
      </c>
      <c r="O574" s="157" t="s">
        <v>275</v>
      </c>
      <c r="P574" t="s">
        <v>514</v>
      </c>
      <c r="Q574" t="s">
        <v>390</v>
      </c>
      <c r="R574" s="255" t="s">
        <v>224</v>
      </c>
      <c r="S574" s="1" t="s">
        <v>2051</v>
      </c>
      <c r="T574" t="s">
        <v>2046</v>
      </c>
      <c r="U574" t="s">
        <v>2053</v>
      </c>
      <c r="V574">
        <v>0</v>
      </c>
      <c r="W574">
        <v>0</v>
      </c>
      <c r="X574">
        <v>0</v>
      </c>
      <c r="Y574">
        <v>1</v>
      </c>
      <c r="Z574">
        <v>0</v>
      </c>
      <c r="AA574">
        <v>0</v>
      </c>
      <c r="AB574">
        <v>0</v>
      </c>
      <c r="AC574">
        <v>0</v>
      </c>
      <c r="AD574">
        <v>0</v>
      </c>
      <c r="AE574">
        <v>0</v>
      </c>
      <c r="AF574">
        <v>0</v>
      </c>
      <c r="AG574">
        <v>0</v>
      </c>
      <c r="AH574">
        <v>0</v>
      </c>
      <c r="AI574">
        <v>0</v>
      </c>
      <c r="AJ574">
        <v>0</v>
      </c>
      <c r="AK574">
        <v>0</v>
      </c>
      <c r="AL574">
        <v>0</v>
      </c>
      <c r="AM574">
        <v>0</v>
      </c>
      <c r="AN574">
        <v>0</v>
      </c>
      <c r="AO574">
        <v>0</v>
      </c>
      <c r="AP574">
        <v>0</v>
      </c>
      <c r="AQ574">
        <v>0</v>
      </c>
      <c r="AR574">
        <v>0</v>
      </c>
      <c r="AS574">
        <v>0</v>
      </c>
      <c r="AT574">
        <v>0</v>
      </c>
      <c r="AU574">
        <v>0</v>
      </c>
      <c r="AV574">
        <v>0</v>
      </c>
      <c r="AW574">
        <v>0</v>
      </c>
      <c r="AX574" s="141">
        <f>COUNTIF(V574:AW574,"&lt;&gt;0")</f>
        <v>1</v>
      </c>
      <c r="AY574" s="141">
        <f>COUNTIF(V574:AL574,"&lt;&gt;0")</f>
        <v>1</v>
      </c>
      <c r="AZ574">
        <f>COUNTIF(V574:AC574,"&lt;&gt;0")</f>
        <v>1</v>
      </c>
      <c r="BA574">
        <f>COUNTIF(AD574:AI574,"&lt;&gt;0")</f>
        <v>0</v>
      </c>
      <c r="BB574">
        <f>COUNTIF(AJ574:AL574,"&lt;&gt;0")</f>
        <v>0</v>
      </c>
      <c r="BC574">
        <f>COUNTIF(AS574:AW574,"&lt;&gt;0")</f>
        <v>0</v>
      </c>
      <c r="BD574">
        <f>COUNTIF(AM574:AR574,"&lt;&gt;0")</f>
        <v>0</v>
      </c>
      <c r="BE574" t="str">
        <f t="array" ref="BE574">IF(AY574=1,INDEX($V$7:$AL$7,MATCH(TRUE,INDEX($V574:$AW574&lt;&gt;0,),0)),IF(AY574=0,INDEX($AM$7:$AW$7,MATCH(1,$AM574:$AW574,0)),IF(BF574="Multiple strategies","mixed drivers",IF(BF574="Supply chain","multiple supply","multiple silviculture"))))</f>
        <v xml:space="preserve">cutting intensity </v>
      </c>
      <c r="BF574" s="2" t="str" cm="1">
        <f t="array" ref="BF574">IF(COUNTIF(AZ574:BB574,"&lt;&gt;0")=1,INDEX($V$4:$AW$4,MATCH(TRUE,INDEX($V574:$AW574&lt;&gt;0,),0)),IF(COUNTIF(AZ574:BB574,"&lt;&gt;0")=0,INDEX($AM$4:$AW$4,MATCH(1,$AM574:$AW574,0)),"Multiple strategies"))</f>
        <v>SilvicultureRemov</v>
      </c>
      <c r="BG574" s="1" t="s">
        <v>322</v>
      </c>
      <c r="BH574" s="267" t="s">
        <v>3098</v>
      </c>
      <c r="BI574" s="266" t="s">
        <v>397</v>
      </c>
      <c r="BJ574" t="s">
        <v>2048</v>
      </c>
      <c r="BK574">
        <v>0</v>
      </c>
      <c r="BL574">
        <v>28</v>
      </c>
      <c r="BM574" t="str">
        <f>IFERROR(BL574/BK574,"")</f>
        <v/>
      </c>
      <c r="BN574">
        <f>BL574-BK574</f>
        <v>28</v>
      </c>
      <c r="BO574">
        <f>BN574*t_to_m3</f>
        <v>57.142857142857146</v>
      </c>
      <c r="BP574" t="s">
        <v>233</v>
      </c>
      <c r="BQ574" t="s">
        <v>397</v>
      </c>
      <c r="BR574" t="s">
        <v>2049</v>
      </c>
      <c r="BS574">
        <v>125</v>
      </c>
      <c r="BT574">
        <v>122</v>
      </c>
      <c r="BU574" s="144">
        <f>BT574/BS574</f>
        <v>0.97599999999999998</v>
      </c>
      <c r="BV574">
        <f>BT574-BS574</f>
        <v>-3</v>
      </c>
      <c r="BX574">
        <f>BV574*C_to_CO2</f>
        <v>-11.01</v>
      </c>
      <c r="BY574">
        <f>IFERROR(BX574/BO574,"")</f>
        <v>-0.19267499999999999</v>
      </c>
      <c r="BZ574">
        <v>0</v>
      </c>
      <c r="CA574">
        <v>0</v>
      </c>
      <c r="CB574">
        <v>0</v>
      </c>
      <c r="CC574">
        <v>0</v>
      </c>
      <c r="CD574">
        <v>0</v>
      </c>
      <c r="CE574">
        <v>0</v>
      </c>
      <c r="CF574">
        <v>0</v>
      </c>
      <c r="CG574">
        <v>0</v>
      </c>
      <c r="CH574">
        <v>0</v>
      </c>
      <c r="CI574">
        <v>0</v>
      </c>
      <c r="CJ574">
        <v>0</v>
      </c>
      <c r="CK574">
        <v>0</v>
      </c>
      <c r="CL574">
        <v>0</v>
      </c>
      <c r="CM574">
        <v>1</v>
      </c>
      <c r="CN574" t="str">
        <f>IF($BL574&lt;$BK574,"refNeedCorrection","refOK")</f>
        <v>refOK</v>
      </c>
      <c r="CO574">
        <f>IF($CN574="refOK",$BK574,$BL574)</f>
        <v>0</v>
      </c>
      <c r="CP574">
        <f>IF($CN574="refOK",$BL574,$BK574)</f>
        <v>28</v>
      </c>
      <c r="CQ574">
        <f>IF($CN574="refOK",$BO574,-$BO574)</f>
        <v>57.142857142857146</v>
      </c>
      <c r="CR574">
        <f>IF($CN574="refOK",$BS574,$BT574)*IF($BP574="Emissions positive",-1,1)</f>
        <v>125</v>
      </c>
      <c r="CS574">
        <f>IF($CN574="refOK",$BT574,$BS574)*IF($BP574="Emissions positive",-1,1)</f>
        <v>122</v>
      </c>
      <c r="CT574">
        <f>IF($CN574="refNeedCorrection",-BX574,BX574)*IF($BP574="Emissions positive",-1,1)</f>
        <v>-11.01</v>
      </c>
      <c r="CU574">
        <f>IFERROR(CT574/CQ574,"")</f>
        <v>-0.19267499999999999</v>
      </c>
      <c r="CV574" s="2">
        <f>IFERROR((CS574-CR574)/ABS(CR574),"")</f>
        <v>-2.4E-2</v>
      </c>
      <c r="CW574" s="1" t="s">
        <v>2038</v>
      </c>
      <c r="CX574" t="str">
        <f>IF(OR($CW574="prd",$CW574="std",$CW574="cit"),"loc",IF(OR($CW574="eur",$CW574="reg",$CW574="coy"),"reg",$CW574))</f>
        <v>reg</v>
      </c>
      <c r="CY574" t="s">
        <v>521</v>
      </c>
      <c r="DB574">
        <v>120</v>
      </c>
      <c r="DC574" t="str">
        <f>IF(DB574=0,"0",IF(AND(DB574&gt;=1,DB574&lt;=30),"1-30",IF(AND(DB574&gt;30,DB574&lt;=70),"31-70",IF(AND(DB574&gt;70,DB574&lt;=100),"71-100",IF(DB574&gt;100,"+100")))))</f>
        <v>+100</v>
      </c>
      <c r="DD574">
        <v>1</v>
      </c>
      <c r="DE574">
        <v>0</v>
      </c>
      <c r="DF574">
        <v>0</v>
      </c>
      <c r="DG574">
        <v>0</v>
      </c>
      <c r="DH574">
        <v>0</v>
      </c>
      <c r="DI574">
        <f>SUM(DD574:DG574)</f>
        <v>1</v>
      </c>
      <c r="DJ574" t="str">
        <f>IF(DI574=1,INDEX($DD$7:$DG$7,MATCH(1,$DD574:$DG574,0)),"mixedProduct")</f>
        <v>UpstreamInput</v>
      </c>
      <c r="DK574" t="str">
        <f>IF(DD574=1,DK$7,0)</f>
        <v>Upstream</v>
      </c>
      <c r="DL574">
        <f>IF(DE574=1,DL$7,0)</f>
        <v>0</v>
      </c>
      <c r="DM574">
        <f>IF(DF574=1,DM$7,0)</f>
        <v>0</v>
      </c>
      <c r="DN574">
        <f>IF(DG574=1,DN$7,0)</f>
        <v>0</v>
      </c>
      <c r="DT574"/>
      <c r="DU574" s="143" t="str">
        <f>IF(DO574=1,"self-calculated DF",IF(DP574=1,"external DF used","explicit C balance"))</f>
        <v>explicit C balance</v>
      </c>
      <c r="DV574">
        <v>1</v>
      </c>
      <c r="DW574">
        <v>1</v>
      </c>
      <c r="DX574">
        <v>1</v>
      </c>
      <c r="DY574">
        <v>0</v>
      </c>
      <c r="DZ574">
        <v>0</v>
      </c>
      <c r="EA574" s="143">
        <v>0</v>
      </c>
      <c r="EB574">
        <v>0</v>
      </c>
      <c r="EC574">
        <v>0</v>
      </c>
      <c r="ED574">
        <v>0</v>
      </c>
      <c r="EE574">
        <v>0</v>
      </c>
      <c r="EF574">
        <v>1</v>
      </c>
      <c r="EG574">
        <v>0</v>
      </c>
      <c r="EH574">
        <v>0</v>
      </c>
      <c r="EI574" s="2">
        <v>0</v>
      </c>
      <c r="EK574" t="str">
        <f>IF(AND(AND(AND(OR($DX574=1,$DW574=1),OR($EC574=1,$EA574=1)),SUM($DV574:$DZ574,$EF574)&gt;=4),SUM($EA574:$EE574)&gt;=2),"Whole sector","")</f>
        <v/>
      </c>
      <c r="EL574" t="str">
        <f>IF(AND(AND(OR($DX574=1,$DW574=1),AND($EC574=0,$EA574=0)),SUM($DV574:$DZ574,$EF574)&gt;=4),"Ecosystem approach","")</f>
        <v>Ecosystem approach</v>
      </c>
      <c r="EM574" s="2" t="str">
        <f>IF(AND(AND(AND($DX574=0,$DW574=0),OR($EC574=1,$EA574=1)),SUM($EB574:$EE574)&gt;=2),"Technology approach","")</f>
        <v/>
      </c>
      <c r="EP574" t="str">
        <f>IF(ISNUMBER(BU574),IF(ABS(BU574-[2]QC_indicators!$B$2)&gt;3*[2]QC_indicators!$C$2,"C ratio",IF(ISNUMBER(BY574),IF(ABS(BY574-[2]QC_indicators!$B$1)&gt;3*[2]QC_indicators!$C$1,"DF","no"))),IF(ISNUMBER(BY574),IF(ABS(BY574-[2]QC_indicators!$B$1)&gt;3*[2]QC_indicators!$C$1,"DF","no")))</f>
        <v>no</v>
      </c>
      <c r="ET574" s="266" t="s">
        <v>3099</v>
      </c>
    </row>
    <row r="575" spans="1:151" ht="15" customHeight="1">
      <c r="A575" s="1" t="s">
        <v>1380</v>
      </c>
      <c r="B575" t="s">
        <v>1381</v>
      </c>
      <c r="C575" t="s">
        <v>1382</v>
      </c>
      <c r="D575" t="s">
        <v>1383</v>
      </c>
      <c r="E575" t="s">
        <v>1384</v>
      </c>
      <c r="F575" t="s">
        <v>1385</v>
      </c>
      <c r="G575" t="s">
        <v>1386</v>
      </c>
      <c r="H575" t="s">
        <v>255</v>
      </c>
      <c r="I575">
        <v>2021</v>
      </c>
      <c r="J575">
        <v>0</v>
      </c>
      <c r="K575" t="s">
        <v>1387</v>
      </c>
      <c r="M575" t="str">
        <f>LEFT($D575,FIND(",",$D575)-1)&amp;"_"&amp;I575&amp;L575</f>
        <v>Delacote_2021</v>
      </c>
      <c r="N575" t="s">
        <v>223</v>
      </c>
      <c r="O575" s="145" t="s">
        <v>224</v>
      </c>
      <c r="Q575" s="266" t="s">
        <v>257</v>
      </c>
      <c r="R575" s="271" t="s">
        <v>1156</v>
      </c>
      <c r="S575" s="1" t="s">
        <v>1399</v>
      </c>
      <c r="T575" t="s">
        <v>1400</v>
      </c>
      <c r="U575" t="s">
        <v>1389</v>
      </c>
      <c r="V575">
        <v>0</v>
      </c>
      <c r="W575">
        <v>0</v>
      </c>
      <c r="X575">
        <v>0</v>
      </c>
      <c r="Y575">
        <v>0</v>
      </c>
      <c r="Z575">
        <v>0</v>
      </c>
      <c r="AA575">
        <v>0</v>
      </c>
      <c r="AB575">
        <v>0</v>
      </c>
      <c r="AC575">
        <v>0</v>
      </c>
      <c r="AD575">
        <v>0</v>
      </c>
      <c r="AE575">
        <v>0</v>
      </c>
      <c r="AF575">
        <v>0</v>
      </c>
      <c r="AG575">
        <v>0</v>
      </c>
      <c r="AH575">
        <v>0</v>
      </c>
      <c r="AI575">
        <v>0</v>
      </c>
      <c r="AJ575">
        <v>0</v>
      </c>
      <c r="AK575">
        <v>0</v>
      </c>
      <c r="AL575">
        <v>0</v>
      </c>
      <c r="AM575">
        <v>0</v>
      </c>
      <c r="AN575">
        <v>1</v>
      </c>
      <c r="AO575">
        <v>2</v>
      </c>
      <c r="AP575">
        <v>0</v>
      </c>
      <c r="AQ575">
        <v>0</v>
      </c>
      <c r="AR575">
        <v>0</v>
      </c>
      <c r="AS575">
        <v>0</v>
      </c>
      <c r="AT575">
        <v>0</v>
      </c>
      <c r="AU575">
        <v>0</v>
      </c>
      <c r="AV575">
        <v>0</v>
      </c>
      <c r="AW575">
        <v>0</v>
      </c>
      <c r="AX575" s="141">
        <f>COUNTIF(V575:AW575,"&lt;&gt;0")</f>
        <v>2</v>
      </c>
      <c r="AY575" s="141">
        <f>COUNTIF(V575:AL575,"&lt;&gt;0")</f>
        <v>0</v>
      </c>
      <c r="AZ575">
        <f>COUNTIF(V575:AC575,"&lt;&gt;0")</f>
        <v>0</v>
      </c>
      <c r="BA575">
        <f>COUNTIF(AD575:AI575,"&lt;&gt;0")</f>
        <v>0</v>
      </c>
      <c r="BB575">
        <f>COUNTIF(AJ575:AL575,"&lt;&gt;0")</f>
        <v>0</v>
      </c>
      <c r="BC575">
        <f>COUNTIF(AS575:AW575,"&lt;&gt;0")</f>
        <v>0</v>
      </c>
      <c r="BD575">
        <f>COUNTIF(AM575:AR575,"&lt;&gt;0")</f>
        <v>2</v>
      </c>
      <c r="BE575" t="str" cm="1">
        <f t="array" ref="BE575">IF(AY575=1,INDEX($V$7:$AL$7,MATCH(TRUE,INDEX($V575:$AW575&lt;&gt;0,),0)),IF(AY575=0,INDEX($AM$7:$AW$7,MATCH(1,$AM575:$AW575,0)),IF(BF575="Multiple strategies","mixed drivers",IF(BF575="Supply chain","multiple supply","multiple silviculture"))))</f>
        <v>Temperature</v>
      </c>
      <c r="BF575" s="2" t="str" cm="1">
        <f t="array" ref="BF575">IF(COUNTIF(AZ575:BB575,"&lt;&gt;0")=1,INDEX($V$4:$AW$4,MATCH(TRUE,INDEX($V575:$AW575&lt;&gt;0,),0)),IF(COUNTIF(AZ575:BB575,"&lt;&gt;0")=0,INDEX($AM$4:$AW$4,MATCH(1,$AM575:$AW575,0)),"Multiple strategies"))</f>
        <v>Environmental change</v>
      </c>
      <c r="BG575" s="1" t="s">
        <v>322</v>
      </c>
      <c r="BH575" t="s">
        <v>1299</v>
      </c>
      <c r="BJ575" t="s">
        <v>1216</v>
      </c>
      <c r="BK575">
        <v>51.780999999999999</v>
      </c>
      <c r="BL575">
        <v>58.277999999999999</v>
      </c>
      <c r="BM575">
        <f>BL575/BK575</f>
        <v>1.1254707325080628</v>
      </c>
      <c r="BN575">
        <f>BL575-BK575</f>
        <v>6.4969999999999999</v>
      </c>
      <c r="BO575">
        <f>BN575*10^6</f>
        <v>6497000</v>
      </c>
      <c r="BP575" t="s">
        <v>233</v>
      </c>
      <c r="BR575" t="s">
        <v>1232</v>
      </c>
      <c r="BS575">
        <v>94.81</v>
      </c>
      <c r="BT575">
        <v>56.534999999999997</v>
      </c>
      <c r="BU575" s="144">
        <f>IFERROR(BT575/BS575,"")</f>
        <v>0.59629785887564601</v>
      </c>
      <c r="BV575">
        <f>BT575-BS575</f>
        <v>-38.275000000000006</v>
      </c>
      <c r="BX575">
        <f>BV575*10^6</f>
        <v>-38275000.000000007</v>
      </c>
      <c r="BY575">
        <f>IFERROR(BX575/BO575,"")</f>
        <v>-5.891180544866863</v>
      </c>
      <c r="BZ575">
        <v>0</v>
      </c>
      <c r="CA575">
        <v>0</v>
      </c>
      <c r="CB575">
        <v>0</v>
      </c>
      <c r="CC575">
        <v>0</v>
      </c>
      <c r="CD575">
        <v>0</v>
      </c>
      <c r="CE575">
        <v>0</v>
      </c>
      <c r="CF575">
        <v>0</v>
      </c>
      <c r="CG575">
        <v>0</v>
      </c>
      <c r="CH575">
        <v>0</v>
      </c>
      <c r="CI575">
        <v>0</v>
      </c>
      <c r="CJ575">
        <v>0</v>
      </c>
      <c r="CK575">
        <v>0</v>
      </c>
      <c r="CL575">
        <v>0</v>
      </c>
      <c r="CM575">
        <v>1</v>
      </c>
      <c r="CN575" t="str">
        <f>IF($BL575&lt;$BK575,"refNeedCorrection","refOK")</f>
        <v>refOK</v>
      </c>
      <c r="CO575">
        <f>IF($CN575="refOK",$BK575,$BL575)</f>
        <v>51.780999999999999</v>
      </c>
      <c r="CP575">
        <f>IF($CN575="refOK",$BL575,$BK575)</f>
        <v>58.277999999999999</v>
      </c>
      <c r="CQ575">
        <f>IF($CN575="refOK",$BO575,-$BO575)</f>
        <v>6497000</v>
      </c>
      <c r="CR575">
        <f>IF($CN575="refOK",$BS575,$BT575)*IF($BP575="Emissions positive",-1,1)</f>
        <v>94.81</v>
      </c>
      <c r="CS575">
        <f>IF($CN575="refOK",$BT575,$BS575)*IF($BP575="Emissions positive",-1,1)</f>
        <v>56.534999999999997</v>
      </c>
      <c r="CT575">
        <f>IF($CN575="refNeedCorrection",-BX575,BX575)*IF($BP575="Emissions positive",-1,1)</f>
        <v>-38275000.000000007</v>
      </c>
      <c r="CU575">
        <f>IFERROR(CT575/CQ575,"")</f>
        <v>-5.891180544866863</v>
      </c>
      <c r="CV575" s="2">
        <f>IFERROR((CS575-CR575)/ABS(CR575),"")</f>
        <v>-0.40370214112435404</v>
      </c>
      <c r="CW575" s="1" t="s">
        <v>1205</v>
      </c>
      <c r="CX575" s="266" t="str">
        <f>IF(OR($CW575="prd",$CW575="std",$CW575="cit"),"loc",IF(OR($CW575="eur",$CW575="reg",$CW575="coy"),"reg",$CW575))</f>
        <v>reg</v>
      </c>
      <c r="CY575" t="s">
        <v>731</v>
      </c>
      <c r="CZ575">
        <v>2015</v>
      </c>
      <c r="DA575">
        <v>2100</v>
      </c>
      <c r="DB575">
        <f>DA575-CZ575</f>
        <v>85</v>
      </c>
      <c r="DC575" t="str">
        <f>IF(DB575=0,"0",IF(AND(DB575&gt;=1,DB575&lt;=30),"1-30",IF(AND(DB575&gt;30,DB575&lt;=70),"31-70",IF(AND(DB575&gt;70,DB575&lt;=100),"71-100",IF(DB575&gt;100,"+100")))))</f>
        <v>71-100</v>
      </c>
      <c r="DD575">
        <v>0</v>
      </c>
      <c r="DE575">
        <v>1</v>
      </c>
      <c r="DF575">
        <v>1</v>
      </c>
      <c r="DG575">
        <v>1</v>
      </c>
      <c r="DI575">
        <f>SUM(DD575:DG575)</f>
        <v>3</v>
      </c>
      <c r="DJ575" t="str">
        <f>IF(DI575=1,INDEX($DD$7:$DG$7,MATCH(1,$DD575:$DG575,0)),"mixedProduct")</f>
        <v>mixedProduct</v>
      </c>
      <c r="DK575">
        <f>IF(DD575=1,DK$7,0)</f>
        <v>0</v>
      </c>
      <c r="DL575" t="str">
        <f>IF(DE575=1,DL$7,0)</f>
        <v>Energy</v>
      </c>
      <c r="DM575" t="str">
        <f>IF(DF575=1,DM$7,0)</f>
        <v>Pulp/Paper</v>
      </c>
      <c r="DN575" t="str">
        <f>IF(DG575=1,DN$7,0)</f>
        <v>Timber</v>
      </c>
      <c r="DO575">
        <v>0</v>
      </c>
      <c r="DP575">
        <v>0</v>
      </c>
      <c r="DQ575">
        <v>0</v>
      </c>
      <c r="DR575">
        <v>0</v>
      </c>
      <c r="DS575">
        <v>0</v>
      </c>
      <c r="DT575">
        <f>SUM(DO575:DP575)</f>
        <v>0</v>
      </c>
      <c r="DU575" s="143" t="str">
        <f>IF(DO575=1,"self-calculated DF",IF(DP575=1,"external DF used","explicit C balance"))</f>
        <v>explicit C balance</v>
      </c>
      <c r="DV575">
        <v>0</v>
      </c>
      <c r="DW575">
        <v>1</v>
      </c>
      <c r="DX575">
        <v>1</v>
      </c>
      <c r="DY575">
        <v>1</v>
      </c>
      <c r="DZ575">
        <v>0</v>
      </c>
      <c r="EA575">
        <v>0</v>
      </c>
      <c r="EB575">
        <v>0</v>
      </c>
      <c r="EC575">
        <v>0</v>
      </c>
      <c r="ED575">
        <v>0</v>
      </c>
      <c r="EE575">
        <v>0</v>
      </c>
      <c r="EF575">
        <v>1</v>
      </c>
      <c r="EG575">
        <v>0</v>
      </c>
      <c r="EH575">
        <v>1</v>
      </c>
      <c r="EI575" s="2">
        <v>1</v>
      </c>
      <c r="EK575" t="str">
        <f>IF(AND(AND(AND(OR($DX575=1,$DW575=1),OR($EC575=1,$EA575=1)),SUM($DV575:$DZ575,$EF575)&gt;=4),SUM($EA575:$EE575)&gt;=2),"Whole sector","")</f>
        <v/>
      </c>
      <c r="EL575" t="str">
        <f>IF(AND(AND(OR($DX575=1,$DW575=1),AND($EC575=0,$EA575=0)),SUM($DV575:$DZ575,$EF575)&gt;=4),"Ecosystem approach","")</f>
        <v>Ecosystem approach</v>
      </c>
      <c r="EM575" s="2" t="str">
        <f>IF(AND(AND(AND($DX575=0,$DW575=0),OR($EC575=1,$EA575=1)),SUM($EB575:$EE575)&gt;=2),"Technology approach","")</f>
        <v/>
      </c>
      <c r="EP575" t="str">
        <f>IF(ISNUMBER(BU575),IF(ABS(BU575-[1]QC_indicators!$B$2)&gt;3*[1]QC_indicators!$C$2,"C ratio",IF(ISNUMBER(BY575),IF(ABS(BY575-[1]QC_indicators!$B$1)&gt;3*[1]QC_indicators!$C$1,"DF","no"))),IF(ISNUMBER(BY575),IF(ABS(BY575-[1]QC_indicators!$B$1)&gt;3*[1]QC_indicators!$C$1,"DF","no")))</f>
        <v>DF</v>
      </c>
      <c r="ET575" s="266" t="s">
        <v>3409</v>
      </c>
    </row>
    <row r="576" spans="1:151" ht="15" customHeight="1">
      <c r="A576" s="1" t="s">
        <v>1380</v>
      </c>
      <c r="B576" t="s">
        <v>1381</v>
      </c>
      <c r="C576" t="s">
        <v>1382</v>
      </c>
      <c r="D576" t="s">
        <v>1383</v>
      </c>
      <c r="E576" t="s">
        <v>1384</v>
      </c>
      <c r="F576" t="s">
        <v>1385</v>
      </c>
      <c r="G576" t="s">
        <v>1386</v>
      </c>
      <c r="H576" t="s">
        <v>255</v>
      </c>
      <c r="I576">
        <v>2021</v>
      </c>
      <c r="J576">
        <v>0</v>
      </c>
      <c r="K576" t="s">
        <v>1387</v>
      </c>
      <c r="M576" t="str">
        <f>LEFT($D576,FIND(",",$D576)-1)&amp;"_"&amp;I576&amp;L576</f>
        <v>Delacote_2021</v>
      </c>
      <c r="N576" t="s">
        <v>223</v>
      </c>
      <c r="O576" s="145" t="s">
        <v>224</v>
      </c>
      <c r="Q576" s="266" t="s">
        <v>257</v>
      </c>
      <c r="R576" s="271" t="s">
        <v>1156</v>
      </c>
      <c r="S576" s="1" t="s">
        <v>1399</v>
      </c>
      <c r="T576" t="s">
        <v>1389</v>
      </c>
      <c r="U576" t="s">
        <v>1395</v>
      </c>
      <c r="V576">
        <v>0</v>
      </c>
      <c r="W576">
        <v>0</v>
      </c>
      <c r="X576">
        <v>0</v>
      </c>
      <c r="Y576">
        <v>0</v>
      </c>
      <c r="Z576">
        <v>0</v>
      </c>
      <c r="AA576">
        <v>0</v>
      </c>
      <c r="AB576">
        <v>0</v>
      </c>
      <c r="AC576">
        <v>0</v>
      </c>
      <c r="AD576">
        <v>0</v>
      </c>
      <c r="AE576">
        <v>0</v>
      </c>
      <c r="AF576">
        <v>0</v>
      </c>
      <c r="AG576">
        <v>0</v>
      </c>
      <c r="AH576">
        <v>0</v>
      </c>
      <c r="AI576">
        <v>0</v>
      </c>
      <c r="AJ576">
        <v>0</v>
      </c>
      <c r="AK576">
        <v>0</v>
      </c>
      <c r="AL576">
        <v>0</v>
      </c>
      <c r="AM576">
        <v>0</v>
      </c>
      <c r="AN576">
        <v>1</v>
      </c>
      <c r="AO576">
        <v>2</v>
      </c>
      <c r="AP576">
        <v>0</v>
      </c>
      <c r="AQ576">
        <v>0</v>
      </c>
      <c r="AR576">
        <v>0</v>
      </c>
      <c r="AS576">
        <v>0</v>
      </c>
      <c r="AT576">
        <v>0</v>
      </c>
      <c r="AU576">
        <v>0</v>
      </c>
      <c r="AV576">
        <v>0</v>
      </c>
      <c r="AW576">
        <v>0</v>
      </c>
      <c r="AX576" s="141">
        <f>COUNTIF(V576:AW576,"&lt;&gt;0")</f>
        <v>2</v>
      </c>
      <c r="AY576" s="141">
        <f>COUNTIF(V576:AL576,"&lt;&gt;0")</f>
        <v>0</v>
      </c>
      <c r="AZ576">
        <f>COUNTIF(V576:AC576,"&lt;&gt;0")</f>
        <v>0</v>
      </c>
      <c r="BA576">
        <f>COUNTIF(AD576:AI576,"&lt;&gt;0")</f>
        <v>0</v>
      </c>
      <c r="BB576">
        <f>COUNTIF(AJ576:AL576,"&lt;&gt;0")</f>
        <v>0</v>
      </c>
      <c r="BC576">
        <f>COUNTIF(AS576:AW576,"&lt;&gt;0")</f>
        <v>0</v>
      </c>
      <c r="BD576">
        <f>COUNTIF(AM576:AR576,"&lt;&gt;0")</f>
        <v>2</v>
      </c>
      <c r="BE576" t="str" cm="1">
        <f t="array" ref="BE576">IF(AY576=1,INDEX($V$7:$AL$7,MATCH(TRUE,INDEX($V576:$AW576&lt;&gt;0,),0)),IF(AY576=0,INDEX($AM$7:$AW$7,MATCH(1,$AM576:$AW576,0)),IF(BF576="Multiple strategies","mixed drivers",IF(BF576="Supply chain","multiple supply","multiple silviculture"))))</f>
        <v>Temperature</v>
      </c>
      <c r="BF576" s="2" t="str" cm="1">
        <f t="array" ref="BF576">IF(COUNTIF(AZ576:BB576,"&lt;&gt;0")=1,INDEX($V$4:$AW$4,MATCH(TRUE,INDEX($V576:$AW576&lt;&gt;0,),0)),IF(COUNTIF(AZ576:BB576,"&lt;&gt;0")=0,INDEX($AM$4:$AW$4,MATCH(1,$AM576:$AW576,0)),"Multiple strategies"))</f>
        <v>Environmental change</v>
      </c>
      <c r="BG576" s="1" t="s">
        <v>322</v>
      </c>
      <c r="BH576" t="s">
        <v>1299</v>
      </c>
      <c r="BJ576" t="s">
        <v>1216</v>
      </c>
      <c r="BK576">
        <v>51.780999999999999</v>
      </c>
      <c r="BL576">
        <v>58.277999999999999</v>
      </c>
      <c r="BM576">
        <f>BL576/BK576</f>
        <v>1.1254707325080628</v>
      </c>
      <c r="BN576">
        <f>BL576-BK576</f>
        <v>6.4969999999999999</v>
      </c>
      <c r="BO576">
        <f>BN576*10^6</f>
        <v>6497000</v>
      </c>
      <c r="BP576" t="s">
        <v>233</v>
      </c>
      <c r="BR576" t="s">
        <v>1232</v>
      </c>
      <c r="BS576">
        <v>56.534999999999997</v>
      </c>
      <c r="BT576">
        <f>BS576*(1-40.37/100)</f>
        <v>33.711820500000002</v>
      </c>
      <c r="BU576" s="144">
        <f>IFERROR(BT576/BS576,"")</f>
        <v>0.59630000000000005</v>
      </c>
      <c r="BV576">
        <f>BT576-BS576</f>
        <v>-22.823179499999995</v>
      </c>
      <c r="BX576">
        <f>BV576*10^6</f>
        <v>-22823179.499999996</v>
      </c>
      <c r="BY576">
        <f>IFERROR(BX576/BO576,"")</f>
        <v>-3.5128797137140211</v>
      </c>
      <c r="BZ576">
        <v>0</v>
      </c>
      <c r="CA576">
        <v>0</v>
      </c>
      <c r="CB576">
        <v>0</v>
      </c>
      <c r="CC576">
        <v>0</v>
      </c>
      <c r="CD576">
        <v>0</v>
      </c>
      <c r="CE576">
        <v>0</v>
      </c>
      <c r="CF576">
        <v>0</v>
      </c>
      <c r="CG576">
        <v>0</v>
      </c>
      <c r="CH576">
        <v>0</v>
      </c>
      <c r="CI576">
        <v>0</v>
      </c>
      <c r="CJ576">
        <v>0</v>
      </c>
      <c r="CK576">
        <v>0</v>
      </c>
      <c r="CL576">
        <v>0</v>
      </c>
      <c r="CM576">
        <v>1</v>
      </c>
      <c r="CN576" t="str">
        <f>IF($BL576&lt;$BK576,"refNeedCorrection","refOK")</f>
        <v>refOK</v>
      </c>
      <c r="CO576">
        <f>IF($CN576="refOK",$BK576,$BL576)</f>
        <v>51.780999999999999</v>
      </c>
      <c r="CP576">
        <f>IF($CN576="refOK",$BL576,$BK576)</f>
        <v>58.277999999999999</v>
      </c>
      <c r="CQ576">
        <f>IF($CN576="refOK",$BO576,-$BO576)</f>
        <v>6497000</v>
      </c>
      <c r="CR576">
        <f>IF($CN576="refOK",$BS576,$BT576)*IF($BP576="Emissions positive",-1,1)</f>
        <v>56.534999999999997</v>
      </c>
      <c r="CS576">
        <f>IF($CN576="refOK",$BT576,$BS576)*IF($BP576="Emissions positive",-1,1)</f>
        <v>33.711820500000002</v>
      </c>
      <c r="CT576">
        <f>IF($CN576="refNeedCorrection",-BX576,BX576)*IF($BP576="Emissions positive",-1,1)</f>
        <v>-22823179.499999996</v>
      </c>
      <c r="CU576">
        <f>IFERROR(CT576/CQ576,"")</f>
        <v>-3.5128797137140211</v>
      </c>
      <c r="CV576" s="2">
        <f>IFERROR((CS576-CR576)/ABS(CR576),"")</f>
        <v>-0.40369999999999995</v>
      </c>
      <c r="CW576" s="1" t="s">
        <v>1205</v>
      </c>
      <c r="CX576" s="266" t="str">
        <f>IF(OR($CW576="prd",$CW576="std",$CW576="cit"),"loc",IF(OR($CW576="eur",$CW576="reg",$CW576="coy"),"reg",$CW576))</f>
        <v>reg</v>
      </c>
      <c r="CY576" t="s">
        <v>731</v>
      </c>
      <c r="CZ576">
        <v>2015</v>
      </c>
      <c r="DA576">
        <v>2100</v>
      </c>
      <c r="DB576">
        <f>DA576-CZ576</f>
        <v>85</v>
      </c>
      <c r="DC576" t="str">
        <f>IF(DB576=0,"0",IF(AND(DB576&gt;=1,DB576&lt;=30),"1-30",IF(AND(DB576&gt;30,DB576&lt;=70),"31-70",IF(AND(DB576&gt;70,DB576&lt;=100),"71-100",IF(DB576&gt;100,"+100")))))</f>
        <v>71-100</v>
      </c>
      <c r="DD576">
        <v>0</v>
      </c>
      <c r="DE576">
        <v>1</v>
      </c>
      <c r="DF576">
        <v>1</v>
      </c>
      <c r="DG576">
        <v>1</v>
      </c>
      <c r="DI576">
        <f>SUM(DD576:DG576)</f>
        <v>3</v>
      </c>
      <c r="DJ576" t="str">
        <f>IF(DI576=1,INDEX($DD$7:$DG$7,MATCH(1,$DD576:$DG576,0)),"mixedProduct")</f>
        <v>mixedProduct</v>
      </c>
      <c r="DK576">
        <f>IF(DD576=1,DK$7,0)</f>
        <v>0</v>
      </c>
      <c r="DL576" t="str">
        <f>IF(DE576=1,DL$7,0)</f>
        <v>Energy</v>
      </c>
      <c r="DM576" t="str">
        <f>IF(DF576=1,DM$7,0)</f>
        <v>Pulp/Paper</v>
      </c>
      <c r="DN576" t="str">
        <f>IF(DG576=1,DN$7,0)</f>
        <v>Timber</v>
      </c>
      <c r="DO576">
        <v>0</v>
      </c>
      <c r="DP576">
        <v>0</v>
      </c>
      <c r="DQ576">
        <v>0</v>
      </c>
      <c r="DR576">
        <v>0</v>
      </c>
      <c r="DS576">
        <v>0</v>
      </c>
      <c r="DT576">
        <f>SUM(DO576:DP576)</f>
        <v>0</v>
      </c>
      <c r="DU576" s="143" t="str">
        <f>IF(DO576=1,"self-calculated DF",IF(DP576=1,"external DF used","explicit C balance"))</f>
        <v>explicit C balance</v>
      </c>
      <c r="DV576">
        <v>0</v>
      </c>
      <c r="DW576">
        <v>1</v>
      </c>
      <c r="DX576">
        <v>1</v>
      </c>
      <c r="DY576">
        <v>1</v>
      </c>
      <c r="DZ576">
        <v>0</v>
      </c>
      <c r="EA576">
        <v>0</v>
      </c>
      <c r="EB576">
        <v>0</v>
      </c>
      <c r="EC576">
        <v>0</v>
      </c>
      <c r="ED576">
        <v>0</v>
      </c>
      <c r="EE576">
        <v>0</v>
      </c>
      <c r="EF576">
        <v>1</v>
      </c>
      <c r="EG576">
        <v>0</v>
      </c>
      <c r="EH576">
        <v>1</v>
      </c>
      <c r="EI576" s="2">
        <v>1</v>
      </c>
      <c r="EK576" t="str">
        <f>IF(AND(AND(AND(OR($DX576=1,$DW576=1),OR($EC576=1,$EA576=1)),SUM($DV576:$DZ576,$EF576)&gt;=4),SUM($EA576:$EE576)&gt;=2),"Whole sector","")</f>
        <v/>
      </c>
      <c r="EL576" t="str">
        <f>IF(AND(AND(OR($DX576=1,$DW576=1),AND($EC576=0,$EA576=0)),SUM($DV576:$DZ576,$EF576)&gt;=4),"Ecosystem approach","")</f>
        <v>Ecosystem approach</v>
      </c>
      <c r="EM576" s="2" t="str">
        <f>IF(AND(AND(AND($DX576=0,$DW576=0),OR($EC576=1,$EA576=1)),SUM($EB576:$EE576)&gt;=2),"Technology approach","")</f>
        <v/>
      </c>
      <c r="EP576" t="str">
        <f>IF(ISNUMBER(BU576),IF(ABS(BU576-[1]QC_indicators!$B$2)&gt;3*[1]QC_indicators!$C$2,"C ratio",IF(ISNUMBER(BY576),IF(ABS(BY576-[1]QC_indicators!$B$1)&gt;3*[1]QC_indicators!$C$1,"DF","no"))),IF(ISNUMBER(BY576),IF(ABS(BY576-[1]QC_indicators!$B$1)&gt;3*[1]QC_indicators!$C$1,"DF","no")))</f>
        <v>no</v>
      </c>
      <c r="ET576" s="266" t="s">
        <v>3409</v>
      </c>
    </row>
    <row r="577" spans="1:150" ht="15" hidden="1" customHeight="1">
      <c r="A577" s="1" t="s">
        <v>1288</v>
      </c>
      <c r="B577" t="s">
        <v>1338</v>
      </c>
      <c r="C577" t="s">
        <v>1339</v>
      </c>
      <c r="D577" t="s">
        <v>1340</v>
      </c>
      <c r="E577" t="s">
        <v>1341</v>
      </c>
      <c r="F577" t="s">
        <v>1342</v>
      </c>
      <c r="G577" t="s">
        <v>1294</v>
      </c>
      <c r="H577" t="s">
        <v>255</v>
      </c>
      <c r="I577">
        <v>2016</v>
      </c>
      <c r="J577">
        <v>27</v>
      </c>
      <c r="K577" t="s">
        <v>1343</v>
      </c>
      <c r="M577" t="str">
        <f>LEFT($D577,FIND(",",$D577)-1)&amp;"_"&amp;I577&amp;L577</f>
        <v>Braun_2016</v>
      </c>
      <c r="N577" t="s">
        <v>223</v>
      </c>
      <c r="O577" s="145" t="s">
        <v>224</v>
      </c>
      <c r="Q577" t="s">
        <v>257</v>
      </c>
      <c r="R577" s="255" t="s">
        <v>226</v>
      </c>
      <c r="S577" s="1" t="s">
        <v>1344</v>
      </c>
      <c r="T577" t="s">
        <v>1345</v>
      </c>
      <c r="U577" t="s">
        <v>1045</v>
      </c>
      <c r="V577">
        <v>1</v>
      </c>
      <c r="W577">
        <v>0</v>
      </c>
      <c r="X577">
        <v>0</v>
      </c>
      <c r="Y577">
        <v>0</v>
      </c>
      <c r="Z577">
        <v>0</v>
      </c>
      <c r="AA577">
        <v>0</v>
      </c>
      <c r="AB577">
        <v>0</v>
      </c>
      <c r="AC577">
        <v>0</v>
      </c>
      <c r="AD577">
        <v>0</v>
      </c>
      <c r="AE577">
        <v>0</v>
      </c>
      <c r="AF577">
        <v>0</v>
      </c>
      <c r="AG577">
        <v>0</v>
      </c>
      <c r="AH577">
        <v>0</v>
      </c>
      <c r="AI577">
        <v>0</v>
      </c>
      <c r="AJ577">
        <v>0</v>
      </c>
      <c r="AK577">
        <v>0</v>
      </c>
      <c r="AL577">
        <v>0</v>
      </c>
      <c r="AM577">
        <v>0</v>
      </c>
      <c r="AN577">
        <v>0</v>
      </c>
      <c r="AO577">
        <v>0</v>
      </c>
      <c r="AP577">
        <v>0</v>
      </c>
      <c r="AQ577">
        <v>0</v>
      </c>
      <c r="AR577">
        <v>0</v>
      </c>
      <c r="AS577">
        <v>0</v>
      </c>
      <c r="AT577">
        <v>0</v>
      </c>
      <c r="AU577">
        <v>0</v>
      </c>
      <c r="AV577">
        <v>0</v>
      </c>
      <c r="AW577">
        <v>0</v>
      </c>
      <c r="AX577" s="141">
        <f>COUNTIF(V577:AW577,"&lt;&gt;0")</f>
        <v>1</v>
      </c>
      <c r="AY577" s="141">
        <f>COUNTIF(V577:AL577,"&lt;&gt;0")</f>
        <v>1</v>
      </c>
      <c r="AZ577">
        <f>COUNTIF(V577:AC577,"&lt;&gt;0")</f>
        <v>1</v>
      </c>
      <c r="BA577">
        <f>COUNTIF(AD577:AI577,"&lt;&gt;0")</f>
        <v>0</v>
      </c>
      <c r="BB577">
        <f>COUNTIF(AJ577:AL577,"&lt;&gt;0")</f>
        <v>0</v>
      </c>
      <c r="BC577">
        <f>COUNTIF(AS577:AW577,"&lt;&gt;0")</f>
        <v>0</v>
      </c>
      <c r="BD577">
        <f>COUNTIF(AM577:AR577,"&lt;&gt;0")</f>
        <v>0</v>
      </c>
      <c r="BE577" t="str">
        <f t="array" ref="BE577">IF(AY577=1,INDEX($V$7:$AL$7,MATCH(TRUE,INDEX($V577:$AW577&lt;&gt;0,),0)),IF(AY577=0,INDEX($AM$7:$AW$7,MATCH(1,$AM577:$AW577,0)),IF(BF577="Multiple strategies","mixed drivers",IF(BF577="Supply chain","multiple supply","multiple silviculture"))))</f>
        <v>area subject to harvest</v>
      </c>
      <c r="BF577" s="2" t="str" cm="1">
        <f t="array" ref="BF577">IF(COUNTIF(AZ577:BB577,"&lt;&gt;0")=1,INDEX($V$4:$AW$4,MATCH(TRUE,INDEX($V577:$AW577&lt;&gt;0,),0)),IF(COUNTIF(AZ577:BB577,"&lt;&gt;0")=0,INDEX($AM$4:$AW$4,MATCH(1,$AM577:$AW577,0)),"Multiple strategies"))</f>
        <v>SilvicultureRemov</v>
      </c>
      <c r="BG577" s="1" t="s">
        <v>230</v>
      </c>
      <c r="BH577" t="s">
        <v>1346</v>
      </c>
      <c r="BI577" s="260" t="s">
        <v>3279</v>
      </c>
      <c r="BJ577" t="s">
        <v>1347</v>
      </c>
      <c r="BK577">
        <v>1.1674521913429727</v>
      </c>
      <c r="BL577">
        <v>1.8051407849829213</v>
      </c>
      <c r="BM577">
        <f>BL577/BK577</f>
        <v>1.5462224477958166</v>
      </c>
      <c r="BN577">
        <f>BL577-BK577</f>
        <v>0.63768859363994856</v>
      </c>
      <c r="BO577">
        <f>BN577*10^9</f>
        <v>637688593.63994861</v>
      </c>
      <c r="BP577" t="s">
        <v>233</v>
      </c>
      <c r="BQ577" s="260" t="s">
        <v>3280</v>
      </c>
      <c r="BR577" t="s">
        <v>1348</v>
      </c>
      <c r="BS577" s="141">
        <v>1.93686006825938</v>
      </c>
      <c r="BT577" s="141">
        <v>1.4146757679180799</v>
      </c>
      <c r="BU577" s="144">
        <f>IFERROR(BT577/BS577,"")</f>
        <v>0.7303964757709227</v>
      </c>
      <c r="BV577">
        <f>BT577-BS577</f>
        <v>-0.52218430034130003</v>
      </c>
      <c r="BX577">
        <f>BV577*10^9</f>
        <v>-522184300.34130001</v>
      </c>
      <c r="BY577">
        <f>IFERROR(BX577/BO577,"")</f>
        <v>-0.81887037897393444</v>
      </c>
      <c r="BZ577" s="143">
        <v>0</v>
      </c>
      <c r="CA577" s="143">
        <v>0</v>
      </c>
      <c r="CB577" s="143">
        <v>0</v>
      </c>
      <c r="CC577" s="143">
        <v>0</v>
      </c>
      <c r="CD577" s="143">
        <v>0</v>
      </c>
      <c r="CE577" s="143">
        <v>0</v>
      </c>
      <c r="CF577" s="143">
        <v>0</v>
      </c>
      <c r="CG577" s="143">
        <v>0</v>
      </c>
      <c r="CH577" s="143">
        <v>0</v>
      </c>
      <c r="CI577" s="143">
        <v>0</v>
      </c>
      <c r="CJ577" s="143">
        <v>0</v>
      </c>
      <c r="CK577" s="143">
        <v>0</v>
      </c>
      <c r="CL577" s="143">
        <v>0</v>
      </c>
      <c r="CM577">
        <v>0</v>
      </c>
      <c r="CN577" t="str">
        <f>IF($BL577&lt;$BK577,"refNeedCorrection","refOK")</f>
        <v>refOK</v>
      </c>
      <c r="CO577">
        <f>IF($CN577="refOK",$BK577,$BL577)</f>
        <v>1.1674521913429727</v>
      </c>
      <c r="CP577">
        <f>IF($CN577="refOK",$BL577,$BK577)</f>
        <v>1.8051407849829213</v>
      </c>
      <c r="CQ577">
        <f>IF($CN577="refOK",$BO577,-$BO577)</f>
        <v>637688593.63994861</v>
      </c>
      <c r="CR577">
        <f>IF($CN577="refOK",$BS577,$BT577)*IF($BP577="Emissions positive",-1,1)</f>
        <v>1.93686006825938</v>
      </c>
      <c r="CS577">
        <f>IF($CN577="refOK",$BT577,$BS577)*IF($BP577="Emissions positive",-1,1)</f>
        <v>1.4146757679180799</v>
      </c>
      <c r="CT577">
        <f>IF($CN577="refNeedCorrection",-BX577,BX577)*IF($BP577="Emissions positive",-1,1)</f>
        <v>-522184300.34130001</v>
      </c>
      <c r="CU577">
        <f>IFERROR(CT577/CQ577,"")</f>
        <v>-0.81887037897393444</v>
      </c>
      <c r="CV577" s="2">
        <f>IFERROR((CS577-CR577)/ABS(CR577),"")</f>
        <v>-0.2696035242290773</v>
      </c>
      <c r="CW577" s="1" t="s">
        <v>1205</v>
      </c>
      <c r="CX577" t="str">
        <f>IF(OR($CW577="prd",$CW577="std",$CW577="cit"),"loc",IF(OR($CW577="eur",$CW577="reg",$CW577="coy"),"reg",$CW577))</f>
        <v>reg</v>
      </c>
      <c r="CY577" t="s">
        <v>668</v>
      </c>
      <c r="CZ577">
        <v>2010</v>
      </c>
      <c r="DA577">
        <v>2100</v>
      </c>
      <c r="DB577">
        <f>DA577-CZ577</f>
        <v>90</v>
      </c>
      <c r="DC577" t="str">
        <f>IF(DB577=0,"0",IF(AND(DB577&gt;=1,DB577&lt;=30),"1-30",IF(AND(DB577&gt;30,DB577&lt;=70),"31-70",IF(AND(DB577&gt;70,DB577&lt;=100),"71-100",IF(DB577&gt;100,"+100")))))</f>
        <v>71-100</v>
      </c>
      <c r="DD577">
        <v>0</v>
      </c>
      <c r="DE577">
        <v>1</v>
      </c>
      <c r="DF577">
        <v>1</v>
      </c>
      <c r="DG577">
        <v>1</v>
      </c>
      <c r="DI577">
        <f>SUM(DD577:DG577)</f>
        <v>3</v>
      </c>
      <c r="DJ577" t="str">
        <f>IF(DI577=1,INDEX($DD$7:$DG$7,MATCH(1,$DD577:$DG577,0)),"mixedProduct")</f>
        <v>mixedProduct</v>
      </c>
      <c r="DK577">
        <f>IF(DD577=1,DK$7,0)</f>
        <v>0</v>
      </c>
      <c r="DL577" t="str">
        <f>IF(DE577=1,DL$7,0)</f>
        <v>Energy</v>
      </c>
      <c r="DM577" t="str">
        <f>IF(DF577=1,DM$7,0)</f>
        <v>Pulp/Paper</v>
      </c>
      <c r="DN577" t="str">
        <f>IF(DG577=1,DN$7,0)</f>
        <v>Timber</v>
      </c>
      <c r="DO577">
        <v>1</v>
      </c>
      <c r="DP577" s="143">
        <v>0</v>
      </c>
      <c r="DQ577" s="143">
        <v>0</v>
      </c>
      <c r="DR577" s="143">
        <v>0</v>
      </c>
      <c r="DS577">
        <v>0</v>
      </c>
      <c r="DT577">
        <f>SUM(DO577:DP577)</f>
        <v>1</v>
      </c>
      <c r="DU577" s="143" t="str">
        <f>IF(DO577=1,"self-calculated DF",IF(DP577=1,"external DF used","explicit C balance"))</f>
        <v>self-calculated DF</v>
      </c>
      <c r="DV577">
        <v>1</v>
      </c>
      <c r="DW577" s="143">
        <v>1</v>
      </c>
      <c r="DX577" s="143">
        <v>1</v>
      </c>
      <c r="DY577" s="143">
        <v>1</v>
      </c>
      <c r="DZ577">
        <v>1</v>
      </c>
      <c r="EA577" s="141">
        <v>1</v>
      </c>
      <c r="EB577">
        <v>0</v>
      </c>
      <c r="EC577" s="143">
        <v>1</v>
      </c>
      <c r="ED577" s="143">
        <v>1</v>
      </c>
      <c r="EE577">
        <v>0</v>
      </c>
      <c r="EF577">
        <v>1</v>
      </c>
      <c r="EG577" s="143">
        <v>0</v>
      </c>
      <c r="EH577" s="143">
        <v>0</v>
      </c>
      <c r="EI577" s="2">
        <v>0</v>
      </c>
      <c r="EK577" t="str">
        <f>IF(AND(AND(AND(OR($DX577=1,$DW577=1),OR($EC577=1,$EA577=1)),SUM($DV577:$DZ577,$EF577)&gt;=4),SUM($EA577:$EE577)&gt;=2),"Whole sector","")</f>
        <v>Whole sector</v>
      </c>
      <c r="EL577" t="str">
        <f>IF(AND(AND(OR($DX577=1,$DW577=1),AND($EC577=0,$EA577=0)),SUM($DV577:$DZ577,$EF577)&gt;=4),"Ecosystem approach","")</f>
        <v/>
      </c>
      <c r="EM577" s="2" t="str">
        <f>IF(AND(AND(AND($DX577=0,$DW577=0),OR($EC577=1,$EA577=1)),SUM($EB577:$EE577)&gt;=2),"Technology approach","")</f>
        <v/>
      </c>
      <c r="EN577" s="266" t="s">
        <v>3281</v>
      </c>
      <c r="EP577" t="str">
        <f>IF(ISNUMBER(BU577),IF(ABS(BU577-[4]QC_indicators!$B$2)&gt;3*[4]QC_indicators!$C$2,"C ratio",IF(ISNUMBER(BY577),IF(ABS(BY577-[4]QC_indicators!$B$1)&gt;3*[4]QC_indicators!$C$1,"DF","no"))),IF(ISNUMBER(BY577),IF(ABS(BY577-[4]QC_indicators!$B$1)&gt;3*[4]QC_indicators!$C$1,"DF","no")))</f>
        <v>no</v>
      </c>
      <c r="EQ577" t="s">
        <v>1349</v>
      </c>
      <c r="ET577" s="266" t="s">
        <v>3275</v>
      </c>
    </row>
    <row r="578" spans="1:150" ht="15" customHeight="1">
      <c r="A578" s="1" t="s">
        <v>1380</v>
      </c>
      <c r="B578" t="s">
        <v>1381</v>
      </c>
      <c r="C578" t="s">
        <v>1382</v>
      </c>
      <c r="D578" t="s">
        <v>1383</v>
      </c>
      <c r="E578" t="s">
        <v>1384</v>
      </c>
      <c r="F578" t="s">
        <v>1385</v>
      </c>
      <c r="G578" t="s">
        <v>1386</v>
      </c>
      <c r="H578" t="s">
        <v>255</v>
      </c>
      <c r="I578">
        <v>2021</v>
      </c>
      <c r="J578">
        <v>0</v>
      </c>
      <c r="K578" t="s">
        <v>1387</v>
      </c>
      <c r="M578" t="str">
        <f>LEFT($D578,FIND(",",$D578)-1)&amp;"_"&amp;I578&amp;L578</f>
        <v>Delacote_2021</v>
      </c>
      <c r="N578" t="s">
        <v>223</v>
      </c>
      <c r="O578" s="145" t="s">
        <v>224</v>
      </c>
      <c r="Q578" s="266" t="s">
        <v>257</v>
      </c>
      <c r="R578" s="271" t="s">
        <v>1156</v>
      </c>
      <c r="S578" s="1" t="s">
        <v>1399</v>
      </c>
      <c r="T578" t="s">
        <v>1393</v>
      </c>
      <c r="U578" t="s">
        <v>1389</v>
      </c>
      <c r="V578">
        <v>0</v>
      </c>
      <c r="W578">
        <v>0</v>
      </c>
      <c r="X578">
        <v>0</v>
      </c>
      <c r="Y578">
        <v>0</v>
      </c>
      <c r="Z578">
        <v>0</v>
      </c>
      <c r="AA578">
        <v>0</v>
      </c>
      <c r="AB578">
        <v>0</v>
      </c>
      <c r="AC578">
        <v>0</v>
      </c>
      <c r="AD578">
        <v>0</v>
      </c>
      <c r="AE578">
        <v>0</v>
      </c>
      <c r="AF578">
        <v>0</v>
      </c>
      <c r="AG578">
        <v>0</v>
      </c>
      <c r="AH578">
        <v>0</v>
      </c>
      <c r="AI578">
        <v>0</v>
      </c>
      <c r="AJ578">
        <v>0</v>
      </c>
      <c r="AK578">
        <v>0</v>
      </c>
      <c r="AL578">
        <v>0</v>
      </c>
      <c r="AM578">
        <v>0</v>
      </c>
      <c r="AN578">
        <v>1</v>
      </c>
      <c r="AO578">
        <v>2</v>
      </c>
      <c r="AP578">
        <v>0</v>
      </c>
      <c r="AQ578">
        <v>0</v>
      </c>
      <c r="AR578">
        <v>0</v>
      </c>
      <c r="AS578">
        <v>0</v>
      </c>
      <c r="AT578">
        <v>0</v>
      </c>
      <c r="AU578">
        <v>0</v>
      </c>
      <c r="AV578">
        <v>0</v>
      </c>
      <c r="AW578">
        <v>0</v>
      </c>
      <c r="AX578" s="141">
        <f>COUNTIF(V578:AW578,"&lt;&gt;0")</f>
        <v>2</v>
      </c>
      <c r="AY578" s="141">
        <f>COUNTIF(V578:AL578,"&lt;&gt;0")</f>
        <v>0</v>
      </c>
      <c r="AZ578">
        <f>COUNTIF(V578:AC578,"&lt;&gt;0")</f>
        <v>0</v>
      </c>
      <c r="BA578">
        <f>COUNTIF(AD578:AI578,"&lt;&gt;0")</f>
        <v>0</v>
      </c>
      <c r="BB578">
        <f>COUNTIF(AJ578:AL578,"&lt;&gt;0")</f>
        <v>0</v>
      </c>
      <c r="BC578">
        <f>COUNTIF(AS578:AW578,"&lt;&gt;0")</f>
        <v>0</v>
      </c>
      <c r="BD578">
        <f>COUNTIF(AM578:AR578,"&lt;&gt;0")</f>
        <v>2</v>
      </c>
      <c r="BE578" t="str" cm="1">
        <f t="array" ref="BE578">IF(AY578=1,INDEX($V$7:$AL$7,MATCH(TRUE,INDEX($V578:$AW578&lt;&gt;0,),0)),IF(AY578=0,INDEX($AM$7:$AW$7,MATCH(1,$AM578:$AW578,0)),IF(BF578="Multiple strategies","mixed drivers",IF(BF578="Supply chain","multiple supply","multiple silviculture"))))</f>
        <v>Temperature</v>
      </c>
      <c r="BF578" s="2" t="str" cm="1">
        <f t="array" ref="BF578">IF(COUNTIF(AZ578:BB578,"&lt;&gt;0")=1,INDEX($V$4:$AW$4,MATCH(TRUE,INDEX($V578:$AW578&lt;&gt;0,),0)),IF(COUNTIF(AZ578:BB578,"&lt;&gt;0")=0,INDEX($AM$4:$AW$4,MATCH(1,$AM578:$AW578,0)),"Multiple strategies"))</f>
        <v>Environmental change</v>
      </c>
      <c r="BG578" s="1" t="s">
        <v>322</v>
      </c>
      <c r="BH578" t="s">
        <v>1299</v>
      </c>
      <c r="BJ578" t="s">
        <v>1216</v>
      </c>
      <c r="BK578">
        <f>BL578*(1-0.06/100)</f>
        <v>58.243033199999999</v>
      </c>
      <c r="BL578">
        <v>58.277999999999999</v>
      </c>
      <c r="BM578">
        <f>BL578/BK578</f>
        <v>1.0006003602161297</v>
      </c>
      <c r="BN578">
        <f>BL578-BK578</f>
        <v>3.4966799999999409E-2</v>
      </c>
      <c r="BO578">
        <f>BN578*10^6</f>
        <v>34966.799999999406</v>
      </c>
      <c r="BP578" t="s">
        <v>233</v>
      </c>
      <c r="BR578" t="s">
        <v>1232</v>
      </c>
      <c r="BS578">
        <f>BT578*(1+0.15/100)</f>
        <v>56.619802499999999</v>
      </c>
      <c r="BT578">
        <v>56.534999999999997</v>
      </c>
      <c r="BU578" s="144">
        <f>IFERROR(BT578/BS578,"")</f>
        <v>0.99850224663005493</v>
      </c>
      <c r="BV578">
        <f>BT578-BS578</f>
        <v>-8.4802500000002112E-2</v>
      </c>
      <c r="BX578">
        <f>BV578*10^6</f>
        <v>-84802.50000000211</v>
      </c>
      <c r="BY578">
        <f>IFERROR(BX578/BO578,"")</f>
        <v>-2.425229074436424</v>
      </c>
      <c r="BZ578">
        <v>0</v>
      </c>
      <c r="CA578">
        <v>0</v>
      </c>
      <c r="CB578">
        <v>0</v>
      </c>
      <c r="CC578">
        <v>0</v>
      </c>
      <c r="CD578">
        <v>0</v>
      </c>
      <c r="CE578">
        <v>0</v>
      </c>
      <c r="CF578">
        <v>0</v>
      </c>
      <c r="CG578">
        <v>0</v>
      </c>
      <c r="CH578">
        <v>0</v>
      </c>
      <c r="CI578">
        <v>0</v>
      </c>
      <c r="CJ578">
        <v>0</v>
      </c>
      <c r="CK578">
        <v>0</v>
      </c>
      <c r="CL578">
        <v>0</v>
      </c>
      <c r="CM578">
        <v>1</v>
      </c>
      <c r="CN578" t="str">
        <f>IF($BL578&lt;$BK578,"refNeedCorrection","refOK")</f>
        <v>refOK</v>
      </c>
      <c r="CO578">
        <f>IF($CN578="refOK",$BK578,$BL578)</f>
        <v>58.243033199999999</v>
      </c>
      <c r="CP578">
        <f>IF($CN578="refOK",$BL578,$BK578)</f>
        <v>58.277999999999999</v>
      </c>
      <c r="CQ578">
        <f>IF($CN578="refOK",$BO578,-$BO578)</f>
        <v>34966.799999999406</v>
      </c>
      <c r="CR578">
        <f>IF($CN578="refOK",$BS578,$BT578)*IF($BP578="Emissions positive",-1,1)</f>
        <v>56.619802499999999</v>
      </c>
      <c r="CS578">
        <f>IF($CN578="refOK",$BT578,$BS578)*IF($BP578="Emissions positive",-1,1)</f>
        <v>56.534999999999997</v>
      </c>
      <c r="CT578">
        <f>IF($CN578="refNeedCorrection",-BX578,BX578)*IF($BP578="Emissions positive",-1,1)</f>
        <v>-84802.50000000211</v>
      </c>
      <c r="CU578">
        <f>IFERROR(CT578/CQ578,"")</f>
        <v>-2.425229074436424</v>
      </c>
      <c r="CV578" s="2">
        <f>IFERROR((CS578-CR578)/ABS(CR578),"")</f>
        <v>-1.4977533699451198E-3</v>
      </c>
      <c r="CW578" s="1" t="s">
        <v>1205</v>
      </c>
      <c r="CX578" s="266" t="str">
        <f>IF(OR($CW578="prd",$CW578="std",$CW578="cit"),"loc",IF(OR($CW578="eur",$CW578="reg",$CW578="coy"),"reg",$CW578))</f>
        <v>reg</v>
      </c>
      <c r="CY578" t="s">
        <v>731</v>
      </c>
      <c r="CZ578">
        <v>2015</v>
      </c>
      <c r="DA578">
        <v>2100</v>
      </c>
      <c r="DB578">
        <f>DA578-CZ578</f>
        <v>85</v>
      </c>
      <c r="DC578" t="str">
        <f>IF(DB578=0,"0",IF(AND(DB578&gt;=1,DB578&lt;=30),"1-30",IF(AND(DB578&gt;30,DB578&lt;=70),"31-70",IF(AND(DB578&gt;70,DB578&lt;=100),"71-100",IF(DB578&gt;100,"+100")))))</f>
        <v>71-100</v>
      </c>
      <c r="DD578">
        <v>0</v>
      </c>
      <c r="DE578">
        <v>1</v>
      </c>
      <c r="DF578">
        <v>1</v>
      </c>
      <c r="DG578">
        <v>1</v>
      </c>
      <c r="DI578">
        <f>SUM(DD578:DG578)</f>
        <v>3</v>
      </c>
      <c r="DJ578" t="str">
        <f>IF(DI578=1,INDEX($DD$7:$DG$7,MATCH(1,$DD578:$DG578,0)),"mixedProduct")</f>
        <v>mixedProduct</v>
      </c>
      <c r="DK578">
        <f>IF(DD578=1,DK$7,0)</f>
        <v>0</v>
      </c>
      <c r="DL578" t="str">
        <f>IF(DE578=1,DL$7,0)</f>
        <v>Energy</v>
      </c>
      <c r="DM578" t="str">
        <f>IF(DF578=1,DM$7,0)</f>
        <v>Pulp/Paper</v>
      </c>
      <c r="DN578" t="str">
        <f>IF(DG578=1,DN$7,0)</f>
        <v>Timber</v>
      </c>
      <c r="DO578">
        <v>0</v>
      </c>
      <c r="DP578">
        <v>0</v>
      </c>
      <c r="DQ578">
        <v>0</v>
      </c>
      <c r="DR578">
        <v>0</v>
      </c>
      <c r="DS578">
        <v>0</v>
      </c>
      <c r="DT578">
        <f>SUM(DO578:DP578)</f>
        <v>0</v>
      </c>
      <c r="DU578" s="143" t="str">
        <f>IF(DO578=1,"self-calculated DF",IF(DP578=1,"external DF used","explicit C balance"))</f>
        <v>explicit C balance</v>
      </c>
      <c r="DV578">
        <v>0</v>
      </c>
      <c r="DW578">
        <v>1</v>
      </c>
      <c r="DX578">
        <v>1</v>
      </c>
      <c r="DY578">
        <v>1</v>
      </c>
      <c r="DZ578">
        <v>0</v>
      </c>
      <c r="EA578">
        <v>0</v>
      </c>
      <c r="EB578">
        <v>0</v>
      </c>
      <c r="EC578">
        <v>0</v>
      </c>
      <c r="ED578">
        <v>0</v>
      </c>
      <c r="EE578">
        <v>0</v>
      </c>
      <c r="EF578">
        <v>1</v>
      </c>
      <c r="EG578">
        <v>0</v>
      </c>
      <c r="EH578">
        <v>1</v>
      </c>
      <c r="EI578" s="2">
        <v>1</v>
      </c>
      <c r="EK578" t="str">
        <f>IF(AND(AND(AND(OR($DX578=1,$DW578=1),OR($EC578=1,$EA578=1)),SUM($DV578:$DZ578,$EF578)&gt;=4),SUM($EA578:$EE578)&gt;=2),"Whole sector","")</f>
        <v/>
      </c>
      <c r="EL578" t="str">
        <f>IF(AND(AND(OR($DX578=1,$DW578=1),AND($EC578=0,$EA578=0)),SUM($DV578:$DZ578,$EF578)&gt;=4),"Ecosystem approach","")</f>
        <v>Ecosystem approach</v>
      </c>
      <c r="EM578" s="2" t="str">
        <f>IF(AND(AND(AND($DX578=0,$DW578=0),OR($EC578=1,$EA578=1)),SUM($EB578:$EE578)&gt;=2),"Technology approach","")</f>
        <v/>
      </c>
      <c r="EP578" t="str">
        <f>IF(ISNUMBER(BU578),IF(ABS(BU578-[1]QC_indicators!$B$2)&gt;3*[1]QC_indicators!$C$2,"C ratio",IF(ISNUMBER(BY578),IF(ABS(BY578-[1]QC_indicators!$B$1)&gt;3*[1]QC_indicators!$C$1,"DF","no"))),IF(ISNUMBER(BY578),IF(ABS(BY578-[1]QC_indicators!$B$1)&gt;3*[1]QC_indicators!$C$1,"DF","no")))</f>
        <v>no</v>
      </c>
      <c r="ET578" s="266" t="s">
        <v>3409</v>
      </c>
    </row>
    <row r="579" spans="1:150" ht="15" customHeight="1">
      <c r="A579" s="1" t="s">
        <v>1380</v>
      </c>
      <c r="B579" t="s">
        <v>1381</v>
      </c>
      <c r="C579" t="s">
        <v>1382</v>
      </c>
      <c r="D579" t="s">
        <v>1383</v>
      </c>
      <c r="E579" t="s">
        <v>1384</v>
      </c>
      <c r="F579" t="s">
        <v>1385</v>
      </c>
      <c r="G579" t="s">
        <v>1386</v>
      </c>
      <c r="H579" t="s">
        <v>255</v>
      </c>
      <c r="I579">
        <v>2021</v>
      </c>
      <c r="J579">
        <v>0</v>
      </c>
      <c r="K579" t="s">
        <v>1387</v>
      </c>
      <c r="M579" t="str">
        <f>LEFT($D579,FIND(",",$D579)-1)&amp;"_"&amp;I579&amp;L579</f>
        <v>Delacote_2021</v>
      </c>
      <c r="N579" t="s">
        <v>223</v>
      </c>
      <c r="O579" s="145" t="s">
        <v>224</v>
      </c>
      <c r="Q579" s="266" t="s">
        <v>257</v>
      </c>
      <c r="R579" s="271" t="s">
        <v>1156</v>
      </c>
      <c r="S579" s="1" t="s">
        <v>1399</v>
      </c>
      <c r="T579" t="s">
        <v>1397</v>
      </c>
      <c r="U579" s="141" t="s">
        <v>1389</v>
      </c>
      <c r="V579">
        <v>0</v>
      </c>
      <c r="W579">
        <v>0</v>
      </c>
      <c r="X579">
        <v>0</v>
      </c>
      <c r="Y579">
        <v>0</v>
      </c>
      <c r="Z579">
        <v>0</v>
      </c>
      <c r="AA579">
        <v>0</v>
      </c>
      <c r="AB579">
        <v>0</v>
      </c>
      <c r="AC579">
        <v>0</v>
      </c>
      <c r="AD579">
        <v>0</v>
      </c>
      <c r="AE579">
        <v>0</v>
      </c>
      <c r="AF579">
        <v>0</v>
      </c>
      <c r="AG579">
        <v>0</v>
      </c>
      <c r="AH579">
        <v>0</v>
      </c>
      <c r="AI579">
        <v>0</v>
      </c>
      <c r="AJ579">
        <v>0</v>
      </c>
      <c r="AK579">
        <v>0</v>
      </c>
      <c r="AL579">
        <v>0</v>
      </c>
      <c r="AM579">
        <v>0</v>
      </c>
      <c r="AN579">
        <v>1</v>
      </c>
      <c r="AO579">
        <v>2</v>
      </c>
      <c r="AP579">
        <v>0</v>
      </c>
      <c r="AQ579">
        <v>0</v>
      </c>
      <c r="AR579">
        <v>0</v>
      </c>
      <c r="AS579">
        <v>0</v>
      </c>
      <c r="AT579">
        <v>0</v>
      </c>
      <c r="AU579">
        <v>0</v>
      </c>
      <c r="AV579">
        <v>0</v>
      </c>
      <c r="AW579">
        <v>0</v>
      </c>
      <c r="AX579" s="141">
        <f>COUNTIF(V579:AW579,"&lt;&gt;0")</f>
        <v>2</v>
      </c>
      <c r="AY579" s="141">
        <f>COUNTIF(V579:AL579,"&lt;&gt;0")</f>
        <v>0</v>
      </c>
      <c r="AZ579">
        <f>COUNTIF(V579:AC579,"&lt;&gt;0")</f>
        <v>0</v>
      </c>
      <c r="BA579">
        <f>COUNTIF(AD579:AI579,"&lt;&gt;0")</f>
        <v>0</v>
      </c>
      <c r="BB579">
        <f>COUNTIF(AJ579:AL579,"&lt;&gt;0")</f>
        <v>0</v>
      </c>
      <c r="BC579">
        <f>COUNTIF(AS579:AW579,"&lt;&gt;0")</f>
        <v>0</v>
      </c>
      <c r="BD579">
        <f>COUNTIF(AM579:AR579,"&lt;&gt;0")</f>
        <v>2</v>
      </c>
      <c r="BE579" t="str" cm="1">
        <f t="array" ref="BE579">IF(AY579=1,INDEX($V$7:$AL$7,MATCH(TRUE,INDEX($V579:$AW579&lt;&gt;0,),0)),IF(AY579=0,INDEX($AM$7:$AW$7,MATCH(1,$AM579:$AW579,0)),IF(BF579="Multiple strategies","mixed drivers",IF(BF579="Supply chain","multiple supply","multiple silviculture"))))</f>
        <v>Temperature</v>
      </c>
      <c r="BF579" s="2" t="str" cm="1">
        <f t="array" ref="BF579">IF(COUNTIF(AZ579:BB579,"&lt;&gt;0")=1,INDEX($V$4:$AW$4,MATCH(TRUE,INDEX($V579:$AW579&lt;&gt;0,),0)),IF(COUNTIF(AZ579:BB579,"&lt;&gt;0")=0,INDEX($AM$4:$AW$4,MATCH(1,$AM579:$AW579,0)),"Multiple strategies"))</f>
        <v>Environmental change</v>
      </c>
      <c r="BG579" s="1" t="s">
        <v>322</v>
      </c>
      <c r="BH579" t="s">
        <v>1299</v>
      </c>
      <c r="BJ579" t="s">
        <v>1216</v>
      </c>
      <c r="BK579">
        <f>BL579*(1-0.58/100)</f>
        <v>57.939987599999995</v>
      </c>
      <c r="BL579">
        <v>58.277999999999999</v>
      </c>
      <c r="BM579">
        <f>BL579/BK579</f>
        <v>1.0058338362502515</v>
      </c>
      <c r="BN579">
        <f>BL579-BK579</f>
        <v>0.33801240000000377</v>
      </c>
      <c r="BO579">
        <f>BN579*10^6</f>
        <v>338012.40000000375</v>
      </c>
      <c r="BP579" t="s">
        <v>233</v>
      </c>
      <c r="BR579" t="s">
        <v>1232</v>
      </c>
      <c r="BS579">
        <f>BT579*(1-7.22/100)</f>
        <v>52.453172999999992</v>
      </c>
      <c r="BT579">
        <v>56.534999999999997</v>
      </c>
      <c r="BU579" s="144">
        <f>IFERROR(BT579/BS579,"")</f>
        <v>1.0778184953653807</v>
      </c>
      <c r="BV579">
        <f>BT579-BS579</f>
        <v>4.0818270000000041</v>
      </c>
      <c r="BX579">
        <f>BV579*10^6</f>
        <v>4081827.0000000042</v>
      </c>
      <c r="BY579">
        <f>IFERROR(BX579/BO579,"")</f>
        <v>12.075968218917291</v>
      </c>
      <c r="BZ579">
        <v>0</v>
      </c>
      <c r="CA579">
        <v>0</v>
      </c>
      <c r="CB579">
        <v>0</v>
      </c>
      <c r="CC579">
        <v>0</v>
      </c>
      <c r="CD579">
        <v>0</v>
      </c>
      <c r="CE579">
        <v>0</v>
      </c>
      <c r="CF579">
        <v>0</v>
      </c>
      <c r="CG579">
        <v>0</v>
      </c>
      <c r="CH579">
        <v>0</v>
      </c>
      <c r="CI579">
        <v>0</v>
      </c>
      <c r="CJ579">
        <v>0</v>
      </c>
      <c r="CK579">
        <v>0</v>
      </c>
      <c r="CL579">
        <v>0</v>
      </c>
      <c r="CM579">
        <v>1</v>
      </c>
      <c r="CN579" t="str">
        <f>IF($BL579&lt;$BK579,"refNeedCorrection","refOK")</f>
        <v>refOK</v>
      </c>
      <c r="CO579">
        <f>IF($CN579="refOK",$BK579,$BL579)</f>
        <v>57.939987599999995</v>
      </c>
      <c r="CP579">
        <f>IF($CN579="refOK",$BL579,$BK579)</f>
        <v>58.277999999999999</v>
      </c>
      <c r="CQ579">
        <f>IF($CN579="refOK",$BO579,-$BO579)</f>
        <v>338012.40000000375</v>
      </c>
      <c r="CR579">
        <f>IF($CN579="refOK",$BS579,$BT579)*IF($BP579="Emissions positive",-1,1)</f>
        <v>52.453172999999992</v>
      </c>
      <c r="CS579">
        <f>IF($CN579="refOK",$BT579,$BS579)*IF($BP579="Emissions positive",-1,1)</f>
        <v>56.534999999999997</v>
      </c>
      <c r="CT579">
        <f>IF($CN579="refNeedCorrection",-BX579,BX579)*IF($BP579="Emissions positive",-1,1)</f>
        <v>4081827.0000000042</v>
      </c>
      <c r="CU579">
        <f>IFERROR(CT579/CQ579,"")</f>
        <v>12.075968218917291</v>
      </c>
      <c r="CV579" s="2">
        <f>IFERROR((CS579-CR579)/ABS(CR579),"")</f>
        <v>7.7818495365380561E-2</v>
      </c>
      <c r="CW579" s="1" t="s">
        <v>1205</v>
      </c>
      <c r="CX579" s="266" t="str">
        <f>IF(OR($CW579="prd",$CW579="std",$CW579="cit"),"loc",IF(OR($CW579="eur",$CW579="reg",$CW579="coy"),"reg",$CW579))</f>
        <v>reg</v>
      </c>
      <c r="CY579" t="s">
        <v>731</v>
      </c>
      <c r="CZ579">
        <v>2015</v>
      </c>
      <c r="DA579">
        <v>2100</v>
      </c>
      <c r="DB579">
        <f>DA579-CZ579</f>
        <v>85</v>
      </c>
      <c r="DC579" t="str">
        <f>IF(DB579=0,"0",IF(AND(DB579&gt;=1,DB579&lt;=30),"1-30",IF(AND(DB579&gt;30,DB579&lt;=70),"31-70",IF(AND(DB579&gt;70,DB579&lt;=100),"71-100",IF(DB579&gt;100,"+100")))))</f>
        <v>71-100</v>
      </c>
      <c r="DD579">
        <v>0</v>
      </c>
      <c r="DE579">
        <v>1</v>
      </c>
      <c r="DF579">
        <v>1</v>
      </c>
      <c r="DG579">
        <v>1</v>
      </c>
      <c r="DI579">
        <f>SUM(DD579:DG579)</f>
        <v>3</v>
      </c>
      <c r="DJ579" t="str">
        <f>IF(DI579=1,INDEX($DD$7:$DG$7,MATCH(1,$DD579:$DG579,0)),"mixedProduct")</f>
        <v>mixedProduct</v>
      </c>
      <c r="DK579">
        <f>IF(DD579=1,DK$7,0)</f>
        <v>0</v>
      </c>
      <c r="DL579" t="str">
        <f>IF(DE579=1,DL$7,0)</f>
        <v>Energy</v>
      </c>
      <c r="DM579" t="str">
        <f>IF(DF579=1,DM$7,0)</f>
        <v>Pulp/Paper</v>
      </c>
      <c r="DN579" t="str">
        <f>IF(DG579=1,DN$7,0)</f>
        <v>Timber</v>
      </c>
      <c r="DO579">
        <v>0</v>
      </c>
      <c r="DP579">
        <v>0</v>
      </c>
      <c r="DQ579">
        <v>0</v>
      </c>
      <c r="DR579">
        <v>0</v>
      </c>
      <c r="DS579">
        <v>0</v>
      </c>
      <c r="DT579">
        <f>SUM(DO579:DP579)</f>
        <v>0</v>
      </c>
      <c r="DU579" s="143" t="str">
        <f>IF(DO579=1,"self-calculated DF",IF(DP579=1,"external DF used","explicit C balance"))</f>
        <v>explicit C balance</v>
      </c>
      <c r="DV579">
        <v>0</v>
      </c>
      <c r="DW579">
        <v>1</v>
      </c>
      <c r="DX579">
        <v>1</v>
      </c>
      <c r="DY579">
        <v>1</v>
      </c>
      <c r="DZ579">
        <v>0</v>
      </c>
      <c r="EA579">
        <v>0</v>
      </c>
      <c r="EB579">
        <v>0</v>
      </c>
      <c r="EC579">
        <v>0</v>
      </c>
      <c r="ED579">
        <v>0</v>
      </c>
      <c r="EE579">
        <v>0</v>
      </c>
      <c r="EF579">
        <v>1</v>
      </c>
      <c r="EG579">
        <v>0</v>
      </c>
      <c r="EH579">
        <v>1</v>
      </c>
      <c r="EI579" s="2">
        <v>1</v>
      </c>
      <c r="EK579" t="str">
        <f>IF(AND(AND(AND(OR($DX579=1,$DW579=1),OR($EC579=1,$EA579=1)),SUM($DV579:$DZ579,$EF579)&gt;=4),SUM($EA579:$EE579)&gt;=2),"Whole sector","")</f>
        <v/>
      </c>
      <c r="EL579" t="str">
        <f>IF(AND(AND(OR($DX579=1,$DW579=1),AND($EC579=0,$EA579=0)),SUM($DV579:$DZ579,$EF579)&gt;=4),"Ecosystem approach","")</f>
        <v>Ecosystem approach</v>
      </c>
      <c r="EM579" s="2" t="str">
        <f>IF(AND(AND(AND($DX579=0,$DW579=0),OR($EC579=1,$EA579=1)),SUM($EB579:$EE579)&gt;=2),"Technology approach","")</f>
        <v/>
      </c>
      <c r="EP579" t="str">
        <f>IF(ISNUMBER(BU579),IF(ABS(BU579-[1]QC_indicators!$B$2)&gt;3*[1]QC_indicators!$C$2,"C ratio",IF(ISNUMBER(BY579),IF(ABS(BY579-[1]QC_indicators!$B$1)&gt;3*[1]QC_indicators!$C$1,"DF","no"))),IF(ISNUMBER(BY579),IF(ABS(BY579-[1]QC_indicators!$B$1)&gt;3*[1]QC_indicators!$C$1,"DF","no")))</f>
        <v>DF</v>
      </c>
      <c r="ET579" s="266" t="s">
        <v>3409</v>
      </c>
    </row>
    <row r="580" spans="1:150" ht="15" hidden="1" customHeight="1">
      <c r="D580" t="s">
        <v>775</v>
      </c>
      <c r="E580" t="s">
        <v>776</v>
      </c>
      <c r="G580" t="s">
        <v>777</v>
      </c>
      <c r="I580">
        <v>2015</v>
      </c>
      <c r="K580" s="150" t="s">
        <v>778</v>
      </c>
      <c r="M580" t="str">
        <f>LEFT($D580,FIND(",",$D580)-1)&amp;"_"&amp;I580&amp;L580</f>
        <v>Gustavsson_2015</v>
      </c>
      <c r="N580" t="s">
        <v>223</v>
      </c>
      <c r="O580" s="141" t="s">
        <v>224</v>
      </c>
      <c r="Q580" t="s">
        <v>257</v>
      </c>
      <c r="R580" s="255" t="s">
        <v>226</v>
      </c>
      <c r="S580" s="1" t="s">
        <v>779</v>
      </c>
      <c r="T580" t="s">
        <v>780</v>
      </c>
      <c r="U580" s="143" t="s">
        <v>781</v>
      </c>
      <c r="V580">
        <v>0</v>
      </c>
      <c r="W580">
        <v>0</v>
      </c>
      <c r="X580">
        <v>0</v>
      </c>
      <c r="Y580">
        <v>1</v>
      </c>
      <c r="Z580">
        <v>0</v>
      </c>
      <c r="AA580">
        <v>0</v>
      </c>
      <c r="AB580">
        <v>0</v>
      </c>
      <c r="AC580">
        <v>0</v>
      </c>
      <c r="AD580">
        <v>0</v>
      </c>
      <c r="AE580">
        <v>0</v>
      </c>
      <c r="AF580">
        <v>0</v>
      </c>
      <c r="AG580">
        <v>0</v>
      </c>
      <c r="AH580">
        <v>0</v>
      </c>
      <c r="AI580">
        <v>0</v>
      </c>
      <c r="AJ580">
        <v>0</v>
      </c>
      <c r="AK580">
        <v>0</v>
      </c>
      <c r="AL580">
        <v>0</v>
      </c>
      <c r="AM580">
        <v>0</v>
      </c>
      <c r="AN580">
        <v>0</v>
      </c>
      <c r="AO580">
        <v>0</v>
      </c>
      <c r="AP580">
        <v>0</v>
      </c>
      <c r="AQ580">
        <v>0</v>
      </c>
      <c r="AR580">
        <v>0</v>
      </c>
      <c r="AS580">
        <v>0</v>
      </c>
      <c r="AT580">
        <v>0</v>
      </c>
      <c r="AU580">
        <v>0</v>
      </c>
      <c r="AV580">
        <v>0</v>
      </c>
      <c r="AW580">
        <v>0</v>
      </c>
      <c r="AX580" s="141">
        <f>COUNTIF(V580:AW580,"&lt;&gt;0")</f>
        <v>1</v>
      </c>
      <c r="AY580" s="141">
        <f>COUNTIF(V580:AL580,"&lt;&gt;0")</f>
        <v>1</v>
      </c>
      <c r="AZ580">
        <f>COUNTIF(V580:AC580,"&lt;&gt;0")</f>
        <v>1</v>
      </c>
      <c r="BA580">
        <f>COUNTIF(AD580:AI580,"&lt;&gt;0")</f>
        <v>0</v>
      </c>
      <c r="BB580">
        <f>COUNTIF(AJ580:AL580,"&lt;&gt;0")</f>
        <v>0</v>
      </c>
      <c r="BC580">
        <f>COUNTIF(AS580:AW580,"&lt;&gt;0")</f>
        <v>0</v>
      </c>
      <c r="BD580">
        <f>COUNTIF(AM580:AR580,"&lt;&gt;0")</f>
        <v>0</v>
      </c>
      <c r="BE580" t="str">
        <f t="array" ref="BE580">IF(AY580=1,INDEX($V$7:$AL$7,MATCH(TRUE,INDEX($V580:$AW580&lt;&gt;0,),0)),IF(AY580=0,INDEX($AM$7:$AW$7,MATCH(1,$AM580:$AW580,0)),IF(BF580="Multiple strategies","mixed drivers",IF(BF580="Supply chain","multiple supply","multiple silviculture"))))</f>
        <v xml:space="preserve">cutting intensity </v>
      </c>
      <c r="BF580" s="2" t="str" cm="1">
        <f t="array" ref="BF580">IF(COUNTIF(AZ580:BB580,"&lt;&gt;0")=1,INDEX($V$4:$AW$4,MATCH(TRUE,INDEX($V580:$AW580&lt;&gt;0,),0)),IF(COUNTIF(AZ580:BB580,"&lt;&gt;0")=0,INDEX($AM$4:$AW$4,MATCH(1,$AM580:$AW580,0)),"Multiple strategies"))</f>
        <v>SilvicultureRemov</v>
      </c>
      <c r="BG580" s="142" t="s">
        <v>322</v>
      </c>
      <c r="BH580" t="s">
        <v>782</v>
      </c>
      <c r="BI580" s="260" t="s">
        <v>3341</v>
      </c>
      <c r="BJ580" s="266" t="s">
        <v>653</v>
      </c>
      <c r="BK580">
        <v>0</v>
      </c>
      <c r="BL580" s="143">
        <v>1</v>
      </c>
      <c r="BM580" s="143" t="e">
        <f>BL580/BK580</f>
        <v>#DIV/0!</v>
      </c>
      <c r="BN580">
        <f>BL580-BK580</f>
        <v>1</v>
      </c>
      <c r="BO580" s="143">
        <f>BN580*t_to_m3</f>
        <v>2.0408163265306123</v>
      </c>
      <c r="BP580" t="s">
        <v>233</v>
      </c>
      <c r="BQ580" s="306" t="s">
        <v>2115</v>
      </c>
      <c r="BR580" t="s">
        <v>730</v>
      </c>
      <c r="BS580" s="266">
        <v>-3416</v>
      </c>
      <c r="BT580" s="266">
        <v>-1870</v>
      </c>
      <c r="BU580">
        <v>0.54742388758782201</v>
      </c>
      <c r="BV580">
        <v>1546</v>
      </c>
      <c r="BX580">
        <f>BV580/1000</f>
        <v>1.546</v>
      </c>
      <c r="BY580">
        <f>IFERROR(BX580/BO580,"")</f>
        <v>0.75753999999999999</v>
      </c>
      <c r="BZ580" s="143">
        <v>0</v>
      </c>
      <c r="CA580" s="143">
        <v>0</v>
      </c>
      <c r="CB580" s="143">
        <v>0</v>
      </c>
      <c r="CC580" s="143">
        <v>0</v>
      </c>
      <c r="CD580" s="143">
        <v>0</v>
      </c>
      <c r="CE580" s="143">
        <v>0</v>
      </c>
      <c r="CF580" s="143">
        <v>0</v>
      </c>
      <c r="CG580" s="143">
        <v>0</v>
      </c>
      <c r="CH580" s="143">
        <v>0</v>
      </c>
      <c r="CI580" s="143">
        <v>0</v>
      </c>
      <c r="CJ580" s="143">
        <v>0</v>
      </c>
      <c r="CK580" s="143">
        <v>0</v>
      </c>
      <c r="CL580" s="143">
        <v>0</v>
      </c>
      <c r="CM580">
        <v>0</v>
      </c>
      <c r="CN580" t="str">
        <f>IF($BL580&lt;$BK580,"refNeedCorrection","refOK")</f>
        <v>refOK</v>
      </c>
      <c r="CO580">
        <f>IF($CN580="refOK",$BK580,$BL580)</f>
        <v>0</v>
      </c>
      <c r="CP580">
        <f>IF($CN580="refOK",$BL580,$BK580)</f>
        <v>1</v>
      </c>
      <c r="CQ580">
        <f>IF($CN580="refOK",$BO580,-$BO580)</f>
        <v>2.0408163265306123</v>
      </c>
      <c r="CR580">
        <f>IF($CN580="refOK",$BS580,$BT580)*IF($BP580="Emissions positive",-1,1)</f>
        <v>-3416</v>
      </c>
      <c r="CS580">
        <f>IF($CN580="refOK",$BT580,$BS580)*IF($BP580="Emissions positive",-1,1)</f>
        <v>-1870</v>
      </c>
      <c r="CT580">
        <f>IF($CN580="refNeedCorrection",-BX580,BX580)*IF($BP580="Emissions positive",-1,1)</f>
        <v>1.546</v>
      </c>
      <c r="CU580">
        <f>IFERROR(CT580/CQ580,"")</f>
        <v>0.75753999999999999</v>
      </c>
      <c r="CV580" s="2">
        <f>IFERROR((CS580-CR580)/ABS(CR580),"")</f>
        <v>0.45257611241217799</v>
      </c>
      <c r="CW580" s="1" t="s">
        <v>264</v>
      </c>
      <c r="CX580" t="str">
        <f>IF(OR($CW580="prd",$CW580="std",$CW580="cit"),"loc",IF(OR($CW580="eur",$CW580="reg",$CW580="coy"),"reg",$CW580))</f>
        <v>loc</v>
      </c>
      <c r="CY580" t="s">
        <v>445</v>
      </c>
      <c r="DA580" s="143"/>
      <c r="DB580" s="143">
        <v>50</v>
      </c>
      <c r="DC580" t="str">
        <f>IF(DB580=0,"0",IF(AND(DB580&gt;=1,DB580&lt;=30),"1-30",IF(AND(DB580&gt;30,DB580&lt;=70),"31-70",IF(AND(DB580&gt;70,DB580&lt;=100),"71-100",IF(DB580&gt;100,"+100")))))</f>
        <v>31-70</v>
      </c>
      <c r="DD580">
        <v>0</v>
      </c>
      <c r="DE580">
        <v>1</v>
      </c>
      <c r="DF580">
        <v>0</v>
      </c>
      <c r="DG580">
        <v>0</v>
      </c>
      <c r="DI580">
        <f>SUM(DD580:DG580)</f>
        <v>1</v>
      </c>
      <c r="DJ580" t="str">
        <f>IF(DI580=1,INDEX($DD$7:$DG$7,MATCH(1,$DD580:$DG580,0)),"mixedProduct")</f>
        <v>EnergyInput</v>
      </c>
      <c r="DK580">
        <f>IF(DD580=1,DK$7,0)</f>
        <v>0</v>
      </c>
      <c r="DL580" t="str">
        <f>IF(DE580=1,DL$7,0)</f>
        <v>Energy</v>
      </c>
      <c r="DM580">
        <f>IF(DF580=1,DM$7,0)</f>
        <v>0</v>
      </c>
      <c r="DN580">
        <f>IF(DG580=1,DN$7,0)</f>
        <v>0</v>
      </c>
      <c r="DO580">
        <v>0</v>
      </c>
      <c r="DP580" s="143">
        <v>0</v>
      </c>
      <c r="DQ580" s="143">
        <v>0</v>
      </c>
      <c r="DR580">
        <v>0</v>
      </c>
      <c r="DS580" s="143">
        <v>0</v>
      </c>
      <c r="DT580">
        <f>SUM(DO580:DP580)</f>
        <v>0</v>
      </c>
      <c r="DU580" s="143" t="str">
        <f>IF(DO580=1,"self-calculated DF",IF(DP580=1,"external DF used","explicit C balance"))</f>
        <v>explicit C balance</v>
      </c>
      <c r="DV580" s="143">
        <v>0</v>
      </c>
      <c r="DW580" s="266">
        <v>1</v>
      </c>
      <c r="DX580" s="266">
        <v>0</v>
      </c>
      <c r="DY580" s="266">
        <v>0</v>
      </c>
      <c r="DZ580" s="266">
        <v>1</v>
      </c>
      <c r="EA580" s="266">
        <v>0</v>
      </c>
      <c r="EB580" s="266">
        <v>1</v>
      </c>
      <c r="EC580" s="266">
        <v>0</v>
      </c>
      <c r="ED580" s="143">
        <v>0</v>
      </c>
      <c r="EE580">
        <v>0</v>
      </c>
      <c r="EF580">
        <v>1</v>
      </c>
      <c r="EG580" s="143">
        <v>0</v>
      </c>
      <c r="EH580" s="143">
        <v>0</v>
      </c>
      <c r="EI580" s="2">
        <v>0</v>
      </c>
      <c r="EK580" t="str">
        <f>IF(AND(AND(AND(OR($DX580=1,$DW580=1),OR($EC580=1,$EA580=1)),SUM($DV580:$DZ580,$EF580)&gt;=4),SUM($EA580:$EE580)&gt;=2),"Whole sector","")</f>
        <v/>
      </c>
      <c r="EL580" t="str">
        <f>IF(AND(AND(OR($DX580=1,$DW580=1),AND($EC580=0,$EA580=0)),SUM($DV580:$DZ580,$EF580)&gt;=4),"Ecosystem approach","")</f>
        <v/>
      </c>
      <c r="EM580" s="2" t="str">
        <f>IF(AND(AND(AND($DX580=0,$DW580=0),OR($EC580=1,$EA580=1)),SUM($EB580:$EE580)&gt;=2),"Technology approach","")</f>
        <v/>
      </c>
      <c r="EP580" t="str">
        <f>IF(ISNUMBER(BU580),IF(ABS(BU580-[4]QC_indicators!$B$2)&gt;3*[4]QC_indicators!$C$2,"C ratio",IF(ISNUMBER(BY580),IF(ABS(BY580-[4]QC_indicators!$B$1)&gt;3*[4]QC_indicators!$C$1,"DF","no"))),IF(ISNUMBER(BY580),IF(ABS(BY580-[4]QC_indicators!$B$1)&gt;3*[4]QC_indicators!$C$1,"DF","no")))</f>
        <v>no</v>
      </c>
      <c r="ER580" s="149" t="s">
        <v>350</v>
      </c>
      <c r="ET580" s="266" t="s">
        <v>3275</v>
      </c>
    </row>
    <row r="581" spans="1:150" ht="15" hidden="1" customHeight="1">
      <c r="A581" s="1" t="s">
        <v>1974</v>
      </c>
      <c r="B581" t="s">
        <v>2318</v>
      </c>
      <c r="C581" t="s">
        <v>2319</v>
      </c>
      <c r="D581" t="s">
        <v>2320</v>
      </c>
      <c r="E581" t="s">
        <v>2321</v>
      </c>
      <c r="F581" t="s">
        <v>2322</v>
      </c>
      <c r="G581" t="s">
        <v>1980</v>
      </c>
      <c r="H581" t="s">
        <v>255</v>
      </c>
      <c r="I581">
        <v>2020</v>
      </c>
      <c r="J581">
        <v>7</v>
      </c>
      <c r="K581" t="s">
        <v>2323</v>
      </c>
      <c r="M581" t="str">
        <f>LEFT($D581,FIND(",",$D581)-1)&amp;"_"&amp;I581&amp;L581</f>
        <v>Smyth_2020</v>
      </c>
      <c r="N581" t="s">
        <v>223</v>
      </c>
      <c r="O581" s="145" t="s">
        <v>342</v>
      </c>
      <c r="Q581" t="s">
        <v>257</v>
      </c>
      <c r="R581" s="292" t="s">
        <v>226</v>
      </c>
      <c r="S581" s="1" t="s">
        <v>2324</v>
      </c>
      <c r="T581" t="s">
        <v>2325</v>
      </c>
      <c r="U581" t="s">
        <v>1157</v>
      </c>
      <c r="V581">
        <v>1</v>
      </c>
      <c r="W581">
        <v>0</v>
      </c>
      <c r="X581">
        <v>0</v>
      </c>
      <c r="Y581">
        <v>0</v>
      </c>
      <c r="Z581">
        <v>0</v>
      </c>
      <c r="AA581">
        <v>0</v>
      </c>
      <c r="AB581">
        <v>0</v>
      </c>
      <c r="AC581">
        <v>0</v>
      </c>
      <c r="AD581">
        <v>0</v>
      </c>
      <c r="AE581">
        <v>0</v>
      </c>
      <c r="AF581">
        <v>0</v>
      </c>
      <c r="AG581">
        <v>0</v>
      </c>
      <c r="AH581">
        <v>0</v>
      </c>
      <c r="AI581">
        <v>0</v>
      </c>
      <c r="AJ581">
        <v>0</v>
      </c>
      <c r="AK581">
        <v>0</v>
      </c>
      <c r="AL581">
        <v>0</v>
      </c>
      <c r="AM581">
        <v>0</v>
      </c>
      <c r="AN581">
        <v>0</v>
      </c>
      <c r="AO581">
        <v>0</v>
      </c>
      <c r="AP581">
        <v>0</v>
      </c>
      <c r="AQ581">
        <v>0</v>
      </c>
      <c r="AR581">
        <v>0</v>
      </c>
      <c r="AS581">
        <v>0</v>
      </c>
      <c r="AT581">
        <v>0</v>
      </c>
      <c r="AU581">
        <v>0</v>
      </c>
      <c r="AV581">
        <v>0</v>
      </c>
      <c r="AW581">
        <v>0</v>
      </c>
      <c r="AX581" s="141">
        <f>COUNTIF(V581:AW581,"&lt;&gt;0")</f>
        <v>1</v>
      </c>
      <c r="AY581" s="141">
        <f>COUNTIF(V581:AL581,"&lt;&gt;0")</f>
        <v>1</v>
      </c>
      <c r="AZ581">
        <f>COUNTIF(V581:AC581,"&lt;&gt;0")</f>
        <v>1</v>
      </c>
      <c r="BA581">
        <f>COUNTIF(AD581:AI581,"&lt;&gt;0")</f>
        <v>0</v>
      </c>
      <c r="BB581">
        <f>COUNTIF(AJ581:AL581,"&lt;&gt;0")</f>
        <v>0</v>
      </c>
      <c r="BC581">
        <f>COUNTIF(AS581:AW581,"&lt;&gt;0")</f>
        <v>0</v>
      </c>
      <c r="BD581">
        <f>COUNTIF(AM581:AR581,"&lt;&gt;0")</f>
        <v>0</v>
      </c>
      <c r="BE581" t="str">
        <f t="array" ref="BE581">IF(AY581=1,INDEX($V$7:$AL$7,MATCH(TRUE,INDEX($V581:$AW581&lt;&gt;0,),0)),IF(AY581=0,INDEX($AM$7:$AW$7,MATCH(1,$AM581:$AW581,0)),IF(BF581="Multiple strategies","mixed drivers",IF(BF581="Supply chain","multiple supply","multiple silviculture"))))</f>
        <v>area subject to harvest</v>
      </c>
      <c r="BF581" s="2" t="str" cm="1">
        <f t="array" ref="BF581">IF(COUNTIF(AZ581:BB581,"&lt;&gt;0")=1,INDEX($V$4:$AW$4,MATCH(TRUE,INDEX($V581:$AW581&lt;&gt;0,),0)),IF(COUNTIF(AZ581:BB581,"&lt;&gt;0")=0,INDEX($AM$4:$AW$4,MATCH(1,$AM581:$AW581,0)),"Multiple strategies"))</f>
        <v>SilvicultureRemov</v>
      </c>
      <c r="BG581" s="1" t="s">
        <v>322</v>
      </c>
      <c r="BH581" t="s">
        <v>2326</v>
      </c>
      <c r="BI581" s="260" t="s">
        <v>3392</v>
      </c>
      <c r="BJ581" t="s">
        <v>1361</v>
      </c>
      <c r="BK581">
        <v>425</v>
      </c>
      <c r="BL581">
        <v>457</v>
      </c>
      <c r="BM581">
        <f>BL581/BK581</f>
        <v>1.0752941176470587</v>
      </c>
      <c r="BN581">
        <f>BL581-BK581</f>
        <v>32</v>
      </c>
      <c r="BO581">
        <f>BN581*10^6*tC_to_m3</f>
        <v>138949196.6999566</v>
      </c>
      <c r="BP581" t="s">
        <v>233</v>
      </c>
      <c r="BQ581" s="260" t="s">
        <v>3393</v>
      </c>
      <c r="BR581" t="s">
        <v>2327</v>
      </c>
      <c r="BU581" s="144"/>
      <c r="BV581">
        <v>-300</v>
      </c>
      <c r="BX581">
        <f>BV581*10^6</f>
        <v>-300000000</v>
      </c>
      <c r="BY581">
        <f>IFERROR(BX581/BO581,"")</f>
        <v>-2.1590624999999997</v>
      </c>
      <c r="BZ581">
        <v>0</v>
      </c>
      <c r="CA581">
        <v>1</v>
      </c>
      <c r="CB581">
        <v>1</v>
      </c>
      <c r="CC581">
        <v>1</v>
      </c>
      <c r="CD581">
        <v>0</v>
      </c>
      <c r="CE581">
        <v>0</v>
      </c>
      <c r="CF581">
        <v>0</v>
      </c>
      <c r="CG581">
        <v>0</v>
      </c>
      <c r="CH581">
        <v>0</v>
      </c>
      <c r="CI581">
        <v>0</v>
      </c>
      <c r="CJ581">
        <v>0</v>
      </c>
      <c r="CK581">
        <v>0</v>
      </c>
      <c r="CL581">
        <v>0</v>
      </c>
      <c r="CM581">
        <v>0</v>
      </c>
      <c r="CN581" t="str">
        <f>IF(BL581&lt;BK581,"refNeedCorrection","refOK")</f>
        <v>refOK</v>
      </c>
      <c r="CO581"/>
      <c r="CP581"/>
      <c r="CQ581">
        <f>IF($CN581="refOK",$BO581,-$BO581)</f>
        <v>138949196.6999566</v>
      </c>
      <c r="CR581">
        <f>IF($CN581="refOK",$BS581,$BT581)*IF($BP581="Emissions positive",-1,1)</f>
        <v>0</v>
      </c>
      <c r="CS581">
        <f>IF($CN581="refOK",$BT581,$BS581)*IF($BP581="Emissions positive",-1,1)</f>
        <v>0</v>
      </c>
      <c r="CT581">
        <f>IF($CN581="refNeedCorrection",-BX581,BX581)*IF($BP581="Emissions positive",-1,1)</f>
        <v>-300000000</v>
      </c>
      <c r="CU581">
        <f>IFERROR(CT581/CQ581,"")</f>
        <v>-2.1590624999999997</v>
      </c>
      <c r="CV581" s="2" t="str">
        <f>IFERROR((CS581-CR581)/ABS(CR581),"")</f>
        <v/>
      </c>
      <c r="CW581" s="1" t="s">
        <v>1201</v>
      </c>
      <c r="CX581" t="str">
        <f>IF(OR($CW581="prd",$CW581="std",$CW581="cit"),"loc",IF(OR($CW581="eur",$CW581="reg",$CW581="coy"),"reg",$CW581))</f>
        <v>reg</v>
      </c>
      <c r="CY581" t="s">
        <v>541</v>
      </c>
      <c r="CZ581">
        <v>2015</v>
      </c>
      <c r="DA581">
        <v>2070</v>
      </c>
      <c r="DB581">
        <v>45</v>
      </c>
      <c r="DC581" t="str">
        <f>IF(DB581=0,"0",IF(AND(DB581&gt;=1,DB581&lt;=30),"1-30",IF(AND(DB581&gt;30,DB581&lt;=70),"31-70",IF(AND(DB581&gt;70,DB581&lt;=100),"71-100",IF(DB581&gt;100,"+100")))))</f>
        <v>31-70</v>
      </c>
      <c r="DD581">
        <v>0</v>
      </c>
      <c r="DE581">
        <v>1</v>
      </c>
      <c r="DF581">
        <v>1</v>
      </c>
      <c r="DG581">
        <v>1</v>
      </c>
      <c r="DI581">
        <f>SUM(DD581:DG581)</f>
        <v>3</v>
      </c>
      <c r="DJ581" t="str">
        <f>IF(DI581=1,INDEX($DD$7:$DG$7,MATCH(1,$DD581:$DG581,0)),"mixedProduct")</f>
        <v>mixedProduct</v>
      </c>
      <c r="DK581">
        <f>IF(DD581=1,DK$7,0)</f>
        <v>0</v>
      </c>
      <c r="DL581" t="str">
        <f>IF(DE581=1,DL$7,0)</f>
        <v>Energy</v>
      </c>
      <c r="DM581" t="str">
        <f>IF(DF581=1,DM$7,0)</f>
        <v>Pulp/Paper</v>
      </c>
      <c r="DN581" t="str">
        <f>IF(DG581=1,DN$7,0)</f>
        <v>Timber</v>
      </c>
      <c r="DO581">
        <v>1</v>
      </c>
      <c r="DP581">
        <v>1</v>
      </c>
      <c r="DQ581" t="s">
        <v>2317</v>
      </c>
      <c r="DR581">
        <v>0</v>
      </c>
      <c r="DS581">
        <v>0</v>
      </c>
      <c r="DT581">
        <f>SUM(DO581:DP581)</f>
        <v>2</v>
      </c>
      <c r="DU581" s="143" t="str">
        <f>IF(DO581=1,"self-calculated DF",IF(DP581=1,"external DF used","explicit C balance"))</f>
        <v>self-calculated DF</v>
      </c>
      <c r="DV581">
        <v>1</v>
      </c>
      <c r="DW581">
        <v>1</v>
      </c>
      <c r="DX581">
        <v>1</v>
      </c>
      <c r="DY581">
        <v>1</v>
      </c>
      <c r="DZ581">
        <v>1</v>
      </c>
      <c r="EA581" s="143">
        <v>1</v>
      </c>
      <c r="EB581">
        <v>1</v>
      </c>
      <c r="EC581">
        <v>1</v>
      </c>
      <c r="ED581">
        <v>1</v>
      </c>
      <c r="EE581">
        <v>1</v>
      </c>
      <c r="EF581">
        <v>1</v>
      </c>
      <c r="EG581">
        <v>1</v>
      </c>
      <c r="EH581">
        <v>0</v>
      </c>
      <c r="EI581" s="2">
        <v>0</v>
      </c>
      <c r="EK581" t="str">
        <f>IF(AND(AND(AND(OR($DX581=1,$DW581=1),OR($EC581=1,$EA581=1)),SUM($DV581:$DZ581,$EF581)&gt;=4),SUM($EA581:$EE581)&gt;=2),"Whole sector","")</f>
        <v>Whole sector</v>
      </c>
      <c r="EL581" t="str">
        <f>IF(AND(AND(OR($DX581=1,$DW581=1),AND($EC581=0,$EA581=0)),SUM($DV581:$DZ581,$EF581)&gt;=4),"Ecosystem approach","")</f>
        <v/>
      </c>
      <c r="EM581" s="2" t="str">
        <f>IF(AND(AND(AND($DX581=0,$DW581=0),OR($EC581=1,$EA581=1)),SUM($EB581:$EE581)&gt;=2),"Technology approach","")</f>
        <v/>
      </c>
      <c r="EP581" t="str">
        <f>IF(ISNUMBER(BU581),IF(ABS(BU581-[4]QC_indicators!$B$2)&gt;3*[4]QC_indicators!$C$2,"C ratio",IF(ISNUMBER(BY581),IF(ABS(BY581-[4]QC_indicators!$B$1)&gt;3*[4]QC_indicators!$C$1,"DF","no"))),IF(ISNUMBER(BY581),IF(ABS(BY581-[4]QC_indicators!$B$1)&gt;3*[4]QC_indicators!$C$1,"DF","no")))</f>
        <v>no</v>
      </c>
      <c r="ER581" s="149" t="s">
        <v>2328</v>
      </c>
      <c r="ET581" s="266" t="s">
        <v>3275</v>
      </c>
    </row>
    <row r="582" spans="1:150" ht="15" hidden="1" customHeight="1">
      <c r="A582" s="1" t="s">
        <v>1974</v>
      </c>
      <c r="B582" t="s">
        <v>2318</v>
      </c>
      <c r="C582" t="s">
        <v>2319</v>
      </c>
      <c r="D582" t="s">
        <v>2320</v>
      </c>
      <c r="E582" t="s">
        <v>2321</v>
      </c>
      <c r="F582" t="s">
        <v>2322</v>
      </c>
      <c r="G582" t="s">
        <v>1980</v>
      </c>
      <c r="H582" t="s">
        <v>255</v>
      </c>
      <c r="I582">
        <v>2020</v>
      </c>
      <c r="J582">
        <v>7</v>
      </c>
      <c r="K582" t="s">
        <v>2323</v>
      </c>
      <c r="M582" t="str">
        <f>LEFT($D582,FIND(",",$D582)-1)&amp;"_"&amp;I582&amp;L582</f>
        <v>Smyth_2020</v>
      </c>
      <c r="N582" t="s">
        <v>223</v>
      </c>
      <c r="O582" s="145" t="s">
        <v>342</v>
      </c>
      <c r="Q582" t="s">
        <v>257</v>
      </c>
      <c r="R582" s="292" t="s">
        <v>226</v>
      </c>
      <c r="S582" s="1" t="s">
        <v>2329</v>
      </c>
      <c r="T582" t="s">
        <v>2330</v>
      </c>
      <c r="U582" t="s">
        <v>1157</v>
      </c>
      <c r="V582">
        <v>1</v>
      </c>
      <c r="W582">
        <v>0</v>
      </c>
      <c r="X582">
        <v>0</v>
      </c>
      <c r="Y582">
        <v>0</v>
      </c>
      <c r="Z582">
        <v>0</v>
      </c>
      <c r="AA582">
        <v>0</v>
      </c>
      <c r="AB582">
        <v>0</v>
      </c>
      <c r="AC582">
        <v>0</v>
      </c>
      <c r="AD582">
        <v>0</v>
      </c>
      <c r="AE582">
        <v>0</v>
      </c>
      <c r="AF582">
        <v>0</v>
      </c>
      <c r="AG582">
        <v>0</v>
      </c>
      <c r="AH582">
        <v>0</v>
      </c>
      <c r="AI582">
        <v>0</v>
      </c>
      <c r="AJ582">
        <v>0</v>
      </c>
      <c r="AK582">
        <v>0</v>
      </c>
      <c r="AL582">
        <v>0</v>
      </c>
      <c r="AM582">
        <v>0</v>
      </c>
      <c r="AN582">
        <v>0</v>
      </c>
      <c r="AO582">
        <v>0</v>
      </c>
      <c r="AP582">
        <v>0</v>
      </c>
      <c r="AQ582">
        <v>0</v>
      </c>
      <c r="AR582">
        <v>0</v>
      </c>
      <c r="AS582">
        <v>0</v>
      </c>
      <c r="AT582">
        <v>0</v>
      </c>
      <c r="AU582">
        <v>0</v>
      </c>
      <c r="AV582">
        <v>0</v>
      </c>
      <c r="AW582">
        <v>0</v>
      </c>
      <c r="AX582" s="141">
        <f>COUNTIF(V582:AW582,"&lt;&gt;0")</f>
        <v>1</v>
      </c>
      <c r="AY582" s="141">
        <f>COUNTIF(V582:AL582,"&lt;&gt;0")</f>
        <v>1</v>
      </c>
      <c r="AZ582">
        <f>COUNTIF(V582:AC582,"&lt;&gt;0")</f>
        <v>1</v>
      </c>
      <c r="BA582">
        <f>COUNTIF(AD582:AI582,"&lt;&gt;0")</f>
        <v>0</v>
      </c>
      <c r="BB582">
        <f>COUNTIF(AJ582:AL582,"&lt;&gt;0")</f>
        <v>0</v>
      </c>
      <c r="BC582">
        <f>COUNTIF(AS582:AW582,"&lt;&gt;0")</f>
        <v>0</v>
      </c>
      <c r="BD582">
        <f>COUNTIF(AM582:AR582,"&lt;&gt;0")</f>
        <v>0</v>
      </c>
      <c r="BE582" t="str">
        <f t="array" ref="BE582">IF(AY582=1,INDEX($V$7:$AL$7,MATCH(TRUE,INDEX($V582:$AW582&lt;&gt;0,),0)),IF(AY582=0,INDEX($AM$7:$AW$7,MATCH(1,$AM582:$AW582,0)),IF(BF582="Multiple strategies","mixed drivers",IF(BF582="Supply chain","multiple supply","multiple silviculture"))))</f>
        <v>area subject to harvest</v>
      </c>
      <c r="BF582" s="2" t="str" cm="1">
        <f t="array" ref="BF582">IF(COUNTIF(AZ582:BB582,"&lt;&gt;0")=1,INDEX($V$4:$AW$4,MATCH(TRUE,INDEX($V582:$AW582&lt;&gt;0,),0)),IF(COUNTIF(AZ582:BB582,"&lt;&gt;0")=0,INDEX($AM$4:$AW$4,MATCH(1,$AM582:$AW582,0)),"Multiple strategies"))</f>
        <v>SilvicultureRemov</v>
      </c>
      <c r="BG582" s="1" t="s">
        <v>322</v>
      </c>
      <c r="BH582" t="s">
        <v>2326</v>
      </c>
      <c r="BI582" s="260" t="s">
        <v>3392</v>
      </c>
      <c r="BJ582" t="s">
        <v>1361</v>
      </c>
      <c r="BK582">
        <v>434</v>
      </c>
      <c r="BL582">
        <v>457</v>
      </c>
      <c r="BM582">
        <f>BL582/BK582</f>
        <v>1.0529953917050692</v>
      </c>
      <c r="BN582">
        <f>BL582-BK582</f>
        <v>23</v>
      </c>
      <c r="BO582">
        <f>BN582*10^6*tC_to_m3</f>
        <v>99869735.128093794</v>
      </c>
      <c r="BP582" t="s">
        <v>233</v>
      </c>
      <c r="BQ582" s="260" t="s">
        <v>3393</v>
      </c>
      <c r="BR582" t="s">
        <v>2327</v>
      </c>
      <c r="BU582" s="144"/>
      <c r="BV582">
        <v>-208</v>
      </c>
      <c r="BX582">
        <f>BV582*10^6</f>
        <v>-208000000</v>
      </c>
      <c r="BY582">
        <f>IFERROR(BX582/BO582,"")</f>
        <v>-2.0827130434782606</v>
      </c>
      <c r="BZ582">
        <v>0</v>
      </c>
      <c r="CA582">
        <v>1</v>
      </c>
      <c r="CB582">
        <v>1</v>
      </c>
      <c r="CC582">
        <v>1</v>
      </c>
      <c r="CD582">
        <v>0</v>
      </c>
      <c r="CE582">
        <v>0</v>
      </c>
      <c r="CF582">
        <v>0</v>
      </c>
      <c r="CG582">
        <v>0</v>
      </c>
      <c r="CH582">
        <v>0</v>
      </c>
      <c r="CI582">
        <v>0</v>
      </c>
      <c r="CJ582">
        <v>0</v>
      </c>
      <c r="CK582">
        <v>0</v>
      </c>
      <c r="CL582">
        <v>0</v>
      </c>
      <c r="CM582">
        <v>0</v>
      </c>
      <c r="CN582" t="str">
        <f>IF(BL582&lt;BK582,"refNeedCorrection","refOK")</f>
        <v>refOK</v>
      </c>
      <c r="CO582"/>
      <c r="CP582"/>
      <c r="CQ582">
        <f>IF($CN582="refOK",$BO582,-$BO582)</f>
        <v>99869735.128093794</v>
      </c>
      <c r="CR582">
        <f>IF($CN582="refOK",$BS582,$BT582)*IF($BP582="Emissions positive",-1,1)</f>
        <v>0</v>
      </c>
      <c r="CS582">
        <f>IF($CN582="refOK",$BT582,$BS582)*IF($BP582="Emissions positive",-1,1)</f>
        <v>0</v>
      </c>
      <c r="CT582">
        <f>IF($CN582="refNeedCorrection",-BX582,BX582)*IF($BP582="Emissions positive",-1,1)</f>
        <v>-208000000</v>
      </c>
      <c r="CU582">
        <f>IFERROR(CT582/CQ582,"")</f>
        <v>-2.0827130434782606</v>
      </c>
      <c r="CV582" s="2" t="str">
        <f>IFERROR((CS582-CR582)/ABS(CR582),"")</f>
        <v/>
      </c>
      <c r="CW582" s="1" t="s">
        <v>1201</v>
      </c>
      <c r="CX582" t="str">
        <f>IF(OR($CW582="prd",$CW582="std",$CW582="cit"),"loc",IF(OR($CW582="eur",$CW582="reg",$CW582="coy"),"reg",$CW582))</f>
        <v>reg</v>
      </c>
      <c r="CY582" t="s">
        <v>541</v>
      </c>
      <c r="CZ582">
        <v>2015</v>
      </c>
      <c r="DA582">
        <v>2070</v>
      </c>
      <c r="DB582">
        <v>45</v>
      </c>
      <c r="DC582" t="str">
        <f>IF(DB582=0,"0",IF(AND(DB582&gt;=1,DB582&lt;=30),"1-30",IF(AND(DB582&gt;30,DB582&lt;=70),"31-70",IF(AND(DB582&gt;70,DB582&lt;=100),"71-100",IF(DB582&gt;100,"+100")))))</f>
        <v>31-70</v>
      </c>
      <c r="DD582">
        <v>0</v>
      </c>
      <c r="DE582">
        <v>1</v>
      </c>
      <c r="DF582">
        <v>1</v>
      </c>
      <c r="DG582">
        <v>1</v>
      </c>
      <c r="DI582">
        <f>SUM(DD582:DG582)</f>
        <v>3</v>
      </c>
      <c r="DJ582" t="str">
        <f>IF(DI582=1,INDEX($DD$7:$DG$7,MATCH(1,$DD582:$DG582,0)),"mixedProduct")</f>
        <v>mixedProduct</v>
      </c>
      <c r="DK582">
        <f>IF(DD582=1,DK$7,0)</f>
        <v>0</v>
      </c>
      <c r="DL582" t="str">
        <f>IF(DE582=1,DL$7,0)</f>
        <v>Energy</v>
      </c>
      <c r="DM582" t="str">
        <f>IF(DF582=1,DM$7,0)</f>
        <v>Pulp/Paper</v>
      </c>
      <c r="DN582" t="str">
        <f>IF(DG582=1,DN$7,0)</f>
        <v>Timber</v>
      </c>
      <c r="DO582">
        <v>1</v>
      </c>
      <c r="DP582">
        <v>1</v>
      </c>
      <c r="DQ582" t="s">
        <v>2317</v>
      </c>
      <c r="DR582">
        <v>0</v>
      </c>
      <c r="DS582">
        <v>0</v>
      </c>
      <c r="DT582">
        <f>SUM(DO582:DP582)</f>
        <v>2</v>
      </c>
      <c r="DU582" s="143" t="str">
        <f>IF(DO582=1,"self-calculated DF",IF(DP582=1,"external DF used","explicit C balance"))</f>
        <v>self-calculated DF</v>
      </c>
      <c r="DV582">
        <v>1</v>
      </c>
      <c r="DW582">
        <v>1</v>
      </c>
      <c r="DX582">
        <v>1</v>
      </c>
      <c r="DY582">
        <v>1</v>
      </c>
      <c r="DZ582">
        <v>1</v>
      </c>
      <c r="EA582" s="143">
        <v>1</v>
      </c>
      <c r="EB582">
        <v>1</v>
      </c>
      <c r="EC582">
        <v>1</v>
      </c>
      <c r="ED582">
        <v>1</v>
      </c>
      <c r="EE582">
        <v>1</v>
      </c>
      <c r="EF582">
        <v>1</v>
      </c>
      <c r="EG582">
        <v>1</v>
      </c>
      <c r="EH582">
        <v>0</v>
      </c>
      <c r="EI582" s="2">
        <v>0</v>
      </c>
      <c r="EK582" t="str">
        <f>IF(AND(AND(AND(OR($DX582=1,$DW582=1),OR($EC582=1,$EA582=1)),SUM($DV582:$DZ582,$EF582)&gt;=4),SUM($EA582:$EE582)&gt;=2),"Whole sector","")</f>
        <v>Whole sector</v>
      </c>
      <c r="EL582" t="str">
        <f>IF(AND(AND(OR($DX582=1,$DW582=1),AND($EC582=0,$EA582=0)),SUM($DV582:$DZ582,$EF582)&gt;=4),"Ecosystem approach","")</f>
        <v/>
      </c>
      <c r="EM582" s="2" t="str">
        <f>IF(AND(AND(AND($DX582=0,$DW582=0),OR($EC582=1,$EA582=1)),SUM($EB582:$EE582)&gt;=2),"Technology approach","")</f>
        <v/>
      </c>
      <c r="EP582" t="str">
        <f>IF(ISNUMBER(BU582),IF(ABS(BU582-[4]QC_indicators!$B$2)&gt;3*[4]QC_indicators!$C$2,"C ratio",IF(ISNUMBER(BY582),IF(ABS(BY582-[4]QC_indicators!$B$1)&gt;3*[4]QC_indicators!$C$1,"DF","no"))),IF(ISNUMBER(BY582),IF(ABS(BY582-[4]QC_indicators!$B$1)&gt;3*[4]QC_indicators!$C$1,"DF","no")))</f>
        <v>no</v>
      </c>
      <c r="ER582" s="149" t="s">
        <v>2328</v>
      </c>
      <c r="ET582" s="266" t="s">
        <v>3275</v>
      </c>
    </row>
    <row r="583" spans="1:150" ht="15" hidden="1" customHeight="1">
      <c r="A583" s="1" t="s">
        <v>1974</v>
      </c>
      <c r="B583" t="s">
        <v>2318</v>
      </c>
      <c r="C583" t="s">
        <v>2319</v>
      </c>
      <c r="D583" t="s">
        <v>2320</v>
      </c>
      <c r="E583" t="s">
        <v>2321</v>
      </c>
      <c r="F583" t="s">
        <v>2322</v>
      </c>
      <c r="G583" t="s">
        <v>1980</v>
      </c>
      <c r="H583" t="s">
        <v>255</v>
      </c>
      <c r="I583">
        <v>2020</v>
      </c>
      <c r="J583">
        <v>7</v>
      </c>
      <c r="K583" t="s">
        <v>2323</v>
      </c>
      <c r="M583" t="str">
        <f>LEFT($D583,FIND(",",$D583)-1)&amp;"_"&amp;I583&amp;L583</f>
        <v>Smyth_2020</v>
      </c>
      <c r="N583" t="s">
        <v>223</v>
      </c>
      <c r="O583" s="145" t="s">
        <v>342</v>
      </c>
      <c r="Q583" t="s">
        <v>257</v>
      </c>
      <c r="R583" s="292" t="s">
        <v>226</v>
      </c>
      <c r="S583" s="1" t="s">
        <v>2331</v>
      </c>
      <c r="T583" t="s">
        <v>2332</v>
      </c>
      <c r="U583" t="s">
        <v>1157</v>
      </c>
      <c r="V583">
        <v>1</v>
      </c>
      <c r="W583">
        <v>0</v>
      </c>
      <c r="X583">
        <v>0</v>
      </c>
      <c r="Y583">
        <v>0</v>
      </c>
      <c r="Z583">
        <v>0</v>
      </c>
      <c r="AA583">
        <v>0</v>
      </c>
      <c r="AB583">
        <v>0</v>
      </c>
      <c r="AC583">
        <v>0</v>
      </c>
      <c r="AD583">
        <v>0</v>
      </c>
      <c r="AE583">
        <v>0</v>
      </c>
      <c r="AF583">
        <v>0</v>
      </c>
      <c r="AG583">
        <v>0</v>
      </c>
      <c r="AH583">
        <v>0</v>
      </c>
      <c r="AI583">
        <v>0</v>
      </c>
      <c r="AJ583">
        <v>0</v>
      </c>
      <c r="AK583">
        <v>0</v>
      </c>
      <c r="AL583">
        <v>0</v>
      </c>
      <c r="AM583">
        <v>0</v>
      </c>
      <c r="AN583">
        <v>0</v>
      </c>
      <c r="AO583">
        <v>0</v>
      </c>
      <c r="AP583">
        <v>0</v>
      </c>
      <c r="AQ583">
        <v>0</v>
      </c>
      <c r="AR583">
        <v>0</v>
      </c>
      <c r="AS583">
        <v>0</v>
      </c>
      <c r="AT583">
        <v>0</v>
      </c>
      <c r="AU583">
        <v>0</v>
      </c>
      <c r="AV583">
        <v>0</v>
      </c>
      <c r="AW583">
        <v>0</v>
      </c>
      <c r="AX583" s="141">
        <f>COUNTIF(V583:AW583,"&lt;&gt;0")</f>
        <v>1</v>
      </c>
      <c r="AY583" s="141">
        <f>COUNTIF(V583:AL583,"&lt;&gt;0")</f>
        <v>1</v>
      </c>
      <c r="AZ583">
        <f>COUNTIF(V583:AC583,"&lt;&gt;0")</f>
        <v>1</v>
      </c>
      <c r="BA583">
        <f>COUNTIF(AD583:AI583,"&lt;&gt;0")</f>
        <v>0</v>
      </c>
      <c r="BB583">
        <f>COUNTIF(AJ583:AL583,"&lt;&gt;0")</f>
        <v>0</v>
      </c>
      <c r="BC583">
        <f>COUNTIF(AS583:AW583,"&lt;&gt;0")</f>
        <v>0</v>
      </c>
      <c r="BD583">
        <f>COUNTIF(AM583:AR583,"&lt;&gt;0")</f>
        <v>0</v>
      </c>
      <c r="BE583" t="str">
        <f t="array" ref="BE583">IF(AY583=1,INDEX($V$7:$AL$7,MATCH(TRUE,INDEX($V583:$AW583&lt;&gt;0,),0)),IF(AY583=0,INDEX($AM$7:$AW$7,MATCH(1,$AM583:$AW583,0)),IF(BF583="Multiple strategies","mixed drivers",IF(BF583="Supply chain","multiple supply","multiple silviculture"))))</f>
        <v>area subject to harvest</v>
      </c>
      <c r="BF583" s="2" t="str" cm="1">
        <f t="array" ref="BF583">IF(COUNTIF(AZ583:BB583,"&lt;&gt;0")=1,INDEX($V$4:$AW$4,MATCH(TRUE,INDEX($V583:$AW583&lt;&gt;0,),0)),IF(COUNTIF(AZ583:BB583,"&lt;&gt;0")=0,INDEX($AM$4:$AW$4,MATCH(1,$AM583:$AW583,0)),"Multiple strategies"))</f>
        <v>SilvicultureRemov</v>
      </c>
      <c r="BG583" s="1" t="s">
        <v>322</v>
      </c>
      <c r="BH583" t="s">
        <v>2326</v>
      </c>
      <c r="BI583" s="260" t="s">
        <v>3392</v>
      </c>
      <c r="BJ583" t="s">
        <v>1361</v>
      </c>
      <c r="BK583">
        <v>425</v>
      </c>
      <c r="BL583">
        <v>457</v>
      </c>
      <c r="BM583">
        <f>BL583/BK583</f>
        <v>1.0752941176470587</v>
      </c>
      <c r="BN583">
        <f>BL583-BK583</f>
        <v>32</v>
      </c>
      <c r="BO583">
        <f>BN583*10^6*tC_to_m3</f>
        <v>138949196.6999566</v>
      </c>
      <c r="BP583" t="s">
        <v>233</v>
      </c>
      <c r="BQ583" s="260" t="s">
        <v>3394</v>
      </c>
      <c r="BR583" t="s">
        <v>2327</v>
      </c>
      <c r="BU583" s="144"/>
      <c r="BV583">
        <v>-187</v>
      </c>
      <c r="BX583">
        <f>BV583*10^6</f>
        <v>-187000000</v>
      </c>
      <c r="BY583">
        <f>IFERROR(BX583/BO583,"")</f>
        <v>-1.3458156249999997</v>
      </c>
      <c r="BZ583">
        <v>0</v>
      </c>
      <c r="CA583">
        <v>1</v>
      </c>
      <c r="CB583">
        <v>1</v>
      </c>
      <c r="CC583">
        <v>1</v>
      </c>
      <c r="CD583">
        <v>0</v>
      </c>
      <c r="CE583">
        <v>0</v>
      </c>
      <c r="CF583">
        <v>0</v>
      </c>
      <c r="CG583">
        <v>0</v>
      </c>
      <c r="CH583">
        <v>0</v>
      </c>
      <c r="CI583">
        <v>0</v>
      </c>
      <c r="CJ583">
        <v>0</v>
      </c>
      <c r="CK583">
        <v>0</v>
      </c>
      <c r="CL583">
        <v>0</v>
      </c>
      <c r="CM583">
        <v>0</v>
      </c>
      <c r="CN583" t="str">
        <f>IF(BL583&lt;BK583,"refNeedCorrection","refOK")</f>
        <v>refOK</v>
      </c>
      <c r="CO583"/>
      <c r="CP583"/>
      <c r="CQ583">
        <f>IF($CN583="refOK",$BO583,-$BO583)</f>
        <v>138949196.6999566</v>
      </c>
      <c r="CR583">
        <f>IF($CN583="refOK",$BS583,$BT583)*IF($BP583="Emissions positive",-1,1)</f>
        <v>0</v>
      </c>
      <c r="CS583">
        <f>IF($CN583="refOK",$BT583,$BS583)*IF($BP583="Emissions positive",-1,1)</f>
        <v>0</v>
      </c>
      <c r="CT583">
        <f>IF($CN583="refNeedCorrection",-BX583,BX583)*IF($BP583="Emissions positive",-1,1)</f>
        <v>-187000000</v>
      </c>
      <c r="CU583">
        <f>IFERROR(CT583/CQ583,"")</f>
        <v>-1.3458156249999997</v>
      </c>
      <c r="CV583" s="2" t="str">
        <f>IFERROR((CS583-CR583)/ABS(CR583),"")</f>
        <v/>
      </c>
      <c r="CW583" s="1" t="s">
        <v>1201</v>
      </c>
      <c r="CX583" t="str">
        <f>IF(OR($CW583="prd",$CW583="std",$CW583="cit"),"loc",IF(OR($CW583="eur",$CW583="reg",$CW583="coy"),"reg",$CW583))</f>
        <v>reg</v>
      </c>
      <c r="CY583" t="s">
        <v>541</v>
      </c>
      <c r="CZ583">
        <v>2015</v>
      </c>
      <c r="DA583">
        <v>2070</v>
      </c>
      <c r="DB583">
        <v>45</v>
      </c>
      <c r="DC583" t="str">
        <f>IF(DB583=0,"0",IF(AND(DB583&gt;=1,DB583&lt;=30),"1-30",IF(AND(DB583&gt;30,DB583&lt;=70),"31-70",IF(AND(DB583&gt;70,DB583&lt;=100),"71-100",IF(DB583&gt;100,"+100")))))</f>
        <v>31-70</v>
      </c>
      <c r="DD583">
        <v>0</v>
      </c>
      <c r="DE583">
        <v>1</v>
      </c>
      <c r="DF583">
        <v>1</v>
      </c>
      <c r="DG583">
        <v>1</v>
      </c>
      <c r="DI583">
        <f>SUM(DD583:DG583)</f>
        <v>3</v>
      </c>
      <c r="DJ583" t="str">
        <f>IF(DI583=1,INDEX($DD$7:$DG$7,MATCH(1,$DD583:$DG583,0)),"mixedProduct")</f>
        <v>mixedProduct</v>
      </c>
      <c r="DK583">
        <f>IF(DD583=1,DK$7,0)</f>
        <v>0</v>
      </c>
      <c r="DL583" t="str">
        <f>IF(DE583=1,DL$7,0)</f>
        <v>Energy</v>
      </c>
      <c r="DM583" t="str">
        <f>IF(DF583=1,DM$7,0)</f>
        <v>Pulp/Paper</v>
      </c>
      <c r="DN583" t="str">
        <f>IF(DG583=1,DN$7,0)</f>
        <v>Timber</v>
      </c>
      <c r="DO583">
        <v>1</v>
      </c>
      <c r="DP583">
        <v>1</v>
      </c>
      <c r="DQ583" t="s">
        <v>2317</v>
      </c>
      <c r="DR583">
        <v>0</v>
      </c>
      <c r="DS583">
        <v>0</v>
      </c>
      <c r="DT583">
        <f>SUM(DO583:DP583)</f>
        <v>2</v>
      </c>
      <c r="DU583" s="143" t="str">
        <f>IF(DO583=1,"self-calculated DF",IF(DP583=1,"external DF used","explicit C balance"))</f>
        <v>self-calculated DF</v>
      </c>
      <c r="DV583">
        <v>1</v>
      </c>
      <c r="DW583">
        <v>1</v>
      </c>
      <c r="DX583">
        <v>1</v>
      </c>
      <c r="DY583">
        <v>1</v>
      </c>
      <c r="DZ583">
        <v>1</v>
      </c>
      <c r="EA583" s="143">
        <v>1</v>
      </c>
      <c r="EB583">
        <v>1</v>
      </c>
      <c r="EC583">
        <v>1</v>
      </c>
      <c r="ED583">
        <v>1</v>
      </c>
      <c r="EE583">
        <v>1</v>
      </c>
      <c r="EF583">
        <v>1</v>
      </c>
      <c r="EG583">
        <v>1</v>
      </c>
      <c r="EH583">
        <v>0</v>
      </c>
      <c r="EI583" s="2">
        <v>0</v>
      </c>
      <c r="EK583" t="str">
        <f>IF(AND(AND(AND(OR($DX583=1,$DW583=1),OR($EC583=1,$EA583=1)),SUM($DV583:$DZ583,$EF583)&gt;=4),SUM($EA583:$EE583)&gt;=2),"Whole sector","")</f>
        <v>Whole sector</v>
      </c>
      <c r="EL583" t="str">
        <f>IF(AND(AND(OR($DX583=1,$DW583=1),AND($EC583=0,$EA583=0)),SUM($DV583:$DZ583,$EF583)&gt;=4),"Ecosystem approach","")</f>
        <v/>
      </c>
      <c r="EM583" s="2" t="str">
        <f>IF(AND(AND(AND($DX583=0,$DW583=0),OR($EC583=1,$EA583=1)),SUM($EB583:$EE583)&gt;=2),"Technology approach","")</f>
        <v/>
      </c>
      <c r="EP583" t="str">
        <f>IF(ISNUMBER(BU583),IF(ABS(BU583-[4]QC_indicators!$B$2)&gt;3*[4]QC_indicators!$C$2,"C ratio",IF(ISNUMBER(BY583),IF(ABS(BY583-[4]QC_indicators!$B$1)&gt;3*[4]QC_indicators!$C$1,"DF","no"))),IF(ISNUMBER(BY583),IF(ABS(BY583-[4]QC_indicators!$B$1)&gt;3*[4]QC_indicators!$C$1,"DF","no")))</f>
        <v>no</v>
      </c>
      <c r="ER583" s="149" t="s">
        <v>2328</v>
      </c>
      <c r="ET583" s="266" t="s">
        <v>3275</v>
      </c>
    </row>
    <row r="584" spans="1:150" ht="15" hidden="1" customHeight="1">
      <c r="A584" s="1" t="s">
        <v>1974</v>
      </c>
      <c r="B584" t="s">
        <v>2318</v>
      </c>
      <c r="C584" t="s">
        <v>2319</v>
      </c>
      <c r="D584" t="s">
        <v>2320</v>
      </c>
      <c r="E584" t="s">
        <v>2321</v>
      </c>
      <c r="F584" t="s">
        <v>2322</v>
      </c>
      <c r="G584" t="s">
        <v>1980</v>
      </c>
      <c r="H584" t="s">
        <v>255</v>
      </c>
      <c r="I584">
        <v>2020</v>
      </c>
      <c r="J584">
        <v>7</v>
      </c>
      <c r="K584" t="s">
        <v>2323</v>
      </c>
      <c r="M584" t="str">
        <f>LEFT($D584,FIND(",",$D584)-1)&amp;"_"&amp;I584&amp;L584</f>
        <v>Smyth_2020</v>
      </c>
      <c r="N584" t="s">
        <v>223</v>
      </c>
      <c r="O584" s="145" t="s">
        <v>342</v>
      </c>
      <c r="Q584" t="s">
        <v>257</v>
      </c>
      <c r="R584" s="292" t="s">
        <v>226</v>
      </c>
      <c r="S584" s="1" t="s">
        <v>2333</v>
      </c>
      <c r="T584" t="s">
        <v>2334</v>
      </c>
      <c r="U584" t="s">
        <v>1157</v>
      </c>
      <c r="V584">
        <v>1</v>
      </c>
      <c r="W584">
        <v>0</v>
      </c>
      <c r="X584">
        <v>0</v>
      </c>
      <c r="Y584">
        <v>0</v>
      </c>
      <c r="Z584">
        <v>0</v>
      </c>
      <c r="AA584">
        <v>0</v>
      </c>
      <c r="AB584">
        <v>0</v>
      </c>
      <c r="AC584">
        <v>0</v>
      </c>
      <c r="AD584">
        <v>0</v>
      </c>
      <c r="AE584">
        <v>0</v>
      </c>
      <c r="AF584">
        <v>0</v>
      </c>
      <c r="AG584">
        <v>0</v>
      </c>
      <c r="AH584">
        <v>0</v>
      </c>
      <c r="AI584">
        <v>0</v>
      </c>
      <c r="AJ584">
        <v>0</v>
      </c>
      <c r="AK584">
        <v>0</v>
      </c>
      <c r="AL584">
        <v>0</v>
      </c>
      <c r="AM584">
        <v>0</v>
      </c>
      <c r="AN584">
        <v>0</v>
      </c>
      <c r="AO584">
        <v>0</v>
      </c>
      <c r="AP584">
        <v>0</v>
      </c>
      <c r="AQ584">
        <v>0</v>
      </c>
      <c r="AR584">
        <v>0</v>
      </c>
      <c r="AS584">
        <v>0</v>
      </c>
      <c r="AT584">
        <v>0</v>
      </c>
      <c r="AU584">
        <v>0</v>
      </c>
      <c r="AV584">
        <v>0</v>
      </c>
      <c r="AW584">
        <v>0</v>
      </c>
      <c r="AX584" s="141">
        <f>COUNTIF(V584:AW584,"&lt;&gt;0")</f>
        <v>1</v>
      </c>
      <c r="AY584" s="141">
        <f>COUNTIF(V584:AL584,"&lt;&gt;0")</f>
        <v>1</v>
      </c>
      <c r="AZ584">
        <f>COUNTIF(V584:AC584,"&lt;&gt;0")</f>
        <v>1</v>
      </c>
      <c r="BA584">
        <f>COUNTIF(AD584:AI584,"&lt;&gt;0")</f>
        <v>0</v>
      </c>
      <c r="BB584">
        <f>COUNTIF(AJ584:AL584,"&lt;&gt;0")</f>
        <v>0</v>
      </c>
      <c r="BC584">
        <f>COUNTIF(AS584:AW584,"&lt;&gt;0")</f>
        <v>0</v>
      </c>
      <c r="BD584">
        <f>COUNTIF(AM584:AR584,"&lt;&gt;0")</f>
        <v>0</v>
      </c>
      <c r="BE584" t="str">
        <f t="array" ref="BE584">IF(AY584=1,INDEX($V$7:$AL$7,MATCH(TRUE,INDEX($V584:$AW584&lt;&gt;0,),0)),IF(AY584=0,INDEX($AM$7:$AW$7,MATCH(1,$AM584:$AW584,0)),IF(BF584="Multiple strategies","mixed drivers",IF(BF584="Supply chain","multiple supply","multiple silviculture"))))</f>
        <v>area subject to harvest</v>
      </c>
      <c r="BF584" s="2" t="str" cm="1">
        <f t="array" ref="BF584">IF(COUNTIF(AZ584:BB584,"&lt;&gt;0")=1,INDEX($V$4:$AW$4,MATCH(TRUE,INDEX($V584:$AW584&lt;&gt;0,),0)),IF(COUNTIF(AZ584:BB584,"&lt;&gt;0")=0,INDEX($AM$4:$AW$4,MATCH(1,$AM584:$AW584,0)),"Multiple strategies"))</f>
        <v>SilvicultureRemov</v>
      </c>
      <c r="BG584" s="1" t="s">
        <v>322</v>
      </c>
      <c r="BH584" t="s">
        <v>2326</v>
      </c>
      <c r="BI584" s="260" t="s">
        <v>3392</v>
      </c>
      <c r="BJ584" t="s">
        <v>1361</v>
      </c>
      <c r="BK584">
        <v>434</v>
      </c>
      <c r="BL584">
        <v>457</v>
      </c>
      <c r="BM584">
        <f>BL584/BK584</f>
        <v>1.0529953917050692</v>
      </c>
      <c r="BN584">
        <f>BL584-BK584</f>
        <v>23</v>
      </c>
      <c r="BO584">
        <f>BN584*10^6*tC_to_m3</f>
        <v>99869735.128093794</v>
      </c>
      <c r="BP584" t="s">
        <v>233</v>
      </c>
      <c r="BQ584" s="260" t="s">
        <v>3394</v>
      </c>
      <c r="BR584" t="s">
        <v>2327</v>
      </c>
      <c r="BU584" s="144"/>
      <c r="BV584">
        <v>-116</v>
      </c>
      <c r="BX584">
        <f>BV584*10^6</f>
        <v>-116000000</v>
      </c>
      <c r="BY584">
        <f>IFERROR(BX584/BO584,"")</f>
        <v>-1.1615130434782608</v>
      </c>
      <c r="BZ584">
        <v>0</v>
      </c>
      <c r="CA584">
        <v>1</v>
      </c>
      <c r="CB584">
        <v>1</v>
      </c>
      <c r="CC584">
        <v>1</v>
      </c>
      <c r="CD584">
        <v>0</v>
      </c>
      <c r="CE584">
        <v>0</v>
      </c>
      <c r="CF584">
        <v>0</v>
      </c>
      <c r="CG584">
        <v>0</v>
      </c>
      <c r="CH584">
        <v>0</v>
      </c>
      <c r="CI584">
        <v>0</v>
      </c>
      <c r="CJ584">
        <v>0</v>
      </c>
      <c r="CK584">
        <v>0</v>
      </c>
      <c r="CL584">
        <v>0</v>
      </c>
      <c r="CM584">
        <v>0</v>
      </c>
      <c r="CN584" t="str">
        <f>IF(BL584&lt;BK584,"refNeedCorrection","refOK")</f>
        <v>refOK</v>
      </c>
      <c r="CO584"/>
      <c r="CP584"/>
      <c r="CQ584">
        <f>IF($CN584="refOK",$BO584,-$BO584)</f>
        <v>99869735.128093794</v>
      </c>
      <c r="CR584">
        <f>IF($CN584="refOK",$BS584,$BT584)*IF($BP584="Emissions positive",-1,1)</f>
        <v>0</v>
      </c>
      <c r="CS584">
        <f>IF($CN584="refOK",$BT584,$BS584)*IF($BP584="Emissions positive",-1,1)</f>
        <v>0</v>
      </c>
      <c r="CT584">
        <f>IF($CN584="refNeedCorrection",-BX584,BX584)*IF($BP584="Emissions positive",-1,1)</f>
        <v>-116000000</v>
      </c>
      <c r="CU584">
        <f>IFERROR(CT584/CQ584,"")</f>
        <v>-1.1615130434782608</v>
      </c>
      <c r="CV584" s="2" t="str">
        <f>IFERROR((CS584-CR584)/ABS(CR584),"")</f>
        <v/>
      </c>
      <c r="CW584" s="1" t="s">
        <v>1201</v>
      </c>
      <c r="CX584" t="str">
        <f>IF(OR($CW584="prd",$CW584="std",$CW584="cit"),"loc",IF(OR($CW584="eur",$CW584="reg",$CW584="coy"),"reg",$CW584))</f>
        <v>reg</v>
      </c>
      <c r="CY584" t="s">
        <v>541</v>
      </c>
      <c r="CZ584">
        <v>2015</v>
      </c>
      <c r="DA584">
        <v>2070</v>
      </c>
      <c r="DB584">
        <v>45</v>
      </c>
      <c r="DC584" t="str">
        <f>IF(DB584=0,"0",IF(AND(DB584&gt;=1,DB584&lt;=30),"1-30",IF(AND(DB584&gt;30,DB584&lt;=70),"31-70",IF(AND(DB584&gt;70,DB584&lt;=100),"71-100",IF(DB584&gt;100,"+100")))))</f>
        <v>31-70</v>
      </c>
      <c r="DD584">
        <v>0</v>
      </c>
      <c r="DE584">
        <v>1</v>
      </c>
      <c r="DF584">
        <v>1</v>
      </c>
      <c r="DG584">
        <v>1</v>
      </c>
      <c r="DI584">
        <f>SUM(DD584:DG584)</f>
        <v>3</v>
      </c>
      <c r="DJ584" t="str">
        <f>IF(DI584=1,INDEX($DD$7:$DG$7,MATCH(1,$DD584:$DG584,0)),"mixedProduct")</f>
        <v>mixedProduct</v>
      </c>
      <c r="DK584">
        <f>IF(DD584=1,DK$7,0)</f>
        <v>0</v>
      </c>
      <c r="DL584" t="str">
        <f>IF(DE584=1,DL$7,0)</f>
        <v>Energy</v>
      </c>
      <c r="DM584" t="str">
        <f>IF(DF584=1,DM$7,0)</f>
        <v>Pulp/Paper</v>
      </c>
      <c r="DN584" t="str">
        <f>IF(DG584=1,DN$7,0)</f>
        <v>Timber</v>
      </c>
      <c r="DO584">
        <v>1</v>
      </c>
      <c r="DP584">
        <v>1</v>
      </c>
      <c r="DQ584" t="s">
        <v>2317</v>
      </c>
      <c r="DR584">
        <v>0</v>
      </c>
      <c r="DS584">
        <v>0</v>
      </c>
      <c r="DT584">
        <f>SUM(DO584:DP584)</f>
        <v>2</v>
      </c>
      <c r="DU584" s="143" t="str">
        <f>IF(DO584=1,"self-calculated DF",IF(DP584=1,"external DF used","explicit C balance"))</f>
        <v>self-calculated DF</v>
      </c>
      <c r="DV584">
        <v>1</v>
      </c>
      <c r="DW584">
        <v>1</v>
      </c>
      <c r="DX584">
        <v>1</v>
      </c>
      <c r="DY584">
        <v>1</v>
      </c>
      <c r="DZ584">
        <v>1</v>
      </c>
      <c r="EA584" s="143">
        <v>1</v>
      </c>
      <c r="EB584">
        <v>1</v>
      </c>
      <c r="EC584">
        <v>1</v>
      </c>
      <c r="ED584">
        <v>1</v>
      </c>
      <c r="EE584">
        <v>1</v>
      </c>
      <c r="EF584">
        <v>1</v>
      </c>
      <c r="EG584">
        <v>1</v>
      </c>
      <c r="EH584">
        <v>0</v>
      </c>
      <c r="EI584" s="2">
        <v>0</v>
      </c>
      <c r="EK584" t="str">
        <f>IF(AND(AND(AND(OR($DX584=1,$DW584=1),OR($EC584=1,$EA584=1)),SUM($DV584:$DZ584,$EF584)&gt;=4),SUM($EA584:$EE584)&gt;=2),"Whole sector","")</f>
        <v>Whole sector</v>
      </c>
      <c r="EL584" t="str">
        <f>IF(AND(AND(OR($DX584=1,$DW584=1),AND($EC584=0,$EA584=0)),SUM($DV584:$DZ584,$EF584)&gt;=4),"Ecosystem approach","")</f>
        <v/>
      </c>
      <c r="EM584" s="2" t="str">
        <f>IF(AND(AND(AND($DX584=0,$DW584=0),OR($EC584=1,$EA584=1)),SUM($EB584:$EE584)&gt;=2),"Technology approach","")</f>
        <v/>
      </c>
      <c r="EP584" t="str">
        <f>IF(ISNUMBER(BU584),IF(ABS(BU584-[4]QC_indicators!$B$2)&gt;3*[4]QC_indicators!$C$2,"C ratio",IF(ISNUMBER(BY584),IF(ABS(BY584-[4]QC_indicators!$B$1)&gt;3*[4]QC_indicators!$C$1,"DF","no"))),IF(ISNUMBER(BY584),IF(ABS(BY584-[4]QC_indicators!$B$1)&gt;3*[4]QC_indicators!$C$1,"DF","no")))</f>
        <v>no</v>
      </c>
      <c r="ER584" s="149" t="s">
        <v>2328</v>
      </c>
      <c r="ET584" s="266" t="s">
        <v>3275</v>
      </c>
    </row>
    <row r="585" spans="1:150" ht="15" hidden="1" customHeight="1">
      <c r="A585" s="1" t="s">
        <v>880</v>
      </c>
      <c r="B585" t="s">
        <v>1793</v>
      </c>
      <c r="C585" t="s">
        <v>1794</v>
      </c>
      <c r="D585" t="s">
        <v>1795</v>
      </c>
      <c r="E585" t="s">
        <v>1796</v>
      </c>
      <c r="F585" t="s">
        <v>1797</v>
      </c>
      <c r="G585" t="s">
        <v>1186</v>
      </c>
      <c r="H585" t="s">
        <v>255</v>
      </c>
      <c r="I585">
        <v>2011</v>
      </c>
      <c r="J585">
        <v>6</v>
      </c>
      <c r="K585" t="s">
        <v>1798</v>
      </c>
      <c r="M585" t="str">
        <f>LEFT($D585,FIND(",",$D585)-1)&amp;"_"&amp;I585&amp;L585</f>
        <v>Kayo_2011</v>
      </c>
      <c r="N585" t="s">
        <v>223</v>
      </c>
      <c r="O585" s="145" t="s">
        <v>514</v>
      </c>
      <c r="Q585" t="s">
        <v>257</v>
      </c>
      <c r="R585" s="255" t="s">
        <v>226</v>
      </c>
      <c r="S585" s="265" t="s">
        <v>3347</v>
      </c>
      <c r="T585" t="s">
        <v>1799</v>
      </c>
      <c r="U585" s="266" t="s">
        <v>1804</v>
      </c>
      <c r="V585">
        <v>0</v>
      </c>
      <c r="W585">
        <v>0</v>
      </c>
      <c r="X585">
        <v>1</v>
      </c>
      <c r="Y585">
        <v>0</v>
      </c>
      <c r="Z585">
        <v>0</v>
      </c>
      <c r="AA585">
        <v>0</v>
      </c>
      <c r="AB585">
        <v>0</v>
      </c>
      <c r="AC585">
        <v>0</v>
      </c>
      <c r="AD585">
        <v>0</v>
      </c>
      <c r="AE585">
        <v>0</v>
      </c>
      <c r="AF585">
        <v>0</v>
      </c>
      <c r="AG585">
        <v>0</v>
      </c>
      <c r="AH585">
        <v>0</v>
      </c>
      <c r="AI585">
        <v>0</v>
      </c>
      <c r="AJ585">
        <v>0</v>
      </c>
      <c r="AK585">
        <v>0</v>
      </c>
      <c r="AL585">
        <v>0</v>
      </c>
      <c r="AM585">
        <v>0</v>
      </c>
      <c r="AN585">
        <v>0</v>
      </c>
      <c r="AO585">
        <v>0</v>
      </c>
      <c r="AP585">
        <v>0</v>
      </c>
      <c r="AQ585">
        <v>0</v>
      </c>
      <c r="AR585">
        <v>0</v>
      </c>
      <c r="AS585">
        <v>0</v>
      </c>
      <c r="AT585">
        <v>0</v>
      </c>
      <c r="AU585">
        <v>0</v>
      </c>
      <c r="AV585">
        <v>0</v>
      </c>
      <c r="AW585">
        <v>0</v>
      </c>
      <c r="AX585" s="141">
        <f>COUNTIF(V585:AW585,"&lt;&gt;0")</f>
        <v>1</v>
      </c>
      <c r="AY585" s="141">
        <f>COUNTIF(V585:AL585,"&lt;&gt;0")</f>
        <v>1</v>
      </c>
      <c r="AZ585">
        <f>COUNTIF(V585:AC585,"&lt;&gt;0")</f>
        <v>1</v>
      </c>
      <c r="BA585">
        <f>COUNTIF(AD585:AI585,"&lt;&gt;0")</f>
        <v>0</v>
      </c>
      <c r="BB585">
        <f>COUNTIF(AJ585:AL585,"&lt;&gt;0")</f>
        <v>0</v>
      </c>
      <c r="BC585">
        <f>COUNTIF(AS585:AW585,"&lt;&gt;0")</f>
        <v>0</v>
      </c>
      <c r="BD585">
        <f>COUNTIF(AM585:AR585,"&lt;&gt;0")</f>
        <v>0</v>
      </c>
      <c r="BE585" t="str">
        <f t="array" ref="BE585">IF(AY585=1,INDEX($V$7:$AL$7,MATCH(TRUE,INDEX($V585:$AW585&lt;&gt;0,),0)),IF(AY585=0,INDEX($AM$7:$AW$7,MATCH(1,$AM585:$AW585,0)),IF(BF585="Multiple strategies","mixed drivers",IF(BF585="Supply chain","multiple supply","multiple silviculture"))))</f>
        <v>rotation length</v>
      </c>
      <c r="BF585" s="2" t="str" cm="1">
        <f t="array" ref="BF585">IF(COUNTIF(AZ585:BB585,"&lt;&gt;0")=1,INDEX($V$4:$AW$4,MATCH(TRUE,INDEX($V585:$AW585&lt;&gt;0,),0)),IF(COUNTIF(AZ585:BB585,"&lt;&gt;0")=0,INDEX($AM$4:$AW$4,MATCH(1,$AM585:$AW585,0)),"Multiple strategies"))</f>
        <v>SilvicultureRemov</v>
      </c>
      <c r="BG585" s="1" t="s">
        <v>230</v>
      </c>
      <c r="BH585" t="s">
        <v>1801</v>
      </c>
      <c r="BI585" s="260" t="s">
        <v>3348</v>
      </c>
      <c r="BJ585" s="260" t="s">
        <v>3349</v>
      </c>
      <c r="BK585">
        <v>18</v>
      </c>
      <c r="BL585">
        <v>86</v>
      </c>
      <c r="BM585">
        <f>BL585/BK585</f>
        <v>4.7777777777777777</v>
      </c>
      <c r="BN585">
        <f>BL585-BK585</f>
        <v>68</v>
      </c>
      <c r="BO585">
        <f>BN585*10^6*t_to_m3</f>
        <v>138775510.20408162</v>
      </c>
      <c r="BP585" t="s">
        <v>233</v>
      </c>
      <c r="BQ585" s="260" t="s">
        <v>3350</v>
      </c>
      <c r="BR585" t="s">
        <v>1302</v>
      </c>
      <c r="BU585" s="289"/>
      <c r="BV585">
        <v>-20.5</v>
      </c>
      <c r="BX585">
        <f>BV585*10^6</f>
        <v>-20500000</v>
      </c>
      <c r="BY585">
        <f>IFERROR(BX585/BO585,"")</f>
        <v>-0.14772058823529413</v>
      </c>
      <c r="BZ585">
        <v>0</v>
      </c>
      <c r="CA585">
        <v>0</v>
      </c>
      <c r="CB585">
        <v>0</v>
      </c>
      <c r="CC585">
        <v>0</v>
      </c>
      <c r="CD585">
        <v>0</v>
      </c>
      <c r="CE585">
        <v>0</v>
      </c>
      <c r="CF585">
        <v>0</v>
      </c>
      <c r="CG585">
        <v>0</v>
      </c>
      <c r="CH585">
        <v>0</v>
      </c>
      <c r="CI585">
        <v>0</v>
      </c>
      <c r="CJ585">
        <v>0</v>
      </c>
      <c r="CK585">
        <v>0</v>
      </c>
      <c r="CL585">
        <v>0</v>
      </c>
      <c r="CM585">
        <v>0</v>
      </c>
      <c r="CN585" t="str">
        <f>IF(BL585&lt;BK585,"refNeedCorrection","refOK")</f>
        <v>refOK</v>
      </c>
      <c r="CO585">
        <f>IF($CN585="refOK",$BK585,$BL585)</f>
        <v>18</v>
      </c>
      <c r="CP585">
        <f>IF($CN585="refOK",$BL585,$BK585)</f>
        <v>86</v>
      </c>
      <c r="CQ585">
        <f>IF($CN585="refOK",$BO585,-$BO585)</f>
        <v>138775510.20408162</v>
      </c>
      <c r="CR585">
        <f>IF($CN585="refOK",$BS585,$BT585)*IF($BP585="Emissions positive",-1,1)</f>
        <v>0</v>
      </c>
      <c r="CS585">
        <f>IF($CN585="refOK",$BT585,$BS585)*IF($BP585="Emissions positive",-1,1)</f>
        <v>0</v>
      </c>
      <c r="CT585">
        <f>IF($CN585="refNeedCorrection",-BX585,BX585)*IF($BP585="Emissions positive",-1,1)</f>
        <v>-20500000</v>
      </c>
      <c r="CU585">
        <f>IFERROR(CT585/CQ585,"")</f>
        <v>-0.14772058823529413</v>
      </c>
      <c r="CV585" s="2" t="str">
        <f>IFERROR((CS585-CR585)/ABS(CR585),"")</f>
        <v/>
      </c>
      <c r="CW585" s="1" t="s">
        <v>1205</v>
      </c>
      <c r="CX585" t="str">
        <f>IF(OR($CW585="prd",$CW585="std",$CW585="cit"),"loc",IF(OR($CW585="eur",$CW585="reg",$CW585="coy"),"reg",$CW585))</f>
        <v>reg</v>
      </c>
      <c r="CY585" t="s">
        <v>963</v>
      </c>
      <c r="CZ585">
        <v>2005</v>
      </c>
      <c r="DA585">
        <v>2050</v>
      </c>
      <c r="DB585">
        <v>45</v>
      </c>
      <c r="DC585" t="str">
        <f>IF(DB585=0,"0",IF(AND(DB585&gt;=1,DB585&lt;=30),"1-30",IF(AND(DB585&gt;30,DB585&lt;=70),"31-70",IF(AND(DB585&gt;70,DB585&lt;=100),"71-100",IF(DB585&gt;100,"+100")))))</f>
        <v>31-70</v>
      </c>
      <c r="DD585">
        <v>0</v>
      </c>
      <c r="DE585">
        <v>1</v>
      </c>
      <c r="DF585">
        <v>0</v>
      </c>
      <c r="DG585">
        <v>0</v>
      </c>
      <c r="DI585">
        <f>SUM(DD585:DG585)</f>
        <v>1</v>
      </c>
      <c r="DJ585" t="str">
        <f>IF(DI585=1,INDEX($DD$7:$DG$7,MATCH(1,$DD585:$DG585,0)),"mixedProduct")</f>
        <v>EnergyInput</v>
      </c>
      <c r="DK585">
        <f>IF(DD585=1,DK$7,0)</f>
        <v>0</v>
      </c>
      <c r="DL585" t="str">
        <f>IF(DE585=1,DL$7,0)</f>
        <v>Energy</v>
      </c>
      <c r="DM585">
        <f>IF(DF585=1,DM$7,0)</f>
        <v>0</v>
      </c>
      <c r="DN585">
        <f>IF(DG585=1,DN$7,0)</f>
        <v>0</v>
      </c>
      <c r="DO585">
        <v>0</v>
      </c>
      <c r="DP585">
        <v>0</v>
      </c>
      <c r="DQ585">
        <v>0</v>
      </c>
      <c r="DR585">
        <v>0</v>
      </c>
      <c r="DS585">
        <v>0</v>
      </c>
      <c r="DT585">
        <f>SUM(DO585:DP585)</f>
        <v>0</v>
      </c>
      <c r="DU585" s="143" t="str">
        <f>IF(DO585=1,"self-calculated DF",IF(DP585=1,"external DF used","explicit C balance"))</f>
        <v>explicit C balance</v>
      </c>
      <c r="DV585">
        <v>0</v>
      </c>
      <c r="DW585">
        <v>1</v>
      </c>
      <c r="DX585">
        <v>1</v>
      </c>
      <c r="DY585">
        <v>0</v>
      </c>
      <c r="DZ585">
        <v>0</v>
      </c>
      <c r="EA585" s="143">
        <v>1</v>
      </c>
      <c r="EB585">
        <v>1</v>
      </c>
      <c r="EC585">
        <v>0</v>
      </c>
      <c r="ED585">
        <v>0</v>
      </c>
      <c r="EE585">
        <v>0</v>
      </c>
      <c r="EF585">
        <v>1</v>
      </c>
      <c r="EG585">
        <v>1</v>
      </c>
      <c r="EH585">
        <v>0</v>
      </c>
      <c r="EI585" s="2">
        <v>0</v>
      </c>
      <c r="EK585" t="str">
        <f>IF(AND(AND(AND(OR($DX585=1,$DW585=1),OR($EC585=1,$EA585=1)),SUM($DV585:$DZ585,$EF585)&gt;=4),SUM($EA585:$EE585)&gt;=2),"Whole sector","")</f>
        <v/>
      </c>
      <c r="EL585" t="str">
        <f>IF(AND(AND(OR($DX585=1,$DW585=1),AND($EC585=0,$EA585=0)),SUM($DV585:$DZ585,$EF585)&gt;=4),"Ecosystem approach","")</f>
        <v/>
      </c>
      <c r="EM585" s="2" t="str">
        <f>IF(AND(AND(AND($DX585=0,$DW585=0),OR($EC585=1,$EA585=1)),SUM($EB585:$EE585)&gt;=2),"Technology approach","")</f>
        <v/>
      </c>
      <c r="EP585" t="str">
        <f>IF(ISNUMBER(BU585),IF(ABS(BU585-[4]QC_indicators!$B$2)&gt;3*[4]QC_indicators!$C$2,"C ratio",IF(ISNUMBER(BY585),IF(ABS(BY585-[4]QC_indicators!$B$1)&gt;3*[4]QC_indicators!$C$1,"DF","no"))),IF(ISNUMBER(BY585),IF(ABS(BY585-[4]QC_indicators!$B$1)&gt;3*[4]QC_indicators!$C$1,"DF","no")))</f>
        <v>no</v>
      </c>
      <c r="ET585" s="266" t="s">
        <v>3275</v>
      </c>
    </row>
    <row r="586" spans="1:150" ht="15" hidden="1" customHeight="1">
      <c r="A586" s="1" t="s">
        <v>880</v>
      </c>
      <c r="B586" t="s">
        <v>1793</v>
      </c>
      <c r="C586" t="s">
        <v>1794</v>
      </c>
      <c r="D586" t="s">
        <v>1795</v>
      </c>
      <c r="E586" t="s">
        <v>1796</v>
      </c>
      <c r="F586" t="s">
        <v>1797</v>
      </c>
      <c r="G586" t="s">
        <v>1186</v>
      </c>
      <c r="H586" t="s">
        <v>255</v>
      </c>
      <c r="I586">
        <v>2011</v>
      </c>
      <c r="J586">
        <v>6</v>
      </c>
      <c r="K586" t="s">
        <v>1798</v>
      </c>
      <c r="M586" t="str">
        <f>LEFT($D586,FIND(",",$D586)-1)&amp;"_"&amp;I586&amp;L586</f>
        <v>Kayo_2011</v>
      </c>
      <c r="N586" t="s">
        <v>223</v>
      </c>
      <c r="O586" s="145" t="s">
        <v>514</v>
      </c>
      <c r="Q586" t="s">
        <v>257</v>
      </c>
      <c r="R586" s="255" t="s">
        <v>226</v>
      </c>
      <c r="S586" s="265" t="s">
        <v>3356</v>
      </c>
      <c r="T586" t="s">
        <v>1799</v>
      </c>
      <c r="U586" s="266" t="s">
        <v>1800</v>
      </c>
      <c r="V586">
        <v>0</v>
      </c>
      <c r="W586">
        <v>0</v>
      </c>
      <c r="X586">
        <v>1</v>
      </c>
      <c r="Y586">
        <v>0</v>
      </c>
      <c r="Z586">
        <v>0</v>
      </c>
      <c r="AA586">
        <v>0</v>
      </c>
      <c r="AB586">
        <v>0</v>
      </c>
      <c r="AC586">
        <v>0</v>
      </c>
      <c r="AD586">
        <v>0</v>
      </c>
      <c r="AE586">
        <v>0</v>
      </c>
      <c r="AF586">
        <v>0</v>
      </c>
      <c r="AG586">
        <v>0</v>
      </c>
      <c r="AH586">
        <v>0</v>
      </c>
      <c r="AI586">
        <v>0</v>
      </c>
      <c r="AJ586">
        <v>0</v>
      </c>
      <c r="AK586">
        <v>0</v>
      </c>
      <c r="AL586">
        <v>0</v>
      </c>
      <c r="AM586">
        <v>0</v>
      </c>
      <c r="AN586">
        <v>0</v>
      </c>
      <c r="AO586">
        <v>0</v>
      </c>
      <c r="AP586">
        <v>0</v>
      </c>
      <c r="AQ586">
        <v>0</v>
      </c>
      <c r="AR586">
        <v>0</v>
      </c>
      <c r="AS586">
        <v>0</v>
      </c>
      <c r="AT586">
        <v>0</v>
      </c>
      <c r="AU586">
        <v>0</v>
      </c>
      <c r="AV586">
        <v>0</v>
      </c>
      <c r="AW586">
        <v>0</v>
      </c>
      <c r="AX586" s="141">
        <f>COUNTIF(V586:AW586,"&lt;&gt;0")</f>
        <v>1</v>
      </c>
      <c r="AY586" s="141">
        <f>COUNTIF(V586:AL586,"&lt;&gt;0")</f>
        <v>1</v>
      </c>
      <c r="AZ586">
        <f>COUNTIF(V586:AC586,"&lt;&gt;0")</f>
        <v>1</v>
      </c>
      <c r="BA586">
        <f>COUNTIF(AD586:AI586,"&lt;&gt;0")</f>
        <v>0</v>
      </c>
      <c r="BB586">
        <f>COUNTIF(AJ586:AL586,"&lt;&gt;0")</f>
        <v>0</v>
      </c>
      <c r="BC586">
        <f>COUNTIF(AS586:AW586,"&lt;&gt;0")</f>
        <v>0</v>
      </c>
      <c r="BD586">
        <f>COUNTIF(AM586:AR586,"&lt;&gt;0")</f>
        <v>0</v>
      </c>
      <c r="BE586" t="str">
        <f t="array" ref="BE586">IF(AY586=1,INDEX($V$7:$AL$7,MATCH(TRUE,INDEX($V586:$AW586&lt;&gt;0,),0)),IF(AY586=0,INDEX($AM$7:$AW$7,MATCH(1,$AM586:$AW586,0)),IF(BF586="Multiple strategies","mixed drivers",IF(BF586="Supply chain","multiple supply","multiple silviculture"))))</f>
        <v>rotation length</v>
      </c>
      <c r="BF586" s="2" t="str" cm="1">
        <f t="array" ref="BF586">IF(COUNTIF(AZ586:BB586,"&lt;&gt;0")=1,INDEX($V$4:$AW$4,MATCH(TRUE,INDEX($V586:$AW586&lt;&gt;0,),0)),IF(COUNTIF(AZ586:BB586,"&lt;&gt;0")=0,INDEX($AM$4:$AW$4,MATCH(1,$AM586:$AW586,0)),"Multiple strategies"))</f>
        <v>SilvicultureRemov</v>
      </c>
      <c r="BG586" s="1" t="s">
        <v>230</v>
      </c>
      <c r="BH586" t="s">
        <v>1801</v>
      </c>
      <c r="BI586" s="260" t="s">
        <v>3348</v>
      </c>
      <c r="BJ586" s="260" t="s">
        <v>3349</v>
      </c>
      <c r="BK586">
        <v>20</v>
      </c>
      <c r="BL586">
        <v>24</v>
      </c>
      <c r="BM586">
        <f>BL586/BK586</f>
        <v>1.2</v>
      </c>
      <c r="BN586">
        <f>BL586-BK586</f>
        <v>4</v>
      </c>
      <c r="BO586">
        <f>BN586*10^6*t_to_m3</f>
        <v>8163265.3061224492</v>
      </c>
      <c r="BP586" t="s">
        <v>233</v>
      </c>
      <c r="BQ586" s="260" t="s">
        <v>3355</v>
      </c>
      <c r="BR586" t="s">
        <v>1302</v>
      </c>
      <c r="BU586" s="144"/>
      <c r="BV586">
        <v>7</v>
      </c>
      <c r="BX586">
        <f>BV586*10^6</f>
        <v>7000000</v>
      </c>
      <c r="BY586">
        <f>IFERROR(BX586/BO586,"")</f>
        <v>0.85749999999999993</v>
      </c>
      <c r="BZ586">
        <v>0</v>
      </c>
      <c r="CA586">
        <v>0</v>
      </c>
      <c r="CB586">
        <v>0</v>
      </c>
      <c r="CC586">
        <v>0</v>
      </c>
      <c r="CD586">
        <v>0</v>
      </c>
      <c r="CE586">
        <v>0</v>
      </c>
      <c r="CF586">
        <v>0</v>
      </c>
      <c r="CG586">
        <v>0</v>
      </c>
      <c r="CH586">
        <v>0</v>
      </c>
      <c r="CI586">
        <v>0</v>
      </c>
      <c r="CJ586">
        <v>0</v>
      </c>
      <c r="CK586">
        <v>0</v>
      </c>
      <c r="CL586">
        <v>0</v>
      </c>
      <c r="CM586">
        <v>0</v>
      </c>
      <c r="CN586" t="str">
        <f>IF(BL586&lt;BK586,"refNeedCorrection","refOK")</f>
        <v>refOK</v>
      </c>
      <c r="CO586">
        <f>IF($CN586="refOK",$BK586,$BL586)</f>
        <v>20</v>
      </c>
      <c r="CP586">
        <f>IF($CN586="refOK",$BL586,$BK586)</f>
        <v>24</v>
      </c>
      <c r="CQ586">
        <f>IF($CN586="refOK",$BO586,-$BO586)</f>
        <v>8163265.3061224492</v>
      </c>
      <c r="CR586">
        <f>IF($CN586="refOK",$BS586,#REF!)*IF($BP586="Emissions positive",-1,1)</f>
        <v>0</v>
      </c>
      <c r="CS586" t="e">
        <f>IF($CN586="refOK",#REF!,$BS586)*IF($BP586="Emissions positive",-1,1)</f>
        <v>#REF!</v>
      </c>
      <c r="CT586">
        <f>IF($CN586="refNeedCorrection",-BX586,BX586)*IF($BP586="Emissions positive",-1,1)</f>
        <v>7000000</v>
      </c>
      <c r="CU586">
        <f>IFERROR(CT586/CQ586,"")</f>
        <v>0.85749999999999993</v>
      </c>
      <c r="CV586" s="2" t="str">
        <f>IFERROR((CS586-CR586)/ABS(CR586),"")</f>
        <v/>
      </c>
      <c r="CW586" s="1" t="s">
        <v>1205</v>
      </c>
      <c r="CX586" t="str">
        <f>IF(OR($CW586="prd",$CW586="std",$CW586="cit"),"loc",IF(OR($CW586="eur",$CW586="reg",$CW586="coy"),"reg",$CW586))</f>
        <v>reg</v>
      </c>
      <c r="CY586" t="s">
        <v>963</v>
      </c>
      <c r="CZ586">
        <v>2005</v>
      </c>
      <c r="DA586">
        <v>2050</v>
      </c>
      <c r="DB586">
        <v>45</v>
      </c>
      <c r="DC586" t="str">
        <f>IF(DB586=0,"0",IF(AND(DB586&gt;=1,DB586&lt;=30),"1-30",IF(AND(DB586&gt;30,DB586&lt;=70),"31-70",IF(AND(DB586&gt;70,DB586&lt;=100),"71-100",IF(DB586&gt;100,"+100")))))</f>
        <v>31-70</v>
      </c>
      <c r="DD586">
        <v>0</v>
      </c>
      <c r="DE586">
        <v>1</v>
      </c>
      <c r="DF586">
        <v>0</v>
      </c>
      <c r="DG586">
        <v>0</v>
      </c>
      <c r="DI586">
        <f>SUM(DD586:DG586)</f>
        <v>1</v>
      </c>
      <c r="DJ586" t="str">
        <f>IF(DI586=1,INDEX($DD$7:$DG$7,MATCH(1,$DD586:$DG586,0)),"mixedProduct")</f>
        <v>EnergyInput</v>
      </c>
      <c r="DK586">
        <f>IF(DD586=1,DK$7,0)</f>
        <v>0</v>
      </c>
      <c r="DL586" t="str">
        <f>IF(DE586=1,DL$7,0)</f>
        <v>Energy</v>
      </c>
      <c r="DM586">
        <f>IF(DF586=1,DM$7,0)</f>
        <v>0</v>
      </c>
      <c r="DN586">
        <f>IF(DG586=1,DN$7,0)</f>
        <v>0</v>
      </c>
      <c r="DO586">
        <v>0</v>
      </c>
      <c r="DP586">
        <v>0</v>
      </c>
      <c r="DQ586">
        <v>0</v>
      </c>
      <c r="DR586">
        <v>0</v>
      </c>
      <c r="DS586">
        <v>0</v>
      </c>
      <c r="DT586">
        <f>SUM(DO586:DP586)</f>
        <v>0</v>
      </c>
      <c r="DU586" s="143" t="str">
        <f>IF(DO586=1,"self-calculated DF",IF(DP586=1,"external DF used","explicit C balance"))</f>
        <v>explicit C balance</v>
      </c>
      <c r="DV586">
        <v>0</v>
      </c>
      <c r="DW586">
        <v>1</v>
      </c>
      <c r="DX586">
        <v>1</v>
      </c>
      <c r="DY586">
        <v>0</v>
      </c>
      <c r="DZ586">
        <v>0</v>
      </c>
      <c r="EA586" s="143">
        <v>1</v>
      </c>
      <c r="EB586">
        <v>1</v>
      </c>
      <c r="EC586">
        <v>0</v>
      </c>
      <c r="ED586">
        <v>0</v>
      </c>
      <c r="EE586">
        <v>0</v>
      </c>
      <c r="EF586">
        <v>1</v>
      </c>
      <c r="EG586">
        <v>1</v>
      </c>
      <c r="EH586">
        <v>0</v>
      </c>
      <c r="EI586" s="2">
        <v>0</v>
      </c>
      <c r="EK586" t="str">
        <f>IF(AND(AND(AND(OR($DX586=1,$DW586=1),OR($EC586=1,$EA586=1)),SUM($DV586:$DZ586,$EF586)&gt;=4),SUM($EA586:$EE586)&gt;=2),"Whole sector","")</f>
        <v/>
      </c>
      <c r="EL586" t="str">
        <f>IF(AND(AND(OR($DX586=1,$DW586=1),AND($EC586=0,$EA586=0)),SUM($DV586:$DZ586,$EF586)&gt;=4),"Ecosystem approach","")</f>
        <v/>
      </c>
      <c r="EM586" s="2" t="str">
        <f>IF(AND(AND(AND($DX586=0,$DW586=0),OR($EC586=1,$EA586=1)),SUM($EB586:$EE586)&gt;=2),"Technology approach","")</f>
        <v/>
      </c>
      <c r="EP586" t="str">
        <f>IF(ISNUMBER(BU586),IF(ABS(BU586-[4]QC_indicators!$B$2)&gt;3*[4]QC_indicators!$C$2,"C ratio",IF(ISNUMBER(BY586),IF(ABS(BY586-[4]QC_indicators!$B$1)&gt;3*[4]QC_indicators!$C$1,"DF","no"))),IF(ISNUMBER(BY586),IF(ABS(BY586-[4]QC_indicators!$B$1)&gt;3*[4]QC_indicators!$C$1,"DF","no")))</f>
        <v>no</v>
      </c>
      <c r="ET586" s="266" t="s">
        <v>3275</v>
      </c>
    </row>
    <row r="587" spans="1:150" ht="15" hidden="1" customHeight="1">
      <c r="A587" s="1" t="s">
        <v>880</v>
      </c>
      <c r="B587" t="s">
        <v>1793</v>
      </c>
      <c r="C587" t="s">
        <v>1794</v>
      </c>
      <c r="D587" t="s">
        <v>1795</v>
      </c>
      <c r="E587" t="s">
        <v>1796</v>
      </c>
      <c r="F587" t="s">
        <v>1797</v>
      </c>
      <c r="G587" t="s">
        <v>1186</v>
      </c>
      <c r="H587" t="s">
        <v>255</v>
      </c>
      <c r="I587">
        <v>2011</v>
      </c>
      <c r="J587">
        <v>6</v>
      </c>
      <c r="K587" t="s">
        <v>1798</v>
      </c>
      <c r="M587" t="str">
        <f>LEFT($D587,FIND(",",$D587)-1)&amp;"_"&amp;I587&amp;L587</f>
        <v>Kayo_2011</v>
      </c>
      <c r="N587" t="s">
        <v>223</v>
      </c>
      <c r="O587" s="145" t="s">
        <v>514</v>
      </c>
      <c r="Q587" t="s">
        <v>257</v>
      </c>
      <c r="R587" s="255" t="s">
        <v>226</v>
      </c>
      <c r="S587" s="265" t="s">
        <v>3353</v>
      </c>
      <c r="T587" t="s">
        <v>1802</v>
      </c>
      <c r="U587" t="s">
        <v>1803</v>
      </c>
      <c r="V587">
        <v>0</v>
      </c>
      <c r="W587">
        <v>0</v>
      </c>
      <c r="X587">
        <v>1</v>
      </c>
      <c r="Y587">
        <v>0</v>
      </c>
      <c r="Z587">
        <v>0</v>
      </c>
      <c r="AA587">
        <v>0</v>
      </c>
      <c r="AB587">
        <v>0</v>
      </c>
      <c r="AC587">
        <v>0</v>
      </c>
      <c r="AD587">
        <v>0</v>
      </c>
      <c r="AE587">
        <v>0</v>
      </c>
      <c r="AF587">
        <v>0</v>
      </c>
      <c r="AG587">
        <v>0</v>
      </c>
      <c r="AH587">
        <v>0</v>
      </c>
      <c r="AI587">
        <v>0</v>
      </c>
      <c r="AJ587">
        <v>0</v>
      </c>
      <c r="AK587">
        <v>0</v>
      </c>
      <c r="AL587">
        <v>0</v>
      </c>
      <c r="AM587">
        <v>0</v>
      </c>
      <c r="AN587">
        <v>0</v>
      </c>
      <c r="AO587">
        <v>0</v>
      </c>
      <c r="AP587">
        <v>0</v>
      </c>
      <c r="AQ587">
        <v>0</v>
      </c>
      <c r="AR587">
        <v>0</v>
      </c>
      <c r="AS587">
        <v>0</v>
      </c>
      <c r="AT587">
        <v>0</v>
      </c>
      <c r="AU587">
        <v>0</v>
      </c>
      <c r="AV587">
        <v>0</v>
      </c>
      <c r="AW587">
        <v>0</v>
      </c>
      <c r="AX587" s="141">
        <f>COUNTIF(V587:AW587,"&lt;&gt;0")</f>
        <v>1</v>
      </c>
      <c r="AY587" s="141">
        <f>COUNTIF(V587:AL587,"&lt;&gt;0")</f>
        <v>1</v>
      </c>
      <c r="AZ587">
        <f>COUNTIF(V587:AC587,"&lt;&gt;0")</f>
        <v>1</v>
      </c>
      <c r="BA587">
        <f>COUNTIF(AD587:AI587,"&lt;&gt;0")</f>
        <v>0</v>
      </c>
      <c r="BB587">
        <f>COUNTIF(AJ587:AL587,"&lt;&gt;0")</f>
        <v>0</v>
      </c>
      <c r="BC587">
        <f>COUNTIF(AS587:AW587,"&lt;&gt;0")</f>
        <v>0</v>
      </c>
      <c r="BD587">
        <f>COUNTIF(AM587:AR587,"&lt;&gt;0")</f>
        <v>0</v>
      </c>
      <c r="BE587" t="str">
        <f t="array" ref="BE587">IF(AY587=1,INDEX($V$7:$AL$7,MATCH(TRUE,INDEX($V587:$AW587&lt;&gt;0,),0)),IF(AY587=0,INDEX($AM$7:$AW$7,MATCH(1,$AM587:$AW587,0)),IF(BF587="Multiple strategies","mixed drivers",IF(BF587="Supply chain","multiple supply","multiple silviculture"))))</f>
        <v>rotation length</v>
      </c>
      <c r="BF587" s="2" t="str" cm="1">
        <f t="array" ref="BF587">IF(COUNTIF(AZ587:BB587,"&lt;&gt;0")=1,INDEX($V$4:$AW$4,MATCH(TRUE,INDEX($V587:$AW587&lt;&gt;0,),0)),IF(COUNTIF(AZ587:BB587,"&lt;&gt;0")=0,INDEX($AM$4:$AW$4,MATCH(1,$AM587:$AW587,0)),"Multiple strategies"))</f>
        <v>SilvicultureRemov</v>
      </c>
      <c r="BG587" s="1" t="s">
        <v>230</v>
      </c>
      <c r="BH587" t="s">
        <v>1801</v>
      </c>
      <c r="BI587" s="260" t="s">
        <v>3348</v>
      </c>
      <c r="BJ587" s="260" t="s">
        <v>3349</v>
      </c>
      <c r="BK587">
        <v>15</v>
      </c>
      <c r="BL587">
        <v>32</v>
      </c>
      <c r="BM587">
        <f>BL587/BK587</f>
        <v>2.1333333333333333</v>
      </c>
      <c r="BN587">
        <f>BL587-BK587</f>
        <v>17</v>
      </c>
      <c r="BO587">
        <f>BN587*10^6*t_to_m3</f>
        <v>34693877.551020406</v>
      </c>
      <c r="BP587" t="s">
        <v>233</v>
      </c>
      <c r="BQ587" s="260" t="s">
        <v>3357</v>
      </c>
      <c r="BR587" t="s">
        <v>1302</v>
      </c>
      <c r="BT587" s="260"/>
      <c r="BU587" s="144"/>
      <c r="BV587" s="260">
        <v>30</v>
      </c>
      <c r="BX587">
        <f>BV587*10^6</f>
        <v>30000000</v>
      </c>
      <c r="BY587">
        <f>IFERROR(BX587/BO587,"")</f>
        <v>0.86470588235294121</v>
      </c>
      <c r="BZ587">
        <v>0</v>
      </c>
      <c r="CA587">
        <v>0</v>
      </c>
      <c r="CB587">
        <v>0</v>
      </c>
      <c r="CC587">
        <v>0</v>
      </c>
      <c r="CD587">
        <v>0</v>
      </c>
      <c r="CE587">
        <v>0</v>
      </c>
      <c r="CF587">
        <v>0</v>
      </c>
      <c r="CG587">
        <v>0</v>
      </c>
      <c r="CH587">
        <v>0</v>
      </c>
      <c r="CI587">
        <v>0</v>
      </c>
      <c r="CJ587">
        <v>0</v>
      </c>
      <c r="CK587">
        <v>0</v>
      </c>
      <c r="CL587">
        <v>0</v>
      </c>
      <c r="CM587">
        <v>0</v>
      </c>
      <c r="CN587" t="str">
        <f>IF(BL587&lt;BK587,"refNeedCorrection","refOK")</f>
        <v>refOK</v>
      </c>
      <c r="CO587">
        <f>IF($CN587="refOK",$BK587,$BL587)</f>
        <v>15</v>
      </c>
      <c r="CP587">
        <f>IF($CN587="refOK",$BL587,$BK587)</f>
        <v>32</v>
      </c>
      <c r="CQ587">
        <f>IF($CN587="refOK",$BO587,-$BO587)</f>
        <v>34693877.551020406</v>
      </c>
      <c r="CR587">
        <f>IF($CN587="refOK",$BS587,$BT587)*IF($BP587="Emissions positive",-1,1)</f>
        <v>0</v>
      </c>
      <c r="CS587">
        <f>IF($CN587="refOK",$BT587,$BS587)*IF($BP587="Emissions positive",-1,1)</f>
        <v>0</v>
      </c>
      <c r="CT587">
        <f>IF($CN587="refNeedCorrection",-BX587,BX587)*IF($BP587="Emissions positive",-1,1)</f>
        <v>30000000</v>
      </c>
      <c r="CU587">
        <f>IFERROR(CT587/CQ587,"")</f>
        <v>0.86470588235294121</v>
      </c>
      <c r="CV587" s="2" t="str">
        <f>IFERROR((CS587-CR587)/ABS(CR587),"")</f>
        <v/>
      </c>
      <c r="CW587" s="1" t="s">
        <v>1205</v>
      </c>
      <c r="CX587" t="str">
        <f>IF(OR($CW587="prd",$CW587="std",$CW587="cit"),"loc",IF(OR($CW587="eur",$CW587="reg",$CW587="coy"),"reg",$CW587))</f>
        <v>reg</v>
      </c>
      <c r="CY587" t="s">
        <v>963</v>
      </c>
      <c r="CZ587">
        <v>2005</v>
      </c>
      <c r="DA587">
        <v>2050</v>
      </c>
      <c r="DB587">
        <v>45</v>
      </c>
      <c r="DC587" t="str">
        <f>IF(DB587=0,"0",IF(AND(DB587&gt;=1,DB587&lt;=30),"1-30",IF(AND(DB587&gt;30,DB587&lt;=70),"31-70",IF(AND(DB587&gt;70,DB587&lt;=100),"71-100",IF(DB587&gt;100,"+100")))))</f>
        <v>31-70</v>
      </c>
      <c r="DD587">
        <v>0</v>
      </c>
      <c r="DE587">
        <v>1</v>
      </c>
      <c r="DF587">
        <v>0</v>
      </c>
      <c r="DG587">
        <v>0</v>
      </c>
      <c r="DI587">
        <f>SUM(DD587:DG587)</f>
        <v>1</v>
      </c>
      <c r="DJ587" t="str">
        <f>IF(DI587=1,INDEX($DD$7:$DG$7,MATCH(1,$DD587:$DG587,0)),"mixedProduct")</f>
        <v>EnergyInput</v>
      </c>
      <c r="DK587">
        <f>IF(DD587=1,DK$7,0)</f>
        <v>0</v>
      </c>
      <c r="DL587" t="str">
        <f>IF(DE587=1,DL$7,0)</f>
        <v>Energy</v>
      </c>
      <c r="DM587">
        <f>IF(DF587=1,DM$7,0)</f>
        <v>0</v>
      </c>
      <c r="DN587">
        <f>IF(DG587=1,DN$7,0)</f>
        <v>0</v>
      </c>
      <c r="DO587">
        <v>0</v>
      </c>
      <c r="DP587">
        <v>0</v>
      </c>
      <c r="DQ587">
        <v>0</v>
      </c>
      <c r="DR587">
        <v>0</v>
      </c>
      <c r="DS587">
        <v>0</v>
      </c>
      <c r="DT587">
        <f>SUM(DO587:DP587)</f>
        <v>0</v>
      </c>
      <c r="DU587" s="143" t="str">
        <f>IF(DO587=1,"self-calculated DF",IF(DP587=1,"external DF used","explicit C balance"))</f>
        <v>explicit C balance</v>
      </c>
      <c r="DV587">
        <v>0</v>
      </c>
      <c r="DW587">
        <v>1</v>
      </c>
      <c r="DX587">
        <v>1</v>
      </c>
      <c r="DY587">
        <v>0</v>
      </c>
      <c r="DZ587">
        <v>0</v>
      </c>
      <c r="EA587" s="143">
        <v>1</v>
      </c>
      <c r="EB587">
        <v>1</v>
      </c>
      <c r="EC587">
        <v>0</v>
      </c>
      <c r="ED587">
        <v>0</v>
      </c>
      <c r="EE587">
        <v>0</v>
      </c>
      <c r="EF587">
        <v>1</v>
      </c>
      <c r="EG587">
        <v>1</v>
      </c>
      <c r="EH587">
        <v>0</v>
      </c>
      <c r="EI587" s="2">
        <v>0</v>
      </c>
      <c r="EK587" t="str">
        <f>IF(AND(AND(AND(OR($DX587=1,$DW587=1),OR($EC587=1,$EA587=1)),SUM($DV587:$DZ587,$EF587)&gt;=4),SUM($EA587:$EE587)&gt;=2),"Whole sector","")</f>
        <v/>
      </c>
      <c r="EL587" t="str">
        <f>IF(AND(AND(OR($DX587=1,$DW587=1),AND($EC587=0,$EA587=0)),SUM($DV587:$DZ587,$EF587)&gt;=4),"Ecosystem approach","")</f>
        <v/>
      </c>
      <c r="EM587" s="2" t="str">
        <f>IF(AND(AND(AND($DX587=0,$DW587=0),OR($EC587=1,$EA587=1)),SUM($EB587:$EE587)&gt;=2),"Technology approach","")</f>
        <v/>
      </c>
      <c r="EP587" t="str">
        <f>IF(ISNUMBER(BU587),IF(ABS(BU587-[4]QC_indicators!$B$2)&gt;3*[4]QC_indicators!$C$2,"C ratio",IF(ISNUMBER(BY587),IF(ABS(BY587-[4]QC_indicators!$B$1)&gt;3*[4]QC_indicators!$C$1,"DF","no"))),IF(ISNUMBER(BY587),IF(ABS(BY587-[4]QC_indicators!$B$1)&gt;3*[4]QC_indicators!$C$1,"DF","no")))</f>
        <v>no</v>
      </c>
      <c r="ET587" s="266" t="s">
        <v>3275</v>
      </c>
    </row>
    <row r="588" spans="1:150" ht="15" hidden="1" customHeight="1">
      <c r="A588" s="1" t="s">
        <v>1974</v>
      </c>
      <c r="B588" t="s">
        <v>2447</v>
      </c>
      <c r="C588" t="s">
        <v>2448</v>
      </c>
      <c r="D588" t="s">
        <v>2449</v>
      </c>
      <c r="E588" t="s">
        <v>2450</v>
      </c>
      <c r="F588" t="s">
        <v>2451</v>
      </c>
      <c r="G588" t="s">
        <v>1980</v>
      </c>
      <c r="H588" t="s">
        <v>255</v>
      </c>
      <c r="I588">
        <v>2018</v>
      </c>
      <c r="J588">
        <v>8</v>
      </c>
      <c r="K588" t="s">
        <v>2452</v>
      </c>
      <c r="M588" t="str">
        <f>LEFT($D588,FIND(",",$D588)-1)&amp;"_"&amp;I588&amp;L588</f>
        <v>Valade_2018</v>
      </c>
      <c r="N588" t="s">
        <v>223</v>
      </c>
      <c r="O588" s="145" t="s">
        <v>1156</v>
      </c>
      <c r="Q588" t="s">
        <v>257</v>
      </c>
      <c r="R588" s="255" t="s">
        <v>226</v>
      </c>
      <c r="S588" s="1" t="s">
        <v>2453</v>
      </c>
      <c r="T588" t="s">
        <v>2446</v>
      </c>
      <c r="U588" t="s">
        <v>2454</v>
      </c>
      <c r="V588">
        <v>1</v>
      </c>
      <c r="W588">
        <v>0</v>
      </c>
      <c r="X588">
        <v>0</v>
      </c>
      <c r="Y588">
        <v>0</v>
      </c>
      <c r="Z588">
        <v>0</v>
      </c>
      <c r="AA588">
        <v>0</v>
      </c>
      <c r="AB588">
        <v>0</v>
      </c>
      <c r="AC588">
        <v>0</v>
      </c>
      <c r="AD588">
        <v>0</v>
      </c>
      <c r="AE588">
        <v>0</v>
      </c>
      <c r="AF588">
        <v>0</v>
      </c>
      <c r="AG588">
        <v>0</v>
      </c>
      <c r="AH588">
        <v>0</v>
      </c>
      <c r="AI588">
        <v>0</v>
      </c>
      <c r="AJ588">
        <v>0</v>
      </c>
      <c r="AK588">
        <v>0</v>
      </c>
      <c r="AL588">
        <v>0</v>
      </c>
      <c r="AM588">
        <v>0</v>
      </c>
      <c r="AN588">
        <v>0</v>
      </c>
      <c r="AO588">
        <v>0</v>
      </c>
      <c r="AP588">
        <v>0</v>
      </c>
      <c r="AQ588">
        <v>0</v>
      </c>
      <c r="AR588">
        <v>0</v>
      </c>
      <c r="AS588">
        <v>0</v>
      </c>
      <c r="AT588">
        <v>0</v>
      </c>
      <c r="AU588">
        <v>0</v>
      </c>
      <c r="AV588">
        <v>0</v>
      </c>
      <c r="AW588">
        <v>0</v>
      </c>
      <c r="AX588" s="141">
        <f>COUNTIF(V588:AW588,"&lt;&gt;0")</f>
        <v>1</v>
      </c>
      <c r="AY588" s="141">
        <f>COUNTIF(V588:AL588,"&lt;&gt;0")</f>
        <v>1</v>
      </c>
      <c r="AZ588">
        <f>COUNTIF(V588:AC588,"&lt;&gt;0")</f>
        <v>1</v>
      </c>
      <c r="BA588">
        <f>COUNTIF(AD588:AI588,"&lt;&gt;0")</f>
        <v>0</v>
      </c>
      <c r="BB588">
        <f>COUNTIF(AJ588:AL588,"&lt;&gt;0")</f>
        <v>0</v>
      </c>
      <c r="BC588">
        <f>COUNTIF(AS588:AW588,"&lt;&gt;0")</f>
        <v>0</v>
      </c>
      <c r="BD588">
        <f>COUNTIF(AM588:AR588,"&lt;&gt;0")</f>
        <v>0</v>
      </c>
      <c r="BE588" t="str">
        <f t="array" ref="BE588">IF(AY588=1,INDEX($V$7:$AL$7,MATCH(TRUE,INDEX($V588:$AW588&lt;&gt;0,),0)),IF(AY588=0,INDEX($AM$7:$AW$7,MATCH(1,$AM588:$AW588,0)),IF(BF588="Multiple strategies","mixed drivers",IF(BF588="Supply chain","multiple supply","multiple silviculture"))))</f>
        <v>area subject to harvest</v>
      </c>
      <c r="BF588" s="2" t="str" cm="1">
        <f t="array" ref="BF588">IF(COUNTIF(AZ588:BB588,"&lt;&gt;0")=1,INDEX($V$4:$AW$4,MATCH(TRUE,INDEX($V588:$AW588&lt;&gt;0,),0)),IF(COUNTIF(AZ588:BB588,"&lt;&gt;0")=0,INDEX($AM$4:$AW$4,MATCH(1,$AM588:$AW588,0)),"Multiple strategies"))</f>
        <v>SilvicultureRemov</v>
      </c>
      <c r="BG588" s="1" t="s">
        <v>322</v>
      </c>
      <c r="BH588" t="s">
        <v>2455</v>
      </c>
      <c r="BI588" s="260" t="s">
        <v>3401</v>
      </c>
      <c r="BJ588" t="s">
        <v>1325</v>
      </c>
      <c r="BK588">
        <v>1168.5023099755704</v>
      </c>
      <c r="BL588">
        <v>1547.3378240138293</v>
      </c>
      <c r="BM588" s="143">
        <f>BL588/BK588</f>
        <v>1.3242060463245291</v>
      </c>
      <c r="BN588">
        <f>BL588-BK588</f>
        <v>378.83551403825891</v>
      </c>
      <c r="BO588">
        <f>+BN588*1000000</f>
        <v>378835514.03825891</v>
      </c>
      <c r="BP588" t="s">
        <v>233</v>
      </c>
      <c r="BQ588" s="260" t="s">
        <v>3403</v>
      </c>
      <c r="BR588" t="s">
        <v>1361</v>
      </c>
      <c r="BS588">
        <v>391.990063159464</v>
      </c>
      <c r="BT588">
        <v>340.20373499999999</v>
      </c>
      <c r="BU588" s="144">
        <f>IFERROR(BT588/BS588,"")</f>
        <v>0.86788867110032586</v>
      </c>
      <c r="BV588" s="144">
        <f>BT588-BS588</f>
        <v>-51.786328159464006</v>
      </c>
      <c r="BW588" s="144"/>
      <c r="BX588">
        <f>BV588*10^6*C_to_CO2</f>
        <v>-190055824.3452329</v>
      </c>
      <c r="BY588">
        <f>IFERROR(BX588/BO588,"")</f>
        <v>-0.50168428593006464</v>
      </c>
      <c r="BZ588">
        <v>0</v>
      </c>
      <c r="CA588">
        <v>0</v>
      </c>
      <c r="CB588">
        <v>0</v>
      </c>
      <c r="CC588">
        <v>0</v>
      </c>
      <c r="CD588">
        <v>0</v>
      </c>
      <c r="CE588">
        <v>0</v>
      </c>
      <c r="CF588">
        <v>0</v>
      </c>
      <c r="CG588">
        <v>0</v>
      </c>
      <c r="CH588">
        <v>0</v>
      </c>
      <c r="CI588">
        <v>0</v>
      </c>
      <c r="CJ588">
        <v>0</v>
      </c>
      <c r="CK588">
        <v>0</v>
      </c>
      <c r="CL588">
        <v>0</v>
      </c>
      <c r="CM588">
        <v>0</v>
      </c>
      <c r="CN588" t="str">
        <f>IF($BL588&lt;$BK588,"refNeedCorrection","refOK")</f>
        <v>refOK</v>
      </c>
      <c r="CO588">
        <f>IF($CN588="refNeedCorrection",BL588,BK588)</f>
        <v>1168.5023099755704</v>
      </c>
      <c r="CP588">
        <f>IF($CN588="refNeedCorrection",BK588,BL588)</f>
        <v>1547.3378240138293</v>
      </c>
      <c r="CQ588">
        <f>IF($CN588="refOK",$BO588,-$BO588)</f>
        <v>378835514.03825891</v>
      </c>
      <c r="CR588">
        <f>IF($CN588="refOK",$BS588,$BT588)*IF($BP588="Emissions positive",-1,1)</f>
        <v>391.990063159464</v>
      </c>
      <c r="CS588">
        <f>IF($CN588="refOK",$BT588,$BS588)*IF($BP588="Emissions positive",-1,1)</f>
        <v>340.20373499999999</v>
      </c>
      <c r="CT588">
        <f>IF($CN588="refNeedCorrection",-BX588,BX588)*IF($BP588="Emissions positive",-1,1)</f>
        <v>-190055824.3452329</v>
      </c>
      <c r="CU588">
        <f>IFERROR(CT588/CQ588,"")</f>
        <v>-0.50168428593006464</v>
      </c>
      <c r="CV588" s="2">
        <f>IFERROR((CS588-CR588)/ABS(CR588),"")</f>
        <v>-0.1321113288996742</v>
      </c>
      <c r="CW588" s="1" t="s">
        <v>1205</v>
      </c>
      <c r="CX588" t="str">
        <f>IF(OR($CW588="prd",$CW588="std",$CW588="cit"),"loc",IF(OR($CW588="eur",$CW588="reg",$CW588="coy"),"reg",$CW588))</f>
        <v>reg</v>
      </c>
      <c r="CY588" t="s">
        <v>731</v>
      </c>
      <c r="CZ588">
        <v>2015</v>
      </c>
      <c r="DA588">
        <v>2040</v>
      </c>
      <c r="DB588">
        <f>DA588-CZ588</f>
        <v>25</v>
      </c>
      <c r="DC588" t="str">
        <f>IF(DB588=0,"0",IF(AND(DB588&gt;=1,DB588&lt;=30),"1-30",IF(AND(DB588&gt;30,DB588&lt;=70),"31-70",IF(AND(DB588&gt;70,DB588&lt;=100),"71-100",IF(DB588&gt;100,"+100")))))</f>
        <v>1-30</v>
      </c>
      <c r="DD588">
        <v>1</v>
      </c>
      <c r="DE588">
        <v>1</v>
      </c>
      <c r="DF588">
        <v>1</v>
      </c>
      <c r="DG588">
        <v>1</v>
      </c>
      <c r="DI588">
        <f>SUM(DD588:DG588)</f>
        <v>4</v>
      </c>
      <c r="DJ588" t="str">
        <f>IF(DI588=1,INDEX($DD$7:$DG$7,MATCH(1,$DD588:$DG588,0)),"mixedProduct")</f>
        <v>mixedProduct</v>
      </c>
      <c r="DK588" t="str">
        <f>IF(DD588=1,DK$7,0)</f>
        <v>Upstream</v>
      </c>
      <c r="DL588" t="str">
        <f>IF(DE588=1,DL$7,0)</f>
        <v>Energy</v>
      </c>
      <c r="DM588" t="str">
        <f>IF(DF588=1,DM$7,0)</f>
        <v>Pulp/Paper</v>
      </c>
      <c r="DN588" t="str">
        <f>IF(DG588=1,DN$7,0)</f>
        <v>Timber</v>
      </c>
      <c r="DO588">
        <v>0</v>
      </c>
      <c r="DP588">
        <v>1</v>
      </c>
      <c r="DQ588" t="s">
        <v>2462</v>
      </c>
      <c r="DR588" t="s">
        <v>2463</v>
      </c>
      <c r="DS588" t="s">
        <v>2463</v>
      </c>
      <c r="DT588">
        <f>SUM(DO588:DP588)</f>
        <v>1</v>
      </c>
      <c r="DU588" s="143" t="str">
        <f>IF(DO588=1,"self-calculated DF",IF(DP588=1,"external DF used","explicit C balance"))</f>
        <v>external DF used</v>
      </c>
      <c r="DV588">
        <v>0</v>
      </c>
      <c r="DW588">
        <v>1</v>
      </c>
      <c r="DX588">
        <v>1</v>
      </c>
      <c r="DY588">
        <v>1</v>
      </c>
      <c r="DZ588">
        <v>1</v>
      </c>
      <c r="EA588" s="143">
        <v>1</v>
      </c>
      <c r="EB588">
        <v>1</v>
      </c>
      <c r="EC588">
        <v>1</v>
      </c>
      <c r="ED588">
        <v>0</v>
      </c>
      <c r="EE588">
        <v>0</v>
      </c>
      <c r="EF588">
        <v>1</v>
      </c>
      <c r="EG588">
        <v>0</v>
      </c>
      <c r="EH588">
        <v>0</v>
      </c>
      <c r="EI588" s="2">
        <v>0</v>
      </c>
      <c r="EK588" t="str">
        <f>IF(AND(AND(AND(OR($DX588=1,$DW588=1),OR($EC588=1,$EA588=1)),SUM($DV588:$DZ588,$EF588)&gt;=4),SUM($EA588:$EE588)&gt;=2),"Whole sector","")</f>
        <v>Whole sector</v>
      </c>
      <c r="EL588" t="str">
        <f>IF(AND(AND(OR($DX588=1,$DW588=1),AND($EC588=0,$EA588=0)),SUM($DV588:$DZ588,$EF588)&gt;=4),"Ecosystem approach","")</f>
        <v/>
      </c>
      <c r="EM588" s="2" t="str">
        <f>IF(AND(AND(AND($DX588=0,$DW588=0),OR($EC588=1,$EA588=1)),SUM($EB588:$EE588)&gt;=2),"Technology approach","")</f>
        <v/>
      </c>
      <c r="EP588" t="str">
        <f>IF(ISNUMBER(BU588),IF(ABS(BU588-[4]QC_indicators!$B$2)&gt;3*[4]QC_indicators!$C$2,"C ratio",IF(ISNUMBER(BY588),IF(ABS(BY588-[4]QC_indicators!$B$1)&gt;3*[4]QC_indicators!$C$1,"DF","no"))),IF(ISNUMBER(BY588),IF(ABS(BY588-[4]QC_indicators!$B$1)&gt;3*[4]QC_indicators!$C$1,"DF","no")))</f>
        <v>no</v>
      </c>
      <c r="EQ588" t="s">
        <v>2380</v>
      </c>
      <c r="ET588" s="266" t="s">
        <v>3275</v>
      </c>
    </row>
    <row r="589" spans="1:150" ht="15" customHeight="1">
      <c r="A589" s="1" t="s">
        <v>1380</v>
      </c>
      <c r="B589" t="s">
        <v>1381</v>
      </c>
      <c r="C589" t="s">
        <v>1382</v>
      </c>
      <c r="D589" t="s">
        <v>1383</v>
      </c>
      <c r="E589" t="s">
        <v>1384</v>
      </c>
      <c r="F589" t="s">
        <v>1385</v>
      </c>
      <c r="G589" t="s">
        <v>1386</v>
      </c>
      <c r="H589" t="s">
        <v>255</v>
      </c>
      <c r="I589">
        <v>2021</v>
      </c>
      <c r="J589">
        <v>0</v>
      </c>
      <c r="K589" t="s">
        <v>1387</v>
      </c>
      <c r="M589" t="str">
        <f>LEFT($D589,FIND(",",$D589)-1)&amp;"_"&amp;I589&amp;L589</f>
        <v>Delacote_2021</v>
      </c>
      <c r="N589" t="s">
        <v>223</v>
      </c>
      <c r="O589" s="145" t="s">
        <v>224</v>
      </c>
      <c r="Q589" s="266" t="s">
        <v>257</v>
      </c>
      <c r="R589" s="271" t="s">
        <v>1156</v>
      </c>
      <c r="S589" s="1" t="s">
        <v>1399</v>
      </c>
      <c r="T589" t="s">
        <v>1389</v>
      </c>
      <c r="U589" t="s">
        <v>1390</v>
      </c>
      <c r="V589">
        <v>0</v>
      </c>
      <c r="W589">
        <v>0</v>
      </c>
      <c r="X589">
        <v>0</v>
      </c>
      <c r="Y589">
        <v>0</v>
      </c>
      <c r="Z589">
        <v>0</v>
      </c>
      <c r="AA589">
        <v>0</v>
      </c>
      <c r="AB589">
        <v>0</v>
      </c>
      <c r="AC589">
        <v>0</v>
      </c>
      <c r="AD589">
        <v>0</v>
      </c>
      <c r="AE589">
        <v>0</v>
      </c>
      <c r="AF589">
        <v>0</v>
      </c>
      <c r="AG589">
        <v>0</v>
      </c>
      <c r="AH589">
        <v>0</v>
      </c>
      <c r="AI589">
        <v>0</v>
      </c>
      <c r="AJ589">
        <v>0</v>
      </c>
      <c r="AK589">
        <v>0</v>
      </c>
      <c r="AL589">
        <v>0</v>
      </c>
      <c r="AM589">
        <v>0</v>
      </c>
      <c r="AN589">
        <v>1</v>
      </c>
      <c r="AO589">
        <v>2</v>
      </c>
      <c r="AP589">
        <v>0</v>
      </c>
      <c r="AQ589">
        <v>0</v>
      </c>
      <c r="AR589">
        <v>0</v>
      </c>
      <c r="AS589">
        <v>0</v>
      </c>
      <c r="AT589">
        <v>0</v>
      </c>
      <c r="AU589">
        <v>0</v>
      </c>
      <c r="AV589">
        <v>0</v>
      </c>
      <c r="AW589">
        <v>0</v>
      </c>
      <c r="AX589" s="141">
        <f>COUNTIF(V589:AW589,"&lt;&gt;0")</f>
        <v>2</v>
      </c>
      <c r="AY589" s="141">
        <f>COUNTIF(V589:AL589,"&lt;&gt;0")</f>
        <v>0</v>
      </c>
      <c r="AZ589">
        <f>COUNTIF(V589:AC589,"&lt;&gt;0")</f>
        <v>0</v>
      </c>
      <c r="BA589">
        <f>COUNTIF(AD589:AI589,"&lt;&gt;0")</f>
        <v>0</v>
      </c>
      <c r="BB589">
        <f>COUNTIF(AJ589:AL589,"&lt;&gt;0")</f>
        <v>0</v>
      </c>
      <c r="BC589">
        <f>COUNTIF(AS589:AW589,"&lt;&gt;0")</f>
        <v>0</v>
      </c>
      <c r="BD589">
        <f>COUNTIF(AM589:AR589,"&lt;&gt;0")</f>
        <v>2</v>
      </c>
      <c r="BE589" t="str" cm="1">
        <f t="array" ref="BE589">IF(AY589=1,INDEX($V$7:$AL$7,MATCH(TRUE,INDEX($V589:$AW589&lt;&gt;0,),0)),IF(AY589=0,INDEX($AM$7:$AW$7,MATCH(1,$AM589:$AW589,0)),IF(BF589="Multiple strategies","mixed drivers",IF(BF589="Supply chain","multiple supply","multiple silviculture"))))</f>
        <v>Temperature</v>
      </c>
      <c r="BF589" s="2" t="str" cm="1">
        <f t="array" ref="BF589">IF(COUNTIF(AZ589:BB589,"&lt;&gt;0")=1,INDEX($V$4:$AW$4,MATCH(TRUE,INDEX($V589:$AW589&lt;&gt;0,),0)),IF(COUNTIF(AZ589:BB589,"&lt;&gt;0")=0,INDEX($AM$4:$AW$4,MATCH(1,$AM589:$AW589,0)),"Multiple strategies"))</f>
        <v>Environmental change</v>
      </c>
      <c r="BG589" s="1" t="s">
        <v>322</v>
      </c>
      <c r="BH589" t="s">
        <v>1299</v>
      </c>
      <c r="BJ589" t="s">
        <v>1216</v>
      </c>
      <c r="BK589">
        <v>51.780999999999999</v>
      </c>
      <c r="BL589">
        <f>BK589*(1+1.12/100)</f>
        <v>52.360947200000005</v>
      </c>
      <c r="BM589">
        <f>BL589/BK589</f>
        <v>1.0112000000000001</v>
      </c>
      <c r="BN589">
        <f>BL589-BK589</f>
        <v>0.57994720000000655</v>
      </c>
      <c r="BO589">
        <f>BN589*10^6</f>
        <v>579947.20000000659</v>
      </c>
      <c r="BP589" t="s">
        <v>233</v>
      </c>
      <c r="BR589" t="s">
        <v>1232</v>
      </c>
      <c r="BS589">
        <v>56.534999999999997</v>
      </c>
      <c r="BT589">
        <f>BS589*(1+17.82/100)</f>
        <v>66.609536999999989</v>
      </c>
      <c r="BU589" s="144">
        <f>IFERROR(BT589/BS589,"")</f>
        <v>1.1781999999999999</v>
      </c>
      <c r="BV589">
        <f>BT589-BS589</f>
        <v>10.074536999999992</v>
      </c>
      <c r="BX589">
        <f>BV589*10^6</f>
        <v>10074536.999999993</v>
      </c>
      <c r="BY589">
        <f>IFERROR(BX589/BO589,"")</f>
        <v>17.371472782349631</v>
      </c>
      <c r="BZ589">
        <v>0</v>
      </c>
      <c r="CA589">
        <v>0</v>
      </c>
      <c r="CB589">
        <v>0</v>
      </c>
      <c r="CC589">
        <v>0</v>
      </c>
      <c r="CD589">
        <v>0</v>
      </c>
      <c r="CE589">
        <v>0</v>
      </c>
      <c r="CF589">
        <v>0</v>
      </c>
      <c r="CG589">
        <v>0</v>
      </c>
      <c r="CH589">
        <v>0</v>
      </c>
      <c r="CI589">
        <v>0</v>
      </c>
      <c r="CJ589">
        <v>0</v>
      </c>
      <c r="CK589">
        <v>0</v>
      </c>
      <c r="CL589">
        <v>0</v>
      </c>
      <c r="CM589">
        <v>1</v>
      </c>
      <c r="CN589" t="str">
        <f>IF($BL589&lt;$BK589,"refNeedCorrection","refOK")</f>
        <v>refOK</v>
      </c>
      <c r="CO589">
        <f>IF($CN589="refOK",$BK589,$BL589)</f>
        <v>51.780999999999999</v>
      </c>
      <c r="CP589">
        <f>IF($CN589="refOK",$BL589,$BK589)</f>
        <v>52.360947200000005</v>
      </c>
      <c r="CQ589">
        <f>IF($CN589="refOK",$BO589,-$BO589)</f>
        <v>579947.20000000659</v>
      </c>
      <c r="CR589">
        <f>IF($CN589="refOK",$BS589,$BT589)*IF($BP589="Emissions positive",-1,1)</f>
        <v>56.534999999999997</v>
      </c>
      <c r="CS589">
        <f>IF($CN589="refOK",$BT589,$BS589)*IF($BP589="Emissions positive",-1,1)</f>
        <v>66.609536999999989</v>
      </c>
      <c r="CT589">
        <f>IF($CN589="refNeedCorrection",-BX589,BX589)*IF($BP589="Emissions positive",-1,1)</f>
        <v>10074536.999999993</v>
      </c>
      <c r="CU589">
        <f>IFERROR(CT589/CQ589,"")</f>
        <v>17.371472782349631</v>
      </c>
      <c r="CV589" s="2">
        <f>IFERROR((CS589-CR589)/ABS(CR589),"")</f>
        <v>0.17819999999999989</v>
      </c>
      <c r="CW589" s="1" t="s">
        <v>1205</v>
      </c>
      <c r="CX589" s="266" t="str">
        <f>IF(OR($CW589="prd",$CW589="std",$CW589="cit"),"loc",IF(OR($CW589="eur",$CW589="reg",$CW589="coy"),"reg",$CW589))</f>
        <v>reg</v>
      </c>
      <c r="CY589" t="s">
        <v>731</v>
      </c>
      <c r="CZ589">
        <v>2015</v>
      </c>
      <c r="DA589">
        <v>2100</v>
      </c>
      <c r="DB589">
        <f>DA589-CZ589</f>
        <v>85</v>
      </c>
      <c r="DC589" t="str">
        <f>IF(DB589=0,"0",IF(AND(DB589&gt;=1,DB589&lt;=30),"1-30",IF(AND(DB589&gt;30,DB589&lt;=70),"31-70",IF(AND(DB589&gt;70,DB589&lt;=100),"71-100",IF(DB589&gt;100,"+100")))))</f>
        <v>71-100</v>
      </c>
      <c r="DD589">
        <v>0</v>
      </c>
      <c r="DE589">
        <v>1</v>
      </c>
      <c r="DF589">
        <v>1</v>
      </c>
      <c r="DG589">
        <v>1</v>
      </c>
      <c r="DI589">
        <f>SUM(DD589:DG589)</f>
        <v>3</v>
      </c>
      <c r="DJ589" t="str">
        <f>IF(DI589=1,INDEX($DD$7:$DG$7,MATCH(1,$DD589:$DG589,0)),"mixedProduct")</f>
        <v>mixedProduct</v>
      </c>
      <c r="DK589">
        <f>IF(DD589=1,DK$7,0)</f>
        <v>0</v>
      </c>
      <c r="DL589" t="str">
        <f>IF(DE589=1,DL$7,0)</f>
        <v>Energy</v>
      </c>
      <c r="DM589" t="str">
        <f>IF(DF589=1,DM$7,0)</f>
        <v>Pulp/Paper</v>
      </c>
      <c r="DN589" t="str">
        <f>IF(DG589=1,DN$7,0)</f>
        <v>Timber</v>
      </c>
      <c r="DO589">
        <v>0</v>
      </c>
      <c r="DP589">
        <v>0</v>
      </c>
      <c r="DQ589">
        <v>0</v>
      </c>
      <c r="DR589">
        <v>0</v>
      </c>
      <c r="DS589">
        <v>0</v>
      </c>
      <c r="DT589">
        <f>SUM(DO589:DP589)</f>
        <v>0</v>
      </c>
      <c r="DU589" s="143" t="str">
        <f>IF(DO589=1,"self-calculated DF",IF(DP589=1,"external DF used","explicit C balance"))</f>
        <v>explicit C balance</v>
      </c>
      <c r="DV589">
        <v>0</v>
      </c>
      <c r="DW589">
        <v>1</v>
      </c>
      <c r="DX589">
        <v>1</v>
      </c>
      <c r="DY589">
        <v>1</v>
      </c>
      <c r="DZ589">
        <v>0</v>
      </c>
      <c r="EA589">
        <v>0</v>
      </c>
      <c r="EB589">
        <v>0</v>
      </c>
      <c r="EC589">
        <v>0</v>
      </c>
      <c r="ED589">
        <v>0</v>
      </c>
      <c r="EE589">
        <v>0</v>
      </c>
      <c r="EF589">
        <v>1</v>
      </c>
      <c r="EG589">
        <v>0</v>
      </c>
      <c r="EH589">
        <v>1</v>
      </c>
      <c r="EI589" s="2">
        <v>1</v>
      </c>
      <c r="EK589" t="str">
        <f>IF(AND(AND(AND(OR($DX589=1,$DW589=1),OR($EC589=1,$EA589=1)),SUM($DV589:$DZ589,$EF589)&gt;=4),SUM($EA589:$EE589)&gt;=2),"Whole sector","")</f>
        <v/>
      </c>
      <c r="EL589" t="str">
        <f>IF(AND(AND(OR($DX589=1,$DW589=1),AND($EC589=0,$EA589=0)),SUM($DV589:$DZ589,$EF589)&gt;=4),"Ecosystem approach","")</f>
        <v>Ecosystem approach</v>
      </c>
      <c r="EM589" s="2" t="str">
        <f>IF(AND(AND(AND($DX589=0,$DW589=0),OR($EC589=1,$EA589=1)),SUM($EB589:$EE589)&gt;=2),"Technology approach","")</f>
        <v/>
      </c>
      <c r="EP589" t="str">
        <f>IF(ISNUMBER(BU589),IF(ABS(BU589-[1]QC_indicators!$B$2)&gt;3*[1]QC_indicators!$C$2,"C ratio",IF(ISNUMBER(BY589),IF(ABS(BY589-[1]QC_indicators!$B$1)&gt;3*[1]QC_indicators!$C$1,"DF","no"))),IF(ISNUMBER(BY589),IF(ABS(BY589-[1]QC_indicators!$B$1)&gt;3*[1]QC_indicators!$C$1,"DF","no")))</f>
        <v>DF</v>
      </c>
      <c r="ET589" s="266" t="s">
        <v>3409</v>
      </c>
    </row>
    <row r="590" spans="1:150" ht="15" customHeight="1">
      <c r="A590" s="1" t="s">
        <v>1762</v>
      </c>
      <c r="B590" t="s">
        <v>1763</v>
      </c>
      <c r="C590" t="s">
        <v>1764</v>
      </c>
      <c r="D590" t="s">
        <v>1765</v>
      </c>
      <c r="E590" t="s">
        <v>1766</v>
      </c>
      <c r="F590" t="s">
        <v>1767</v>
      </c>
      <c r="G590" t="s">
        <v>1768</v>
      </c>
      <c r="H590" t="s">
        <v>255</v>
      </c>
      <c r="I590">
        <v>2021</v>
      </c>
      <c r="J590">
        <v>6</v>
      </c>
      <c r="K590" t="s">
        <v>1769</v>
      </c>
      <c r="M590" t="str">
        <f>LEFT($D590,FIND(",",$D590)-1)&amp;"_"&amp;I590&amp;L590</f>
        <v>Jonsson_2021</v>
      </c>
      <c r="N590" t="s">
        <v>223</v>
      </c>
      <c r="O590" s="145" t="s">
        <v>514</v>
      </c>
      <c r="Q590" t="s">
        <v>257</v>
      </c>
      <c r="R590" s="2" t="s">
        <v>275</v>
      </c>
      <c r="S590" s="1" t="s">
        <v>1770</v>
      </c>
      <c r="T590" t="s">
        <v>1113</v>
      </c>
      <c r="U590" t="s">
        <v>1771</v>
      </c>
      <c r="V590">
        <v>0</v>
      </c>
      <c r="W590">
        <v>1</v>
      </c>
      <c r="X590">
        <v>0</v>
      </c>
      <c r="Y590">
        <v>0</v>
      </c>
      <c r="Z590">
        <v>0</v>
      </c>
      <c r="AA590">
        <v>0</v>
      </c>
      <c r="AB590">
        <v>0</v>
      </c>
      <c r="AC590">
        <v>0</v>
      </c>
      <c r="AD590">
        <v>0</v>
      </c>
      <c r="AE590">
        <v>0</v>
      </c>
      <c r="AF590">
        <v>2</v>
      </c>
      <c r="AG590">
        <v>0</v>
      </c>
      <c r="AH590">
        <v>0</v>
      </c>
      <c r="AI590">
        <v>0</v>
      </c>
      <c r="AJ590">
        <v>0</v>
      </c>
      <c r="AK590">
        <v>0</v>
      </c>
      <c r="AL590">
        <v>0</v>
      </c>
      <c r="AM590">
        <v>0</v>
      </c>
      <c r="AN590">
        <v>0</v>
      </c>
      <c r="AO590">
        <v>0</v>
      </c>
      <c r="AP590">
        <v>0</v>
      </c>
      <c r="AQ590">
        <v>0</v>
      </c>
      <c r="AR590">
        <v>0</v>
      </c>
      <c r="AS590">
        <v>0</v>
      </c>
      <c r="AT590">
        <v>0</v>
      </c>
      <c r="AU590">
        <v>0</v>
      </c>
      <c r="AV590">
        <v>0</v>
      </c>
      <c r="AW590">
        <v>0</v>
      </c>
      <c r="AX590" s="141">
        <f>COUNTIF(V590:AW590,"&lt;&gt;0")</f>
        <v>2</v>
      </c>
      <c r="AY590" s="141">
        <f>COUNTIF(V590:AL590,"&lt;&gt;0")</f>
        <v>2</v>
      </c>
      <c r="AZ590">
        <f>COUNTIF(V590:AC590,"&lt;&gt;0")</f>
        <v>1</v>
      </c>
      <c r="BA590">
        <f>COUNTIF(AD590:AI590,"&lt;&gt;0")</f>
        <v>1</v>
      </c>
      <c r="BB590">
        <f>COUNTIF(AJ590:AL590,"&lt;&gt;0")</f>
        <v>0</v>
      </c>
      <c r="BC590">
        <f>COUNTIF(AS590:AW590,"&lt;&gt;0")</f>
        <v>0</v>
      </c>
      <c r="BD590">
        <f>COUNTIF(AM590:AR590,"&lt;&gt;0")</f>
        <v>0</v>
      </c>
      <c r="BE590" t="str">
        <f t="array" ref="BE590">IF(AY590=1,INDEX($V$7:$AL$7,MATCH(TRUE,INDEX($V590:$AW590&lt;&gt;0,),0)),IF(AY590=0,INDEX($AM$7:$AW$7,MATCH(1,$AM590:$AW590,0)),IF(BF590="Multiple strategies","mixed drivers",IF(BF590="Supply chain","multiple supply","multiple silviculture"))))</f>
        <v>mixed drivers</v>
      </c>
      <c r="BF590" s="2" t="str">
        <f t="array" ref="BF590">IF(COUNTIF(AZ590:BB590,"&lt;&gt;0")=1,INDEX($V$4:$AW$4,MATCH(TRUE,INDEX($V590:$AW590&lt;&gt;0,),0)),IF(COUNTIF(AZ590:BB590,"&lt;&gt;0")=0,INDEX($AM$4:$AW$4,MATCH(1,$AM590:$AW590,0)),"Multiple strategies"))</f>
        <v>Multiple strategies</v>
      </c>
      <c r="BG590" s="1" t="s">
        <v>230</v>
      </c>
      <c r="BH590" t="s">
        <v>230</v>
      </c>
      <c r="BI590" s="266" t="s">
        <v>2130</v>
      </c>
      <c r="BJ590" t="s">
        <v>1772</v>
      </c>
      <c r="BK590">
        <v>284950</v>
      </c>
      <c r="BL590">
        <v>322592</v>
      </c>
      <c r="BM590" t="e">
        <f>#REF!</f>
        <v>#REF!</v>
      </c>
      <c r="BN590">
        <f>BL590-BK590</f>
        <v>37642</v>
      </c>
      <c r="BO590">
        <f>BN590*1000</f>
        <v>37642000</v>
      </c>
      <c r="BP590" t="s">
        <v>233</v>
      </c>
      <c r="BQ590" s="266" t="s">
        <v>3271</v>
      </c>
      <c r="BR590" s="266" t="s">
        <v>1302</v>
      </c>
      <c r="BS590">
        <v>367</v>
      </c>
      <c r="BT590">
        <v>312</v>
      </c>
      <c r="BU590" s="144">
        <f>IFERROR(BT590/BS590,"")</f>
        <v>0.85013623978201636</v>
      </c>
      <c r="BV590">
        <f>BT590-BS590</f>
        <v>-55</v>
      </c>
      <c r="BX590">
        <f>BV590*10^6</f>
        <v>-55000000</v>
      </c>
      <c r="BY590">
        <f>IFERROR(BX590/BO590,"")</f>
        <v>-1.4611338398597311</v>
      </c>
      <c r="BZ590">
        <v>0</v>
      </c>
      <c r="CA590">
        <v>0</v>
      </c>
      <c r="CB590">
        <v>0</v>
      </c>
      <c r="CC590">
        <v>0</v>
      </c>
      <c r="CD590">
        <v>0</v>
      </c>
      <c r="CE590">
        <v>0</v>
      </c>
      <c r="CF590">
        <v>0</v>
      </c>
      <c r="CG590">
        <v>0</v>
      </c>
      <c r="CH590">
        <v>0</v>
      </c>
      <c r="CI590">
        <v>0</v>
      </c>
      <c r="CJ590">
        <v>0</v>
      </c>
      <c r="CK590">
        <v>0</v>
      </c>
      <c r="CL590">
        <v>0</v>
      </c>
      <c r="CM590">
        <v>1</v>
      </c>
      <c r="CN590" t="str">
        <f>IF($BL590&lt;$BK590,"refNeedCorrection","refOK")</f>
        <v>refOK</v>
      </c>
      <c r="CO590">
        <f>IF($CN590="refNeedCorrection",BL590,BK590)</f>
        <v>284950</v>
      </c>
      <c r="CP590">
        <f>IF($CN590="refNeedCorrection",BK590,BL590)</f>
        <v>322592</v>
      </c>
      <c r="CQ590">
        <f>IF($CN590="refOK",$BO590,-$BO590)</f>
        <v>37642000</v>
      </c>
      <c r="CR590">
        <f>IF($CN590="refOK",$BS590,$BT590)*IF($BP590="Emissions positive",-1,1)</f>
        <v>367</v>
      </c>
      <c r="CS590">
        <f>IF($CN590="refOK",$BT590,$BS590)*IF($BP590="Emissions positive",-1,1)</f>
        <v>312</v>
      </c>
      <c r="CT590">
        <f>IF($CN590="refNeedCorrection",-BX590,BX590)*IF($BP590="Emissions positive",-1,1)</f>
        <v>-55000000</v>
      </c>
      <c r="CU590">
        <f>IFERROR(CT590/CQ590,"")</f>
        <v>-1.4611338398597311</v>
      </c>
      <c r="CV590" s="2">
        <f>IFERROR((CS590-CR590)/ABS(CR590),"")</f>
        <v>-0.14986376021798364</v>
      </c>
      <c r="CW590" s="1" t="s">
        <v>1233</v>
      </c>
      <c r="CX590" t="str">
        <f>IF(OR($CW590="prd",$CW590="std",$CW590="cit"),"loc",IF(OR($CW590="eur",$CW590="reg",$CW590="coy"),"reg",$CW590))</f>
        <v>reg</v>
      </c>
      <c r="CY590" t="s">
        <v>745</v>
      </c>
      <c r="CZ590">
        <v>2000</v>
      </c>
      <c r="DA590">
        <v>2030</v>
      </c>
      <c r="DB590">
        <v>30</v>
      </c>
      <c r="DC590" t="str">
        <f>IF(DB590=0,"0",IF(AND(DB590&gt;=1,DB590&lt;=30),"1-30",IF(AND(DB590&gt;30,DB590&lt;=70),"31-70",IF(AND(DB590&gt;70,DB590&lt;=100),"71-100",IF(DB590&gt;100,"+100")))))</f>
        <v>1-30</v>
      </c>
      <c r="DD590">
        <v>0</v>
      </c>
      <c r="DE590">
        <v>0</v>
      </c>
      <c r="DF590">
        <v>0</v>
      </c>
      <c r="DG590">
        <v>1</v>
      </c>
      <c r="DH590">
        <v>1</v>
      </c>
      <c r="DI590">
        <f>SUM(DD590:DG590)</f>
        <v>1</v>
      </c>
      <c r="DJ590" t="str">
        <f>IF(DI590=1,INDEX($DD$7:$DG$7,MATCH(1,$DD590:$DG590,0)),"mixedProduct")</f>
        <v>TimberInput</v>
      </c>
      <c r="DK590">
        <f>IF(DD590=1,DK$7,0)</f>
        <v>0</v>
      </c>
      <c r="DL590">
        <f>IF(DE590=1,DL$7,0)</f>
        <v>0</v>
      </c>
      <c r="DM590">
        <f>IF(DF590=1,DM$7,0)</f>
        <v>0</v>
      </c>
      <c r="DN590" t="str">
        <f>IF(DG590=1,DN$7,0)</f>
        <v>Timber</v>
      </c>
      <c r="DO590">
        <v>0</v>
      </c>
      <c r="DP590">
        <v>1</v>
      </c>
      <c r="DQ590" t="s">
        <v>1773</v>
      </c>
      <c r="DR590" t="s">
        <v>1773</v>
      </c>
      <c r="DS590">
        <v>0</v>
      </c>
      <c r="DT590">
        <f>SUM(DO590:DP590)</f>
        <v>1</v>
      </c>
      <c r="DU590" s="143" t="str">
        <f>IF(DO590=1,"self-calculated DF",IF(DP590=1,"external DF used","explicit C balance"))</f>
        <v>external DF used</v>
      </c>
      <c r="DV590">
        <v>1</v>
      </c>
      <c r="DW590">
        <v>0</v>
      </c>
      <c r="DX590">
        <v>1</v>
      </c>
      <c r="DY590">
        <v>1</v>
      </c>
      <c r="DZ590">
        <v>0</v>
      </c>
      <c r="EA590" s="143">
        <v>0</v>
      </c>
      <c r="EB590">
        <v>0</v>
      </c>
      <c r="EC590">
        <v>0</v>
      </c>
      <c r="ED590">
        <v>0</v>
      </c>
      <c r="EE590">
        <v>0</v>
      </c>
      <c r="EF590">
        <v>1</v>
      </c>
      <c r="EG590">
        <v>0</v>
      </c>
      <c r="EH590">
        <v>0</v>
      </c>
      <c r="EI590" s="2">
        <v>0</v>
      </c>
      <c r="EJ590" s="1" t="s">
        <v>1774</v>
      </c>
      <c r="EK590" t="str">
        <f>IF(AND(AND(AND(OR($DX590=1,$DW590=1),OR($EC590=1,$EA590=1)),SUM($DV590:$DZ590,$EF590)&gt;=4),SUM($EA590:$EE590)&gt;=2),"Whole sector","")</f>
        <v/>
      </c>
      <c r="EL590" t="str">
        <f>IF(AND(AND(OR($DX590=1,$DW590=1),AND($EC590=0,$EA590=0)),SUM($DV590:$DZ590,$EF590)&gt;=4),"Ecosystem approach","")</f>
        <v>Ecosystem approach</v>
      </c>
      <c r="EM590" s="2" t="str">
        <f>IF(AND(AND(AND($DX590=0,$DW590=0),OR($EC590=1,$EA590=1)),SUM($EB590:$EE590)&gt;=2),"Technology approach","")</f>
        <v/>
      </c>
      <c r="EP590" t="str">
        <f>IF(ISNUMBER(BU590),IF(ABS(BU590-[3]QC_indicators!$B$2)&gt;3*[3]QC_indicators!$C$2,"C ratio",IF(ISNUMBER(BY590),IF(ABS(BY590-[3]QC_indicators!$B$1)&gt;3*[3]QC_indicators!$C$1,"DF","no"))),IF(ISNUMBER(BY590),IF(ABS(BY590-[3]QC_indicators!$B$1)&gt;3*[3]QC_indicators!$C$1,"DF","no")))</f>
        <v>no</v>
      </c>
      <c r="ET590" s="266" t="s">
        <v>3272</v>
      </c>
    </row>
    <row r="591" spans="1:150" ht="15" hidden="1" customHeight="1">
      <c r="A591" s="1" t="s">
        <v>1974</v>
      </c>
      <c r="B591" t="s">
        <v>2447</v>
      </c>
      <c r="C591" t="s">
        <v>2448</v>
      </c>
      <c r="D591" t="s">
        <v>2449</v>
      </c>
      <c r="E591" t="s">
        <v>2450</v>
      </c>
      <c r="F591" t="s">
        <v>2451</v>
      </c>
      <c r="G591" t="s">
        <v>1980</v>
      </c>
      <c r="H591" t="s">
        <v>255</v>
      </c>
      <c r="I591">
        <v>2018</v>
      </c>
      <c r="J591">
        <v>8</v>
      </c>
      <c r="K591" t="s">
        <v>2452</v>
      </c>
      <c r="M591" t="str">
        <f>LEFT($D591,FIND(",",$D591)-1)&amp;"_"&amp;I591&amp;L591</f>
        <v>Valade_2018</v>
      </c>
      <c r="N591" t="s">
        <v>223</v>
      </c>
      <c r="O591" s="145" t="s">
        <v>1156</v>
      </c>
      <c r="Q591" t="s">
        <v>257</v>
      </c>
      <c r="R591" s="255" t="s">
        <v>226</v>
      </c>
      <c r="S591" s="1" t="s">
        <v>2456</v>
      </c>
      <c r="T591" t="s">
        <v>2446</v>
      </c>
      <c r="U591" t="s">
        <v>2457</v>
      </c>
      <c r="V591">
        <v>0</v>
      </c>
      <c r="W591">
        <v>0</v>
      </c>
      <c r="X591">
        <v>0</v>
      </c>
      <c r="Y591">
        <v>1</v>
      </c>
      <c r="Z591">
        <v>0</v>
      </c>
      <c r="AA591">
        <v>0</v>
      </c>
      <c r="AB591">
        <v>0</v>
      </c>
      <c r="AC591">
        <v>0</v>
      </c>
      <c r="AD591">
        <v>0</v>
      </c>
      <c r="AE591">
        <v>0</v>
      </c>
      <c r="AF591">
        <v>0</v>
      </c>
      <c r="AG591">
        <v>0</v>
      </c>
      <c r="AH591">
        <v>0</v>
      </c>
      <c r="AI591">
        <v>0</v>
      </c>
      <c r="AJ591">
        <v>0</v>
      </c>
      <c r="AK591">
        <v>0</v>
      </c>
      <c r="AL591">
        <v>0</v>
      </c>
      <c r="AM591">
        <v>0</v>
      </c>
      <c r="AN591">
        <v>0</v>
      </c>
      <c r="AO591">
        <v>0</v>
      </c>
      <c r="AP591">
        <v>0</v>
      </c>
      <c r="AQ591">
        <v>0</v>
      </c>
      <c r="AR591">
        <v>0</v>
      </c>
      <c r="AS591">
        <v>0</v>
      </c>
      <c r="AT591">
        <v>0</v>
      </c>
      <c r="AU591">
        <v>0</v>
      </c>
      <c r="AV591">
        <v>0</v>
      </c>
      <c r="AW591">
        <v>0</v>
      </c>
      <c r="AX591" s="141">
        <f>COUNTIF(V591:AW591,"&lt;&gt;0")</f>
        <v>1</v>
      </c>
      <c r="AY591" s="141">
        <f>COUNTIF(V591:AL591,"&lt;&gt;0")</f>
        <v>1</v>
      </c>
      <c r="AZ591">
        <f>COUNTIF(V591:AC591,"&lt;&gt;0")</f>
        <v>1</v>
      </c>
      <c r="BA591">
        <f>COUNTIF(AD591:AI591,"&lt;&gt;0")</f>
        <v>0</v>
      </c>
      <c r="BB591">
        <f>COUNTIF(AJ591:AL591,"&lt;&gt;0")</f>
        <v>0</v>
      </c>
      <c r="BC591">
        <f>COUNTIF(AS591:AW591,"&lt;&gt;0")</f>
        <v>0</v>
      </c>
      <c r="BD591">
        <f>COUNTIF(AM591:AR591,"&lt;&gt;0")</f>
        <v>0</v>
      </c>
      <c r="BE591" t="str">
        <f t="array" ref="BE591">IF(AY591=1,INDEX($V$7:$AL$7,MATCH(TRUE,INDEX($V591:$AW591&lt;&gt;0,),0)),IF(AY591=0,INDEX($AM$7:$AW$7,MATCH(1,$AM591:$AW591,0)),IF(BF591="Multiple strategies","mixed drivers",IF(BF591="Supply chain","multiple supply","multiple silviculture"))))</f>
        <v xml:space="preserve">cutting intensity </v>
      </c>
      <c r="BF591" s="2" t="str" cm="1">
        <f t="array" ref="BF591">IF(COUNTIF(AZ591:BB591,"&lt;&gt;0")=1,INDEX($V$4:$AW$4,MATCH(TRUE,INDEX($V591:$AW591&lt;&gt;0,),0)),IF(COUNTIF(AZ591:BB591,"&lt;&gt;0")=0,INDEX($AM$4:$AW$4,MATCH(1,$AM591:$AW591,0)),"Multiple strategies"))</f>
        <v>SilvicultureRemov</v>
      </c>
      <c r="BG591" s="1" t="s">
        <v>322</v>
      </c>
      <c r="BH591" t="s">
        <v>2455</v>
      </c>
      <c r="BI591" s="260" t="s">
        <v>3401</v>
      </c>
      <c r="BJ591" t="s">
        <v>1325</v>
      </c>
      <c r="BK591">
        <v>1168.5023099755704</v>
      </c>
      <c r="BL591">
        <v>1304.0435025027948</v>
      </c>
      <c r="BM591" s="143">
        <f>BL591/BK591</f>
        <v>1.1159956564656326</v>
      </c>
      <c r="BN591">
        <f>BL591-BK591</f>
        <v>135.54119252722444</v>
      </c>
      <c r="BO591">
        <f>BN591*10^6</f>
        <v>135541192.52722445</v>
      </c>
      <c r="BP591" t="s">
        <v>233</v>
      </c>
      <c r="BQ591" s="260" t="s">
        <v>3403</v>
      </c>
      <c r="BR591" t="s">
        <v>1361</v>
      </c>
      <c r="BS591">
        <v>391.99006315946394</v>
      </c>
      <c r="BT591">
        <v>358.87863800000002</v>
      </c>
      <c r="BU591" s="144">
        <f>IFERROR(BT591/BS591,"")</f>
        <v>0.91552993743621003</v>
      </c>
      <c r="BV591" s="144">
        <f>BT591-BS591</f>
        <v>-33.11142515946392</v>
      </c>
      <c r="BW591" s="144"/>
      <c r="BX591">
        <f>BV591*10^6*C_to_CO2</f>
        <v>-121518930.33523259</v>
      </c>
      <c r="BY591">
        <f>IFERROR(BX591/BO591,"")</f>
        <v>-0.89654612055168847</v>
      </c>
      <c r="BZ591">
        <v>0</v>
      </c>
      <c r="CA591">
        <v>0</v>
      </c>
      <c r="CB591">
        <v>0</v>
      </c>
      <c r="CC591">
        <v>0</v>
      </c>
      <c r="CD591">
        <v>0</v>
      </c>
      <c r="CE591">
        <v>0</v>
      </c>
      <c r="CF591">
        <v>0</v>
      </c>
      <c r="CG591">
        <v>0</v>
      </c>
      <c r="CH591">
        <v>0</v>
      </c>
      <c r="CI591">
        <v>0</v>
      </c>
      <c r="CJ591">
        <v>0</v>
      </c>
      <c r="CK591">
        <v>0</v>
      </c>
      <c r="CL591">
        <v>0</v>
      </c>
      <c r="CM591">
        <v>0</v>
      </c>
      <c r="CN591" t="str">
        <f>IF($BL591&lt;$BK591,"refNeedCorrection","refOK")</f>
        <v>refOK</v>
      </c>
      <c r="CO591">
        <f>IF($CN591="refNeedCorrection",BL591,BK591)</f>
        <v>1168.5023099755704</v>
      </c>
      <c r="CP591">
        <f>IF($CN591="refNeedCorrection",BK591,BL591)</f>
        <v>1304.0435025027948</v>
      </c>
      <c r="CQ591">
        <f>IF($CN591="refOK",$BO591,-$BO591)</f>
        <v>135541192.52722445</v>
      </c>
      <c r="CR591">
        <f>IF($CN591="refOK",$BS591,$BT591)*IF($BP591="Emissions positive",-1,1)</f>
        <v>391.99006315946394</v>
      </c>
      <c r="CS591">
        <f>IF($CN591="refOK",$BT591,$BS591)*IF($BP591="Emissions positive",-1,1)</f>
        <v>358.87863800000002</v>
      </c>
      <c r="CT591">
        <f>IF($CN591="refNeedCorrection",-BX591,BX591)*IF($BP591="Emissions positive",-1,1)</f>
        <v>-121518930.33523259</v>
      </c>
      <c r="CU591">
        <f>IFERROR(CT591/CQ591,"")</f>
        <v>-0.89654612055168847</v>
      </c>
      <c r="CV591" s="2">
        <f>IFERROR((CS591-CR591)/ABS(CR591),"")</f>
        <v>-8.4470062563790013E-2</v>
      </c>
      <c r="CW591" s="1" t="s">
        <v>1205</v>
      </c>
      <c r="CX591" t="str">
        <f>IF(OR($CW591="prd",$CW591="std",$CW591="cit"),"loc",IF(OR($CW591="eur",$CW591="reg",$CW591="coy"),"reg",$CW591))</f>
        <v>reg</v>
      </c>
      <c r="CY591" t="s">
        <v>731</v>
      </c>
      <c r="CZ591">
        <v>2015</v>
      </c>
      <c r="DA591">
        <v>2040</v>
      </c>
      <c r="DB591">
        <f>DA591-CZ591</f>
        <v>25</v>
      </c>
      <c r="DC591" t="str">
        <f>IF(DB591=0,"0",IF(AND(DB591&gt;=1,DB591&lt;=30),"1-30",IF(AND(DB591&gt;30,DB591&lt;=70),"31-70",IF(AND(DB591&gt;70,DB591&lt;=100),"71-100",IF(DB591&gt;100,"+100")))))</f>
        <v>1-30</v>
      </c>
      <c r="DD591">
        <v>1</v>
      </c>
      <c r="DE591">
        <v>1</v>
      </c>
      <c r="DF591">
        <v>1</v>
      </c>
      <c r="DG591">
        <v>1</v>
      </c>
      <c r="DI591">
        <f>SUM(DD591:DG591)</f>
        <v>4</v>
      </c>
      <c r="DJ591" t="str">
        <f>IF(DI591=1,INDEX($DD$7:$DG$7,MATCH(1,$DD591:$DG591,0)),"mixedProduct")</f>
        <v>mixedProduct</v>
      </c>
      <c r="DK591" t="str">
        <f>IF(DD591=1,DK$7,0)</f>
        <v>Upstream</v>
      </c>
      <c r="DL591" t="str">
        <f>IF(DE591=1,DL$7,0)</f>
        <v>Energy</v>
      </c>
      <c r="DM591" t="str">
        <f>IF(DF591=1,DM$7,0)</f>
        <v>Pulp/Paper</v>
      </c>
      <c r="DN591" t="str">
        <f>IF(DG591=1,DN$7,0)</f>
        <v>Timber</v>
      </c>
      <c r="DO591">
        <v>0</v>
      </c>
      <c r="DP591">
        <v>1</v>
      </c>
      <c r="DQ591" t="s">
        <v>2462</v>
      </c>
      <c r="DR591" t="s">
        <v>2463</v>
      </c>
      <c r="DS591" t="s">
        <v>2463</v>
      </c>
      <c r="DT591">
        <f>SUM(DO591:DP591)</f>
        <v>1</v>
      </c>
      <c r="DU591" s="143" t="str">
        <f>IF(DO591=1,"self-calculated DF",IF(DP591=1,"external DF used","explicit C balance"))</f>
        <v>external DF used</v>
      </c>
      <c r="DV591">
        <v>0</v>
      </c>
      <c r="DW591">
        <v>1</v>
      </c>
      <c r="DX591">
        <v>1</v>
      </c>
      <c r="DY591">
        <v>1</v>
      </c>
      <c r="DZ591">
        <v>1</v>
      </c>
      <c r="EA591" s="143">
        <v>1</v>
      </c>
      <c r="EB591">
        <v>1</v>
      </c>
      <c r="EC591">
        <v>1</v>
      </c>
      <c r="ED591">
        <v>0</v>
      </c>
      <c r="EE591">
        <v>0</v>
      </c>
      <c r="EF591">
        <v>1</v>
      </c>
      <c r="EG591">
        <v>0</v>
      </c>
      <c r="EH591">
        <v>0</v>
      </c>
      <c r="EI591" s="2">
        <v>0</v>
      </c>
      <c r="EK591" t="str">
        <f>IF(AND(AND(AND(OR($DX591=1,$DW591=1),OR($EC591=1,$EA591=1)),SUM($DV591:$DZ591,$EF591)&gt;=4),SUM($EA591:$EE591)&gt;=2),"Whole sector","")</f>
        <v>Whole sector</v>
      </c>
      <c r="EL591" t="str">
        <f>IF(AND(AND(OR($DX591=1,$DW591=1),AND($EC591=0,$EA591=0)),SUM($DV591:$DZ591,$EF591)&gt;=4),"Ecosystem approach","")</f>
        <v/>
      </c>
      <c r="EM591" s="2" t="str">
        <f>IF(AND(AND(AND($DX591=0,$DW591=0),OR($EC591=1,$EA591=1)),SUM($EB591:$EE591)&gt;=2),"Technology approach","")</f>
        <v/>
      </c>
      <c r="EP591" t="str">
        <f>IF(ISNUMBER(BU591),IF(ABS(BU591-[4]QC_indicators!$B$2)&gt;3*[4]QC_indicators!$C$2,"C ratio",IF(ISNUMBER(BY591),IF(ABS(BY591-[4]QC_indicators!$B$1)&gt;3*[4]QC_indicators!$C$1,"DF","no"))),IF(ISNUMBER(BY591),IF(ABS(BY591-[4]QC_indicators!$B$1)&gt;3*[4]QC_indicators!$C$1,"DF","no")))</f>
        <v>no</v>
      </c>
      <c r="EQ591" t="s">
        <v>2380</v>
      </c>
      <c r="ET591" s="266" t="s">
        <v>3275</v>
      </c>
    </row>
    <row r="592" spans="1:150" ht="15" hidden="1" customHeight="1">
      <c r="A592" s="1" t="s">
        <v>1974</v>
      </c>
      <c r="B592" t="s">
        <v>2447</v>
      </c>
      <c r="C592" t="s">
        <v>2448</v>
      </c>
      <c r="D592" t="s">
        <v>2449</v>
      </c>
      <c r="E592" t="s">
        <v>2450</v>
      </c>
      <c r="F592" t="s">
        <v>2451</v>
      </c>
      <c r="G592" t="s">
        <v>1980</v>
      </c>
      <c r="H592" t="s">
        <v>255</v>
      </c>
      <c r="I592">
        <v>2018</v>
      </c>
      <c r="J592">
        <v>8</v>
      </c>
      <c r="K592" t="s">
        <v>2452</v>
      </c>
      <c r="M592" t="str">
        <f>LEFT($D592,FIND(",",$D592)-1)&amp;"_"&amp;I592&amp;L592</f>
        <v>Valade_2018</v>
      </c>
      <c r="N592" t="s">
        <v>223</v>
      </c>
      <c r="O592" s="145" t="s">
        <v>1156</v>
      </c>
      <c r="Q592" t="s">
        <v>257</v>
      </c>
      <c r="R592" s="255" t="s">
        <v>226</v>
      </c>
      <c r="S592" s="1" t="s">
        <v>2464</v>
      </c>
      <c r="T592" t="s">
        <v>2446</v>
      </c>
      <c r="U592" t="s">
        <v>2457</v>
      </c>
      <c r="V592">
        <v>0</v>
      </c>
      <c r="W592">
        <v>0</v>
      </c>
      <c r="X592">
        <v>0</v>
      </c>
      <c r="Y592">
        <v>1</v>
      </c>
      <c r="Z592">
        <v>0</v>
      </c>
      <c r="AA592">
        <v>0</v>
      </c>
      <c r="AB592">
        <v>0</v>
      </c>
      <c r="AC592">
        <v>0</v>
      </c>
      <c r="AD592">
        <v>0</v>
      </c>
      <c r="AE592">
        <v>0</v>
      </c>
      <c r="AF592">
        <v>0</v>
      </c>
      <c r="AG592">
        <v>0</v>
      </c>
      <c r="AH592">
        <v>0</v>
      </c>
      <c r="AI592">
        <v>0</v>
      </c>
      <c r="AJ592">
        <v>0</v>
      </c>
      <c r="AK592">
        <v>0</v>
      </c>
      <c r="AL592">
        <v>0</v>
      </c>
      <c r="AM592">
        <v>0</v>
      </c>
      <c r="AN592">
        <v>0</v>
      </c>
      <c r="AO592">
        <v>0</v>
      </c>
      <c r="AP592">
        <v>0</v>
      </c>
      <c r="AQ592">
        <v>0</v>
      </c>
      <c r="AR592">
        <v>0</v>
      </c>
      <c r="AS592">
        <v>0</v>
      </c>
      <c r="AT592">
        <v>0</v>
      </c>
      <c r="AU592">
        <v>0</v>
      </c>
      <c r="AV592">
        <v>0</v>
      </c>
      <c r="AW592">
        <v>0</v>
      </c>
      <c r="AX592" s="141">
        <f>COUNTIF(V592:AW592,"&lt;&gt;0")</f>
        <v>1</v>
      </c>
      <c r="AY592" s="141">
        <f>COUNTIF(V592:AL592,"&lt;&gt;0")</f>
        <v>1</v>
      </c>
      <c r="AZ592">
        <f>COUNTIF(V592:AC592,"&lt;&gt;0")</f>
        <v>1</v>
      </c>
      <c r="BA592">
        <f>COUNTIF(AD592:AI592,"&lt;&gt;0")</f>
        <v>0</v>
      </c>
      <c r="BB592">
        <f>COUNTIF(AJ592:AL592,"&lt;&gt;0")</f>
        <v>0</v>
      </c>
      <c r="BC592">
        <f>COUNTIF(AS592:AW592,"&lt;&gt;0")</f>
        <v>0</v>
      </c>
      <c r="BD592">
        <f>COUNTIF(AM592:AR592,"&lt;&gt;0")</f>
        <v>0</v>
      </c>
      <c r="BE592" t="str">
        <f t="array" ref="BE592">IF(AY592=1,INDEX($V$7:$AL$7,MATCH(TRUE,INDEX($V592:$AW592&lt;&gt;0,),0)),IF(AY592=0,INDEX($AM$7:$AW$7,MATCH(1,$AM592:$AW592,0)),IF(BF592="Multiple strategies","mixed drivers",IF(BF592="Supply chain","multiple supply","multiple silviculture"))))</f>
        <v xml:space="preserve">cutting intensity </v>
      </c>
      <c r="BF592" s="2" t="str" cm="1">
        <f t="array" ref="BF592">IF(COUNTIF(AZ592:BB592,"&lt;&gt;0")=1,INDEX($V$4:$AW$4,MATCH(TRUE,INDEX($V592:$AW592&lt;&gt;0,),0)),IF(COUNTIF(AZ592:BB592,"&lt;&gt;0")=0,INDEX($AM$4:$AW$4,MATCH(1,$AM592:$AW592,0)),"Multiple strategies"))</f>
        <v>SilvicultureRemov</v>
      </c>
      <c r="BG592" s="1" t="s">
        <v>322</v>
      </c>
      <c r="BH592" t="s">
        <v>2455</v>
      </c>
      <c r="BI592" s="260" t="s">
        <v>3401</v>
      </c>
      <c r="BJ592" t="s">
        <v>1325</v>
      </c>
      <c r="BK592">
        <v>1168.5023099755704</v>
      </c>
      <c r="BL592">
        <v>1304.0435025027948</v>
      </c>
      <c r="BM592" s="143">
        <f>BL592/BK592</f>
        <v>1.1159956564656326</v>
      </c>
      <c r="BN592">
        <f>BL592-BK592</f>
        <v>135.54119252722444</v>
      </c>
      <c r="BO592">
        <f>+BN592*1000000</f>
        <v>135541192.52722445</v>
      </c>
      <c r="BP592" t="s">
        <v>233</v>
      </c>
      <c r="BQ592" s="260" t="s">
        <v>3403</v>
      </c>
      <c r="BR592" t="s">
        <v>1361</v>
      </c>
      <c r="BS592">
        <v>391.990063159464</v>
      </c>
      <c r="BT592">
        <v>362.41157196968697</v>
      </c>
      <c r="BU592" s="144">
        <f>IFERROR(BT592/BS592,"")</f>
        <v>0.92454275256017315</v>
      </c>
      <c r="BV592" s="144">
        <f>BT592-BS592</f>
        <v>-29.578491189777026</v>
      </c>
      <c r="BW592" s="144"/>
      <c r="BX592">
        <f>BV592*10^6*C_to_CO2</f>
        <v>-108553062.66648167</v>
      </c>
      <c r="BY592">
        <f>IFERROR(BX592/BO592,"")</f>
        <v>-0.80088614127161373</v>
      </c>
      <c r="BZ592">
        <v>0</v>
      </c>
      <c r="CA592">
        <v>0</v>
      </c>
      <c r="CB592">
        <v>0</v>
      </c>
      <c r="CC592">
        <v>0</v>
      </c>
      <c r="CD592">
        <v>0</v>
      </c>
      <c r="CE592">
        <v>0</v>
      </c>
      <c r="CF592">
        <v>0</v>
      </c>
      <c r="CG592">
        <v>0</v>
      </c>
      <c r="CH592">
        <v>0</v>
      </c>
      <c r="CI592">
        <v>0</v>
      </c>
      <c r="CJ592">
        <v>0</v>
      </c>
      <c r="CK592">
        <v>0</v>
      </c>
      <c r="CL592">
        <v>0</v>
      </c>
      <c r="CM592">
        <v>0</v>
      </c>
      <c r="CN592" t="str">
        <f>IF($BL592&lt;$BK592,"refNeedCorrection","refOK")</f>
        <v>refOK</v>
      </c>
      <c r="CO592">
        <f>IF($CN592="refNeedCorrection",BL592,BK592)</f>
        <v>1168.5023099755704</v>
      </c>
      <c r="CP592">
        <f>IF($CN592="refNeedCorrection",BK592,BL592)</f>
        <v>1304.0435025027948</v>
      </c>
      <c r="CQ592">
        <f>IF($CN592="refOK",$BO592,-$BO592)</f>
        <v>135541192.52722445</v>
      </c>
      <c r="CR592">
        <f>IF($CN592="refOK",$BS592,$BT592)*IF($BP592="Emissions positive",-1,1)</f>
        <v>391.990063159464</v>
      </c>
      <c r="CS592">
        <f>IF($CN592="refOK",$BT592,$BS592)*IF($BP592="Emissions positive",-1,1)</f>
        <v>362.41157196968697</v>
      </c>
      <c r="CT592">
        <f>IF($CN592="refNeedCorrection",-BX592,BX592)*IF($BP592="Emissions positive",-1,1)</f>
        <v>-108553062.66648167</v>
      </c>
      <c r="CU592">
        <f>IFERROR(CT592/CQ592,"")</f>
        <v>-0.80088614127161373</v>
      </c>
      <c r="CV592" s="2">
        <f>IFERROR((CS592-CR592)/ABS(CR592),"")</f>
        <v>-7.5457247439826833E-2</v>
      </c>
      <c r="CW592" s="1" t="s">
        <v>1205</v>
      </c>
      <c r="CX592" t="str">
        <f>IF(OR($CW592="prd",$CW592="std",$CW592="cit"),"loc",IF(OR($CW592="eur",$CW592="reg",$CW592="coy"),"reg",$CW592))</f>
        <v>reg</v>
      </c>
      <c r="CY592" t="s">
        <v>731</v>
      </c>
      <c r="CZ592">
        <v>2015</v>
      </c>
      <c r="DA592">
        <v>2040</v>
      </c>
      <c r="DB592">
        <f>DA592-CZ592</f>
        <v>25</v>
      </c>
      <c r="DC592" t="str">
        <f>IF(DB592=0,"0",IF(AND(DB592&gt;=1,DB592&lt;=30),"1-30",IF(AND(DB592&gt;30,DB592&lt;=70),"31-70",IF(AND(DB592&gt;70,DB592&lt;=100),"71-100",IF(DB592&gt;100,"+100")))))</f>
        <v>1-30</v>
      </c>
      <c r="DD592">
        <v>1</v>
      </c>
      <c r="DE592">
        <v>1</v>
      </c>
      <c r="DF592">
        <v>1</v>
      </c>
      <c r="DG592">
        <v>1</v>
      </c>
      <c r="DI592">
        <f>SUM(DD592:DG592)</f>
        <v>4</v>
      </c>
      <c r="DJ592" t="str">
        <f>IF(DI592=1,INDEX($DD$7:$DG$7,MATCH(1,$DD592:$DG592,0)),"mixedProduct")</f>
        <v>mixedProduct</v>
      </c>
      <c r="DK592" t="str">
        <f>IF(DD592=1,DK$7,0)</f>
        <v>Upstream</v>
      </c>
      <c r="DL592" t="str">
        <f>IF(DE592=1,DL$7,0)</f>
        <v>Energy</v>
      </c>
      <c r="DM592" t="str">
        <f>IF(DF592=1,DM$7,0)</f>
        <v>Pulp/Paper</v>
      </c>
      <c r="DN592" t="str">
        <f>IF(DG592=1,DN$7,0)</f>
        <v>Timber</v>
      </c>
      <c r="DO592">
        <v>0</v>
      </c>
      <c r="DP592">
        <v>1</v>
      </c>
      <c r="DQ592" t="s">
        <v>2462</v>
      </c>
      <c r="DR592" t="s">
        <v>2463</v>
      </c>
      <c r="DS592" t="s">
        <v>2463</v>
      </c>
      <c r="DT592">
        <f>SUM(DO592:DP592)</f>
        <v>1</v>
      </c>
      <c r="DU592" s="143" t="str">
        <f>IF(DO592=1,"self-calculated DF",IF(DP592=1,"external DF used","explicit C balance"))</f>
        <v>external DF used</v>
      </c>
      <c r="DV592">
        <v>0</v>
      </c>
      <c r="DW592">
        <v>1</v>
      </c>
      <c r="DX592">
        <v>1</v>
      </c>
      <c r="DY592">
        <v>1</v>
      </c>
      <c r="DZ592">
        <v>1</v>
      </c>
      <c r="EA592" s="143">
        <v>1</v>
      </c>
      <c r="EB592">
        <v>1</v>
      </c>
      <c r="EC592">
        <v>1</v>
      </c>
      <c r="ED592">
        <v>0</v>
      </c>
      <c r="EE592">
        <v>0</v>
      </c>
      <c r="EF592">
        <v>1</v>
      </c>
      <c r="EG592">
        <v>0</v>
      </c>
      <c r="EH592">
        <v>0</v>
      </c>
      <c r="EI592" s="2">
        <v>0</v>
      </c>
      <c r="EK592" t="str">
        <f>IF(AND(AND(AND(OR($DX592=1,$DW592=1),OR($EC592=1,$EA592=1)),SUM($DV592:$DZ592,$EF592)&gt;=4),SUM($EA592:$EE592)&gt;=2),"Whole sector","")</f>
        <v>Whole sector</v>
      </c>
      <c r="EL592" t="str">
        <f>IF(AND(AND(OR($DX592=1,$DW592=1),AND($EC592=0,$EA592=0)),SUM($DV592:$DZ592,$EF592)&gt;=4),"Ecosystem approach","")</f>
        <v/>
      </c>
      <c r="EM592" s="2" t="str">
        <f>IF(AND(AND(AND($DX592=0,$DW592=0),OR($EC592=1,$EA592=1)),SUM($EB592:$EE592)&gt;=2),"Technology approach","")</f>
        <v/>
      </c>
      <c r="EP592" t="str">
        <f>IF(ISNUMBER(BU592),IF(ABS(BU592-[4]QC_indicators!$B$2)&gt;3*[4]QC_indicators!$C$2,"C ratio",IF(ISNUMBER(BY592),IF(ABS(BY592-[4]QC_indicators!$B$1)&gt;3*[4]QC_indicators!$C$1,"DF","no"))),IF(ISNUMBER(BY592),IF(ABS(BY592-[4]QC_indicators!$B$1)&gt;3*[4]QC_indicators!$C$1,"DF","no")))</f>
        <v>no</v>
      </c>
      <c r="ET592" s="266" t="s">
        <v>3275</v>
      </c>
    </row>
    <row r="593" spans="1:150" ht="15" customHeight="1">
      <c r="A593" s="1" t="s">
        <v>1762</v>
      </c>
      <c r="B593" t="s">
        <v>1763</v>
      </c>
      <c r="C593" t="s">
        <v>1764</v>
      </c>
      <c r="D593" t="s">
        <v>1765</v>
      </c>
      <c r="E593" t="s">
        <v>1766</v>
      </c>
      <c r="F593" t="s">
        <v>1767</v>
      </c>
      <c r="G593" t="s">
        <v>1768</v>
      </c>
      <c r="H593" t="s">
        <v>255</v>
      </c>
      <c r="I593">
        <v>2021</v>
      </c>
      <c r="J593">
        <v>6</v>
      </c>
      <c r="K593" t="s">
        <v>1769</v>
      </c>
      <c r="M593" t="str">
        <f>LEFT($D593,FIND(",",$D593)-1)&amp;"_"&amp;I593&amp;L593</f>
        <v>Jonsson_2021</v>
      </c>
      <c r="N593" t="s">
        <v>223</v>
      </c>
      <c r="O593" s="145" t="s">
        <v>514</v>
      </c>
      <c r="Q593" t="s">
        <v>257</v>
      </c>
      <c r="R593" s="2" t="s">
        <v>275</v>
      </c>
      <c r="S593" s="1" t="s">
        <v>1776</v>
      </c>
      <c r="T593" t="s">
        <v>1113</v>
      </c>
      <c r="U593" t="s">
        <v>1777</v>
      </c>
      <c r="V593">
        <v>0</v>
      </c>
      <c r="W593">
        <v>1</v>
      </c>
      <c r="X593">
        <v>0</v>
      </c>
      <c r="Y593">
        <v>0</v>
      </c>
      <c r="Z593">
        <v>0</v>
      </c>
      <c r="AA593">
        <v>0</v>
      </c>
      <c r="AB593">
        <v>0</v>
      </c>
      <c r="AC593">
        <v>0</v>
      </c>
      <c r="AD593">
        <v>0</v>
      </c>
      <c r="AE593">
        <v>0</v>
      </c>
      <c r="AF593">
        <v>2</v>
      </c>
      <c r="AG593">
        <v>0</v>
      </c>
      <c r="AH593">
        <v>0</v>
      </c>
      <c r="AI593">
        <v>0</v>
      </c>
      <c r="AJ593">
        <v>0</v>
      </c>
      <c r="AK593">
        <v>0</v>
      </c>
      <c r="AL593">
        <v>0</v>
      </c>
      <c r="AM593">
        <v>0</v>
      </c>
      <c r="AN593">
        <v>0</v>
      </c>
      <c r="AO593">
        <v>0</v>
      </c>
      <c r="AP593">
        <v>0</v>
      </c>
      <c r="AQ593">
        <v>0</v>
      </c>
      <c r="AR593">
        <v>0</v>
      </c>
      <c r="AS593">
        <v>0</v>
      </c>
      <c r="AT593">
        <v>0</v>
      </c>
      <c r="AU593">
        <v>0</v>
      </c>
      <c r="AV593">
        <v>0</v>
      </c>
      <c r="AW593">
        <v>0</v>
      </c>
      <c r="AX593" s="141">
        <f>COUNTIF(V593:AW593,"&lt;&gt;0")</f>
        <v>2</v>
      </c>
      <c r="AY593" s="141">
        <f>COUNTIF(V593:AL593,"&lt;&gt;0")</f>
        <v>2</v>
      </c>
      <c r="AZ593">
        <f>COUNTIF(V593:AC593,"&lt;&gt;0")</f>
        <v>1</v>
      </c>
      <c r="BA593">
        <f>COUNTIF(AD593:AI593,"&lt;&gt;0")</f>
        <v>1</v>
      </c>
      <c r="BB593">
        <f>COUNTIF(AJ593:AL593,"&lt;&gt;0")</f>
        <v>0</v>
      </c>
      <c r="BC593">
        <f>COUNTIF(AS593:AW593,"&lt;&gt;0")</f>
        <v>0</v>
      </c>
      <c r="BD593">
        <f>COUNTIF(AM593:AR593,"&lt;&gt;0")</f>
        <v>0</v>
      </c>
      <c r="BE593" t="str">
        <f t="array" ref="BE593">IF(AY593=1,INDEX($V$7:$AL$7,MATCH(TRUE,INDEX($V593:$AW593&lt;&gt;0,),0)),IF(AY593=0,INDEX($AM$7:$AW$7,MATCH(1,$AM593:$AW593,0)),IF(BF593="Multiple strategies","mixed drivers",IF(BF593="Supply chain","multiple supply","multiple silviculture"))))</f>
        <v>mixed drivers</v>
      </c>
      <c r="BF593" s="2" t="str">
        <f t="array" ref="BF593">IF(COUNTIF(AZ593:BB593,"&lt;&gt;0")=1,INDEX($V$4:$AW$4,MATCH(TRUE,INDEX($V593:$AW593&lt;&gt;0,),0)),IF(COUNTIF(AZ593:BB593,"&lt;&gt;0")=0,INDEX($AM$4:$AW$4,MATCH(1,$AM593:$AW593,0)),"Multiple strategies"))</f>
        <v>Multiple strategies</v>
      </c>
      <c r="BG593" s="1" t="s">
        <v>230</v>
      </c>
      <c r="BH593" t="s">
        <v>230</v>
      </c>
      <c r="BI593" s="266" t="s">
        <v>2130</v>
      </c>
      <c r="BJ593" t="s">
        <v>1772</v>
      </c>
      <c r="BK593">
        <v>284950</v>
      </c>
      <c r="BL593">
        <v>333260</v>
      </c>
      <c r="BM593" t="e">
        <f>#REF!</f>
        <v>#REF!</v>
      </c>
      <c r="BN593">
        <f>BL593-BK593</f>
        <v>48310</v>
      </c>
      <c r="BO593">
        <f>BN593*1000</f>
        <v>48310000</v>
      </c>
      <c r="BP593" t="s">
        <v>233</v>
      </c>
      <c r="BQ593" t="s">
        <v>3271</v>
      </c>
      <c r="BR593" t="s">
        <v>1302</v>
      </c>
      <c r="BS593">
        <v>367</v>
      </c>
      <c r="BT593">
        <v>273</v>
      </c>
      <c r="BU593" s="144">
        <f>IFERROR(BT593/BS593,"")</f>
        <v>0.7438692098092643</v>
      </c>
      <c r="BV593">
        <f>BT593-BS593</f>
        <v>-94</v>
      </c>
      <c r="BX593">
        <f>BV593*10^6</f>
        <v>-94000000</v>
      </c>
      <c r="BY593">
        <f>IFERROR(BX593/BO593,"")</f>
        <v>-1.9457669219623266</v>
      </c>
      <c r="BZ593">
        <v>0</v>
      </c>
      <c r="CA593">
        <v>0</v>
      </c>
      <c r="CB593">
        <v>0</v>
      </c>
      <c r="CC593">
        <v>0</v>
      </c>
      <c r="CD593">
        <v>0</v>
      </c>
      <c r="CE593">
        <v>0</v>
      </c>
      <c r="CF593">
        <v>0</v>
      </c>
      <c r="CG593">
        <v>0</v>
      </c>
      <c r="CH593">
        <v>0</v>
      </c>
      <c r="CI593">
        <v>0</v>
      </c>
      <c r="CJ593">
        <v>0</v>
      </c>
      <c r="CK593">
        <v>0</v>
      </c>
      <c r="CL593">
        <v>0</v>
      </c>
      <c r="CM593">
        <v>1</v>
      </c>
      <c r="CN593" t="str">
        <f>IF($BL593&lt;$BK593,"refNeedCorrection","refOK")</f>
        <v>refOK</v>
      </c>
      <c r="CO593">
        <f>IF($CN593="refNeedCorrection",BL593,BK593)</f>
        <v>284950</v>
      </c>
      <c r="CP593">
        <f>IF($CN593="refNeedCorrection",BK593,BL593)</f>
        <v>333260</v>
      </c>
      <c r="CQ593">
        <f>IF($CN593="refOK",$BO593,-$BO593)</f>
        <v>48310000</v>
      </c>
      <c r="CR593">
        <f>IF($CN593="refOK",$BS593,$BT593)*IF($BP593="Emissions positive",-1,1)</f>
        <v>367</v>
      </c>
      <c r="CS593">
        <f>IF($CN593="refOK",$BT593,$BS593)*IF($BP593="Emissions positive",-1,1)</f>
        <v>273</v>
      </c>
      <c r="CT593">
        <f>IF($CN593="refNeedCorrection",-BX593,BX593)*IF($BP593="Emissions positive",-1,1)</f>
        <v>-94000000</v>
      </c>
      <c r="CU593">
        <f>IFERROR(CT593/CQ593,"")</f>
        <v>-1.9457669219623266</v>
      </c>
      <c r="CV593" s="2">
        <f>IFERROR((CS593-CR593)/ABS(CR593),"")</f>
        <v>-0.2561307901907357</v>
      </c>
      <c r="CW593" s="1" t="s">
        <v>1233</v>
      </c>
      <c r="CX593" t="str">
        <f>IF(OR($CW593="prd",$CW593="std",$CW593="cit"),"loc",IF(OR($CW593="eur",$CW593="reg",$CW593="coy"),"reg",$CW593))</f>
        <v>reg</v>
      </c>
      <c r="CY593" t="s">
        <v>745</v>
      </c>
      <c r="CZ593">
        <v>2000</v>
      </c>
      <c r="DA593">
        <v>2030</v>
      </c>
      <c r="DB593">
        <v>30</v>
      </c>
      <c r="DC593" t="str">
        <f>IF(DB593=0,"0",IF(AND(DB593&gt;=1,DB593&lt;=30),"1-30",IF(AND(DB593&gt;30,DB593&lt;=70),"31-70",IF(AND(DB593&gt;70,DB593&lt;=100),"71-100",IF(DB593&gt;100,"+100")))))</f>
        <v>1-30</v>
      </c>
      <c r="DD593">
        <v>0</v>
      </c>
      <c r="DE593">
        <v>1</v>
      </c>
      <c r="DF593">
        <v>0</v>
      </c>
      <c r="DG593">
        <v>1</v>
      </c>
      <c r="DH593">
        <v>1</v>
      </c>
      <c r="DI593">
        <f>SUM(DD593:DG593)</f>
        <v>2</v>
      </c>
      <c r="DJ593" t="str">
        <f>IF(DI593=1,INDEX($DD$7:$DG$7,MATCH(1,$DD593:$DG593,0)),"mixedProduct")</f>
        <v>mixedProduct</v>
      </c>
      <c r="DK593">
        <f>IF(DD593=1,DK$7,0)</f>
        <v>0</v>
      </c>
      <c r="DL593" t="str">
        <f>IF(DE593=1,DL$7,0)</f>
        <v>Energy</v>
      </c>
      <c r="DM593">
        <f>IF(DF593=1,DM$7,0)</f>
        <v>0</v>
      </c>
      <c r="DN593" t="str">
        <f>IF(DG593=1,DN$7,0)</f>
        <v>Timber</v>
      </c>
      <c r="DO593">
        <v>0</v>
      </c>
      <c r="DP593">
        <v>1</v>
      </c>
      <c r="DQ593" t="s">
        <v>1773</v>
      </c>
      <c r="DR593" t="s">
        <v>1773</v>
      </c>
      <c r="DS593">
        <v>0</v>
      </c>
      <c r="DT593">
        <f>SUM(DO593:DP593)</f>
        <v>1</v>
      </c>
      <c r="DU593" s="143" t="str">
        <f>IF(DO593=1,"self-calculated DF",IF(DP593=1,"external DF used","explicit C balance"))</f>
        <v>external DF used</v>
      </c>
      <c r="DV593">
        <v>1</v>
      </c>
      <c r="DW593">
        <v>0</v>
      </c>
      <c r="DX593">
        <v>1</v>
      </c>
      <c r="DY593">
        <v>1</v>
      </c>
      <c r="DZ593">
        <v>0</v>
      </c>
      <c r="EA593" s="143">
        <v>0</v>
      </c>
      <c r="EB593">
        <v>0</v>
      </c>
      <c r="EC593">
        <v>0</v>
      </c>
      <c r="ED593">
        <v>0</v>
      </c>
      <c r="EE593">
        <v>0</v>
      </c>
      <c r="EF593">
        <v>1</v>
      </c>
      <c r="EG593">
        <v>0</v>
      </c>
      <c r="EH593">
        <v>0</v>
      </c>
      <c r="EI593" s="2">
        <v>0</v>
      </c>
      <c r="EJ593" s="1" t="s">
        <v>1774</v>
      </c>
      <c r="EK593" t="str">
        <f>IF(AND(AND(AND(OR($DX593=1,$DW593=1),OR($EC593=1,$EA593=1)),SUM($DV593:$DZ593,$EF593)&gt;=4),SUM($EA593:$EE593)&gt;=2),"Whole sector","")</f>
        <v/>
      </c>
      <c r="EL593" t="str">
        <f>IF(AND(AND(OR($DX593=1,$DW593=1),AND($EC593=0,$EA593=0)),SUM($DV593:$DZ593,$EF593)&gt;=4),"Ecosystem approach","")</f>
        <v>Ecosystem approach</v>
      </c>
      <c r="EM593" s="2" t="str">
        <f>IF(AND(AND(AND($DX593=0,$DW593=0),OR($EC593=1,$EA593=1)),SUM($EB593:$EE593)&gt;=2),"Technology approach","")</f>
        <v/>
      </c>
      <c r="EP593" t="str">
        <f>IF(ISNUMBER(BU593),IF(ABS(BU593-[3]QC_indicators!$B$2)&gt;3*[3]QC_indicators!$C$2,"C ratio",IF(ISNUMBER(BY593),IF(ABS(BY593-[3]QC_indicators!$B$1)&gt;3*[3]QC_indicators!$C$1,"DF","no"))),IF(ISNUMBER(BY593),IF(ABS(BY593-[3]QC_indicators!$B$1)&gt;3*[3]QC_indicators!$C$1,"DF","no")))</f>
        <v>no</v>
      </c>
      <c r="ET593" s="266" t="s">
        <v>3272</v>
      </c>
    </row>
    <row r="594" spans="1:150" ht="15" customHeight="1">
      <c r="A594" s="1" t="s">
        <v>1762</v>
      </c>
      <c r="B594" t="s">
        <v>1763</v>
      </c>
      <c r="C594" t="s">
        <v>1764</v>
      </c>
      <c r="D594" t="s">
        <v>1765</v>
      </c>
      <c r="E594" t="s">
        <v>1766</v>
      </c>
      <c r="F594" t="s">
        <v>1767</v>
      </c>
      <c r="G594" t="s">
        <v>1768</v>
      </c>
      <c r="H594" t="s">
        <v>255</v>
      </c>
      <c r="I594">
        <v>2021</v>
      </c>
      <c r="J594">
        <v>6</v>
      </c>
      <c r="K594" t="s">
        <v>1769</v>
      </c>
      <c r="M594" t="str">
        <f>LEFT($D594,FIND(",",$D594)-1)&amp;"_"&amp;I594&amp;L594</f>
        <v>Jonsson_2021</v>
      </c>
      <c r="N594" t="s">
        <v>223</v>
      </c>
      <c r="O594" s="145" t="s">
        <v>514</v>
      </c>
      <c r="Q594" t="s">
        <v>257</v>
      </c>
      <c r="R594" s="2" t="s">
        <v>275</v>
      </c>
      <c r="S594" s="1" t="s">
        <v>1779</v>
      </c>
      <c r="T594" t="s">
        <v>1113</v>
      </c>
      <c r="U594" t="s">
        <v>1780</v>
      </c>
      <c r="V594">
        <v>0</v>
      </c>
      <c r="W594">
        <v>1</v>
      </c>
      <c r="X594">
        <v>0</v>
      </c>
      <c r="Y594">
        <v>0</v>
      </c>
      <c r="Z594">
        <v>0</v>
      </c>
      <c r="AA594">
        <v>0</v>
      </c>
      <c r="AB594">
        <v>0</v>
      </c>
      <c r="AC594">
        <v>0</v>
      </c>
      <c r="AD594">
        <v>0</v>
      </c>
      <c r="AE594">
        <v>0</v>
      </c>
      <c r="AF594">
        <v>2</v>
      </c>
      <c r="AG594">
        <v>0</v>
      </c>
      <c r="AH594">
        <v>0</v>
      </c>
      <c r="AI594">
        <v>0</v>
      </c>
      <c r="AJ594">
        <v>0</v>
      </c>
      <c r="AK594">
        <v>0</v>
      </c>
      <c r="AL594">
        <v>0</v>
      </c>
      <c r="AM594">
        <v>0</v>
      </c>
      <c r="AN594">
        <v>0</v>
      </c>
      <c r="AO594">
        <v>0</v>
      </c>
      <c r="AP594">
        <v>0</v>
      </c>
      <c r="AQ594">
        <v>0</v>
      </c>
      <c r="AR594">
        <v>0</v>
      </c>
      <c r="AS594">
        <v>0</v>
      </c>
      <c r="AT594">
        <v>0</v>
      </c>
      <c r="AU594">
        <v>0</v>
      </c>
      <c r="AV594">
        <v>0</v>
      </c>
      <c r="AW594">
        <v>0</v>
      </c>
      <c r="AX594" s="141">
        <f>COUNTIF(V594:AW594,"&lt;&gt;0")</f>
        <v>2</v>
      </c>
      <c r="AY594" s="141">
        <f>COUNTIF(V594:AL594,"&lt;&gt;0")</f>
        <v>2</v>
      </c>
      <c r="AZ594">
        <f>COUNTIF(V594:AC594,"&lt;&gt;0")</f>
        <v>1</v>
      </c>
      <c r="BA594">
        <f>COUNTIF(AD594:AI594,"&lt;&gt;0")</f>
        <v>1</v>
      </c>
      <c r="BB594">
        <f>COUNTIF(AJ594:AL594,"&lt;&gt;0")</f>
        <v>0</v>
      </c>
      <c r="BC594">
        <f>COUNTIF(AS594:AW594,"&lt;&gt;0")</f>
        <v>0</v>
      </c>
      <c r="BD594">
        <f>COUNTIF(AM594:AR594,"&lt;&gt;0")</f>
        <v>0</v>
      </c>
      <c r="BE594" t="str">
        <f t="array" ref="BE594">IF(AY594=1,INDEX($V$7:$AL$7,MATCH(TRUE,INDEX($V594:$AW594&lt;&gt;0,),0)),IF(AY594=0,INDEX($AM$7:$AW$7,MATCH(1,$AM594:$AW594,0)),IF(BF594="Multiple strategies","mixed drivers",IF(BF594="Supply chain","multiple supply","multiple silviculture"))))</f>
        <v>mixed drivers</v>
      </c>
      <c r="BF594" s="2" t="str">
        <f t="array" ref="BF594">IF(COUNTIF(AZ594:BB594,"&lt;&gt;0")=1,INDEX($V$4:$AW$4,MATCH(TRUE,INDEX($V594:$AW594&lt;&gt;0,),0)),IF(COUNTIF(AZ594:BB594,"&lt;&gt;0")=0,INDEX($AM$4:$AW$4,MATCH(1,$AM594:$AW594,0)),"Multiple strategies"))</f>
        <v>Multiple strategies</v>
      </c>
      <c r="BG594" s="1" t="s">
        <v>230</v>
      </c>
      <c r="BH594" t="s">
        <v>230</v>
      </c>
      <c r="BI594" s="266" t="s">
        <v>2130</v>
      </c>
      <c r="BJ594" t="s">
        <v>1772</v>
      </c>
      <c r="BK594">
        <v>284950</v>
      </c>
      <c r="BL594">
        <v>286950</v>
      </c>
      <c r="BM594" t="e">
        <f>#REF!</f>
        <v>#REF!</v>
      </c>
      <c r="BN594">
        <f>BL594-BK594</f>
        <v>2000</v>
      </c>
      <c r="BO594">
        <f>BN594*1000</f>
        <v>2000000</v>
      </c>
      <c r="BP594" t="s">
        <v>233</v>
      </c>
      <c r="BQ594" t="s">
        <v>3271</v>
      </c>
      <c r="BR594" t="s">
        <v>1302</v>
      </c>
      <c r="BS594">
        <v>367</v>
      </c>
      <c r="BT594">
        <v>359</v>
      </c>
      <c r="BU594" s="144">
        <f>IFERROR(BT594/BS594,"")</f>
        <v>0.97820163487738421</v>
      </c>
      <c r="BV594">
        <f>BT594-BS594</f>
        <v>-8</v>
      </c>
      <c r="BX594">
        <f>BV594*10^6</f>
        <v>-8000000</v>
      </c>
      <c r="BY594">
        <f>IFERROR(BX594/BO594,"")</f>
        <v>-4</v>
      </c>
      <c r="BZ594">
        <v>0</v>
      </c>
      <c r="CA594">
        <v>0</v>
      </c>
      <c r="CB594">
        <v>0</v>
      </c>
      <c r="CC594">
        <v>0</v>
      </c>
      <c r="CD594">
        <v>0</v>
      </c>
      <c r="CE594">
        <v>0</v>
      </c>
      <c r="CF594">
        <v>0</v>
      </c>
      <c r="CG594">
        <v>0</v>
      </c>
      <c r="CH594">
        <v>0</v>
      </c>
      <c r="CI594">
        <v>0</v>
      </c>
      <c r="CJ594">
        <v>0</v>
      </c>
      <c r="CK594">
        <v>0</v>
      </c>
      <c r="CL594">
        <v>0</v>
      </c>
      <c r="CM594">
        <v>1</v>
      </c>
      <c r="CN594" t="str">
        <f>IF($BL594&lt;$BK594,"refNeedCorrection","refOK")</f>
        <v>refOK</v>
      </c>
      <c r="CO594">
        <f>IF($CN594="refNeedCorrection",BL594,BK594)</f>
        <v>284950</v>
      </c>
      <c r="CP594">
        <f>IF($CN594="refNeedCorrection",BK594,BL594)</f>
        <v>286950</v>
      </c>
      <c r="CQ594">
        <f>IF($CN594="refOK",$BO594,-$BO594)</f>
        <v>2000000</v>
      </c>
      <c r="CR594">
        <f>IF($CN594="refOK",$BS594,$BT594)*IF($BP594="Emissions positive",-1,1)</f>
        <v>367</v>
      </c>
      <c r="CS594">
        <f>IF($CN594="refOK",$BT594,$BS594)*IF($BP594="Emissions positive",-1,1)</f>
        <v>359</v>
      </c>
      <c r="CT594">
        <f>IF($CN594="refNeedCorrection",-BX594,BX594)*IF($BP594="Emissions positive",-1,1)</f>
        <v>-8000000</v>
      </c>
      <c r="CU594">
        <f>IFERROR(CT594/CQ594,"")</f>
        <v>-4</v>
      </c>
      <c r="CV594" s="2">
        <f>IFERROR((CS594-CR594)/ABS(CR594),"")</f>
        <v>-2.1798365122615803E-2</v>
      </c>
      <c r="CW594" s="1" t="s">
        <v>1233</v>
      </c>
      <c r="CX594" t="str">
        <f>IF(OR($CW594="prd",$CW594="std",$CW594="cit"),"loc",IF(OR($CW594="eur",$CW594="reg",$CW594="coy"),"reg",$CW594))</f>
        <v>reg</v>
      </c>
      <c r="CY594" t="s">
        <v>745</v>
      </c>
      <c r="CZ594">
        <v>2000</v>
      </c>
      <c r="DA594">
        <v>2030</v>
      </c>
      <c r="DB594">
        <v>30</v>
      </c>
      <c r="DC594" t="str">
        <f>IF(DB594=0,"0",IF(AND(DB594&gt;=1,DB594&lt;=30),"1-30",IF(AND(DB594&gt;30,DB594&lt;=70),"31-70",IF(AND(DB594&gt;70,DB594&lt;=100),"71-100",IF(DB594&gt;100,"+100")))))</f>
        <v>1-30</v>
      </c>
      <c r="DD594">
        <v>0</v>
      </c>
      <c r="DE594">
        <v>1</v>
      </c>
      <c r="DF594">
        <v>0</v>
      </c>
      <c r="DG594">
        <v>0</v>
      </c>
      <c r="DH594">
        <v>1</v>
      </c>
      <c r="DI594">
        <f>SUM(DD594:DG594)</f>
        <v>1</v>
      </c>
      <c r="DJ594" t="str">
        <f>IF(DI594=1,INDEX($DD$7:$DG$7,MATCH(1,$DD594:$DG594,0)),"mixedProduct")</f>
        <v>EnergyInput</v>
      </c>
      <c r="DK594">
        <f>IF(DD594=1,DK$7,0)</f>
        <v>0</v>
      </c>
      <c r="DL594" t="str">
        <f>IF(DE594=1,DL$7,0)</f>
        <v>Energy</v>
      </c>
      <c r="DM594">
        <f>IF(DF594=1,DM$7,0)</f>
        <v>0</v>
      </c>
      <c r="DN594">
        <f>IF(DG594=1,DN$7,0)</f>
        <v>0</v>
      </c>
      <c r="DO594">
        <v>0</v>
      </c>
      <c r="DP594">
        <v>1</v>
      </c>
      <c r="DQ594" t="s">
        <v>1773</v>
      </c>
      <c r="DR594" t="s">
        <v>1773</v>
      </c>
      <c r="DS594">
        <v>0</v>
      </c>
      <c r="DT594">
        <f>SUM(DO594:DP594)</f>
        <v>1</v>
      </c>
      <c r="DU594" s="143" t="str">
        <f>IF(DO594=1,"self-calculated DF",IF(DP594=1,"external DF used","explicit C balance"))</f>
        <v>external DF used</v>
      </c>
      <c r="DV594">
        <v>1</v>
      </c>
      <c r="DW594">
        <v>0</v>
      </c>
      <c r="DX594">
        <v>1</v>
      </c>
      <c r="DY594">
        <v>1</v>
      </c>
      <c r="DZ594">
        <v>0</v>
      </c>
      <c r="EA594" s="143">
        <v>0</v>
      </c>
      <c r="EB594">
        <v>0</v>
      </c>
      <c r="EC594">
        <v>0</v>
      </c>
      <c r="ED594">
        <v>0</v>
      </c>
      <c r="EE594">
        <v>0</v>
      </c>
      <c r="EF594">
        <v>1</v>
      </c>
      <c r="EG594">
        <v>0</v>
      </c>
      <c r="EH594">
        <v>0</v>
      </c>
      <c r="EI594" s="2">
        <v>0</v>
      </c>
      <c r="EJ594" s="1" t="s">
        <v>1774</v>
      </c>
      <c r="EK594" t="str">
        <f>IF(AND(AND(AND(OR($DX594=1,$DW594=1),OR($EC594=1,$EA594=1)),SUM($DV594:$DZ594,$EF594)&gt;=4),SUM($EA594:$EE594)&gt;=2),"Whole sector","")</f>
        <v/>
      </c>
      <c r="EL594" t="str">
        <f>IF(AND(AND(OR($DX594=1,$DW594=1),AND($EC594=0,$EA594=0)),SUM($DV594:$DZ594,$EF594)&gt;=4),"Ecosystem approach","")</f>
        <v>Ecosystem approach</v>
      </c>
      <c r="EM594" s="2" t="str">
        <f>IF(AND(AND(AND($DX594=0,$DW594=0),OR($EC594=1,$EA594=1)),SUM($EB594:$EE594)&gt;=2),"Technology approach","")</f>
        <v/>
      </c>
      <c r="EP594" t="str">
        <f>IF(ISNUMBER(BU594),IF(ABS(BU594-[3]QC_indicators!$B$2)&gt;3*[3]QC_indicators!$C$2,"C ratio",IF(ISNUMBER(BY594),IF(ABS(BY594-[3]QC_indicators!$B$1)&gt;3*[3]QC_indicators!$C$1,"DF","no"))),IF(ISNUMBER(BY594),IF(ABS(BY594-[3]QC_indicators!$B$1)&gt;3*[3]QC_indicators!$C$1,"DF","no")))</f>
        <v>no</v>
      </c>
      <c r="ET594" s="266" t="s">
        <v>3153</v>
      </c>
    </row>
    <row r="595" spans="1:150" ht="15" hidden="1" customHeight="1">
      <c r="A595" s="1" t="s">
        <v>1974</v>
      </c>
      <c r="B595" t="s">
        <v>2447</v>
      </c>
      <c r="C595" t="s">
        <v>2448</v>
      </c>
      <c r="D595" t="s">
        <v>2449</v>
      </c>
      <c r="E595" t="s">
        <v>2450</v>
      </c>
      <c r="F595" t="s">
        <v>2451</v>
      </c>
      <c r="G595" t="s">
        <v>1980</v>
      </c>
      <c r="H595" t="s">
        <v>255</v>
      </c>
      <c r="I595">
        <v>2018</v>
      </c>
      <c r="J595">
        <v>8</v>
      </c>
      <c r="K595" t="s">
        <v>2452</v>
      </c>
      <c r="M595" t="str">
        <f>LEFT($D595,FIND(",",$D595)-1)&amp;"_"&amp;I595&amp;L595</f>
        <v>Valade_2018</v>
      </c>
      <c r="N595" t="s">
        <v>223</v>
      </c>
      <c r="O595" s="145" t="s">
        <v>1156</v>
      </c>
      <c r="Q595" t="s">
        <v>257</v>
      </c>
      <c r="R595" s="255" t="s">
        <v>226</v>
      </c>
      <c r="S595" s="1" t="s">
        <v>2458</v>
      </c>
      <c r="T595" t="s">
        <v>2446</v>
      </c>
      <c r="U595" t="s">
        <v>2459</v>
      </c>
      <c r="V595">
        <v>0</v>
      </c>
      <c r="W595">
        <v>0</v>
      </c>
      <c r="X595">
        <v>1</v>
      </c>
      <c r="Y595">
        <v>0</v>
      </c>
      <c r="Z595">
        <v>0</v>
      </c>
      <c r="AA595">
        <v>0</v>
      </c>
      <c r="AB595">
        <v>0</v>
      </c>
      <c r="AC595">
        <v>0</v>
      </c>
      <c r="AD595">
        <v>0</v>
      </c>
      <c r="AE595">
        <v>0</v>
      </c>
      <c r="AF595">
        <v>0</v>
      </c>
      <c r="AG595">
        <v>0</v>
      </c>
      <c r="AH595">
        <v>0</v>
      </c>
      <c r="AI595">
        <v>0</v>
      </c>
      <c r="AJ595">
        <v>0</v>
      </c>
      <c r="AK595">
        <v>0</v>
      </c>
      <c r="AL595">
        <v>0</v>
      </c>
      <c r="AM595">
        <v>0</v>
      </c>
      <c r="AN595">
        <v>0</v>
      </c>
      <c r="AO595">
        <v>0</v>
      </c>
      <c r="AP595">
        <v>0</v>
      </c>
      <c r="AQ595">
        <v>0</v>
      </c>
      <c r="AR595">
        <v>0</v>
      </c>
      <c r="AS595">
        <v>0</v>
      </c>
      <c r="AT595">
        <v>0</v>
      </c>
      <c r="AU595">
        <v>0</v>
      </c>
      <c r="AV595">
        <v>0</v>
      </c>
      <c r="AW595">
        <v>0</v>
      </c>
      <c r="AX595" s="141">
        <f>COUNTIF(V595:AW595,"&lt;&gt;0")</f>
        <v>1</v>
      </c>
      <c r="AY595" s="141">
        <f>COUNTIF(V595:AL595,"&lt;&gt;0")</f>
        <v>1</v>
      </c>
      <c r="AZ595">
        <f>COUNTIF(V595:AC595,"&lt;&gt;0")</f>
        <v>1</v>
      </c>
      <c r="BA595">
        <f>COUNTIF(AD595:AI595,"&lt;&gt;0")</f>
        <v>0</v>
      </c>
      <c r="BB595">
        <f>COUNTIF(AJ595:AL595,"&lt;&gt;0")</f>
        <v>0</v>
      </c>
      <c r="BC595">
        <f>COUNTIF(AS595:AW595,"&lt;&gt;0")</f>
        <v>0</v>
      </c>
      <c r="BD595">
        <f>COUNTIF(AM595:AR595,"&lt;&gt;0")</f>
        <v>0</v>
      </c>
      <c r="BE595" t="str">
        <f t="array" ref="BE595">IF(AY595=1,INDEX($V$7:$AL$7,MATCH(TRUE,INDEX($V595:$AW595&lt;&gt;0,),0)),IF(AY595=0,INDEX($AM$7:$AW$7,MATCH(1,$AM595:$AW595,0)),IF(BF595="Multiple strategies","mixed drivers",IF(BF595="Supply chain","multiple supply","multiple silviculture"))))</f>
        <v>rotation length</v>
      </c>
      <c r="BF595" s="2" t="str" cm="1">
        <f t="array" ref="BF595">IF(COUNTIF(AZ595:BB595,"&lt;&gt;0")=1,INDEX($V$4:$AW$4,MATCH(TRUE,INDEX($V595:$AW595&lt;&gt;0,),0)),IF(COUNTIF(AZ595:BB595,"&lt;&gt;0")=0,INDEX($AM$4:$AW$4,MATCH(1,$AM595:$AW595,0)),"Multiple strategies"))</f>
        <v>SilvicultureRemov</v>
      </c>
      <c r="BG595" s="1" t="s">
        <v>322</v>
      </c>
      <c r="BH595" t="s">
        <v>2455</v>
      </c>
      <c r="BI595" s="260" t="s">
        <v>3401</v>
      </c>
      <c r="BJ595" t="s">
        <v>1325</v>
      </c>
      <c r="BK595">
        <v>1168.5023099755704</v>
      </c>
      <c r="BL595">
        <v>2095.3144563242754</v>
      </c>
      <c r="BM595" s="143">
        <f>BL595/BK595</f>
        <v>1.7931624425869399</v>
      </c>
      <c r="BN595">
        <f>BL595-BK595</f>
        <v>926.81214634870503</v>
      </c>
      <c r="BO595">
        <f>+BN595*1000000</f>
        <v>926812146.34870505</v>
      </c>
      <c r="BP595" t="s">
        <v>233</v>
      </c>
      <c r="BQ595" s="260" t="s">
        <v>3403</v>
      </c>
      <c r="BR595" t="s">
        <v>1361</v>
      </c>
      <c r="BS595">
        <v>391.990063159464</v>
      </c>
      <c r="BT595">
        <v>310.62524300000001</v>
      </c>
      <c r="BU595" s="144">
        <f>IFERROR(BT595/BS595,"")</f>
        <v>0.79243142159355129</v>
      </c>
      <c r="BV595" s="144">
        <f>BT595-BS595</f>
        <v>-81.364820159463989</v>
      </c>
      <c r="BW595" s="144"/>
      <c r="BX595">
        <f>BV595*10^6*C_to_CO2</f>
        <v>-298608889.98523283</v>
      </c>
      <c r="BY595">
        <f>IFERROR(BX595/BO595,"")</f>
        <v>-0.32218922805623634</v>
      </c>
      <c r="BZ595">
        <v>0</v>
      </c>
      <c r="CA595">
        <v>0</v>
      </c>
      <c r="CB595">
        <v>0</v>
      </c>
      <c r="CC595">
        <v>0</v>
      </c>
      <c r="CD595">
        <v>0</v>
      </c>
      <c r="CE595">
        <v>0</v>
      </c>
      <c r="CF595">
        <v>0</v>
      </c>
      <c r="CG595">
        <v>0</v>
      </c>
      <c r="CH595">
        <v>0</v>
      </c>
      <c r="CI595">
        <v>0</v>
      </c>
      <c r="CJ595">
        <v>0</v>
      </c>
      <c r="CK595">
        <v>0</v>
      </c>
      <c r="CL595">
        <v>0</v>
      </c>
      <c r="CM595">
        <v>0</v>
      </c>
      <c r="CN595" t="str">
        <f>IF($BL595&lt;$BK595,"refNeedCorrection","refOK")</f>
        <v>refOK</v>
      </c>
      <c r="CO595">
        <f>IF($CN595="refNeedCorrection",BL595,BK595)</f>
        <v>1168.5023099755704</v>
      </c>
      <c r="CP595">
        <f>IF($CN595="refNeedCorrection",BK595,BL595)</f>
        <v>2095.3144563242754</v>
      </c>
      <c r="CQ595">
        <f>IF($CN595="refOK",$BO595,-$BO595)</f>
        <v>926812146.34870505</v>
      </c>
      <c r="CR595">
        <f>IF($CN595="refOK",$BS595,$BT595)*IF($BP595="Emissions positive",-1,1)</f>
        <v>391.990063159464</v>
      </c>
      <c r="CS595">
        <f>IF($CN595="refOK",$BT595,$BS595)*IF($BP595="Emissions positive",-1,1)</f>
        <v>310.62524300000001</v>
      </c>
      <c r="CT595">
        <f>IF($CN595="refNeedCorrection",-BX595,BX595)*IF($BP595="Emissions positive",-1,1)</f>
        <v>-298608889.98523283</v>
      </c>
      <c r="CU595">
        <f>IFERROR(CT595/CQ595,"")</f>
        <v>-0.32218922805623634</v>
      </c>
      <c r="CV595" s="2">
        <f>IFERROR((CS595-CR595)/ABS(CR595),"")</f>
        <v>-0.20756857840644871</v>
      </c>
      <c r="CW595" s="1" t="s">
        <v>1205</v>
      </c>
      <c r="CX595" t="str">
        <f>IF(OR($CW595="prd",$CW595="std",$CW595="cit"),"loc",IF(OR($CW595="eur",$CW595="reg",$CW595="coy"),"reg",$CW595))</f>
        <v>reg</v>
      </c>
      <c r="CY595" t="s">
        <v>731</v>
      </c>
      <c r="CZ595">
        <v>2015</v>
      </c>
      <c r="DA595">
        <v>2040</v>
      </c>
      <c r="DB595">
        <f>DA595-CZ595</f>
        <v>25</v>
      </c>
      <c r="DC595" t="str">
        <f>IF(DB595=0,"0",IF(AND(DB595&gt;=1,DB595&lt;=30),"1-30",IF(AND(DB595&gt;30,DB595&lt;=70),"31-70",IF(AND(DB595&gt;70,DB595&lt;=100),"71-100",IF(DB595&gt;100,"+100")))))</f>
        <v>1-30</v>
      </c>
      <c r="DD595">
        <v>1</v>
      </c>
      <c r="DE595">
        <v>1</v>
      </c>
      <c r="DF595">
        <v>1</v>
      </c>
      <c r="DG595">
        <v>1</v>
      </c>
      <c r="DI595">
        <f>SUM(DD595:DG595)</f>
        <v>4</v>
      </c>
      <c r="DJ595" t="str">
        <f>IF(DI595=1,INDEX($DD$7:$DG$7,MATCH(1,$DD595:$DG595,0)),"mixedProduct")</f>
        <v>mixedProduct</v>
      </c>
      <c r="DK595" t="str">
        <f>IF(DD595=1,DK$7,0)</f>
        <v>Upstream</v>
      </c>
      <c r="DL595" t="str">
        <f>IF(DE595=1,DL$7,0)</f>
        <v>Energy</v>
      </c>
      <c r="DM595" t="str">
        <f>IF(DF595=1,DM$7,0)</f>
        <v>Pulp/Paper</v>
      </c>
      <c r="DN595" t="str">
        <f>IF(DG595=1,DN$7,0)</f>
        <v>Timber</v>
      </c>
      <c r="DO595">
        <v>0</v>
      </c>
      <c r="DP595">
        <v>1</v>
      </c>
      <c r="DQ595" t="s">
        <v>2462</v>
      </c>
      <c r="DR595" t="s">
        <v>2463</v>
      </c>
      <c r="DS595" t="s">
        <v>2463</v>
      </c>
      <c r="DT595">
        <f>SUM(DO595:DP595)</f>
        <v>1</v>
      </c>
      <c r="DU595" s="143" t="str">
        <f>IF(DO595=1,"self-calculated DF",IF(DP595=1,"external DF used","explicit C balance"))</f>
        <v>external DF used</v>
      </c>
      <c r="DV595">
        <v>0</v>
      </c>
      <c r="DW595">
        <v>1</v>
      </c>
      <c r="DX595">
        <v>1</v>
      </c>
      <c r="DY595">
        <v>1</v>
      </c>
      <c r="DZ595">
        <v>1</v>
      </c>
      <c r="EA595" s="143">
        <v>1</v>
      </c>
      <c r="EB595">
        <v>1</v>
      </c>
      <c r="EC595">
        <v>1</v>
      </c>
      <c r="ED595">
        <v>0</v>
      </c>
      <c r="EE595">
        <v>0</v>
      </c>
      <c r="EF595">
        <v>1</v>
      </c>
      <c r="EG595">
        <v>0</v>
      </c>
      <c r="EH595">
        <v>0</v>
      </c>
      <c r="EI595" s="2">
        <v>0</v>
      </c>
      <c r="EK595" t="str">
        <f>IF(AND(AND(AND(OR($DX595=1,$DW595=1),OR($EC595=1,$EA595=1)),SUM($DV595:$DZ595,$EF595)&gt;=4),SUM($EA595:$EE595)&gt;=2),"Whole sector","")</f>
        <v>Whole sector</v>
      </c>
      <c r="EL595" t="str">
        <f>IF(AND(AND(OR($DX595=1,$DW595=1),AND($EC595=0,$EA595=0)),SUM($DV595:$DZ595,$EF595)&gt;=4),"Ecosystem approach","")</f>
        <v/>
      </c>
      <c r="EM595" s="2" t="str">
        <f>IF(AND(AND(AND($DX595=0,$DW595=0),OR($EC595=1,$EA595=1)),SUM($EB595:$EE595)&gt;=2),"Technology approach","")</f>
        <v/>
      </c>
      <c r="EP595" t="str">
        <f>IF(ISNUMBER(BU595),IF(ABS(BU595-[4]QC_indicators!$B$2)&gt;3*[4]QC_indicators!$C$2,"C ratio",IF(ISNUMBER(BY595),IF(ABS(BY595-[4]QC_indicators!$B$1)&gt;3*[4]QC_indicators!$C$1,"DF","no"))),IF(ISNUMBER(BY595),IF(ABS(BY595-[4]QC_indicators!$B$1)&gt;3*[4]QC_indicators!$C$1,"DF","no")))</f>
        <v>no</v>
      </c>
      <c r="EQ595" t="s">
        <v>2380</v>
      </c>
      <c r="ET595" s="266" t="s">
        <v>3275</v>
      </c>
    </row>
    <row r="596" spans="1:150" ht="15" hidden="1" customHeight="1">
      <c r="A596" s="1" t="s">
        <v>1974</v>
      </c>
      <c r="B596" t="s">
        <v>2447</v>
      </c>
      <c r="C596" t="s">
        <v>2448</v>
      </c>
      <c r="D596" t="s">
        <v>2449</v>
      </c>
      <c r="E596" t="s">
        <v>2450</v>
      </c>
      <c r="F596" t="s">
        <v>2451</v>
      </c>
      <c r="G596" t="s">
        <v>1980</v>
      </c>
      <c r="H596" t="s">
        <v>255</v>
      </c>
      <c r="I596">
        <v>2018</v>
      </c>
      <c r="J596">
        <v>8</v>
      </c>
      <c r="K596" t="s">
        <v>2452</v>
      </c>
      <c r="M596" t="str">
        <f>LEFT($D596,FIND(",",$D596)-1)&amp;"_"&amp;I596&amp;L596</f>
        <v>Valade_2018</v>
      </c>
      <c r="N596" t="s">
        <v>223</v>
      </c>
      <c r="O596" s="145" t="s">
        <v>1156</v>
      </c>
      <c r="Q596" t="s">
        <v>257</v>
      </c>
      <c r="R596" s="255" t="s">
        <v>226</v>
      </c>
      <c r="S596" s="1" t="s">
        <v>2460</v>
      </c>
      <c r="T596" t="s">
        <v>2446</v>
      </c>
      <c r="U596" t="s">
        <v>2461</v>
      </c>
      <c r="V596">
        <v>0</v>
      </c>
      <c r="W596">
        <v>0</v>
      </c>
      <c r="X596">
        <v>1</v>
      </c>
      <c r="Y596">
        <v>0</v>
      </c>
      <c r="Z596">
        <v>0</v>
      </c>
      <c r="AA596">
        <v>0</v>
      </c>
      <c r="AB596">
        <v>0</v>
      </c>
      <c r="AC596">
        <v>0</v>
      </c>
      <c r="AD596">
        <v>0</v>
      </c>
      <c r="AE596">
        <v>0</v>
      </c>
      <c r="AF596">
        <v>0</v>
      </c>
      <c r="AG596">
        <v>0</v>
      </c>
      <c r="AH596">
        <v>0</v>
      </c>
      <c r="AI596">
        <v>0</v>
      </c>
      <c r="AJ596">
        <v>0</v>
      </c>
      <c r="AK596">
        <v>0</v>
      </c>
      <c r="AL596">
        <v>0</v>
      </c>
      <c r="AM596">
        <v>0</v>
      </c>
      <c r="AN596">
        <v>0</v>
      </c>
      <c r="AO596">
        <v>0</v>
      </c>
      <c r="AP596">
        <v>0</v>
      </c>
      <c r="AQ596">
        <v>0</v>
      </c>
      <c r="AR596">
        <v>0</v>
      </c>
      <c r="AS596">
        <v>0</v>
      </c>
      <c r="AT596">
        <v>0</v>
      </c>
      <c r="AU596">
        <v>0</v>
      </c>
      <c r="AV596">
        <v>0</v>
      </c>
      <c r="AW596">
        <v>0</v>
      </c>
      <c r="AX596" s="141">
        <f>COUNTIF(V596:AW596,"&lt;&gt;0")</f>
        <v>1</v>
      </c>
      <c r="AY596" s="141">
        <f>COUNTIF(V596:AL596,"&lt;&gt;0")</f>
        <v>1</v>
      </c>
      <c r="AZ596">
        <f>COUNTIF(V596:AC596,"&lt;&gt;0")</f>
        <v>1</v>
      </c>
      <c r="BA596">
        <f>COUNTIF(AD596:AI596,"&lt;&gt;0")</f>
        <v>0</v>
      </c>
      <c r="BB596">
        <f>COUNTIF(AJ596:AL596,"&lt;&gt;0")</f>
        <v>0</v>
      </c>
      <c r="BC596">
        <f>COUNTIF(AS596:AW596,"&lt;&gt;0")</f>
        <v>0</v>
      </c>
      <c r="BD596">
        <f>COUNTIF(AM596:AR596,"&lt;&gt;0")</f>
        <v>0</v>
      </c>
      <c r="BE596" t="str">
        <f t="array" ref="BE596">IF(AY596=1,INDEX($V$7:$AL$7,MATCH(TRUE,INDEX($V596:$AW596&lt;&gt;0,),0)),IF(AY596=0,INDEX($AM$7:$AW$7,MATCH(1,$AM596:$AW596,0)),IF(BF596="Multiple strategies","mixed drivers",IF(BF596="Supply chain","multiple supply","multiple silviculture"))))</f>
        <v>rotation length</v>
      </c>
      <c r="BF596" s="2" t="str" cm="1">
        <f t="array" ref="BF596">IF(COUNTIF(AZ596:BB596,"&lt;&gt;0")=1,INDEX($V$4:$AW$4,MATCH(TRUE,INDEX($V596:$AW596&lt;&gt;0,),0)),IF(COUNTIF(AZ596:BB596,"&lt;&gt;0")=0,INDEX($AM$4:$AW$4,MATCH(1,$AM596:$AW596,0)),"Multiple strategies"))</f>
        <v>SilvicultureRemov</v>
      </c>
      <c r="BG596" s="1" t="s">
        <v>322</v>
      </c>
      <c r="BH596" t="s">
        <v>2455</v>
      </c>
      <c r="BI596" s="260" t="s">
        <v>3401</v>
      </c>
      <c r="BJ596" t="s">
        <v>1325</v>
      </c>
      <c r="BK596">
        <v>1168.5023099755704</v>
      </c>
      <c r="BL596">
        <v>1580.9377497587932</v>
      </c>
      <c r="BM596" s="143">
        <f>BL596/BK596</f>
        <v>1.3529607397967793</v>
      </c>
      <c r="BN596">
        <f>BL596-BK596</f>
        <v>412.43543978322282</v>
      </c>
      <c r="BO596">
        <f>BN596*10^6</f>
        <v>412435439.78322279</v>
      </c>
      <c r="BP596" t="s">
        <v>233</v>
      </c>
      <c r="BQ596" s="260" t="s">
        <v>3403</v>
      </c>
      <c r="BR596" t="s">
        <v>1361</v>
      </c>
      <c r="BS596">
        <v>391.990063159464</v>
      </c>
      <c r="BT596">
        <v>395.522996733436</v>
      </c>
      <c r="BU596" s="144">
        <f>IFERROR(BT596/BS596,"")</f>
        <v>1.0090128141144608</v>
      </c>
      <c r="BV596" s="144">
        <f>BT596-BS596</f>
        <v>3.5329335739720023</v>
      </c>
      <c r="BW596" s="144"/>
      <c r="BX596">
        <f>BV596*10^6*C_to_CO2</f>
        <v>12965866.216477247</v>
      </c>
      <c r="BY596">
        <f>IFERROR(BX596/BO596,"")</f>
        <v>3.1437323192430172E-2</v>
      </c>
      <c r="BZ596">
        <v>0</v>
      </c>
      <c r="CA596">
        <v>0</v>
      </c>
      <c r="CB596">
        <v>0</v>
      </c>
      <c r="CC596">
        <v>0</v>
      </c>
      <c r="CD596">
        <v>0</v>
      </c>
      <c r="CE596">
        <v>0</v>
      </c>
      <c r="CF596">
        <v>0</v>
      </c>
      <c r="CG596">
        <v>0</v>
      </c>
      <c r="CH596">
        <v>0</v>
      </c>
      <c r="CI596">
        <v>0</v>
      </c>
      <c r="CJ596">
        <v>0</v>
      </c>
      <c r="CK596">
        <v>0</v>
      </c>
      <c r="CL596">
        <v>0</v>
      </c>
      <c r="CM596">
        <v>0</v>
      </c>
      <c r="CN596" t="str">
        <f>IF($BL596&lt;$BK596,"refNeedCorrection","refOK")</f>
        <v>refOK</v>
      </c>
      <c r="CO596">
        <f>IF($CN596="refNeedCorrection",BL596,BK596)</f>
        <v>1168.5023099755704</v>
      </c>
      <c r="CP596">
        <f>IF($CN596="refNeedCorrection",BK596,BL596)</f>
        <v>1580.9377497587932</v>
      </c>
      <c r="CQ596">
        <f>IF($CN596="refOK",$BO596,-$BO596)</f>
        <v>412435439.78322279</v>
      </c>
      <c r="CR596">
        <f>IF($CN596="refOK",$BS596,$BT596)*IF($BP596="Emissions positive",-1,1)</f>
        <v>391.990063159464</v>
      </c>
      <c r="CS596">
        <f>IF($CN596="refOK",$BT596,$BS596)*IF($BP596="Emissions positive",-1,1)</f>
        <v>395.522996733436</v>
      </c>
      <c r="CT596">
        <f>IF($CN596="refNeedCorrection",-BX596,BX596)*IF($BP596="Emissions positive",-1,1)</f>
        <v>12965866.216477247</v>
      </c>
      <c r="CU596">
        <f>IFERROR(CT596/CQ596,"")</f>
        <v>3.1437323192430172E-2</v>
      </c>
      <c r="CV596" s="2">
        <f>IFERROR((CS596-CR596)/ABS(CR596),"")</f>
        <v>9.0128141144608116E-3</v>
      </c>
      <c r="CW596" s="1" t="s">
        <v>1205</v>
      </c>
      <c r="CX596" t="str">
        <f>IF(OR($CW596="prd",$CW596="std",$CW596="cit"),"loc",IF(OR($CW596="eur",$CW596="reg",$CW596="coy"),"reg",$CW596))</f>
        <v>reg</v>
      </c>
      <c r="CY596" t="s">
        <v>731</v>
      </c>
      <c r="CZ596">
        <v>2015</v>
      </c>
      <c r="DA596">
        <v>2040</v>
      </c>
      <c r="DB596">
        <f>DA596-CZ596</f>
        <v>25</v>
      </c>
      <c r="DC596" t="str">
        <f>IF(DB596=0,"0",IF(AND(DB596&gt;=1,DB596&lt;=30),"1-30",IF(AND(DB596&gt;30,DB596&lt;=70),"31-70",IF(AND(DB596&gt;70,DB596&lt;=100),"71-100",IF(DB596&gt;100,"+100")))))</f>
        <v>1-30</v>
      </c>
      <c r="DD596">
        <v>1</v>
      </c>
      <c r="DE596">
        <v>1</v>
      </c>
      <c r="DF596">
        <v>1</v>
      </c>
      <c r="DG596">
        <v>1</v>
      </c>
      <c r="DI596">
        <f>SUM(DD596:DG596)</f>
        <v>4</v>
      </c>
      <c r="DJ596" t="str">
        <f>IF(DI596=1,INDEX($DD$7:$DG$7,MATCH(1,$DD596:$DG596,0)),"mixedProduct")</f>
        <v>mixedProduct</v>
      </c>
      <c r="DK596" t="str">
        <f>IF(DD596=1,DK$7,0)</f>
        <v>Upstream</v>
      </c>
      <c r="DL596" t="str">
        <f>IF(DE596=1,DL$7,0)</f>
        <v>Energy</v>
      </c>
      <c r="DM596" t="str">
        <f>IF(DF596=1,DM$7,0)</f>
        <v>Pulp/Paper</v>
      </c>
      <c r="DN596" t="str">
        <f>IF(DG596=1,DN$7,0)</f>
        <v>Timber</v>
      </c>
      <c r="DO596">
        <v>0</v>
      </c>
      <c r="DP596">
        <v>1</v>
      </c>
      <c r="DQ596" t="s">
        <v>2462</v>
      </c>
      <c r="DR596" t="s">
        <v>2463</v>
      </c>
      <c r="DS596" t="s">
        <v>2463</v>
      </c>
      <c r="DT596">
        <f>SUM(DO596:DP596)</f>
        <v>1</v>
      </c>
      <c r="DU596" s="143" t="str">
        <f>IF(DO596=1,"self-calculated DF",IF(DP596=1,"external DF used","explicit C balance"))</f>
        <v>external DF used</v>
      </c>
      <c r="DV596">
        <v>0</v>
      </c>
      <c r="DW596">
        <v>1</v>
      </c>
      <c r="DX596">
        <v>1</v>
      </c>
      <c r="DY596">
        <v>1</v>
      </c>
      <c r="DZ596">
        <v>1</v>
      </c>
      <c r="EA596" s="143">
        <v>1</v>
      </c>
      <c r="EB596">
        <v>1</v>
      </c>
      <c r="EC596">
        <v>1</v>
      </c>
      <c r="ED596">
        <v>0</v>
      </c>
      <c r="EE596">
        <v>0</v>
      </c>
      <c r="EF596">
        <v>1</v>
      </c>
      <c r="EG596">
        <v>0</v>
      </c>
      <c r="EH596">
        <v>0</v>
      </c>
      <c r="EI596" s="2">
        <v>0</v>
      </c>
      <c r="EK596" t="str">
        <f>IF(AND(AND(AND(OR($DX596=1,$DW596=1),OR($EC596=1,$EA596=1)),SUM($DV596:$DZ596,$EF596)&gt;=4),SUM($EA596:$EE596)&gt;=2),"Whole sector","")</f>
        <v>Whole sector</v>
      </c>
      <c r="EL596" t="str">
        <f>IF(AND(AND(OR($DX596=1,$DW596=1),AND($EC596=0,$EA596=0)),SUM($DV596:$DZ596,$EF596)&gt;=4),"Ecosystem approach","")</f>
        <v/>
      </c>
      <c r="EM596" s="2" t="str">
        <f>IF(AND(AND(AND($DX596=0,$DW596=0),OR($EC596=1,$EA596=1)),SUM($EB596:$EE596)&gt;=2),"Technology approach","")</f>
        <v/>
      </c>
      <c r="EP596" t="str">
        <f>IF(ISNUMBER(BU596),IF(ABS(BU596-[4]QC_indicators!$B$2)&gt;3*[4]QC_indicators!$C$2,"C ratio",IF(ISNUMBER(BY596),IF(ABS(BY596-[4]QC_indicators!$B$1)&gt;3*[4]QC_indicators!$C$1,"DF","no"))),IF(ISNUMBER(BY596),IF(ABS(BY596-[4]QC_indicators!$B$1)&gt;3*[4]QC_indicators!$C$1,"DF","no")))</f>
        <v>no</v>
      </c>
      <c r="EQ596" t="s">
        <v>2380</v>
      </c>
      <c r="ET596" s="266" t="s">
        <v>3275</v>
      </c>
    </row>
    <row r="597" spans="1:150" ht="15" hidden="1" customHeight="1">
      <c r="A597" s="1" t="s">
        <v>880</v>
      </c>
      <c r="B597" t="s">
        <v>1793</v>
      </c>
      <c r="C597" t="s">
        <v>1794</v>
      </c>
      <c r="D597" t="s">
        <v>1795</v>
      </c>
      <c r="E597" t="s">
        <v>1796</v>
      </c>
      <c r="F597" t="s">
        <v>1797</v>
      </c>
      <c r="G597" t="s">
        <v>1186</v>
      </c>
      <c r="H597" t="s">
        <v>255</v>
      </c>
      <c r="I597">
        <v>2011</v>
      </c>
      <c r="J597">
        <v>6</v>
      </c>
      <c r="K597" t="s">
        <v>1798</v>
      </c>
      <c r="M597" t="str">
        <f>LEFT($D597,FIND(",",$D597)-1)&amp;"_"&amp;I597&amp;L597</f>
        <v>Kayo_2011</v>
      </c>
      <c r="N597" t="s">
        <v>223</v>
      </c>
      <c r="O597" s="145" t="s">
        <v>514</v>
      </c>
      <c r="Q597" t="s">
        <v>257</v>
      </c>
      <c r="R597" s="255" t="s">
        <v>226</v>
      </c>
      <c r="S597" s="265" t="s">
        <v>3351</v>
      </c>
      <c r="T597" t="s">
        <v>1799</v>
      </c>
      <c r="U597" s="266" t="s">
        <v>1804</v>
      </c>
      <c r="V597">
        <v>0</v>
      </c>
      <c r="W597">
        <v>0</v>
      </c>
      <c r="X597">
        <v>1</v>
      </c>
      <c r="Y597">
        <v>0</v>
      </c>
      <c r="Z597">
        <v>0</v>
      </c>
      <c r="AA597">
        <v>0</v>
      </c>
      <c r="AB597">
        <v>0</v>
      </c>
      <c r="AC597">
        <v>0</v>
      </c>
      <c r="AD597">
        <v>0</v>
      </c>
      <c r="AE597">
        <v>0</v>
      </c>
      <c r="AF597">
        <v>0</v>
      </c>
      <c r="AG597">
        <v>0</v>
      </c>
      <c r="AH597">
        <v>0</v>
      </c>
      <c r="AI597">
        <v>0</v>
      </c>
      <c r="AJ597">
        <v>0</v>
      </c>
      <c r="AK597">
        <v>0</v>
      </c>
      <c r="AL597">
        <v>0</v>
      </c>
      <c r="AM597">
        <v>0</v>
      </c>
      <c r="AN597">
        <v>0</v>
      </c>
      <c r="AO597">
        <v>0</v>
      </c>
      <c r="AP597">
        <v>0</v>
      </c>
      <c r="AQ597">
        <v>0</v>
      </c>
      <c r="AR597">
        <v>0</v>
      </c>
      <c r="AS597">
        <v>0</v>
      </c>
      <c r="AT597">
        <v>0</v>
      </c>
      <c r="AU597">
        <v>0</v>
      </c>
      <c r="AV597">
        <v>0</v>
      </c>
      <c r="AW597">
        <v>0</v>
      </c>
      <c r="AX597" s="141">
        <f>COUNTIF(V597:AW597,"&lt;&gt;0")</f>
        <v>1</v>
      </c>
      <c r="AY597" s="141">
        <f>COUNTIF(V597:AL597,"&lt;&gt;0")</f>
        <v>1</v>
      </c>
      <c r="AZ597">
        <f>COUNTIF(V597:AC597,"&lt;&gt;0")</f>
        <v>1</v>
      </c>
      <c r="BA597">
        <f>COUNTIF(AD597:AI597,"&lt;&gt;0")</f>
        <v>0</v>
      </c>
      <c r="BB597">
        <f>COUNTIF(AJ597:AL597,"&lt;&gt;0")</f>
        <v>0</v>
      </c>
      <c r="BC597">
        <f>COUNTIF(AS597:AW597,"&lt;&gt;0")</f>
        <v>0</v>
      </c>
      <c r="BD597">
        <f>COUNTIF(AM597:AR597,"&lt;&gt;0")</f>
        <v>0</v>
      </c>
      <c r="BE597" t="str">
        <f t="array" ref="BE597">IF(AY597=1,INDEX($V$7:$AL$7,MATCH(TRUE,INDEX($V597:$AW597&lt;&gt;0,),0)),IF(AY597=0,INDEX($AM$7:$AW$7,MATCH(1,$AM597:$AW597,0)),IF(BF597="Multiple strategies","mixed drivers",IF(BF597="Supply chain","multiple supply","multiple silviculture"))))</f>
        <v>rotation length</v>
      </c>
      <c r="BF597" s="2" t="str" cm="1">
        <f t="array" ref="BF597">IF(COUNTIF(AZ597:BB597,"&lt;&gt;0")=1,INDEX($V$4:$AW$4,MATCH(TRUE,INDEX($V597:$AW597&lt;&gt;0,),0)),IF(COUNTIF(AZ597:BB597,"&lt;&gt;0")=0,INDEX($AM$4:$AW$4,MATCH(1,$AM597:$AW597,0)),"Multiple strategies"))</f>
        <v>SilvicultureRemov</v>
      </c>
      <c r="BG597" s="1" t="s">
        <v>230</v>
      </c>
      <c r="BH597" s="266" t="s">
        <v>1801</v>
      </c>
      <c r="BI597" s="260" t="s">
        <v>3352</v>
      </c>
      <c r="BJ597" s="260" t="s">
        <v>3349</v>
      </c>
      <c r="BK597">
        <v>15</v>
      </c>
      <c r="BL597">
        <v>32</v>
      </c>
      <c r="BN597">
        <f>BL597-BK597</f>
        <v>17</v>
      </c>
      <c r="BO597">
        <f>BN597*10^6*t_to_m3</f>
        <v>34693877.551020406</v>
      </c>
      <c r="BP597" t="s">
        <v>233</v>
      </c>
      <c r="BQ597" s="260" t="s">
        <v>3350</v>
      </c>
      <c r="BR597" t="s">
        <v>1302</v>
      </c>
      <c r="BU597" s="290"/>
      <c r="BV597">
        <v>-23</v>
      </c>
      <c r="BX597">
        <f>BV597*10^6</f>
        <v>-23000000</v>
      </c>
      <c r="BY597">
        <f>IFERROR(BX597/BO597,"")</f>
        <v>-0.66294117647058826</v>
      </c>
      <c r="BZ597">
        <v>0</v>
      </c>
      <c r="CA597">
        <v>0</v>
      </c>
      <c r="CB597">
        <v>0</v>
      </c>
      <c r="CC597">
        <v>0</v>
      </c>
      <c r="CD597">
        <v>0</v>
      </c>
      <c r="CE597">
        <v>0</v>
      </c>
      <c r="CF597">
        <v>0</v>
      </c>
      <c r="CG597">
        <v>0</v>
      </c>
      <c r="CH597">
        <v>0</v>
      </c>
      <c r="CI597">
        <v>0</v>
      </c>
      <c r="CJ597">
        <v>0</v>
      </c>
      <c r="CK597">
        <v>0</v>
      </c>
      <c r="CL597">
        <v>0</v>
      </c>
      <c r="CM597">
        <v>0</v>
      </c>
      <c r="CN597" t="str">
        <f>IF(BL597&lt;BK597,"refNeedCorrection","refOK")</f>
        <v>refOK</v>
      </c>
      <c r="CO597">
        <f>IF($CN597="refOK",$BK597,$BL597)</f>
        <v>15</v>
      </c>
      <c r="CP597">
        <f>IF($CN597="refOK",$BL597,$BK597)</f>
        <v>32</v>
      </c>
      <c r="CQ597">
        <f>IF($CN597="refOK",$BO597,-$BO597)</f>
        <v>34693877.551020406</v>
      </c>
      <c r="CR597">
        <f>IF($CN597="refOK",$BS597,$BT597)*IF($BP597="Emissions positive",-1,1)</f>
        <v>0</v>
      </c>
      <c r="CS597">
        <f>IF($CN597="refOK",$BT597,$BS597)*IF($BP597="Emissions positive",-1,1)</f>
        <v>0</v>
      </c>
      <c r="CT597">
        <f>IF($CN597="refNeedCorrection",-BX597,BX597)*IF($BP597="Emissions positive",-1,1)</f>
        <v>-23000000</v>
      </c>
      <c r="CU597">
        <f>IFERROR(CT597/CQ597,"")</f>
        <v>-0.66294117647058826</v>
      </c>
      <c r="CV597" s="2" t="str">
        <f>IFERROR((CS597-CR597)/ABS(CR597),"")</f>
        <v/>
      </c>
      <c r="CW597" s="1" t="s">
        <v>1205</v>
      </c>
      <c r="CX597" t="str">
        <f>IF(OR($CW597="prd",$CW597="std",$CW597="cit"),"loc",IF(OR($CW597="eur",$CW597="reg",$CW597="coy"),"reg",$CW597))</f>
        <v>reg</v>
      </c>
      <c r="CY597" t="s">
        <v>963</v>
      </c>
      <c r="CZ597">
        <v>2005</v>
      </c>
      <c r="DA597">
        <v>2020</v>
      </c>
      <c r="DB597">
        <v>15</v>
      </c>
      <c r="DC597" t="str">
        <f>IF(DB597=0,"0",IF(AND(DB597&gt;=1,DB597&lt;=30),"1-30",IF(AND(DB597&gt;30,DB597&lt;=70),"31-70",IF(AND(DB597&gt;70,DB597&lt;=100),"71-100",IF(DB597&gt;100,"+100")))))</f>
        <v>1-30</v>
      </c>
      <c r="DD597">
        <v>0</v>
      </c>
      <c r="DE597">
        <v>1</v>
      </c>
      <c r="DF597">
        <v>0</v>
      </c>
      <c r="DG597">
        <v>0</v>
      </c>
      <c r="DI597">
        <f>SUM(DD597:DG597)</f>
        <v>1</v>
      </c>
      <c r="DJ597" t="str">
        <f>IF(DI597=1,INDEX($DD$7:$DG$7,MATCH(1,$DD597:$DG597,0)),"mixedProduct")</f>
        <v>EnergyInput</v>
      </c>
      <c r="DK597">
        <f>IF(DD597=1,DK$7,0)</f>
        <v>0</v>
      </c>
      <c r="DL597" t="str">
        <f>IF(DE597=1,DL$7,0)</f>
        <v>Energy</v>
      </c>
      <c r="DM597">
        <f>IF(DF597=1,DM$7,0)</f>
        <v>0</v>
      </c>
      <c r="DN597">
        <f>IF(DG597=1,DN$7,0)</f>
        <v>0</v>
      </c>
      <c r="DO597">
        <v>0</v>
      </c>
      <c r="DP597">
        <v>0</v>
      </c>
      <c r="DQ597">
        <v>0</v>
      </c>
      <c r="DR597">
        <v>0</v>
      </c>
      <c r="DS597">
        <v>0</v>
      </c>
      <c r="DT597">
        <f>SUM(DO597:DP597)</f>
        <v>0</v>
      </c>
      <c r="DU597" s="143" t="str">
        <f>IF(DO597=1,"self-calculated DF",IF(DP597=1,"external DF used","explicit C balance"))</f>
        <v>explicit C balance</v>
      </c>
      <c r="DV597">
        <v>0</v>
      </c>
      <c r="DW597">
        <v>1</v>
      </c>
      <c r="DX597">
        <v>1</v>
      </c>
      <c r="DY597">
        <v>0</v>
      </c>
      <c r="DZ597">
        <v>0</v>
      </c>
      <c r="EA597" s="143">
        <v>1</v>
      </c>
      <c r="EB597">
        <v>1</v>
      </c>
      <c r="EC597">
        <v>0</v>
      </c>
      <c r="ED597">
        <v>0</v>
      </c>
      <c r="EE597">
        <v>0</v>
      </c>
      <c r="EF597">
        <v>1</v>
      </c>
      <c r="EG597">
        <v>1</v>
      </c>
      <c r="EH597">
        <v>0</v>
      </c>
      <c r="EI597" s="2">
        <v>0</v>
      </c>
      <c r="EK597" t="str">
        <f>IF(AND(AND(AND(OR($DX597=1,$DW597=1),OR($EC597=1,$EA597=1)),SUM($DV597:$DZ597,$EF597)&gt;=4),SUM($EA597:$EE597)&gt;=2),"Whole sector","")</f>
        <v/>
      </c>
      <c r="EL597" t="str">
        <f>IF(AND(AND(OR($DX597=1,$DW597=1),AND($EC597=0,$EA597=0)),SUM($DV597:$DZ597,$EF597)&gt;=4),"Ecosystem approach","")</f>
        <v/>
      </c>
      <c r="EM597" s="2" t="str">
        <f>IF(AND(AND(AND($DX597=0,$DW597=0),OR($EC597=1,$EA597=1)),SUM($EB597:$EE597)&gt;=2),"Technology approach","")</f>
        <v/>
      </c>
      <c r="EP597" t="str">
        <f>IF(ISNUMBER(BU597),IF(ABS(BU597-[4]QC_indicators!$B$2)&gt;3*[4]QC_indicators!$C$2,"C ratio",IF(ISNUMBER(BY597),IF(ABS(BY597-[4]QC_indicators!$B$1)&gt;3*[4]QC_indicators!$C$1,"DF","no"))),IF(ISNUMBER(BY597),IF(ABS(BY597-[4]QC_indicators!$B$1)&gt;3*[4]QC_indicators!$C$1,"DF","no")))</f>
        <v>no</v>
      </c>
      <c r="ET597" s="266" t="s">
        <v>3275</v>
      </c>
    </row>
    <row r="598" spans="1:150" ht="15" hidden="1" customHeight="1">
      <c r="A598" s="1" t="s">
        <v>880</v>
      </c>
      <c r="B598" t="s">
        <v>1793</v>
      </c>
      <c r="C598" t="s">
        <v>1794</v>
      </c>
      <c r="D598" t="s">
        <v>1795</v>
      </c>
      <c r="E598" t="s">
        <v>1796</v>
      </c>
      <c r="F598" t="s">
        <v>1797</v>
      </c>
      <c r="G598" t="s">
        <v>1186</v>
      </c>
      <c r="H598" t="s">
        <v>255</v>
      </c>
      <c r="I598">
        <v>2011</v>
      </c>
      <c r="J598">
        <v>6</v>
      </c>
      <c r="K598" t="s">
        <v>1798</v>
      </c>
      <c r="M598" t="str">
        <f>LEFT($D598,FIND(",",$D598)-1)&amp;"_"&amp;I598&amp;L598</f>
        <v>Kayo_2011</v>
      </c>
      <c r="N598" t="s">
        <v>223</v>
      </c>
      <c r="O598" s="145" t="s">
        <v>514</v>
      </c>
      <c r="Q598" t="s">
        <v>257</v>
      </c>
      <c r="R598" s="255" t="s">
        <v>226</v>
      </c>
      <c r="S598" s="265" t="s">
        <v>3353</v>
      </c>
      <c r="T598" t="s">
        <v>1802</v>
      </c>
      <c r="U598" t="s">
        <v>1803</v>
      </c>
      <c r="V598">
        <v>0</v>
      </c>
      <c r="W598">
        <v>0</v>
      </c>
      <c r="X598">
        <v>1</v>
      </c>
      <c r="Y598">
        <v>0</v>
      </c>
      <c r="Z598">
        <v>0</v>
      </c>
      <c r="AA598">
        <v>0</v>
      </c>
      <c r="AB598">
        <v>0</v>
      </c>
      <c r="AC598">
        <v>0</v>
      </c>
      <c r="AD598">
        <v>0</v>
      </c>
      <c r="AE598">
        <v>0</v>
      </c>
      <c r="AF598">
        <v>0</v>
      </c>
      <c r="AG598">
        <v>0</v>
      </c>
      <c r="AH598">
        <v>0</v>
      </c>
      <c r="AI598">
        <v>0</v>
      </c>
      <c r="AJ598">
        <v>0</v>
      </c>
      <c r="AK598">
        <v>0</v>
      </c>
      <c r="AL598">
        <v>0</v>
      </c>
      <c r="AM598">
        <v>0</v>
      </c>
      <c r="AN598">
        <v>0</v>
      </c>
      <c r="AO598">
        <v>0</v>
      </c>
      <c r="AP598">
        <v>0</v>
      </c>
      <c r="AQ598">
        <v>0</v>
      </c>
      <c r="AR598">
        <v>0</v>
      </c>
      <c r="AS598">
        <v>0</v>
      </c>
      <c r="AT598">
        <v>0</v>
      </c>
      <c r="AU598">
        <v>0</v>
      </c>
      <c r="AV598">
        <v>0</v>
      </c>
      <c r="AW598">
        <v>0</v>
      </c>
      <c r="AX598" s="141">
        <f>COUNTIF(V598:AW598,"&lt;&gt;0")</f>
        <v>1</v>
      </c>
      <c r="AY598" s="141">
        <f>COUNTIF(V598:AL598,"&lt;&gt;0")</f>
        <v>1</v>
      </c>
      <c r="AZ598">
        <f>COUNTIF(V598:AC598,"&lt;&gt;0")</f>
        <v>1</v>
      </c>
      <c r="BA598">
        <f>COUNTIF(AD598:AI598,"&lt;&gt;0")</f>
        <v>0</v>
      </c>
      <c r="BB598">
        <f>COUNTIF(AJ598:AL598,"&lt;&gt;0")</f>
        <v>0</v>
      </c>
      <c r="BC598">
        <f>COUNTIF(AS598:AW598,"&lt;&gt;0")</f>
        <v>0</v>
      </c>
      <c r="BD598">
        <f>COUNTIF(AM598:AR598,"&lt;&gt;0")</f>
        <v>0</v>
      </c>
      <c r="BE598" t="str">
        <f t="array" ref="BE598">IF(AY598=1,INDEX($V$7:$AL$7,MATCH(TRUE,INDEX($V598:$AW598&lt;&gt;0,),0)),IF(AY598=0,INDEX($AM$7:$AW$7,MATCH(1,$AM598:$AW598,0)),IF(BF598="Multiple strategies","mixed drivers",IF(BF598="Supply chain","multiple supply","multiple silviculture"))))</f>
        <v>rotation length</v>
      </c>
      <c r="BF598" s="2" t="str" cm="1">
        <f t="array" ref="BF598">IF(COUNTIF(AZ598:BB598,"&lt;&gt;0")=1,INDEX($V$4:$AW$4,MATCH(TRUE,INDEX($V598:$AW598&lt;&gt;0,),0)),IF(COUNTIF(AZ598:BB598,"&lt;&gt;0")=0,INDEX($AM$4:$AW$4,MATCH(1,$AM598:$AW598,0)),"Multiple strategies"))</f>
        <v>SilvicultureRemov</v>
      </c>
      <c r="BG598" s="1" t="s">
        <v>230</v>
      </c>
      <c r="BH598" t="s">
        <v>1801</v>
      </c>
      <c r="BI598" s="260" t="s">
        <v>3352</v>
      </c>
      <c r="BJ598" s="260" t="s">
        <v>3349</v>
      </c>
      <c r="BK598">
        <v>15</v>
      </c>
      <c r="BL598">
        <v>32</v>
      </c>
      <c r="BN598">
        <f>BL598-BK598</f>
        <v>17</v>
      </c>
      <c r="BO598">
        <f>BN598*10^6*t_to_m3</f>
        <v>34693877.551020406</v>
      </c>
      <c r="BP598" t="s">
        <v>233</v>
      </c>
      <c r="BQ598" s="260" t="s">
        <v>3354</v>
      </c>
      <c r="BR598" t="s">
        <v>1302</v>
      </c>
      <c r="BU598" s="144" t="str">
        <f>IFERROR(BT598/BS598,"")</f>
        <v/>
      </c>
      <c r="BV598">
        <v>-11</v>
      </c>
      <c r="BX598">
        <f>BV598*10^6</f>
        <v>-11000000</v>
      </c>
      <c r="BY598">
        <f>IFERROR(BX598/BO598,"")</f>
        <v>-0.31705882352941178</v>
      </c>
      <c r="BZ598">
        <v>0</v>
      </c>
      <c r="CA598">
        <v>0</v>
      </c>
      <c r="CB598">
        <v>0</v>
      </c>
      <c r="CC598">
        <v>0</v>
      </c>
      <c r="CD598">
        <v>0</v>
      </c>
      <c r="CE598">
        <v>0</v>
      </c>
      <c r="CF598">
        <v>0</v>
      </c>
      <c r="CG598">
        <v>0</v>
      </c>
      <c r="CH598">
        <v>0</v>
      </c>
      <c r="CI598">
        <v>0</v>
      </c>
      <c r="CJ598">
        <v>0</v>
      </c>
      <c r="CK598">
        <v>0</v>
      </c>
      <c r="CL598">
        <v>0</v>
      </c>
      <c r="CM598">
        <v>0</v>
      </c>
      <c r="CN598" t="str">
        <f>IF(BL598&lt;BK598,"refNeedCorrection","refOK")</f>
        <v>refOK</v>
      </c>
      <c r="CO598">
        <f>IF($CN598="refOK",$BK598,$BL598)</f>
        <v>15</v>
      </c>
      <c r="CP598">
        <f>IF($CN598="refOK",$BL598,$BK598)</f>
        <v>32</v>
      </c>
      <c r="CQ598">
        <f>IF($CN598="refOK",$BO598,-$BO598)</f>
        <v>34693877.551020406</v>
      </c>
      <c r="CR598">
        <f>IF($CN598="refOK",$BS598,$BT598)*IF($BP598="Emissions positive",-1,1)</f>
        <v>0</v>
      </c>
      <c r="CS598">
        <f>IF($CN598="refOK",$BT598,$BS598)*IF($BP598="Emissions positive",-1,1)</f>
        <v>0</v>
      </c>
      <c r="CT598">
        <f>IF($CN598="refNeedCorrection",-BX598,BX598)*IF($BP598="Emissions positive",-1,1)</f>
        <v>-11000000</v>
      </c>
      <c r="CU598">
        <f>IFERROR(CT598/CQ598,"")</f>
        <v>-0.31705882352941178</v>
      </c>
      <c r="CV598" s="2" t="str">
        <f>IFERROR((CS598-CR598)/ABS(CR598),"")</f>
        <v/>
      </c>
      <c r="CW598" s="1" t="s">
        <v>1205</v>
      </c>
      <c r="CX598" t="str">
        <f>IF(OR($CW598="prd",$CW598="std",$CW598="cit"),"loc",IF(OR($CW598="eur",$CW598="reg",$CW598="coy"),"reg",$CW598))</f>
        <v>reg</v>
      </c>
      <c r="CY598" t="s">
        <v>963</v>
      </c>
      <c r="CZ598">
        <v>2005</v>
      </c>
      <c r="DA598">
        <v>2020</v>
      </c>
      <c r="DB598">
        <v>15</v>
      </c>
      <c r="DC598" t="str">
        <f>IF(DB598=0,"0",IF(AND(DB598&gt;=1,DB598&lt;=30),"1-30",IF(AND(DB598&gt;30,DB598&lt;=70),"31-70",IF(AND(DB598&gt;70,DB598&lt;=100),"71-100",IF(DB598&gt;100,"+100")))))</f>
        <v>1-30</v>
      </c>
      <c r="DD598">
        <v>0</v>
      </c>
      <c r="DE598">
        <v>1</v>
      </c>
      <c r="DF598">
        <v>0</v>
      </c>
      <c r="DG598">
        <v>0</v>
      </c>
      <c r="DI598">
        <f>SUM(DD598:DG598)</f>
        <v>1</v>
      </c>
      <c r="DJ598" t="str">
        <f>IF(DI598=1,INDEX($DD$7:$DG$7,MATCH(1,$DD598:$DG598,0)),"mixedProduct")</f>
        <v>EnergyInput</v>
      </c>
      <c r="DK598">
        <f>IF(DD598=1,DK$7,0)</f>
        <v>0</v>
      </c>
      <c r="DL598" t="str">
        <f>IF(DE598=1,DL$7,0)</f>
        <v>Energy</v>
      </c>
      <c r="DM598">
        <f>IF(DF598=1,DM$7,0)</f>
        <v>0</v>
      </c>
      <c r="DN598">
        <f>IF(DG598=1,DN$7,0)</f>
        <v>0</v>
      </c>
      <c r="DO598">
        <v>0</v>
      </c>
      <c r="DP598">
        <v>0</v>
      </c>
      <c r="DQ598">
        <v>0</v>
      </c>
      <c r="DR598">
        <v>0</v>
      </c>
      <c r="DS598">
        <v>0</v>
      </c>
      <c r="DT598">
        <f>SUM(DO598:DP598)</f>
        <v>0</v>
      </c>
      <c r="DU598" s="143" t="str">
        <f>IF(DO598=1,"self-calculated DF",IF(DP598=1,"external DF used","explicit C balance"))</f>
        <v>explicit C balance</v>
      </c>
      <c r="DV598">
        <v>0</v>
      </c>
      <c r="DW598">
        <v>1</v>
      </c>
      <c r="DX598">
        <v>1</v>
      </c>
      <c r="DY598">
        <v>0</v>
      </c>
      <c r="DZ598">
        <v>0</v>
      </c>
      <c r="EA598" s="143">
        <v>1</v>
      </c>
      <c r="EB598">
        <v>1</v>
      </c>
      <c r="EC598">
        <v>0</v>
      </c>
      <c r="ED598">
        <v>0</v>
      </c>
      <c r="EE598">
        <v>0</v>
      </c>
      <c r="EF598">
        <v>1</v>
      </c>
      <c r="EG598">
        <v>1</v>
      </c>
      <c r="EH598">
        <v>0</v>
      </c>
      <c r="EI598" s="2">
        <v>0</v>
      </c>
      <c r="EK598" t="str">
        <f>IF(AND(AND(AND(OR($DX598=1,$DW598=1),OR($EC598=1,$EA598=1)),SUM($DV598:$DZ598,$EF598)&gt;=4),SUM($EA598:$EE598)&gt;=2),"Whole sector","")</f>
        <v/>
      </c>
      <c r="EL598" t="str">
        <f>IF(AND(AND(OR($DX598=1,$DW598=1),AND($EC598=0,$EA598=0)),SUM($DV598:$DZ598,$EF598)&gt;=4),"Ecosystem approach","")</f>
        <v/>
      </c>
      <c r="EM598" s="2" t="str">
        <f>IF(AND(AND(AND($DX598=0,$DW598=0),OR($EC598=1,$EA598=1)),SUM($EB598:$EE598)&gt;=2),"Technology approach","")</f>
        <v/>
      </c>
      <c r="EP598" t="str">
        <f>IF(ISNUMBER(BU598),IF(ABS(BU598-[4]QC_indicators!$B$2)&gt;3*[4]QC_indicators!$C$2,"C ratio",IF(ISNUMBER(BY598),IF(ABS(BY598-[4]QC_indicators!$B$1)&gt;3*[4]QC_indicators!$C$1,"DF","no"))),IF(ISNUMBER(BY598),IF(ABS(BY598-[4]QC_indicators!$B$1)&gt;3*[4]QC_indicators!$C$1,"DF","no")))</f>
        <v>no</v>
      </c>
      <c r="ET598" s="266" t="s">
        <v>3275</v>
      </c>
    </row>
    <row r="599" spans="1:150" ht="15" hidden="1" customHeight="1">
      <c r="A599" s="1" t="s">
        <v>880</v>
      </c>
      <c r="B599" t="s">
        <v>1793</v>
      </c>
      <c r="C599" t="s">
        <v>1794</v>
      </c>
      <c r="D599" t="s">
        <v>1795</v>
      </c>
      <c r="E599" t="s">
        <v>1796</v>
      </c>
      <c r="F599" t="s">
        <v>1797</v>
      </c>
      <c r="G599" t="s">
        <v>1186</v>
      </c>
      <c r="H599" t="s">
        <v>255</v>
      </c>
      <c r="I599">
        <v>2011</v>
      </c>
      <c r="J599">
        <v>6</v>
      </c>
      <c r="K599" t="s">
        <v>1798</v>
      </c>
      <c r="M599" t="str">
        <f>LEFT($D599,FIND(",",$D599)-1)&amp;"_"&amp;I599&amp;L599</f>
        <v>Kayo_2011</v>
      </c>
      <c r="N599" t="s">
        <v>223</v>
      </c>
      <c r="O599" s="145" t="s">
        <v>514</v>
      </c>
      <c r="Q599" t="s">
        <v>257</v>
      </c>
      <c r="R599" s="255" t="s">
        <v>226</v>
      </c>
      <c r="S599" s="265" t="s">
        <v>3351</v>
      </c>
      <c r="T599" t="s">
        <v>1799</v>
      </c>
      <c r="U599" s="266" t="s">
        <v>1800</v>
      </c>
      <c r="V599">
        <v>0</v>
      </c>
      <c r="W599">
        <v>0</v>
      </c>
      <c r="X599">
        <v>1</v>
      </c>
      <c r="Y599">
        <v>0</v>
      </c>
      <c r="Z599">
        <v>0</v>
      </c>
      <c r="AA599">
        <v>0</v>
      </c>
      <c r="AB599">
        <v>0</v>
      </c>
      <c r="AC599">
        <v>0</v>
      </c>
      <c r="AD599">
        <v>0</v>
      </c>
      <c r="AE599">
        <v>0</v>
      </c>
      <c r="AF599">
        <v>0</v>
      </c>
      <c r="AG599">
        <v>0</v>
      </c>
      <c r="AH599">
        <v>0</v>
      </c>
      <c r="AI599">
        <v>0</v>
      </c>
      <c r="AJ599">
        <v>0</v>
      </c>
      <c r="AK599">
        <v>0</v>
      </c>
      <c r="AL599">
        <v>0</v>
      </c>
      <c r="AM599">
        <v>0</v>
      </c>
      <c r="AN599">
        <v>0</v>
      </c>
      <c r="AO599">
        <v>0</v>
      </c>
      <c r="AP599">
        <v>0</v>
      </c>
      <c r="AQ599">
        <v>0</v>
      </c>
      <c r="AR599">
        <v>0</v>
      </c>
      <c r="AS599">
        <v>0</v>
      </c>
      <c r="AT599">
        <v>0</v>
      </c>
      <c r="AU599">
        <v>0</v>
      </c>
      <c r="AV599">
        <v>0</v>
      </c>
      <c r="AW599">
        <v>0</v>
      </c>
      <c r="AX599" s="141">
        <f>COUNTIF(V599:AW599,"&lt;&gt;0")</f>
        <v>1</v>
      </c>
      <c r="AY599" s="141">
        <f>COUNTIF(V599:AL599,"&lt;&gt;0")</f>
        <v>1</v>
      </c>
      <c r="AZ599">
        <f>COUNTIF(V599:AC599,"&lt;&gt;0")</f>
        <v>1</v>
      </c>
      <c r="BA599">
        <f>COUNTIF(AD599:AI599,"&lt;&gt;0")</f>
        <v>0</v>
      </c>
      <c r="BB599">
        <f>COUNTIF(AJ599:AL599,"&lt;&gt;0")</f>
        <v>0</v>
      </c>
      <c r="BC599">
        <f>COUNTIF(AS599:AW599,"&lt;&gt;0")</f>
        <v>0</v>
      </c>
      <c r="BD599">
        <f>COUNTIF(AM599:AR599,"&lt;&gt;0")</f>
        <v>0</v>
      </c>
      <c r="BE599" t="str">
        <f t="array" ref="BE599">IF(AY599=1,INDEX($V$7:$AL$7,MATCH(TRUE,INDEX($V599:$AW599&lt;&gt;0,),0)),IF(AY599=0,INDEX($AM$7:$AW$7,MATCH(1,$AM599:$AW599,0)),IF(BF599="Multiple strategies","mixed drivers",IF(BF599="Supply chain","multiple supply","multiple silviculture"))))</f>
        <v>rotation length</v>
      </c>
      <c r="BF599" s="2" t="str" cm="1">
        <f t="array" ref="BF599">IF(COUNTIF(AZ599:BB599,"&lt;&gt;0")=1,INDEX($V$4:$AW$4,MATCH(TRUE,INDEX($V599:$AW599&lt;&gt;0,),0)),IF(COUNTIF(AZ599:BB599,"&lt;&gt;0")=0,INDEX($AM$4:$AW$4,MATCH(1,$AM599:$AW599,0)),"Multiple strategies"))</f>
        <v>SilvicultureRemov</v>
      </c>
      <c r="BG599" s="1" t="s">
        <v>230</v>
      </c>
      <c r="BH599" t="s">
        <v>1801</v>
      </c>
      <c r="BI599" s="260" t="s">
        <v>3352</v>
      </c>
      <c r="BJ599" s="260" t="s">
        <v>3349</v>
      </c>
      <c r="BK599">
        <v>15</v>
      </c>
      <c r="BL599">
        <v>15</v>
      </c>
      <c r="BN599">
        <f>BL599-BK599</f>
        <v>0</v>
      </c>
      <c r="BO599">
        <f>BN599*10^6*t_to_m3</f>
        <v>0</v>
      </c>
      <c r="BP599" t="s">
        <v>233</v>
      </c>
      <c r="BQ599" s="260" t="s">
        <v>3355</v>
      </c>
      <c r="BR599" t="s">
        <v>1302</v>
      </c>
      <c r="BU599" s="290"/>
      <c r="BV599">
        <v>-4.5</v>
      </c>
      <c r="BX599">
        <f>BV599*10^6</f>
        <v>-4500000</v>
      </c>
      <c r="BY599" t="str">
        <f>IFERROR(BX599/BO599,"")</f>
        <v/>
      </c>
      <c r="BZ599">
        <v>0</v>
      </c>
      <c r="CA599">
        <v>0</v>
      </c>
      <c r="CB599">
        <v>0</v>
      </c>
      <c r="CC599">
        <v>0</v>
      </c>
      <c r="CD599">
        <v>0</v>
      </c>
      <c r="CE599">
        <v>0</v>
      </c>
      <c r="CF599">
        <v>0</v>
      </c>
      <c r="CG599">
        <v>0</v>
      </c>
      <c r="CH599">
        <v>0</v>
      </c>
      <c r="CI599">
        <v>0</v>
      </c>
      <c r="CJ599">
        <v>0</v>
      </c>
      <c r="CK599">
        <v>0</v>
      </c>
      <c r="CL599">
        <v>0</v>
      </c>
      <c r="CM599">
        <v>0</v>
      </c>
      <c r="CN599" t="str">
        <f>IF(BL599&lt;BK599,"refNeedCorrection","refOK")</f>
        <v>refOK</v>
      </c>
      <c r="CO599">
        <f>IF($CN599="refOK",$BK599,$BL599)</f>
        <v>15</v>
      </c>
      <c r="CP599">
        <f>IF($CN599="refOK",$BL599,$BK599)</f>
        <v>15</v>
      </c>
      <c r="CQ599">
        <f>IF($CN599="refOK",$BO599,-$BO599)</f>
        <v>0</v>
      </c>
      <c r="CR599">
        <f>IF($CN599="refOK",$BS599,$BT599)*IF($BP599="Emissions positive",-1,1)</f>
        <v>0</v>
      </c>
      <c r="CS599">
        <f>IF($CN599="refOK",$BT599,$BS599)*IF($BP599="Emissions positive",-1,1)</f>
        <v>0</v>
      </c>
      <c r="CT599">
        <f>IF($CN599="refNeedCorrection",-BX599,BX599)*IF($BP599="Emissions positive",-1,1)</f>
        <v>-4500000</v>
      </c>
      <c r="CU599" t="str">
        <f>IFERROR(CT599/CQ599,"")</f>
        <v/>
      </c>
      <c r="CV599" s="2" t="str">
        <f>IFERROR((CS599-CR599)/ABS(CR599),"")</f>
        <v/>
      </c>
      <c r="CW599" s="1" t="s">
        <v>1205</v>
      </c>
      <c r="CX599" t="str">
        <f>IF(OR($CW599="prd",$CW599="std",$CW599="cit"),"loc",IF(OR($CW599="eur",$CW599="reg",$CW599="coy"),"reg",$CW599))</f>
        <v>reg</v>
      </c>
      <c r="CY599" t="s">
        <v>963</v>
      </c>
      <c r="CZ599">
        <v>2005</v>
      </c>
      <c r="DA599">
        <v>2020</v>
      </c>
      <c r="DB599">
        <v>15</v>
      </c>
      <c r="DC599" t="str">
        <f>IF(DB599=0,"0",IF(AND(DB599&gt;=1,DB599&lt;=30),"1-30",IF(AND(DB599&gt;30,DB599&lt;=70),"31-70",IF(AND(DB599&gt;70,DB599&lt;=100),"71-100",IF(DB599&gt;100,"+100")))))</f>
        <v>1-30</v>
      </c>
      <c r="DD599">
        <v>0</v>
      </c>
      <c r="DE599">
        <v>1</v>
      </c>
      <c r="DF599">
        <v>0</v>
      </c>
      <c r="DG599">
        <v>0</v>
      </c>
      <c r="DI599">
        <f>SUM(DD599:DG599)</f>
        <v>1</v>
      </c>
      <c r="DJ599" t="str">
        <f>IF(DI599=1,INDEX($DD$7:$DG$7,MATCH(1,$DD599:$DG599,0)),"mixedProduct")</f>
        <v>EnergyInput</v>
      </c>
      <c r="DK599">
        <f>IF(DD599=1,DK$7,0)</f>
        <v>0</v>
      </c>
      <c r="DL599" t="str">
        <f>IF(DE599=1,DL$7,0)</f>
        <v>Energy</v>
      </c>
      <c r="DM599">
        <f>IF(DF599=1,DM$7,0)</f>
        <v>0</v>
      </c>
      <c r="DN599">
        <f>IF(DG599=1,DN$7,0)</f>
        <v>0</v>
      </c>
      <c r="DO599">
        <v>0</v>
      </c>
      <c r="DP599">
        <v>0</v>
      </c>
      <c r="DQ599">
        <v>0</v>
      </c>
      <c r="DR599">
        <v>0</v>
      </c>
      <c r="DS599">
        <v>0</v>
      </c>
      <c r="DT599">
        <f>SUM(DO599:DP599)</f>
        <v>0</v>
      </c>
      <c r="DU599" s="143" t="str">
        <f>IF(DO599=1,"self-calculated DF",IF(DP599=1,"external DF used","explicit C balance"))</f>
        <v>explicit C balance</v>
      </c>
      <c r="DV599">
        <v>0</v>
      </c>
      <c r="DW599">
        <v>1</v>
      </c>
      <c r="DX599">
        <v>1</v>
      </c>
      <c r="DY599">
        <v>0</v>
      </c>
      <c r="DZ599">
        <v>0</v>
      </c>
      <c r="EA599" s="143">
        <v>1</v>
      </c>
      <c r="EB599">
        <v>1</v>
      </c>
      <c r="EC599">
        <v>0</v>
      </c>
      <c r="ED599">
        <v>0</v>
      </c>
      <c r="EE599">
        <v>0</v>
      </c>
      <c r="EF599">
        <v>1</v>
      </c>
      <c r="EG599">
        <v>1</v>
      </c>
      <c r="EH599">
        <v>0</v>
      </c>
      <c r="EI599" s="2">
        <v>0</v>
      </c>
      <c r="EK599" t="str">
        <f>IF(AND(AND(AND(OR($DX599=1,$DW599=1),OR($EC599=1,$EA599=1)),SUM($DV599:$DZ599,$EF599)&gt;=4),SUM($EA599:$EE599)&gt;=2),"Whole sector","")</f>
        <v/>
      </c>
      <c r="EL599" t="str">
        <f>IF(AND(AND(OR($DX599=1,$DW599=1),AND($EC599=0,$EA599=0)),SUM($DV599:$DZ599,$EF599)&gt;=4),"Ecosystem approach","")</f>
        <v/>
      </c>
      <c r="EM599" s="2" t="str">
        <f>IF(AND(AND(AND($DX599=0,$DW599=0),OR($EC599=1,$EA599=1)),SUM($EB599:$EE599)&gt;=2),"Technology approach","")</f>
        <v/>
      </c>
      <c r="EP599" t="b">
        <f>IF(ISNUMBER(BU599),IF(ABS(BU599-[4]QC_indicators!$B$2)&gt;3*[4]QC_indicators!$C$2,"C ratio",IF(ISNUMBER(BY599),IF(ABS(BY599-[4]QC_indicators!$B$1)&gt;3*[4]QC_indicators!$C$1,"DF","no"))),IF(ISNUMBER(BY599),IF(ABS(BY599-[4]QC_indicators!$B$1)&gt;3*[4]QC_indicators!$C$1,"DF","no")))</f>
        <v>0</v>
      </c>
      <c r="ET599" s="266" t="s">
        <v>3275</v>
      </c>
    </row>
    <row r="600" spans="1:150" ht="15" hidden="1" customHeight="1">
      <c r="A600" s="1" t="s">
        <v>880</v>
      </c>
      <c r="B600" t="s">
        <v>1793</v>
      </c>
      <c r="C600" t="s">
        <v>1794</v>
      </c>
      <c r="D600" t="s">
        <v>1795</v>
      </c>
      <c r="E600" t="s">
        <v>1796</v>
      </c>
      <c r="F600" t="s">
        <v>1797</v>
      </c>
      <c r="G600" t="s">
        <v>1186</v>
      </c>
      <c r="H600" t="s">
        <v>255</v>
      </c>
      <c r="I600">
        <v>2011</v>
      </c>
      <c r="J600">
        <v>6</v>
      </c>
      <c r="K600" t="s">
        <v>1798</v>
      </c>
      <c r="M600" t="str">
        <f>LEFT($D600,FIND(",",$D600)-1)&amp;"_"&amp;I600&amp;L600</f>
        <v>Kayo_2011</v>
      </c>
      <c r="N600" t="s">
        <v>223</v>
      </c>
      <c r="O600" s="145" t="s">
        <v>514</v>
      </c>
      <c r="Q600" t="s">
        <v>257</v>
      </c>
      <c r="R600" s="255" t="s">
        <v>226</v>
      </c>
      <c r="S600" s="265" t="s">
        <v>3353</v>
      </c>
      <c r="T600" t="s">
        <v>1802</v>
      </c>
      <c r="U600" t="s">
        <v>1805</v>
      </c>
      <c r="V600">
        <v>0</v>
      </c>
      <c r="W600">
        <v>0</v>
      </c>
      <c r="X600">
        <v>1</v>
      </c>
      <c r="Y600">
        <v>0</v>
      </c>
      <c r="Z600">
        <v>0</v>
      </c>
      <c r="AA600">
        <v>0</v>
      </c>
      <c r="AB600">
        <v>0</v>
      </c>
      <c r="AC600">
        <v>0</v>
      </c>
      <c r="AD600">
        <v>0</v>
      </c>
      <c r="AE600">
        <v>0</v>
      </c>
      <c r="AF600">
        <v>0</v>
      </c>
      <c r="AG600">
        <v>0</v>
      </c>
      <c r="AH600">
        <v>0</v>
      </c>
      <c r="AI600">
        <v>0</v>
      </c>
      <c r="AJ600">
        <v>0</v>
      </c>
      <c r="AK600">
        <v>0</v>
      </c>
      <c r="AL600">
        <v>0</v>
      </c>
      <c r="AM600">
        <v>0</v>
      </c>
      <c r="AN600">
        <v>0</v>
      </c>
      <c r="AO600">
        <v>0</v>
      </c>
      <c r="AP600">
        <v>0</v>
      </c>
      <c r="AQ600">
        <v>0</v>
      </c>
      <c r="AR600">
        <v>0</v>
      </c>
      <c r="AS600">
        <v>0</v>
      </c>
      <c r="AT600">
        <v>0</v>
      </c>
      <c r="AU600">
        <v>0</v>
      </c>
      <c r="AV600">
        <v>0</v>
      </c>
      <c r="AW600">
        <v>0</v>
      </c>
      <c r="AX600" s="141">
        <f>COUNTIF(V600:AW600,"&lt;&gt;0")</f>
        <v>1</v>
      </c>
      <c r="AY600" s="141">
        <f>COUNTIF(V600:AL600,"&lt;&gt;0")</f>
        <v>1</v>
      </c>
      <c r="AZ600">
        <f>COUNTIF(V600:AC600,"&lt;&gt;0")</f>
        <v>1</v>
      </c>
      <c r="BA600">
        <f>COUNTIF(AD600:AI600,"&lt;&gt;0")</f>
        <v>0</v>
      </c>
      <c r="BB600">
        <f>COUNTIF(AJ600:AL600,"&lt;&gt;0")</f>
        <v>0</v>
      </c>
      <c r="BC600">
        <f>COUNTIF(AS600:AW600,"&lt;&gt;0")</f>
        <v>0</v>
      </c>
      <c r="BD600">
        <f>COUNTIF(AM600:AR600,"&lt;&gt;0")</f>
        <v>0</v>
      </c>
      <c r="BE600" t="str">
        <f t="array" ref="BE600">IF(AY600=1,INDEX($V$7:$AL$7,MATCH(TRUE,INDEX($V600:$AW600&lt;&gt;0,),0)),IF(AY600=0,INDEX($AM$7:$AW$7,MATCH(1,$AM600:$AW600,0)),IF(BF600="Multiple strategies","mixed drivers",IF(BF600="Supply chain","multiple supply","multiple silviculture"))))</f>
        <v>rotation length</v>
      </c>
      <c r="BF600" s="2" t="str" cm="1">
        <f t="array" ref="BF600">IF(COUNTIF(AZ600:BB600,"&lt;&gt;0")=1,INDEX($V$4:$AW$4,MATCH(TRUE,INDEX($V600:$AW600&lt;&gt;0,),0)),IF(COUNTIF(AZ600:BB600,"&lt;&gt;0")=0,INDEX($AM$4:$AW$4,MATCH(1,$AM600:$AW600,0)),"Multiple strategies"))</f>
        <v>SilvicultureRemov</v>
      </c>
      <c r="BG600" s="1" t="s">
        <v>230</v>
      </c>
      <c r="BH600" t="s">
        <v>1801</v>
      </c>
      <c r="BI600" s="260" t="s">
        <v>3352</v>
      </c>
      <c r="BJ600" s="260" t="s">
        <v>3349</v>
      </c>
      <c r="BK600">
        <v>15</v>
      </c>
      <c r="BL600">
        <v>15</v>
      </c>
      <c r="BN600">
        <f>BL600-BK600</f>
        <v>0</v>
      </c>
      <c r="BO600">
        <f>BN600*10^6*t_to_m3</f>
        <v>0</v>
      </c>
      <c r="BP600" t="s">
        <v>233</v>
      </c>
      <c r="BQ600" s="260" t="s">
        <v>3358</v>
      </c>
      <c r="BR600" t="s">
        <v>1302</v>
      </c>
      <c r="BU600" s="144" t="str">
        <f>IFERROR(BT600/BS600,"")</f>
        <v/>
      </c>
      <c r="BV600" s="260">
        <v>-5</v>
      </c>
      <c r="BX600">
        <f>BV600*10^6</f>
        <v>-5000000</v>
      </c>
      <c r="BY600" t="str">
        <f>IFERROR(BX600/BO600,"")</f>
        <v/>
      </c>
      <c r="BZ600">
        <v>0</v>
      </c>
      <c r="CA600">
        <v>0</v>
      </c>
      <c r="CB600">
        <v>0</v>
      </c>
      <c r="CC600">
        <v>0</v>
      </c>
      <c r="CD600">
        <v>0</v>
      </c>
      <c r="CE600">
        <v>0</v>
      </c>
      <c r="CF600">
        <v>0</v>
      </c>
      <c r="CG600">
        <v>0</v>
      </c>
      <c r="CH600">
        <v>0</v>
      </c>
      <c r="CI600">
        <v>0</v>
      </c>
      <c r="CJ600">
        <v>0</v>
      </c>
      <c r="CK600">
        <v>0</v>
      </c>
      <c r="CL600">
        <v>0</v>
      </c>
      <c r="CM600">
        <v>0</v>
      </c>
      <c r="CN600" t="str">
        <f>IF(BL600&lt;BK600,"refNeedCorrection","refOK")</f>
        <v>refOK</v>
      </c>
      <c r="CO600">
        <f>IF($CN600="refOK",$BK600,$BL600)</f>
        <v>15</v>
      </c>
      <c r="CP600">
        <f>IF($CN600="refOK",$BL600,$BK600)</f>
        <v>15</v>
      </c>
      <c r="CQ600">
        <f>IF($CN600="refOK",$BO600,-$BO600)</f>
        <v>0</v>
      </c>
      <c r="CR600">
        <f>IF($CN600="refOK",$BS600,$BT600)*IF($BP600="Emissions positive",-1,1)</f>
        <v>0</v>
      </c>
      <c r="CS600">
        <f>IF($CN600="refOK",$BT600,$BS600)*IF($BP600="Emissions positive",-1,1)</f>
        <v>0</v>
      </c>
      <c r="CT600">
        <f>IF($CN600="refNeedCorrection",-BX600,BX600)*IF($BP600="Emissions positive",-1,1)</f>
        <v>-5000000</v>
      </c>
      <c r="CU600" t="str">
        <f>IFERROR(CT600/CQ600,"")</f>
        <v/>
      </c>
      <c r="CV600" s="2" t="str">
        <f>IFERROR((CS600-CR600)/ABS(CR600),"")</f>
        <v/>
      </c>
      <c r="CW600" s="1" t="s">
        <v>1205</v>
      </c>
      <c r="CX600" t="str">
        <f>IF(OR($CW600="prd",$CW600="std",$CW600="cit"),"loc",IF(OR($CW600="eur",$CW600="reg",$CW600="coy"),"reg",$CW600))</f>
        <v>reg</v>
      </c>
      <c r="CY600" t="s">
        <v>963</v>
      </c>
      <c r="CZ600">
        <v>2005</v>
      </c>
      <c r="DA600">
        <v>2020</v>
      </c>
      <c r="DB600">
        <v>15</v>
      </c>
      <c r="DC600" t="str">
        <f>IF(DB600=0,"0",IF(AND(DB600&gt;=1,DB600&lt;=30),"1-30",IF(AND(DB600&gt;30,DB600&lt;=70),"31-70",IF(AND(DB600&gt;70,DB600&lt;=100),"71-100",IF(DB600&gt;100,"+100")))))</f>
        <v>1-30</v>
      </c>
      <c r="DD600">
        <v>0</v>
      </c>
      <c r="DE600">
        <v>1</v>
      </c>
      <c r="DF600">
        <v>0</v>
      </c>
      <c r="DG600">
        <v>0</v>
      </c>
      <c r="DI600">
        <f>SUM(DD600:DG600)</f>
        <v>1</v>
      </c>
      <c r="DJ600" t="str">
        <f>IF(DI600=1,INDEX($DD$7:$DG$7,MATCH(1,$DD600:$DG600,0)),"mixedProduct")</f>
        <v>EnergyInput</v>
      </c>
      <c r="DK600">
        <f>IF(DD600=1,DK$7,0)</f>
        <v>0</v>
      </c>
      <c r="DL600" t="str">
        <f>IF(DE600=1,DL$7,0)</f>
        <v>Energy</v>
      </c>
      <c r="DM600">
        <f>IF(DF600=1,DM$7,0)</f>
        <v>0</v>
      </c>
      <c r="DN600">
        <f>IF(DG600=1,DN$7,0)</f>
        <v>0</v>
      </c>
      <c r="DO600">
        <v>0</v>
      </c>
      <c r="DP600">
        <v>0</v>
      </c>
      <c r="DQ600">
        <v>0</v>
      </c>
      <c r="DR600">
        <v>0</v>
      </c>
      <c r="DS600">
        <v>0</v>
      </c>
      <c r="DT600">
        <f>SUM(DO600:DP600)</f>
        <v>0</v>
      </c>
      <c r="DU600" s="143" t="str">
        <f>IF(DO600=1,"self-calculated DF",IF(DP600=1,"external DF used","explicit C balance"))</f>
        <v>explicit C balance</v>
      </c>
      <c r="DV600">
        <v>0</v>
      </c>
      <c r="DW600">
        <v>1</v>
      </c>
      <c r="DX600">
        <v>1</v>
      </c>
      <c r="DY600">
        <v>0</v>
      </c>
      <c r="DZ600">
        <v>0</v>
      </c>
      <c r="EA600" s="143">
        <v>1</v>
      </c>
      <c r="EB600">
        <v>1</v>
      </c>
      <c r="EC600">
        <v>0</v>
      </c>
      <c r="ED600">
        <v>0</v>
      </c>
      <c r="EE600">
        <v>0</v>
      </c>
      <c r="EF600">
        <v>1</v>
      </c>
      <c r="EG600">
        <v>1</v>
      </c>
      <c r="EH600">
        <v>0</v>
      </c>
      <c r="EI600" s="2">
        <v>0</v>
      </c>
      <c r="EK600" t="str">
        <f>IF(AND(AND(AND(OR($DX600=1,$DW600=1),OR($EC600=1,$EA600=1)),SUM($DV600:$DZ600,$EF600)&gt;=4),SUM($EA600:$EE600)&gt;=2),"Whole sector","")</f>
        <v/>
      </c>
      <c r="EL600" t="str">
        <f>IF(AND(AND(OR($DX600=1,$DW600=1),AND($EC600=0,$EA600=0)),SUM($DV600:$DZ600,$EF600)&gt;=4),"Ecosystem approach","")</f>
        <v/>
      </c>
      <c r="EM600" s="2" t="str">
        <f>IF(AND(AND(AND($DX600=0,$DW600=0),OR($EC600=1,$EA600=1)),SUM($EB600:$EE600)&gt;=2),"Technology approach","")</f>
        <v/>
      </c>
      <c r="EP600" t="b">
        <f>IF(ISNUMBER(BU600),IF(ABS(BU600-[4]QC_indicators!$B$2)&gt;3*[4]QC_indicators!$C$2,"C ratio",IF(ISNUMBER(BY600),IF(ABS(BY600-[4]QC_indicators!$B$1)&gt;3*[4]QC_indicators!$C$1,"DF","no"))),IF(ISNUMBER(BY600),IF(ABS(BY600-[4]QC_indicators!$B$1)&gt;3*[4]QC_indicators!$C$1,"DF","no")))</f>
        <v>0</v>
      </c>
      <c r="ET600" s="266" t="s">
        <v>3275</v>
      </c>
    </row>
    <row r="601" spans="1:150" ht="15" hidden="1" customHeight="1">
      <c r="A601" s="1" t="s">
        <v>1974</v>
      </c>
      <c r="B601" t="s">
        <v>2447</v>
      </c>
      <c r="C601" t="s">
        <v>2448</v>
      </c>
      <c r="D601" t="s">
        <v>2449</v>
      </c>
      <c r="E601" t="s">
        <v>2450</v>
      </c>
      <c r="F601" t="s">
        <v>2451</v>
      </c>
      <c r="G601" t="s">
        <v>1980</v>
      </c>
      <c r="H601" t="s">
        <v>255</v>
      </c>
      <c r="I601">
        <v>2018</v>
      </c>
      <c r="J601">
        <v>8</v>
      </c>
      <c r="K601" t="s">
        <v>2452</v>
      </c>
      <c r="M601" t="str">
        <f>LEFT($D601,FIND(",",$D601)-1)&amp;"_"&amp;I601&amp;L601</f>
        <v>Valade_2018</v>
      </c>
      <c r="N601" t="s">
        <v>223</v>
      </c>
      <c r="O601" s="145" t="s">
        <v>1156</v>
      </c>
      <c r="Q601" t="s">
        <v>257</v>
      </c>
      <c r="R601" s="255" t="s">
        <v>226</v>
      </c>
      <c r="S601" s="1" t="s">
        <v>2453</v>
      </c>
      <c r="T601" t="s">
        <v>2446</v>
      </c>
      <c r="U601" t="s">
        <v>2454</v>
      </c>
      <c r="V601">
        <v>1</v>
      </c>
      <c r="W601">
        <v>0</v>
      </c>
      <c r="X601">
        <v>0</v>
      </c>
      <c r="Y601">
        <v>0</v>
      </c>
      <c r="Z601">
        <v>0</v>
      </c>
      <c r="AA601">
        <v>0</v>
      </c>
      <c r="AB601">
        <v>0</v>
      </c>
      <c r="AC601">
        <v>0</v>
      </c>
      <c r="AD601">
        <v>0</v>
      </c>
      <c r="AE601">
        <v>0</v>
      </c>
      <c r="AF601">
        <v>0</v>
      </c>
      <c r="AG601">
        <v>0</v>
      </c>
      <c r="AH601">
        <v>0</v>
      </c>
      <c r="AI601">
        <v>0</v>
      </c>
      <c r="AJ601">
        <v>0</v>
      </c>
      <c r="AK601">
        <v>0</v>
      </c>
      <c r="AL601">
        <v>0</v>
      </c>
      <c r="AM601">
        <v>0</v>
      </c>
      <c r="AN601">
        <v>0</v>
      </c>
      <c r="AO601">
        <v>0</v>
      </c>
      <c r="AP601">
        <v>0</v>
      </c>
      <c r="AQ601">
        <v>0</v>
      </c>
      <c r="AR601">
        <v>0</v>
      </c>
      <c r="AS601">
        <v>0</v>
      </c>
      <c r="AT601">
        <v>0</v>
      </c>
      <c r="AU601">
        <v>0</v>
      </c>
      <c r="AV601">
        <v>0</v>
      </c>
      <c r="AW601">
        <v>0</v>
      </c>
      <c r="AX601" s="141">
        <f>COUNTIF(V601:AW601,"&lt;&gt;0")</f>
        <v>1</v>
      </c>
      <c r="AY601" s="141">
        <f>COUNTIF(V601:AL601,"&lt;&gt;0")</f>
        <v>1</v>
      </c>
      <c r="AZ601">
        <f>COUNTIF(V601:AC601,"&lt;&gt;0")</f>
        <v>1</v>
      </c>
      <c r="BA601">
        <f>COUNTIF(AD601:AI601,"&lt;&gt;0")</f>
        <v>0</v>
      </c>
      <c r="BB601">
        <f>COUNTIF(AJ601:AL601,"&lt;&gt;0")</f>
        <v>0</v>
      </c>
      <c r="BC601">
        <f>COUNTIF(AS601:AW601,"&lt;&gt;0")</f>
        <v>0</v>
      </c>
      <c r="BD601">
        <f>COUNTIF(AM601:AR601,"&lt;&gt;0")</f>
        <v>0</v>
      </c>
      <c r="BE601" t="str">
        <f t="array" ref="BE601">IF(AY601=1,INDEX($V$7:$AL$7,MATCH(TRUE,INDEX($V601:$AW601&lt;&gt;0,),0)),IF(AY601=0,INDEX($AM$7:$AW$7,MATCH(1,$AM601:$AW601,0)),IF(BF601="Multiple strategies","mixed drivers",IF(BF601="Supply chain","multiple supply","multiple silviculture"))))</f>
        <v>area subject to harvest</v>
      </c>
      <c r="BF601" s="2" t="str" cm="1">
        <f t="array" ref="BF601">IF(COUNTIF(AZ601:BB601,"&lt;&gt;0")=1,INDEX($V$4:$AW$4,MATCH(TRUE,INDEX($V601:$AW601&lt;&gt;0,),0)),IF(COUNTIF(AZ601:BB601,"&lt;&gt;0")=0,INDEX($AM$4:$AW$4,MATCH(1,$AM601:$AW601,0)),"Multiple strategies"))</f>
        <v>SilvicultureRemov</v>
      </c>
      <c r="BG601" s="1" t="s">
        <v>322</v>
      </c>
      <c r="BH601" t="s">
        <v>2455</v>
      </c>
      <c r="BI601" s="260" t="s">
        <v>3401</v>
      </c>
      <c r="BJ601" t="s">
        <v>1325</v>
      </c>
      <c r="BK601">
        <v>1168.5023099755704</v>
      </c>
      <c r="BL601">
        <v>1547.3378240138293</v>
      </c>
      <c r="BM601" s="143">
        <f>BL601/BK601</f>
        <v>1.3242060463245291</v>
      </c>
      <c r="BN601">
        <f>BL601-BK601</f>
        <v>378.83551403825891</v>
      </c>
      <c r="BO601">
        <f>BN601*10^6</f>
        <v>378835514.03825891</v>
      </c>
      <c r="BP601" t="s">
        <v>233</v>
      </c>
      <c r="BQ601" s="260" t="s">
        <v>3402</v>
      </c>
      <c r="BR601" t="s">
        <v>1361</v>
      </c>
      <c r="BS601">
        <v>268.62539996228497</v>
      </c>
      <c r="BT601">
        <v>65.981368000000003</v>
      </c>
      <c r="BU601" s="144">
        <f>IFERROR(BT601/BS601,"")</f>
        <v>0.24562594605448254</v>
      </c>
      <c r="BV601" s="144">
        <f>BT601-BS601</f>
        <v>-202.64403196228497</v>
      </c>
      <c r="BW601" s="144"/>
      <c r="BX601">
        <f>BV601*10^6*C_to_CO2</f>
        <v>-743703597.30158591</v>
      </c>
      <c r="BY601">
        <f>IFERROR(BX601/BO601,"")</f>
        <v>-1.9631306193391327</v>
      </c>
      <c r="BZ601">
        <v>0</v>
      </c>
      <c r="CA601">
        <v>0</v>
      </c>
      <c r="CB601">
        <v>0</v>
      </c>
      <c r="CC601">
        <v>0</v>
      </c>
      <c r="CD601">
        <v>0</v>
      </c>
      <c r="CE601">
        <v>0</v>
      </c>
      <c r="CF601">
        <v>0</v>
      </c>
      <c r="CG601">
        <v>0</v>
      </c>
      <c r="CH601">
        <v>0</v>
      </c>
      <c r="CI601">
        <v>0</v>
      </c>
      <c r="CJ601">
        <v>0</v>
      </c>
      <c r="CK601">
        <v>0</v>
      </c>
      <c r="CL601">
        <v>0</v>
      </c>
      <c r="CM601">
        <v>0</v>
      </c>
      <c r="CN601" t="str">
        <f>IF($BL601&lt;$BK601,"refNeedCorrection","refOK")</f>
        <v>refOK</v>
      </c>
      <c r="CO601">
        <f>IF($CN601="refNeedCorrection",BL601,BK601)</f>
        <v>1168.5023099755704</v>
      </c>
      <c r="CP601">
        <f>IF($CN601="refNeedCorrection",BK601,BL601)</f>
        <v>1547.3378240138293</v>
      </c>
      <c r="CQ601">
        <f>IF($CN601="refOK",$BO601,-$BO601)</f>
        <v>378835514.03825891</v>
      </c>
      <c r="CR601">
        <f>IF($CN601="refOK",$BS601,$BT601)*IF($BP601="Emissions positive",-1,1)</f>
        <v>268.62539996228497</v>
      </c>
      <c r="CS601">
        <f>IF($CN601="refOK",$BT601,$BS601)*IF($BP601="Emissions positive",-1,1)</f>
        <v>65.981368000000003</v>
      </c>
      <c r="CT601">
        <f>IF($CN601="refNeedCorrection",-BX601,BX601)*IF($BP601="Emissions positive",-1,1)</f>
        <v>-743703597.30158591</v>
      </c>
      <c r="CU601">
        <f>IFERROR(CT601/CQ601,"")</f>
        <v>-1.9631306193391327</v>
      </c>
      <c r="CV601" s="2">
        <f>IFERROR((CS601-CR601)/ABS(CR601),"")</f>
        <v>-0.75437405394551749</v>
      </c>
      <c r="CW601" s="1" t="s">
        <v>1205</v>
      </c>
      <c r="CX601" t="str">
        <f>IF(OR($CW601="prd",$CW601="std",$CW601="cit"),"loc",IF(OR($CW601="eur",$CW601="reg",$CW601="coy"),"reg",$CW601))</f>
        <v>reg</v>
      </c>
      <c r="CY601" t="s">
        <v>731</v>
      </c>
      <c r="CZ601">
        <v>2015</v>
      </c>
      <c r="DA601">
        <v>2040</v>
      </c>
      <c r="DB601">
        <f>DA601-CZ601</f>
        <v>25</v>
      </c>
      <c r="DC601" t="str">
        <f>IF(DB601=0,"0",IF(AND(DB601&gt;=1,DB601&lt;=30),"1-30",IF(AND(DB601&gt;30,DB601&lt;=70),"31-70",IF(AND(DB601&gt;70,DB601&lt;=100),"71-100",IF(DB601&gt;100,"+100")))))</f>
        <v>1-30</v>
      </c>
      <c r="DD601">
        <v>1</v>
      </c>
      <c r="DE601">
        <v>0</v>
      </c>
      <c r="DF601">
        <v>0</v>
      </c>
      <c r="DG601">
        <v>0</v>
      </c>
      <c r="DI601">
        <f>SUM(DD601:DG601)</f>
        <v>1</v>
      </c>
      <c r="DJ601" t="str">
        <f>IF(DI601=1,INDEX($DD$7:$DG$7,MATCH(1,$DD601:$DG601,0)),"mixedProduct")</f>
        <v>UpstreamInput</v>
      </c>
      <c r="DK601" t="str">
        <f>IF(DD601=1,DK$7,0)</f>
        <v>Upstream</v>
      </c>
      <c r="DL601">
        <f>IF(DE601=1,DL$7,0)</f>
        <v>0</v>
      </c>
      <c r="DM601">
        <f>IF(DF601=1,DM$7,0)</f>
        <v>0</v>
      </c>
      <c r="DN601">
        <f>IF(DG601=1,DN$7,0)</f>
        <v>0</v>
      </c>
      <c r="DO601">
        <v>0</v>
      </c>
      <c r="DP601">
        <v>0</v>
      </c>
      <c r="DQ601">
        <v>0</v>
      </c>
      <c r="DR601">
        <v>0</v>
      </c>
      <c r="DS601">
        <v>0</v>
      </c>
      <c r="DT601">
        <f>SUM(DO601:DP601)</f>
        <v>0</v>
      </c>
      <c r="DU601" s="143" t="str">
        <f>IF(DO601=1,"self-calculated DF",IF(DP601=1,"external DF used","explicit C balance"))</f>
        <v>explicit C balance</v>
      </c>
      <c r="DV601">
        <v>0</v>
      </c>
      <c r="DW601">
        <v>1</v>
      </c>
      <c r="DX601">
        <v>1</v>
      </c>
      <c r="DY601">
        <v>0</v>
      </c>
      <c r="DZ601">
        <v>0</v>
      </c>
      <c r="EA601" s="143">
        <v>0</v>
      </c>
      <c r="EB601">
        <v>0</v>
      </c>
      <c r="EC601">
        <v>0</v>
      </c>
      <c r="ED601">
        <v>0</v>
      </c>
      <c r="EE601">
        <v>0</v>
      </c>
      <c r="EF601">
        <v>1</v>
      </c>
      <c r="EG601">
        <v>0</v>
      </c>
      <c r="EH601">
        <v>0</v>
      </c>
      <c r="EI601" s="2">
        <v>0</v>
      </c>
      <c r="EK601" t="str">
        <f>IF(AND(AND(AND(OR($DX601=1,$DW601=1),OR($EC601=1,$EA601=1)),SUM($DV601:$DZ601,$EF601)&gt;=4),SUM($EA601:$EE601)&gt;=2),"Whole sector","")</f>
        <v/>
      </c>
      <c r="EL601" t="str">
        <f>IF(AND(AND(OR($DX601=1,$DW601=1),AND($EC601=0,$EA601=0)),SUM($DV601:$DZ601,$EF601)&gt;=4),"Ecosystem approach","")</f>
        <v/>
      </c>
      <c r="EM601" s="2" t="str">
        <f>IF(AND(AND(AND($DX601=0,$DW601=0),OR($EC601=1,$EA601=1)),SUM($EB601:$EE601)&gt;=2),"Technology approach","")</f>
        <v/>
      </c>
      <c r="EP601" t="str">
        <f>IF(ISNUMBER(BU601),IF(ABS(BU601-[4]QC_indicators!$B$2)&gt;3*[4]QC_indicators!$C$2,"C ratio",IF(ISNUMBER(BY601),IF(ABS(BY601-[4]QC_indicators!$B$1)&gt;3*[4]QC_indicators!$C$1,"DF","no"))),IF(ISNUMBER(BY601),IF(ABS(BY601-[4]QC_indicators!$B$1)&gt;3*[4]QC_indicators!$C$1,"DF","no")))</f>
        <v>no</v>
      </c>
      <c r="EQ601" t="s">
        <v>2380</v>
      </c>
      <c r="ET601" s="266" t="s">
        <v>3275</v>
      </c>
    </row>
    <row r="602" spans="1:150" ht="15" hidden="1" customHeight="1">
      <c r="A602" s="1" t="s">
        <v>1974</v>
      </c>
      <c r="B602" t="s">
        <v>2447</v>
      </c>
      <c r="C602" t="s">
        <v>2448</v>
      </c>
      <c r="D602" t="s">
        <v>2449</v>
      </c>
      <c r="E602" t="s">
        <v>2450</v>
      </c>
      <c r="F602" t="s">
        <v>2451</v>
      </c>
      <c r="G602" t="s">
        <v>1980</v>
      </c>
      <c r="H602" t="s">
        <v>255</v>
      </c>
      <c r="I602">
        <v>2018</v>
      </c>
      <c r="J602">
        <v>8</v>
      </c>
      <c r="K602" t="s">
        <v>2452</v>
      </c>
      <c r="M602" t="str">
        <f>LEFT($D602,FIND(",",$D602)-1)&amp;"_"&amp;I602&amp;L602</f>
        <v>Valade_2018</v>
      </c>
      <c r="N602" t="s">
        <v>223</v>
      </c>
      <c r="O602" s="145" t="s">
        <v>1156</v>
      </c>
      <c r="Q602" t="s">
        <v>257</v>
      </c>
      <c r="R602" s="255" t="s">
        <v>226</v>
      </c>
      <c r="S602" s="1" t="s">
        <v>2456</v>
      </c>
      <c r="T602" t="s">
        <v>2446</v>
      </c>
      <c r="U602" t="s">
        <v>2457</v>
      </c>
      <c r="V602">
        <v>0</v>
      </c>
      <c r="W602">
        <v>0</v>
      </c>
      <c r="X602">
        <v>0</v>
      </c>
      <c r="Y602">
        <v>1</v>
      </c>
      <c r="Z602">
        <v>0</v>
      </c>
      <c r="AA602">
        <v>0</v>
      </c>
      <c r="AB602">
        <v>0</v>
      </c>
      <c r="AC602">
        <v>0</v>
      </c>
      <c r="AD602">
        <v>0</v>
      </c>
      <c r="AE602">
        <v>0</v>
      </c>
      <c r="AF602">
        <v>0</v>
      </c>
      <c r="AG602">
        <v>0</v>
      </c>
      <c r="AH602">
        <v>0</v>
      </c>
      <c r="AI602">
        <v>0</v>
      </c>
      <c r="AJ602">
        <v>0</v>
      </c>
      <c r="AK602">
        <v>0</v>
      </c>
      <c r="AL602">
        <v>0</v>
      </c>
      <c r="AM602">
        <v>0</v>
      </c>
      <c r="AN602">
        <v>0</v>
      </c>
      <c r="AO602">
        <v>0</v>
      </c>
      <c r="AP602">
        <v>0</v>
      </c>
      <c r="AQ602">
        <v>0</v>
      </c>
      <c r="AR602">
        <v>0</v>
      </c>
      <c r="AS602">
        <v>0</v>
      </c>
      <c r="AT602">
        <v>0</v>
      </c>
      <c r="AU602">
        <v>0</v>
      </c>
      <c r="AV602">
        <v>0</v>
      </c>
      <c r="AW602">
        <v>0</v>
      </c>
      <c r="AX602" s="141">
        <f>COUNTIF(V602:AW602,"&lt;&gt;0")</f>
        <v>1</v>
      </c>
      <c r="AY602" s="141">
        <f>COUNTIF(V602:AL602,"&lt;&gt;0")</f>
        <v>1</v>
      </c>
      <c r="AZ602">
        <f>COUNTIF(V602:AC602,"&lt;&gt;0")</f>
        <v>1</v>
      </c>
      <c r="BA602">
        <f>COUNTIF(AD602:AI602,"&lt;&gt;0")</f>
        <v>0</v>
      </c>
      <c r="BB602">
        <f>COUNTIF(AJ602:AL602,"&lt;&gt;0")</f>
        <v>0</v>
      </c>
      <c r="BC602">
        <f>COUNTIF(AS602:AW602,"&lt;&gt;0")</f>
        <v>0</v>
      </c>
      <c r="BD602">
        <f>COUNTIF(AM602:AR602,"&lt;&gt;0")</f>
        <v>0</v>
      </c>
      <c r="BE602" t="str">
        <f t="array" ref="BE602">IF(AY602=1,INDEX($V$7:$AL$7,MATCH(TRUE,INDEX($V602:$AW602&lt;&gt;0,),0)),IF(AY602=0,INDEX($AM$7:$AW$7,MATCH(1,$AM602:$AW602,0)),IF(BF602="Multiple strategies","mixed drivers",IF(BF602="Supply chain","multiple supply","multiple silviculture"))))</f>
        <v xml:space="preserve">cutting intensity </v>
      </c>
      <c r="BF602" s="2" t="str" cm="1">
        <f t="array" ref="BF602">IF(COUNTIF(AZ602:BB602,"&lt;&gt;0")=1,INDEX($V$4:$AW$4,MATCH(TRUE,INDEX($V602:$AW602&lt;&gt;0,),0)),IF(COUNTIF(AZ602:BB602,"&lt;&gt;0")=0,INDEX($AM$4:$AW$4,MATCH(1,$AM602:$AW602,0)),"Multiple strategies"))</f>
        <v>SilvicultureRemov</v>
      </c>
      <c r="BG602" s="1" t="s">
        <v>322</v>
      </c>
      <c r="BH602" t="s">
        <v>2455</v>
      </c>
      <c r="BI602" s="260" t="s">
        <v>3401</v>
      </c>
      <c r="BJ602" t="s">
        <v>1325</v>
      </c>
      <c r="BK602">
        <v>1168.5023099755704</v>
      </c>
      <c r="BL602">
        <v>1304.0435025027948</v>
      </c>
      <c r="BM602" s="143">
        <f>BL602/BK602</f>
        <v>1.1159956564656326</v>
      </c>
      <c r="BN602">
        <f>BL602-BK602</f>
        <v>135.54119252722444</v>
      </c>
      <c r="BO602">
        <f>BN602*10^6</f>
        <v>135541192.52722445</v>
      </c>
      <c r="BP602" t="s">
        <v>233</v>
      </c>
      <c r="BQ602" s="260" t="s">
        <v>3402</v>
      </c>
      <c r="BR602" t="s">
        <v>1361</v>
      </c>
      <c r="BS602">
        <v>268.62539996228497</v>
      </c>
      <c r="BT602">
        <v>195.10850099999999</v>
      </c>
      <c r="BU602" s="144">
        <f>IFERROR(BT602/BS602,"")</f>
        <v>0.7263218631871492</v>
      </c>
      <c r="BV602" s="144">
        <f>BT602-BS602</f>
        <v>-73.516898962284984</v>
      </c>
      <c r="BW602" s="144"/>
      <c r="BX602">
        <f>BV602*10^6*C_to_CO2</f>
        <v>-269807019.1915859</v>
      </c>
      <c r="BY602">
        <f>IFERROR(BX602/BO602,"")</f>
        <v>-1.9905905663135814</v>
      </c>
      <c r="BZ602">
        <v>0</v>
      </c>
      <c r="CA602">
        <v>0</v>
      </c>
      <c r="CB602">
        <v>0</v>
      </c>
      <c r="CC602">
        <v>0</v>
      </c>
      <c r="CD602">
        <v>0</v>
      </c>
      <c r="CE602">
        <v>0</v>
      </c>
      <c r="CF602">
        <v>0</v>
      </c>
      <c r="CG602">
        <v>0</v>
      </c>
      <c r="CH602">
        <v>0</v>
      </c>
      <c r="CI602">
        <v>0</v>
      </c>
      <c r="CJ602">
        <v>0</v>
      </c>
      <c r="CK602">
        <v>0</v>
      </c>
      <c r="CL602">
        <v>0</v>
      </c>
      <c r="CM602">
        <v>0</v>
      </c>
      <c r="CN602" t="str">
        <f>IF($BL602&lt;$BK602,"refNeedCorrection","refOK")</f>
        <v>refOK</v>
      </c>
      <c r="CO602">
        <f>IF($CN602="refNeedCorrection",BL602,BK602)</f>
        <v>1168.5023099755704</v>
      </c>
      <c r="CP602">
        <f>IF($CN602="refNeedCorrection",BK602,BL602)</f>
        <v>1304.0435025027948</v>
      </c>
      <c r="CQ602">
        <f>IF($CN602="refOK",$BO602,-$BO602)</f>
        <v>135541192.52722445</v>
      </c>
      <c r="CR602">
        <f>IF($CN602="refOK",$BS602,$BT602)*IF($BP602="Emissions positive",-1,1)</f>
        <v>268.62539996228497</v>
      </c>
      <c r="CS602">
        <f>IF($CN602="refOK",$BT602,$BS602)*IF($BP602="Emissions positive",-1,1)</f>
        <v>195.10850099999999</v>
      </c>
      <c r="CT602">
        <f>IF($CN602="refNeedCorrection",-BX602,BX602)*IF($BP602="Emissions positive",-1,1)</f>
        <v>-269807019.1915859</v>
      </c>
      <c r="CU602">
        <f>IFERROR(CT602/CQ602,"")</f>
        <v>-1.9905905663135814</v>
      </c>
      <c r="CV602" s="2">
        <f>IFERROR((CS602-CR602)/ABS(CR602),"")</f>
        <v>-0.27367813681285075</v>
      </c>
      <c r="CW602" s="1" t="s">
        <v>1205</v>
      </c>
      <c r="CX602" t="str">
        <f>IF(OR($CW602="prd",$CW602="std",$CW602="cit"),"loc",IF(OR($CW602="eur",$CW602="reg",$CW602="coy"),"reg",$CW602))</f>
        <v>reg</v>
      </c>
      <c r="CY602" t="s">
        <v>731</v>
      </c>
      <c r="CZ602">
        <v>2015</v>
      </c>
      <c r="DA602">
        <v>2040</v>
      </c>
      <c r="DB602">
        <f>DA602-CZ602</f>
        <v>25</v>
      </c>
      <c r="DC602" t="str">
        <f>IF(DB602=0,"0",IF(AND(DB602&gt;=1,DB602&lt;=30),"1-30",IF(AND(DB602&gt;30,DB602&lt;=70),"31-70",IF(AND(DB602&gt;70,DB602&lt;=100),"71-100",IF(DB602&gt;100,"+100")))))</f>
        <v>1-30</v>
      </c>
      <c r="DD602">
        <v>1</v>
      </c>
      <c r="DE602">
        <v>0</v>
      </c>
      <c r="DF602">
        <v>0</v>
      </c>
      <c r="DG602">
        <v>0</v>
      </c>
      <c r="DI602">
        <f>SUM(DD602:DG602)</f>
        <v>1</v>
      </c>
      <c r="DJ602" t="str">
        <f>IF(DI602=1,INDEX($DD$7:$DG$7,MATCH(1,$DD602:$DG602,0)),"mixedProduct")</f>
        <v>UpstreamInput</v>
      </c>
      <c r="DK602" t="str">
        <f>IF(DD602=1,DK$7,0)</f>
        <v>Upstream</v>
      </c>
      <c r="DL602">
        <f>IF(DE602=1,DL$7,0)</f>
        <v>0</v>
      </c>
      <c r="DM602">
        <f>IF(DF602=1,DM$7,0)</f>
        <v>0</v>
      </c>
      <c r="DN602">
        <f>IF(DG602=1,DN$7,0)</f>
        <v>0</v>
      </c>
      <c r="DO602">
        <v>0</v>
      </c>
      <c r="DP602">
        <v>0</v>
      </c>
      <c r="DQ602">
        <v>0</v>
      </c>
      <c r="DR602">
        <v>0</v>
      </c>
      <c r="DS602">
        <v>0</v>
      </c>
      <c r="DT602">
        <f>SUM(DO602:DP602)</f>
        <v>0</v>
      </c>
      <c r="DU602" s="143" t="str">
        <f>IF(DO602=1,"self-calculated DF",IF(DP602=1,"external DF used","explicit C balance"))</f>
        <v>explicit C balance</v>
      </c>
      <c r="DV602">
        <v>0</v>
      </c>
      <c r="DW602">
        <v>1</v>
      </c>
      <c r="DX602">
        <v>1</v>
      </c>
      <c r="DY602">
        <v>0</v>
      </c>
      <c r="DZ602">
        <v>0</v>
      </c>
      <c r="EA602" s="143">
        <v>0</v>
      </c>
      <c r="EB602">
        <v>0</v>
      </c>
      <c r="EC602">
        <v>0</v>
      </c>
      <c r="ED602">
        <v>0</v>
      </c>
      <c r="EE602">
        <v>0</v>
      </c>
      <c r="EF602">
        <v>1</v>
      </c>
      <c r="EG602">
        <v>0</v>
      </c>
      <c r="EH602">
        <v>0</v>
      </c>
      <c r="EI602" s="2">
        <v>0</v>
      </c>
      <c r="EK602" t="str">
        <f>IF(AND(AND(AND(OR($DX602=1,$DW602=1),OR($EC602=1,$EA602=1)),SUM($DV602:$DZ602,$EF602)&gt;=4),SUM($EA602:$EE602)&gt;=2),"Whole sector","")</f>
        <v/>
      </c>
      <c r="EL602" t="str">
        <f>IF(AND(AND(OR($DX602=1,$DW602=1),AND($EC602=0,$EA602=0)),SUM($DV602:$DZ602,$EF602)&gt;=4),"Ecosystem approach","")</f>
        <v/>
      </c>
      <c r="EM602" s="2" t="str">
        <f>IF(AND(AND(AND($DX602=0,$DW602=0),OR($EC602=1,$EA602=1)),SUM($EB602:$EE602)&gt;=2),"Technology approach","")</f>
        <v/>
      </c>
      <c r="EP602" t="str">
        <f>IF(ISNUMBER(BU602),IF(ABS(BU602-[4]QC_indicators!$B$2)&gt;3*[4]QC_indicators!$C$2,"C ratio",IF(ISNUMBER(BY602),IF(ABS(BY602-[4]QC_indicators!$B$1)&gt;3*[4]QC_indicators!$C$1,"DF","no"))),IF(ISNUMBER(BY602),IF(ABS(BY602-[4]QC_indicators!$B$1)&gt;3*[4]QC_indicators!$C$1,"DF","no")))</f>
        <v>no</v>
      </c>
      <c r="EQ602" t="s">
        <v>2380</v>
      </c>
      <c r="ET602" s="266" t="s">
        <v>3275</v>
      </c>
    </row>
    <row r="603" spans="1:150" ht="15" hidden="1" customHeight="1">
      <c r="A603" s="1" t="s">
        <v>1974</v>
      </c>
      <c r="B603" t="s">
        <v>2447</v>
      </c>
      <c r="C603" t="s">
        <v>2448</v>
      </c>
      <c r="D603" t="s">
        <v>2449</v>
      </c>
      <c r="E603" t="s">
        <v>2450</v>
      </c>
      <c r="F603" t="s">
        <v>2451</v>
      </c>
      <c r="G603" t="s">
        <v>1980</v>
      </c>
      <c r="H603" t="s">
        <v>255</v>
      </c>
      <c r="I603">
        <v>2018</v>
      </c>
      <c r="J603">
        <v>8</v>
      </c>
      <c r="K603" t="s">
        <v>2452</v>
      </c>
      <c r="M603" t="str">
        <f>LEFT($D603,FIND(",",$D603)-1)&amp;"_"&amp;I603&amp;L603</f>
        <v>Valade_2018</v>
      </c>
      <c r="N603" t="s">
        <v>223</v>
      </c>
      <c r="O603" s="145" t="s">
        <v>1156</v>
      </c>
      <c r="Q603" t="s">
        <v>257</v>
      </c>
      <c r="R603" s="255" t="s">
        <v>226</v>
      </c>
      <c r="S603" s="1" t="s">
        <v>2458</v>
      </c>
      <c r="T603" t="s">
        <v>2446</v>
      </c>
      <c r="U603" t="s">
        <v>2459</v>
      </c>
      <c r="V603">
        <v>0</v>
      </c>
      <c r="W603">
        <v>0</v>
      </c>
      <c r="X603">
        <v>1</v>
      </c>
      <c r="Y603">
        <v>0</v>
      </c>
      <c r="Z603">
        <v>0</v>
      </c>
      <c r="AA603">
        <v>0</v>
      </c>
      <c r="AB603">
        <v>0</v>
      </c>
      <c r="AC603">
        <v>0</v>
      </c>
      <c r="AD603">
        <v>0</v>
      </c>
      <c r="AE603">
        <v>0</v>
      </c>
      <c r="AF603">
        <v>0</v>
      </c>
      <c r="AG603">
        <v>0</v>
      </c>
      <c r="AH603">
        <v>0</v>
      </c>
      <c r="AI603">
        <v>0</v>
      </c>
      <c r="AJ603">
        <v>0</v>
      </c>
      <c r="AK603">
        <v>0</v>
      </c>
      <c r="AL603">
        <v>0</v>
      </c>
      <c r="AM603">
        <v>0</v>
      </c>
      <c r="AN603">
        <v>0</v>
      </c>
      <c r="AO603">
        <v>0</v>
      </c>
      <c r="AP603">
        <v>0</v>
      </c>
      <c r="AQ603">
        <v>0</v>
      </c>
      <c r="AR603">
        <v>0</v>
      </c>
      <c r="AS603">
        <v>0</v>
      </c>
      <c r="AT603">
        <v>0</v>
      </c>
      <c r="AU603">
        <v>0</v>
      </c>
      <c r="AV603">
        <v>0</v>
      </c>
      <c r="AW603">
        <v>0</v>
      </c>
      <c r="AX603" s="141">
        <f>COUNTIF(V603:AW603,"&lt;&gt;0")</f>
        <v>1</v>
      </c>
      <c r="AY603" s="141">
        <f>COUNTIF(V603:AL603,"&lt;&gt;0")</f>
        <v>1</v>
      </c>
      <c r="AZ603">
        <f>COUNTIF(V603:AC603,"&lt;&gt;0")</f>
        <v>1</v>
      </c>
      <c r="BA603">
        <f>COUNTIF(AD603:AI603,"&lt;&gt;0")</f>
        <v>0</v>
      </c>
      <c r="BB603">
        <f>COUNTIF(AJ603:AL603,"&lt;&gt;0")</f>
        <v>0</v>
      </c>
      <c r="BC603">
        <f>COUNTIF(AS603:AW603,"&lt;&gt;0")</f>
        <v>0</v>
      </c>
      <c r="BD603">
        <f>COUNTIF(AM603:AR603,"&lt;&gt;0")</f>
        <v>0</v>
      </c>
      <c r="BE603" t="str">
        <f t="array" ref="BE603">IF(AY603=1,INDEX($V$7:$AL$7,MATCH(TRUE,INDEX($V603:$AW603&lt;&gt;0,),0)),IF(AY603=0,INDEX($AM$7:$AW$7,MATCH(1,$AM603:$AW603,0)),IF(BF603="Multiple strategies","mixed drivers",IF(BF603="Supply chain","multiple supply","multiple silviculture"))))</f>
        <v>rotation length</v>
      </c>
      <c r="BF603" s="2" t="str" cm="1">
        <f t="array" ref="BF603">IF(COUNTIF(AZ603:BB603,"&lt;&gt;0")=1,INDEX($V$4:$AW$4,MATCH(TRUE,INDEX($V603:$AW603&lt;&gt;0,),0)),IF(COUNTIF(AZ603:BB603,"&lt;&gt;0")=0,INDEX($AM$4:$AW$4,MATCH(1,$AM603:$AW603,0)),"Multiple strategies"))</f>
        <v>SilvicultureRemov</v>
      </c>
      <c r="BG603" s="1" t="s">
        <v>322</v>
      </c>
      <c r="BH603" t="s">
        <v>2455</v>
      </c>
      <c r="BI603" s="260" t="s">
        <v>3401</v>
      </c>
      <c r="BJ603" t="s">
        <v>1325</v>
      </c>
      <c r="BK603">
        <v>1168.5023099755704</v>
      </c>
      <c r="BL603">
        <v>2095.3144563242754</v>
      </c>
      <c r="BM603" s="143">
        <f>BL603/BK603</f>
        <v>1.7931624425869399</v>
      </c>
      <c r="BN603">
        <f>BL603-BK603</f>
        <v>926.81214634870503</v>
      </c>
      <c r="BO603">
        <f>BN603*10^6</f>
        <v>926812146.34870505</v>
      </c>
      <c r="BP603" t="s">
        <v>233</v>
      </c>
      <c r="BQ603" s="260" t="s">
        <v>3402</v>
      </c>
      <c r="BR603" t="s">
        <v>1361</v>
      </c>
      <c r="BS603">
        <v>268.62539996228497</v>
      </c>
      <c r="BT603">
        <v>-158.820853</v>
      </c>
      <c r="BU603" s="144">
        <f>IFERROR(BT603/BS603,"")</f>
        <v>-0.59123542681480779</v>
      </c>
      <c r="BV603" s="144">
        <f>BT603-BS603</f>
        <v>-427.44625296228497</v>
      </c>
      <c r="BW603" s="144"/>
      <c r="BX603">
        <f>BV603*10^6*C_to_CO2</f>
        <v>-1568727748.3715858</v>
      </c>
      <c r="BY603">
        <f>IFERROR(BX603/BO603,"")</f>
        <v>-1.6926059445290929</v>
      </c>
      <c r="BZ603">
        <v>0</v>
      </c>
      <c r="CA603">
        <v>0</v>
      </c>
      <c r="CB603">
        <v>0</v>
      </c>
      <c r="CC603">
        <v>0</v>
      </c>
      <c r="CD603">
        <v>0</v>
      </c>
      <c r="CE603">
        <v>0</v>
      </c>
      <c r="CF603">
        <v>0</v>
      </c>
      <c r="CG603">
        <v>0</v>
      </c>
      <c r="CH603">
        <v>0</v>
      </c>
      <c r="CI603">
        <v>0</v>
      </c>
      <c r="CJ603">
        <v>0</v>
      </c>
      <c r="CK603">
        <v>0</v>
      </c>
      <c r="CL603">
        <v>0</v>
      </c>
      <c r="CM603">
        <v>0</v>
      </c>
      <c r="CN603" t="str">
        <f>IF($BL603&lt;$BK603,"refNeedCorrection","refOK")</f>
        <v>refOK</v>
      </c>
      <c r="CO603">
        <f>IF($CN603="refNeedCorrection",BL603,BK603)</f>
        <v>1168.5023099755704</v>
      </c>
      <c r="CP603">
        <f>IF($CN603="refNeedCorrection",BK603,BL603)</f>
        <v>2095.3144563242754</v>
      </c>
      <c r="CQ603">
        <f>IF($CN603="refOK",$BO603,-$BO603)</f>
        <v>926812146.34870505</v>
      </c>
      <c r="CR603">
        <f>IF($CN603="refOK",$BS603,$BT603)*IF($BP603="Emissions positive",-1,1)</f>
        <v>268.62539996228497</v>
      </c>
      <c r="CS603">
        <f>IF($CN603="refOK",$BT603,$BS603)*IF($BP603="Emissions positive",-1,1)</f>
        <v>-158.820853</v>
      </c>
      <c r="CT603">
        <f>IF($CN603="refNeedCorrection",-BX603,BX603)*IF($BP603="Emissions positive",-1,1)</f>
        <v>-1568727748.3715858</v>
      </c>
      <c r="CU603">
        <f>IFERROR(CT603/CQ603,"")</f>
        <v>-1.6926059445290929</v>
      </c>
      <c r="CV603" s="2">
        <f>IFERROR((CS603-CR603)/ABS(CR603),"")</f>
        <v>-1.5912354268148077</v>
      </c>
      <c r="CW603" s="1" t="s">
        <v>1205</v>
      </c>
      <c r="CX603" t="str">
        <f>IF(OR($CW603="prd",$CW603="std",$CW603="cit"),"loc",IF(OR($CW603="eur",$CW603="reg",$CW603="coy"),"reg",$CW603))</f>
        <v>reg</v>
      </c>
      <c r="CY603" t="s">
        <v>731</v>
      </c>
      <c r="CZ603">
        <v>2015</v>
      </c>
      <c r="DA603">
        <v>2040</v>
      </c>
      <c r="DB603">
        <f>DA603-CZ603</f>
        <v>25</v>
      </c>
      <c r="DC603" t="str">
        <f>IF(DB603=0,"0",IF(AND(DB603&gt;=1,DB603&lt;=30),"1-30",IF(AND(DB603&gt;30,DB603&lt;=70),"31-70",IF(AND(DB603&gt;70,DB603&lt;=100),"71-100",IF(DB603&gt;100,"+100")))))</f>
        <v>1-30</v>
      </c>
      <c r="DD603">
        <v>1</v>
      </c>
      <c r="DE603">
        <v>0</v>
      </c>
      <c r="DF603">
        <v>0</v>
      </c>
      <c r="DG603">
        <v>0</v>
      </c>
      <c r="DI603">
        <f>SUM(DD603:DG603)</f>
        <v>1</v>
      </c>
      <c r="DJ603" t="str">
        <f>IF(DI603=1,INDEX($DD$7:$DG$7,MATCH(1,$DD603:$DG603,0)),"mixedProduct")</f>
        <v>UpstreamInput</v>
      </c>
      <c r="DK603" t="str">
        <f>IF(DD603=1,DK$7,0)</f>
        <v>Upstream</v>
      </c>
      <c r="DL603">
        <f>IF(DE603=1,DL$7,0)</f>
        <v>0</v>
      </c>
      <c r="DM603">
        <f>IF(DF603=1,DM$7,0)</f>
        <v>0</v>
      </c>
      <c r="DN603">
        <f>IF(DG603=1,DN$7,0)</f>
        <v>0</v>
      </c>
      <c r="DO603">
        <v>0</v>
      </c>
      <c r="DP603">
        <v>0</v>
      </c>
      <c r="DQ603">
        <v>0</v>
      </c>
      <c r="DR603">
        <v>0</v>
      </c>
      <c r="DS603">
        <v>0</v>
      </c>
      <c r="DT603">
        <f>SUM(DO603:DP603)</f>
        <v>0</v>
      </c>
      <c r="DU603" s="143" t="str">
        <f>IF(DO603=1,"self-calculated DF",IF(DP603=1,"external DF used","explicit C balance"))</f>
        <v>explicit C balance</v>
      </c>
      <c r="DV603">
        <v>0</v>
      </c>
      <c r="DW603">
        <v>1</v>
      </c>
      <c r="DX603">
        <v>1</v>
      </c>
      <c r="DY603">
        <v>0</v>
      </c>
      <c r="DZ603">
        <v>0</v>
      </c>
      <c r="EA603" s="143">
        <v>0</v>
      </c>
      <c r="EB603">
        <v>0</v>
      </c>
      <c r="EC603">
        <v>0</v>
      </c>
      <c r="ED603">
        <v>0</v>
      </c>
      <c r="EE603">
        <v>0</v>
      </c>
      <c r="EF603">
        <v>1</v>
      </c>
      <c r="EG603">
        <v>0</v>
      </c>
      <c r="EH603">
        <v>0</v>
      </c>
      <c r="EI603" s="2">
        <v>0</v>
      </c>
      <c r="EK603" t="str">
        <f>IF(AND(AND(AND(OR($DX603=1,$DW603=1),OR($EC603=1,$EA603=1)),SUM($DV603:$DZ603,$EF603)&gt;=4),SUM($EA603:$EE603)&gt;=2),"Whole sector","")</f>
        <v/>
      </c>
      <c r="EL603" t="str">
        <f>IF(AND(AND(OR($DX603=1,$DW603=1),AND($EC603=0,$EA603=0)),SUM($DV603:$DZ603,$EF603)&gt;=4),"Ecosystem approach","")</f>
        <v/>
      </c>
      <c r="EM603" s="2" t="str">
        <f>IF(AND(AND(AND($DX603=0,$DW603=0),OR($EC603=1,$EA603=1)),SUM($EB603:$EE603)&gt;=2),"Technology approach","")</f>
        <v/>
      </c>
      <c r="EP603" t="str">
        <f>IF(ISNUMBER(BU603),IF(ABS(BU603-[4]QC_indicators!$B$2)&gt;3*[4]QC_indicators!$C$2,"C ratio",IF(ISNUMBER(BY603),IF(ABS(BY603-[4]QC_indicators!$B$1)&gt;3*[4]QC_indicators!$C$1,"DF","no"))),IF(ISNUMBER(BY603),IF(ABS(BY603-[4]QC_indicators!$B$1)&gt;3*[4]QC_indicators!$C$1,"DF","no")))</f>
        <v>no</v>
      </c>
      <c r="EQ603" t="s">
        <v>2380</v>
      </c>
      <c r="ET603" s="266" t="s">
        <v>3275</v>
      </c>
    </row>
    <row r="604" spans="1:150" ht="15" hidden="1" customHeight="1">
      <c r="A604" s="1" t="s">
        <v>1974</v>
      </c>
      <c r="B604" t="s">
        <v>2447</v>
      </c>
      <c r="C604" t="s">
        <v>2448</v>
      </c>
      <c r="D604" t="s">
        <v>2449</v>
      </c>
      <c r="E604" t="s">
        <v>2450</v>
      </c>
      <c r="F604" t="s">
        <v>2451</v>
      </c>
      <c r="G604" t="s">
        <v>1980</v>
      </c>
      <c r="H604" t="s">
        <v>255</v>
      </c>
      <c r="I604">
        <v>2018</v>
      </c>
      <c r="J604">
        <v>8</v>
      </c>
      <c r="K604" t="s">
        <v>2452</v>
      </c>
      <c r="M604" t="str">
        <f>LEFT($D604,FIND(",",$D604)-1)&amp;"_"&amp;I604&amp;L604</f>
        <v>Valade_2018</v>
      </c>
      <c r="N604" t="s">
        <v>223</v>
      </c>
      <c r="O604" s="145" t="s">
        <v>1156</v>
      </c>
      <c r="Q604" t="s">
        <v>257</v>
      </c>
      <c r="R604" s="255" t="s">
        <v>226</v>
      </c>
      <c r="S604" s="1" t="s">
        <v>2460</v>
      </c>
      <c r="T604" t="s">
        <v>2446</v>
      </c>
      <c r="U604" t="s">
        <v>2461</v>
      </c>
      <c r="V604">
        <v>0</v>
      </c>
      <c r="W604">
        <v>0</v>
      </c>
      <c r="X604">
        <v>1</v>
      </c>
      <c r="Y604">
        <v>0</v>
      </c>
      <c r="Z604">
        <v>0</v>
      </c>
      <c r="AA604">
        <v>0</v>
      </c>
      <c r="AB604">
        <v>0</v>
      </c>
      <c r="AC604">
        <v>0</v>
      </c>
      <c r="AD604">
        <v>0</v>
      </c>
      <c r="AE604">
        <v>0</v>
      </c>
      <c r="AF604">
        <v>0</v>
      </c>
      <c r="AG604">
        <v>0</v>
      </c>
      <c r="AH604">
        <v>0</v>
      </c>
      <c r="AI604">
        <v>0</v>
      </c>
      <c r="AJ604">
        <v>0</v>
      </c>
      <c r="AK604">
        <v>0</v>
      </c>
      <c r="AL604">
        <v>0</v>
      </c>
      <c r="AM604">
        <v>0</v>
      </c>
      <c r="AN604">
        <v>0</v>
      </c>
      <c r="AO604">
        <v>0</v>
      </c>
      <c r="AP604">
        <v>0</v>
      </c>
      <c r="AQ604">
        <v>0</v>
      </c>
      <c r="AR604">
        <v>0</v>
      </c>
      <c r="AS604">
        <v>0</v>
      </c>
      <c r="AT604">
        <v>0</v>
      </c>
      <c r="AU604">
        <v>0</v>
      </c>
      <c r="AV604">
        <v>0</v>
      </c>
      <c r="AW604">
        <v>0</v>
      </c>
      <c r="AX604" s="141">
        <f>COUNTIF(V604:AW604,"&lt;&gt;0")</f>
        <v>1</v>
      </c>
      <c r="AY604" s="141">
        <f>COUNTIF(V604:AL604,"&lt;&gt;0")</f>
        <v>1</v>
      </c>
      <c r="AZ604">
        <f>COUNTIF(V604:AC604,"&lt;&gt;0")</f>
        <v>1</v>
      </c>
      <c r="BA604">
        <f>COUNTIF(AD604:AI604,"&lt;&gt;0")</f>
        <v>0</v>
      </c>
      <c r="BB604">
        <f>COUNTIF(AJ604:AL604,"&lt;&gt;0")</f>
        <v>0</v>
      </c>
      <c r="BC604">
        <f>COUNTIF(AS604:AW604,"&lt;&gt;0")</f>
        <v>0</v>
      </c>
      <c r="BD604">
        <f>COUNTIF(AM604:AR604,"&lt;&gt;0")</f>
        <v>0</v>
      </c>
      <c r="BE604" t="str">
        <f t="array" ref="BE604">IF(AY604=1,INDEX($V$7:$AL$7,MATCH(TRUE,INDEX($V604:$AW604&lt;&gt;0,),0)),IF(AY604=0,INDEX($AM$7:$AW$7,MATCH(1,$AM604:$AW604,0)),IF(BF604="Multiple strategies","mixed drivers",IF(BF604="Supply chain","multiple supply","multiple silviculture"))))</f>
        <v>rotation length</v>
      </c>
      <c r="BF604" s="2" t="str" cm="1">
        <f t="array" ref="BF604">IF(COUNTIF(AZ604:BB604,"&lt;&gt;0")=1,INDEX($V$4:$AW$4,MATCH(TRUE,INDEX($V604:$AW604&lt;&gt;0,),0)),IF(COUNTIF(AZ604:BB604,"&lt;&gt;0")=0,INDEX($AM$4:$AW$4,MATCH(1,$AM604:$AW604,0)),"Multiple strategies"))</f>
        <v>SilvicultureRemov</v>
      </c>
      <c r="BG604" s="1" t="s">
        <v>322</v>
      </c>
      <c r="BH604" t="s">
        <v>2455</v>
      </c>
      <c r="BI604" s="260" t="s">
        <v>3401</v>
      </c>
      <c r="BJ604" t="s">
        <v>1325</v>
      </c>
      <c r="BK604">
        <v>1168.5023099755704</v>
      </c>
      <c r="BL604">
        <v>1580.9377497587932</v>
      </c>
      <c r="BM604" s="143">
        <f>BL604/BK604</f>
        <v>1.3529607397967793</v>
      </c>
      <c r="BN604">
        <f>BL604-BK604</f>
        <v>412.43543978322282</v>
      </c>
      <c r="BO604">
        <f>BN604*10^6</f>
        <v>412435439.78322279</v>
      </c>
      <c r="BP604" t="s">
        <v>233</v>
      </c>
      <c r="BQ604" s="260" t="s">
        <v>3402</v>
      </c>
      <c r="BR604" t="s">
        <v>1361</v>
      </c>
      <c r="BS604">
        <v>268.62539996228497</v>
      </c>
      <c r="BT604">
        <v>117.34007747271798</v>
      </c>
      <c r="BU604" s="144">
        <f>IFERROR(BT604/BS604,"")</f>
        <v>0.43681676226147093</v>
      </c>
      <c r="BV604" s="144">
        <f>BT604-BS604</f>
        <v>-151.28532248956699</v>
      </c>
      <c r="BW604" s="144"/>
      <c r="BX604">
        <f>BV604*10^6*C_to_CO2</f>
        <v>-555217133.53671086</v>
      </c>
      <c r="BY604">
        <f>IFERROR(BX604/BO604,"")</f>
        <v>-1.3461916217203218</v>
      </c>
      <c r="BZ604">
        <v>0</v>
      </c>
      <c r="CA604">
        <v>0</v>
      </c>
      <c r="CB604">
        <v>0</v>
      </c>
      <c r="CC604">
        <v>0</v>
      </c>
      <c r="CD604">
        <v>0</v>
      </c>
      <c r="CE604">
        <v>0</v>
      </c>
      <c r="CF604">
        <v>0</v>
      </c>
      <c r="CG604">
        <v>0</v>
      </c>
      <c r="CH604">
        <v>0</v>
      </c>
      <c r="CI604">
        <v>0</v>
      </c>
      <c r="CJ604">
        <v>0</v>
      </c>
      <c r="CK604">
        <v>0</v>
      </c>
      <c r="CL604">
        <v>0</v>
      </c>
      <c r="CM604">
        <v>0</v>
      </c>
      <c r="CN604" t="str">
        <f>IF($BL604&lt;$BK604,"refNeedCorrection","refOK")</f>
        <v>refOK</v>
      </c>
      <c r="CO604">
        <f>IF($CN604="refNeedCorrection",BL604,BK604)</f>
        <v>1168.5023099755704</v>
      </c>
      <c r="CP604">
        <f>IF($CN604="refNeedCorrection",BK604,BL604)</f>
        <v>1580.9377497587932</v>
      </c>
      <c r="CQ604">
        <f>IF($CN604="refOK",$BO604,-$BO604)</f>
        <v>412435439.78322279</v>
      </c>
      <c r="CR604">
        <f>IF($CN604="refOK",$BS604,$BT604)*IF($BP604="Emissions positive",-1,1)</f>
        <v>268.62539996228497</v>
      </c>
      <c r="CS604">
        <f>IF($CN604="refOK",$BT604,$BS604)*IF($BP604="Emissions positive",-1,1)</f>
        <v>117.34007747271798</v>
      </c>
      <c r="CT604">
        <f>IF($CN604="refNeedCorrection",-BX604,BX604)*IF($BP604="Emissions positive",-1,1)</f>
        <v>-555217133.53671086</v>
      </c>
      <c r="CU604">
        <f>IFERROR(CT604/CQ604,"")</f>
        <v>-1.3461916217203218</v>
      </c>
      <c r="CV604" s="2">
        <f>IFERROR((CS604-CR604)/ABS(CR604),"")</f>
        <v>-0.56318323773852907</v>
      </c>
      <c r="CW604" s="1" t="s">
        <v>1205</v>
      </c>
      <c r="CX604" t="str">
        <f>IF(OR($CW604="prd",$CW604="std",$CW604="cit"),"loc",IF(OR($CW604="eur",$CW604="reg",$CW604="coy"),"reg",$CW604))</f>
        <v>reg</v>
      </c>
      <c r="CY604" t="s">
        <v>731</v>
      </c>
      <c r="CZ604">
        <v>2015</v>
      </c>
      <c r="DA604">
        <v>2040</v>
      </c>
      <c r="DB604">
        <f>DA604-CZ604</f>
        <v>25</v>
      </c>
      <c r="DC604" t="str">
        <f>IF(DB604=0,"0",IF(AND(DB604&gt;=1,DB604&lt;=30),"1-30",IF(AND(DB604&gt;30,DB604&lt;=70),"31-70",IF(AND(DB604&gt;70,DB604&lt;=100),"71-100",IF(DB604&gt;100,"+100")))))</f>
        <v>1-30</v>
      </c>
      <c r="DD604">
        <v>1</v>
      </c>
      <c r="DE604">
        <v>0</v>
      </c>
      <c r="DF604">
        <v>0</v>
      </c>
      <c r="DG604">
        <v>0</v>
      </c>
      <c r="DI604">
        <f>SUM(DD604:DG604)</f>
        <v>1</v>
      </c>
      <c r="DJ604" t="str">
        <f>IF(DI604=1,INDEX($DD$7:$DG$7,MATCH(1,$DD604:$DG604,0)),"mixedProduct")</f>
        <v>UpstreamInput</v>
      </c>
      <c r="DK604" t="str">
        <f>IF(DD604=1,DK$7,0)</f>
        <v>Upstream</v>
      </c>
      <c r="DL604">
        <f>IF(DE604=1,DL$7,0)</f>
        <v>0</v>
      </c>
      <c r="DM604">
        <f>IF(DF604=1,DM$7,0)</f>
        <v>0</v>
      </c>
      <c r="DN604">
        <f>IF(DG604=1,DN$7,0)</f>
        <v>0</v>
      </c>
      <c r="DO604">
        <v>0</v>
      </c>
      <c r="DP604">
        <v>0</v>
      </c>
      <c r="DQ604">
        <v>0</v>
      </c>
      <c r="DR604">
        <v>0</v>
      </c>
      <c r="DS604">
        <v>0</v>
      </c>
      <c r="DT604">
        <f>SUM(DO604:DP604)</f>
        <v>0</v>
      </c>
      <c r="DU604" s="143" t="str">
        <f>IF(DO604=1,"self-calculated DF",IF(DP604=1,"external DF used","explicit C balance"))</f>
        <v>explicit C balance</v>
      </c>
      <c r="DV604">
        <v>0</v>
      </c>
      <c r="DW604">
        <v>1</v>
      </c>
      <c r="DX604">
        <v>1</v>
      </c>
      <c r="DY604">
        <v>0</v>
      </c>
      <c r="DZ604">
        <v>0</v>
      </c>
      <c r="EA604" s="143">
        <v>0</v>
      </c>
      <c r="EB604">
        <v>0</v>
      </c>
      <c r="EC604">
        <v>0</v>
      </c>
      <c r="ED604">
        <v>0</v>
      </c>
      <c r="EE604">
        <v>0</v>
      </c>
      <c r="EF604">
        <v>1</v>
      </c>
      <c r="EG604">
        <v>0</v>
      </c>
      <c r="EH604">
        <v>0</v>
      </c>
      <c r="EI604" s="2">
        <v>0</v>
      </c>
      <c r="EK604" t="str">
        <f>IF(AND(AND(AND(OR($DX604=1,$DW604=1),OR($EC604=1,$EA604=1)),SUM($DV604:$DZ604,$EF604)&gt;=4),SUM($EA604:$EE604)&gt;=2),"Whole sector","")</f>
        <v/>
      </c>
      <c r="EL604" t="str">
        <f>IF(AND(AND(OR($DX604=1,$DW604=1),AND($EC604=0,$EA604=0)),SUM($DV604:$DZ604,$EF604)&gt;=4),"Ecosystem approach","")</f>
        <v/>
      </c>
      <c r="EM604" s="2" t="str">
        <f>IF(AND(AND(AND($DX604=0,$DW604=0),OR($EC604=1,$EA604=1)),SUM($EB604:$EE604)&gt;=2),"Technology approach","")</f>
        <v/>
      </c>
      <c r="EP604" t="str">
        <f>IF(ISNUMBER(BU604),IF(ABS(BU604-[4]QC_indicators!$B$2)&gt;3*[4]QC_indicators!$C$2,"C ratio",IF(ISNUMBER(BY604),IF(ABS(BY604-[4]QC_indicators!$B$1)&gt;3*[4]QC_indicators!$C$1,"DF","no"))),IF(ISNUMBER(BY604),IF(ABS(BY604-[4]QC_indicators!$B$1)&gt;3*[4]QC_indicators!$C$1,"DF","no")))</f>
        <v>no</v>
      </c>
      <c r="EQ604" t="s">
        <v>2380</v>
      </c>
      <c r="ET604" s="266" t="s">
        <v>3275</v>
      </c>
    </row>
    <row r="605" spans="1:150" ht="15" customHeight="1">
      <c r="A605" s="1" t="s">
        <v>1402</v>
      </c>
      <c r="B605" t="s">
        <v>1403</v>
      </c>
      <c r="C605" t="s">
        <v>1404</v>
      </c>
      <c r="D605" t="s">
        <v>1405</v>
      </c>
      <c r="E605" t="s">
        <v>1406</v>
      </c>
      <c r="F605" t="s">
        <v>1407</v>
      </c>
      <c r="G605" t="s">
        <v>1408</v>
      </c>
      <c r="H605" t="s">
        <v>255</v>
      </c>
      <c r="I605">
        <v>2021</v>
      </c>
      <c r="J605">
        <v>0</v>
      </c>
      <c r="K605" t="s">
        <v>1409</v>
      </c>
      <c r="M605" t="str">
        <f>LEFT($D605,FIND(",",$D605)-1)&amp;"_"&amp;I605&amp;L605</f>
        <v>Dugan_2021</v>
      </c>
      <c r="N605" t="s">
        <v>223</v>
      </c>
      <c r="O605" s="145" t="s">
        <v>275</v>
      </c>
      <c r="Q605" t="s">
        <v>257</v>
      </c>
      <c r="R605" s="255" t="s">
        <v>226</v>
      </c>
      <c r="S605" s="1" t="s">
        <v>1417</v>
      </c>
      <c r="T605" t="s">
        <v>1113</v>
      </c>
      <c r="U605" t="s">
        <v>1418</v>
      </c>
      <c r="V605">
        <v>0</v>
      </c>
      <c r="W605">
        <v>0</v>
      </c>
      <c r="X605">
        <v>0</v>
      </c>
      <c r="Y605">
        <v>0</v>
      </c>
      <c r="Z605">
        <v>1</v>
      </c>
      <c r="AA605">
        <v>0</v>
      </c>
      <c r="AB605">
        <v>0</v>
      </c>
      <c r="AC605">
        <v>0</v>
      </c>
      <c r="AD605">
        <v>0</v>
      </c>
      <c r="AE605">
        <v>0</v>
      </c>
      <c r="AF605">
        <v>0</v>
      </c>
      <c r="AG605">
        <v>0</v>
      </c>
      <c r="AH605">
        <v>0</v>
      </c>
      <c r="AI605">
        <v>0</v>
      </c>
      <c r="AJ605">
        <v>0</v>
      </c>
      <c r="AK605">
        <v>0</v>
      </c>
      <c r="AL605">
        <v>0</v>
      </c>
      <c r="AM605">
        <v>0</v>
      </c>
      <c r="AN605">
        <v>0</v>
      </c>
      <c r="AO605">
        <v>0</v>
      </c>
      <c r="AP605">
        <v>0</v>
      </c>
      <c r="AQ605">
        <v>0</v>
      </c>
      <c r="AR605">
        <v>0</v>
      </c>
      <c r="AS605">
        <v>0</v>
      </c>
      <c r="AT605">
        <v>0</v>
      </c>
      <c r="AU605">
        <v>0</v>
      </c>
      <c r="AV605">
        <v>0</v>
      </c>
      <c r="AW605">
        <v>0</v>
      </c>
      <c r="AX605" s="141">
        <f>COUNTIF(V605:AW605,"&lt;&gt;0")</f>
        <v>1</v>
      </c>
      <c r="AY605" s="141">
        <f>COUNTIF(V605:AL605,"&lt;&gt;0")</f>
        <v>1</v>
      </c>
      <c r="AZ605">
        <f>COUNTIF(V605:AC605,"&lt;&gt;0")</f>
        <v>1</v>
      </c>
      <c r="BA605">
        <f>COUNTIF(AD605:AI605,"&lt;&gt;0")</f>
        <v>0</v>
      </c>
      <c r="BB605">
        <f>COUNTIF(AJ605:AL605,"&lt;&gt;0")</f>
        <v>0</v>
      </c>
      <c r="BC605">
        <f>COUNTIF(AS605:AW605,"&lt;&gt;0")</f>
        <v>0</v>
      </c>
      <c r="BD605">
        <f>COUNTIF(AM605:AR605,"&lt;&gt;0")</f>
        <v>0</v>
      </c>
      <c r="BE605" t="str">
        <f t="array" ref="BE605">IF(AY605=1,INDEX($V$7:$AL$7,MATCH(TRUE,INDEX($V605:$AW605&lt;&gt;0,),0)),IF(AY605=0,INDEX($AM$7:$AW$7,MATCH(1,$AM605:$AW605,0)),IF(BF605="Multiple strategies","mixed drivers",IF(BF605="Supply chain","multiple supply","multiple silviculture"))))</f>
        <v>species</v>
      </c>
      <c r="BF605" s="2" t="str" cm="1">
        <f t="array" ref="BF605">IF(COUNTIF(AZ605:BB605,"&lt;&gt;0")=1,INDEX($V$4:$AW$4,MATCH(TRUE,INDEX($V605:$AW605&lt;&gt;0,),0)),IF(COUNTIF(AZ605:BB605,"&lt;&gt;0")=0,INDEX($AM$4:$AW$4,MATCH(1,$AM605:$AW605,0)),"Multiple strategies"))</f>
        <v>SilvicultureProd</v>
      </c>
      <c r="BG605" s="1" t="s">
        <v>322</v>
      </c>
      <c r="BH605" t="s">
        <v>1412</v>
      </c>
      <c r="BI605" s="260" t="s">
        <v>3320</v>
      </c>
      <c r="BJ605" t="s">
        <v>1361</v>
      </c>
      <c r="BK605" s="266">
        <v>14.61</v>
      </c>
      <c r="BL605">
        <f>BK605*1.15</f>
        <v>16.801499999999997</v>
      </c>
      <c r="BN605" s="227">
        <f>BL605-BK605</f>
        <v>2.1914999999999978</v>
      </c>
      <c r="BP605" t="s">
        <v>233</v>
      </c>
      <c r="BQ605" s="260" t="s">
        <v>3321</v>
      </c>
      <c r="BR605" t="s">
        <v>1302</v>
      </c>
      <c r="BS605" s="152"/>
      <c r="BT605" s="152"/>
      <c r="BU605" s="144"/>
      <c r="BV605" s="286">
        <v>1.4453648692510599</v>
      </c>
      <c r="BX605">
        <f>BV605*10^6</f>
        <v>1445364.8692510598</v>
      </c>
      <c r="BY605" t="str">
        <f>IFERROR(BX605/BO605,"")</f>
        <v/>
      </c>
      <c r="BZ605">
        <v>0</v>
      </c>
      <c r="CA605">
        <v>0</v>
      </c>
      <c r="CB605">
        <v>0</v>
      </c>
      <c r="CC605">
        <v>0</v>
      </c>
      <c r="CD605">
        <v>0</v>
      </c>
      <c r="CE605">
        <v>0</v>
      </c>
      <c r="CF605">
        <v>0</v>
      </c>
      <c r="CG605">
        <v>0</v>
      </c>
      <c r="CH605">
        <v>0</v>
      </c>
      <c r="CI605">
        <v>0</v>
      </c>
      <c r="CJ605">
        <v>0</v>
      </c>
      <c r="CK605">
        <v>0</v>
      </c>
      <c r="CL605">
        <v>0</v>
      </c>
      <c r="CM605">
        <v>0</v>
      </c>
      <c r="CN605" t="str">
        <f>IF(BL605&lt;BK605,"refNeedCorrection","refOK")</f>
        <v>refOK</v>
      </c>
      <c r="CO605"/>
      <c r="CP605"/>
      <c r="CQ605"/>
      <c r="CR605">
        <f>IF($CN605="refOK",$BS605,$BT605)*IF($BP605="Emissions positive",-1,1)</f>
        <v>0</v>
      </c>
      <c r="CS605">
        <f>IF($CN605="refOK",$BT605,$BS605)*IF($BP605="Emissions positive",-1,1)</f>
        <v>0</v>
      </c>
      <c r="CT605">
        <f>IF($CN605="refNeedCorrection",-BX605,BX605)*IF($BP605="Emissions positive",-1,1)</f>
        <v>1445364.8692510598</v>
      </c>
      <c r="CU605" t="str">
        <f>IFERROR(CT605/CQ605,"")</f>
        <v/>
      </c>
      <c r="CV605" s="2" t="str">
        <f>IFERROR((CS605-CR605)/ABS(CR605),"")</f>
        <v/>
      </c>
      <c r="CW605" s="1" t="s">
        <v>1201</v>
      </c>
      <c r="CX605" t="str">
        <f>IF(OR($CW605="prd",$CW605="std",$CW605="cit"),"loc",IF(OR($CW605="eur",$CW605="reg",$CW605="coy"),"reg",$CW605))</f>
        <v>reg</v>
      </c>
      <c r="CY605" t="s">
        <v>429</v>
      </c>
      <c r="CZ605">
        <v>2020</v>
      </c>
      <c r="DA605">
        <v>2050</v>
      </c>
      <c r="DB605">
        <v>30</v>
      </c>
      <c r="DC605" t="str">
        <f>IF(DB605=0,"0",IF(AND(DB605&gt;=1,DB605&lt;=30),"1-30",IF(AND(DB605&gt;30,DB605&lt;=70),"31-70",IF(AND(DB605&gt;70,DB605&lt;=100),"71-100",IF(DB605&gt;100,"+100")))))</f>
        <v>1-30</v>
      </c>
      <c r="DD605">
        <v>0</v>
      </c>
      <c r="DE605">
        <v>1</v>
      </c>
      <c r="DF605">
        <v>1</v>
      </c>
      <c r="DG605">
        <v>1</v>
      </c>
      <c r="DI605">
        <f>SUM(DD605:DG605)</f>
        <v>3</v>
      </c>
      <c r="DJ605" t="str">
        <f>IF(DI605=1,INDEX($DD$7:$DG$7,MATCH(1,$DD605:$DG605,0)),"mixedProduct")</f>
        <v>mixedProduct</v>
      </c>
      <c r="DK605">
        <f>IF(DD605=1,DK$7,0)</f>
        <v>0</v>
      </c>
      <c r="DL605" t="str">
        <f>IF(DE605=1,DL$7,0)</f>
        <v>Energy</v>
      </c>
      <c r="DM605" t="str">
        <f>IF(DF605=1,DM$7,0)</f>
        <v>Pulp/Paper</v>
      </c>
      <c r="DN605" t="str">
        <f>IF(DG605=1,DN$7,0)</f>
        <v>Timber</v>
      </c>
      <c r="DO605">
        <v>0</v>
      </c>
      <c r="DP605">
        <v>1</v>
      </c>
      <c r="DQ605" t="s">
        <v>1413</v>
      </c>
      <c r="DR605" t="s">
        <v>1414</v>
      </c>
      <c r="DS605">
        <v>0</v>
      </c>
      <c r="DT605">
        <f>SUM(DO605:DP605)</f>
        <v>1</v>
      </c>
      <c r="DU605" s="143" t="str">
        <f>IF(DO605=1,"self-calculated DF",IF(DP605=1,"external DF used","explicit C balance"))</f>
        <v>external DF used</v>
      </c>
      <c r="DV605">
        <v>1</v>
      </c>
      <c r="DW605">
        <v>1</v>
      </c>
      <c r="DX605">
        <v>1</v>
      </c>
      <c r="DY605">
        <v>1</v>
      </c>
      <c r="DZ605">
        <v>0</v>
      </c>
      <c r="EA605" s="143">
        <v>0</v>
      </c>
      <c r="EB605">
        <v>0</v>
      </c>
      <c r="EC605">
        <v>0</v>
      </c>
      <c r="ED605">
        <v>0</v>
      </c>
      <c r="EE605">
        <v>0</v>
      </c>
      <c r="EF605">
        <v>1</v>
      </c>
      <c r="EG605" s="143">
        <v>0</v>
      </c>
      <c r="EH605" s="143">
        <v>0</v>
      </c>
      <c r="EI605" s="2">
        <v>0</v>
      </c>
      <c r="EK605" t="str">
        <f>IF(AND(AND(AND(OR($DX605=1,$DW605=1),OR($EC605=1,$EA605=1)),SUM($DV605:$DZ605,$EF605)&gt;=4),SUM($EA605:$EE605)&gt;=2),"Whole sector","")</f>
        <v/>
      </c>
      <c r="EL605" t="str">
        <f>IF(AND(AND(OR($DX605=1,$DW605=1),AND($EC605=0,$EA605=0)),SUM($DV605:$DZ605,$EF605)&gt;=4),"Ecosystem approach","")</f>
        <v>Ecosystem approach</v>
      </c>
      <c r="EM605" s="2" t="str">
        <f>IF(AND(AND(AND($DX605=0,$DW605=0),OR($EC605=1,$EA605=1)),SUM($EB605:$EE605)&gt;=2),"Technology approach","")</f>
        <v/>
      </c>
      <c r="EP605" t="b">
        <f>IF(ISNUMBER(BU605),IF(ABS(BU605-[4]QC_indicators!$B$2)&gt;3*[4]QC_indicators!$C$2,"C ratio",IF(ISNUMBER(BY605),IF(ABS(BY605-[4]QC_indicators!$B$1)&gt;3*[4]QC_indicators!$C$1,"DF","no"))),IF(ISNUMBER(BY605),IF(ABS(BY605-[4]QC_indicators!$B$1)&gt;3*[4]QC_indicators!$C$1,"DF","no")))</f>
        <v>0</v>
      </c>
      <c r="EQ605" t="s">
        <v>287</v>
      </c>
      <c r="ER605" s="149" t="s">
        <v>350</v>
      </c>
      <c r="ET605" s="266" t="s">
        <v>3275</v>
      </c>
    </row>
    <row r="606" spans="1:150" ht="15" customHeight="1">
      <c r="A606" s="1" t="s">
        <v>1402</v>
      </c>
      <c r="B606" t="s">
        <v>1403</v>
      </c>
      <c r="C606" t="s">
        <v>1404</v>
      </c>
      <c r="D606" t="s">
        <v>1405</v>
      </c>
      <c r="E606" t="s">
        <v>1406</v>
      </c>
      <c r="F606" t="s">
        <v>1407</v>
      </c>
      <c r="G606" t="s">
        <v>1408</v>
      </c>
      <c r="H606" t="s">
        <v>255</v>
      </c>
      <c r="I606">
        <v>2021</v>
      </c>
      <c r="J606">
        <v>0</v>
      </c>
      <c r="K606" t="s">
        <v>1409</v>
      </c>
      <c r="M606" t="str">
        <f>LEFT($D606,FIND(",",$D606)-1)&amp;"_"&amp;I606&amp;L606</f>
        <v>Dugan_2021</v>
      </c>
      <c r="N606" t="s">
        <v>223</v>
      </c>
      <c r="O606" s="145" t="s">
        <v>275</v>
      </c>
      <c r="Q606" t="s">
        <v>257</v>
      </c>
      <c r="R606" s="255" t="s">
        <v>226</v>
      </c>
      <c r="S606" s="1" t="s">
        <v>1417</v>
      </c>
      <c r="T606" t="s">
        <v>1113</v>
      </c>
      <c r="U606" t="s">
        <v>1418</v>
      </c>
      <c r="V606">
        <v>0</v>
      </c>
      <c r="W606">
        <v>0</v>
      </c>
      <c r="X606">
        <v>0</v>
      </c>
      <c r="Y606">
        <v>0</v>
      </c>
      <c r="Z606">
        <v>1</v>
      </c>
      <c r="AA606">
        <v>0</v>
      </c>
      <c r="AB606">
        <v>0</v>
      </c>
      <c r="AC606">
        <v>0</v>
      </c>
      <c r="AD606">
        <v>0</v>
      </c>
      <c r="AE606">
        <v>0</v>
      </c>
      <c r="AF606">
        <v>0</v>
      </c>
      <c r="AG606">
        <v>0</v>
      </c>
      <c r="AH606">
        <v>0</v>
      </c>
      <c r="AI606">
        <v>0</v>
      </c>
      <c r="AJ606">
        <v>0</v>
      </c>
      <c r="AK606">
        <v>0</v>
      </c>
      <c r="AL606">
        <v>0</v>
      </c>
      <c r="AM606">
        <v>0</v>
      </c>
      <c r="AN606">
        <v>0</v>
      </c>
      <c r="AO606">
        <v>0</v>
      </c>
      <c r="AP606">
        <v>0</v>
      </c>
      <c r="AQ606">
        <v>0</v>
      </c>
      <c r="AR606">
        <v>0</v>
      </c>
      <c r="AS606">
        <v>0</v>
      </c>
      <c r="AT606">
        <v>0</v>
      </c>
      <c r="AU606">
        <v>0</v>
      </c>
      <c r="AV606">
        <v>0</v>
      </c>
      <c r="AW606">
        <v>0</v>
      </c>
      <c r="AX606" s="141">
        <f>COUNTIF(V606:AW606,"&lt;&gt;0")</f>
        <v>1</v>
      </c>
      <c r="AY606" s="141">
        <f>COUNTIF(V606:AL606,"&lt;&gt;0")</f>
        <v>1</v>
      </c>
      <c r="AZ606">
        <f>COUNTIF(V606:AC606,"&lt;&gt;0")</f>
        <v>1</v>
      </c>
      <c r="BA606">
        <f>COUNTIF(AD606:AI606,"&lt;&gt;0")</f>
        <v>0</v>
      </c>
      <c r="BB606">
        <f>COUNTIF(AJ606:AL606,"&lt;&gt;0")</f>
        <v>0</v>
      </c>
      <c r="BC606">
        <f>COUNTIF(AS606:AW606,"&lt;&gt;0")</f>
        <v>0</v>
      </c>
      <c r="BD606">
        <f>COUNTIF(AM606:AR606,"&lt;&gt;0")</f>
        <v>0</v>
      </c>
      <c r="BE606" t="str">
        <f t="array" ref="BE606">IF(AY606=1,INDEX($V$7:$AL$7,MATCH(TRUE,INDEX($V606:$AW606&lt;&gt;0,),0)),IF(AY606=0,INDEX($AM$7:$AW$7,MATCH(1,$AM606:$AW606,0)),IF(BF606="Multiple strategies","mixed drivers",IF(BF606="Supply chain","multiple supply","multiple silviculture"))))</f>
        <v>species</v>
      </c>
      <c r="BF606" s="2" t="str" cm="1">
        <f t="array" ref="BF606">IF(COUNTIF(AZ606:BB606,"&lt;&gt;0")=1,INDEX($V$4:$AW$4,MATCH(TRUE,INDEX($V606:$AW606&lt;&gt;0,),0)),IF(COUNTIF(AZ606:BB606,"&lt;&gt;0")=0,INDEX($AM$4:$AW$4,MATCH(1,$AM606:$AW606,0)),"Multiple strategies"))</f>
        <v>SilvicultureProd</v>
      </c>
      <c r="BG606" s="1" t="s">
        <v>322</v>
      </c>
      <c r="BH606" t="s">
        <v>1412</v>
      </c>
      <c r="BI606" s="260" t="s">
        <v>3320</v>
      </c>
      <c r="BJ606" t="s">
        <v>1361</v>
      </c>
      <c r="BK606" s="266">
        <v>14.61</v>
      </c>
      <c r="BL606">
        <f>BK606*1.15</f>
        <v>16.801499999999997</v>
      </c>
      <c r="BN606" s="227">
        <f>BL606-BK606</f>
        <v>2.1914999999999978</v>
      </c>
      <c r="BP606" t="s">
        <v>233</v>
      </c>
      <c r="BQ606" s="260" t="s">
        <v>3321</v>
      </c>
      <c r="BR606" t="s">
        <v>1302</v>
      </c>
      <c r="BS606" s="152"/>
      <c r="BT606" s="152"/>
      <c r="BU606" s="144"/>
      <c r="BV606" s="141">
        <v>1.4453648692510599</v>
      </c>
      <c r="BX606">
        <f>BV606*10^6</f>
        <v>1445364.8692510598</v>
      </c>
      <c r="BY606" t="str">
        <f>IFERROR(BX606/BO606,"")</f>
        <v/>
      </c>
      <c r="BZ606">
        <v>0</v>
      </c>
      <c r="CA606">
        <v>0</v>
      </c>
      <c r="CB606">
        <v>0</v>
      </c>
      <c r="CC606">
        <v>0</v>
      </c>
      <c r="CD606">
        <v>0</v>
      </c>
      <c r="CE606">
        <v>0</v>
      </c>
      <c r="CF606">
        <v>0</v>
      </c>
      <c r="CG606">
        <v>0</v>
      </c>
      <c r="CH606">
        <v>0</v>
      </c>
      <c r="CI606">
        <v>0</v>
      </c>
      <c r="CJ606">
        <v>0</v>
      </c>
      <c r="CK606">
        <v>0</v>
      </c>
      <c r="CL606">
        <v>0</v>
      </c>
      <c r="CM606">
        <v>0</v>
      </c>
      <c r="CN606" t="str">
        <f>IF(BL606&lt;BK606,"refNeedCorrection","refOK")</f>
        <v>refOK</v>
      </c>
      <c r="CO606"/>
      <c r="CP606"/>
      <c r="CQ606"/>
      <c r="CR606">
        <f>IF($CN606="refOK",$BS606,$BT606)*IF($BP606="Emissions positive",-1,1)</f>
        <v>0</v>
      </c>
      <c r="CS606">
        <f>IF($CN606="refOK",$BT606,$BS606)*IF($BP606="Emissions positive",-1,1)</f>
        <v>0</v>
      </c>
      <c r="CT606">
        <f>IF($CN606="refNeedCorrection",-BX606,BX606)*IF($BP606="Emissions positive",-1,1)</f>
        <v>1445364.8692510598</v>
      </c>
      <c r="CU606" t="str">
        <f>IFERROR(CT606/CQ606,"")</f>
        <v/>
      </c>
      <c r="CV606" s="2" t="str">
        <f>IFERROR((CS606-CR606)/ABS(CR606),"")</f>
        <v/>
      </c>
      <c r="CW606" s="1" t="s">
        <v>1201</v>
      </c>
      <c r="CX606" t="str">
        <f>IF(OR($CW606="prd",$CW606="std",$CW606="cit"),"loc",IF(OR($CW606="eur",$CW606="reg",$CW606="coy"),"reg",$CW606))</f>
        <v>reg</v>
      </c>
      <c r="CY606" t="s">
        <v>429</v>
      </c>
      <c r="CZ606">
        <v>2020</v>
      </c>
      <c r="DA606">
        <v>2050</v>
      </c>
      <c r="DB606">
        <v>30</v>
      </c>
      <c r="DC606" t="str">
        <f>IF(DB606=0,"0",IF(AND(DB606&gt;=1,DB606&lt;=30),"1-30",IF(AND(DB606&gt;30,DB606&lt;=70),"31-70",IF(AND(DB606&gt;70,DB606&lt;=100),"71-100",IF(DB606&gt;100,"+100")))))</f>
        <v>1-30</v>
      </c>
      <c r="DD606">
        <v>0</v>
      </c>
      <c r="DE606">
        <v>1</v>
      </c>
      <c r="DF606">
        <v>1</v>
      </c>
      <c r="DG606">
        <v>1</v>
      </c>
      <c r="DI606">
        <f>SUM(DD606:DG606)</f>
        <v>3</v>
      </c>
      <c r="DJ606" t="str">
        <f>IF(DI606=1,INDEX($DD$7:$DG$7,MATCH(1,$DD606:$DG606,0)),"mixedProduct")</f>
        <v>mixedProduct</v>
      </c>
      <c r="DK606">
        <f>IF(DD606=1,DK$7,0)</f>
        <v>0</v>
      </c>
      <c r="DL606" t="str">
        <f>IF(DE606=1,DL$7,0)</f>
        <v>Energy</v>
      </c>
      <c r="DM606" t="str">
        <f>IF(DF606=1,DM$7,0)</f>
        <v>Pulp/Paper</v>
      </c>
      <c r="DN606" t="str">
        <f>IF(DG606=1,DN$7,0)</f>
        <v>Timber</v>
      </c>
      <c r="DO606">
        <v>0</v>
      </c>
      <c r="DP606">
        <v>1</v>
      </c>
      <c r="DQ606" t="s">
        <v>1413</v>
      </c>
      <c r="DR606" t="s">
        <v>1414</v>
      </c>
      <c r="DS606">
        <v>0</v>
      </c>
      <c r="DT606">
        <f>SUM(DO606:DP606)</f>
        <v>1</v>
      </c>
      <c r="DU606" s="143" t="str">
        <f>IF(DO606=1,"self-calculated DF",IF(DP606=1,"external DF used","explicit C balance"))</f>
        <v>external DF used</v>
      </c>
      <c r="DV606">
        <v>1</v>
      </c>
      <c r="DW606">
        <v>1</v>
      </c>
      <c r="DX606">
        <v>1</v>
      </c>
      <c r="DY606">
        <v>0</v>
      </c>
      <c r="DZ606">
        <v>0</v>
      </c>
      <c r="EA606" s="143">
        <v>0</v>
      </c>
      <c r="EB606">
        <v>0</v>
      </c>
      <c r="EC606">
        <v>0</v>
      </c>
      <c r="ED606">
        <v>0</v>
      </c>
      <c r="EE606">
        <v>0</v>
      </c>
      <c r="EF606">
        <v>1</v>
      </c>
      <c r="EG606" s="143">
        <v>0</v>
      </c>
      <c r="EH606" s="143">
        <v>0</v>
      </c>
      <c r="EI606" s="2">
        <v>0</v>
      </c>
      <c r="EK606" t="str">
        <f>IF(AND(AND(AND(OR($DX606=1,$DW606=1),OR($EC606=1,$EA606=1)),SUM($DV606:$DZ606,$EF606)&gt;=4),SUM($EA606:$EE606)&gt;=2),"Whole sector","")</f>
        <v/>
      </c>
      <c r="EL606" t="str">
        <f>IF(AND(AND(OR($DX606=1,$DW606=1),AND($EC606=0,$EA606=0)),SUM($DV606:$DZ606,$EF606)&gt;=4),"Ecosystem approach","")</f>
        <v>Ecosystem approach</v>
      </c>
      <c r="EM606" s="2" t="str">
        <f>IF(AND(AND(AND($DX606=0,$DW606=0),OR($EC606=1,$EA606=1)),SUM($EB606:$EE606)&gt;=2),"Technology approach","")</f>
        <v/>
      </c>
      <c r="EP606" t="b">
        <f>IF(ISNUMBER(BU606),IF(ABS(BU606-[4]QC_indicators!$B$2)&gt;3*[4]QC_indicators!$C$2,"C ratio",IF(ISNUMBER(BY606),IF(ABS(BY606-[4]QC_indicators!$B$1)&gt;3*[4]QC_indicators!$C$1,"DF","no"))),IF(ISNUMBER(BY606),IF(ABS(BY606-[4]QC_indicators!$B$1)&gt;3*[4]QC_indicators!$C$1,"DF","no")))</f>
        <v>0</v>
      </c>
      <c r="EQ606" t="s">
        <v>287</v>
      </c>
      <c r="ER606" s="149" t="s">
        <v>350</v>
      </c>
      <c r="ET606" s="266" t="s">
        <v>3275</v>
      </c>
    </row>
    <row r="607" spans="1:150" ht="15" customHeight="1">
      <c r="A607" s="1" t="s">
        <v>1359</v>
      </c>
      <c r="B607" t="s">
        <v>2370</v>
      </c>
      <c r="C607" t="s">
        <v>2371</v>
      </c>
      <c r="D607" t="s">
        <v>2372</v>
      </c>
      <c r="E607" t="s">
        <v>2373</v>
      </c>
      <c r="F607" t="s">
        <v>2374</v>
      </c>
      <c r="G607" t="s">
        <v>1360</v>
      </c>
      <c r="H607" t="s">
        <v>255</v>
      </c>
      <c r="I607">
        <v>2021</v>
      </c>
      <c r="J607">
        <v>0</v>
      </c>
      <c r="K607" t="s">
        <v>2375</v>
      </c>
      <c r="M607" t="str">
        <f>LEFT($D607,FIND(",",$D607)-1)&amp;"_"&amp;I607&amp;L607</f>
        <v>Ter-Mikaelian_2021</v>
      </c>
      <c r="N607" t="s">
        <v>223</v>
      </c>
      <c r="O607" s="145" t="s">
        <v>1156</v>
      </c>
      <c r="Q607" t="s">
        <v>257</v>
      </c>
      <c r="R607" s="295" t="s">
        <v>226</v>
      </c>
      <c r="S607" s="1" t="s">
        <v>1334</v>
      </c>
      <c r="T607" t="s">
        <v>2376</v>
      </c>
      <c r="U607" t="s">
        <v>2377</v>
      </c>
      <c r="V607">
        <v>1</v>
      </c>
      <c r="W607">
        <v>0</v>
      </c>
      <c r="X607">
        <v>0</v>
      </c>
      <c r="Y607">
        <v>0</v>
      </c>
      <c r="Z607">
        <v>0</v>
      </c>
      <c r="AA607">
        <v>0</v>
      </c>
      <c r="AB607">
        <v>0</v>
      </c>
      <c r="AC607">
        <v>0</v>
      </c>
      <c r="AD607">
        <v>0</v>
      </c>
      <c r="AE607">
        <v>0</v>
      </c>
      <c r="AF607">
        <v>0</v>
      </c>
      <c r="AG607">
        <v>0</v>
      </c>
      <c r="AH607">
        <v>0</v>
      </c>
      <c r="AI607">
        <v>0</v>
      </c>
      <c r="AJ607">
        <v>0</v>
      </c>
      <c r="AK607">
        <v>0</v>
      </c>
      <c r="AL607">
        <v>0</v>
      </c>
      <c r="AM607">
        <v>0</v>
      </c>
      <c r="AN607">
        <v>0</v>
      </c>
      <c r="AO607">
        <v>0</v>
      </c>
      <c r="AP607">
        <v>0</v>
      </c>
      <c r="AQ607">
        <v>0</v>
      </c>
      <c r="AR607">
        <v>0</v>
      </c>
      <c r="AS607">
        <v>0</v>
      </c>
      <c r="AT607">
        <v>0</v>
      </c>
      <c r="AU607">
        <v>0</v>
      </c>
      <c r="AV607">
        <v>0</v>
      </c>
      <c r="AW607">
        <v>0</v>
      </c>
      <c r="AX607" s="141">
        <f>COUNTIF(V607:AW607,"&lt;&gt;0")</f>
        <v>1</v>
      </c>
      <c r="AY607" s="141">
        <f>COUNTIF(V607:AL607,"&lt;&gt;0")</f>
        <v>1</v>
      </c>
      <c r="AZ607">
        <f>COUNTIF(V607:AC607,"&lt;&gt;0")</f>
        <v>1</v>
      </c>
      <c r="BA607">
        <f>COUNTIF(AD607:AI607,"&lt;&gt;0")</f>
        <v>0</v>
      </c>
      <c r="BB607">
        <f>COUNTIF(AJ607:AL607,"&lt;&gt;0")</f>
        <v>0</v>
      </c>
      <c r="BC607">
        <f>COUNTIF(AS607:AW607,"&lt;&gt;0")</f>
        <v>0</v>
      </c>
      <c r="BD607">
        <f>COUNTIF(AM607:AR607,"&lt;&gt;0")</f>
        <v>0</v>
      </c>
      <c r="BE607" t="str">
        <f t="array" ref="BE607">IF(AY607=1,INDEX($V$7:$AL$7,MATCH(TRUE,INDEX($V607:$AW607&lt;&gt;0,),0)),IF(AY607=0,INDEX($AM$7:$AW$7,MATCH(1,$AM607:$AW607,0)),IF(BF607="Multiple strategies","mixed drivers",IF(BF607="Supply chain","multiple supply","multiple silviculture"))))</f>
        <v>area subject to harvest</v>
      </c>
      <c r="BF607" s="2" t="str" cm="1">
        <f t="array" ref="BF607">IF(COUNTIF(AZ607:BB607,"&lt;&gt;0")=1,INDEX($V$4:$AW$4,MATCH(TRUE,INDEX($V607:$AW607&lt;&gt;0,),0)),IF(COUNTIF(AZ607:BB607,"&lt;&gt;0")=0,INDEX($AM$4:$AW$4,MATCH(1,$AM607:$AW607,0)),"Multiple strategies"))</f>
        <v>SilvicultureRemov</v>
      </c>
      <c r="BG607" s="1" t="s">
        <v>322</v>
      </c>
      <c r="BH607" t="s">
        <v>2378</v>
      </c>
      <c r="BJ607" t="s">
        <v>1325</v>
      </c>
      <c r="BK607">
        <v>0</v>
      </c>
      <c r="BL607">
        <v>433.26389999999998</v>
      </c>
      <c r="BM607" s="143" t="e">
        <f>BL607/BK607</f>
        <v>#DIV/0!</v>
      </c>
      <c r="BN607">
        <f>BL607-BK607</f>
        <v>433.26389999999998</v>
      </c>
      <c r="BO607">
        <f>BN607*10^6</f>
        <v>433263900</v>
      </c>
      <c r="BP607" t="s">
        <v>233</v>
      </c>
      <c r="BQ607" s="260" t="s">
        <v>3397</v>
      </c>
      <c r="BR607" t="s">
        <v>1361</v>
      </c>
      <c r="BS607">
        <v>3757</v>
      </c>
      <c r="BT607">
        <v>3613.1563851999999</v>
      </c>
      <c r="BU607" s="144">
        <f>IFERROR(BT607/BS607,"")</f>
        <v>0.96171317146659563</v>
      </c>
      <c r="BV607" s="144">
        <f>BT607-BS607</f>
        <v>-143.84361480000007</v>
      </c>
      <c r="BW607" s="144"/>
      <c r="BX607">
        <f>BV607*10^6*C_to_CO2</f>
        <v>-527906066.31600022</v>
      </c>
      <c r="BY607">
        <f>IFERROR(BX607/BO607,"")</f>
        <v>-1.2184400000000004</v>
      </c>
      <c r="BZ607">
        <v>0</v>
      </c>
      <c r="CA607">
        <v>0</v>
      </c>
      <c r="CB607">
        <v>0</v>
      </c>
      <c r="CC607">
        <v>0</v>
      </c>
      <c r="CD607">
        <v>0</v>
      </c>
      <c r="CE607">
        <v>0</v>
      </c>
      <c r="CF607">
        <v>0</v>
      </c>
      <c r="CG607">
        <v>0</v>
      </c>
      <c r="CH607">
        <v>0</v>
      </c>
      <c r="CI607">
        <v>0</v>
      </c>
      <c r="CJ607">
        <v>0</v>
      </c>
      <c r="CK607">
        <v>0</v>
      </c>
      <c r="CL607">
        <v>0</v>
      </c>
      <c r="CM607">
        <v>0</v>
      </c>
      <c r="CN607" t="str">
        <f>IF($BL607&lt;$BK607,"refNeedCorrection","refOK")</f>
        <v>refOK</v>
      </c>
      <c r="CO607">
        <f>IF($CN607="refOK",$BK607,$BL607)</f>
        <v>0</v>
      </c>
      <c r="CP607">
        <f>IF($CN607="refOK",$BL607,$BK607)</f>
        <v>433.26389999999998</v>
      </c>
      <c r="CQ607">
        <f>IF($CN607="refOK",$BO607,-$BO607)</f>
        <v>433263900</v>
      </c>
      <c r="CR607">
        <f>IF($CN607="refOK",$BS607,$BT607)*IF($BP607="Emissions positive",-1,1)</f>
        <v>3757</v>
      </c>
      <c r="CS607">
        <f>IF($CN607="refOK",$BT607,$BS607)*IF($BP607="Emissions positive",-1,1)</f>
        <v>3613.1563851999999</v>
      </c>
      <c r="CT607">
        <f>IF($CN607="refNeedCorrection",-BX607,BX607)*IF($BP607="Emissions positive",-1,1)</f>
        <v>-527906066.31600022</v>
      </c>
      <c r="CU607">
        <f>IFERROR(CT607/CQ607,"")</f>
        <v>-1.2184400000000004</v>
      </c>
      <c r="CV607" s="2">
        <f>IFERROR((CS607-CR607)/ABS(CR607),"")</f>
        <v>-3.828682853340433E-2</v>
      </c>
      <c r="CW607" s="1" t="s">
        <v>1201</v>
      </c>
      <c r="CX607" t="str">
        <f>IF(OR($CW607="prd",$CW607="std",$CW607="cit"),"loc",IF(OR($CW607="eur",$CW607="reg",$CW607="coy"),"reg",$CW607))</f>
        <v>reg</v>
      </c>
      <c r="CY607" t="s">
        <v>541</v>
      </c>
      <c r="CZ607">
        <v>2020</v>
      </c>
      <c r="DA607">
        <v>2050</v>
      </c>
      <c r="DB607">
        <f>DA607-CZ607</f>
        <v>30</v>
      </c>
      <c r="DC607" t="str">
        <f>IF(DB607=0,"0",IF(AND(DB607&gt;=1,DB607&lt;=30),"1-30",IF(AND(DB607&gt;30,DB607&lt;=70),"31-70",IF(AND(DB607&gt;70,DB607&lt;=100),"71-100",IF(DB607&gt;100,"+100")))))</f>
        <v>1-30</v>
      </c>
      <c r="DD607">
        <v>1</v>
      </c>
      <c r="DE607">
        <v>0</v>
      </c>
      <c r="DF607">
        <v>0</v>
      </c>
      <c r="DG607">
        <v>0</v>
      </c>
      <c r="DI607">
        <f>SUM(DD607:DG607)</f>
        <v>1</v>
      </c>
      <c r="DJ607" t="str">
        <f>IF(DI607=1,INDEX($DD$7:$DG$7,MATCH(1,$DD607:$DG607,0)),"mixedProduct")</f>
        <v>UpstreamInput</v>
      </c>
      <c r="DK607" t="str">
        <f>IF(DD607=1,DK$7,0)</f>
        <v>Upstream</v>
      </c>
      <c r="DL607">
        <f>IF(DE607=1,DL$7,0)</f>
        <v>0</v>
      </c>
      <c r="DM607">
        <f>IF(DF607=1,DM$7,0)</f>
        <v>0</v>
      </c>
      <c r="DN607">
        <f>IF(DG607=1,DN$7,0)</f>
        <v>0</v>
      </c>
      <c r="DO607">
        <v>0</v>
      </c>
      <c r="DP607">
        <v>0</v>
      </c>
      <c r="DQ607">
        <v>0</v>
      </c>
      <c r="DR607">
        <v>0</v>
      </c>
      <c r="DS607">
        <v>0</v>
      </c>
      <c r="DT607">
        <f>SUM(DO607:DP607)</f>
        <v>0</v>
      </c>
      <c r="DU607" s="143" t="str">
        <f>IF(DO607=1,"self-calculated DF",IF(DP607=1,"external DF used","explicit C balance"))</f>
        <v>explicit C balance</v>
      </c>
      <c r="DV607">
        <v>1</v>
      </c>
      <c r="DW607">
        <v>1</v>
      </c>
      <c r="DX607">
        <v>1</v>
      </c>
      <c r="DY607">
        <v>0</v>
      </c>
      <c r="DZ607">
        <v>0</v>
      </c>
      <c r="EA607" s="143">
        <v>0</v>
      </c>
      <c r="EB607">
        <v>0</v>
      </c>
      <c r="EC607">
        <v>0</v>
      </c>
      <c r="ED607">
        <v>0</v>
      </c>
      <c r="EE607">
        <v>0</v>
      </c>
      <c r="EF607">
        <v>1</v>
      </c>
      <c r="EG607">
        <v>0</v>
      </c>
      <c r="EH607">
        <v>0</v>
      </c>
      <c r="EI607" s="2">
        <v>0</v>
      </c>
      <c r="EK607" t="str">
        <f>IF(AND(AND(AND(OR($DX607=1,$DW607=1),OR($EC607=1,$EA607=1)),SUM($DV607:$DZ607,$EF607)&gt;=4),SUM($EA607:$EE607)&gt;=2),"Whole sector","")</f>
        <v/>
      </c>
      <c r="EL607" t="str">
        <f>IF(AND(AND(OR($DX607=1,$DW607=1),AND($EC607=0,$EA607=0)),SUM($DV607:$DZ607,$EF607)&gt;=4),"Ecosystem approach","")</f>
        <v>Ecosystem approach</v>
      </c>
      <c r="EM607" s="2" t="str">
        <f>IF(AND(AND(AND($DX607=0,$DW607=0),OR($EC607=1,$EA607=1)),SUM($EB607:$EE607)&gt;=2),"Technology approach","")</f>
        <v/>
      </c>
      <c r="EN607" s="266" t="s">
        <v>2379</v>
      </c>
      <c r="EP607" t="str">
        <f>IF(ISNUMBER(BU607),IF(ABS(BU607-[4]QC_indicators!$B$2)&gt;3*[4]QC_indicators!$C$2,"C ratio",IF(ISNUMBER(BY607),IF(ABS(BY607-[4]QC_indicators!$B$1)&gt;3*[4]QC_indicators!$C$1,"DF","no"))),IF(ISNUMBER(BY607),IF(ABS(BY607-[4]QC_indicators!$B$1)&gt;3*[4]QC_indicators!$C$1,"DF","no")))</f>
        <v>no</v>
      </c>
      <c r="EQ607" t="s">
        <v>2380</v>
      </c>
      <c r="ET607" s="307" t="s">
        <v>3410</v>
      </c>
    </row>
    <row r="608" spans="1:150" ht="15" customHeight="1">
      <c r="A608" s="1" t="s">
        <v>1359</v>
      </c>
      <c r="B608" t="s">
        <v>2370</v>
      </c>
      <c r="C608" t="s">
        <v>2371</v>
      </c>
      <c r="D608" t="s">
        <v>2372</v>
      </c>
      <c r="E608" t="s">
        <v>2373</v>
      </c>
      <c r="F608" t="s">
        <v>2374</v>
      </c>
      <c r="G608" t="s">
        <v>1360</v>
      </c>
      <c r="H608" t="s">
        <v>255</v>
      </c>
      <c r="I608">
        <v>2021</v>
      </c>
      <c r="J608">
        <v>0</v>
      </c>
      <c r="K608" t="s">
        <v>2375</v>
      </c>
      <c r="M608" t="str">
        <f>LEFT($D608,FIND(",",$D608)-1)&amp;"_"&amp;I608&amp;L608</f>
        <v>Ter-Mikaelian_2021</v>
      </c>
      <c r="N608" t="s">
        <v>223</v>
      </c>
      <c r="O608" s="145" t="s">
        <v>1156</v>
      </c>
      <c r="Q608" t="s">
        <v>257</v>
      </c>
      <c r="R608" s="295" t="s">
        <v>226</v>
      </c>
      <c r="S608" s="1" t="s">
        <v>1334</v>
      </c>
      <c r="T608" t="s">
        <v>2377</v>
      </c>
      <c r="U608" t="s">
        <v>2381</v>
      </c>
      <c r="V608">
        <v>0</v>
      </c>
      <c r="W608">
        <v>0</v>
      </c>
      <c r="X608">
        <v>0</v>
      </c>
      <c r="Y608">
        <v>1</v>
      </c>
      <c r="Z608">
        <v>0</v>
      </c>
      <c r="AA608">
        <v>0</v>
      </c>
      <c r="AB608">
        <v>0</v>
      </c>
      <c r="AC608">
        <v>0</v>
      </c>
      <c r="AD608">
        <v>0</v>
      </c>
      <c r="AE608">
        <v>0</v>
      </c>
      <c r="AF608">
        <v>0</v>
      </c>
      <c r="AG608">
        <v>0</v>
      </c>
      <c r="AH608">
        <v>0</v>
      </c>
      <c r="AI608">
        <v>0</v>
      </c>
      <c r="AJ608">
        <v>0</v>
      </c>
      <c r="AK608">
        <v>0</v>
      </c>
      <c r="AL608">
        <v>0</v>
      </c>
      <c r="AM608">
        <v>0</v>
      </c>
      <c r="AN608">
        <v>0</v>
      </c>
      <c r="AO608">
        <v>0</v>
      </c>
      <c r="AP608">
        <v>0</v>
      </c>
      <c r="AQ608">
        <v>0</v>
      </c>
      <c r="AR608">
        <v>0</v>
      </c>
      <c r="AS608">
        <v>0</v>
      </c>
      <c r="AT608">
        <v>0</v>
      </c>
      <c r="AU608">
        <v>0</v>
      </c>
      <c r="AV608">
        <v>0</v>
      </c>
      <c r="AW608">
        <v>0</v>
      </c>
      <c r="AX608" s="141">
        <f>COUNTIF(V608:AW608,"&lt;&gt;0")</f>
        <v>1</v>
      </c>
      <c r="AY608" s="141">
        <f>COUNTIF(V608:AL608,"&lt;&gt;0")</f>
        <v>1</v>
      </c>
      <c r="AZ608">
        <f>COUNTIF(V608:AC608,"&lt;&gt;0")</f>
        <v>1</v>
      </c>
      <c r="BA608">
        <f>COUNTIF(AD608:AI608,"&lt;&gt;0")</f>
        <v>0</v>
      </c>
      <c r="BB608">
        <f>COUNTIF(AJ608:AL608,"&lt;&gt;0")</f>
        <v>0</v>
      </c>
      <c r="BC608">
        <f>COUNTIF(AS608:AW608,"&lt;&gt;0")</f>
        <v>0</v>
      </c>
      <c r="BD608">
        <f>COUNTIF(AM608:AR608,"&lt;&gt;0")</f>
        <v>0</v>
      </c>
      <c r="BE608" t="str">
        <f t="array" ref="BE608">IF(AY608=1,INDEX($V$7:$AL$7,MATCH(TRUE,INDEX($V608:$AW608&lt;&gt;0,),0)),IF(AY608=0,INDEX($AM$7:$AW$7,MATCH(1,$AM608:$AW608,0)),IF(BF608="Multiple strategies","mixed drivers",IF(BF608="Supply chain","multiple supply","multiple silviculture"))))</f>
        <v xml:space="preserve">cutting intensity </v>
      </c>
      <c r="BF608" s="2" t="str" cm="1">
        <f t="array" ref="BF608">IF(COUNTIF(AZ608:BB608,"&lt;&gt;0")=1,INDEX($V$4:$AW$4,MATCH(TRUE,INDEX($V608:$AW608&lt;&gt;0,),0)),IF(COUNTIF(AZ608:BB608,"&lt;&gt;0")=0,INDEX($AM$4:$AW$4,MATCH(1,$AM608:$AW608,0)),"Multiple strategies"))</f>
        <v>SilvicultureRemov</v>
      </c>
      <c r="BG608" s="1" t="s">
        <v>322</v>
      </c>
      <c r="BH608" t="s">
        <v>2378</v>
      </c>
      <c r="BJ608" t="s">
        <v>1325</v>
      </c>
      <c r="BK608">
        <v>433.26389999999998</v>
      </c>
      <c r="BL608">
        <v>866.52779999999996</v>
      </c>
      <c r="BM608" s="143">
        <f>BL608/BK608</f>
        <v>2</v>
      </c>
      <c r="BN608">
        <f>BL608-BK608</f>
        <v>433.26389999999998</v>
      </c>
      <c r="BO608">
        <f>BN608*10^6</f>
        <v>433263900</v>
      </c>
      <c r="BP608" t="s">
        <v>233</v>
      </c>
      <c r="BQ608" s="260" t="s">
        <v>3397</v>
      </c>
      <c r="BR608" t="s">
        <v>1361</v>
      </c>
      <c r="BS608">
        <v>3613.1563851999999</v>
      </c>
      <c r="BT608">
        <v>3469.3127703999999</v>
      </c>
      <c r="BU608" s="144">
        <f>IFERROR(BT608/BS608,"")</f>
        <v>0.96018893192965471</v>
      </c>
      <c r="BV608" s="144">
        <f>BT608-BS608</f>
        <v>-143.84361480000007</v>
      </c>
      <c r="BW608" s="144"/>
      <c r="BX608">
        <f>BV608*10^6*C_to_CO2</f>
        <v>-527906066.31600022</v>
      </c>
      <c r="BY608">
        <f>IFERROR(BX608/BO608,"")</f>
        <v>-1.2184400000000004</v>
      </c>
      <c r="BZ608">
        <v>0</v>
      </c>
      <c r="CA608">
        <v>0</v>
      </c>
      <c r="CB608">
        <v>0</v>
      </c>
      <c r="CC608">
        <v>0</v>
      </c>
      <c r="CD608">
        <v>0</v>
      </c>
      <c r="CE608">
        <v>0</v>
      </c>
      <c r="CF608">
        <v>0</v>
      </c>
      <c r="CG608">
        <v>0</v>
      </c>
      <c r="CH608">
        <v>0</v>
      </c>
      <c r="CI608">
        <v>0</v>
      </c>
      <c r="CJ608">
        <v>0</v>
      </c>
      <c r="CK608">
        <v>0</v>
      </c>
      <c r="CL608">
        <v>0</v>
      </c>
      <c r="CM608">
        <v>0</v>
      </c>
      <c r="CN608" t="str">
        <f>IF($BL608&lt;$BK608,"refNeedCorrection","refOK")</f>
        <v>refOK</v>
      </c>
      <c r="CO608">
        <f>IF($CN608="refNeedCorrection",BL608,BK608)</f>
        <v>433.26389999999998</v>
      </c>
      <c r="CP608">
        <f>IF($CN608="refNeedCorrection",BK608,BL608)</f>
        <v>866.52779999999996</v>
      </c>
      <c r="CQ608">
        <f>IF($CN608="refOK",$BO608,-$BO608)</f>
        <v>433263900</v>
      </c>
      <c r="CR608">
        <f>IF($CN608="refOK",$BS608,$BT608)*IF($BP608="Emissions positive",-1,1)</f>
        <v>3613.1563851999999</v>
      </c>
      <c r="CS608">
        <f>IF($CN608="refOK",$BT608,$BS608)*IF($BP608="Emissions positive",-1,1)</f>
        <v>3469.3127703999999</v>
      </c>
      <c r="CT608">
        <f>IF($CN608="refNeedCorrection",-BX608,BX608)*IF($BP608="Emissions positive",-1,1)</f>
        <v>-527906066.31600022</v>
      </c>
      <c r="CU608">
        <f>IFERROR(CT608/CQ608,"")</f>
        <v>-1.2184400000000004</v>
      </c>
      <c r="CV608" s="2">
        <f>IFERROR((CS608-CR608)/ABS(CR608),"")</f>
        <v>-3.9811068070345332E-2</v>
      </c>
      <c r="CW608" s="1" t="s">
        <v>1201</v>
      </c>
      <c r="CX608" t="str">
        <f>IF(OR($CW608="prd",$CW608="std",$CW608="cit"),"loc",IF(OR($CW608="eur",$CW608="reg",$CW608="coy"),"reg",$CW608))</f>
        <v>reg</v>
      </c>
      <c r="CY608" t="s">
        <v>541</v>
      </c>
      <c r="CZ608">
        <v>2020</v>
      </c>
      <c r="DA608">
        <v>2050</v>
      </c>
      <c r="DB608">
        <f>DA608-CZ608</f>
        <v>30</v>
      </c>
      <c r="DC608" t="str">
        <f>IF(DB608=0,"0",IF(AND(DB608&gt;=1,DB608&lt;=30),"1-30",IF(AND(DB608&gt;30,DB608&lt;=70),"31-70",IF(AND(DB608&gt;70,DB608&lt;=100),"71-100",IF(DB608&gt;100,"+100")))))</f>
        <v>1-30</v>
      </c>
      <c r="DD608">
        <v>1</v>
      </c>
      <c r="DE608">
        <v>0</v>
      </c>
      <c r="DF608">
        <v>0</v>
      </c>
      <c r="DG608">
        <v>0</v>
      </c>
      <c r="DI608">
        <f>SUM(DD608:DG608)</f>
        <v>1</v>
      </c>
      <c r="DJ608" t="str">
        <f>IF(DI608=1,INDEX($DD$7:$DG$7,MATCH(1,$DD608:$DG608,0)),"mixedProduct")</f>
        <v>UpstreamInput</v>
      </c>
      <c r="DK608" t="str">
        <f>IF(DD608=1,DK$7,0)</f>
        <v>Upstream</v>
      </c>
      <c r="DL608">
        <f>IF(DE608=1,DL$7,0)</f>
        <v>0</v>
      </c>
      <c r="DM608">
        <f>IF(DF608=1,DM$7,0)</f>
        <v>0</v>
      </c>
      <c r="DN608">
        <f>IF(DG608=1,DN$7,0)</f>
        <v>0</v>
      </c>
      <c r="DO608">
        <v>0</v>
      </c>
      <c r="DP608">
        <v>0</v>
      </c>
      <c r="DQ608">
        <v>0</v>
      </c>
      <c r="DR608">
        <v>0</v>
      </c>
      <c r="DS608">
        <v>0</v>
      </c>
      <c r="DT608">
        <f>SUM(DO608:DP608)</f>
        <v>0</v>
      </c>
      <c r="DU608" s="143" t="str">
        <f>IF(DO608=1,"self-calculated DF",IF(DP608=1,"external DF used","explicit C balance"))</f>
        <v>explicit C balance</v>
      </c>
      <c r="DV608">
        <v>1</v>
      </c>
      <c r="DW608">
        <v>1</v>
      </c>
      <c r="DX608">
        <v>1</v>
      </c>
      <c r="DY608">
        <v>0</v>
      </c>
      <c r="DZ608">
        <v>0</v>
      </c>
      <c r="EA608" s="143">
        <v>0</v>
      </c>
      <c r="EB608">
        <v>0</v>
      </c>
      <c r="EC608">
        <v>0</v>
      </c>
      <c r="ED608">
        <v>0</v>
      </c>
      <c r="EE608">
        <v>0</v>
      </c>
      <c r="EF608">
        <v>1</v>
      </c>
      <c r="EG608">
        <v>0</v>
      </c>
      <c r="EH608">
        <v>0</v>
      </c>
      <c r="EI608" s="2">
        <v>0</v>
      </c>
      <c r="EK608" t="str">
        <f>IF(AND(AND(AND(OR($DX608=1,$DW608=1),OR($EC608=1,$EA608=1)),SUM($DV608:$DZ608,$EF608)&gt;=4),SUM($EA608:$EE608)&gt;=2),"Whole sector","")</f>
        <v/>
      </c>
      <c r="EL608" t="str">
        <f>IF(AND(AND(OR($DX608=1,$DW608=1),AND($EC608=0,$EA608=0)),SUM($DV608:$DZ608,$EF608)&gt;=4),"Ecosystem approach","")</f>
        <v>Ecosystem approach</v>
      </c>
      <c r="EM608" s="2" t="str">
        <f>IF(AND(AND(AND($DX608=0,$DW608=0),OR($EC608=1,$EA608=1)),SUM($EB608:$EE608)&gt;=2),"Technology approach","")</f>
        <v/>
      </c>
      <c r="EN608" t="s">
        <v>2379</v>
      </c>
      <c r="EP608" t="str">
        <f>IF(ISNUMBER(BU608),IF(ABS(BU608-[4]QC_indicators!$B$2)&gt;3*[4]QC_indicators!$C$2,"C ratio",IF(ISNUMBER(BY608),IF(ABS(BY608-[4]QC_indicators!$B$1)&gt;3*[4]QC_indicators!$C$1,"DF","no"))),IF(ISNUMBER(BY608),IF(ABS(BY608-[4]QC_indicators!$B$1)&gt;3*[4]QC_indicators!$C$1,"DF","no")))</f>
        <v>no</v>
      </c>
      <c r="EQ608" t="s">
        <v>2380</v>
      </c>
      <c r="ET608" s="307" t="s">
        <v>3410</v>
      </c>
    </row>
    <row r="609" spans="1:150" ht="15" hidden="1" customHeight="1">
      <c r="A609" s="1" t="s">
        <v>1402</v>
      </c>
      <c r="B609" t="s">
        <v>1403</v>
      </c>
      <c r="C609" t="s">
        <v>1404</v>
      </c>
      <c r="D609" t="s">
        <v>1405</v>
      </c>
      <c r="E609" t="s">
        <v>1406</v>
      </c>
      <c r="F609" t="s">
        <v>1407</v>
      </c>
      <c r="G609" t="s">
        <v>1408</v>
      </c>
      <c r="H609" t="s">
        <v>255</v>
      </c>
      <c r="I609">
        <v>2021</v>
      </c>
      <c r="J609">
        <v>0</v>
      </c>
      <c r="K609" t="s">
        <v>1409</v>
      </c>
      <c r="M609" t="str">
        <f>LEFT($D609,FIND(",",$D609)-1)&amp;"_"&amp;I609&amp;L609</f>
        <v>Dugan_2021</v>
      </c>
      <c r="N609" t="s">
        <v>223</v>
      </c>
      <c r="O609" s="145" t="s">
        <v>275</v>
      </c>
      <c r="Q609" t="s">
        <v>257</v>
      </c>
      <c r="R609" s="255" t="s">
        <v>226</v>
      </c>
      <c r="S609" s="1" t="s">
        <v>315</v>
      </c>
      <c r="T609" t="s">
        <v>1113</v>
      </c>
      <c r="U609" t="s">
        <v>1416</v>
      </c>
      <c r="V609">
        <v>0</v>
      </c>
      <c r="W609">
        <v>0</v>
      </c>
      <c r="X609">
        <v>1</v>
      </c>
      <c r="Y609">
        <v>0</v>
      </c>
      <c r="Z609">
        <v>0</v>
      </c>
      <c r="AA609">
        <v>0</v>
      </c>
      <c r="AB609">
        <v>0</v>
      </c>
      <c r="AC609">
        <v>0</v>
      </c>
      <c r="AD609">
        <v>0</v>
      </c>
      <c r="AE609">
        <v>0</v>
      </c>
      <c r="AF609">
        <v>0</v>
      </c>
      <c r="AG609">
        <v>0</v>
      </c>
      <c r="AH609">
        <v>0</v>
      </c>
      <c r="AI609">
        <v>0</v>
      </c>
      <c r="AJ609">
        <v>0</v>
      </c>
      <c r="AK609">
        <v>0</v>
      </c>
      <c r="AL609">
        <v>0</v>
      </c>
      <c r="AM609">
        <v>0</v>
      </c>
      <c r="AN609">
        <v>0</v>
      </c>
      <c r="AO609">
        <v>0</v>
      </c>
      <c r="AP609">
        <v>0</v>
      </c>
      <c r="AQ609">
        <v>0</v>
      </c>
      <c r="AR609">
        <v>0</v>
      </c>
      <c r="AS609">
        <v>0</v>
      </c>
      <c r="AT609">
        <v>0</v>
      </c>
      <c r="AU609">
        <v>0</v>
      </c>
      <c r="AV609">
        <v>0</v>
      </c>
      <c r="AW609">
        <v>0</v>
      </c>
      <c r="AX609" s="141">
        <f>COUNTIF(V609:AW609,"&lt;&gt;0")</f>
        <v>1</v>
      </c>
      <c r="AY609" s="141">
        <f>COUNTIF(V609:AL609,"&lt;&gt;0")</f>
        <v>1</v>
      </c>
      <c r="AZ609">
        <f>COUNTIF(V609:AC609,"&lt;&gt;0")</f>
        <v>1</v>
      </c>
      <c r="BA609">
        <f>COUNTIF(AD609:AI609,"&lt;&gt;0")</f>
        <v>0</v>
      </c>
      <c r="BB609">
        <f>COUNTIF(AJ609:AL609,"&lt;&gt;0")</f>
        <v>0</v>
      </c>
      <c r="BC609">
        <f>COUNTIF(AS609:AW609,"&lt;&gt;0")</f>
        <v>0</v>
      </c>
      <c r="BD609">
        <f>COUNTIF(AM609:AR609,"&lt;&gt;0")</f>
        <v>0</v>
      </c>
      <c r="BE609" t="str">
        <f t="array" ref="BE609">IF(AY609=1,INDEX($V$7:$AL$7,MATCH(TRUE,INDEX($V609:$AW609&lt;&gt;0,),0)),IF(AY609=0,INDEX($AM$7:$AW$7,MATCH(1,$AM609:$AW609,0)),IF(BF609="Multiple strategies","mixed drivers",IF(BF609="Supply chain","multiple supply","multiple silviculture"))))</f>
        <v>rotation length</v>
      </c>
      <c r="BF609" s="2" t="str" cm="1">
        <f t="array" ref="BF609">IF(COUNTIF(AZ609:BB609,"&lt;&gt;0")=1,INDEX($V$4:$AW$4,MATCH(TRUE,INDEX($V609:$AW609&lt;&gt;0,),0)),IF(COUNTIF(AZ609:BB609,"&lt;&gt;0")=0,INDEX($AM$4:$AW$4,MATCH(1,$AM609:$AW609,0)),"Multiple strategies"))</f>
        <v>SilvicultureRemov</v>
      </c>
      <c r="BG609" s="1" t="s">
        <v>322</v>
      </c>
      <c r="BH609" t="s">
        <v>1412</v>
      </c>
      <c r="BI609" s="260" t="s">
        <v>3320</v>
      </c>
      <c r="BJ609" t="s">
        <v>1361</v>
      </c>
      <c r="BK609" s="266">
        <v>14.61</v>
      </c>
      <c r="BL609">
        <f>BK609*1.1</f>
        <v>16.071000000000002</v>
      </c>
      <c r="BN609" s="227">
        <f>BL609-BK609</f>
        <v>1.4610000000000021</v>
      </c>
      <c r="BO609">
        <f>BN609*10^6*tC_to_m3</f>
        <v>6343899.2618324021</v>
      </c>
      <c r="BP609" t="s">
        <v>233</v>
      </c>
      <c r="BQ609" s="260" t="s">
        <v>3322</v>
      </c>
      <c r="BR609" t="s">
        <v>1302</v>
      </c>
      <c r="BS609" s="152"/>
      <c r="BT609" s="152"/>
      <c r="BU609" s="144"/>
      <c r="BV609" s="286">
        <v>-1.8383920458338849</v>
      </c>
      <c r="BX609">
        <f>BV609*10^6</f>
        <v>-1838392.045833885</v>
      </c>
      <c r="BY609">
        <f>IFERROR(BX609/BO609,"")</f>
        <v>-0.28978897204349285</v>
      </c>
      <c r="BZ609">
        <v>0</v>
      </c>
      <c r="CA609">
        <v>0</v>
      </c>
      <c r="CB609">
        <v>0</v>
      </c>
      <c r="CC609">
        <v>0</v>
      </c>
      <c r="CD609">
        <v>0</v>
      </c>
      <c r="CE609">
        <v>0</v>
      </c>
      <c r="CF609">
        <v>0</v>
      </c>
      <c r="CG609">
        <v>0</v>
      </c>
      <c r="CH609">
        <v>0</v>
      </c>
      <c r="CI609">
        <v>0</v>
      </c>
      <c r="CJ609">
        <v>0</v>
      </c>
      <c r="CK609">
        <v>0</v>
      </c>
      <c r="CL609">
        <v>0</v>
      </c>
      <c r="CM609">
        <v>0</v>
      </c>
      <c r="CN609" t="str">
        <f>IF(BL609&lt;BK609,"refNeedCorrection","refOK")</f>
        <v>refOK</v>
      </c>
      <c r="CO609"/>
      <c r="CP609"/>
      <c r="CQ609">
        <f>IF($CN609="refNeedCorrection",-BO609,BO609)</f>
        <v>6343899.2618324021</v>
      </c>
      <c r="CR609">
        <f>IF($CN609="refOK",$BS609,$BT609)*IF($BP609="Emissions positive",-1,1)</f>
        <v>0</v>
      </c>
      <c r="CS609">
        <f>IF($CN609="refOK",$BT609,$BS609)*IF($BP609="Emissions positive",-1,1)</f>
        <v>0</v>
      </c>
      <c r="CT609">
        <f>IF($CN609="refNeedCorrection",-BX609,BX609)*IF($BP609="Emissions positive",-1,1)</f>
        <v>-1838392.045833885</v>
      </c>
      <c r="CU609">
        <f>IFERROR(CT609/CQ609,"")</f>
        <v>-0.28978897204349285</v>
      </c>
      <c r="CV609" s="2" t="str">
        <f>IFERROR((CS609-CR609)/ABS(CR609),"")</f>
        <v/>
      </c>
      <c r="CW609" s="1" t="s">
        <v>1201</v>
      </c>
      <c r="CX609" t="str">
        <f>IF(OR($CW609="prd",$CW609="std",$CW609="cit"),"loc",IF(OR($CW609="eur",$CW609="reg",$CW609="coy"),"reg",$CW609))</f>
        <v>reg</v>
      </c>
      <c r="CY609" t="s">
        <v>429</v>
      </c>
      <c r="CZ609">
        <v>2020</v>
      </c>
      <c r="DA609">
        <v>2050</v>
      </c>
      <c r="DB609">
        <v>30</v>
      </c>
      <c r="DC609" t="str">
        <f>IF(DB609=0,"0",IF(AND(DB609&gt;=1,DB609&lt;=30),"1-30",IF(AND(DB609&gt;30,DB609&lt;=70),"31-70",IF(AND(DB609&gt;70,DB609&lt;=100),"71-100",IF(DB609&gt;100,"+100")))))</f>
        <v>1-30</v>
      </c>
      <c r="DD609">
        <v>0</v>
      </c>
      <c r="DE609">
        <v>1</v>
      </c>
      <c r="DF609">
        <v>1</v>
      </c>
      <c r="DG609">
        <v>1</v>
      </c>
      <c r="DI609">
        <f>SUM(DD609:DG609)</f>
        <v>3</v>
      </c>
      <c r="DJ609" t="str">
        <f>IF(DI609=1,INDEX($DD$7:$DG$7,MATCH(1,$DD609:$DG609,0)),"mixedProduct")</f>
        <v>mixedProduct</v>
      </c>
      <c r="DK609">
        <f>IF(DD609=1,DK$7,0)</f>
        <v>0</v>
      </c>
      <c r="DL609" t="str">
        <f>IF(DE609=1,DL$7,0)</f>
        <v>Energy</v>
      </c>
      <c r="DM609" t="str">
        <f>IF(DF609=1,DM$7,0)</f>
        <v>Pulp/Paper</v>
      </c>
      <c r="DN609" t="str">
        <f>IF(DG609=1,DN$7,0)</f>
        <v>Timber</v>
      </c>
      <c r="DO609">
        <v>0</v>
      </c>
      <c r="DP609">
        <v>1</v>
      </c>
      <c r="DQ609" t="s">
        <v>1413</v>
      </c>
      <c r="DR609" t="s">
        <v>1414</v>
      </c>
      <c r="DS609">
        <v>0</v>
      </c>
      <c r="DT609">
        <f>SUM(DO609:DP609)</f>
        <v>1</v>
      </c>
      <c r="DU609" s="143" t="str">
        <f>IF(DO609=1,"self-calculated DF",IF(DP609=1,"external DF used","explicit C balance"))</f>
        <v>external DF used</v>
      </c>
      <c r="DV609">
        <v>1</v>
      </c>
      <c r="DW609">
        <v>1</v>
      </c>
      <c r="DX609">
        <v>1</v>
      </c>
      <c r="DY609">
        <v>1</v>
      </c>
      <c r="DZ609">
        <v>0</v>
      </c>
      <c r="EA609" s="143">
        <v>1</v>
      </c>
      <c r="EB609">
        <v>0</v>
      </c>
      <c r="EC609">
        <v>1</v>
      </c>
      <c r="ED609">
        <v>0</v>
      </c>
      <c r="EE609">
        <v>0</v>
      </c>
      <c r="EF609">
        <v>1</v>
      </c>
      <c r="EG609" s="143">
        <v>0</v>
      </c>
      <c r="EH609" s="143">
        <v>0</v>
      </c>
      <c r="EI609" s="2">
        <v>0</v>
      </c>
      <c r="EK609" t="str">
        <f>IF(AND(AND(AND(OR($DX609=1,$DW609=1),OR($EC609=1,$EA609=1)),SUM($DV609:$DZ609,$EF609)&gt;=4),SUM($EA609:$EE609)&gt;=2),"Whole sector","")</f>
        <v>Whole sector</v>
      </c>
      <c r="EL609" t="str">
        <f>IF(AND(AND(OR($DX609=1,$DW609=1),AND($EC609=0,$EA609=0)),SUM($DV609:$DZ609,$EF609)&gt;=4),"Ecosystem approach","")</f>
        <v/>
      </c>
      <c r="EM609" s="2" t="str">
        <f>IF(AND(AND(AND($DX609=0,$DW609=0),OR($EC609=1,$EA609=1)),SUM($EB609:$EE609)&gt;=2),"Technology approach","")</f>
        <v/>
      </c>
      <c r="EP609" t="str">
        <f>IF(ISNUMBER(BU609),IF(ABS(BU609-[4]QC_indicators!$B$2)&gt;3*[4]QC_indicators!$C$2,"C ratio",IF(ISNUMBER(BY609),IF(ABS(BY609-[4]QC_indicators!$B$1)&gt;3*[4]QC_indicators!$C$1,"DF","no"))),IF(ISNUMBER(BY609),IF(ABS(BY609-[4]QC_indicators!$B$1)&gt;3*[4]QC_indicators!$C$1,"DF","no")))</f>
        <v>no</v>
      </c>
      <c r="EQ609" t="s">
        <v>287</v>
      </c>
      <c r="ER609" s="149" t="s">
        <v>350</v>
      </c>
      <c r="ET609" s="266" t="s">
        <v>3275</v>
      </c>
    </row>
    <row r="610" spans="1:150" ht="15" hidden="1" customHeight="1">
      <c r="A610" s="1" t="s">
        <v>1402</v>
      </c>
      <c r="B610" t="s">
        <v>1403</v>
      </c>
      <c r="C610" t="s">
        <v>1404</v>
      </c>
      <c r="D610" t="s">
        <v>1405</v>
      </c>
      <c r="E610" t="s">
        <v>1406</v>
      </c>
      <c r="F610" t="s">
        <v>1407</v>
      </c>
      <c r="G610" t="s">
        <v>1408</v>
      </c>
      <c r="H610" t="s">
        <v>255</v>
      </c>
      <c r="I610">
        <v>2021</v>
      </c>
      <c r="J610">
        <v>0</v>
      </c>
      <c r="K610" t="s">
        <v>1409</v>
      </c>
      <c r="M610" t="str">
        <f>LEFT($D610,FIND(",",$D610)-1)&amp;"_"&amp;I610&amp;L610</f>
        <v>Dugan_2021</v>
      </c>
      <c r="N610" t="s">
        <v>223</v>
      </c>
      <c r="O610" s="145" t="s">
        <v>275</v>
      </c>
      <c r="Q610" t="s">
        <v>257</v>
      </c>
      <c r="R610" s="255" t="s">
        <v>226</v>
      </c>
      <c r="S610" s="1" t="s">
        <v>315</v>
      </c>
      <c r="T610" t="s">
        <v>1415</v>
      </c>
      <c r="U610" t="s">
        <v>1113</v>
      </c>
      <c r="V610">
        <v>0</v>
      </c>
      <c r="W610">
        <v>0</v>
      </c>
      <c r="X610">
        <v>1</v>
      </c>
      <c r="Y610">
        <v>0</v>
      </c>
      <c r="Z610">
        <v>0</v>
      </c>
      <c r="AA610">
        <v>0</v>
      </c>
      <c r="AB610">
        <v>0</v>
      </c>
      <c r="AC610">
        <v>0</v>
      </c>
      <c r="AD610">
        <v>0</v>
      </c>
      <c r="AE610">
        <v>0</v>
      </c>
      <c r="AF610">
        <v>0</v>
      </c>
      <c r="AG610">
        <v>0</v>
      </c>
      <c r="AH610">
        <v>0</v>
      </c>
      <c r="AI610">
        <v>0</v>
      </c>
      <c r="AJ610">
        <v>0</v>
      </c>
      <c r="AK610">
        <v>0</v>
      </c>
      <c r="AL610">
        <v>0</v>
      </c>
      <c r="AM610">
        <v>0</v>
      </c>
      <c r="AN610">
        <v>0</v>
      </c>
      <c r="AO610">
        <v>0</v>
      </c>
      <c r="AP610">
        <v>0</v>
      </c>
      <c r="AQ610">
        <v>0</v>
      </c>
      <c r="AR610">
        <v>0</v>
      </c>
      <c r="AS610">
        <v>0</v>
      </c>
      <c r="AT610">
        <v>0</v>
      </c>
      <c r="AU610">
        <v>0</v>
      </c>
      <c r="AV610">
        <v>0</v>
      </c>
      <c r="AW610">
        <v>0</v>
      </c>
      <c r="AX610" s="141">
        <f>COUNTIF(V610:AW610,"&lt;&gt;0")</f>
        <v>1</v>
      </c>
      <c r="AY610" s="141">
        <f>COUNTIF(V610:AL610,"&lt;&gt;0")</f>
        <v>1</v>
      </c>
      <c r="AZ610">
        <f>COUNTIF(V610:AC610,"&lt;&gt;0")</f>
        <v>1</v>
      </c>
      <c r="BA610">
        <f>COUNTIF(AD610:AI610,"&lt;&gt;0")</f>
        <v>0</v>
      </c>
      <c r="BB610">
        <f>COUNTIF(AJ610:AL610,"&lt;&gt;0")</f>
        <v>0</v>
      </c>
      <c r="BC610">
        <f>COUNTIF(AS610:AW610,"&lt;&gt;0")</f>
        <v>0</v>
      </c>
      <c r="BD610">
        <f>COUNTIF(AM610:AR610,"&lt;&gt;0")</f>
        <v>0</v>
      </c>
      <c r="BE610" t="str">
        <f t="array" ref="BE610">IF(AY610=1,INDEX($V$7:$AL$7,MATCH(TRUE,INDEX($V610:$AW610&lt;&gt;0,),0)),IF(AY610=0,INDEX($AM$7:$AW$7,MATCH(1,$AM610:$AW610,0)),IF(BF610="Multiple strategies","mixed drivers",IF(BF610="Supply chain","multiple supply","multiple silviculture"))))</f>
        <v>rotation length</v>
      </c>
      <c r="BF610" s="2" t="str" cm="1">
        <f t="array" ref="BF610">IF(COUNTIF(AZ610:BB610,"&lt;&gt;0")=1,INDEX($V$4:$AW$4,MATCH(TRUE,INDEX($V610:$AW610&lt;&gt;0,),0)),IF(COUNTIF(AZ610:BB610,"&lt;&gt;0")=0,INDEX($AM$4:$AW$4,MATCH(1,$AM610:$AW610,0)),"Multiple strategies"))</f>
        <v>SilvicultureRemov</v>
      </c>
      <c r="BG610" s="1" t="s">
        <v>322</v>
      </c>
      <c r="BH610" t="s">
        <v>1412</v>
      </c>
      <c r="BI610" s="260" t="s">
        <v>3320</v>
      </c>
      <c r="BJ610" t="s">
        <v>1361</v>
      </c>
      <c r="BK610" s="266">
        <f>0.9*BL610</f>
        <v>13.148999999999999</v>
      </c>
      <c r="BL610" s="266">
        <v>14.61</v>
      </c>
      <c r="BN610" s="227">
        <f>BL610-BK610</f>
        <v>1.4610000000000003</v>
      </c>
      <c r="BO610">
        <f>BN610*10^6*tC_to_m3</f>
        <v>6343899.2618323937</v>
      </c>
      <c r="BP610" t="s">
        <v>233</v>
      </c>
      <c r="BQ610" s="260" t="s">
        <v>3322</v>
      </c>
      <c r="BR610" t="s">
        <v>1302</v>
      </c>
      <c r="BS610" s="152"/>
      <c r="BT610" s="152"/>
      <c r="BU610" s="144"/>
      <c r="BV610" s="286">
        <v>3.5012647539369794</v>
      </c>
      <c r="BX610">
        <f>BV610*10^6</f>
        <v>3501264.7539369795</v>
      </c>
      <c r="BY610">
        <f>IFERROR(BX610/BO610,"")</f>
        <v>0.55191052212983316</v>
      </c>
      <c r="BZ610">
        <v>0</v>
      </c>
      <c r="CA610">
        <v>0</v>
      </c>
      <c r="CB610">
        <v>0</v>
      </c>
      <c r="CC610">
        <v>0</v>
      </c>
      <c r="CD610">
        <v>0</v>
      </c>
      <c r="CE610">
        <v>0</v>
      </c>
      <c r="CF610">
        <v>0</v>
      </c>
      <c r="CG610">
        <v>0</v>
      </c>
      <c r="CH610">
        <v>0</v>
      </c>
      <c r="CI610">
        <v>0</v>
      </c>
      <c r="CJ610">
        <v>0</v>
      </c>
      <c r="CK610">
        <v>0</v>
      </c>
      <c r="CL610">
        <v>0</v>
      </c>
      <c r="CM610">
        <v>0</v>
      </c>
      <c r="CN610" t="str">
        <f>IF(BL610&lt;BK610,"refNeedCorrection","refOK")</f>
        <v>refOK</v>
      </c>
      <c r="CO610"/>
      <c r="CP610"/>
      <c r="CQ610">
        <f>IF($CN610="refNeedCorrection",-BO610,BO610)</f>
        <v>6343899.2618323937</v>
      </c>
      <c r="CR610">
        <f>IF($CN610="refOK",$BS610,$BT610)*IF($BP610="Emissions positive",-1,1)</f>
        <v>0</v>
      </c>
      <c r="CS610">
        <f>IF($CN610="refOK",$BT610,$BS610)*IF($BP610="Emissions positive",-1,1)</f>
        <v>0</v>
      </c>
      <c r="CT610">
        <f>IF($CN610="refNeedCorrection",-BX610,BX610)*IF($BP610="Emissions positive",-1,1)</f>
        <v>3501264.7539369795</v>
      </c>
      <c r="CU610">
        <f>IFERROR(CT610/CQ610,"")</f>
        <v>0.55191052212983316</v>
      </c>
      <c r="CV610" s="2" t="str">
        <f>IFERROR((CS610-CR610)/ABS(CR610),"")</f>
        <v/>
      </c>
      <c r="CW610" s="1" t="s">
        <v>1201</v>
      </c>
      <c r="CX610" t="str">
        <f>IF(OR($CW610="prd",$CW610="std",$CW610="cit"),"loc",IF(OR($CW610="eur",$CW610="reg",$CW610="coy"),"reg",$CW610))</f>
        <v>reg</v>
      </c>
      <c r="CY610" t="s">
        <v>429</v>
      </c>
      <c r="CZ610">
        <v>2020</v>
      </c>
      <c r="DA610">
        <v>2050</v>
      </c>
      <c r="DB610">
        <v>30</v>
      </c>
      <c r="DC610" t="str">
        <f>IF(DB610=0,"0",IF(AND(DB610&gt;=1,DB610&lt;=30),"1-30",IF(AND(DB610&gt;30,DB610&lt;=70),"31-70",IF(AND(DB610&gt;70,DB610&lt;=100),"71-100",IF(DB610&gt;100,"+100")))))</f>
        <v>1-30</v>
      </c>
      <c r="DD610">
        <v>0</v>
      </c>
      <c r="DE610">
        <v>1</v>
      </c>
      <c r="DF610">
        <v>1</v>
      </c>
      <c r="DG610">
        <v>1</v>
      </c>
      <c r="DI610">
        <f>SUM(DD610:DG610)</f>
        <v>3</v>
      </c>
      <c r="DJ610" t="str">
        <f>IF(DI610=1,INDEX($DD$7:$DG$7,MATCH(1,$DD610:$DG610,0)),"mixedProduct")</f>
        <v>mixedProduct</v>
      </c>
      <c r="DK610">
        <f>IF(DD610=1,DK$7,0)</f>
        <v>0</v>
      </c>
      <c r="DL610" t="str">
        <f>IF(DE610=1,DL$7,0)</f>
        <v>Energy</v>
      </c>
      <c r="DM610" t="str">
        <f>IF(DF610=1,DM$7,0)</f>
        <v>Pulp/Paper</v>
      </c>
      <c r="DN610" t="str">
        <f>IF(DG610=1,DN$7,0)</f>
        <v>Timber</v>
      </c>
      <c r="DO610">
        <v>0</v>
      </c>
      <c r="DP610">
        <v>1</v>
      </c>
      <c r="DQ610" t="s">
        <v>1413</v>
      </c>
      <c r="DR610" t="s">
        <v>1414</v>
      </c>
      <c r="DS610">
        <v>0</v>
      </c>
      <c r="DT610">
        <f>SUM(DO610:DP610)</f>
        <v>1</v>
      </c>
      <c r="DU610" s="143" t="str">
        <f>IF(DO610=1,"self-calculated DF",IF(DP610=1,"external DF used","explicit C balance"))</f>
        <v>external DF used</v>
      </c>
      <c r="DV610">
        <v>1</v>
      </c>
      <c r="DW610">
        <v>1</v>
      </c>
      <c r="DX610">
        <v>1</v>
      </c>
      <c r="DY610">
        <v>1</v>
      </c>
      <c r="DZ610">
        <v>0</v>
      </c>
      <c r="EA610" s="143">
        <v>1</v>
      </c>
      <c r="EB610">
        <v>0</v>
      </c>
      <c r="EC610">
        <v>1</v>
      </c>
      <c r="ED610">
        <v>0</v>
      </c>
      <c r="EE610">
        <v>0</v>
      </c>
      <c r="EF610">
        <v>1</v>
      </c>
      <c r="EG610" s="143">
        <v>0</v>
      </c>
      <c r="EH610" s="143">
        <v>0</v>
      </c>
      <c r="EI610" s="2">
        <v>0</v>
      </c>
      <c r="EK610" t="str">
        <f>IF(AND(AND(AND(OR($DX610=1,$DW610=1),OR($EC610=1,$EA610=1)),SUM($DV610:$DZ610,$EF610)&gt;=4),SUM($EA610:$EE610)&gt;=2),"Whole sector","")</f>
        <v>Whole sector</v>
      </c>
      <c r="EL610" t="str">
        <f>IF(AND(AND(OR($DX610=1,$DW610=1),AND($EC610=0,$EA610=0)),SUM($DV610:$DZ610,$EF610)&gt;=4),"Ecosystem approach","")</f>
        <v/>
      </c>
      <c r="EM610" s="2" t="str">
        <f>IF(AND(AND(AND($DX610=0,$DW610=0),OR($EC610=1,$EA610=1)),SUM($EB610:$EE610)&gt;=2),"Technology approach","")</f>
        <v/>
      </c>
      <c r="EP610" t="str">
        <f>IF(ISNUMBER(BU610),IF(ABS(BU610-[4]QC_indicators!$B$2)&gt;3*[4]QC_indicators!$C$2,"C ratio",IF(ISNUMBER(BY610),IF(ABS(BY610-[4]QC_indicators!$B$1)&gt;3*[4]QC_indicators!$C$1,"DF","no"))),IF(ISNUMBER(BY610),IF(ABS(BY610-[4]QC_indicators!$B$1)&gt;3*[4]QC_indicators!$C$1,"DF","no")))</f>
        <v>no</v>
      </c>
      <c r="EQ610" t="s">
        <v>287</v>
      </c>
      <c r="ER610" s="149" t="s">
        <v>350</v>
      </c>
      <c r="ET610" s="266" t="s">
        <v>3275</v>
      </c>
    </row>
    <row r="611" spans="1:150" ht="15" customHeight="1">
      <c r="A611" s="1" t="s">
        <v>1402</v>
      </c>
      <c r="B611" t="s">
        <v>1403</v>
      </c>
      <c r="C611" t="s">
        <v>1404</v>
      </c>
      <c r="D611" t="s">
        <v>1405</v>
      </c>
      <c r="E611" t="s">
        <v>1406</v>
      </c>
      <c r="F611" t="s">
        <v>1407</v>
      </c>
      <c r="G611" t="s">
        <v>1408</v>
      </c>
      <c r="H611" t="s">
        <v>255</v>
      </c>
      <c r="I611">
        <v>2021</v>
      </c>
      <c r="J611">
        <v>0</v>
      </c>
      <c r="K611" t="s">
        <v>1409</v>
      </c>
      <c r="M611" t="str">
        <f>LEFT($D611,FIND(",",$D611)-1)&amp;"_"&amp;I611&amp;L611</f>
        <v>Dugan_2021</v>
      </c>
      <c r="N611" t="s">
        <v>223</v>
      </c>
      <c r="O611" s="145" t="s">
        <v>275</v>
      </c>
      <c r="Q611" t="s">
        <v>257</v>
      </c>
      <c r="R611" s="255" t="s">
        <v>226</v>
      </c>
      <c r="S611" s="1" t="s">
        <v>1410</v>
      </c>
      <c r="T611" t="s">
        <v>1113</v>
      </c>
      <c r="U611" t="s">
        <v>1411</v>
      </c>
      <c r="V611">
        <v>0</v>
      </c>
      <c r="W611">
        <v>0</v>
      </c>
      <c r="X611">
        <v>2</v>
      </c>
      <c r="Y611">
        <v>1</v>
      </c>
      <c r="Z611">
        <v>2</v>
      </c>
      <c r="AA611">
        <v>0</v>
      </c>
      <c r="AB611">
        <v>0</v>
      </c>
      <c r="AC611">
        <v>0</v>
      </c>
      <c r="AD611">
        <v>0</v>
      </c>
      <c r="AE611">
        <v>0</v>
      </c>
      <c r="AF611">
        <v>0</v>
      </c>
      <c r="AG611">
        <v>0</v>
      </c>
      <c r="AH611">
        <v>0</v>
      </c>
      <c r="AI611">
        <v>0</v>
      </c>
      <c r="AJ611">
        <v>0</v>
      </c>
      <c r="AK611">
        <v>0</v>
      </c>
      <c r="AL611">
        <v>0</v>
      </c>
      <c r="AM611">
        <v>0</v>
      </c>
      <c r="AN611">
        <v>0</v>
      </c>
      <c r="AO611">
        <v>0</v>
      </c>
      <c r="AP611">
        <v>0</v>
      </c>
      <c r="AQ611">
        <v>0</v>
      </c>
      <c r="AR611">
        <v>0</v>
      </c>
      <c r="AS611">
        <v>0</v>
      </c>
      <c r="AT611">
        <v>0</v>
      </c>
      <c r="AU611">
        <v>0</v>
      </c>
      <c r="AV611">
        <v>0</v>
      </c>
      <c r="AW611">
        <v>0</v>
      </c>
      <c r="AX611" s="141">
        <f>COUNTIF(V611:AW611,"&lt;&gt;0")</f>
        <v>3</v>
      </c>
      <c r="AY611" s="141">
        <f>COUNTIF(V611:AL611,"&lt;&gt;0")</f>
        <v>3</v>
      </c>
      <c r="AZ611">
        <f>COUNTIF(V611:AC611,"&lt;&gt;0")</f>
        <v>3</v>
      </c>
      <c r="BA611">
        <f>COUNTIF(AD611:AI611,"&lt;&gt;0")</f>
        <v>0</v>
      </c>
      <c r="BB611">
        <f>COUNTIF(AJ611:AL611,"&lt;&gt;0")</f>
        <v>0</v>
      </c>
      <c r="BC611">
        <f>COUNTIF(AS611:AW611,"&lt;&gt;0")</f>
        <v>0</v>
      </c>
      <c r="BD611">
        <f>COUNTIF(AM611:AR611,"&lt;&gt;0")</f>
        <v>0</v>
      </c>
      <c r="BE611" t="str">
        <f t="array" ref="BE611">IF(AY611=1,INDEX($V$7:$AL$7,MATCH(TRUE,INDEX($V611:$AW611&lt;&gt;0,),0)),IF(AY611=0,INDEX($AM$7:$AW$7,MATCH(1,$AM611:$AW611,0)),IF(BF611="Multiple strategies","mixed drivers",IF(BF611="Supply chain","multiple supply","multiple silviculture"))))</f>
        <v>multiple silviculture</v>
      </c>
      <c r="BF611" s="2" t="str" cm="1">
        <f t="array" ref="BF611">IF(COUNTIF(AZ611:BB611,"&lt;&gt;0")=1,INDEX($V$4:$AW$4,MATCH(TRUE,INDEX($V611:$AW611&lt;&gt;0,),0)),IF(COUNTIF(AZ611:BB611,"&lt;&gt;0")=0,INDEX($AM$4:$AW$4,MATCH(1,$AM611:$AW611,0)),"Multiple strategies"))</f>
        <v>SilvicultureRemov</v>
      </c>
      <c r="BG611" s="1" t="s">
        <v>322</v>
      </c>
      <c r="BH611" t="s">
        <v>1412</v>
      </c>
      <c r="BI611" s="260" t="s">
        <v>3320</v>
      </c>
      <c r="BJ611" t="s">
        <v>1361</v>
      </c>
      <c r="BK611" s="266">
        <v>14.61</v>
      </c>
      <c r="BL611">
        <f>BK611*1.1</f>
        <v>16.071000000000002</v>
      </c>
      <c r="BN611" s="227">
        <f>BL611-BK611</f>
        <v>1.4610000000000021</v>
      </c>
      <c r="BO611">
        <f>BN611*10^6*tC_to_m3</f>
        <v>6343899.2618324021</v>
      </c>
      <c r="BP611" t="s">
        <v>233</v>
      </c>
      <c r="BQ611" s="260" t="s">
        <v>3321</v>
      </c>
      <c r="BR611" t="s">
        <v>1302</v>
      </c>
      <c r="BS611" s="152"/>
      <c r="BT611" s="152"/>
      <c r="BU611" s="144"/>
      <c r="BV611" s="286">
        <v>7.0674188796483897</v>
      </c>
      <c r="BX611">
        <f>BV611*10^6</f>
        <v>7067418.8796483893</v>
      </c>
      <c r="BY611">
        <f>IFERROR(BX611/BO611,"")</f>
        <v>1.114049670077359</v>
      </c>
      <c r="BZ611">
        <v>0</v>
      </c>
      <c r="CA611">
        <v>0</v>
      </c>
      <c r="CB611">
        <v>0</v>
      </c>
      <c r="CC611">
        <v>0</v>
      </c>
      <c r="CD611">
        <v>0</v>
      </c>
      <c r="CE611">
        <v>0</v>
      </c>
      <c r="CF611">
        <v>0</v>
      </c>
      <c r="CG611">
        <v>0</v>
      </c>
      <c r="CH611">
        <v>0</v>
      </c>
      <c r="CI611">
        <v>0</v>
      </c>
      <c r="CJ611">
        <v>0</v>
      </c>
      <c r="CK611">
        <v>0</v>
      </c>
      <c r="CL611">
        <v>0</v>
      </c>
      <c r="CM611">
        <v>0</v>
      </c>
      <c r="CN611" t="str">
        <f>IF(BL611&lt;BK611,"refNeedCorrection","refOK")</f>
        <v>refOK</v>
      </c>
      <c r="CO611"/>
      <c r="CP611"/>
      <c r="CQ611">
        <f>IF($CN611="refNeedCorrection",-BO611,BO611)</f>
        <v>6343899.2618324021</v>
      </c>
      <c r="CR611">
        <f>IF($CN611="refOK",$BS611,$BT611)*IF($BP611="Emissions positive",-1,1)</f>
        <v>0</v>
      </c>
      <c r="CS611">
        <f>IF($CN611="refOK",$BT611,$BS611)*IF($BP611="Emissions positive",-1,1)</f>
        <v>0</v>
      </c>
      <c r="CT611">
        <f>IF($CN611="refNeedCorrection",-BX611,BX611)*IF($BP611="Emissions positive",-1,1)</f>
        <v>7067418.8796483893</v>
      </c>
      <c r="CU611">
        <f>IFERROR(CT611/CQ611,"")</f>
        <v>1.114049670077359</v>
      </c>
      <c r="CV611" s="2" t="str">
        <f>IFERROR((CS611-CR611)/ABS(CR611),"")</f>
        <v/>
      </c>
      <c r="CW611" s="1" t="s">
        <v>1201</v>
      </c>
      <c r="CX611" t="str">
        <f>IF(OR($CW611="prd",$CW611="std",$CW611="cit"),"loc",IF(OR($CW611="eur",$CW611="reg",$CW611="coy"),"reg",$CW611))</f>
        <v>reg</v>
      </c>
      <c r="CY611" t="s">
        <v>429</v>
      </c>
      <c r="CZ611">
        <v>2020</v>
      </c>
      <c r="DA611">
        <v>2050</v>
      </c>
      <c r="DB611">
        <v>30</v>
      </c>
      <c r="DC611" t="str">
        <f>IF(DB611=0,"0",IF(AND(DB611&gt;=1,DB611&lt;=30),"1-30",IF(AND(DB611&gt;30,DB611&lt;=70),"31-70",IF(AND(DB611&gt;70,DB611&lt;=100),"71-100",IF(DB611&gt;100,"+100")))))</f>
        <v>1-30</v>
      </c>
      <c r="DD611">
        <v>0</v>
      </c>
      <c r="DE611">
        <v>1</v>
      </c>
      <c r="DF611">
        <v>1</v>
      </c>
      <c r="DG611">
        <v>1</v>
      </c>
      <c r="DI611">
        <f>SUM(DD611:DG611)</f>
        <v>3</v>
      </c>
      <c r="DJ611" t="str">
        <f>IF(DI611=1,INDEX($DD$7:$DG$7,MATCH(1,$DD611:$DG611,0)),"mixedProduct")</f>
        <v>mixedProduct</v>
      </c>
      <c r="DK611">
        <f>IF(DD611=1,DK$7,0)</f>
        <v>0</v>
      </c>
      <c r="DL611" t="str">
        <f>IF(DE611=1,DL$7,0)</f>
        <v>Energy</v>
      </c>
      <c r="DM611" t="str">
        <f>IF(DF611=1,DM$7,0)</f>
        <v>Pulp/Paper</v>
      </c>
      <c r="DN611" t="str">
        <f>IF(DG611=1,DN$7,0)</f>
        <v>Timber</v>
      </c>
      <c r="DO611">
        <v>0</v>
      </c>
      <c r="DP611">
        <v>1</v>
      </c>
      <c r="DQ611" t="s">
        <v>1413</v>
      </c>
      <c r="DR611" t="s">
        <v>1414</v>
      </c>
      <c r="DS611">
        <v>0</v>
      </c>
      <c r="DT611">
        <f>SUM(DO611:DP611)</f>
        <v>1</v>
      </c>
      <c r="DU611" s="143" t="str">
        <f>IF(DO611=1,"self-calculated DF",IF(DP611=1,"external DF used","explicit C balance"))</f>
        <v>external DF used</v>
      </c>
      <c r="DV611">
        <v>1</v>
      </c>
      <c r="DW611">
        <v>1</v>
      </c>
      <c r="DX611">
        <v>1</v>
      </c>
      <c r="DY611">
        <v>1</v>
      </c>
      <c r="DZ611">
        <v>0</v>
      </c>
      <c r="EA611" s="143">
        <v>0</v>
      </c>
      <c r="EB611">
        <v>0</v>
      </c>
      <c r="EC611">
        <v>0</v>
      </c>
      <c r="ED611">
        <v>0</v>
      </c>
      <c r="EE611">
        <v>0</v>
      </c>
      <c r="EF611">
        <v>1</v>
      </c>
      <c r="EG611" s="143">
        <v>0</v>
      </c>
      <c r="EH611" s="143">
        <v>0</v>
      </c>
      <c r="EI611" s="2">
        <v>0</v>
      </c>
      <c r="EK611" t="str">
        <f>IF(AND(AND(AND(OR($DX611=1,$DW611=1),OR($EC611=1,$EA611=1)),SUM($DV611:$DZ611,$EF611)&gt;=4),SUM($EA611:$EE611)&gt;=2),"Whole sector","")</f>
        <v/>
      </c>
      <c r="EL611" t="str">
        <f>IF(AND(AND(OR($DX611=1,$DW611=1),AND($EC611=0,$EA611=0)),SUM($DV611:$DZ611,$EF611)&gt;=4),"Ecosystem approach","")</f>
        <v>Ecosystem approach</v>
      </c>
      <c r="EM611" s="2" t="str">
        <f>IF(AND(AND(AND($DX611=0,$DW611=0),OR($EC611=1,$EA611=1)),SUM($EB611:$EE611)&gt;=2),"Technology approach","")</f>
        <v/>
      </c>
      <c r="EP611" t="str">
        <f>IF(ISNUMBER(BU611),IF(ABS(BU611-[4]QC_indicators!$B$2)&gt;3*[4]QC_indicators!$C$2,"C ratio",IF(ISNUMBER(BY611),IF(ABS(BY611-[4]QC_indicators!$B$1)&gt;3*[4]QC_indicators!$C$1,"DF","no"))),IF(ISNUMBER(BY611),IF(ABS(BY611-[4]QC_indicators!$B$1)&gt;3*[4]QC_indicators!$C$1,"DF","no")))</f>
        <v>no</v>
      </c>
      <c r="EQ611" t="s">
        <v>287</v>
      </c>
      <c r="ER611" s="149" t="s">
        <v>350</v>
      </c>
      <c r="ET611" s="266" t="s">
        <v>3275</v>
      </c>
    </row>
    <row r="612" spans="1:150" ht="15" hidden="1" customHeight="1">
      <c r="A612" s="1" t="s">
        <v>1402</v>
      </c>
      <c r="B612" t="s">
        <v>1403</v>
      </c>
      <c r="C612" t="s">
        <v>1404</v>
      </c>
      <c r="D612" t="s">
        <v>1405</v>
      </c>
      <c r="E612" t="s">
        <v>1406</v>
      </c>
      <c r="F612" t="s">
        <v>1407</v>
      </c>
      <c r="G612" t="s">
        <v>1408</v>
      </c>
      <c r="H612" t="s">
        <v>255</v>
      </c>
      <c r="I612">
        <v>2021</v>
      </c>
      <c r="J612">
        <v>0</v>
      </c>
      <c r="K612" t="s">
        <v>1409</v>
      </c>
      <c r="M612" t="str">
        <f>LEFT($D612,FIND(",",$D612)-1)&amp;"_"&amp;I612&amp;L612</f>
        <v>Dugan_2021</v>
      </c>
      <c r="N612" t="s">
        <v>223</v>
      </c>
      <c r="O612" s="145" t="s">
        <v>275</v>
      </c>
      <c r="Q612" t="s">
        <v>257</v>
      </c>
      <c r="R612" s="255" t="s">
        <v>226</v>
      </c>
      <c r="S612" s="1" t="s">
        <v>1421</v>
      </c>
      <c r="T612" t="s">
        <v>1113</v>
      </c>
      <c r="U612" t="s">
        <v>1422</v>
      </c>
      <c r="V612">
        <v>0</v>
      </c>
      <c r="W612">
        <v>0</v>
      </c>
      <c r="X612">
        <v>0</v>
      </c>
      <c r="Y612">
        <v>1</v>
      </c>
      <c r="Z612">
        <v>0</v>
      </c>
      <c r="AA612">
        <v>0</v>
      </c>
      <c r="AB612">
        <v>0</v>
      </c>
      <c r="AC612">
        <v>0</v>
      </c>
      <c r="AD612">
        <v>0</v>
      </c>
      <c r="AE612">
        <v>0</v>
      </c>
      <c r="AF612">
        <v>0</v>
      </c>
      <c r="AG612">
        <v>0</v>
      </c>
      <c r="AH612">
        <v>0</v>
      </c>
      <c r="AI612">
        <v>0</v>
      </c>
      <c r="AJ612">
        <v>0</v>
      </c>
      <c r="AK612">
        <v>0</v>
      </c>
      <c r="AL612">
        <v>0</v>
      </c>
      <c r="AM612">
        <v>0</v>
      </c>
      <c r="AN612">
        <v>0</v>
      </c>
      <c r="AO612">
        <v>0</v>
      </c>
      <c r="AP612">
        <v>0</v>
      </c>
      <c r="AQ612">
        <v>0</v>
      </c>
      <c r="AR612">
        <v>0</v>
      </c>
      <c r="AS612">
        <v>0</v>
      </c>
      <c r="AT612">
        <v>0</v>
      </c>
      <c r="AU612">
        <v>0</v>
      </c>
      <c r="AV612">
        <v>0</v>
      </c>
      <c r="AW612">
        <v>0</v>
      </c>
      <c r="AX612" s="141">
        <f>COUNTIF(V612:AW612,"&lt;&gt;0")</f>
        <v>1</v>
      </c>
      <c r="AY612" s="141">
        <f>COUNTIF(V612:AL612,"&lt;&gt;0")</f>
        <v>1</v>
      </c>
      <c r="AZ612">
        <f>COUNTIF(V612:AC612,"&lt;&gt;0")</f>
        <v>1</v>
      </c>
      <c r="BA612">
        <f>COUNTIF(AD612:AI612,"&lt;&gt;0")</f>
        <v>0</v>
      </c>
      <c r="BB612">
        <f>COUNTIF(AJ612:AL612,"&lt;&gt;0")</f>
        <v>0</v>
      </c>
      <c r="BC612">
        <f>COUNTIF(AS612:AW612,"&lt;&gt;0")</f>
        <v>0</v>
      </c>
      <c r="BD612">
        <f>COUNTIF(AM612:AR612,"&lt;&gt;0")</f>
        <v>0</v>
      </c>
      <c r="BE612" t="str">
        <f t="array" ref="BE612">IF(AY612=1,INDEX($V$7:$AL$7,MATCH(TRUE,INDEX($V612:$AW612&lt;&gt;0,),0)),IF(AY612=0,INDEX($AM$7:$AW$7,MATCH(1,$AM612:$AW612,0)),IF(BF612="Multiple strategies","mixed drivers",IF(BF612="Supply chain","multiple supply","multiple silviculture"))))</f>
        <v xml:space="preserve">cutting intensity </v>
      </c>
      <c r="BF612" s="2" t="str" cm="1">
        <f t="array" ref="BF612">IF(COUNTIF(AZ612:BB612,"&lt;&gt;0")=1,INDEX($V$4:$AW$4,MATCH(TRUE,INDEX($V612:$AW612&lt;&gt;0,),0)),IF(COUNTIF(AZ612:BB612,"&lt;&gt;0")=0,INDEX($AM$4:$AW$4,MATCH(1,$AM612:$AW612,0)),"Multiple strategies"))</f>
        <v>SilvicultureRemov</v>
      </c>
      <c r="BG612" s="1" t="s">
        <v>322</v>
      </c>
      <c r="BH612" t="s">
        <v>1412</v>
      </c>
      <c r="BI612" s="260" t="s">
        <v>3320</v>
      </c>
      <c r="BJ612" t="s">
        <v>1361</v>
      </c>
      <c r="BK612" s="266">
        <v>14.61</v>
      </c>
      <c r="BL612" s="266">
        <v>14.61</v>
      </c>
      <c r="BN612" s="227">
        <f>BL612-BK612</f>
        <v>0</v>
      </c>
      <c r="BO612">
        <f>BN612*10^6*tC_to_m3</f>
        <v>0</v>
      </c>
      <c r="BP612" t="s">
        <v>233</v>
      </c>
      <c r="BQ612" s="260" t="s">
        <v>3322</v>
      </c>
      <c r="BR612" t="s">
        <v>1302</v>
      </c>
      <c r="BS612" s="152"/>
      <c r="BT612" s="152"/>
      <c r="BU612" s="144"/>
      <c r="BV612" s="286">
        <v>3.9411937334774052</v>
      </c>
      <c r="BX612">
        <f>BV612*10^6</f>
        <v>3941193.7334774053</v>
      </c>
      <c r="BY612" t="str">
        <f>IFERROR(BX612/BO612,"")</f>
        <v/>
      </c>
      <c r="BZ612">
        <v>0</v>
      </c>
      <c r="CA612">
        <v>0</v>
      </c>
      <c r="CB612">
        <v>0</v>
      </c>
      <c r="CC612">
        <v>0</v>
      </c>
      <c r="CD612">
        <v>0</v>
      </c>
      <c r="CE612">
        <v>0</v>
      </c>
      <c r="CF612">
        <v>0</v>
      </c>
      <c r="CG612">
        <v>0</v>
      </c>
      <c r="CH612">
        <v>0</v>
      </c>
      <c r="CI612">
        <v>0</v>
      </c>
      <c r="CJ612">
        <v>0</v>
      </c>
      <c r="CK612">
        <v>0</v>
      </c>
      <c r="CL612">
        <v>0</v>
      </c>
      <c r="CM612">
        <v>0</v>
      </c>
      <c r="CN612" t="str">
        <f>IF(BL612&lt;BK612,"refNeedCorrection","refOK")</f>
        <v>refOK</v>
      </c>
      <c r="CO612"/>
      <c r="CP612"/>
      <c r="CQ612">
        <f>IF($CN612="refNeedCorrection",-BO612,BO612)</f>
        <v>0</v>
      </c>
      <c r="CR612">
        <f>IF($CN612="refOK",$BS612,$BT612)*IF($BP612="Emissions positive",-1,1)</f>
        <v>0</v>
      </c>
      <c r="CS612">
        <f>IF($CN612="refOK",$BT612,$BS612)*IF($BP612="Emissions positive",-1,1)</f>
        <v>0</v>
      </c>
      <c r="CT612">
        <f>IF($CN612="refNeedCorrection",-BX612,BX612)*IF($BP612="Emissions positive",-1,1)</f>
        <v>3941193.7334774053</v>
      </c>
      <c r="CU612" t="str">
        <f>IFERROR(CT612/CQ612,"")</f>
        <v/>
      </c>
      <c r="CV612" s="2" t="str">
        <f>IFERROR((CS612-CR612)/ABS(CR612),"")</f>
        <v/>
      </c>
      <c r="CW612" s="1" t="s">
        <v>1201</v>
      </c>
      <c r="CX612" t="str">
        <f>IF(OR($CW612="prd",$CW612="std",$CW612="cit"),"loc",IF(OR($CW612="eur",$CW612="reg",$CW612="coy"),"reg",$CW612))</f>
        <v>reg</v>
      </c>
      <c r="CY612" t="s">
        <v>429</v>
      </c>
      <c r="CZ612">
        <v>2020</v>
      </c>
      <c r="DA612">
        <v>2050</v>
      </c>
      <c r="DB612">
        <v>30</v>
      </c>
      <c r="DC612" t="str">
        <f>IF(DB612=0,"0",IF(AND(DB612&gt;=1,DB612&lt;=30),"1-30",IF(AND(DB612&gt;30,DB612&lt;=70),"31-70",IF(AND(DB612&gt;70,DB612&lt;=100),"71-100",IF(DB612&gt;100,"+100")))))</f>
        <v>1-30</v>
      </c>
      <c r="DD612">
        <v>0</v>
      </c>
      <c r="DE612">
        <v>1</v>
      </c>
      <c r="DF612">
        <v>0</v>
      </c>
      <c r="DG612">
        <v>0</v>
      </c>
      <c r="DI612">
        <f>SUM(DD612:DG612)</f>
        <v>1</v>
      </c>
      <c r="DJ612" t="str">
        <f>IF(DI612=1,INDEX($DD$7:$DG$7,MATCH(1,$DD612:$DG612,0)),"mixedProduct")</f>
        <v>EnergyInput</v>
      </c>
      <c r="DK612">
        <f>IF(DD612=1,DK$7,0)</f>
        <v>0</v>
      </c>
      <c r="DL612" t="str">
        <f>IF(DE612=1,DL$7,0)</f>
        <v>Energy</v>
      </c>
      <c r="DM612">
        <f>IF(DF612=1,DM$7,0)</f>
        <v>0</v>
      </c>
      <c r="DN612">
        <f>IF(DG612=1,DN$7,0)</f>
        <v>0</v>
      </c>
      <c r="DO612">
        <v>0</v>
      </c>
      <c r="DP612">
        <v>1</v>
      </c>
      <c r="DQ612" t="s">
        <v>1413</v>
      </c>
      <c r="DR612" t="s">
        <v>1414</v>
      </c>
      <c r="DS612">
        <v>0</v>
      </c>
      <c r="DT612">
        <f>SUM(DO612:DP612)</f>
        <v>1</v>
      </c>
      <c r="DU612" s="143" t="str">
        <f>IF(DO612=1,"self-calculated DF",IF(DP612=1,"external DF used","explicit C balance"))</f>
        <v>external DF used</v>
      </c>
      <c r="DV612">
        <v>1</v>
      </c>
      <c r="DW612">
        <v>1</v>
      </c>
      <c r="DX612">
        <v>1</v>
      </c>
      <c r="DY612">
        <v>1</v>
      </c>
      <c r="DZ612">
        <v>0</v>
      </c>
      <c r="EA612" s="143">
        <v>1</v>
      </c>
      <c r="EB612">
        <v>0</v>
      </c>
      <c r="EC612">
        <v>1</v>
      </c>
      <c r="ED612">
        <v>0</v>
      </c>
      <c r="EE612">
        <v>0</v>
      </c>
      <c r="EF612">
        <v>1</v>
      </c>
      <c r="EG612" s="143">
        <v>0</v>
      </c>
      <c r="EH612" s="143">
        <v>0</v>
      </c>
      <c r="EI612" s="2">
        <v>0</v>
      </c>
      <c r="EK612" t="str">
        <f>IF(AND(AND(AND(OR($DX612=1,$DW612=1),OR($EC612=1,$EA612=1)),SUM($DV612:$DZ612,$EF612)&gt;=4),SUM($EA612:$EE612)&gt;=2),"Whole sector","")</f>
        <v>Whole sector</v>
      </c>
      <c r="EL612" t="str">
        <f>IF(AND(AND(OR($DX612=1,$DW612=1),AND($EC612=0,$EA612=0)),SUM($DV612:$DZ612,$EF612)&gt;=4),"Ecosystem approach","")</f>
        <v/>
      </c>
      <c r="EM612" s="2" t="str">
        <f>IF(AND(AND(AND($DX612=0,$DW612=0),OR($EC612=1,$EA612=1)),SUM($EB612:$EE612)&gt;=2),"Technology approach","")</f>
        <v/>
      </c>
      <c r="EP612" t="b">
        <f>IF(ISNUMBER(BU612),IF(ABS(BU612-[4]QC_indicators!$B$2)&gt;3*[4]QC_indicators!$C$2,"C ratio",IF(ISNUMBER(BY612),IF(ABS(BY612-[4]QC_indicators!$B$1)&gt;3*[4]QC_indicators!$C$1,"DF","no"))),IF(ISNUMBER(BY612),IF(ABS(BY612-[4]QC_indicators!$B$1)&gt;3*[4]QC_indicators!$C$1,"DF","no")))</f>
        <v>0</v>
      </c>
      <c r="EQ612" t="s">
        <v>287</v>
      </c>
      <c r="ER612" s="149" t="s">
        <v>350</v>
      </c>
      <c r="ET612" s="266" t="s">
        <v>3275</v>
      </c>
    </row>
    <row r="613" spans="1:150" ht="15" customHeight="1">
      <c r="A613" s="1" t="s">
        <v>1402</v>
      </c>
      <c r="B613" t="s">
        <v>1403</v>
      </c>
      <c r="C613" t="s">
        <v>1404</v>
      </c>
      <c r="D613" t="s">
        <v>1405</v>
      </c>
      <c r="E613" t="s">
        <v>1406</v>
      </c>
      <c r="F613" t="s">
        <v>1407</v>
      </c>
      <c r="G613" t="s">
        <v>1408</v>
      </c>
      <c r="H613" t="s">
        <v>255</v>
      </c>
      <c r="I613">
        <v>2021</v>
      </c>
      <c r="J613">
        <v>0</v>
      </c>
      <c r="K613" t="s">
        <v>1409</v>
      </c>
      <c r="M613" t="str">
        <f>LEFT($D613,FIND(",",$D613)-1)&amp;"_"&amp;I613&amp;L613</f>
        <v>Dugan_2021</v>
      </c>
      <c r="N613" t="s">
        <v>223</v>
      </c>
      <c r="O613" s="145" t="s">
        <v>275</v>
      </c>
      <c r="Q613" t="s">
        <v>257</v>
      </c>
      <c r="R613" s="255" t="s">
        <v>226</v>
      </c>
      <c r="S613" s="1" t="s">
        <v>1410</v>
      </c>
      <c r="T613" t="s">
        <v>1113</v>
      </c>
      <c r="U613" t="s">
        <v>1411</v>
      </c>
      <c r="V613">
        <v>0</v>
      </c>
      <c r="W613">
        <v>0</v>
      </c>
      <c r="X613">
        <v>2</v>
      </c>
      <c r="Y613">
        <v>1</v>
      </c>
      <c r="Z613">
        <v>2</v>
      </c>
      <c r="AA613">
        <v>0</v>
      </c>
      <c r="AB613">
        <v>0</v>
      </c>
      <c r="AC613">
        <v>0</v>
      </c>
      <c r="AD613">
        <v>0</v>
      </c>
      <c r="AE613">
        <v>0</v>
      </c>
      <c r="AF613">
        <v>0</v>
      </c>
      <c r="AG613">
        <v>0</v>
      </c>
      <c r="AH613">
        <v>0</v>
      </c>
      <c r="AI613">
        <v>0</v>
      </c>
      <c r="AJ613">
        <v>0</v>
      </c>
      <c r="AK613">
        <v>0</v>
      </c>
      <c r="AL613">
        <v>0</v>
      </c>
      <c r="AM613">
        <v>0</v>
      </c>
      <c r="AN613">
        <v>0</v>
      </c>
      <c r="AO613">
        <v>0</v>
      </c>
      <c r="AP613">
        <v>0</v>
      </c>
      <c r="AQ613">
        <v>0</v>
      </c>
      <c r="AR613">
        <v>0</v>
      </c>
      <c r="AS613">
        <v>0</v>
      </c>
      <c r="AT613">
        <v>0</v>
      </c>
      <c r="AU613">
        <v>0</v>
      </c>
      <c r="AV613">
        <v>0</v>
      </c>
      <c r="AW613">
        <v>0</v>
      </c>
      <c r="AX613" s="141">
        <f>COUNTIF(V613:AW613,"&lt;&gt;0")</f>
        <v>3</v>
      </c>
      <c r="AY613" s="141">
        <f>COUNTIF(V613:AL613,"&lt;&gt;0")</f>
        <v>3</v>
      </c>
      <c r="AZ613">
        <f>COUNTIF(V613:AC613,"&lt;&gt;0")</f>
        <v>3</v>
      </c>
      <c r="BA613">
        <f>COUNTIF(AD613:AI613,"&lt;&gt;0")</f>
        <v>0</v>
      </c>
      <c r="BB613">
        <f>COUNTIF(AJ613:AL613,"&lt;&gt;0")</f>
        <v>0</v>
      </c>
      <c r="BC613">
        <f>COUNTIF(AS613:AW613,"&lt;&gt;0")</f>
        <v>0</v>
      </c>
      <c r="BD613">
        <f>COUNTIF(AM613:AR613,"&lt;&gt;0")</f>
        <v>0</v>
      </c>
      <c r="BE613" t="str">
        <f t="array" ref="BE613">IF(AY613=1,INDEX($V$7:$AL$7,MATCH(TRUE,INDEX($V613:$AW613&lt;&gt;0,),0)),IF(AY613=0,INDEX($AM$7:$AW$7,MATCH(1,$AM613:$AW613,0)),IF(BF613="Multiple strategies","mixed drivers",IF(BF613="Supply chain","multiple supply","multiple silviculture"))))</f>
        <v>multiple silviculture</v>
      </c>
      <c r="BF613" s="2" t="str" cm="1">
        <f t="array" ref="BF613">IF(COUNTIF(AZ613:BB613,"&lt;&gt;0")=1,INDEX($V$4:$AW$4,MATCH(TRUE,INDEX($V613:$AW613&lt;&gt;0,),0)),IF(COUNTIF(AZ613:BB613,"&lt;&gt;0")=0,INDEX($AM$4:$AW$4,MATCH(1,$AM613:$AW613,0)),"Multiple strategies"))</f>
        <v>SilvicultureRemov</v>
      </c>
      <c r="BG613" s="1" t="s">
        <v>322</v>
      </c>
      <c r="BH613" t="s">
        <v>1412</v>
      </c>
      <c r="BI613" s="260" t="s">
        <v>3320</v>
      </c>
      <c r="BJ613" t="s">
        <v>1361</v>
      </c>
      <c r="BK613" s="266">
        <v>14.61</v>
      </c>
      <c r="BL613">
        <f>BK613*1.1</f>
        <v>16.071000000000002</v>
      </c>
      <c r="BN613" s="227">
        <f>BL613-BK613</f>
        <v>1.4610000000000021</v>
      </c>
      <c r="BO613">
        <f>BN613*10^6*tC_to_m3</f>
        <v>6343899.2618324021</v>
      </c>
      <c r="BP613" t="s">
        <v>233</v>
      </c>
      <c r="BQ613" s="260" t="s">
        <v>3323</v>
      </c>
      <c r="BR613" t="s">
        <v>1302</v>
      </c>
      <c r="BS613" s="152"/>
      <c r="BT613" s="152"/>
      <c r="BU613" s="144"/>
      <c r="BV613" s="287">
        <v>10.1853675975971</v>
      </c>
      <c r="BX613">
        <f>BV613*10^6</f>
        <v>10185367.5975971</v>
      </c>
      <c r="BY613">
        <f>IFERROR(BX613/BO613,"")</f>
        <v>1.6055374111749545</v>
      </c>
      <c r="BZ613">
        <v>0</v>
      </c>
      <c r="CA613">
        <v>0</v>
      </c>
      <c r="CB613">
        <v>0</v>
      </c>
      <c r="CC613">
        <v>0</v>
      </c>
      <c r="CD613">
        <v>0</v>
      </c>
      <c r="CE613">
        <v>0</v>
      </c>
      <c r="CF613">
        <v>0</v>
      </c>
      <c r="CG613">
        <v>0</v>
      </c>
      <c r="CH613">
        <v>0</v>
      </c>
      <c r="CI613">
        <v>0</v>
      </c>
      <c r="CJ613">
        <v>0</v>
      </c>
      <c r="CK613">
        <v>0</v>
      </c>
      <c r="CL613">
        <v>0</v>
      </c>
      <c r="CM613">
        <v>0</v>
      </c>
      <c r="CN613" t="str">
        <f>IF(BL613&lt;BK613,"refNeedCorrection","refOK")</f>
        <v>refOK</v>
      </c>
      <c r="CO613"/>
      <c r="CP613"/>
      <c r="CQ613">
        <f>IF($CN613="refNeedCorrection",-BO613,BO613)</f>
        <v>6343899.2618324021</v>
      </c>
      <c r="CR613">
        <f>IF($CN613="refOK",$BS613,$BT613)*IF($BP613="Emissions positive",-1,1)</f>
        <v>0</v>
      </c>
      <c r="CS613">
        <f>IF($CN613="refOK",$BT613,$BS613)*IF($BP613="Emissions positive",-1,1)</f>
        <v>0</v>
      </c>
      <c r="CT613">
        <f>IF($CN613="refNeedCorrection",-BX613,BX613)*IF($BP613="Emissions positive",-1,1)</f>
        <v>10185367.5975971</v>
      </c>
      <c r="CU613">
        <f>IFERROR(CT613/CQ613,"")</f>
        <v>1.6055374111749545</v>
      </c>
      <c r="CV613" s="2" t="str">
        <f>IFERROR((CS613-CR613)/ABS(CR613),"")</f>
        <v/>
      </c>
      <c r="CW613" s="1" t="s">
        <v>1201</v>
      </c>
      <c r="CX613" t="str">
        <f>IF(OR($CW613="prd",$CW613="std",$CW613="cit"),"loc",IF(OR($CW613="eur",$CW613="reg",$CW613="coy"),"reg",$CW613))</f>
        <v>reg</v>
      </c>
      <c r="CY613" t="s">
        <v>429</v>
      </c>
      <c r="CZ613">
        <v>2020</v>
      </c>
      <c r="DA613">
        <v>2050</v>
      </c>
      <c r="DB613">
        <v>30</v>
      </c>
      <c r="DC613" t="str">
        <f>IF(DB613=0,"0",IF(AND(DB613&gt;=1,DB613&lt;=30),"1-30",IF(AND(DB613&gt;30,DB613&lt;=70),"31-70",IF(AND(DB613&gt;70,DB613&lt;=100),"71-100",IF(DB613&gt;100,"+100")))))</f>
        <v>1-30</v>
      </c>
      <c r="DD613">
        <v>0</v>
      </c>
      <c r="DE613">
        <v>1</v>
      </c>
      <c r="DF613">
        <v>1</v>
      </c>
      <c r="DG613">
        <v>1</v>
      </c>
      <c r="DI613">
        <f>SUM(DD613:DG613)</f>
        <v>3</v>
      </c>
      <c r="DJ613" t="str">
        <f>IF(DI613=1,INDEX($DD$7:$DG$7,MATCH(1,$DD613:$DG613,0)),"mixedProduct")</f>
        <v>mixedProduct</v>
      </c>
      <c r="DK613">
        <f>IF(DD613=1,DK$7,0)</f>
        <v>0</v>
      </c>
      <c r="DL613" t="str">
        <f>IF(DE613=1,DL$7,0)</f>
        <v>Energy</v>
      </c>
      <c r="DM613" t="str">
        <f>IF(DF613=1,DM$7,0)</f>
        <v>Pulp/Paper</v>
      </c>
      <c r="DN613" t="str">
        <f>IF(DG613=1,DN$7,0)</f>
        <v>Timber</v>
      </c>
      <c r="DO613">
        <v>0</v>
      </c>
      <c r="DP613">
        <v>1</v>
      </c>
      <c r="DQ613" t="s">
        <v>1413</v>
      </c>
      <c r="DR613" t="s">
        <v>1414</v>
      </c>
      <c r="DS613">
        <v>0</v>
      </c>
      <c r="DT613">
        <f>SUM(DO613:DP613)</f>
        <v>1</v>
      </c>
      <c r="DU613" s="143" t="str">
        <f>IF(DO613=1,"self-calculated DF",IF(DP613=1,"external DF used","explicit C balance"))</f>
        <v>external DF used</v>
      </c>
      <c r="DV613">
        <v>1</v>
      </c>
      <c r="DW613">
        <v>1</v>
      </c>
      <c r="DX613">
        <v>1</v>
      </c>
      <c r="DY613">
        <v>0</v>
      </c>
      <c r="DZ613">
        <v>0</v>
      </c>
      <c r="EA613" s="143">
        <v>0</v>
      </c>
      <c r="EB613">
        <v>0</v>
      </c>
      <c r="EC613">
        <v>0</v>
      </c>
      <c r="ED613">
        <v>0</v>
      </c>
      <c r="EE613">
        <v>0</v>
      </c>
      <c r="EF613">
        <v>1</v>
      </c>
      <c r="EG613" s="143">
        <v>0</v>
      </c>
      <c r="EH613" s="143">
        <v>0</v>
      </c>
      <c r="EI613" s="2">
        <v>0</v>
      </c>
      <c r="EK613" t="str">
        <f>IF(AND(AND(AND(OR($DX613=1,$DW613=1),OR($EC613=1,$EA613=1)),SUM($DV613:$DZ613,$EF613)&gt;=4),SUM($EA613:$EE613)&gt;=2),"Whole sector","")</f>
        <v/>
      </c>
      <c r="EL613" t="str">
        <f>IF(AND(AND(OR($DX613=1,$DW613=1),AND($EC613=0,$EA613=0)),SUM($DV613:$DZ613,$EF613)&gt;=4),"Ecosystem approach","")</f>
        <v>Ecosystem approach</v>
      </c>
      <c r="EM613" s="2" t="str">
        <f>IF(AND(AND(AND($DX613=0,$DW613=0),OR($EC613=1,$EA613=1)),SUM($EB613:$EE613)&gt;=2),"Technology approach","")</f>
        <v/>
      </c>
      <c r="EP613" t="str">
        <f>IF(ISNUMBER(BU613),IF(ABS(BU613-[4]QC_indicators!$B$2)&gt;3*[4]QC_indicators!$C$2,"C ratio",IF(ISNUMBER(BY613),IF(ABS(BY613-[4]QC_indicators!$B$1)&gt;3*[4]QC_indicators!$C$1,"DF","no"))),IF(ISNUMBER(BY613),IF(ABS(BY613-[4]QC_indicators!$B$1)&gt;3*[4]QC_indicators!$C$1,"DF","no")))</f>
        <v>no</v>
      </c>
      <c r="EQ613" t="s">
        <v>287</v>
      </c>
      <c r="ER613" s="149" t="s">
        <v>350</v>
      </c>
      <c r="ET613" s="266" t="s">
        <v>3275</v>
      </c>
    </row>
    <row r="614" spans="1:150" ht="15" hidden="1" customHeight="1">
      <c r="A614" s="1" t="s">
        <v>1140</v>
      </c>
      <c r="B614" t="s">
        <v>1693</v>
      </c>
      <c r="C614" t="s">
        <v>1694</v>
      </c>
      <c r="D614" t="s">
        <v>1695</v>
      </c>
      <c r="E614" t="s">
        <v>1696</v>
      </c>
      <c r="F614" t="s">
        <v>1697</v>
      </c>
      <c r="G614" t="s">
        <v>1141</v>
      </c>
      <c r="H614" t="s">
        <v>255</v>
      </c>
      <c r="I614">
        <v>2020</v>
      </c>
      <c r="J614">
        <v>4</v>
      </c>
      <c r="K614" t="s">
        <v>1698</v>
      </c>
      <c r="M614" t="str">
        <f>LEFT($D614,FIND(",",$D614)-1)&amp;"_"&amp;I614&amp;L614</f>
        <v>Gusti_2020</v>
      </c>
      <c r="N614" t="s">
        <v>223</v>
      </c>
      <c r="O614" s="181" t="s">
        <v>342</v>
      </c>
      <c r="Q614" t="s">
        <v>257</v>
      </c>
      <c r="R614" s="285" t="s">
        <v>226</v>
      </c>
      <c r="S614" s="1" t="s">
        <v>1699</v>
      </c>
      <c r="T614" s="151" t="s">
        <v>1113</v>
      </c>
      <c r="U614" t="s">
        <v>3081</v>
      </c>
      <c r="V614">
        <v>0</v>
      </c>
      <c r="W614">
        <v>0</v>
      </c>
      <c r="X614">
        <v>1</v>
      </c>
      <c r="Y614">
        <v>1</v>
      </c>
      <c r="Z614">
        <v>0</v>
      </c>
      <c r="AA614">
        <v>0</v>
      </c>
      <c r="AB614">
        <v>0</v>
      </c>
      <c r="AC614">
        <v>0</v>
      </c>
      <c r="AD614">
        <v>0</v>
      </c>
      <c r="AE614">
        <v>0</v>
      </c>
      <c r="AF614">
        <v>0</v>
      </c>
      <c r="AG614">
        <v>0</v>
      </c>
      <c r="AH614">
        <v>0</v>
      </c>
      <c r="AI614">
        <v>0</v>
      </c>
      <c r="AJ614">
        <v>0</v>
      </c>
      <c r="AK614">
        <v>0</v>
      </c>
      <c r="AL614">
        <v>0</v>
      </c>
      <c r="AM614">
        <v>0</v>
      </c>
      <c r="AN614">
        <v>0</v>
      </c>
      <c r="AO614">
        <v>0</v>
      </c>
      <c r="AP614">
        <v>0</v>
      </c>
      <c r="AQ614">
        <v>0</v>
      </c>
      <c r="AR614">
        <v>0</v>
      </c>
      <c r="AS614">
        <v>0</v>
      </c>
      <c r="AT614">
        <v>0</v>
      </c>
      <c r="AU614">
        <v>0</v>
      </c>
      <c r="AV614">
        <v>0</v>
      </c>
      <c r="AW614">
        <v>0</v>
      </c>
      <c r="AX614" s="141">
        <f>COUNTIF(V614:AW614,"&lt;&gt;0")</f>
        <v>2</v>
      </c>
      <c r="AY614" s="141">
        <f>COUNTIF(V614:AL614,"&lt;&gt;0")</f>
        <v>2</v>
      </c>
      <c r="AZ614">
        <f>COUNTIF(V614:AC614,"&lt;&gt;0")</f>
        <v>2</v>
      </c>
      <c r="BA614">
        <f>COUNTIF(AD614:AI614,"&lt;&gt;0")</f>
        <v>0</v>
      </c>
      <c r="BB614">
        <f>COUNTIF(AJ614:AL614,"&lt;&gt;0")</f>
        <v>0</v>
      </c>
      <c r="BC614">
        <f>COUNTIF(AS614:AW614,"&lt;&gt;0")</f>
        <v>0</v>
      </c>
      <c r="BD614">
        <f>COUNTIF(AM614:AR614,"&lt;&gt;0")</f>
        <v>0</v>
      </c>
      <c r="BE614" t="str">
        <f t="array" ref="BE614">IF(AY614=1,INDEX($V$7:$AL$7,MATCH(TRUE,INDEX($V614:$AW614&lt;&gt;0,),0)),IF(AY614=0,INDEX($AM$7:$AW$7,MATCH(1,$AM614:$AW614,0)),IF(BF614="Multiple strategies","mixed drivers",IF(BF614="Supply chain","multiple supply","multiple silviculture"))))</f>
        <v>multiple silviculture</v>
      </c>
      <c r="BF614" s="2" t="str" cm="1">
        <f t="array" ref="BF614">IF(COUNTIF(AZ614:BB614,"&lt;&gt;0")=1,INDEX($V$4:$AW$4,MATCH(TRUE,INDEX($V614:$AW614&lt;&gt;0,),0)),IF(COUNTIF(AZ614:BB614,"&lt;&gt;0")=0,INDEX($AM$4:$AW$4,MATCH(1,$AM614:$AW614,0)),"Multiple strategies"))</f>
        <v>SilvicultureRemov</v>
      </c>
      <c r="BG614" s="1" t="s">
        <v>322</v>
      </c>
      <c r="BH614" t="s">
        <v>1324</v>
      </c>
      <c r="BI614" t="s">
        <v>582</v>
      </c>
      <c r="BJ614" t="s">
        <v>1325</v>
      </c>
      <c r="BK614" s="151">
        <v>9999</v>
      </c>
      <c r="BL614" s="151">
        <v>9999</v>
      </c>
      <c r="BM614">
        <f>BL614/BK614</f>
        <v>1</v>
      </c>
      <c r="BN614">
        <f>BL614-BK614</f>
        <v>0</v>
      </c>
      <c r="BO614">
        <f>BN614*10^6</f>
        <v>0</v>
      </c>
      <c r="BP614" t="s">
        <v>233</v>
      </c>
      <c r="BQ614" t="s">
        <v>582</v>
      </c>
      <c r="BR614" t="s">
        <v>1701</v>
      </c>
      <c r="BS614">
        <v>426</v>
      </c>
      <c r="BT614">
        <v>366</v>
      </c>
      <c r="BU614" s="144">
        <f>IFERROR(BT614/BS614,"")</f>
        <v>0.85915492957746475</v>
      </c>
      <c r="BV614" s="151">
        <v>-36</v>
      </c>
      <c r="BX614">
        <f>BV614*10^6</f>
        <v>-36000000</v>
      </c>
      <c r="BY614" t="str">
        <f>IFERROR(BX614/BO614,"")</f>
        <v/>
      </c>
      <c r="BZ614">
        <v>0</v>
      </c>
      <c r="CA614">
        <v>0</v>
      </c>
      <c r="CB614">
        <v>0</v>
      </c>
      <c r="CC614">
        <v>0</v>
      </c>
      <c r="CD614">
        <v>0</v>
      </c>
      <c r="CE614">
        <v>0</v>
      </c>
      <c r="CF614">
        <v>0</v>
      </c>
      <c r="CG614">
        <v>0</v>
      </c>
      <c r="CH614">
        <v>0</v>
      </c>
      <c r="CI614">
        <v>0</v>
      </c>
      <c r="CJ614">
        <v>0</v>
      </c>
      <c r="CK614">
        <v>0</v>
      </c>
      <c r="CL614">
        <v>0</v>
      </c>
      <c r="CM614">
        <v>0</v>
      </c>
      <c r="CN614" t="str">
        <f>IF($BL614&lt;$BK614,"refNeedCorrection","refOK")</f>
        <v>refOK</v>
      </c>
      <c r="CO614">
        <f>IF($CN614="refNeedCorrection",BK614,BL614)</f>
        <v>9999</v>
      </c>
      <c r="CP614">
        <f>IF($CN614="refNeedCorrection",BL614,BK614)</f>
        <v>9999</v>
      </c>
      <c r="CQ614">
        <f>IF($CN614="refOK",$BO614,-$BO614)</f>
        <v>0</v>
      </c>
      <c r="CR614">
        <f>IF($CN614="refOK",$BS614,$BT614)*IF($BP614="Emissions positive",-1,1)</f>
        <v>426</v>
      </c>
      <c r="CS614">
        <f>IF($CN614="refOK",$BT614,$BS614)*IF($BP614="Emissions positive",-1,1)</f>
        <v>366</v>
      </c>
      <c r="CT614">
        <f>IF($CN614="refNeedCorrection",-BX614,BX614)*IF($BP614="Emissions positive",-1,1)</f>
        <v>-36000000</v>
      </c>
      <c r="CU614" t="str">
        <f>IFERROR(CT614/CQ614,"")</f>
        <v/>
      </c>
      <c r="CV614" s="2">
        <f>IFERROR((CS614-CR614)/ABS(CR614),"")</f>
        <v>-0.14084507042253522</v>
      </c>
      <c r="CW614" s="1" t="s">
        <v>1233</v>
      </c>
      <c r="CX614" t="str">
        <f>IF(OR($CW614="prd",$CW614="std",$CW614="cit"),"loc",IF(OR($CW614="eur",$CW614="reg",$CW614="coy"),"reg",$CW614))</f>
        <v>reg</v>
      </c>
      <c r="CY614" t="s">
        <v>745</v>
      </c>
      <c r="CZ614">
        <v>2026</v>
      </c>
      <c r="DA614">
        <v>2030</v>
      </c>
      <c r="DB614">
        <v>5</v>
      </c>
      <c r="DC614" t="str">
        <f>IF(DB614=0,"0",IF(AND(DB614&gt;=1,DB614&lt;=30),"1-30",IF(AND(DB614&gt;30,DB614&lt;=70),"31-70",IF(AND(DB614&gt;70,DB614&lt;=100),"71-100",IF(DB614&gt;100,"+100")))))</f>
        <v>1-30</v>
      </c>
      <c r="DD614">
        <v>1</v>
      </c>
      <c r="DE614">
        <v>0</v>
      </c>
      <c r="DF614">
        <v>0</v>
      </c>
      <c r="DG614">
        <v>0</v>
      </c>
      <c r="DI614">
        <f>SUM(DD614:DG614)</f>
        <v>1</v>
      </c>
      <c r="DJ614" t="str">
        <f>IF(DI614=1,INDEX($DD$7:$DG$7,MATCH(1,$DD614:$DG614,0)),"mixedProduct")</f>
        <v>UpstreamInput</v>
      </c>
      <c r="DK614" t="str">
        <f>IF(DD614=1,DK$7,0)</f>
        <v>Upstream</v>
      </c>
      <c r="DL614">
        <f>IF(DE614=1,DL$7,0)</f>
        <v>0</v>
      </c>
      <c r="DM614">
        <f>IF(DF614=1,DM$7,0)</f>
        <v>0</v>
      </c>
      <c r="DN614">
        <f>IF(DG614=1,DN$7,0)</f>
        <v>0</v>
      </c>
      <c r="DO614">
        <v>0</v>
      </c>
      <c r="DP614">
        <v>0</v>
      </c>
      <c r="DQ614">
        <v>0</v>
      </c>
      <c r="DR614">
        <v>0</v>
      </c>
      <c r="DS614">
        <v>0</v>
      </c>
      <c r="DT614">
        <f>SUM(DO614:DP614)</f>
        <v>0</v>
      </c>
      <c r="DU614" s="143" t="str">
        <f>IF(DO614=1,"self-calculated DF",IF(DP614=1,"external DF used","explicit C balance"))</f>
        <v>explicit C balance</v>
      </c>
      <c r="DV614">
        <v>1</v>
      </c>
      <c r="DW614">
        <v>0</v>
      </c>
      <c r="DX614">
        <v>1</v>
      </c>
      <c r="DY614">
        <v>0</v>
      </c>
      <c r="DZ614">
        <v>0</v>
      </c>
      <c r="EA614" s="143">
        <v>0</v>
      </c>
      <c r="EB614">
        <v>0</v>
      </c>
      <c r="EC614">
        <v>0</v>
      </c>
      <c r="ED614">
        <v>0</v>
      </c>
      <c r="EE614">
        <v>0</v>
      </c>
      <c r="EF614">
        <v>1</v>
      </c>
      <c r="EG614">
        <v>0</v>
      </c>
      <c r="EH614">
        <v>0</v>
      </c>
      <c r="EI614" s="2">
        <v>0</v>
      </c>
      <c r="EK614" t="str">
        <f>IF(AND(AND(AND(OR($DX614=1,$DW614=1),OR($EC614=1,$EA614=1)),SUM($DV614:$DZ614,$EF614)&gt;=4),SUM($EA614:$EE614)&gt;=2),"Whole sector","")</f>
        <v/>
      </c>
      <c r="EL614" t="str">
        <f>IF(AND(AND(OR($DX614=1,$DW614=1),AND($EC614=0,$EA614=0)),SUM($DV614:$DZ614,$EF614)&gt;=4),"Ecosystem approach","")</f>
        <v/>
      </c>
      <c r="EM614" s="2" t="str">
        <f>IF(AND(AND(AND($DX614=0,$DW614=0),OR($EC614=1,$EA614=1)),SUM($EB614:$EE614)&gt;=2),"Technology approach","")</f>
        <v/>
      </c>
      <c r="EN614" s="149" t="s">
        <v>1702</v>
      </c>
      <c r="EP614" t="b">
        <f>IF(ISNUMBER(BU614),IF(ABS(BU614-[4]QC_indicators!$B$2)&gt;3*[4]QC_indicators!$C$2,"C ratio",IF(ISNUMBER(BY614),IF(ABS(BY614-[4]QC_indicators!$B$1)&gt;3*[4]QC_indicators!$C$1,"DF","no"))),IF(ISNUMBER(BY614),IF(ABS(BY614-[4]QC_indicators!$B$1)&gt;3*[4]QC_indicators!$C$1,"DF","no")))</f>
        <v>0</v>
      </c>
      <c r="ER614" s="149" t="s">
        <v>350</v>
      </c>
      <c r="ET614" s="266" t="s">
        <v>3275</v>
      </c>
    </row>
    <row r="615" spans="1:150" ht="15" hidden="1" customHeight="1">
      <c r="A615" s="1" t="s">
        <v>1140</v>
      </c>
      <c r="B615" t="s">
        <v>1693</v>
      </c>
      <c r="C615" t="s">
        <v>1694</v>
      </c>
      <c r="D615" t="s">
        <v>1695</v>
      </c>
      <c r="E615" t="s">
        <v>1696</v>
      </c>
      <c r="F615" t="s">
        <v>1697</v>
      </c>
      <c r="G615" t="s">
        <v>1141</v>
      </c>
      <c r="H615" t="s">
        <v>255</v>
      </c>
      <c r="I615">
        <v>2020</v>
      </c>
      <c r="J615">
        <v>4</v>
      </c>
      <c r="K615" t="s">
        <v>1698</v>
      </c>
      <c r="M615" t="str">
        <f>LEFT($D615,FIND(",",$D615)-1)&amp;"_"&amp;I615&amp;L615</f>
        <v>Gusti_2020</v>
      </c>
      <c r="N615" t="s">
        <v>223</v>
      </c>
      <c r="O615" s="181" t="s">
        <v>342</v>
      </c>
      <c r="Q615" t="s">
        <v>257</v>
      </c>
      <c r="R615" s="285" t="s">
        <v>226</v>
      </c>
      <c r="S615" s="1" t="s">
        <v>1703</v>
      </c>
      <c r="T615" s="151" t="s">
        <v>1113</v>
      </c>
      <c r="U615" t="s">
        <v>3082</v>
      </c>
      <c r="V615">
        <v>0</v>
      </c>
      <c r="W615">
        <v>0</v>
      </c>
      <c r="X615">
        <v>1</v>
      </c>
      <c r="Y615">
        <v>1</v>
      </c>
      <c r="Z615">
        <v>0</v>
      </c>
      <c r="AA615">
        <v>0</v>
      </c>
      <c r="AB615">
        <v>0</v>
      </c>
      <c r="AC615">
        <v>0</v>
      </c>
      <c r="AD615">
        <v>0</v>
      </c>
      <c r="AE615">
        <v>0</v>
      </c>
      <c r="AF615">
        <v>0</v>
      </c>
      <c r="AG615">
        <v>0</v>
      </c>
      <c r="AH615">
        <v>0</v>
      </c>
      <c r="AI615">
        <v>0</v>
      </c>
      <c r="AJ615">
        <v>0</v>
      </c>
      <c r="AK615">
        <v>0</v>
      </c>
      <c r="AL615">
        <v>0</v>
      </c>
      <c r="AM615">
        <v>0</v>
      </c>
      <c r="AN615">
        <v>0</v>
      </c>
      <c r="AO615">
        <v>0</v>
      </c>
      <c r="AP615">
        <v>0</v>
      </c>
      <c r="AQ615">
        <v>0</v>
      </c>
      <c r="AR615">
        <v>0</v>
      </c>
      <c r="AS615">
        <v>0</v>
      </c>
      <c r="AT615">
        <v>0</v>
      </c>
      <c r="AU615">
        <v>0</v>
      </c>
      <c r="AV615">
        <v>0</v>
      </c>
      <c r="AW615">
        <v>0</v>
      </c>
      <c r="AX615" s="141">
        <f>COUNTIF(V615:AW615,"&lt;&gt;0")</f>
        <v>2</v>
      </c>
      <c r="AY615" s="141">
        <f>COUNTIF(V615:AL615,"&lt;&gt;0")</f>
        <v>2</v>
      </c>
      <c r="AZ615">
        <f>COUNTIF(V615:AC615,"&lt;&gt;0")</f>
        <v>2</v>
      </c>
      <c r="BA615">
        <f>COUNTIF(AD615:AI615,"&lt;&gt;0")</f>
        <v>0</v>
      </c>
      <c r="BB615">
        <f>COUNTIF(AJ615:AL615,"&lt;&gt;0")</f>
        <v>0</v>
      </c>
      <c r="BC615">
        <f>COUNTIF(AS615:AW615,"&lt;&gt;0")</f>
        <v>0</v>
      </c>
      <c r="BD615">
        <f>COUNTIF(AM615:AR615,"&lt;&gt;0")</f>
        <v>0</v>
      </c>
      <c r="BE615" t="str">
        <f t="array" ref="BE615">IF(AY615=1,INDEX($V$7:$AL$7,MATCH(TRUE,INDEX($V615:$AW615&lt;&gt;0,),0)),IF(AY615=0,INDEX($AM$7:$AW$7,MATCH(1,$AM615:$AW615,0)),IF(BF615="Multiple strategies","mixed drivers",IF(BF615="Supply chain","multiple supply","multiple silviculture"))))</f>
        <v>multiple silviculture</v>
      </c>
      <c r="BF615" s="2" t="str" cm="1">
        <f t="array" ref="BF615">IF(COUNTIF(AZ615:BB615,"&lt;&gt;0")=1,INDEX($V$4:$AW$4,MATCH(TRUE,INDEX($V615:$AW615&lt;&gt;0,),0)),IF(COUNTIF(AZ615:BB615,"&lt;&gt;0")=0,INDEX($AM$4:$AW$4,MATCH(1,$AM615:$AW615,0)),"Multiple strategies"))</f>
        <v>SilvicultureRemov</v>
      </c>
      <c r="BG615" s="1" t="s">
        <v>322</v>
      </c>
      <c r="BH615" t="s">
        <v>1324</v>
      </c>
      <c r="BI615" t="s">
        <v>582</v>
      </c>
      <c r="BJ615" t="s">
        <v>1325</v>
      </c>
      <c r="BK615" s="151">
        <v>9999</v>
      </c>
      <c r="BL615" s="151">
        <v>9999</v>
      </c>
      <c r="BM615">
        <f>BL615/BK615</f>
        <v>1</v>
      </c>
      <c r="BN615">
        <f>BL615-BK615</f>
        <v>0</v>
      </c>
      <c r="BO615">
        <f>BN615*10^6</f>
        <v>0</v>
      </c>
      <c r="BP615" t="s">
        <v>233</v>
      </c>
      <c r="BQ615" t="s">
        <v>582</v>
      </c>
      <c r="BR615" t="s">
        <v>1701</v>
      </c>
      <c r="BS615">
        <v>402</v>
      </c>
      <c r="BT615">
        <v>366</v>
      </c>
      <c r="BU615" s="144">
        <f>IFERROR(BT615/BS615,"")</f>
        <v>0.91044776119402981</v>
      </c>
      <c r="BV615" s="151">
        <v>-60</v>
      </c>
      <c r="BX615">
        <f>BV615*10^6</f>
        <v>-60000000</v>
      </c>
      <c r="BY615" t="str">
        <f>IFERROR(BX615/BO615,"")</f>
        <v/>
      </c>
      <c r="BZ615">
        <v>0</v>
      </c>
      <c r="CA615">
        <v>0</v>
      </c>
      <c r="CB615">
        <v>0</v>
      </c>
      <c r="CC615">
        <v>0</v>
      </c>
      <c r="CD615">
        <v>0</v>
      </c>
      <c r="CE615">
        <v>0</v>
      </c>
      <c r="CF615">
        <v>0</v>
      </c>
      <c r="CG615">
        <v>0</v>
      </c>
      <c r="CH615">
        <v>0</v>
      </c>
      <c r="CI615">
        <v>0</v>
      </c>
      <c r="CJ615">
        <v>0</v>
      </c>
      <c r="CK615">
        <v>0</v>
      </c>
      <c r="CL615">
        <v>0</v>
      </c>
      <c r="CM615">
        <v>0</v>
      </c>
      <c r="CN615" t="str">
        <f>IF($BL615&lt;$BK615,"refNeedCorrection","refOK")</f>
        <v>refOK</v>
      </c>
      <c r="CO615">
        <f>IF($CN615="refNeedCorrection",BK615,BL615)</f>
        <v>9999</v>
      </c>
      <c r="CP615">
        <f>IF($CN615="refNeedCorrection",BL615,BK615)</f>
        <v>9999</v>
      </c>
      <c r="CQ615">
        <f>IF($CN615="refOK",$BO615,-$BO615)</f>
        <v>0</v>
      </c>
      <c r="CR615">
        <f>IF($CN615="refOK",$BS615,$BT615)*IF($BP615="Emissions positive",-1,1)</f>
        <v>402</v>
      </c>
      <c r="CS615">
        <f>IF($CN615="refOK",$BT615,$BS615)*IF($BP615="Emissions positive",-1,1)</f>
        <v>366</v>
      </c>
      <c r="CT615">
        <f>IF($CN615="refNeedCorrection",-BX615,BX615)*IF($BP615="Emissions positive",-1,1)</f>
        <v>-60000000</v>
      </c>
      <c r="CU615" t="str">
        <f>IFERROR(CT615/CQ615,"")</f>
        <v/>
      </c>
      <c r="CV615" s="2">
        <f>IFERROR((CS615-CR615)/ABS(CR615),"")</f>
        <v>-8.9552238805970144E-2</v>
      </c>
      <c r="CW615" s="1" t="s">
        <v>1233</v>
      </c>
      <c r="CX615" t="str">
        <f>IF(OR($CW615="prd",$CW615="std",$CW615="cit"),"loc",IF(OR($CW615="eur",$CW615="reg",$CW615="coy"),"reg",$CW615))</f>
        <v>reg</v>
      </c>
      <c r="CY615" t="s">
        <v>745</v>
      </c>
      <c r="CZ615">
        <v>2026</v>
      </c>
      <c r="DA615">
        <v>2030</v>
      </c>
      <c r="DB615">
        <v>5</v>
      </c>
      <c r="DC615" t="str">
        <f>IF(DB615=0,"0",IF(AND(DB615&gt;=1,DB615&lt;=30),"1-30",IF(AND(DB615&gt;30,DB615&lt;=70),"31-70",IF(AND(DB615&gt;70,DB615&lt;=100),"71-100",IF(DB615&gt;100,"+100")))))</f>
        <v>1-30</v>
      </c>
      <c r="DD615">
        <v>1</v>
      </c>
      <c r="DE615">
        <v>0</v>
      </c>
      <c r="DF615">
        <v>0</v>
      </c>
      <c r="DG615">
        <v>0</v>
      </c>
      <c r="DI615">
        <f>SUM(DD615:DG615)</f>
        <v>1</v>
      </c>
      <c r="DJ615" t="str">
        <f>IF(DI615=1,INDEX($DD$7:$DG$7,MATCH(1,$DD615:$DG615,0)),"mixedProduct")</f>
        <v>UpstreamInput</v>
      </c>
      <c r="DK615" t="str">
        <f>IF(DD615=1,DK$7,0)</f>
        <v>Upstream</v>
      </c>
      <c r="DL615">
        <f>IF(DE615=1,DL$7,0)</f>
        <v>0</v>
      </c>
      <c r="DM615">
        <f>IF(DF615=1,DM$7,0)</f>
        <v>0</v>
      </c>
      <c r="DN615">
        <f>IF(DG615=1,DN$7,0)</f>
        <v>0</v>
      </c>
      <c r="DO615">
        <v>0</v>
      </c>
      <c r="DP615">
        <v>0</v>
      </c>
      <c r="DQ615">
        <v>0</v>
      </c>
      <c r="DR615">
        <v>0</v>
      </c>
      <c r="DS615">
        <v>0</v>
      </c>
      <c r="DT615">
        <f>SUM(DO615:DP615)</f>
        <v>0</v>
      </c>
      <c r="DU615" s="143" t="str">
        <f>IF(DO615=1,"self-calculated DF",IF(DP615=1,"external DF used","explicit C balance"))</f>
        <v>explicit C balance</v>
      </c>
      <c r="DV615">
        <v>1</v>
      </c>
      <c r="DW615">
        <v>0</v>
      </c>
      <c r="DX615">
        <v>1</v>
      </c>
      <c r="DY615">
        <v>0</v>
      </c>
      <c r="DZ615">
        <v>0</v>
      </c>
      <c r="EA615" s="143">
        <v>0</v>
      </c>
      <c r="EB615">
        <v>0</v>
      </c>
      <c r="EC615">
        <v>0</v>
      </c>
      <c r="ED615">
        <v>0</v>
      </c>
      <c r="EE615">
        <v>0</v>
      </c>
      <c r="EF615">
        <v>1</v>
      </c>
      <c r="EG615">
        <v>0</v>
      </c>
      <c r="EH615">
        <v>0</v>
      </c>
      <c r="EI615" s="2">
        <v>0</v>
      </c>
      <c r="EK615" t="str">
        <f>IF(AND(AND(AND(OR($DX615=1,$DW615=1),OR($EC615=1,$EA615=1)),SUM($DV615:$DZ615,$EF615)&gt;=4),SUM($EA615:$EE615)&gt;=2),"Whole sector","")</f>
        <v/>
      </c>
      <c r="EL615" t="str">
        <f>IF(AND(AND(OR($DX615=1,$DW615=1),AND($EC615=0,$EA615=0)),SUM($DV615:$DZ615,$EF615)&gt;=4),"Ecosystem approach","")</f>
        <v/>
      </c>
      <c r="EM615" s="2" t="str">
        <f>IF(AND(AND(AND($DX615=0,$DW615=0),OR($EC615=1,$EA615=1)),SUM($EB615:$EE615)&gt;=2),"Technology approach","")</f>
        <v/>
      </c>
      <c r="EN615" s="149" t="s">
        <v>1704</v>
      </c>
      <c r="EP615" t="b">
        <f>IF(ISNUMBER(BU615),IF(ABS(BU615-[4]QC_indicators!$B$2)&gt;3*[4]QC_indicators!$C$2,"C ratio",IF(ISNUMBER(BY615),IF(ABS(BY615-[4]QC_indicators!$B$1)&gt;3*[4]QC_indicators!$C$1,"DF","no"))),IF(ISNUMBER(BY615),IF(ABS(BY615-[4]QC_indicators!$B$1)&gt;3*[4]QC_indicators!$C$1,"DF","no")))</f>
        <v>0</v>
      </c>
      <c r="ER615" s="149" t="s">
        <v>350</v>
      </c>
      <c r="ET615" s="266" t="s">
        <v>3275</v>
      </c>
    </row>
    <row r="616" spans="1:150" ht="15" hidden="1" customHeight="1">
      <c r="A616" s="1" t="s">
        <v>1140</v>
      </c>
      <c r="B616" t="s">
        <v>1693</v>
      </c>
      <c r="C616" t="s">
        <v>1694</v>
      </c>
      <c r="D616" t="s">
        <v>1695</v>
      </c>
      <c r="E616" t="s">
        <v>1696</v>
      </c>
      <c r="F616" t="s">
        <v>1697</v>
      </c>
      <c r="G616" t="s">
        <v>1141</v>
      </c>
      <c r="H616" t="s">
        <v>255</v>
      </c>
      <c r="I616">
        <v>2020</v>
      </c>
      <c r="J616">
        <v>4</v>
      </c>
      <c r="K616" t="s">
        <v>1698</v>
      </c>
      <c r="M616" t="str">
        <f>LEFT($D616,FIND(",",$D616)-1)&amp;"_"&amp;I616&amp;L616</f>
        <v>Gusti_2020</v>
      </c>
      <c r="N616" t="s">
        <v>223</v>
      </c>
      <c r="O616" s="181" t="s">
        <v>342</v>
      </c>
      <c r="Q616" t="s">
        <v>257</v>
      </c>
      <c r="R616" s="285" t="s">
        <v>226</v>
      </c>
      <c r="S616" s="1" t="s">
        <v>1705</v>
      </c>
      <c r="T616" s="151" t="s">
        <v>1113</v>
      </c>
      <c r="U616" t="s">
        <v>3083</v>
      </c>
      <c r="V616">
        <v>0</v>
      </c>
      <c r="W616">
        <v>0</v>
      </c>
      <c r="X616">
        <v>1</v>
      </c>
      <c r="Y616">
        <v>1</v>
      </c>
      <c r="Z616">
        <v>0</v>
      </c>
      <c r="AA616">
        <v>0</v>
      </c>
      <c r="AB616">
        <v>0</v>
      </c>
      <c r="AC616">
        <v>0</v>
      </c>
      <c r="AD616">
        <v>0</v>
      </c>
      <c r="AE616">
        <v>0</v>
      </c>
      <c r="AF616">
        <v>0</v>
      </c>
      <c r="AG616">
        <v>0</v>
      </c>
      <c r="AH616">
        <v>0</v>
      </c>
      <c r="AI616">
        <v>0</v>
      </c>
      <c r="AJ616">
        <v>0</v>
      </c>
      <c r="AK616">
        <v>0</v>
      </c>
      <c r="AL616">
        <v>0</v>
      </c>
      <c r="AM616">
        <v>0</v>
      </c>
      <c r="AN616">
        <v>0</v>
      </c>
      <c r="AO616">
        <v>0</v>
      </c>
      <c r="AP616">
        <v>0</v>
      </c>
      <c r="AQ616">
        <v>0</v>
      </c>
      <c r="AR616">
        <v>0</v>
      </c>
      <c r="AS616">
        <v>0</v>
      </c>
      <c r="AT616">
        <v>0</v>
      </c>
      <c r="AU616">
        <v>0</v>
      </c>
      <c r="AV616">
        <v>0</v>
      </c>
      <c r="AW616">
        <v>0</v>
      </c>
      <c r="AX616" s="141">
        <f>COUNTIF(V616:AW616,"&lt;&gt;0")</f>
        <v>2</v>
      </c>
      <c r="AY616" s="141">
        <f>COUNTIF(V616:AL616,"&lt;&gt;0")</f>
        <v>2</v>
      </c>
      <c r="AZ616">
        <f>COUNTIF(V616:AC616,"&lt;&gt;0")</f>
        <v>2</v>
      </c>
      <c r="BA616">
        <f>COUNTIF(AD616:AI616,"&lt;&gt;0")</f>
        <v>0</v>
      </c>
      <c r="BB616">
        <f>COUNTIF(AJ616:AL616,"&lt;&gt;0")</f>
        <v>0</v>
      </c>
      <c r="BC616">
        <f>COUNTIF(AS616:AW616,"&lt;&gt;0")</f>
        <v>0</v>
      </c>
      <c r="BD616">
        <f>COUNTIF(AM616:AR616,"&lt;&gt;0")</f>
        <v>0</v>
      </c>
      <c r="BE616" t="str">
        <f t="array" ref="BE616">IF(AY616=1,INDEX($V$7:$AL$7,MATCH(TRUE,INDEX($V616:$AW616&lt;&gt;0,),0)),IF(AY616=0,INDEX($AM$7:$AW$7,MATCH(1,$AM616:$AW616,0)),IF(BF616="Multiple strategies","mixed drivers",IF(BF616="Supply chain","multiple supply","multiple silviculture"))))</f>
        <v>multiple silviculture</v>
      </c>
      <c r="BF616" s="2" t="str" cm="1">
        <f t="array" ref="BF616">IF(COUNTIF(AZ616:BB616,"&lt;&gt;0")=1,INDEX($V$4:$AW$4,MATCH(TRUE,INDEX($V616:$AW616&lt;&gt;0,),0)),IF(COUNTIF(AZ616:BB616,"&lt;&gt;0")=0,INDEX($AM$4:$AW$4,MATCH(1,$AM616:$AW616,0)),"Multiple strategies"))</f>
        <v>SilvicultureRemov</v>
      </c>
      <c r="BG616" s="1" t="s">
        <v>322</v>
      </c>
      <c r="BH616" t="s">
        <v>1324</v>
      </c>
      <c r="BI616" t="s">
        <v>582</v>
      </c>
      <c r="BJ616" t="s">
        <v>1700</v>
      </c>
      <c r="BK616">
        <f>BL616-2861</f>
        <v>527284</v>
      </c>
      <c r="BL616">
        <v>530145</v>
      </c>
      <c r="BM616">
        <f>BL616/BK616</f>
        <v>1.0054259184803636</v>
      </c>
      <c r="BN616" s="151">
        <v>2774</v>
      </c>
      <c r="BO616">
        <f>BN616*1000</f>
        <v>2774000</v>
      </c>
      <c r="BP616" t="s">
        <v>233</v>
      </c>
      <c r="BQ616" t="s">
        <v>582</v>
      </c>
      <c r="BR616" t="s">
        <v>1701</v>
      </c>
      <c r="BS616">
        <v>428</v>
      </c>
      <c r="BT616">
        <v>366</v>
      </c>
      <c r="BU616" s="144">
        <f>IFERROR(BT616/BS616,"")</f>
        <v>0.85514018691588789</v>
      </c>
      <c r="BV616">
        <f>BT616-BS616</f>
        <v>-62</v>
      </c>
      <c r="BX616">
        <f>BV616*10^6</f>
        <v>-62000000</v>
      </c>
      <c r="BY616">
        <f>IFERROR(BX616/BO616,"")</f>
        <v>-22.350396539293438</v>
      </c>
      <c r="BZ616">
        <v>0</v>
      </c>
      <c r="CA616">
        <v>0</v>
      </c>
      <c r="CB616">
        <v>0</v>
      </c>
      <c r="CC616">
        <v>0</v>
      </c>
      <c r="CD616">
        <v>0</v>
      </c>
      <c r="CE616">
        <v>0</v>
      </c>
      <c r="CF616">
        <v>0</v>
      </c>
      <c r="CG616">
        <v>0</v>
      </c>
      <c r="CH616">
        <v>0</v>
      </c>
      <c r="CI616">
        <v>0</v>
      </c>
      <c r="CJ616">
        <v>0</v>
      </c>
      <c r="CK616">
        <v>0</v>
      </c>
      <c r="CL616">
        <v>0</v>
      </c>
      <c r="CM616">
        <v>0</v>
      </c>
      <c r="CN616" t="str">
        <f>IF($BL616&lt;$BK616,"refNeedCorrection","refOK")</f>
        <v>refOK</v>
      </c>
      <c r="CO616">
        <f>IF($CN616="refNeedCorrection",BK616,BL616)</f>
        <v>530145</v>
      </c>
      <c r="CP616">
        <f>IF($CN616="refNeedCorrection",BL616,BK616)</f>
        <v>527284</v>
      </c>
      <c r="CQ616">
        <f>IF($CN616="refOK",$BO616,-$BO616)</f>
        <v>2774000</v>
      </c>
      <c r="CR616">
        <f>IF($CN616="refOK",$BS616,$BT616)*IF($BP616="Emissions positive",-1,1)</f>
        <v>428</v>
      </c>
      <c r="CS616">
        <f>IF($CN616="refOK",$BT616,$BS616)*IF($BP616="Emissions positive",-1,1)</f>
        <v>366</v>
      </c>
      <c r="CT616">
        <f>IF($CN616="refNeedCorrection",-BX616,BX616)*IF($BP616="Emissions positive",-1,1)</f>
        <v>-62000000</v>
      </c>
      <c r="CU616">
        <f>IFERROR(CT616/CQ616,"")</f>
        <v>-22.350396539293438</v>
      </c>
      <c r="CV616" s="2">
        <f>IFERROR((CS616-CR616)/ABS(CR616),"")</f>
        <v>-0.14485981308411214</v>
      </c>
      <c r="CW616" s="1" t="s">
        <v>1233</v>
      </c>
      <c r="CX616" t="str">
        <f>IF(OR($CW616="prd",$CW616="std",$CW616="cit"),"loc",IF(OR($CW616="eur",$CW616="reg",$CW616="coy"),"reg",$CW616))</f>
        <v>reg</v>
      </c>
      <c r="CY616" t="s">
        <v>745</v>
      </c>
      <c r="CZ616">
        <v>2026</v>
      </c>
      <c r="DA616">
        <v>2030</v>
      </c>
      <c r="DB616">
        <v>5</v>
      </c>
      <c r="DC616" t="str">
        <f>IF(DB616=0,"0",IF(AND(DB616&gt;=1,DB616&lt;=30),"1-30",IF(AND(DB616&gt;30,DB616&lt;=70),"31-70",IF(AND(DB616&gt;70,DB616&lt;=100),"71-100",IF(DB616&gt;100,"+100")))))</f>
        <v>1-30</v>
      </c>
      <c r="DD616">
        <v>1</v>
      </c>
      <c r="DE616">
        <v>0</v>
      </c>
      <c r="DF616">
        <v>0</v>
      </c>
      <c r="DG616">
        <v>0</v>
      </c>
      <c r="DI616">
        <f>SUM(DD616:DG616)</f>
        <v>1</v>
      </c>
      <c r="DJ616" t="str">
        <f>IF(DI616=1,INDEX($DD$7:$DG$7,MATCH(1,$DD616:$DG616,0)),"mixedProduct")</f>
        <v>UpstreamInput</v>
      </c>
      <c r="DK616" t="str">
        <f>IF(DD616=1,DK$7,0)</f>
        <v>Upstream</v>
      </c>
      <c r="DL616">
        <f>IF(DE616=1,DL$7,0)</f>
        <v>0</v>
      </c>
      <c r="DM616">
        <f>IF(DF616=1,DM$7,0)</f>
        <v>0</v>
      </c>
      <c r="DN616">
        <f>IF(DG616=1,DN$7,0)</f>
        <v>0</v>
      </c>
      <c r="DO616">
        <v>0</v>
      </c>
      <c r="DP616">
        <v>0</v>
      </c>
      <c r="DQ616">
        <v>0</v>
      </c>
      <c r="DR616">
        <v>0</v>
      </c>
      <c r="DS616">
        <v>0</v>
      </c>
      <c r="DT616">
        <f>SUM(DO616:DP616)</f>
        <v>0</v>
      </c>
      <c r="DU616" s="143" t="str">
        <f>IF(DO616=1,"self-calculated DF",IF(DP616=1,"external DF used","explicit C balance"))</f>
        <v>explicit C balance</v>
      </c>
      <c r="DV616">
        <v>1</v>
      </c>
      <c r="DW616">
        <v>0</v>
      </c>
      <c r="DX616">
        <v>1</v>
      </c>
      <c r="DY616">
        <v>0</v>
      </c>
      <c r="DZ616">
        <v>0</v>
      </c>
      <c r="EA616" s="143">
        <v>0</v>
      </c>
      <c r="EB616">
        <v>0</v>
      </c>
      <c r="EC616">
        <v>0</v>
      </c>
      <c r="ED616">
        <v>0</v>
      </c>
      <c r="EE616">
        <v>0</v>
      </c>
      <c r="EF616">
        <v>1</v>
      </c>
      <c r="EG616">
        <v>0</v>
      </c>
      <c r="EH616">
        <v>0</v>
      </c>
      <c r="EI616" s="2">
        <v>0</v>
      </c>
      <c r="EK616" t="str">
        <f>IF(AND(AND(AND(OR($DX616=1,$DW616=1),OR($EC616=1,$EA616=1)),SUM($DV616:$DZ616,$EF616)&gt;=4),SUM($EA616:$EE616)&gt;=2),"Whole sector","")</f>
        <v/>
      </c>
      <c r="EL616" t="str">
        <f>IF(AND(AND(OR($DX616=1,$DW616=1),AND($EC616=0,$EA616=0)),SUM($DV616:$DZ616,$EF616)&gt;=4),"Ecosystem approach","")</f>
        <v/>
      </c>
      <c r="EM616" s="2" t="str">
        <f>IF(AND(AND(AND($DX616=0,$DW616=0),OR($EC616=1,$EA616=1)),SUM($EB616:$EE616)&gt;=2),"Technology approach","")</f>
        <v/>
      </c>
      <c r="EN616" s="149" t="s">
        <v>1704</v>
      </c>
      <c r="EP616" t="str">
        <f>IF(ISNUMBER(BU616),IF(ABS(BU616-[4]QC_indicators!$B$2)&gt;3*[4]QC_indicators!$C$2,"C ratio",IF(ISNUMBER(BY616),IF(ABS(BY616-[4]QC_indicators!$B$1)&gt;3*[4]QC_indicators!$C$1,"DF","no"))),IF(ISNUMBER(BY616),IF(ABS(BY616-[4]QC_indicators!$B$1)&gt;3*[4]QC_indicators!$C$1,"DF","no")))</f>
        <v>DF</v>
      </c>
      <c r="ER616" s="149" t="s">
        <v>350</v>
      </c>
      <c r="ET616" s="266" t="s">
        <v>3275</v>
      </c>
    </row>
    <row r="617" spans="1:150" ht="15" hidden="1" customHeight="1">
      <c r="A617" s="1" t="s">
        <v>1140</v>
      </c>
      <c r="B617" t="s">
        <v>1693</v>
      </c>
      <c r="C617" t="s">
        <v>1694</v>
      </c>
      <c r="D617" t="s">
        <v>1695</v>
      </c>
      <c r="E617" t="s">
        <v>1696</v>
      </c>
      <c r="F617" t="s">
        <v>1697</v>
      </c>
      <c r="G617" t="s">
        <v>1141</v>
      </c>
      <c r="H617" t="s">
        <v>255</v>
      </c>
      <c r="I617">
        <v>2020</v>
      </c>
      <c r="J617">
        <v>4</v>
      </c>
      <c r="K617" t="s">
        <v>1698</v>
      </c>
      <c r="M617" t="str">
        <f>LEFT($D617,FIND(",",$D617)-1)&amp;"_"&amp;I617&amp;L617</f>
        <v>Gusti_2020</v>
      </c>
      <c r="N617" t="s">
        <v>223</v>
      </c>
      <c r="O617" s="181" t="s">
        <v>342</v>
      </c>
      <c r="Q617" t="s">
        <v>257</v>
      </c>
      <c r="R617" s="285" t="s">
        <v>226</v>
      </c>
      <c r="S617" s="1" t="s">
        <v>1706</v>
      </c>
      <c r="T617" s="151" t="s">
        <v>1113</v>
      </c>
      <c r="U617" t="s">
        <v>1819</v>
      </c>
      <c r="V617">
        <v>0</v>
      </c>
      <c r="W617">
        <v>0</v>
      </c>
      <c r="X617">
        <v>1</v>
      </c>
      <c r="Y617">
        <v>1</v>
      </c>
      <c r="Z617">
        <v>0</v>
      </c>
      <c r="AA617">
        <v>0</v>
      </c>
      <c r="AB617">
        <v>0</v>
      </c>
      <c r="AC617">
        <v>0</v>
      </c>
      <c r="AD617">
        <v>0</v>
      </c>
      <c r="AE617">
        <v>0</v>
      </c>
      <c r="AF617">
        <v>0</v>
      </c>
      <c r="AG617">
        <v>0</v>
      </c>
      <c r="AH617">
        <v>0</v>
      </c>
      <c r="AI617">
        <v>0</v>
      </c>
      <c r="AJ617">
        <v>0</v>
      </c>
      <c r="AK617">
        <v>0</v>
      </c>
      <c r="AL617">
        <v>0</v>
      </c>
      <c r="AM617">
        <v>0</v>
      </c>
      <c r="AN617">
        <v>0</v>
      </c>
      <c r="AO617">
        <v>0</v>
      </c>
      <c r="AP617">
        <v>0</v>
      </c>
      <c r="AQ617">
        <v>0</v>
      </c>
      <c r="AR617">
        <v>0</v>
      </c>
      <c r="AS617">
        <v>0</v>
      </c>
      <c r="AT617">
        <v>0</v>
      </c>
      <c r="AU617">
        <v>0</v>
      </c>
      <c r="AV617">
        <v>0</v>
      </c>
      <c r="AW617">
        <v>0</v>
      </c>
      <c r="AX617" s="141">
        <f>COUNTIF(V617:AW617,"&lt;&gt;0")</f>
        <v>2</v>
      </c>
      <c r="AY617" s="141">
        <f>COUNTIF(V617:AL617,"&lt;&gt;0")</f>
        <v>2</v>
      </c>
      <c r="AZ617">
        <f>COUNTIF(V617:AC617,"&lt;&gt;0")</f>
        <v>2</v>
      </c>
      <c r="BA617">
        <f>COUNTIF(AD617:AI617,"&lt;&gt;0")</f>
        <v>0</v>
      </c>
      <c r="BB617">
        <f>COUNTIF(AJ617:AL617,"&lt;&gt;0")</f>
        <v>0</v>
      </c>
      <c r="BC617">
        <f>COUNTIF(AS617:AW617,"&lt;&gt;0")</f>
        <v>0</v>
      </c>
      <c r="BD617">
        <f>COUNTIF(AM617:AR617,"&lt;&gt;0")</f>
        <v>0</v>
      </c>
      <c r="BE617" t="str">
        <f t="array" ref="BE617">IF(AY617=1,INDEX($V$7:$AL$7,MATCH(TRUE,INDEX($V617:$AW617&lt;&gt;0,),0)),IF(AY617=0,INDEX($AM$7:$AW$7,MATCH(1,$AM617:$AW617,0)),IF(BF617="Multiple strategies","mixed drivers",IF(BF617="Supply chain","multiple supply","multiple silviculture"))))</f>
        <v>multiple silviculture</v>
      </c>
      <c r="BF617" s="2" t="str" cm="1">
        <f t="array" ref="BF617">IF(COUNTIF(AZ617:BB617,"&lt;&gt;0")=1,INDEX($V$4:$AW$4,MATCH(TRUE,INDEX($V617:$AW617&lt;&gt;0,),0)),IF(COUNTIF(AZ617:BB617,"&lt;&gt;0")=0,INDEX($AM$4:$AW$4,MATCH(1,$AM617:$AW617,0)),"Multiple strategies"))</f>
        <v>SilvicultureRemov</v>
      </c>
      <c r="BG617" s="1" t="s">
        <v>322</v>
      </c>
      <c r="BH617" t="s">
        <v>1324</v>
      </c>
      <c r="BI617" t="s">
        <v>582</v>
      </c>
      <c r="BJ617" t="s">
        <v>1700</v>
      </c>
      <c r="BK617">
        <f>BL617-2774</f>
        <v>527371</v>
      </c>
      <c r="BL617">
        <v>530145</v>
      </c>
      <c r="BM617">
        <f>BL617/BK617</f>
        <v>1.0052600541174999</v>
      </c>
      <c r="BN617" s="151">
        <v>2861</v>
      </c>
      <c r="BO617">
        <f>BN617*1000</f>
        <v>2861000</v>
      </c>
      <c r="BP617" t="s">
        <v>233</v>
      </c>
      <c r="BQ617" t="s">
        <v>582</v>
      </c>
      <c r="BR617" t="s">
        <v>1701</v>
      </c>
      <c r="BS617">
        <v>389</v>
      </c>
      <c r="BT617">
        <v>366</v>
      </c>
      <c r="BU617" s="144">
        <f>IFERROR(BT617/BS617,"")</f>
        <v>0.94087403598971719</v>
      </c>
      <c r="BV617">
        <f>BT617-BS617</f>
        <v>-23</v>
      </c>
      <c r="BX617">
        <f>BV617*10^6</f>
        <v>-23000000</v>
      </c>
      <c r="BY617">
        <f>IFERROR(BX617/BO617,"")</f>
        <v>-8.0391471513456825</v>
      </c>
      <c r="BZ617">
        <v>0</v>
      </c>
      <c r="CA617">
        <v>0</v>
      </c>
      <c r="CB617">
        <v>0</v>
      </c>
      <c r="CC617">
        <v>0</v>
      </c>
      <c r="CD617">
        <v>0</v>
      </c>
      <c r="CE617">
        <v>0</v>
      </c>
      <c r="CF617">
        <v>0</v>
      </c>
      <c r="CG617">
        <v>0</v>
      </c>
      <c r="CH617">
        <v>0</v>
      </c>
      <c r="CI617">
        <v>0</v>
      </c>
      <c r="CJ617">
        <v>0</v>
      </c>
      <c r="CK617">
        <v>0</v>
      </c>
      <c r="CL617">
        <v>0</v>
      </c>
      <c r="CM617">
        <v>0</v>
      </c>
      <c r="CN617" t="str">
        <f>IF($BL617&lt;$BK617,"refNeedCorrection","refOK")</f>
        <v>refOK</v>
      </c>
      <c r="CO617">
        <f>IF($CN617="refNeedCorrection",BK617,BL617)</f>
        <v>530145</v>
      </c>
      <c r="CP617">
        <f>IF($CN617="refNeedCorrection",BL617,BK617)</f>
        <v>527371</v>
      </c>
      <c r="CQ617">
        <f>IF($CN617="refOK",$BO617,-$BO617)</f>
        <v>2861000</v>
      </c>
      <c r="CR617">
        <f>IF($CN617="refOK",$BS617,$BT617)*IF($BP617="Emissions positive",-1,1)</f>
        <v>389</v>
      </c>
      <c r="CS617">
        <f>IF($CN617="refOK",$BT617,$BS617)*IF($BP617="Emissions positive",-1,1)</f>
        <v>366</v>
      </c>
      <c r="CT617">
        <f>IF($CN617="refNeedCorrection",-BX617,BX617)*IF($BP617="Emissions positive",-1,1)</f>
        <v>-23000000</v>
      </c>
      <c r="CU617">
        <f>IFERROR(CT617/CQ617,"")</f>
        <v>-8.0391471513456825</v>
      </c>
      <c r="CV617" s="2">
        <f>IFERROR((CS617-CR617)/ABS(CR617),"")</f>
        <v>-5.9125964010282778E-2</v>
      </c>
      <c r="CW617" s="1" t="s">
        <v>1233</v>
      </c>
      <c r="CX617" t="str">
        <f>IF(OR($CW617="prd",$CW617="std",$CW617="cit"),"loc",IF(OR($CW617="eur",$CW617="reg",$CW617="coy"),"reg",$CW617))</f>
        <v>reg</v>
      </c>
      <c r="CY617" t="s">
        <v>745</v>
      </c>
      <c r="CZ617">
        <v>2026</v>
      </c>
      <c r="DA617">
        <v>2030</v>
      </c>
      <c r="DB617">
        <v>5</v>
      </c>
      <c r="DC617" t="str">
        <f>IF(DB617=0,"0",IF(AND(DB617&gt;=1,DB617&lt;=30),"1-30",IF(AND(DB617&gt;30,DB617&lt;=70),"31-70",IF(AND(DB617&gt;70,DB617&lt;=100),"71-100",IF(DB617&gt;100,"+100")))))</f>
        <v>1-30</v>
      </c>
      <c r="DD617">
        <v>1</v>
      </c>
      <c r="DE617">
        <v>0</v>
      </c>
      <c r="DF617">
        <v>0</v>
      </c>
      <c r="DG617">
        <v>0</v>
      </c>
      <c r="DI617">
        <f>SUM(DD617:DG617)</f>
        <v>1</v>
      </c>
      <c r="DJ617" t="str">
        <f>IF(DI617=1,INDEX($DD$7:$DG$7,MATCH(1,$DD617:$DG617,0)),"mixedProduct")</f>
        <v>UpstreamInput</v>
      </c>
      <c r="DK617" t="str">
        <f>IF(DD617=1,DK$7,0)</f>
        <v>Upstream</v>
      </c>
      <c r="DL617">
        <f>IF(DE617=1,DL$7,0)</f>
        <v>0</v>
      </c>
      <c r="DM617">
        <f>IF(DF617=1,DM$7,0)</f>
        <v>0</v>
      </c>
      <c r="DN617">
        <f>IF(DG617=1,DN$7,0)</f>
        <v>0</v>
      </c>
      <c r="DO617">
        <v>0</v>
      </c>
      <c r="DP617">
        <v>0</v>
      </c>
      <c r="DQ617">
        <v>0</v>
      </c>
      <c r="DR617">
        <v>0</v>
      </c>
      <c r="DS617">
        <v>0</v>
      </c>
      <c r="DT617">
        <f>SUM(DO617:DP617)</f>
        <v>0</v>
      </c>
      <c r="DU617" s="143" t="str">
        <f>IF(DO617=1,"self-calculated DF",IF(DP617=1,"external DF used","explicit C balance"))</f>
        <v>explicit C balance</v>
      </c>
      <c r="DV617">
        <v>1</v>
      </c>
      <c r="DW617">
        <v>0</v>
      </c>
      <c r="DX617">
        <v>1</v>
      </c>
      <c r="DY617">
        <v>0</v>
      </c>
      <c r="DZ617">
        <v>0</v>
      </c>
      <c r="EA617" s="143">
        <v>0</v>
      </c>
      <c r="EB617">
        <v>0</v>
      </c>
      <c r="EC617">
        <v>0</v>
      </c>
      <c r="ED617">
        <v>0</v>
      </c>
      <c r="EE617">
        <v>0</v>
      </c>
      <c r="EF617">
        <v>1</v>
      </c>
      <c r="EG617">
        <v>0</v>
      </c>
      <c r="EH617">
        <v>0</v>
      </c>
      <c r="EI617" s="2">
        <v>0</v>
      </c>
      <c r="EK617" t="str">
        <f>IF(AND(AND(AND(OR($DX617=1,$DW617=1),OR($EC617=1,$EA617=1)),SUM($DV617:$DZ617,$EF617)&gt;=4),SUM($EA617:$EE617)&gt;=2),"Whole sector","")</f>
        <v/>
      </c>
      <c r="EL617" t="str">
        <f>IF(AND(AND(OR($DX617=1,$DW617=1),AND($EC617=0,$EA617=0)),SUM($DV617:$DZ617,$EF617)&gt;=4),"Ecosystem approach","")</f>
        <v/>
      </c>
      <c r="EM617" s="2" t="str">
        <f>IF(AND(AND(AND($DX617=0,$DW617=0),OR($EC617=1,$EA617=1)),SUM($EB617:$EE617)&gt;=2),"Technology approach","")</f>
        <v/>
      </c>
      <c r="EN617" s="149" t="s">
        <v>1704</v>
      </c>
      <c r="EP617" t="str">
        <f>IF(ISNUMBER(BU617),IF(ABS(BU617-[4]QC_indicators!$B$2)&gt;3*[4]QC_indicators!$C$2,"C ratio",IF(ISNUMBER(BY617),IF(ABS(BY617-[4]QC_indicators!$B$1)&gt;3*[4]QC_indicators!$C$1,"DF","no"))),IF(ISNUMBER(BY617),IF(ABS(BY617-[4]QC_indicators!$B$1)&gt;3*[4]QC_indicators!$C$1,"DF","no")))</f>
        <v>DF</v>
      </c>
      <c r="ER617" s="149" t="s">
        <v>350</v>
      </c>
      <c r="ET617" s="266" t="s">
        <v>3275</v>
      </c>
    </row>
    <row r="618" spans="1:150" ht="15" hidden="1" customHeight="1">
      <c r="D618" t="s">
        <v>735</v>
      </c>
      <c r="E618" t="s">
        <v>736</v>
      </c>
      <c r="G618" t="s">
        <v>737</v>
      </c>
      <c r="I618">
        <v>2005</v>
      </c>
      <c r="K618" s="156" t="s">
        <v>738</v>
      </c>
      <c r="M618" t="str">
        <f>LEFT($D618,FIND(",",$D618)-1)&amp;"_"&amp;I618&amp;L618</f>
        <v>Gustavsson_2005</v>
      </c>
      <c r="N618" t="s">
        <v>223</v>
      </c>
      <c r="O618" t="s">
        <v>224</v>
      </c>
      <c r="Q618" t="s">
        <v>257</v>
      </c>
      <c r="R618" s="255" t="s">
        <v>226</v>
      </c>
      <c r="S618" s="1" t="s">
        <v>739</v>
      </c>
      <c r="T618" t="s">
        <v>740</v>
      </c>
      <c r="U618" s="266" t="s">
        <v>741</v>
      </c>
      <c r="V618">
        <v>0</v>
      </c>
      <c r="W618">
        <v>0</v>
      </c>
      <c r="X618">
        <v>0</v>
      </c>
      <c r="Y618">
        <v>1</v>
      </c>
      <c r="Z618">
        <v>0</v>
      </c>
      <c r="AA618">
        <v>0</v>
      </c>
      <c r="AB618">
        <v>0</v>
      </c>
      <c r="AC618">
        <v>0</v>
      </c>
      <c r="AD618">
        <v>0</v>
      </c>
      <c r="AE618">
        <v>0</v>
      </c>
      <c r="AF618">
        <v>0</v>
      </c>
      <c r="AG618">
        <v>0</v>
      </c>
      <c r="AH618">
        <v>0</v>
      </c>
      <c r="AI618">
        <v>0</v>
      </c>
      <c r="AJ618">
        <v>0</v>
      </c>
      <c r="AK618">
        <v>0</v>
      </c>
      <c r="AL618">
        <v>0</v>
      </c>
      <c r="AM618">
        <v>0</v>
      </c>
      <c r="AN618">
        <v>0</v>
      </c>
      <c r="AO618">
        <v>0</v>
      </c>
      <c r="AP618">
        <v>0</v>
      </c>
      <c r="AQ618">
        <v>0</v>
      </c>
      <c r="AR618">
        <v>0</v>
      </c>
      <c r="AS618">
        <v>0</v>
      </c>
      <c r="AT618">
        <v>0</v>
      </c>
      <c r="AU618">
        <v>0</v>
      </c>
      <c r="AV618">
        <v>0</v>
      </c>
      <c r="AW618">
        <v>0</v>
      </c>
      <c r="AX618" s="141">
        <f>COUNTIF(V618:AW618,"&lt;&gt;0")</f>
        <v>1</v>
      </c>
      <c r="AY618" s="141">
        <f>COUNTIF(V618:AL618,"&lt;&gt;0")</f>
        <v>1</v>
      </c>
      <c r="AZ618">
        <f>COUNTIF(V618:AC618,"&lt;&gt;0")</f>
        <v>1</v>
      </c>
      <c r="BA618">
        <f>COUNTIF(AD618:AI618,"&lt;&gt;0")</f>
        <v>0</v>
      </c>
      <c r="BB618">
        <f>COUNTIF(AJ618:AL618,"&lt;&gt;0")</f>
        <v>0</v>
      </c>
      <c r="BC618">
        <f>COUNTIF(AS618:AW618,"&lt;&gt;0")</f>
        <v>0</v>
      </c>
      <c r="BD618">
        <f>COUNTIF(AM618:AR618,"&lt;&gt;0")</f>
        <v>0</v>
      </c>
      <c r="BE618" t="str">
        <f t="array" ref="BE618">IF(AY618=1,INDEX($V$7:$AL$7,MATCH(TRUE,INDEX($V618:$AW618&lt;&gt;0,),0)),IF(AY618=0,INDEX($AM$7:$AW$7,MATCH(1,$AM618:$AW618,0)),IF(BF618="Multiple strategies","mixed drivers",IF(BF618="Supply chain","multiple supply","multiple silviculture"))))</f>
        <v xml:space="preserve">cutting intensity </v>
      </c>
      <c r="BF618" s="2" t="str" cm="1">
        <f t="array" ref="BF618">IF(COUNTIF(AZ618:BB618,"&lt;&gt;0")=1,INDEX($V$4:$AW$4,MATCH(TRUE,INDEX($V618:$AW618&lt;&gt;0,),0)),IF(COUNTIF(AZ618:BB618,"&lt;&gt;0")=0,INDEX($AM$4:$AW$4,MATCH(1,$AM618:$AW618,0)),"Multiple strategies"))</f>
        <v>SilvicultureRemov</v>
      </c>
      <c r="BG618" s="265" t="s">
        <v>322</v>
      </c>
      <c r="BH618" s="266" t="s">
        <v>742</v>
      </c>
      <c r="BI618" s="260" t="s">
        <v>425</v>
      </c>
      <c r="BJ618" s="266" t="s">
        <v>743</v>
      </c>
      <c r="BK618" s="266">
        <v>166.8</v>
      </c>
      <c r="BL618" s="266">
        <v>207.5</v>
      </c>
      <c r="BM618" s="266">
        <f>BL618/BK618</f>
        <v>1.2440047961630694</v>
      </c>
      <c r="BN618" s="266">
        <f>BL618-BK618</f>
        <v>40.699999999999989</v>
      </c>
      <c r="BO618" s="266">
        <f>BN618*t_to_m3</f>
        <v>83.06122448979589</v>
      </c>
      <c r="BP618" t="s">
        <v>233</v>
      </c>
      <c r="BQ618" s="306" t="s">
        <v>3335</v>
      </c>
      <c r="BR618" t="s">
        <v>443</v>
      </c>
      <c r="BS618" s="266">
        <v>26.2</v>
      </c>
      <c r="BT618" s="151">
        <v>44.2</v>
      </c>
      <c r="BV618">
        <v>18.000000000000004</v>
      </c>
      <c r="BX618">
        <f>BV618*C_to_CO2</f>
        <v>66.060000000000016</v>
      </c>
      <c r="BY618">
        <f>IFERROR(BX618/BO618,"")</f>
        <v>0.79531695331695373</v>
      </c>
      <c r="BZ618" s="143">
        <v>0</v>
      </c>
      <c r="CA618" s="143">
        <v>0</v>
      </c>
      <c r="CB618" s="143">
        <v>0</v>
      </c>
      <c r="CC618" s="143">
        <v>0</v>
      </c>
      <c r="CD618" s="143">
        <v>0</v>
      </c>
      <c r="CE618" s="143">
        <v>0</v>
      </c>
      <c r="CF618" s="143">
        <v>0</v>
      </c>
      <c r="CG618" s="143">
        <v>0</v>
      </c>
      <c r="CH618" s="143">
        <v>0</v>
      </c>
      <c r="CI618" s="143">
        <v>0</v>
      </c>
      <c r="CJ618" s="143">
        <v>0</v>
      </c>
      <c r="CK618" s="143">
        <v>0</v>
      </c>
      <c r="CL618" s="143">
        <v>0</v>
      </c>
      <c r="CM618">
        <v>0</v>
      </c>
      <c r="CN618" t="str">
        <f>IF($BL618&lt;$BK618,"refNeedCorrection","refOK")</f>
        <v>refOK</v>
      </c>
      <c r="CO618">
        <f>IF($CN618="refOK",$BK618,$BL618)</f>
        <v>166.8</v>
      </c>
      <c r="CP618">
        <f>IF($CN618="refOK",$BL618,$BK618)</f>
        <v>207.5</v>
      </c>
      <c r="CQ618">
        <f>IF($CN618="refOK",$BO618,-$BO618)</f>
        <v>83.06122448979589</v>
      </c>
      <c r="CR618">
        <f>IF($CN618="refOK",$BS618,$BT618)*IF($BP618="Emissions positive",-1,1)</f>
        <v>26.2</v>
      </c>
      <c r="CS618">
        <f>IF($CN618="refOK",$BT618,$BS618)*IF($BP618="Emissions positive",-1,1)</f>
        <v>44.2</v>
      </c>
      <c r="CT618">
        <f>IF($CN618="refNeedCorrection",-BX618,BX618)*IF($BP618="Emissions positive",-1,1)</f>
        <v>66.060000000000016</v>
      </c>
      <c r="CU618">
        <f>IFERROR(CT618/CQ618,"")</f>
        <v>0.79531695331695373</v>
      </c>
      <c r="CV618" s="2">
        <f>IFERROR((CS618-CR618)/ABS(CR618),"")</f>
        <v>0.68702290076335892</v>
      </c>
      <c r="CW618" s="1" t="s">
        <v>264</v>
      </c>
      <c r="CX618" t="str">
        <f>IF(OR($CW618="prd",$CW618="std",$CW618="cit"),"loc",IF(OR($CW618="eur",$CW618="reg",$CW618="coy"),"reg",$CW618))</f>
        <v>loc</v>
      </c>
      <c r="CY618" t="s">
        <v>745</v>
      </c>
      <c r="DA618" s="143"/>
      <c r="DB618" s="143">
        <v>0</v>
      </c>
      <c r="DC618" t="str">
        <f>IF(DB618=0,"0",IF(AND(DB618&gt;=1,DB618&lt;=30),"1-30",IF(AND(DB618&gt;30,DB618&lt;=70),"31-70",IF(AND(DB618&gt;70,DB618&lt;=100),"71-100",IF(DB618&gt;100,"+100")))))</f>
        <v>0</v>
      </c>
      <c r="DD618">
        <v>0</v>
      </c>
      <c r="DE618">
        <v>0</v>
      </c>
      <c r="DF618">
        <v>0</v>
      </c>
      <c r="DG618">
        <v>1</v>
      </c>
      <c r="DI618">
        <f>SUM(DD618:DG618)</f>
        <v>1</v>
      </c>
      <c r="DJ618" t="str">
        <f>IF(DI618=1,INDEX($DD$7:$DG$7,MATCH(1,$DD618:$DG618,0)),"mixedProduct")</f>
        <v>TimberInput</v>
      </c>
      <c r="DK618">
        <f>IF(DD618=1,DK$7,0)</f>
        <v>0</v>
      </c>
      <c r="DL618">
        <f>IF(DE618=1,DL$7,0)</f>
        <v>0</v>
      </c>
      <c r="DM618">
        <f>IF(DF618=1,DM$7,0)</f>
        <v>0</v>
      </c>
      <c r="DN618" t="str">
        <f>IF(DG618=1,DN$7,0)</f>
        <v>Timber</v>
      </c>
      <c r="DO618">
        <v>1</v>
      </c>
      <c r="DP618" s="143">
        <v>0</v>
      </c>
      <c r="DQ618" s="143">
        <v>0</v>
      </c>
      <c r="DR618">
        <v>0</v>
      </c>
      <c r="DS618" s="143">
        <v>0</v>
      </c>
      <c r="DT618">
        <f>SUM(DO618:DP618)</f>
        <v>1</v>
      </c>
      <c r="DU618" s="143" t="str">
        <f>IF(DO618=1,"self-calculated DF",IF(DP618=1,"external DF used","explicit C balance"))</f>
        <v>self-calculated DF</v>
      </c>
      <c r="DV618" s="143">
        <v>0</v>
      </c>
      <c r="DW618" s="266">
        <v>1</v>
      </c>
      <c r="DX618" s="266">
        <v>1</v>
      </c>
      <c r="DY618" s="266">
        <v>0</v>
      </c>
      <c r="DZ618" s="266">
        <v>0</v>
      </c>
      <c r="EA618" s="266">
        <v>1</v>
      </c>
      <c r="EB618" s="266">
        <v>1</v>
      </c>
      <c r="EC618" s="266">
        <v>1</v>
      </c>
      <c r="ED618" s="143">
        <v>0</v>
      </c>
      <c r="EE618">
        <v>0</v>
      </c>
      <c r="EF618">
        <v>0</v>
      </c>
      <c r="EG618" s="143">
        <v>0</v>
      </c>
      <c r="EH618" s="143">
        <v>0</v>
      </c>
      <c r="EI618" s="2">
        <v>0</v>
      </c>
      <c r="EK618" t="str">
        <f>IF(AND(AND(AND(OR($DX618=1,$DW618=1),OR($EC618=1,$EA618=1)),SUM($DV618:$DZ618,$EF618)&gt;=4),SUM($EA618:$EE618)&gt;=2),"Whole sector","")</f>
        <v/>
      </c>
      <c r="EL618" t="str">
        <f>IF(AND(AND(OR($DX618=1,$DW618=1),AND($EC618=0,$EA618=0)),SUM($DV618:$DZ618,$EF618)&gt;=4),"Ecosystem approach","")</f>
        <v/>
      </c>
      <c r="EM618" s="2" t="str">
        <f>IF(AND(AND(AND($DX618=0,$DW618=0),OR($EC618=1,$EA618=1)),SUM($EB618:$EE618)&gt;=2),"Technology approach","")</f>
        <v/>
      </c>
      <c r="EP618" t="str">
        <f>IF(ISNUMBER(BU618),IF(ABS(BU618-[4]QC_indicators!$B$2)&gt;3*[4]QC_indicators!$C$2,"C ratio",IF(ISNUMBER(BY618),IF(ABS(BY618-[4]QC_indicators!$B$1)&gt;3*[4]QC_indicators!$C$1,"DF","no"))),IF(ISNUMBER(BY618),IF(ABS(BY618-[4]QC_indicators!$B$1)&gt;3*[4]QC_indicators!$C$1,"DF","no")))</f>
        <v>no</v>
      </c>
      <c r="ER618" s="149" t="s">
        <v>350</v>
      </c>
      <c r="ET618" s="266" t="s">
        <v>3275</v>
      </c>
    </row>
    <row r="619" spans="1:150" ht="15" hidden="1" customHeight="1">
      <c r="A619" s="1" t="s">
        <v>1974</v>
      </c>
      <c r="B619" t="s">
        <v>1975</v>
      </c>
      <c r="C619" t="s">
        <v>1976</v>
      </c>
      <c r="D619" t="s">
        <v>1977</v>
      </c>
      <c r="E619" s="266" t="s">
        <v>1978</v>
      </c>
      <c r="F619" t="s">
        <v>1979</v>
      </c>
      <c r="G619" t="s">
        <v>1980</v>
      </c>
      <c r="H619" t="s">
        <v>255</v>
      </c>
      <c r="I619">
        <v>2018</v>
      </c>
      <c r="J619">
        <v>21</v>
      </c>
      <c r="K619" t="s">
        <v>1981</v>
      </c>
      <c r="M619" t="str">
        <f>LEFT($D619,FIND(",",$D619)-1)&amp;"_"&amp;I619&amp;L619</f>
        <v>Nabuurs_2018</v>
      </c>
      <c r="N619" t="s">
        <v>223</v>
      </c>
      <c r="O619" s="157" t="s">
        <v>275</v>
      </c>
      <c r="P619" t="s">
        <v>962</v>
      </c>
      <c r="Q619" t="s">
        <v>390</v>
      </c>
      <c r="R619" s="255" t="s">
        <v>226</v>
      </c>
      <c r="S619" s="1" t="s">
        <v>1982</v>
      </c>
      <c r="T619" s="152" t="s">
        <v>1983</v>
      </c>
      <c r="U619" s="184" t="s">
        <v>1984</v>
      </c>
      <c r="V619">
        <v>0</v>
      </c>
      <c r="W619">
        <v>0</v>
      </c>
      <c r="X619">
        <v>0</v>
      </c>
      <c r="Y619">
        <v>1</v>
      </c>
      <c r="Z619">
        <v>0</v>
      </c>
      <c r="AA619">
        <v>0</v>
      </c>
      <c r="AB619">
        <v>0</v>
      </c>
      <c r="AC619">
        <v>0</v>
      </c>
      <c r="AD619">
        <v>0</v>
      </c>
      <c r="AE619">
        <v>0</v>
      </c>
      <c r="AF619">
        <v>0</v>
      </c>
      <c r="AG619">
        <v>0</v>
      </c>
      <c r="AH619">
        <v>0</v>
      </c>
      <c r="AI619">
        <v>0</v>
      </c>
      <c r="AJ619">
        <v>0</v>
      </c>
      <c r="AK619">
        <v>0</v>
      </c>
      <c r="AL619">
        <v>0</v>
      </c>
      <c r="AM619">
        <v>0</v>
      </c>
      <c r="AN619">
        <v>0</v>
      </c>
      <c r="AO619">
        <v>0</v>
      </c>
      <c r="AP619">
        <v>0</v>
      </c>
      <c r="AQ619">
        <v>0</v>
      </c>
      <c r="AR619">
        <v>0</v>
      </c>
      <c r="AS619">
        <v>0</v>
      </c>
      <c r="AT619">
        <v>0</v>
      </c>
      <c r="AU619">
        <v>0</v>
      </c>
      <c r="AV619">
        <v>0</v>
      </c>
      <c r="AW619">
        <v>0</v>
      </c>
      <c r="AX619" s="141">
        <f>COUNTIF(V619:AW619,"&lt;&gt;0")</f>
        <v>1</v>
      </c>
      <c r="AY619" s="141">
        <f>COUNTIF(V619:AL619,"&lt;&gt;0")</f>
        <v>1</v>
      </c>
      <c r="AZ619">
        <f>COUNTIF(V619:AC619,"&lt;&gt;0")</f>
        <v>1</v>
      </c>
      <c r="BA619">
        <f>COUNTIF(AD619:AI619,"&lt;&gt;0")</f>
        <v>0</v>
      </c>
      <c r="BB619">
        <f>COUNTIF(AJ619:AL619,"&lt;&gt;0")</f>
        <v>0</v>
      </c>
      <c r="BC619">
        <f>COUNTIF(AS619:AW619,"&lt;&gt;0")</f>
        <v>0</v>
      </c>
      <c r="BD619">
        <f>COUNTIF(AM619:AR619,"&lt;&gt;0")</f>
        <v>0</v>
      </c>
      <c r="BE619" t="str">
        <f t="array" ref="BE619">IF(AY619=1,INDEX($V$7:$AL$7,MATCH(TRUE,INDEX($V619:$AW619&lt;&gt;0,),0)),IF(AY619=0,INDEX($AM$7:$AW$7,MATCH(1,$AM619:$AW619,0)),IF(BF619="Multiple strategies","mixed drivers",IF(BF619="Supply chain","multiple supply","multiple silviculture"))))</f>
        <v xml:space="preserve">cutting intensity </v>
      </c>
      <c r="BF619" s="2" t="str" cm="1">
        <f t="array" ref="BF619">IF(COUNTIF(AZ619:BB619,"&lt;&gt;0")=1,INDEX($V$4:$AW$4,MATCH(TRUE,INDEX($V619:$AW619&lt;&gt;0,),0)),IF(COUNTIF(AZ619:BB619,"&lt;&gt;0")=0,INDEX($AM$4:$AW$4,MATCH(1,$AM619:$AW619,0)),"Multiple strategies"))</f>
        <v>SilvicultureRemov</v>
      </c>
      <c r="BG619" s="1" t="s">
        <v>322</v>
      </c>
      <c r="BH619" t="s">
        <v>1985</v>
      </c>
      <c r="BI619" s="260" t="s">
        <v>3383</v>
      </c>
      <c r="BJ619" t="s">
        <v>1986</v>
      </c>
      <c r="BK619" s="152">
        <v>4190644782.1222701</v>
      </c>
      <c r="BL619" s="152">
        <v>4538767649.01647</v>
      </c>
      <c r="BM619">
        <v>1.0830714329163207</v>
      </c>
      <c r="BN619">
        <f>BL619-BK619</f>
        <v>348122866.89419985</v>
      </c>
      <c r="BO619">
        <f>BN619</f>
        <v>348122866.89419985</v>
      </c>
      <c r="BP619" t="s">
        <v>396</v>
      </c>
      <c r="BQ619" s="260" t="s">
        <v>3384</v>
      </c>
      <c r="BR619" t="s">
        <v>1987</v>
      </c>
      <c r="BS619" s="291">
        <f>-373.8*1000000</f>
        <v>-373800000</v>
      </c>
      <c r="BT619" s="291">
        <f>-335.71*1000000</f>
        <v>-335710000</v>
      </c>
      <c r="BU619" s="144">
        <v>0.9672089812091007</v>
      </c>
      <c r="BV619" s="152">
        <v>13455706.042723</v>
      </c>
      <c r="BX619" s="152">
        <f>BV619</f>
        <v>13455706.042723</v>
      </c>
      <c r="BY619">
        <f>IFERROR(BX619/BO619,"")</f>
        <v>3.8652175201155076E-2</v>
      </c>
      <c r="BZ619">
        <v>0</v>
      </c>
      <c r="CA619">
        <v>0</v>
      </c>
      <c r="CB619">
        <v>0</v>
      </c>
      <c r="CC619">
        <v>0</v>
      </c>
      <c r="CD619">
        <v>0</v>
      </c>
      <c r="CE619">
        <v>0</v>
      </c>
      <c r="CF619">
        <v>0</v>
      </c>
      <c r="CG619">
        <v>0</v>
      </c>
      <c r="CH619">
        <v>0</v>
      </c>
      <c r="CI619">
        <v>0</v>
      </c>
      <c r="CJ619">
        <v>0</v>
      </c>
      <c r="CK619">
        <v>0</v>
      </c>
      <c r="CL619">
        <v>0</v>
      </c>
      <c r="CM619">
        <v>0</v>
      </c>
      <c r="CN619" t="str">
        <f>IF($BL619&lt;$BK619,"refNeedCorrection","refOK")</f>
        <v>refOK</v>
      </c>
      <c r="CO619">
        <f>IF($CN619="refOK",$BK619,$BL619)</f>
        <v>4190644782.1222701</v>
      </c>
      <c r="CP619">
        <f>IF($CN619="refOK",$BL619,$BK619)</f>
        <v>4538767649.01647</v>
      </c>
      <c r="CQ619">
        <f>IF($CN619="refOK",$BO619,-$BO619)</f>
        <v>348122866.89419985</v>
      </c>
      <c r="CR619">
        <f>IF($CN619="refOK",$BS619,$BT619)*IF($BP619="Emissions positive",-1,1)</f>
        <v>373800000</v>
      </c>
      <c r="CS619">
        <f>IF($CN619="refOK",$BT619,$BS619)*IF($BP619="Emissions positive",-1,1)</f>
        <v>335710000</v>
      </c>
      <c r="CT619">
        <f>IF($CN619="refNeedCorrection",-BX619,BX619)*IF($BP619="Emissions positive",-1,1)</f>
        <v>-13455706.042723</v>
      </c>
      <c r="CU619">
        <f>IFERROR(CT619/CQ619,"")</f>
        <v>-3.8652175201155076E-2</v>
      </c>
      <c r="CV619" s="2">
        <f>IFERROR((CS619-CR619)/ABS(CR619),"")</f>
        <v>-0.10189941144997325</v>
      </c>
      <c r="CW619" s="1" t="s">
        <v>1233</v>
      </c>
      <c r="CX619" t="str">
        <f>IF(OR($CW619="prd",$CW619="std",$CW619="cit"),"loc",IF(OR($CW619="eur",$CW619="reg",$CW619="coy"),"reg",$CW619))</f>
        <v>reg</v>
      </c>
      <c r="CY619" t="s">
        <v>745</v>
      </c>
      <c r="CZ619">
        <v>2015</v>
      </c>
      <c r="DA619">
        <v>2025</v>
      </c>
      <c r="DB619">
        <v>0</v>
      </c>
      <c r="DC619" t="str">
        <f>IF(DB619=0,"0",IF(AND(DB619&gt;=1,DB619&lt;=30),"1-30",IF(AND(DB619&gt;30,DB619&lt;=70),"31-70",IF(AND(DB619&gt;70,DB619&lt;=100),"71-100",IF(DB619&gt;100,"+100")))))</f>
        <v>0</v>
      </c>
      <c r="DD619">
        <v>1</v>
      </c>
      <c r="DE619">
        <v>0</v>
      </c>
      <c r="DF619">
        <v>0</v>
      </c>
      <c r="DG619">
        <v>0</v>
      </c>
      <c r="DI619">
        <v>1</v>
      </c>
      <c r="DJ619" t="str">
        <f>IF(DI619=1,INDEX($DD$7:$DG$7,MATCH(1,$DD619:$DG619,0)),"mixedProduct")</f>
        <v>UpstreamInput</v>
      </c>
      <c r="DK619" t="str">
        <f>IF(DD619=1,DK$7,0)</f>
        <v>Upstream</v>
      </c>
      <c r="DL619">
        <f>IF(DE619=1,DL$7,0)</f>
        <v>0</v>
      </c>
      <c r="DM619">
        <f>IF(DF619=1,DM$7,0)</f>
        <v>0</v>
      </c>
      <c r="DN619">
        <f>IF(DG619=1,DN$7,0)</f>
        <v>0</v>
      </c>
      <c r="DO619">
        <v>0</v>
      </c>
      <c r="DP619">
        <v>0</v>
      </c>
      <c r="DQ619">
        <v>0</v>
      </c>
      <c r="DR619">
        <v>0</v>
      </c>
      <c r="DS619">
        <v>0</v>
      </c>
      <c r="DT619">
        <f>SUM(DO619:DP619)</f>
        <v>0</v>
      </c>
      <c r="DU619" s="143" t="s">
        <v>964</v>
      </c>
      <c r="DV619">
        <v>0</v>
      </c>
      <c r="DW619">
        <v>0</v>
      </c>
      <c r="DX619">
        <v>0</v>
      </c>
      <c r="DY619">
        <v>0</v>
      </c>
      <c r="DZ619">
        <v>0</v>
      </c>
      <c r="EA619" s="143">
        <v>0</v>
      </c>
      <c r="EB619">
        <v>1</v>
      </c>
      <c r="EC619">
        <v>0</v>
      </c>
      <c r="ED619">
        <v>0</v>
      </c>
      <c r="EE619">
        <v>0</v>
      </c>
      <c r="EF619">
        <v>0</v>
      </c>
      <c r="EG619">
        <v>0</v>
      </c>
      <c r="EH619">
        <v>0</v>
      </c>
      <c r="EI619" s="2">
        <v>0</v>
      </c>
      <c r="EK619" t="str">
        <f>IF(AND(AND(AND(OR($DX619=1,$DW619=1),OR($EC619=1,$EA619=1)),SUM($DV619:$DZ619,$EF619)&gt;=4),SUM($EA619:$EE619)&gt;=2),"Whole sector","")</f>
        <v/>
      </c>
      <c r="EL619" t="str">
        <f>IF(AND(AND(OR($DX619=1,$DW619=1),AND($EC619=0,$EA619=0)),SUM($DV619:$DZ619,$EF619)&gt;=4),"Ecosystem approach","")</f>
        <v/>
      </c>
      <c r="EM619" s="2" t="str">
        <f>IF(AND(AND(AND($DX619=0,$DW619=0),OR($EC619=1,$EA619=1)),SUM($EB619:$EE619)&gt;=2),"Technology approach","")</f>
        <v/>
      </c>
      <c r="EP619" t="str">
        <f>IF(ISNUMBER(BU619),IF(ABS(BU619-[4]QC_indicators!$B$2)&gt;3*[4]QC_indicators!$C$2,"C ratio",IF(ISNUMBER(BY619),IF(ABS(BY619-[4]QC_indicators!$B$1)&gt;3*[4]QC_indicators!$C$1,"DF","no"))),IF(ISNUMBER(BY619),IF(ABS(BY619-[4]QC_indicators!$B$1)&gt;3*[4]QC_indicators!$C$1,"DF","no")))</f>
        <v>no</v>
      </c>
      <c r="ET619" s="266" t="s">
        <v>3275</v>
      </c>
    </row>
    <row r="620" spans="1:150" ht="15" hidden="1" customHeight="1">
      <c r="A620" s="1" t="s">
        <v>1974</v>
      </c>
      <c r="B620" t="s">
        <v>1975</v>
      </c>
      <c r="C620" t="s">
        <v>1976</v>
      </c>
      <c r="D620" t="s">
        <v>1977</v>
      </c>
      <c r="E620" t="s">
        <v>1978</v>
      </c>
      <c r="F620" t="s">
        <v>1979</v>
      </c>
      <c r="G620" t="s">
        <v>1980</v>
      </c>
      <c r="H620" t="s">
        <v>255</v>
      </c>
      <c r="I620">
        <v>2018</v>
      </c>
      <c r="J620">
        <v>21</v>
      </c>
      <c r="K620" t="s">
        <v>1981</v>
      </c>
      <c r="M620" t="str">
        <f>LEFT($D620,FIND(",",$D620)-1)&amp;"_"&amp;I620&amp;L620</f>
        <v>Nabuurs_2018</v>
      </c>
      <c r="N620" t="s">
        <v>223</v>
      </c>
      <c r="O620" s="157" t="s">
        <v>275</v>
      </c>
      <c r="P620" t="s">
        <v>962</v>
      </c>
      <c r="Q620" t="s">
        <v>390</v>
      </c>
      <c r="R620" s="255" t="s">
        <v>226</v>
      </c>
      <c r="S620" s="1" t="s">
        <v>1982</v>
      </c>
      <c r="T620" s="152" t="s">
        <v>1983</v>
      </c>
      <c r="U620" s="184" t="s">
        <v>1984</v>
      </c>
      <c r="V620">
        <v>0</v>
      </c>
      <c r="W620">
        <v>0</v>
      </c>
      <c r="X620">
        <v>0</v>
      </c>
      <c r="Y620">
        <v>1</v>
      </c>
      <c r="Z620">
        <v>0</v>
      </c>
      <c r="AA620">
        <v>0</v>
      </c>
      <c r="AB620">
        <v>0</v>
      </c>
      <c r="AC620">
        <v>0</v>
      </c>
      <c r="AD620">
        <v>0</v>
      </c>
      <c r="AE620">
        <v>0</v>
      </c>
      <c r="AF620">
        <v>0</v>
      </c>
      <c r="AG620">
        <v>0</v>
      </c>
      <c r="AH620">
        <v>0</v>
      </c>
      <c r="AI620">
        <v>0</v>
      </c>
      <c r="AJ620">
        <v>0</v>
      </c>
      <c r="AK620">
        <v>0</v>
      </c>
      <c r="AL620">
        <v>0</v>
      </c>
      <c r="AM620">
        <v>0</v>
      </c>
      <c r="AN620">
        <v>0</v>
      </c>
      <c r="AO620">
        <v>0</v>
      </c>
      <c r="AP620">
        <v>0</v>
      </c>
      <c r="AQ620">
        <v>0</v>
      </c>
      <c r="AR620">
        <v>0</v>
      </c>
      <c r="AS620">
        <v>0</v>
      </c>
      <c r="AT620">
        <v>0</v>
      </c>
      <c r="AU620">
        <v>0</v>
      </c>
      <c r="AV620">
        <v>0</v>
      </c>
      <c r="AW620">
        <v>0</v>
      </c>
      <c r="AX620" s="141">
        <f>COUNTIF(V620:AW620,"&lt;&gt;0")</f>
        <v>1</v>
      </c>
      <c r="AY620" s="141">
        <f>COUNTIF(V620:AL620,"&lt;&gt;0")</f>
        <v>1</v>
      </c>
      <c r="AZ620">
        <f>COUNTIF(V620:AC620,"&lt;&gt;0")</f>
        <v>1</v>
      </c>
      <c r="BA620">
        <f>COUNTIF(AD620:AI620,"&lt;&gt;0")</f>
        <v>0</v>
      </c>
      <c r="BB620">
        <f>COUNTIF(AJ620:AL620,"&lt;&gt;0")</f>
        <v>0</v>
      </c>
      <c r="BC620">
        <f>COUNTIF(AS620:AW620,"&lt;&gt;0")</f>
        <v>0</v>
      </c>
      <c r="BD620">
        <f>COUNTIF(AM620:AR620,"&lt;&gt;0")</f>
        <v>0</v>
      </c>
      <c r="BE620" t="str">
        <f t="array" ref="BE620">IF(AY620=1,INDEX($V$7:$AL$7,MATCH(TRUE,INDEX($V620:$AW620&lt;&gt;0,),0)),IF(AY620=0,INDEX($AM$7:$AW$7,MATCH(1,$AM620:$AW620,0)),IF(BF620="Multiple strategies","mixed drivers",IF(BF620="Supply chain","multiple supply","multiple silviculture"))))</f>
        <v xml:space="preserve">cutting intensity </v>
      </c>
      <c r="BF620" s="2" t="str" cm="1">
        <f t="array" ref="BF620">IF(COUNTIF(AZ620:BB620,"&lt;&gt;0")=1,INDEX($V$4:$AW$4,MATCH(TRUE,INDEX($V620:$AW620&lt;&gt;0,),0)),IF(COUNTIF(AZ620:BB620,"&lt;&gt;0")=0,INDEX($AM$4:$AW$4,MATCH(1,$AM620:$AW620,0)),"Multiple strategies"))</f>
        <v>SilvicultureRemov</v>
      </c>
      <c r="BG620" s="1" t="s">
        <v>322</v>
      </c>
      <c r="BH620" t="s">
        <v>1985</v>
      </c>
      <c r="BI620" s="260" t="s">
        <v>3385</v>
      </c>
      <c r="BJ620" t="s">
        <v>1986</v>
      </c>
      <c r="BK620" s="152">
        <v>4176029909.5067401</v>
      </c>
      <c r="BL620" s="152">
        <v>5588977950.2357893</v>
      </c>
      <c r="BM620">
        <v>1.3383472032880968</v>
      </c>
      <c r="BN620">
        <f>BL620-BK620</f>
        <v>1412948040.7290492</v>
      </c>
      <c r="BO620">
        <f>BN620</f>
        <v>1412948040.7290492</v>
      </c>
      <c r="BP620" t="s">
        <v>396</v>
      </c>
      <c r="BQ620" s="260" t="s">
        <v>3386</v>
      </c>
      <c r="BR620" t="s">
        <v>1987</v>
      </c>
      <c r="BS620" s="291">
        <f>-273.8*1000000</f>
        <v>-273800000</v>
      </c>
      <c r="BT620" s="291">
        <f>-148.41*1000000</f>
        <v>-148410000</v>
      </c>
      <c r="BU620" s="144">
        <v>0.50707458802531458</v>
      </c>
      <c r="BV620" s="152">
        <v>178254847.64542899</v>
      </c>
      <c r="BX620" s="152">
        <f>BV620</f>
        <v>178254847.64542899</v>
      </c>
      <c r="BY620">
        <f>IFERROR(BX620/BO620,"")</f>
        <v>0.12615810525732674</v>
      </c>
      <c r="BZ620">
        <v>0</v>
      </c>
      <c r="CA620">
        <v>0</v>
      </c>
      <c r="CB620">
        <v>0</v>
      </c>
      <c r="CC620">
        <v>0</v>
      </c>
      <c r="CD620">
        <v>0</v>
      </c>
      <c r="CE620">
        <v>0</v>
      </c>
      <c r="CF620">
        <v>0</v>
      </c>
      <c r="CG620">
        <v>0</v>
      </c>
      <c r="CH620">
        <v>0</v>
      </c>
      <c r="CI620">
        <v>0</v>
      </c>
      <c r="CJ620">
        <v>0</v>
      </c>
      <c r="CK620">
        <v>0</v>
      </c>
      <c r="CL620">
        <v>0</v>
      </c>
      <c r="CM620">
        <v>0</v>
      </c>
      <c r="CN620" t="str">
        <f>IF($BL620&lt;$BK620,"refNeedCorrection","refOK")</f>
        <v>refOK</v>
      </c>
      <c r="CO620">
        <f>IF($CN620="refOK",$BK620,$BL620)</f>
        <v>4176029909.5067401</v>
      </c>
      <c r="CP620">
        <f>IF($CN620="refOK",$BL620,$BK620)</f>
        <v>5588977950.2357893</v>
      </c>
      <c r="CQ620">
        <f>IF($CN620="refOK",$BO620,-$BO620)</f>
        <v>1412948040.7290492</v>
      </c>
      <c r="CR620">
        <f>IF($CN620="refOK",$BS620,$BT620)*IF($BP620="Emissions positive",-1,1)</f>
        <v>273800000</v>
      </c>
      <c r="CS620">
        <f>IF($CN620="refOK",$BT620,$BS620)*IF($BP620="Emissions positive",-1,1)</f>
        <v>148410000</v>
      </c>
      <c r="CT620">
        <f>IF($CN620="refNeedCorrection",-BX620,BX620)*IF($BP620="Emissions positive",-1,1)</f>
        <v>-178254847.64542899</v>
      </c>
      <c r="CU620">
        <f>IFERROR(CT620/CQ620,"")</f>
        <v>-0.12615810525732674</v>
      </c>
      <c r="CV620" s="2">
        <f>IFERROR((CS620-CR620)/ABS(CR620),"")</f>
        <v>-0.45796201607012416</v>
      </c>
      <c r="CW620" s="1" t="s">
        <v>1233</v>
      </c>
      <c r="CX620" t="str">
        <f>IF(OR($CW620="prd",$CW620="std",$CW620="cit"),"loc",IF(OR($CW620="eur",$CW620="reg",$CW620="coy"),"reg",$CW620))</f>
        <v>reg</v>
      </c>
      <c r="CY620" t="s">
        <v>745</v>
      </c>
      <c r="CZ620">
        <v>2015</v>
      </c>
      <c r="DA620">
        <v>2050</v>
      </c>
      <c r="DB620">
        <v>0</v>
      </c>
      <c r="DC620" t="str">
        <f>IF(DB620=0,"0",IF(AND(DB620&gt;=1,DB620&lt;=30),"1-30",IF(AND(DB620&gt;30,DB620&lt;=70),"31-70",IF(AND(DB620&gt;70,DB620&lt;=100),"71-100",IF(DB620&gt;100,"+100")))))</f>
        <v>0</v>
      </c>
      <c r="DD620">
        <v>1</v>
      </c>
      <c r="DE620">
        <v>0</v>
      </c>
      <c r="DF620">
        <v>0</v>
      </c>
      <c r="DG620">
        <v>0</v>
      </c>
      <c r="DI620">
        <v>1</v>
      </c>
      <c r="DJ620" t="str">
        <f>IF(DI620=1,INDEX($DD$7:$DG$7,MATCH(1,$DD620:$DG620,0)),"mixedProduct")</f>
        <v>UpstreamInput</v>
      </c>
      <c r="DK620" t="str">
        <f>IF(DD620=1,DK$7,0)</f>
        <v>Upstream</v>
      </c>
      <c r="DL620">
        <f>IF(DE620=1,DL$7,0)</f>
        <v>0</v>
      </c>
      <c r="DM620">
        <f>IF(DF620=1,DM$7,0)</f>
        <v>0</v>
      </c>
      <c r="DN620">
        <f>IF(DG620=1,DN$7,0)</f>
        <v>0</v>
      </c>
      <c r="DO620">
        <v>0</v>
      </c>
      <c r="DP620">
        <v>0</v>
      </c>
      <c r="DQ620">
        <v>0</v>
      </c>
      <c r="DR620">
        <v>0</v>
      </c>
      <c r="DS620">
        <v>0</v>
      </c>
      <c r="DT620">
        <f>SUM(DO620:DP620)</f>
        <v>0</v>
      </c>
      <c r="DU620" s="143" t="s">
        <v>964</v>
      </c>
      <c r="DV620">
        <v>0</v>
      </c>
      <c r="DW620">
        <v>0</v>
      </c>
      <c r="DX620">
        <v>0</v>
      </c>
      <c r="DY620">
        <v>0</v>
      </c>
      <c r="DZ620">
        <v>0</v>
      </c>
      <c r="EA620" s="143">
        <v>0</v>
      </c>
      <c r="EB620">
        <v>1</v>
      </c>
      <c r="EC620">
        <v>0</v>
      </c>
      <c r="ED620">
        <v>0</v>
      </c>
      <c r="EE620">
        <v>0</v>
      </c>
      <c r="EF620">
        <v>0</v>
      </c>
      <c r="EG620">
        <v>0</v>
      </c>
      <c r="EH620">
        <v>0</v>
      </c>
      <c r="EI620" s="2">
        <v>0</v>
      </c>
      <c r="EK620" t="str">
        <f>IF(AND(AND(AND(OR($DX620=1,$DW620=1),OR($EC620=1,$EA620=1)),SUM($DV620:$DZ620,$EF620)&gt;=4),SUM($EA620:$EE620)&gt;=2),"Whole sector","")</f>
        <v/>
      </c>
      <c r="EL620" t="str">
        <f>IF(AND(AND(OR($DX620=1,$DW620=1),AND($EC620=0,$EA620=0)),SUM($DV620:$DZ620,$EF620)&gt;=4),"Ecosystem approach","")</f>
        <v/>
      </c>
      <c r="EM620" s="2" t="str">
        <f>IF(AND(AND(AND($DX620=0,$DW620=0),OR($EC620=1,$EA620=1)),SUM($EB620:$EE620)&gt;=2),"Technology approach","")</f>
        <v/>
      </c>
      <c r="EP620" t="str">
        <f>IF(ISNUMBER(BU620),IF(ABS(BU620-[4]QC_indicators!$B$2)&gt;3*[4]QC_indicators!$C$2,"C ratio",IF(ISNUMBER(BY620),IF(ABS(BY620-[4]QC_indicators!$B$1)&gt;3*[4]QC_indicators!$C$1,"DF","no"))),IF(ISNUMBER(BY620),IF(ABS(BY620-[4]QC_indicators!$B$1)&gt;3*[4]QC_indicators!$C$1,"DF","no")))</f>
        <v>no</v>
      </c>
      <c r="ET620" s="266" t="s">
        <v>3275</v>
      </c>
    </row>
    <row r="621" spans="1:150" ht="15" hidden="1" customHeight="1">
      <c r="A621" s="1" t="s">
        <v>1974</v>
      </c>
      <c r="B621" t="s">
        <v>1975</v>
      </c>
      <c r="C621" t="s">
        <v>1976</v>
      </c>
      <c r="D621" t="s">
        <v>1977</v>
      </c>
      <c r="E621" t="s">
        <v>1978</v>
      </c>
      <c r="F621" t="s">
        <v>1979</v>
      </c>
      <c r="G621" t="s">
        <v>1980</v>
      </c>
      <c r="H621" t="s">
        <v>255</v>
      </c>
      <c r="I621">
        <v>2018</v>
      </c>
      <c r="J621">
        <v>21</v>
      </c>
      <c r="K621" t="s">
        <v>1981</v>
      </c>
      <c r="M621" t="str">
        <f>LEFT($D621,FIND(",",$D621)-1)&amp;"_"&amp;I621&amp;L621</f>
        <v>Nabuurs_2018</v>
      </c>
      <c r="N621" t="s">
        <v>223</v>
      </c>
      <c r="O621" s="157" t="s">
        <v>275</v>
      </c>
      <c r="P621" t="s">
        <v>962</v>
      </c>
      <c r="Q621" t="s">
        <v>390</v>
      </c>
      <c r="R621" s="255" t="s">
        <v>226</v>
      </c>
      <c r="S621" s="1" t="s">
        <v>1982</v>
      </c>
      <c r="T621" s="152" t="s">
        <v>1983</v>
      </c>
      <c r="U621" t="s">
        <v>1988</v>
      </c>
      <c r="V621">
        <v>0</v>
      </c>
      <c r="W621">
        <v>0</v>
      </c>
      <c r="X621">
        <v>0</v>
      </c>
      <c r="Y621">
        <v>1</v>
      </c>
      <c r="Z621">
        <v>0</v>
      </c>
      <c r="AA621">
        <v>0</v>
      </c>
      <c r="AB621">
        <v>0</v>
      </c>
      <c r="AC621">
        <v>0</v>
      </c>
      <c r="AD621">
        <v>0</v>
      </c>
      <c r="AE621">
        <v>0</v>
      </c>
      <c r="AF621">
        <v>0</v>
      </c>
      <c r="AG621">
        <v>0</v>
      </c>
      <c r="AH621">
        <v>0</v>
      </c>
      <c r="AI621">
        <v>0</v>
      </c>
      <c r="AJ621">
        <v>0</v>
      </c>
      <c r="AK621">
        <v>0</v>
      </c>
      <c r="AL621">
        <v>0</v>
      </c>
      <c r="AM621">
        <v>0</v>
      </c>
      <c r="AN621">
        <v>0</v>
      </c>
      <c r="AO621">
        <v>0</v>
      </c>
      <c r="AP621">
        <v>0</v>
      </c>
      <c r="AQ621">
        <v>0</v>
      </c>
      <c r="AR621">
        <v>0</v>
      </c>
      <c r="AS621">
        <v>0</v>
      </c>
      <c r="AT621">
        <v>0</v>
      </c>
      <c r="AU621">
        <v>0</v>
      </c>
      <c r="AV621">
        <v>0</v>
      </c>
      <c r="AW621">
        <v>0</v>
      </c>
      <c r="AX621" s="141">
        <f>COUNTIF(V621:AW621,"&lt;&gt;0")</f>
        <v>1</v>
      </c>
      <c r="AY621" s="141">
        <f>COUNTIF(V621:AL621,"&lt;&gt;0")</f>
        <v>1</v>
      </c>
      <c r="AZ621">
        <f>COUNTIF(V621:AC621,"&lt;&gt;0")</f>
        <v>1</v>
      </c>
      <c r="BA621">
        <f>COUNTIF(AD621:AI621,"&lt;&gt;0")</f>
        <v>0</v>
      </c>
      <c r="BB621">
        <f>COUNTIF(AJ621:AL621,"&lt;&gt;0")</f>
        <v>0</v>
      </c>
      <c r="BC621">
        <f>COUNTIF(AS621:AW621,"&lt;&gt;0")</f>
        <v>0</v>
      </c>
      <c r="BD621">
        <f>COUNTIF(AM621:AR621,"&lt;&gt;0")</f>
        <v>0</v>
      </c>
      <c r="BE621" t="str">
        <f t="array" ref="BE621">IF(AY621=1,INDEX($V$7:$AL$7,MATCH(TRUE,INDEX($V621:$AW621&lt;&gt;0,),0)),IF(AY621=0,INDEX($AM$7:$AW$7,MATCH(1,$AM621:$AW621,0)),IF(BF621="Multiple strategies","mixed drivers",IF(BF621="Supply chain","multiple supply","multiple silviculture"))))</f>
        <v xml:space="preserve">cutting intensity </v>
      </c>
      <c r="BF621" s="2" t="str" cm="1">
        <f t="array" ref="BF621">IF(COUNTIF(AZ621:BB621,"&lt;&gt;0")=1,INDEX($V$4:$AW$4,MATCH(TRUE,INDEX($V621:$AW621&lt;&gt;0,),0)),IF(COUNTIF(AZ621:BB621,"&lt;&gt;0")=0,INDEX($AM$4:$AW$4,MATCH(1,$AM621:$AW621,0)),"Multiple strategies"))</f>
        <v>SilvicultureRemov</v>
      </c>
      <c r="BG621" s="1" t="s">
        <v>322</v>
      </c>
      <c r="BH621" t="s">
        <v>1985</v>
      </c>
      <c r="BI621" s="260" t="s">
        <v>3387</v>
      </c>
      <c r="BJ621" t="s">
        <v>1986</v>
      </c>
      <c r="BK621" s="152">
        <v>4190644782.1222701</v>
      </c>
      <c r="BL621" s="152">
        <v>4426139662.6683397</v>
      </c>
      <c r="BM621">
        <v>1.0561953810904507</v>
      </c>
      <c r="BN621">
        <f>BL621-BK621</f>
        <v>235494880.54606962</v>
      </c>
      <c r="BO621">
        <f>BN621</f>
        <v>235494880.54606962</v>
      </c>
      <c r="BP621" t="s">
        <v>396</v>
      </c>
      <c r="BQ621" s="260" t="s">
        <v>3388</v>
      </c>
      <c r="BR621" t="s">
        <v>1987</v>
      </c>
      <c r="BS621" s="291">
        <f>-373.8*1000000</f>
        <v>-373800000</v>
      </c>
      <c r="BT621" s="291">
        <f>-361.11*1000000</f>
        <v>-361110000</v>
      </c>
      <c r="BU621" s="144">
        <v>0.90757039082667901</v>
      </c>
      <c r="BV621" s="152">
        <v>37928240.61401701</v>
      </c>
      <c r="BX621" s="152">
        <f>BV621</f>
        <v>37928240.61401701</v>
      </c>
      <c r="BY621">
        <f>IFERROR(BX621/BO621,"")</f>
        <v>0.16105760144793105</v>
      </c>
      <c r="BZ621">
        <v>0</v>
      </c>
      <c r="CA621">
        <v>0</v>
      </c>
      <c r="CB621">
        <v>0</v>
      </c>
      <c r="CC621">
        <v>0</v>
      </c>
      <c r="CD621">
        <v>0</v>
      </c>
      <c r="CE621">
        <v>0</v>
      </c>
      <c r="CF621">
        <v>0</v>
      </c>
      <c r="CG621">
        <v>0</v>
      </c>
      <c r="CH621">
        <v>0</v>
      </c>
      <c r="CI621">
        <v>0</v>
      </c>
      <c r="CJ621">
        <v>0</v>
      </c>
      <c r="CK621">
        <v>0</v>
      </c>
      <c r="CL621">
        <v>0</v>
      </c>
      <c r="CM621">
        <v>0</v>
      </c>
      <c r="CN621" t="str">
        <f>IF($BL621&lt;$BK621,"refNeedCorrection","refOK")</f>
        <v>refOK</v>
      </c>
      <c r="CO621">
        <f>IF($CN621="refOK",$BK621,$BL621)</f>
        <v>4190644782.1222701</v>
      </c>
      <c r="CP621">
        <f>IF($CN621="refOK",$BL621,$BK621)</f>
        <v>4426139662.6683397</v>
      </c>
      <c r="CQ621">
        <f>IF($CN621="refOK",$BO621,-$BO621)</f>
        <v>235494880.54606962</v>
      </c>
      <c r="CR621">
        <f>IF($CN621="refOK",$BS621,$BT621)*IF($BP621="Emissions positive",-1,1)</f>
        <v>373800000</v>
      </c>
      <c r="CS621">
        <f>IF($CN621="refOK",$BT621,$BS621)*IF($BP621="Emissions positive",-1,1)</f>
        <v>361110000</v>
      </c>
      <c r="CT621">
        <f>IF($CN621="refNeedCorrection",-BX621,BX621)*IF($BP621="Emissions positive",-1,1)</f>
        <v>-37928240.61401701</v>
      </c>
      <c r="CU621">
        <f>IFERROR(CT621/CQ621,"")</f>
        <v>-0.16105760144793105</v>
      </c>
      <c r="CV621" s="2">
        <f>IFERROR((CS621-CR621)/ABS(CR621),"")</f>
        <v>-3.394863563402889E-2</v>
      </c>
      <c r="CW621" s="1" t="s">
        <v>1233</v>
      </c>
      <c r="CX621" t="str">
        <f>IF(OR($CW621="prd",$CW621="std",$CW621="cit"),"loc",IF(OR($CW621="eur",$CW621="reg",$CW621="coy"),"reg",$CW621))</f>
        <v>reg</v>
      </c>
      <c r="CY621" t="s">
        <v>745</v>
      </c>
      <c r="CZ621">
        <v>2015</v>
      </c>
      <c r="DA621">
        <v>2025</v>
      </c>
      <c r="DB621">
        <v>0</v>
      </c>
      <c r="DC621" t="str">
        <f>IF(DB621=0,"0",IF(AND(DB621&gt;=1,DB621&lt;=30),"1-30",IF(AND(DB621&gt;30,DB621&lt;=70),"31-70",IF(AND(DB621&gt;70,DB621&lt;=100),"71-100",IF(DB621&gt;100,"+100")))))</f>
        <v>0</v>
      </c>
      <c r="DD621">
        <v>1</v>
      </c>
      <c r="DE621">
        <v>0</v>
      </c>
      <c r="DF621">
        <v>0</v>
      </c>
      <c r="DG621">
        <v>0</v>
      </c>
      <c r="DI621">
        <v>1</v>
      </c>
      <c r="DJ621" t="str">
        <f>IF(DI621=1,INDEX($DD$7:$DG$7,MATCH(1,$DD621:$DG621,0)),"mixedProduct")</f>
        <v>UpstreamInput</v>
      </c>
      <c r="DK621" t="str">
        <f>IF(DD621=1,DK$7,0)</f>
        <v>Upstream</v>
      </c>
      <c r="DL621">
        <f>IF(DE621=1,DL$7,0)</f>
        <v>0</v>
      </c>
      <c r="DM621">
        <f>IF(DF621=1,DM$7,0)</f>
        <v>0</v>
      </c>
      <c r="DN621">
        <f>IF(DG621=1,DN$7,0)</f>
        <v>0</v>
      </c>
      <c r="DO621">
        <v>0</v>
      </c>
      <c r="DP621">
        <v>0</v>
      </c>
      <c r="DQ621">
        <v>0</v>
      </c>
      <c r="DR621">
        <v>0</v>
      </c>
      <c r="DS621">
        <v>0</v>
      </c>
      <c r="DT621">
        <f>SUM(DO621:DP621)</f>
        <v>0</v>
      </c>
      <c r="DU621" s="143" t="s">
        <v>964</v>
      </c>
      <c r="DV621">
        <v>0</v>
      </c>
      <c r="DW621">
        <v>0</v>
      </c>
      <c r="DX621">
        <v>0</v>
      </c>
      <c r="DY621">
        <v>0</v>
      </c>
      <c r="DZ621">
        <v>0</v>
      </c>
      <c r="EA621" s="143">
        <v>0</v>
      </c>
      <c r="EB621">
        <v>1</v>
      </c>
      <c r="EC621">
        <v>0</v>
      </c>
      <c r="ED621">
        <v>0</v>
      </c>
      <c r="EE621">
        <v>0</v>
      </c>
      <c r="EF621">
        <v>0</v>
      </c>
      <c r="EG621">
        <v>0</v>
      </c>
      <c r="EH621">
        <v>0</v>
      </c>
      <c r="EI621" s="2">
        <v>0</v>
      </c>
      <c r="EK621" t="str">
        <f>IF(AND(AND(AND(OR($DX621=1,$DW621=1),OR($EC621=1,$EA621=1)),SUM($DV621:$DZ621,$EF621)&gt;=4),SUM($EA621:$EE621)&gt;=2),"Whole sector","")</f>
        <v/>
      </c>
      <c r="EL621" t="str">
        <f>IF(AND(AND(OR($DX621=1,$DW621=1),AND($EC621=0,$EA621=0)),SUM($DV621:$DZ621,$EF621)&gt;=4),"Ecosystem approach","")</f>
        <v/>
      </c>
      <c r="EM621" s="2" t="str">
        <f>IF(AND(AND(AND($DX621=0,$DW621=0),OR($EC621=1,$EA621=1)),SUM($EB621:$EE621)&gt;=2),"Technology approach","")</f>
        <v/>
      </c>
      <c r="EP621" t="str">
        <f>IF(ISNUMBER(BU621),IF(ABS(BU621-[4]QC_indicators!$B$2)&gt;3*[4]QC_indicators!$C$2,"C ratio",IF(ISNUMBER(BY621),IF(ABS(BY621-[4]QC_indicators!$B$1)&gt;3*[4]QC_indicators!$C$1,"DF","no"))),IF(ISNUMBER(BY621),IF(ABS(BY621-[4]QC_indicators!$B$1)&gt;3*[4]QC_indicators!$C$1,"DF","no")))</f>
        <v>no</v>
      </c>
      <c r="ET621" s="266" t="s">
        <v>3275</v>
      </c>
    </row>
    <row r="622" spans="1:150" ht="15" hidden="1" customHeight="1">
      <c r="A622" s="1" t="s">
        <v>1974</v>
      </c>
      <c r="B622" t="s">
        <v>1975</v>
      </c>
      <c r="C622" t="s">
        <v>1976</v>
      </c>
      <c r="D622" t="s">
        <v>1977</v>
      </c>
      <c r="E622" t="s">
        <v>1978</v>
      </c>
      <c r="F622" t="s">
        <v>1979</v>
      </c>
      <c r="G622" t="s">
        <v>1980</v>
      </c>
      <c r="H622" t="s">
        <v>255</v>
      </c>
      <c r="I622">
        <v>2018</v>
      </c>
      <c r="J622">
        <v>21</v>
      </c>
      <c r="K622" t="s">
        <v>1981</v>
      </c>
      <c r="M622" t="str">
        <f>LEFT($D622,FIND(",",$D622)-1)&amp;"_"&amp;I622&amp;L622</f>
        <v>Nabuurs_2018</v>
      </c>
      <c r="N622" t="s">
        <v>223</v>
      </c>
      <c r="O622" s="157" t="s">
        <v>275</v>
      </c>
      <c r="P622" t="s">
        <v>962</v>
      </c>
      <c r="Q622" t="s">
        <v>390</v>
      </c>
      <c r="R622" s="255" t="s">
        <v>226</v>
      </c>
      <c r="S622" s="1" t="s">
        <v>1982</v>
      </c>
      <c r="T622" s="152" t="s">
        <v>1983</v>
      </c>
      <c r="U622" t="s">
        <v>1988</v>
      </c>
      <c r="V622">
        <v>0</v>
      </c>
      <c r="W622">
        <v>0</v>
      </c>
      <c r="X622">
        <v>0</v>
      </c>
      <c r="Y622">
        <v>1</v>
      </c>
      <c r="Z622">
        <v>0</v>
      </c>
      <c r="AA622">
        <v>0</v>
      </c>
      <c r="AB622">
        <v>0</v>
      </c>
      <c r="AC622">
        <v>0</v>
      </c>
      <c r="AD622">
        <v>0</v>
      </c>
      <c r="AE622">
        <v>0</v>
      </c>
      <c r="AF622">
        <v>0</v>
      </c>
      <c r="AG622">
        <v>0</v>
      </c>
      <c r="AH622">
        <v>0</v>
      </c>
      <c r="AI622">
        <v>0</v>
      </c>
      <c r="AJ622">
        <v>0</v>
      </c>
      <c r="AK622">
        <v>0</v>
      </c>
      <c r="AL622">
        <v>0</v>
      </c>
      <c r="AM622">
        <v>0</v>
      </c>
      <c r="AN622">
        <v>0</v>
      </c>
      <c r="AO622">
        <v>0</v>
      </c>
      <c r="AP622">
        <v>0</v>
      </c>
      <c r="AQ622">
        <v>0</v>
      </c>
      <c r="AR622">
        <v>0</v>
      </c>
      <c r="AS622">
        <v>0</v>
      </c>
      <c r="AT622">
        <v>0</v>
      </c>
      <c r="AU622">
        <v>0</v>
      </c>
      <c r="AV622">
        <v>0</v>
      </c>
      <c r="AW622">
        <v>0</v>
      </c>
      <c r="AX622" s="141">
        <f>COUNTIF(V622:AW622,"&lt;&gt;0")</f>
        <v>1</v>
      </c>
      <c r="AY622" s="141">
        <f>COUNTIF(V622:AL622,"&lt;&gt;0")</f>
        <v>1</v>
      </c>
      <c r="AZ622">
        <f>COUNTIF(V622:AC622,"&lt;&gt;0")</f>
        <v>1</v>
      </c>
      <c r="BA622">
        <f>COUNTIF(AD622:AI622,"&lt;&gt;0")</f>
        <v>0</v>
      </c>
      <c r="BB622">
        <f>COUNTIF(AJ622:AL622,"&lt;&gt;0")</f>
        <v>0</v>
      </c>
      <c r="BC622">
        <f>COUNTIF(AS622:AW622,"&lt;&gt;0")</f>
        <v>0</v>
      </c>
      <c r="BD622">
        <f>COUNTIF(AM622:AR622,"&lt;&gt;0")</f>
        <v>0</v>
      </c>
      <c r="BE622" t="str">
        <f t="array" ref="BE622">IF(AY622=1,INDEX($V$7:$AL$7,MATCH(TRUE,INDEX($V622:$AW622&lt;&gt;0,),0)),IF(AY622=0,INDEX($AM$7:$AW$7,MATCH(1,$AM622:$AW622,0)),IF(BF622="Multiple strategies","mixed drivers",IF(BF622="Supply chain","multiple supply","multiple silviculture"))))</f>
        <v xml:space="preserve">cutting intensity </v>
      </c>
      <c r="BF622" s="2" t="str" cm="1">
        <f t="array" ref="BF622">IF(COUNTIF(AZ622:BB622,"&lt;&gt;0")=1,INDEX($V$4:$AW$4,MATCH(TRUE,INDEX($V622:$AW622&lt;&gt;0,),0)),IF(COUNTIF(AZ622:BB622,"&lt;&gt;0")=0,INDEX($AM$4:$AW$4,MATCH(1,$AM622:$AW622,0)),"Multiple strategies"))</f>
        <v>SilvicultureRemov</v>
      </c>
      <c r="BG622" s="1" t="s">
        <v>322</v>
      </c>
      <c r="BH622" t="s">
        <v>1985</v>
      </c>
      <c r="BI622" s="260" t="s">
        <v>3389</v>
      </c>
      <c r="BJ622" t="s">
        <v>1986</v>
      </c>
      <c r="BK622" s="152">
        <v>4176029909.5067401</v>
      </c>
      <c r="BL622" s="152">
        <v>4913231274.6944609</v>
      </c>
      <c r="BM622">
        <v>1.1765316296009951</v>
      </c>
      <c r="BN622">
        <f>BL622-BK622</f>
        <v>737201365.18772078</v>
      </c>
      <c r="BO622">
        <f>BN622</f>
        <v>737201365.18772078</v>
      </c>
      <c r="BP622" t="s">
        <v>396</v>
      </c>
      <c r="BQ622" s="260" t="s">
        <v>3390</v>
      </c>
      <c r="BR622" t="s">
        <v>1987</v>
      </c>
      <c r="BS622" s="291">
        <f>-273.8*1000000</f>
        <v>-273800000</v>
      </c>
      <c r="BT622" s="291">
        <f>-93.69*1000000</f>
        <v>-93690000</v>
      </c>
      <c r="BU622" s="144">
        <v>0.65184988385004727</v>
      </c>
      <c r="BV622" s="152">
        <v>125900277.00830999</v>
      </c>
      <c r="BX622" s="152">
        <f>BV622</f>
        <v>125900277.00830999</v>
      </c>
      <c r="BY622">
        <f>IFERROR(BX622/BO622,"")</f>
        <v>0.17078139427515951</v>
      </c>
      <c r="BZ622">
        <v>0</v>
      </c>
      <c r="CA622">
        <v>0</v>
      </c>
      <c r="CB622">
        <v>0</v>
      </c>
      <c r="CC622">
        <v>0</v>
      </c>
      <c r="CD622">
        <v>0</v>
      </c>
      <c r="CE622">
        <v>0</v>
      </c>
      <c r="CF622">
        <v>0</v>
      </c>
      <c r="CG622">
        <v>0</v>
      </c>
      <c r="CH622">
        <v>0</v>
      </c>
      <c r="CI622">
        <v>0</v>
      </c>
      <c r="CJ622">
        <v>0</v>
      </c>
      <c r="CK622">
        <v>0</v>
      </c>
      <c r="CL622">
        <v>0</v>
      </c>
      <c r="CM622">
        <v>0</v>
      </c>
      <c r="CN622" t="str">
        <f>IF($BL622&lt;$BK622,"refNeedCorrection","refOK")</f>
        <v>refOK</v>
      </c>
      <c r="CO622">
        <f>IF($CN622="refOK",$BK622,$BL622)</f>
        <v>4176029909.5067401</v>
      </c>
      <c r="CP622">
        <f>IF($CN622="refOK",$BL622,$BK622)</f>
        <v>4913231274.6944609</v>
      </c>
      <c r="CQ622">
        <f>IF($CN622="refOK",$BO622,-$BO622)</f>
        <v>737201365.18772078</v>
      </c>
      <c r="CR622">
        <f>IF($CN622="refOK",$BS622,$BT622)*IF($BP622="Emissions positive",-1,1)</f>
        <v>273800000</v>
      </c>
      <c r="CS622">
        <f>IF($CN622="refOK",$BT622,$BS622)*IF($BP622="Emissions positive",-1,1)</f>
        <v>93690000</v>
      </c>
      <c r="CT622">
        <f>IF($CN622="refNeedCorrection",-BX622,BX622)*IF($BP622="Emissions positive",-1,1)</f>
        <v>-125900277.00830999</v>
      </c>
      <c r="CU622">
        <f>IFERROR(CT622/CQ622,"")</f>
        <v>-0.17078139427515951</v>
      </c>
      <c r="CV622" s="2">
        <f>IFERROR((CS622-CR622)/ABS(CR622),"")</f>
        <v>-0.65781592403214029</v>
      </c>
      <c r="CW622" s="1" t="s">
        <v>1233</v>
      </c>
      <c r="CX622" t="str">
        <f>IF(OR($CW622="prd",$CW622="std",$CW622="cit"),"loc",IF(OR($CW622="eur",$CW622="reg",$CW622="coy"),"reg",$CW622))</f>
        <v>reg</v>
      </c>
      <c r="CY622" t="s">
        <v>745</v>
      </c>
      <c r="CZ622">
        <v>2015</v>
      </c>
      <c r="DA622">
        <v>2050</v>
      </c>
      <c r="DB622">
        <v>0</v>
      </c>
      <c r="DC622" t="str">
        <f>IF(DB622=0,"0",IF(AND(DB622&gt;=1,DB622&lt;=30),"1-30",IF(AND(DB622&gt;30,DB622&lt;=70),"31-70",IF(AND(DB622&gt;70,DB622&lt;=100),"71-100",IF(DB622&gt;100,"+100")))))</f>
        <v>0</v>
      </c>
      <c r="DD622">
        <v>1</v>
      </c>
      <c r="DE622">
        <v>0</v>
      </c>
      <c r="DF622">
        <v>0</v>
      </c>
      <c r="DG622">
        <v>0</v>
      </c>
      <c r="DI622">
        <v>1</v>
      </c>
      <c r="DJ622" t="str">
        <f>IF(DI622=1,INDEX($DD$7:$DG$7,MATCH(1,$DD622:$DG622,0)),"mixedProduct")</f>
        <v>UpstreamInput</v>
      </c>
      <c r="DK622" t="str">
        <f>IF(DD622=1,DK$7,0)</f>
        <v>Upstream</v>
      </c>
      <c r="DL622">
        <f>IF(DE622=1,DL$7,0)</f>
        <v>0</v>
      </c>
      <c r="DM622">
        <f>IF(DF622=1,DM$7,0)</f>
        <v>0</v>
      </c>
      <c r="DN622">
        <f>IF(DG622=1,DN$7,0)</f>
        <v>0</v>
      </c>
      <c r="DO622">
        <v>0</v>
      </c>
      <c r="DP622">
        <v>0</v>
      </c>
      <c r="DQ622">
        <v>0</v>
      </c>
      <c r="DR622">
        <v>0</v>
      </c>
      <c r="DS622">
        <v>0</v>
      </c>
      <c r="DT622">
        <f>SUM(DO622:DP622)</f>
        <v>0</v>
      </c>
      <c r="DU622" s="143" t="s">
        <v>964</v>
      </c>
      <c r="DV622">
        <v>0</v>
      </c>
      <c r="DW622">
        <v>0</v>
      </c>
      <c r="DX622">
        <v>0</v>
      </c>
      <c r="DY622">
        <v>0</v>
      </c>
      <c r="DZ622">
        <v>0</v>
      </c>
      <c r="EA622" s="143">
        <v>0</v>
      </c>
      <c r="EB622">
        <v>1</v>
      </c>
      <c r="EC622">
        <v>0</v>
      </c>
      <c r="ED622">
        <v>0</v>
      </c>
      <c r="EE622">
        <v>0</v>
      </c>
      <c r="EF622">
        <v>0</v>
      </c>
      <c r="EG622">
        <v>0</v>
      </c>
      <c r="EH622">
        <v>0</v>
      </c>
      <c r="EI622" s="2">
        <v>0</v>
      </c>
      <c r="EK622" t="str">
        <f>IF(AND(AND(AND(OR($DX622=1,$DW622=1),OR($EC622=1,$EA622=1)),SUM($DV622:$DZ622,$EF622)&gt;=4),SUM($EA622:$EE622)&gt;=2),"Whole sector","")</f>
        <v/>
      </c>
      <c r="EL622" t="str">
        <f>IF(AND(AND(OR($DX622=1,$DW622=1),AND($EC622=0,$EA622=0)),SUM($DV622:$DZ622,$EF622)&gt;=4),"Ecosystem approach","")</f>
        <v/>
      </c>
      <c r="EM622" s="2" t="str">
        <f>IF(AND(AND(AND($DX622=0,$DW622=0),OR($EC622=1,$EA622=1)),SUM($EB622:$EE622)&gt;=2),"Technology approach","")</f>
        <v/>
      </c>
      <c r="EP622" t="str">
        <f>IF(ISNUMBER(BU622),IF(ABS(BU622-[4]QC_indicators!$B$2)&gt;3*[4]QC_indicators!$C$2,"C ratio",IF(ISNUMBER(BY622),IF(ABS(BY622-[4]QC_indicators!$B$1)&gt;3*[4]QC_indicators!$C$1,"DF","no"))),IF(ISNUMBER(BY622),IF(ABS(BY622-[4]QC_indicators!$B$1)&gt;3*[4]QC_indicators!$C$1,"DF","no")))</f>
        <v>no</v>
      </c>
      <c r="ET622" s="266" t="s">
        <v>3275</v>
      </c>
    </row>
    <row r="623" spans="1:150" ht="15" hidden="1" customHeight="1">
      <c r="A623" s="1" t="s">
        <v>1140</v>
      </c>
      <c r="B623" t="s">
        <v>1834</v>
      </c>
      <c r="C623" t="s">
        <v>1835</v>
      </c>
      <c r="D623" t="s">
        <v>1836</v>
      </c>
      <c r="E623" t="s">
        <v>1837</v>
      </c>
      <c r="F623" t="s">
        <v>1838</v>
      </c>
      <c r="G623" t="s">
        <v>1141</v>
      </c>
      <c r="H623" t="s">
        <v>255</v>
      </c>
      <c r="I623">
        <v>2013</v>
      </c>
      <c r="J623">
        <v>26</v>
      </c>
      <c r="K623" t="s">
        <v>1839</v>
      </c>
      <c r="M623" t="str">
        <f>LEFT($D623,FIND(",",$D623)-1)&amp;"_"&amp;I623&amp;L623</f>
        <v>Klein_2013</v>
      </c>
      <c r="N623" t="s">
        <v>223</v>
      </c>
      <c r="O623" s="145" t="s">
        <v>514</v>
      </c>
      <c r="Q623" t="s">
        <v>257</v>
      </c>
      <c r="R623" s="255" t="s">
        <v>226</v>
      </c>
      <c r="S623" s="1" t="s">
        <v>1840</v>
      </c>
      <c r="T623" t="s">
        <v>1841</v>
      </c>
      <c r="U623" t="s">
        <v>1842</v>
      </c>
      <c r="V623">
        <v>0</v>
      </c>
      <c r="W623">
        <v>0</v>
      </c>
      <c r="X623">
        <v>0</v>
      </c>
      <c r="Y623">
        <v>1</v>
      </c>
      <c r="Z623">
        <v>0</v>
      </c>
      <c r="AA623">
        <v>0</v>
      </c>
      <c r="AB623">
        <v>0</v>
      </c>
      <c r="AC623">
        <v>0</v>
      </c>
      <c r="AD623">
        <v>0</v>
      </c>
      <c r="AE623">
        <v>0</v>
      </c>
      <c r="AF623">
        <v>0</v>
      </c>
      <c r="AG623">
        <v>0</v>
      </c>
      <c r="AH623">
        <v>0</v>
      </c>
      <c r="AI623">
        <v>0</v>
      </c>
      <c r="AJ623">
        <v>0</v>
      </c>
      <c r="AK623">
        <v>0</v>
      </c>
      <c r="AL623">
        <v>0</v>
      </c>
      <c r="AM623">
        <v>0</v>
      </c>
      <c r="AN623">
        <v>0</v>
      </c>
      <c r="AO623">
        <v>0</v>
      </c>
      <c r="AP623">
        <v>0</v>
      </c>
      <c r="AQ623">
        <v>0</v>
      </c>
      <c r="AR623">
        <v>0</v>
      </c>
      <c r="AS623">
        <v>0</v>
      </c>
      <c r="AT623">
        <v>0</v>
      </c>
      <c r="AU623">
        <v>0</v>
      </c>
      <c r="AV623">
        <v>0</v>
      </c>
      <c r="AW623">
        <v>0</v>
      </c>
      <c r="AX623" s="141">
        <f>COUNTIF(V623:AW623,"&lt;&gt;0")</f>
        <v>1</v>
      </c>
      <c r="AY623" s="141">
        <f>COUNTIF(V623:AL623,"&lt;&gt;0")</f>
        <v>1</v>
      </c>
      <c r="AZ623">
        <f>COUNTIF(V623:AC623,"&lt;&gt;0")</f>
        <v>1</v>
      </c>
      <c r="BA623">
        <f>COUNTIF(AD623:AI623,"&lt;&gt;0")</f>
        <v>0</v>
      </c>
      <c r="BB623">
        <f>COUNTIF(AJ623:AL623,"&lt;&gt;0")</f>
        <v>0</v>
      </c>
      <c r="BC623">
        <f>COUNTIF(AS623:AW623,"&lt;&gt;0")</f>
        <v>0</v>
      </c>
      <c r="BD623">
        <f>COUNTIF(AM623:AR623,"&lt;&gt;0")</f>
        <v>0</v>
      </c>
      <c r="BE623" t="str">
        <f t="array" ref="BE623">IF(AY623=1,INDEX($V$7:$AL$7,MATCH(TRUE,INDEX($V623:$AW623&lt;&gt;0,),0)),IF(AY623=0,INDEX($AM$7:$AW$7,MATCH(1,$AM623:$AW623,0)),IF(BF623="Multiple strategies","mixed drivers",IF(BF623="Supply chain","multiple supply","multiple silviculture"))))</f>
        <v xml:space="preserve">cutting intensity </v>
      </c>
      <c r="BF623" s="2" t="str" cm="1">
        <f t="array" ref="BF623">IF(COUNTIF(AZ623:BB623,"&lt;&gt;0")=1,INDEX($V$4:$AW$4,MATCH(TRUE,INDEX($V623:$AW623&lt;&gt;0,),0)),IF(COUNTIF(AZ623:BB623,"&lt;&gt;0")=0,INDEX($AM$4:$AW$4,MATCH(1,$AM623:$AW623,0)),"Multiple strategies"))</f>
        <v>SilvicultureRemov</v>
      </c>
      <c r="BG623" s="1" t="s">
        <v>322</v>
      </c>
      <c r="BH623" t="s">
        <v>1843</v>
      </c>
      <c r="BI623" s="260" t="s">
        <v>3368</v>
      </c>
      <c r="BJ623" t="s">
        <v>279</v>
      </c>
      <c r="BK623">
        <v>0</v>
      </c>
      <c r="BL623">
        <v>72.8</v>
      </c>
      <c r="BN623">
        <f>BL623-BK623</f>
        <v>72.8</v>
      </c>
      <c r="BO623">
        <f>BN623*tC_to_m3</f>
        <v>316.10942249240122</v>
      </c>
      <c r="BP623" t="s">
        <v>233</v>
      </c>
      <c r="BQ623" s="260" t="s">
        <v>3369</v>
      </c>
      <c r="BR623" t="s">
        <v>279</v>
      </c>
      <c r="BS623">
        <v>392.4</v>
      </c>
      <c r="BT623">
        <v>664.2</v>
      </c>
      <c r="BU623" s="144">
        <f>IFERROR(BT623/BS623,"")</f>
        <v>1.6926605504587158</v>
      </c>
      <c r="BV623">
        <f>BT623-BS623</f>
        <v>271.80000000000007</v>
      </c>
      <c r="BX623">
        <f>BV623*C_to_CO2</f>
        <v>997.5060000000002</v>
      </c>
      <c r="BY623">
        <f>IFERROR(BX623/BO623,"")</f>
        <v>3.1555718653846161</v>
      </c>
      <c r="BZ623">
        <v>0</v>
      </c>
      <c r="CA623">
        <v>0</v>
      </c>
      <c r="CB623">
        <v>0</v>
      </c>
      <c r="CC623">
        <v>0</v>
      </c>
      <c r="CD623">
        <v>0</v>
      </c>
      <c r="CE623">
        <v>0</v>
      </c>
      <c r="CF623">
        <v>0</v>
      </c>
      <c r="CG623">
        <v>0</v>
      </c>
      <c r="CH623">
        <v>0</v>
      </c>
      <c r="CI623">
        <v>0</v>
      </c>
      <c r="CJ623">
        <v>0</v>
      </c>
      <c r="CK623">
        <v>0</v>
      </c>
      <c r="CL623">
        <v>0</v>
      </c>
      <c r="CM623">
        <v>0</v>
      </c>
      <c r="CN623" t="str">
        <f>IF($BL623&lt;$BK623,"refNeedCorrection","refOK")</f>
        <v>refOK</v>
      </c>
      <c r="CO623">
        <f>IF($CN623="refOK",$BK623,$BL623)</f>
        <v>0</v>
      </c>
      <c r="CP623">
        <f>IF($CN623="refOK",$BL623,$BK623)</f>
        <v>72.8</v>
      </c>
      <c r="CQ623">
        <f>IF($CN623="refOK",$BO623,-$BO623)</f>
        <v>316.10942249240122</v>
      </c>
      <c r="CR623">
        <f>IF($CN623="refOK",$BS623,$BT623)*IF($BP623="Emissions positive",-1,1)</f>
        <v>392.4</v>
      </c>
      <c r="CS623">
        <f>IF($CN623="refOK",$BT623,$BS623)*IF($BP623="Emissions positive",-1,1)</f>
        <v>664.2</v>
      </c>
      <c r="CT623">
        <f>IF($CN623="refNeedCorrection",-BX623,BX623)*IF($BP623="Emissions positive",-1,1)</f>
        <v>997.5060000000002</v>
      </c>
      <c r="CU623">
        <f>IFERROR(CT623/CQ623,"")</f>
        <v>3.1555718653846161</v>
      </c>
      <c r="CV623" s="2">
        <f>IFERROR((CS623-CR623)/ABS(CR623),"")</f>
        <v>0.69266055045871577</v>
      </c>
      <c r="CW623" s="1" t="s">
        <v>1201</v>
      </c>
      <c r="CX623" t="str">
        <f>IF(OR($CW623="prd",$CW623="std",$CW623="cit"),"loc",IF(OR($CW623="eur",$CW623="reg",$CW623="coy"),"reg",$CW623))</f>
        <v>reg</v>
      </c>
      <c r="CY623" t="s">
        <v>1303</v>
      </c>
      <c r="DB623">
        <v>180</v>
      </c>
      <c r="DC623" t="str">
        <f>IF(DB623=0,"0",IF(AND(DB623&gt;=1,DB623&lt;=30),"1-30",IF(AND(DB623&gt;30,DB623&lt;=70),"31-70",IF(AND(DB623&gt;70,DB623&lt;=100),"71-100",IF(DB623&gt;100,"+100")))))</f>
        <v>+100</v>
      </c>
      <c r="DD623">
        <v>0</v>
      </c>
      <c r="DE623">
        <v>1</v>
      </c>
      <c r="DF623">
        <v>1</v>
      </c>
      <c r="DG623">
        <v>1</v>
      </c>
      <c r="DH623">
        <v>1</v>
      </c>
      <c r="DI623">
        <f>SUM(DD623:DG623)</f>
        <v>3</v>
      </c>
      <c r="DJ623" t="str">
        <f>IF(DI623=1,INDEX($DD$7:$DG$7,MATCH(1,$DD623:$DG623,0)),"mixedProduct")</f>
        <v>mixedProduct</v>
      </c>
      <c r="DK623">
        <f>IF(DD623=1,DK$7,0)</f>
        <v>0</v>
      </c>
      <c r="DL623" t="str">
        <f>IF(DE623=1,DL$7,0)</f>
        <v>Energy</v>
      </c>
      <c r="DM623" t="str">
        <f>IF(DF623=1,DM$7,0)</f>
        <v>Pulp/Paper</v>
      </c>
      <c r="DN623" t="str">
        <f>IF(DG623=1,DN$7,0)</f>
        <v>Timber</v>
      </c>
      <c r="DO623">
        <v>0</v>
      </c>
      <c r="DP623">
        <v>1</v>
      </c>
      <c r="DQ623" t="s">
        <v>1844</v>
      </c>
      <c r="DR623" t="s">
        <v>1845</v>
      </c>
      <c r="DS623">
        <v>0</v>
      </c>
      <c r="DT623">
        <f>SUM(DO623:DP623)</f>
        <v>1</v>
      </c>
      <c r="DU623" s="143" t="str">
        <f>IF(DO623=1,"self-calculated DF",IF(DP623=1,"external DF used","explicit C balance"))</f>
        <v>external DF used</v>
      </c>
      <c r="DV623">
        <v>1</v>
      </c>
      <c r="DW623">
        <v>1</v>
      </c>
      <c r="DX623">
        <v>1</v>
      </c>
      <c r="DY623">
        <v>1</v>
      </c>
      <c r="DZ623">
        <v>1</v>
      </c>
      <c r="EA623">
        <v>1</v>
      </c>
      <c r="EB623">
        <v>0</v>
      </c>
      <c r="EC623">
        <v>0</v>
      </c>
      <c r="ED623">
        <v>0</v>
      </c>
      <c r="EE623">
        <v>0</v>
      </c>
      <c r="EF623">
        <v>1</v>
      </c>
      <c r="EG623">
        <v>0</v>
      </c>
      <c r="EH623">
        <v>0</v>
      </c>
      <c r="EI623" s="2">
        <v>0</v>
      </c>
      <c r="EK623" t="str">
        <f>IF(AND(AND(AND(OR($DX623=1,$DW623=1),OR($EC623=1,$EA623=1)),SUM($DV623:$DZ623,$EF623)&gt;=4),SUM($EA623:$EE623)&gt;=2),"Whole sector","")</f>
        <v/>
      </c>
      <c r="EL623" t="str">
        <f>IF(AND(AND(OR($DX623=1,$DW623=1),AND($EC623=0,$EA623=0)),SUM($DV623:$DZ623,$EF623)&gt;=4),"Ecosystem approach","")</f>
        <v/>
      </c>
      <c r="EM623" s="2" t="str">
        <f>IF(AND(AND(AND($DX623=0,$DW623=0),OR($EC623=1,$EA623=1)),SUM($EB623:$EE623)&gt;=2),"Technology approach","")</f>
        <v/>
      </c>
      <c r="EP623" t="str">
        <f>IF(ISNUMBER(BU623),IF(ABS(BU623-[4]QC_indicators!$B$2)&gt;3*[4]QC_indicators!$C$2,"C ratio",IF(ISNUMBER(BY623),IF(ABS(BY623-[4]QC_indicators!$B$1)&gt;3*[4]QC_indicators!$C$1,"DF","no"))),IF(ISNUMBER(BY623),IF(ABS(BY623-[4]QC_indicators!$B$1)&gt;3*[4]QC_indicators!$C$1,"DF","no")))</f>
        <v>no</v>
      </c>
      <c r="ET623" s="266" t="s">
        <v>3275</v>
      </c>
    </row>
    <row r="624" spans="1:150" ht="15" hidden="1" customHeight="1">
      <c r="A624" s="1" t="s">
        <v>1362</v>
      </c>
      <c r="B624" t="s">
        <v>1555</v>
      </c>
      <c r="C624" t="s">
        <v>1556</v>
      </c>
      <c r="D624" t="s">
        <v>1557</v>
      </c>
      <c r="E624" t="s">
        <v>1558</v>
      </c>
      <c r="F624" t="s">
        <v>1559</v>
      </c>
      <c r="G624" t="s">
        <v>1368</v>
      </c>
      <c r="H624" t="s">
        <v>255</v>
      </c>
      <c r="I624">
        <v>2012</v>
      </c>
      <c r="J624">
        <v>38</v>
      </c>
      <c r="K624" t="s">
        <v>1560</v>
      </c>
      <c r="M624" t="str">
        <f>LEFT($D624,FIND(",",$D624)-1)&amp;"_"&amp;I624&amp;L624</f>
        <v>Fortin_2012</v>
      </c>
      <c r="N624" t="s">
        <v>223</v>
      </c>
      <c r="O624" s="145" t="s">
        <v>226</v>
      </c>
      <c r="Q624" s="266" t="s">
        <v>257</v>
      </c>
      <c r="R624" s="271" t="s">
        <v>342</v>
      </c>
      <c r="S624" s="1" t="s">
        <v>1561</v>
      </c>
      <c r="T624" s="143" t="s">
        <v>1562</v>
      </c>
      <c r="U624" t="s">
        <v>1563</v>
      </c>
      <c r="V624">
        <v>0</v>
      </c>
      <c r="W624">
        <v>0</v>
      </c>
      <c r="X624">
        <v>0</v>
      </c>
      <c r="Y624">
        <v>1</v>
      </c>
      <c r="Z624">
        <v>0</v>
      </c>
      <c r="AA624">
        <v>0</v>
      </c>
      <c r="AB624">
        <v>0</v>
      </c>
      <c r="AC624">
        <v>0</v>
      </c>
      <c r="AD624">
        <v>0</v>
      </c>
      <c r="AE624">
        <v>0</v>
      </c>
      <c r="AF624">
        <v>0</v>
      </c>
      <c r="AG624">
        <v>0</v>
      </c>
      <c r="AH624">
        <v>0</v>
      </c>
      <c r="AI624">
        <v>0</v>
      </c>
      <c r="AJ624">
        <v>0</v>
      </c>
      <c r="AK624">
        <v>0</v>
      </c>
      <c r="AL624">
        <v>0</v>
      </c>
      <c r="AM624">
        <v>0</v>
      </c>
      <c r="AN624">
        <v>0</v>
      </c>
      <c r="AO624">
        <v>0</v>
      </c>
      <c r="AP624">
        <v>0</v>
      </c>
      <c r="AQ624">
        <v>0</v>
      </c>
      <c r="AR624">
        <v>0</v>
      </c>
      <c r="AS624">
        <v>0</v>
      </c>
      <c r="AT624">
        <v>0</v>
      </c>
      <c r="AU624">
        <v>0</v>
      </c>
      <c r="AV624">
        <v>0</v>
      </c>
      <c r="AW624">
        <v>0</v>
      </c>
      <c r="AX624" s="141">
        <f>COUNTIF(V624:AW624,"&lt;&gt;0")</f>
        <v>1</v>
      </c>
      <c r="AY624" s="141">
        <f>COUNTIF(V624:AL624,"&lt;&gt;0")</f>
        <v>1</v>
      </c>
      <c r="AZ624">
        <f>COUNTIF(V624:AC624,"&lt;&gt;0")</f>
        <v>1</v>
      </c>
      <c r="BA624">
        <f>COUNTIF(AD624:AI624,"&lt;&gt;0")</f>
        <v>0</v>
      </c>
      <c r="BB624">
        <f>COUNTIF(AJ624:AL624,"&lt;&gt;0")</f>
        <v>0</v>
      </c>
      <c r="BC624">
        <f>COUNTIF(AS624:AW624,"&lt;&gt;0")</f>
        <v>0</v>
      </c>
      <c r="BD624">
        <f>COUNTIF(AM624:AR624,"&lt;&gt;0")</f>
        <v>0</v>
      </c>
      <c r="BE624" t="str" cm="1">
        <f t="array" ref="BE624">IF(AY624=1,INDEX($V$7:$AL$7,MATCH(TRUE,INDEX($V624:$AW624&lt;&gt;0,),0)),IF(AY624=0,INDEX($AM$7:$AW$7,MATCH(1,$AM624:$AW624,0)),IF(BF624="Multiple strategies","mixed drivers",IF(BF624="Supply chain","multiple supply","multiple silviculture"))))</f>
        <v xml:space="preserve">cutting intensity </v>
      </c>
      <c r="BF624" s="2" t="str" cm="1">
        <f t="array" ref="BF624">IF(COUNTIF(AZ624:BB624,"&lt;&gt;0")=1,INDEX($V$4:$AW$4,MATCH(TRUE,INDEX($V624:$AW624&lt;&gt;0,),0)),IF(COUNTIF(AZ624:BB624,"&lt;&gt;0")=0,INDEX($AM$4:$AW$4,MATCH(1,$AM624:$AW624,0)),"Multiple strategies"))</f>
        <v>SilvicultureRemov</v>
      </c>
      <c r="BG624" s="142" t="s">
        <v>322</v>
      </c>
      <c r="BH624" s="308" t="s">
        <v>3414</v>
      </c>
      <c r="BI624" s="308" t="s">
        <v>1150</v>
      </c>
      <c r="BJ624" s="143" t="s">
        <v>1115</v>
      </c>
      <c r="BK624" s="143">
        <v>5.3</v>
      </c>
      <c r="BL624">
        <v>6.2</v>
      </c>
      <c r="BM624" s="266">
        <f>BL624/BK624</f>
        <v>1.1698113207547169</v>
      </c>
      <c r="BN624">
        <f>BL624-BK624</f>
        <v>0.90000000000000036</v>
      </c>
      <c r="BO624" s="159">
        <f>BN624</f>
        <v>0.90000000000000036</v>
      </c>
      <c r="BP624" t="s">
        <v>233</v>
      </c>
      <c r="BQ624" s="309" t="s">
        <v>3415</v>
      </c>
      <c r="BR624" s="308" t="s">
        <v>1564</v>
      </c>
      <c r="BS624">
        <v>0.4</v>
      </c>
      <c r="BT624" s="143">
        <v>0.45</v>
      </c>
      <c r="BU624" s="144">
        <f>IFERROR(BT624/BS624,"")</f>
        <v>1.125</v>
      </c>
      <c r="BV624">
        <f>BT624-BS624</f>
        <v>4.9999999999999989E-2</v>
      </c>
      <c r="BX624">
        <f>BV624*C_to_CO2</f>
        <v>0.18349999999999997</v>
      </c>
      <c r="BY624">
        <f>IFERROR(BX624/BO624,"")</f>
        <v>0.20388888888888879</v>
      </c>
      <c r="BZ624">
        <v>0</v>
      </c>
      <c r="CA624">
        <v>0</v>
      </c>
      <c r="CB624">
        <v>0</v>
      </c>
      <c r="CC624">
        <v>0</v>
      </c>
      <c r="CD624">
        <v>0</v>
      </c>
      <c r="CE624">
        <v>0</v>
      </c>
      <c r="CF624">
        <v>0</v>
      </c>
      <c r="CG624">
        <v>0</v>
      </c>
      <c r="CH624">
        <v>0</v>
      </c>
      <c r="CI624">
        <v>0</v>
      </c>
      <c r="CJ624">
        <v>0</v>
      </c>
      <c r="CK624">
        <v>0</v>
      </c>
      <c r="CL624">
        <v>0</v>
      </c>
      <c r="CM624">
        <v>0</v>
      </c>
      <c r="CN624" t="str">
        <f>IF($BL624&lt;$BK624,"refNeedCorrection","refOK")</f>
        <v>refOK</v>
      </c>
      <c r="CO624">
        <f>IF($CN624="refNeedCorrection",BK624,BL624)</f>
        <v>6.2</v>
      </c>
      <c r="CP624">
        <f>IF($CN624="refNeedCorrection",BL624,BK624)</f>
        <v>5.3</v>
      </c>
      <c r="CQ624">
        <f>IF($CN624="refOK",$BO624,-$BO624)</f>
        <v>0.90000000000000036</v>
      </c>
      <c r="CR624">
        <f>IF($CN624="refOK",$BS624,$BT624)*IF($BP624="Emissions positive",-1,1)</f>
        <v>0.4</v>
      </c>
      <c r="CS624">
        <f>IF($CN624="refOK",$BT624,$BS624)*IF($BP624="Emissions positive",-1,1)</f>
        <v>0.45</v>
      </c>
      <c r="CT624">
        <f>IF($CN624="refNeedCorrection",-BX624,BX624)*IF($BP624="Emissions positive",-1,1)</f>
        <v>0.18349999999999997</v>
      </c>
      <c r="CU624">
        <f>IFERROR(CT624/CQ624,"")</f>
        <v>0.20388888888888879</v>
      </c>
      <c r="CV624" s="2">
        <f>IFERROR((CS624-CR624)/ABS(CR624),"")</f>
        <v>0.12499999999999997</v>
      </c>
      <c r="CW624" s="1" t="s">
        <v>1205</v>
      </c>
      <c r="CX624" s="266" t="str">
        <f>IF(OR($CW624="prd",$CW624="std",$CW624="cit"),"loc",IF(OR($CW624="eur",$CW624="reg",$CW624="coy"),"reg",$CW624))</f>
        <v>reg</v>
      </c>
      <c r="CY624" t="s">
        <v>731</v>
      </c>
      <c r="DA624" s="143"/>
      <c r="DB624" s="143">
        <v>250</v>
      </c>
      <c r="DC624" t="str">
        <f>IF(DB624=0,"0",IF(AND(DB624&gt;=1,DB624&lt;=30),"1-30",IF(AND(DB624&gt;30,DB624&lt;=70),"31-70",IF(AND(DB624&gt;70,DB624&lt;=100),"71-100",IF(DB624&gt;100,"+100")))))</f>
        <v>+100</v>
      </c>
      <c r="DD624">
        <v>0</v>
      </c>
      <c r="DE624">
        <v>1</v>
      </c>
      <c r="DF624">
        <v>1</v>
      </c>
      <c r="DG624">
        <v>1</v>
      </c>
      <c r="DH624">
        <v>0</v>
      </c>
      <c r="DI624">
        <f>SUM(DD624:DH624)</f>
        <v>3</v>
      </c>
      <c r="DJ624" t="str">
        <f>IF(DI624=1,INDEX($DD$7:$DG$7,MATCH(1,$DD624:$DG624,0)),"mixedProduct")</f>
        <v>mixedProduct</v>
      </c>
      <c r="DK624">
        <f>IF(DD624=1,DK$7,0)</f>
        <v>0</v>
      </c>
      <c r="DL624" t="str">
        <f>IF(DE624=1,DL$7,0)</f>
        <v>Energy</v>
      </c>
      <c r="DM624" t="str">
        <f>IF(DF624=1,DM$7,0)</f>
        <v>Pulp/Paper</v>
      </c>
      <c r="DN624" t="str">
        <f>IF(DG624=1,DN$7,0)</f>
        <v>Timber</v>
      </c>
      <c r="DO624">
        <v>0</v>
      </c>
      <c r="DP624" s="143">
        <v>1</v>
      </c>
      <c r="DQ624" t="s">
        <v>1565</v>
      </c>
      <c r="DR624" s="143" t="s">
        <v>1566</v>
      </c>
      <c r="DS624" s="143">
        <v>0</v>
      </c>
      <c r="DT624">
        <f>SUM(DO624:DP624)</f>
        <v>1</v>
      </c>
      <c r="DU624" s="143" t="str">
        <f>IF(DO624=1,"self-calculated DF",IF(DP624=1,"external DF used","explicit C balance"))</f>
        <v>external DF used</v>
      </c>
      <c r="DV624" s="143">
        <v>1</v>
      </c>
      <c r="DW624" s="143">
        <v>1</v>
      </c>
      <c r="DX624" s="143">
        <v>1</v>
      </c>
      <c r="DY624" s="143">
        <v>1</v>
      </c>
      <c r="DZ624">
        <v>1</v>
      </c>
      <c r="EA624" s="143">
        <v>1</v>
      </c>
      <c r="EB624" s="143">
        <v>0</v>
      </c>
      <c r="EC624" s="143">
        <v>1</v>
      </c>
      <c r="ED624" s="143">
        <v>0</v>
      </c>
      <c r="EE624">
        <v>0</v>
      </c>
      <c r="EF624">
        <v>0</v>
      </c>
      <c r="EG624" s="143">
        <v>0</v>
      </c>
      <c r="EH624">
        <v>0</v>
      </c>
      <c r="EI624" s="2">
        <v>0</v>
      </c>
      <c r="EK624" t="str">
        <f>IF(AND(AND(AND(OR($DX624=1,$DW624=1),OR($EC624=1,$EA624=1)),SUM($DV624:$DZ624,$EF624)&gt;=4),SUM($EA624:$EE624)&gt;=2),"Whole sector","")</f>
        <v>Whole sector</v>
      </c>
      <c r="EL624" t="str">
        <f>IF(AND(AND(OR($DX624=1,$DW624=1),AND($EC624=0,$EA624=0)),SUM($DV624:$DZ624,$EF624)&gt;=4),"Ecosystem approach","")</f>
        <v/>
      </c>
      <c r="EM624" s="2" t="str">
        <f>IF(AND(AND(AND($DX624=0,$DW624=0),OR($EC624=1,$EA624=1)),SUM($EB624:$EE624)&gt;=2),"Technology approach","")</f>
        <v/>
      </c>
      <c r="EP624" t="str">
        <f>IF(ISNUMBER(BU624),IF(ABS(BU624-[1]QC_indicators!$B$2)&gt;3*[1]QC_indicators!$C$2,"C ratio",IF(ISNUMBER(BY624),IF(ABS(BY624-[1]QC_indicators!$B$1)&gt;3*[1]QC_indicators!$C$1,"DF","no"))),IF(ISNUMBER(BY624),IF(ABS(BY624-[1]QC_indicators!$B$1)&gt;3*[1]QC_indicators!$C$1,"DF","no")))</f>
        <v>no</v>
      </c>
      <c r="ET624" s="308" t="s">
        <v>3416</v>
      </c>
    </row>
    <row r="625" spans="1:150" ht="15" hidden="1" customHeight="1">
      <c r="A625" s="1" t="s">
        <v>1362</v>
      </c>
      <c r="B625" t="s">
        <v>1555</v>
      </c>
      <c r="C625" t="s">
        <v>1556</v>
      </c>
      <c r="D625" t="s">
        <v>1557</v>
      </c>
      <c r="E625" t="s">
        <v>1558</v>
      </c>
      <c r="F625" t="s">
        <v>1559</v>
      </c>
      <c r="G625" t="s">
        <v>1368</v>
      </c>
      <c r="H625" t="s">
        <v>255</v>
      </c>
      <c r="I625">
        <v>2012</v>
      </c>
      <c r="J625">
        <v>38</v>
      </c>
      <c r="K625" t="s">
        <v>1560</v>
      </c>
      <c r="M625" t="str">
        <f>LEFT($D625,FIND(",",$D625)-1)&amp;"_"&amp;I625&amp;L625</f>
        <v>Fortin_2012</v>
      </c>
      <c r="N625" t="s">
        <v>223</v>
      </c>
      <c r="O625" s="145" t="s">
        <v>226</v>
      </c>
      <c r="Q625" s="266" t="s">
        <v>257</v>
      </c>
      <c r="R625" s="271" t="s">
        <v>342</v>
      </c>
      <c r="S625" s="1" t="s">
        <v>1561</v>
      </c>
      <c r="T625" t="s">
        <v>1563</v>
      </c>
      <c r="U625" s="143" t="s">
        <v>1567</v>
      </c>
      <c r="V625">
        <v>0</v>
      </c>
      <c r="W625">
        <v>0</v>
      </c>
      <c r="X625">
        <v>0</v>
      </c>
      <c r="Y625">
        <v>1</v>
      </c>
      <c r="Z625">
        <v>0</v>
      </c>
      <c r="AA625">
        <v>0</v>
      </c>
      <c r="AB625">
        <v>0</v>
      </c>
      <c r="AC625">
        <v>0</v>
      </c>
      <c r="AD625">
        <v>0</v>
      </c>
      <c r="AE625">
        <v>0</v>
      </c>
      <c r="AF625">
        <v>0</v>
      </c>
      <c r="AG625">
        <v>0</v>
      </c>
      <c r="AH625">
        <v>0</v>
      </c>
      <c r="AI625">
        <v>0</v>
      </c>
      <c r="AJ625">
        <v>0</v>
      </c>
      <c r="AK625">
        <v>0</v>
      </c>
      <c r="AL625">
        <v>0</v>
      </c>
      <c r="AM625">
        <v>0</v>
      </c>
      <c r="AN625">
        <v>0</v>
      </c>
      <c r="AO625">
        <v>0</v>
      </c>
      <c r="AP625">
        <v>0</v>
      </c>
      <c r="AQ625">
        <v>0</v>
      </c>
      <c r="AR625">
        <v>0</v>
      </c>
      <c r="AS625">
        <v>0</v>
      </c>
      <c r="AT625">
        <v>0</v>
      </c>
      <c r="AU625">
        <v>0</v>
      </c>
      <c r="AV625">
        <v>0</v>
      </c>
      <c r="AW625">
        <v>0</v>
      </c>
      <c r="AX625" s="141">
        <f>COUNTIF(V625:AW625,"&lt;&gt;0")</f>
        <v>1</v>
      </c>
      <c r="AY625" s="141">
        <f>COUNTIF(V625:AL625,"&lt;&gt;0")</f>
        <v>1</v>
      </c>
      <c r="AZ625">
        <f>COUNTIF(V625:AC625,"&lt;&gt;0")</f>
        <v>1</v>
      </c>
      <c r="BA625">
        <f>COUNTIF(AD625:AI625,"&lt;&gt;0")</f>
        <v>0</v>
      </c>
      <c r="BB625">
        <f>COUNTIF(AJ625:AL625,"&lt;&gt;0")</f>
        <v>0</v>
      </c>
      <c r="BC625">
        <f>COUNTIF(AS625:AW625,"&lt;&gt;0")</f>
        <v>0</v>
      </c>
      <c r="BD625">
        <f>COUNTIF(AM625:AR625,"&lt;&gt;0")</f>
        <v>0</v>
      </c>
      <c r="BE625" t="str" cm="1">
        <f t="array" ref="BE625">IF(AY625=1,INDEX($V$7:$AL$7,MATCH(TRUE,INDEX($V625:$AW625&lt;&gt;0,),0)),IF(AY625=0,INDEX($AM$7:$AW$7,MATCH(1,$AM625:$AW625,0)),IF(BF625="Multiple strategies","mixed drivers",IF(BF625="Supply chain","multiple supply","multiple silviculture"))))</f>
        <v xml:space="preserve">cutting intensity </v>
      </c>
      <c r="BF625" s="2" t="str" cm="1">
        <f t="array" ref="BF625">IF(COUNTIF(AZ625:BB625,"&lt;&gt;0")=1,INDEX($V$4:$AW$4,MATCH(TRUE,INDEX($V625:$AW625&lt;&gt;0,),0)),IF(COUNTIF(AZ625:BB625,"&lt;&gt;0")=0,INDEX($AM$4:$AW$4,MATCH(1,$AM625:$AW625,0)),"Multiple strategies"))</f>
        <v>SilvicultureRemov</v>
      </c>
      <c r="BG625" s="142" t="s">
        <v>322</v>
      </c>
      <c r="BH625" s="308" t="s">
        <v>3414</v>
      </c>
      <c r="BI625" s="308" t="s">
        <v>1150</v>
      </c>
      <c r="BJ625" s="143" t="s">
        <v>1115</v>
      </c>
      <c r="BK625">
        <v>6.2</v>
      </c>
      <c r="BL625" s="143">
        <v>6.9</v>
      </c>
      <c r="BM625" s="163">
        <f>BL625/BK625</f>
        <v>1.1129032258064517</v>
      </c>
      <c r="BN625">
        <f>BL625-BK625</f>
        <v>0.70000000000000018</v>
      </c>
      <c r="BO625" s="159">
        <f>BN625</f>
        <v>0.70000000000000018</v>
      </c>
      <c r="BP625" t="s">
        <v>233</v>
      </c>
      <c r="BQ625" s="309" t="s">
        <v>3415</v>
      </c>
      <c r="BR625" s="266" t="s">
        <v>1564</v>
      </c>
      <c r="BS625" s="143">
        <v>0.45</v>
      </c>
      <c r="BT625">
        <v>0.49</v>
      </c>
      <c r="BU625" s="144">
        <f>IFERROR(BT625/BS625,"")</f>
        <v>1.0888888888888888</v>
      </c>
      <c r="BV625">
        <f>BT625-BS625</f>
        <v>3.999999999999998E-2</v>
      </c>
      <c r="BX625">
        <f>BV625*C_to_CO2</f>
        <v>0.14679999999999993</v>
      </c>
      <c r="BY625">
        <f>IFERROR(BX625/BO625,"")</f>
        <v>0.20971428571428558</v>
      </c>
      <c r="BZ625">
        <v>0</v>
      </c>
      <c r="CA625">
        <v>0</v>
      </c>
      <c r="CB625">
        <v>0</v>
      </c>
      <c r="CC625">
        <v>0</v>
      </c>
      <c r="CD625">
        <v>0</v>
      </c>
      <c r="CE625">
        <v>0</v>
      </c>
      <c r="CF625">
        <v>0</v>
      </c>
      <c r="CG625">
        <v>0</v>
      </c>
      <c r="CH625">
        <v>0</v>
      </c>
      <c r="CI625">
        <v>0</v>
      </c>
      <c r="CJ625">
        <v>0</v>
      </c>
      <c r="CK625">
        <v>0</v>
      </c>
      <c r="CL625">
        <v>0</v>
      </c>
      <c r="CM625">
        <v>0</v>
      </c>
      <c r="CN625" t="str">
        <f>IF($BL625&lt;$BK625,"refNeedCorrection","refOK")</f>
        <v>refOK</v>
      </c>
      <c r="CO625">
        <f>IF($CN625="refNeedCorrection",BL625,BK625)</f>
        <v>6.2</v>
      </c>
      <c r="CP625">
        <f>IF($CN625="refNeedCorrection",BK625,BL625)</f>
        <v>6.9</v>
      </c>
      <c r="CQ625">
        <f>IF($CN625="refOK",$BO625,-$BO625)</f>
        <v>0.70000000000000018</v>
      </c>
      <c r="CR625">
        <f>IF($CN625="refOK",$BS625,$BT625)*IF($BP625="Emissions positive",-1,1)</f>
        <v>0.45</v>
      </c>
      <c r="CS625">
        <f>IF($CN625="refOK",$BT625,$BS625)*IF($BP625="Emissions positive",-1,1)</f>
        <v>0.49</v>
      </c>
      <c r="CT625">
        <f>IF($CN625="refNeedCorrection",-BX625,BX625)*IF($BP625="Emissions positive",-1,1)</f>
        <v>0.14679999999999993</v>
      </c>
      <c r="CU625">
        <f>IFERROR(CT625/CQ625,"")</f>
        <v>0.20971428571428558</v>
      </c>
      <c r="CV625" s="2">
        <f>IFERROR((CS625-CR625)/ABS(CR625),"")</f>
        <v>8.8888888888888837E-2</v>
      </c>
      <c r="CW625" s="1" t="s">
        <v>1205</v>
      </c>
      <c r="CX625" s="266" t="str">
        <f>IF(OR($CW625="prd",$CW625="std",$CW625="cit"),"loc",IF(OR($CW625="eur",$CW625="reg",$CW625="coy"),"reg",$CW625))</f>
        <v>reg</v>
      </c>
      <c r="CY625" t="s">
        <v>731</v>
      </c>
      <c r="DA625" s="143"/>
      <c r="DB625" s="143">
        <v>250</v>
      </c>
      <c r="DC625" t="str">
        <f>IF(DB625=0,"0",IF(AND(DB625&gt;=1,DB625&lt;=30),"1-30",IF(AND(DB625&gt;30,DB625&lt;=70),"31-70",IF(AND(DB625&gt;70,DB625&lt;=100),"71-100",IF(DB625&gt;100,"+100")))))</f>
        <v>+100</v>
      </c>
      <c r="DD625">
        <v>0</v>
      </c>
      <c r="DE625">
        <v>1</v>
      </c>
      <c r="DF625">
        <v>1</v>
      </c>
      <c r="DG625">
        <v>1</v>
      </c>
      <c r="DH625">
        <v>0</v>
      </c>
      <c r="DI625">
        <f>SUM(DD625:DH625)</f>
        <v>3</v>
      </c>
      <c r="DJ625" t="str">
        <f>IF(DI625=1,INDEX($DD$7:$DG$7,MATCH(1,$DD625:$DG625,0)),"mixedProduct")</f>
        <v>mixedProduct</v>
      </c>
      <c r="DK625">
        <f>IF(DD625=1,DK$7,0)</f>
        <v>0</v>
      </c>
      <c r="DL625" t="str">
        <f>IF(DE625=1,DL$7,0)</f>
        <v>Energy</v>
      </c>
      <c r="DM625" t="str">
        <f>IF(DF625=1,DM$7,0)</f>
        <v>Pulp/Paper</v>
      </c>
      <c r="DN625" t="str">
        <f>IF(DG625=1,DN$7,0)</f>
        <v>Timber</v>
      </c>
      <c r="DO625">
        <v>0</v>
      </c>
      <c r="DP625" s="143">
        <v>1</v>
      </c>
      <c r="DQ625" t="s">
        <v>1565</v>
      </c>
      <c r="DR625" s="143" t="s">
        <v>1566</v>
      </c>
      <c r="DS625" s="143">
        <v>0</v>
      </c>
      <c r="DT625">
        <f>SUM(DO625:DP625)</f>
        <v>1</v>
      </c>
      <c r="DU625" s="143" t="str">
        <f>IF(DO625=1,"self-calculated DF",IF(DP625=1,"external DF used","explicit C balance"))</f>
        <v>external DF used</v>
      </c>
      <c r="DV625" s="143">
        <v>1</v>
      </c>
      <c r="DW625" s="143">
        <v>1</v>
      </c>
      <c r="DX625" s="143">
        <v>1</v>
      </c>
      <c r="DY625" s="143">
        <v>1</v>
      </c>
      <c r="DZ625">
        <v>1</v>
      </c>
      <c r="EA625" s="143">
        <v>1</v>
      </c>
      <c r="EB625" s="143">
        <v>0</v>
      </c>
      <c r="EC625" s="143">
        <v>1</v>
      </c>
      <c r="ED625" s="143">
        <v>0</v>
      </c>
      <c r="EE625">
        <v>0</v>
      </c>
      <c r="EF625">
        <v>0</v>
      </c>
      <c r="EG625" s="143">
        <v>0</v>
      </c>
      <c r="EH625">
        <v>0</v>
      </c>
      <c r="EI625" s="2">
        <v>0</v>
      </c>
      <c r="EK625" t="str">
        <f>IF(AND(AND(AND(OR($DX625=1,$DW625=1),OR($EC625=1,$EA625=1)),SUM($DV625:$DZ625,$EF625)&gt;=4),SUM($EA625:$EE625)&gt;=2),"Whole sector","")</f>
        <v>Whole sector</v>
      </c>
      <c r="EL625" t="str">
        <f>IF(AND(AND(OR($DX625=1,$DW625=1),AND($EC625=0,$EA625=0)),SUM($DV625:$DZ625,$EF625)&gt;=4),"Ecosystem approach","")</f>
        <v/>
      </c>
      <c r="EM625" s="2" t="str">
        <f>IF(AND(AND(AND($DX625=0,$DW625=0),OR($EC625=1,$EA625=1)),SUM($EB625:$EE625)&gt;=2),"Technology approach","")</f>
        <v/>
      </c>
      <c r="EP625" t="str">
        <f>IF(ISNUMBER(BU625),IF(ABS(BU625-[1]QC_indicators!$B$2)&gt;3*[1]QC_indicators!$C$2,"C ratio",IF(ISNUMBER(BY625),IF(ABS(BY625-[1]QC_indicators!$B$1)&gt;3*[1]QC_indicators!$C$1,"DF","no"))),IF(ISNUMBER(BY625),IF(ABS(BY625-[1]QC_indicators!$B$1)&gt;3*[1]QC_indicators!$C$1,"DF","no")))</f>
        <v>no</v>
      </c>
      <c r="ET625" s="308" t="s">
        <v>3416</v>
      </c>
    </row>
    <row r="626" spans="1:150" ht="15" hidden="1" customHeight="1">
      <c r="A626" s="1" t="s">
        <v>880</v>
      </c>
      <c r="D626" s="266" t="s">
        <v>881</v>
      </c>
      <c r="E626" s="266" t="s">
        <v>882</v>
      </c>
      <c r="H626" t="s">
        <v>883</v>
      </c>
      <c r="I626">
        <v>2020</v>
      </c>
      <c r="J626">
        <v>8</v>
      </c>
      <c r="K626" t="s">
        <v>884</v>
      </c>
      <c r="M626" t="str">
        <f>LEFT($D626,FIND(",",$D626)-1)&amp;"_"&amp;I626&amp;L626</f>
        <v>Lausselet_2020</v>
      </c>
      <c r="N626" t="s">
        <v>223</v>
      </c>
      <c r="O626" s="145" t="s">
        <v>226</v>
      </c>
      <c r="Q626" s="266" t="s">
        <v>257</v>
      </c>
      <c r="R626" s="271" t="s">
        <v>342</v>
      </c>
      <c r="S626" s="1" t="s">
        <v>885</v>
      </c>
      <c r="T626" s="143" t="s">
        <v>886</v>
      </c>
      <c r="U626" t="s">
        <v>887</v>
      </c>
      <c r="V626">
        <v>0</v>
      </c>
      <c r="W626">
        <v>1</v>
      </c>
      <c r="X626">
        <v>0</v>
      </c>
      <c r="Y626">
        <v>0</v>
      </c>
      <c r="Z626">
        <v>0</v>
      </c>
      <c r="AA626">
        <v>0</v>
      </c>
      <c r="AB626">
        <v>0</v>
      </c>
      <c r="AC626">
        <v>0</v>
      </c>
      <c r="AD626">
        <v>0</v>
      </c>
      <c r="AE626">
        <v>0</v>
      </c>
      <c r="AF626">
        <v>0</v>
      </c>
      <c r="AG626">
        <v>0</v>
      </c>
      <c r="AH626">
        <v>0</v>
      </c>
      <c r="AI626">
        <v>0</v>
      </c>
      <c r="AJ626">
        <v>0</v>
      </c>
      <c r="AK626">
        <v>0</v>
      </c>
      <c r="AL626">
        <v>0</v>
      </c>
      <c r="AM626">
        <v>0</v>
      </c>
      <c r="AN626">
        <v>0</v>
      </c>
      <c r="AO626">
        <v>0</v>
      </c>
      <c r="AP626">
        <v>0</v>
      </c>
      <c r="AQ626">
        <v>0</v>
      </c>
      <c r="AR626">
        <v>0</v>
      </c>
      <c r="AS626">
        <v>0</v>
      </c>
      <c r="AT626">
        <v>0</v>
      </c>
      <c r="AU626">
        <v>0</v>
      </c>
      <c r="AV626">
        <v>0</v>
      </c>
      <c r="AW626">
        <v>0</v>
      </c>
      <c r="AX626" s="141">
        <f>COUNTIF(V626:AW626,"&lt;&gt;0")</f>
        <v>1</v>
      </c>
      <c r="AY626" s="141">
        <f>COUNTIF(V626:AL626,"&lt;&gt;0")</f>
        <v>1</v>
      </c>
      <c r="AZ626">
        <f>COUNTIF(V626:AC626,"&lt;&gt;0")</f>
        <v>1</v>
      </c>
      <c r="BA626">
        <f>COUNTIF(AD626:AI626,"&lt;&gt;0")</f>
        <v>0</v>
      </c>
      <c r="BB626">
        <f>COUNTIF(AJ626:AL626,"&lt;&gt;0")</f>
        <v>0</v>
      </c>
      <c r="BC626">
        <f>COUNTIF(AS626:AW626,"&lt;&gt;0")</f>
        <v>0</v>
      </c>
      <c r="BD626">
        <f>COUNTIF(AM626:AR626,"&lt;&gt;0")</f>
        <v>0</v>
      </c>
      <c r="BE626" t="str" cm="1">
        <f t="array" ref="BE626">IF(AY626=1,INDEX($V$7:$AL$7,MATCH(TRUE,INDEX($V626:$AW626&lt;&gt;0,),0)),IF(AY626=0,INDEX($AM$7:$AW$7,MATCH(1,$AM626:$AW626,0)),IF(BF626="Multiple strategies","mixed drivers",IF(BF626="Supply chain","multiple supply","multiple silviculture"))))</f>
        <v>unspecified harvest increase</v>
      </c>
      <c r="BF626" s="2" t="str" cm="1">
        <f t="array" ref="BF626">IF(COUNTIF(AZ626:BB626,"&lt;&gt;0")=1,INDEX($V$4:$AW$4,MATCH(TRUE,INDEX($V626:$AW626&lt;&gt;0,),0)),IF(COUNTIF(AZ626:BB626,"&lt;&gt;0")=0,INDEX($AM$4:$AW$4,MATCH(1,$AM626:$AW626,0)),"Multiple strategies"))</f>
        <v>SilvicultureRemov</v>
      </c>
      <c r="BG626" s="164" t="s">
        <v>230</v>
      </c>
      <c r="BH626" s="165" t="s">
        <v>3418</v>
      </c>
      <c r="BI626" s="165" t="s">
        <v>3419</v>
      </c>
      <c r="BJ626" s="166" t="s">
        <v>346</v>
      </c>
      <c r="BK626" s="167">
        <f>BL626*0.75</f>
        <v>21000000</v>
      </c>
      <c r="BL626" s="167">
        <f>28000000</f>
        <v>28000000</v>
      </c>
      <c r="BM626" s="168" t="s">
        <v>888</v>
      </c>
      <c r="BN626">
        <f>BL626-BK626</f>
        <v>7000000</v>
      </c>
      <c r="BO626">
        <f>BN626*kg_to_m3</f>
        <v>14285.714285714286</v>
      </c>
      <c r="BP626" s="308" t="s">
        <v>396</v>
      </c>
      <c r="BQ626" s="266" t="s">
        <v>889</v>
      </c>
      <c r="BR626" s="266" t="s">
        <v>890</v>
      </c>
      <c r="BS626" s="169">
        <v>62317211.173472598</v>
      </c>
      <c r="BT626" s="169">
        <v>81960007.070510104</v>
      </c>
      <c r="BU626" s="144">
        <v>1.3157894736842106</v>
      </c>
      <c r="BV626" s="169">
        <f>BT626-BS626</f>
        <v>19642795.897037506</v>
      </c>
      <c r="BX626">
        <f>BV626/1000</f>
        <v>19642.795897037508</v>
      </c>
      <c r="BY626">
        <f>IFERROR(BX626/BO626,"")</f>
        <v>1.3749957127926256</v>
      </c>
      <c r="BZ626">
        <v>0</v>
      </c>
      <c r="CA626">
        <v>0</v>
      </c>
      <c r="CB626">
        <v>0</v>
      </c>
      <c r="CC626">
        <v>0</v>
      </c>
      <c r="CD626">
        <v>0</v>
      </c>
      <c r="CE626">
        <v>0</v>
      </c>
      <c r="CF626">
        <v>0</v>
      </c>
      <c r="CG626">
        <v>0</v>
      </c>
      <c r="CH626">
        <v>0</v>
      </c>
      <c r="CI626">
        <v>0</v>
      </c>
      <c r="CJ626">
        <v>0</v>
      </c>
      <c r="CK626">
        <v>0</v>
      </c>
      <c r="CL626">
        <v>0</v>
      </c>
      <c r="CM626">
        <v>0</v>
      </c>
      <c r="CN626" t="str">
        <f>IF($BL626&lt;$BK626,"refNeedCorrection","refOK")</f>
        <v>refOK</v>
      </c>
      <c r="CO626"/>
      <c r="CP626"/>
      <c r="CQ626">
        <f>IF($CN626="refOK",$BO626,-$BO626)</f>
        <v>14285.714285714286</v>
      </c>
      <c r="CR626">
        <f>IF($CN626="refOK",$BS626,$BT626)*IF($BP626="Emissions positive",-1,1)</f>
        <v>-62317211.173472598</v>
      </c>
      <c r="CS626">
        <f>IF($CN626="refOK",$BT626,$BS626)*IF($BP626="Emissions positive",-1,1)</f>
        <v>-81960007.070510104</v>
      </c>
      <c r="CT626">
        <f>IF($CN626="refNeedCorrection",-BX626,BX626)*IF($BP626="Emissions positive",-1,1)</f>
        <v>-19642.795897037508</v>
      </c>
      <c r="CU626">
        <f>IFERROR(CT626/CQ626,"")</f>
        <v>-1.3749957127926256</v>
      </c>
      <c r="CV626" s="2">
        <f>IFERROR((CS626-CR626)/ABS(CR626),"")</f>
        <v>-0.31520659424822139</v>
      </c>
      <c r="CW626" s="1" t="s">
        <v>348</v>
      </c>
      <c r="CX626" s="266" t="str">
        <f>IF(OR($CW626="prd",$CW626="std",$CW626="cit"),"loc",IF(OR($CW626="eur",$CW626="reg",$CW626="coy"),"reg",$CW626))</f>
        <v>loc</v>
      </c>
      <c r="CY626" t="s">
        <v>265</v>
      </c>
      <c r="CZ626">
        <v>2019</v>
      </c>
      <c r="DA626" s="143">
        <v>2080</v>
      </c>
      <c r="DB626" s="143">
        <f>DA626-CZ626</f>
        <v>61</v>
      </c>
      <c r="DC626" t="str">
        <f>IF(DB626=0,"0",IF(AND(DB626&gt;=1,DB626&lt;=30),"1-30",IF(AND(DB626&gt;30,DB626&lt;=70),"31-70",IF(AND(DB626&gt;70,DB626&lt;=100),"71-100",IF(DB626&gt;100,"+100")))))</f>
        <v>31-70</v>
      </c>
      <c r="DD626">
        <v>0</v>
      </c>
      <c r="DE626">
        <v>0</v>
      </c>
      <c r="DF626">
        <v>0</v>
      </c>
      <c r="DG626">
        <v>1</v>
      </c>
      <c r="DI626">
        <f>SUM(DD626:DG626)</f>
        <v>1</v>
      </c>
      <c r="DJ626" t="str">
        <f>IF(DI626=1,INDEX($DD$7:$DG$7,MATCH(1,$DD626:$DG626,0)),"mixedProduct")</f>
        <v>TimberInput</v>
      </c>
      <c r="DK626">
        <f>IF(DD626=1,DK$7,0)</f>
        <v>0</v>
      </c>
      <c r="DL626">
        <f>IF(DE626=1,DL$7,0)</f>
        <v>0</v>
      </c>
      <c r="DM626">
        <f>IF(DF626=1,DM$7,0)</f>
        <v>0</v>
      </c>
      <c r="DN626" t="str">
        <f>IF(DG626=1,DN$7,0)</f>
        <v>Timber</v>
      </c>
      <c r="DO626">
        <v>0</v>
      </c>
      <c r="DP626" s="143">
        <v>0</v>
      </c>
      <c r="DQ626" s="143">
        <v>0</v>
      </c>
      <c r="DR626">
        <v>0</v>
      </c>
      <c r="DS626" s="143">
        <v>0</v>
      </c>
      <c r="DT626">
        <f>SUM(DO626:DP626)</f>
        <v>0</v>
      </c>
      <c r="DU626" s="143" t="str">
        <f>IF(DO626=1,"self-calculated DF",IF(DP626=1,"external DF used","explicit C balance"))</f>
        <v>explicit C balance</v>
      </c>
      <c r="DV626" s="143">
        <v>0</v>
      </c>
      <c r="DW626" s="143">
        <v>0</v>
      </c>
      <c r="DX626" s="143">
        <v>0</v>
      </c>
      <c r="DY626" s="143">
        <v>1</v>
      </c>
      <c r="DZ626">
        <v>0</v>
      </c>
      <c r="EA626" s="143">
        <v>0</v>
      </c>
      <c r="EB626" s="143">
        <v>1</v>
      </c>
      <c r="EC626" s="143">
        <v>1</v>
      </c>
      <c r="ED626" s="143">
        <v>1</v>
      </c>
      <c r="EE626">
        <v>0</v>
      </c>
      <c r="EF626">
        <v>0</v>
      </c>
      <c r="EG626" s="143">
        <v>0</v>
      </c>
      <c r="EH626">
        <v>0</v>
      </c>
      <c r="EI626" s="2">
        <v>0</v>
      </c>
      <c r="EK626" t="str">
        <f>IF(AND(AND(AND(OR($DX626=1,$DW626=1),OR($EC626=1,$EA626=1)),SUM($DV626:$DZ626,$EF626)&gt;=4),SUM($EA626:$EE626)&gt;=2),"Whole sector","")</f>
        <v/>
      </c>
      <c r="EL626" t="str">
        <f>IF(AND(AND(OR($DX626=1,$DW626=1),AND($EC626=0,$EA626=0)),SUM($DV626:$DZ626,$EF626)&gt;=4),"Ecosystem approach","")</f>
        <v/>
      </c>
      <c r="EM626" s="2" t="str">
        <f>IF(AND(AND(AND($DX626=0,$DW626=0),OR($EC626=1,$EA626=1)),SUM($EB626:$EE626)&gt;=2),"Technology approach","")</f>
        <v>Technology approach</v>
      </c>
      <c r="EP626" t="str">
        <f>IF(ISNUMBER(BU626),IF(ABS(BU626-[1]QC_indicators!$B$2)&gt;3*[1]QC_indicators!$C$2,"C ratio",IF(ISNUMBER(BY626),IF(ABS(BY626-[1]QC_indicators!$B$1)&gt;3*[1]QC_indicators!$C$1,"DF","no"))),IF(ISNUMBER(BY626),IF(ABS(BY626-[1]QC_indicators!$B$1)&gt;3*[1]QC_indicators!$C$1,"DF","no")))</f>
        <v>no</v>
      </c>
      <c r="ER626" s="296" t="s">
        <v>350</v>
      </c>
      <c r="ET626" s="308" t="s">
        <v>3420</v>
      </c>
    </row>
    <row r="627" spans="1:150" ht="15" hidden="1" customHeight="1">
      <c r="A627" s="1" t="s">
        <v>1104</v>
      </c>
      <c r="B627" t="s">
        <v>2383</v>
      </c>
      <c r="C627" t="s">
        <v>2384</v>
      </c>
      <c r="D627" t="s">
        <v>2385</v>
      </c>
      <c r="E627" t="s">
        <v>2386</v>
      </c>
      <c r="F627" t="s">
        <v>2387</v>
      </c>
      <c r="G627" t="s">
        <v>1110</v>
      </c>
      <c r="H627" t="s">
        <v>255</v>
      </c>
      <c r="I627">
        <v>2016</v>
      </c>
      <c r="J627">
        <v>13</v>
      </c>
      <c r="K627" t="s">
        <v>2388</v>
      </c>
      <c r="M627" t="str">
        <f>LEFT($D627,FIND(",",$D627)-1)&amp;"_"&amp;I627&amp;L627</f>
        <v>Torssonen_2016</v>
      </c>
      <c r="N627" t="s">
        <v>223</v>
      </c>
      <c r="O627" s="145" t="s">
        <v>1156</v>
      </c>
      <c r="Q627" s="266" t="s">
        <v>257</v>
      </c>
      <c r="R627" s="271" t="s">
        <v>342</v>
      </c>
      <c r="S627" s="1" t="s">
        <v>2389</v>
      </c>
      <c r="T627" t="s">
        <v>2390</v>
      </c>
      <c r="U627" t="s">
        <v>2391</v>
      </c>
      <c r="V627">
        <v>0</v>
      </c>
      <c r="W627">
        <v>0</v>
      </c>
      <c r="X627">
        <v>0</v>
      </c>
      <c r="Y627">
        <v>1</v>
      </c>
      <c r="Z627">
        <v>0</v>
      </c>
      <c r="AA627">
        <v>0</v>
      </c>
      <c r="AB627">
        <v>0</v>
      </c>
      <c r="AC627">
        <v>0</v>
      </c>
      <c r="AD627">
        <v>0</v>
      </c>
      <c r="AE627">
        <v>0</v>
      </c>
      <c r="AF627">
        <v>0</v>
      </c>
      <c r="AG627">
        <v>0</v>
      </c>
      <c r="AH627">
        <v>0</v>
      </c>
      <c r="AI627">
        <v>0</v>
      </c>
      <c r="AJ627">
        <v>0</v>
      </c>
      <c r="AK627">
        <v>0</v>
      </c>
      <c r="AL627">
        <v>0</v>
      </c>
      <c r="AM627">
        <v>0</v>
      </c>
      <c r="AN627">
        <v>0</v>
      </c>
      <c r="AO627">
        <v>0</v>
      </c>
      <c r="AP627">
        <v>0</v>
      </c>
      <c r="AQ627">
        <v>0</v>
      </c>
      <c r="AR627">
        <v>0</v>
      </c>
      <c r="AS627">
        <v>0</v>
      </c>
      <c r="AT627">
        <v>0</v>
      </c>
      <c r="AU627">
        <v>0</v>
      </c>
      <c r="AV627">
        <v>0</v>
      </c>
      <c r="AW627">
        <v>0</v>
      </c>
      <c r="AX627" s="141">
        <f>COUNTIF(V627:AW627,"&lt;&gt;0")</f>
        <v>1</v>
      </c>
      <c r="AY627" s="141">
        <f>COUNTIF(V627:AL627,"&lt;&gt;0")</f>
        <v>1</v>
      </c>
      <c r="AZ627">
        <f>COUNTIF(V627:AC627,"&lt;&gt;0")</f>
        <v>1</v>
      </c>
      <c r="BA627">
        <f>COUNTIF(AD627:AI627,"&lt;&gt;0")</f>
        <v>0</v>
      </c>
      <c r="BB627">
        <f>COUNTIF(AJ627:AL627,"&lt;&gt;0")</f>
        <v>0</v>
      </c>
      <c r="BC627">
        <f>COUNTIF(AS627:AW627,"&lt;&gt;0")</f>
        <v>0</v>
      </c>
      <c r="BD627">
        <f>COUNTIF(AM627:AR627,"&lt;&gt;0")</f>
        <v>0</v>
      </c>
      <c r="BE627" t="str" cm="1">
        <f t="array" ref="BE627">IF(AY627=1,INDEX($V$7:$AL$7,MATCH(TRUE,INDEX($V627:$AW627&lt;&gt;0,),0)),IF(AY627=0,INDEX($AM$7:$AW$7,MATCH(1,$AM627:$AW627,0)),IF(BF627="Multiple strategies","mixed drivers",IF(BF627="Supply chain","multiple supply","multiple silviculture"))))</f>
        <v xml:space="preserve">cutting intensity </v>
      </c>
      <c r="BF627" s="2" t="str" cm="1">
        <f t="array" ref="BF627">IF(COUNTIF(AZ627:BB627,"&lt;&gt;0")=1,INDEX($V$4:$AW$4,MATCH(TRUE,INDEX($V627:$AW627&lt;&gt;0,),0)),IF(COUNTIF(AZ627:BB627,"&lt;&gt;0")=0,INDEX($AM$4:$AW$4,MATCH(1,$AM627:$AW627,0)),"Multiple strategies"))</f>
        <v>SilvicultureRemov</v>
      </c>
      <c r="BG627" s="1" t="s">
        <v>230</v>
      </c>
      <c r="BH627" t="s">
        <v>2392</v>
      </c>
      <c r="BI627" s="266" t="s">
        <v>2393</v>
      </c>
      <c r="BJ627" t="s">
        <v>2394</v>
      </c>
      <c r="BK627">
        <v>0</v>
      </c>
      <c r="BL627">
        <v>0.35</v>
      </c>
      <c r="BM627" s="143" t="e">
        <f>BL627/BK627</f>
        <v>#DIV/0!</v>
      </c>
      <c r="BN627">
        <f>BL627-BK627</f>
        <v>0.35</v>
      </c>
      <c r="BO627">
        <f>+BL627*t_to_m3</f>
        <v>0.7142857142857143</v>
      </c>
      <c r="BP627" s="308" t="s">
        <v>396</v>
      </c>
      <c r="BQ627" s="153" t="s">
        <v>3423</v>
      </c>
      <c r="BR627" s="266" t="s">
        <v>2395</v>
      </c>
      <c r="BS627">
        <v>-247.272727272727</v>
      </c>
      <c r="BT627">
        <v>-302.54545454545399</v>
      </c>
      <c r="BU627" s="144"/>
      <c r="BV627" s="144">
        <f>BT627-BS627</f>
        <v>-55.272727272726996</v>
      </c>
      <c r="BW627" s="144"/>
      <c r="BX627" s="144">
        <f>BV627*10^4/10^6</f>
        <v>-0.55272727272726996</v>
      </c>
      <c r="BY627">
        <f>IFERROR(BX627/BO627,"")</f>
        <v>-0.77381818181817796</v>
      </c>
      <c r="BZ627">
        <v>0</v>
      </c>
      <c r="CA627">
        <v>0</v>
      </c>
      <c r="CB627">
        <v>0</v>
      </c>
      <c r="CC627">
        <v>0</v>
      </c>
      <c r="CD627">
        <v>0</v>
      </c>
      <c r="CE627">
        <v>0</v>
      </c>
      <c r="CF627">
        <v>0</v>
      </c>
      <c r="CG627">
        <v>0</v>
      </c>
      <c r="CH627">
        <v>0</v>
      </c>
      <c r="CI627">
        <v>0</v>
      </c>
      <c r="CJ627">
        <v>0</v>
      </c>
      <c r="CK627">
        <v>0</v>
      </c>
      <c r="CL627">
        <v>0</v>
      </c>
      <c r="CM627">
        <v>1</v>
      </c>
      <c r="CN627" t="str">
        <f>IF($BL627&lt;$BK627,"refNeedCorrection","refOK")</f>
        <v>refOK</v>
      </c>
      <c r="CO627">
        <f>IF($CN627="refOK",$BK627,$BL627)</f>
        <v>0</v>
      </c>
      <c r="CP627">
        <f>IF($CN627="refOK",$BL627,$BK627)</f>
        <v>0.35</v>
      </c>
      <c r="CQ627">
        <f>IF($CN627="refOK",$BO627,-$BO627)</f>
        <v>0.7142857142857143</v>
      </c>
      <c r="CR627">
        <f>IF($CN627="refOK",$BS627,$BT627)*IF($BP627="Emissions positive",-1,1)</f>
        <v>247.272727272727</v>
      </c>
      <c r="CS627">
        <f>IF($CN627="refOK",$BT627,$BS627)*IF($BP627="Emissions positive",-1,1)</f>
        <v>302.54545454545399</v>
      </c>
      <c r="CT627">
        <f>IF($CN627="refNeedCorrection",-BX627,BX627)*IF($BP627="Emissions positive",-1,1)</f>
        <v>0.55272727272726996</v>
      </c>
      <c r="CU627">
        <f>IFERROR(CT627/CQ627,"")</f>
        <v>0.77381818181817796</v>
      </c>
      <c r="CV627" s="2">
        <f>IFERROR((CS627-CR627)/ABS(CR627),"")</f>
        <v>0.223529411764705</v>
      </c>
      <c r="CW627" s="1" t="s">
        <v>1201</v>
      </c>
      <c r="CX627" s="266" t="str">
        <f>IF(OR($CW627="prd",$CW627="std",$CW627="cit"),"loc",IF(OR($CW627="eur",$CW627="reg",$CW627="coy"),"reg",$CW627))</f>
        <v>reg</v>
      </c>
      <c r="CY627" t="s">
        <v>236</v>
      </c>
      <c r="CZ627">
        <v>2020</v>
      </c>
      <c r="DA627">
        <v>2100</v>
      </c>
      <c r="DB627">
        <f>DA627-CZ627</f>
        <v>80</v>
      </c>
      <c r="DC627" t="str">
        <f>IF(DB627=0,"0",IF(AND(DB627&gt;=1,DB627&lt;=30),"1-30",IF(AND(DB627&gt;30,DB627&lt;=70),"31-70",IF(AND(DB627&gt;70,DB627&lt;=100),"71-100",IF(DB627&gt;100,"+100")))))</f>
        <v>71-100</v>
      </c>
      <c r="DD627">
        <v>0</v>
      </c>
      <c r="DE627">
        <v>1</v>
      </c>
      <c r="DF627">
        <v>0</v>
      </c>
      <c r="DG627">
        <v>0</v>
      </c>
      <c r="DI627">
        <f>SUM(DD627:DG627)</f>
        <v>1</v>
      </c>
      <c r="DJ627" t="str">
        <f>IF(DI627=1,INDEX($DD$7:$DG$7,MATCH(1,$DD627:$DG627,0)),"mixedProduct")</f>
        <v>EnergyInput</v>
      </c>
      <c r="DK627">
        <f>IF(DD627=1,DK$7,0)</f>
        <v>0</v>
      </c>
      <c r="DL627" t="str">
        <f>IF(DE627=1,DL$7,0)</f>
        <v>Energy</v>
      </c>
      <c r="DM627">
        <f>IF(DF627=1,DM$7,0)</f>
        <v>0</v>
      </c>
      <c r="DN627">
        <f>IF(DG627=1,DN$7,0)</f>
        <v>0</v>
      </c>
      <c r="DO627">
        <v>1</v>
      </c>
      <c r="DP627">
        <v>0</v>
      </c>
      <c r="DQ627">
        <v>0</v>
      </c>
      <c r="DR627">
        <v>0</v>
      </c>
      <c r="DS627">
        <v>0</v>
      </c>
      <c r="DT627">
        <f>SUM(DO627:DP627)</f>
        <v>1</v>
      </c>
      <c r="DU627" s="143" t="str">
        <f>IF(DO627=1,"self-calculated DF",IF(DP627=1,"external DF used","explicit C balance"))</f>
        <v>self-calculated DF</v>
      </c>
      <c r="DV627">
        <v>1</v>
      </c>
      <c r="DW627">
        <v>0</v>
      </c>
      <c r="DX627">
        <v>1</v>
      </c>
      <c r="DY627">
        <v>0</v>
      </c>
      <c r="DZ627">
        <v>0</v>
      </c>
      <c r="EA627" s="143">
        <v>0</v>
      </c>
      <c r="EB627">
        <v>0</v>
      </c>
      <c r="EC627">
        <v>0</v>
      </c>
      <c r="ED627">
        <v>0</v>
      </c>
      <c r="EE627">
        <v>0</v>
      </c>
      <c r="EF627">
        <v>1</v>
      </c>
      <c r="EG627">
        <v>0</v>
      </c>
      <c r="EH627">
        <v>0</v>
      </c>
      <c r="EI627" s="2">
        <v>0</v>
      </c>
      <c r="EK627" t="str">
        <f>IF(AND(AND(AND(OR($DX627=1,$DW627=1),OR($EC627=1,$EA627=1)),SUM($DV627:$DZ627,$EF627)&gt;=4),SUM($EA627:$EE627)&gt;=2),"Whole sector","")</f>
        <v/>
      </c>
      <c r="EL627" t="str">
        <f>IF(AND(AND(OR($DX627=1,$DW627=1),AND($EC627=0,$EA627=0)),SUM($DV627:$DZ627,$EF627)&gt;=4),"Ecosystem approach","")</f>
        <v/>
      </c>
      <c r="EM627" s="2" t="str">
        <f>IF(AND(AND(AND($DX627=0,$DW627=0),OR($EC627=1,$EA627=1)),SUM($EB627:$EE627)&gt;=2),"Technology approach","")</f>
        <v/>
      </c>
      <c r="EP627" t="str">
        <f>IF(ISNUMBER(BU627),IF(ABS(BU627-[1]QC_indicators!$B$2)&gt;3*[1]QC_indicators!$C$2,"C ratio",IF(ISNUMBER(BY627),IF(ABS(BY627-[1]QC_indicators!$B$1)&gt;3*[1]QC_indicators!$C$1,"DF","no"))),IF(ISNUMBER(BY627),IF(ABS(BY627-[1]QC_indicators!$B$1)&gt;3*[1]QC_indicators!$C$1,"DF","no")))</f>
        <v>no</v>
      </c>
      <c r="ER627" s="266" t="s">
        <v>2396</v>
      </c>
      <c r="ET627" s="308" t="s">
        <v>3424</v>
      </c>
    </row>
    <row r="628" spans="1:150" ht="15" hidden="1" customHeight="1">
      <c r="A628" s="1" t="s">
        <v>1104</v>
      </c>
      <c r="B628" t="s">
        <v>2383</v>
      </c>
      <c r="C628" t="s">
        <v>2384</v>
      </c>
      <c r="D628" t="s">
        <v>2385</v>
      </c>
      <c r="E628" t="s">
        <v>2386</v>
      </c>
      <c r="F628" t="s">
        <v>2387</v>
      </c>
      <c r="G628" t="s">
        <v>1110</v>
      </c>
      <c r="H628" t="s">
        <v>255</v>
      </c>
      <c r="I628">
        <v>2016</v>
      </c>
      <c r="J628">
        <v>13</v>
      </c>
      <c r="K628" t="s">
        <v>2388</v>
      </c>
      <c r="M628" t="str">
        <f>LEFT($D628,FIND(",",$D628)-1)&amp;"_"&amp;I628&amp;L628</f>
        <v>Torssonen_2016</v>
      </c>
      <c r="N628" t="s">
        <v>223</v>
      </c>
      <c r="O628" s="145" t="s">
        <v>1156</v>
      </c>
      <c r="Q628" s="266" t="s">
        <v>257</v>
      </c>
      <c r="R628" s="271" t="s">
        <v>342</v>
      </c>
      <c r="S628" s="1" t="s">
        <v>2389</v>
      </c>
      <c r="T628" t="s">
        <v>2390</v>
      </c>
      <c r="U628" t="s">
        <v>2397</v>
      </c>
      <c r="V628">
        <v>0</v>
      </c>
      <c r="W628">
        <v>0</v>
      </c>
      <c r="X628">
        <v>0</v>
      </c>
      <c r="Y628">
        <v>1</v>
      </c>
      <c r="Z628">
        <v>0</v>
      </c>
      <c r="AA628">
        <v>0</v>
      </c>
      <c r="AB628">
        <v>0</v>
      </c>
      <c r="AC628">
        <v>0</v>
      </c>
      <c r="AD628">
        <v>0</v>
      </c>
      <c r="AE628">
        <v>0</v>
      </c>
      <c r="AF628">
        <v>0</v>
      </c>
      <c r="AG628">
        <v>0</v>
      </c>
      <c r="AH628">
        <v>0</v>
      </c>
      <c r="AI628">
        <v>0</v>
      </c>
      <c r="AJ628">
        <v>0</v>
      </c>
      <c r="AK628">
        <v>0</v>
      </c>
      <c r="AL628">
        <v>0</v>
      </c>
      <c r="AM628">
        <v>0</v>
      </c>
      <c r="AN628">
        <v>0</v>
      </c>
      <c r="AO628">
        <v>0</v>
      </c>
      <c r="AP628">
        <v>0</v>
      </c>
      <c r="AQ628">
        <v>0</v>
      </c>
      <c r="AR628">
        <v>0</v>
      </c>
      <c r="AS628">
        <v>0</v>
      </c>
      <c r="AT628">
        <v>0</v>
      </c>
      <c r="AU628">
        <v>0</v>
      </c>
      <c r="AV628">
        <v>0</v>
      </c>
      <c r="AW628">
        <v>0</v>
      </c>
      <c r="AX628" s="141">
        <f>COUNTIF(V628:AW628,"&lt;&gt;0")</f>
        <v>1</v>
      </c>
      <c r="AY628" s="141">
        <f>COUNTIF(V628:AL628,"&lt;&gt;0")</f>
        <v>1</v>
      </c>
      <c r="AZ628">
        <f>COUNTIF(V628:AC628,"&lt;&gt;0")</f>
        <v>1</v>
      </c>
      <c r="BA628">
        <f>COUNTIF(AD628:AI628,"&lt;&gt;0")</f>
        <v>0</v>
      </c>
      <c r="BB628">
        <f>COUNTIF(AJ628:AL628,"&lt;&gt;0")</f>
        <v>0</v>
      </c>
      <c r="BC628">
        <f>COUNTIF(AS628:AW628,"&lt;&gt;0")</f>
        <v>0</v>
      </c>
      <c r="BD628">
        <f>COUNTIF(AM628:AR628,"&lt;&gt;0")</f>
        <v>0</v>
      </c>
      <c r="BE628" t="str" cm="1">
        <f t="array" ref="BE628">IF(AY628=1,INDEX($V$7:$AL$7,MATCH(TRUE,INDEX($V628:$AW628&lt;&gt;0,),0)),IF(AY628=0,INDEX($AM$7:$AW$7,MATCH(1,$AM628:$AW628,0)),IF(BF628="Multiple strategies","mixed drivers",IF(BF628="Supply chain","multiple supply","multiple silviculture"))))</f>
        <v xml:space="preserve">cutting intensity </v>
      </c>
      <c r="BF628" s="2" t="str" cm="1">
        <f t="array" ref="BF628">IF(COUNTIF(AZ628:BB628,"&lt;&gt;0")=1,INDEX($V$4:$AW$4,MATCH(TRUE,INDEX($V628:$AW628&lt;&gt;0,),0)),IF(COUNTIF(AZ628:BB628,"&lt;&gt;0")=0,INDEX($AM$4:$AW$4,MATCH(1,$AM628:$AW628,0)),"Multiple strategies"))</f>
        <v>SilvicultureRemov</v>
      </c>
      <c r="BG628" s="1" t="s">
        <v>230</v>
      </c>
      <c r="BH628" t="s">
        <v>2392</v>
      </c>
      <c r="BI628" s="266" t="s">
        <v>2393</v>
      </c>
      <c r="BJ628" t="s">
        <v>2394</v>
      </c>
      <c r="BK628">
        <v>0</v>
      </c>
      <c r="BL628">
        <v>0.9</v>
      </c>
      <c r="BM628" s="143" t="e">
        <f>BL628/BK628</f>
        <v>#DIV/0!</v>
      </c>
      <c r="BN628">
        <f>BL628-BK628</f>
        <v>0.9</v>
      </c>
      <c r="BO628">
        <f>+BL628*t_to_m3</f>
        <v>1.8367346938775511</v>
      </c>
      <c r="BP628" s="308" t="s">
        <v>396</v>
      </c>
      <c r="BQ628" s="153" t="s">
        <v>3423</v>
      </c>
      <c r="BR628" s="266" t="s">
        <v>2395</v>
      </c>
      <c r="BS628">
        <v>-247.272727272727</v>
      </c>
      <c r="BT628">
        <v>-402.90909090909099</v>
      </c>
      <c r="BU628" s="144"/>
      <c r="BV628" s="144">
        <f>BT628-BS628</f>
        <v>-155.636363636364</v>
      </c>
      <c r="BW628" s="144"/>
      <c r="BX628" s="144">
        <f>BV628*10^4/10^6</f>
        <v>-1.5563636363636399</v>
      </c>
      <c r="BY628">
        <f>IFERROR(BX628/BO628,"")</f>
        <v>-0.8473535353535373</v>
      </c>
      <c r="BZ628">
        <v>0</v>
      </c>
      <c r="CA628">
        <v>0</v>
      </c>
      <c r="CB628">
        <v>0</v>
      </c>
      <c r="CC628">
        <v>0</v>
      </c>
      <c r="CD628">
        <v>0</v>
      </c>
      <c r="CE628">
        <v>0</v>
      </c>
      <c r="CF628">
        <v>0</v>
      </c>
      <c r="CG628">
        <v>0</v>
      </c>
      <c r="CH628">
        <v>0</v>
      </c>
      <c r="CI628">
        <v>0</v>
      </c>
      <c r="CJ628">
        <v>0</v>
      </c>
      <c r="CK628">
        <v>0</v>
      </c>
      <c r="CL628">
        <v>0</v>
      </c>
      <c r="CM628">
        <v>1</v>
      </c>
      <c r="CN628" t="str">
        <f>IF($BL628&lt;$BK628,"refNeedCorrection","refOK")</f>
        <v>refOK</v>
      </c>
      <c r="CO628">
        <f>IF($CN628="refOK",$BK628,$BL628)</f>
        <v>0</v>
      </c>
      <c r="CP628">
        <f>IF($CN628="refOK",$BL628,$BK628)</f>
        <v>0.9</v>
      </c>
      <c r="CQ628">
        <f>IF($CN628="refOK",$BO628,-$BO628)</f>
        <v>1.8367346938775511</v>
      </c>
      <c r="CR628">
        <f>IF($CN628="refOK",$BS628,$BT628)*IF($BP628="Emissions positive",-1,1)</f>
        <v>247.272727272727</v>
      </c>
      <c r="CS628">
        <f>IF($CN628="refOK",$BT628,$BS628)*IF($BP628="Emissions positive",-1,1)</f>
        <v>402.90909090909099</v>
      </c>
      <c r="CT628">
        <f>IF($CN628="refNeedCorrection",-BX628,BX628)*IF($BP628="Emissions positive",-1,1)</f>
        <v>1.5563636363636399</v>
      </c>
      <c r="CU628">
        <f>IFERROR(CT628/CQ628,"")</f>
        <v>0.8473535353535373</v>
      </c>
      <c r="CV628" s="2">
        <f>IFERROR((CS628-CR628)/ABS(CR628),"")</f>
        <v>0.62941176470588456</v>
      </c>
      <c r="CW628" s="1" t="s">
        <v>1201</v>
      </c>
      <c r="CX628" s="266" t="str">
        <f>IF(OR($CW628="prd",$CW628="std",$CW628="cit"),"loc",IF(OR($CW628="eur",$CW628="reg",$CW628="coy"),"reg",$CW628))</f>
        <v>reg</v>
      </c>
      <c r="CY628" t="s">
        <v>236</v>
      </c>
      <c r="CZ628">
        <v>2020</v>
      </c>
      <c r="DA628">
        <v>2100</v>
      </c>
      <c r="DB628">
        <f>DA628-CZ628</f>
        <v>80</v>
      </c>
      <c r="DC628" t="str">
        <f>IF(DB628=0,"0",IF(AND(DB628&gt;=1,DB628&lt;=30),"1-30",IF(AND(DB628&gt;30,DB628&lt;=70),"31-70",IF(AND(DB628&gt;70,DB628&lt;=100),"71-100",IF(DB628&gt;100,"+100")))))</f>
        <v>71-100</v>
      </c>
      <c r="DD628">
        <v>0</v>
      </c>
      <c r="DE628">
        <v>1</v>
      </c>
      <c r="DF628">
        <v>0</v>
      </c>
      <c r="DG628">
        <v>0</v>
      </c>
      <c r="DI628">
        <f>SUM(DD628:DG628)</f>
        <v>1</v>
      </c>
      <c r="DJ628" t="str">
        <f>IF(DI628=1,INDEX($DD$7:$DG$7,MATCH(1,$DD628:$DG628,0)),"mixedProduct")</f>
        <v>EnergyInput</v>
      </c>
      <c r="DK628">
        <f>IF(DD628=1,DK$7,0)</f>
        <v>0</v>
      </c>
      <c r="DL628" t="str">
        <f>IF(DE628=1,DL$7,0)</f>
        <v>Energy</v>
      </c>
      <c r="DM628">
        <f>IF(DF628=1,DM$7,0)</f>
        <v>0</v>
      </c>
      <c r="DN628">
        <f>IF(DG628=1,DN$7,0)</f>
        <v>0</v>
      </c>
      <c r="DO628">
        <v>1</v>
      </c>
      <c r="DP628">
        <v>0</v>
      </c>
      <c r="DQ628">
        <v>0</v>
      </c>
      <c r="DR628">
        <v>0</v>
      </c>
      <c r="DS628">
        <v>0</v>
      </c>
      <c r="DT628">
        <f>SUM(DO628:DP628)</f>
        <v>1</v>
      </c>
      <c r="DU628" s="143" t="str">
        <f>IF(DO628=1,"self-calculated DF",IF(DP628=1,"external DF used","explicit C balance"))</f>
        <v>self-calculated DF</v>
      </c>
      <c r="DV628">
        <v>1</v>
      </c>
      <c r="DW628">
        <v>0</v>
      </c>
      <c r="DX628">
        <v>1</v>
      </c>
      <c r="DY628">
        <v>0</v>
      </c>
      <c r="DZ628">
        <v>0</v>
      </c>
      <c r="EA628" s="143">
        <v>0</v>
      </c>
      <c r="EB628">
        <v>0</v>
      </c>
      <c r="EC628">
        <v>0</v>
      </c>
      <c r="ED628">
        <v>0</v>
      </c>
      <c r="EE628">
        <v>0</v>
      </c>
      <c r="EF628">
        <v>1</v>
      </c>
      <c r="EG628">
        <v>0</v>
      </c>
      <c r="EH628">
        <v>0</v>
      </c>
      <c r="EI628" s="2">
        <v>0</v>
      </c>
      <c r="EK628" t="str">
        <f>IF(AND(AND(AND(OR($DX628=1,$DW628=1),OR($EC628=1,$EA628=1)),SUM($DV628:$DZ628,$EF628)&gt;=4),SUM($EA628:$EE628)&gt;=2),"Whole sector","")</f>
        <v/>
      </c>
      <c r="EL628" t="str">
        <f>IF(AND(AND(OR($DX628=1,$DW628=1),AND($EC628=0,$EA628=0)),SUM($DV628:$DZ628,$EF628)&gt;=4),"Ecosystem approach","")</f>
        <v/>
      </c>
      <c r="EM628" s="2" t="str">
        <f>IF(AND(AND(AND($DX628=0,$DW628=0),OR($EC628=1,$EA628=1)),SUM($EB628:$EE628)&gt;=2),"Technology approach","")</f>
        <v/>
      </c>
      <c r="EP628" t="str">
        <f>IF(ISNUMBER(BU628),IF(ABS(BU628-[1]QC_indicators!$B$2)&gt;3*[1]QC_indicators!$C$2,"C ratio",IF(ISNUMBER(BY628),IF(ABS(BY628-[1]QC_indicators!$B$1)&gt;3*[1]QC_indicators!$C$1,"DF","no"))),IF(ISNUMBER(BY628),IF(ABS(BY628-[1]QC_indicators!$B$1)&gt;3*[1]QC_indicators!$C$1,"DF","no")))</f>
        <v>no</v>
      </c>
      <c r="ER628" s="266" t="s">
        <v>2396</v>
      </c>
      <c r="ET628" s="308" t="s">
        <v>3424</v>
      </c>
    </row>
    <row r="629" spans="1:150" ht="15" hidden="1" customHeight="1">
      <c r="A629" s="1" t="s">
        <v>1104</v>
      </c>
      <c r="B629" t="s">
        <v>2383</v>
      </c>
      <c r="C629" t="s">
        <v>2384</v>
      </c>
      <c r="D629" t="s">
        <v>2385</v>
      </c>
      <c r="E629" t="s">
        <v>2386</v>
      </c>
      <c r="F629" t="s">
        <v>2387</v>
      </c>
      <c r="G629" t="s">
        <v>1110</v>
      </c>
      <c r="H629" t="s">
        <v>255</v>
      </c>
      <c r="I629">
        <v>2016</v>
      </c>
      <c r="J629">
        <v>13</v>
      </c>
      <c r="K629" t="s">
        <v>2388</v>
      </c>
      <c r="M629" t="str">
        <f>LEFT($D629,FIND(",",$D629)-1)&amp;"_"&amp;I629&amp;L629</f>
        <v>Torssonen_2016</v>
      </c>
      <c r="N629" t="s">
        <v>223</v>
      </c>
      <c r="O629" s="145" t="s">
        <v>1156</v>
      </c>
      <c r="Q629" s="266" t="s">
        <v>257</v>
      </c>
      <c r="R629" s="271" t="s">
        <v>342</v>
      </c>
      <c r="S629" s="1" t="s">
        <v>2389</v>
      </c>
      <c r="T629" t="s">
        <v>2390</v>
      </c>
      <c r="U629" t="s">
        <v>2398</v>
      </c>
      <c r="V629">
        <v>0</v>
      </c>
      <c r="W629">
        <v>0</v>
      </c>
      <c r="X629">
        <v>0</v>
      </c>
      <c r="Y629">
        <v>1</v>
      </c>
      <c r="Z629">
        <v>0</v>
      </c>
      <c r="AA629">
        <v>0</v>
      </c>
      <c r="AB629">
        <v>0</v>
      </c>
      <c r="AC629">
        <v>0</v>
      </c>
      <c r="AD629">
        <v>0</v>
      </c>
      <c r="AE629">
        <v>0</v>
      </c>
      <c r="AF629">
        <v>0</v>
      </c>
      <c r="AG629">
        <v>0</v>
      </c>
      <c r="AH629">
        <v>0</v>
      </c>
      <c r="AI629">
        <v>0</v>
      </c>
      <c r="AJ629">
        <v>0</v>
      </c>
      <c r="AK629">
        <v>0</v>
      </c>
      <c r="AL629">
        <v>0</v>
      </c>
      <c r="AM629">
        <v>0</v>
      </c>
      <c r="AN629">
        <v>0</v>
      </c>
      <c r="AO629">
        <v>0</v>
      </c>
      <c r="AP629">
        <v>0</v>
      </c>
      <c r="AQ629">
        <v>0</v>
      </c>
      <c r="AR629">
        <v>0</v>
      </c>
      <c r="AS629">
        <v>0</v>
      </c>
      <c r="AT629">
        <v>0</v>
      </c>
      <c r="AU629">
        <v>0</v>
      </c>
      <c r="AV629">
        <v>0</v>
      </c>
      <c r="AW629">
        <v>0</v>
      </c>
      <c r="AX629" s="141">
        <v>1</v>
      </c>
      <c r="AY629" s="141">
        <f>COUNTIF(V629:AL629,"&lt;&gt;0")</f>
        <v>1</v>
      </c>
      <c r="AZ629">
        <f>COUNTIF(V629:AC629,"&lt;&gt;0")</f>
        <v>1</v>
      </c>
      <c r="BA629">
        <f>COUNTIF(AD629:AI629,"&lt;&gt;0")</f>
        <v>0</v>
      </c>
      <c r="BB629">
        <f>COUNTIF(AJ629:AL629,"&lt;&gt;0")</f>
        <v>0</v>
      </c>
      <c r="BC629">
        <f>COUNTIF(AS629:AW629,"&lt;&gt;0")</f>
        <v>0</v>
      </c>
      <c r="BD629">
        <f>COUNTIF(AM629:AR629,"&lt;&gt;0")</f>
        <v>0</v>
      </c>
      <c r="BE629" t="str" cm="1">
        <f t="array" ref="BE629">IF(AY629=1,INDEX($V$7:$AL$7,MATCH(TRUE,INDEX($V629:$AW629&lt;&gt;0,),0)),IF(AY629=0,INDEX($AM$7:$AW$7,MATCH(1,$AM629:$AW629,0)),IF(BF629="Multiple strategies","mixed drivers",IF(BF629="Supply chain","multiple supply","multiple silviculture"))))</f>
        <v xml:space="preserve">cutting intensity </v>
      </c>
      <c r="BF629" s="2" t="str" cm="1">
        <f t="array" ref="BF629">IF(COUNTIF(AZ629:BB629,"&lt;&gt;0")=1,INDEX($V$4:$AW$4,MATCH(TRUE,INDEX($V629:$AW629&lt;&gt;0,),0)),IF(COUNTIF(AZ629:BB629,"&lt;&gt;0")=0,INDEX($AM$4:$AW$4,MATCH(1,$AM629:$AW629,0)),"Multiple strategies"))</f>
        <v>SilvicultureRemov</v>
      </c>
      <c r="BG629" s="1" t="s">
        <v>230</v>
      </c>
      <c r="BH629" t="s">
        <v>2392</v>
      </c>
      <c r="BI629" s="266" t="s">
        <v>2393</v>
      </c>
      <c r="BJ629" t="s">
        <v>2394</v>
      </c>
      <c r="BK629">
        <v>0</v>
      </c>
      <c r="BL629">
        <v>1.1200000000000001</v>
      </c>
      <c r="BM629" s="143" t="e">
        <f>BL629/BK629</f>
        <v>#DIV/0!</v>
      </c>
      <c r="BN629">
        <f>BL629-BK629</f>
        <v>1.1200000000000001</v>
      </c>
      <c r="BO629">
        <f>+BL629*t_to_m3</f>
        <v>2.285714285714286</v>
      </c>
      <c r="BP629" s="308" t="s">
        <v>396</v>
      </c>
      <c r="BQ629" s="153" t="s">
        <v>3423</v>
      </c>
      <c r="BR629" s="266" t="s">
        <v>2395</v>
      </c>
      <c r="BS629">
        <v>-247.272727272727</v>
      </c>
      <c r="BT629">
        <v>-456.72727272727298</v>
      </c>
      <c r="BU629" s="144"/>
      <c r="BV629" s="144">
        <f>BT629-BS629</f>
        <v>-209.45454545454598</v>
      </c>
      <c r="BW629" s="144"/>
      <c r="BX629" s="144">
        <f>BV629*10^4/10^6</f>
        <v>-2.0945454545454596</v>
      </c>
      <c r="BY629">
        <f>IFERROR(BX629/BO629,"")</f>
        <v>-0.91636363636363849</v>
      </c>
      <c r="BZ629">
        <v>0</v>
      </c>
      <c r="CA629">
        <v>0</v>
      </c>
      <c r="CB629">
        <v>0</v>
      </c>
      <c r="CC629">
        <v>0</v>
      </c>
      <c r="CD629">
        <v>0</v>
      </c>
      <c r="CE629">
        <v>0</v>
      </c>
      <c r="CF629">
        <v>0</v>
      </c>
      <c r="CG629">
        <v>0</v>
      </c>
      <c r="CH629">
        <v>0</v>
      </c>
      <c r="CI629">
        <v>0</v>
      </c>
      <c r="CJ629">
        <v>0</v>
      </c>
      <c r="CK629">
        <v>0</v>
      </c>
      <c r="CL629">
        <v>0</v>
      </c>
      <c r="CM629">
        <v>1</v>
      </c>
      <c r="CN629" t="str">
        <f>IF($BL629&lt;$BK629,"refNeedCorrection","refOK")</f>
        <v>refOK</v>
      </c>
      <c r="CO629">
        <f>IF($CN629="refOK",$BK629,$BL629)</f>
        <v>0</v>
      </c>
      <c r="CP629">
        <f>IF($CN629="refOK",$BL629,$BK629)</f>
        <v>1.1200000000000001</v>
      </c>
      <c r="CQ629">
        <f>IF($CN629="refOK",$BO629,-$BO629)</f>
        <v>2.285714285714286</v>
      </c>
      <c r="CR629">
        <f>IF($CN629="refOK",$BS629,$BT629)*IF($BP629="Emissions positive",-1,1)</f>
        <v>247.272727272727</v>
      </c>
      <c r="CS629">
        <f>IF($CN629="refOK",$BT629,$BS629)*IF($BP629="Emissions positive",-1,1)</f>
        <v>456.72727272727298</v>
      </c>
      <c r="CT629">
        <f>IF($CN629="refNeedCorrection",-BX629,BX629)*IF($BP629="Emissions positive",-1,1)</f>
        <v>2.0945454545454596</v>
      </c>
      <c r="CU629">
        <f>IFERROR(CT629/CQ629,"")</f>
        <v>0.91636363636363849</v>
      </c>
      <c r="CV629" s="2">
        <f>IFERROR((CS629-CR629)/ABS(CR629),"")</f>
        <v>0.84705882352941486</v>
      </c>
      <c r="CW629" s="1" t="s">
        <v>1201</v>
      </c>
      <c r="CX629" s="266" t="str">
        <f>IF(OR($CW629="prd",$CW629="std",$CW629="cit"),"loc",IF(OR($CW629="eur",$CW629="reg",$CW629="coy"),"reg",$CW629))</f>
        <v>reg</v>
      </c>
      <c r="CY629" t="s">
        <v>236</v>
      </c>
      <c r="CZ629">
        <v>2020</v>
      </c>
      <c r="DA629">
        <v>2100</v>
      </c>
      <c r="DB629">
        <f>DA629-CZ629</f>
        <v>80</v>
      </c>
      <c r="DC629" t="str">
        <f>IF(DB629=0,"0",IF(AND(DB629&gt;=1,DB629&lt;=30),"1-30",IF(AND(DB629&gt;30,DB629&lt;=70),"31-70",IF(AND(DB629&gt;70,DB629&lt;=100),"71-100",IF(DB629&gt;100,"+100")))))</f>
        <v>71-100</v>
      </c>
      <c r="DD629">
        <v>0</v>
      </c>
      <c r="DE629">
        <v>1</v>
      </c>
      <c r="DF629">
        <v>0</v>
      </c>
      <c r="DG629">
        <v>0</v>
      </c>
      <c r="DI629">
        <f>SUM(DD629:DG629)</f>
        <v>1</v>
      </c>
      <c r="DJ629" t="str">
        <f>IF(DI629=1,INDEX($DD$7:$DG$7,MATCH(1,$DD629:$DG629,0)),"mixedProduct")</f>
        <v>EnergyInput</v>
      </c>
      <c r="DK629">
        <f>IF(DD629=1,DK$7,0)</f>
        <v>0</v>
      </c>
      <c r="DL629" t="str">
        <f>IF(DE629=1,DL$7,0)</f>
        <v>Energy</v>
      </c>
      <c r="DM629">
        <f>IF(DF629=1,DM$7,0)</f>
        <v>0</v>
      </c>
      <c r="DN629">
        <f>IF(DG629=1,DN$7,0)</f>
        <v>0</v>
      </c>
      <c r="DO629">
        <v>1</v>
      </c>
      <c r="DP629">
        <v>0</v>
      </c>
      <c r="DQ629">
        <v>0</v>
      </c>
      <c r="DR629">
        <v>0</v>
      </c>
      <c r="DS629">
        <v>0</v>
      </c>
      <c r="DT629">
        <f>SUM(DO629:DP629)</f>
        <v>1</v>
      </c>
      <c r="DU629" s="143" t="str">
        <f>IF(DO629=1,"self-calculated DF",IF(DP629=1,"external DF used","explicit C balance"))</f>
        <v>self-calculated DF</v>
      </c>
      <c r="DV629">
        <v>1</v>
      </c>
      <c r="DW629">
        <v>0</v>
      </c>
      <c r="DX629">
        <v>1</v>
      </c>
      <c r="DY629">
        <v>0</v>
      </c>
      <c r="DZ629">
        <v>0</v>
      </c>
      <c r="EA629" s="143">
        <v>0</v>
      </c>
      <c r="EB629">
        <v>0</v>
      </c>
      <c r="EC629">
        <v>0</v>
      </c>
      <c r="ED629">
        <v>0</v>
      </c>
      <c r="EE629">
        <v>0</v>
      </c>
      <c r="EF629">
        <v>1</v>
      </c>
      <c r="EG629">
        <v>0</v>
      </c>
      <c r="EH629">
        <v>0</v>
      </c>
      <c r="EI629" s="2">
        <v>0</v>
      </c>
      <c r="EK629" t="str">
        <f>IF(AND(AND(AND(OR($DX629=1,$DW629=1),OR($EC629=1,$EA629=1)),SUM($DV629:$DZ629,$EF629)&gt;=4),SUM($EA629:$EE629)&gt;=2),"Whole sector","")</f>
        <v/>
      </c>
      <c r="EL629" t="str">
        <f>IF(AND(AND(OR($DX629=1,$DW629=1),AND($EC629=0,$EA629=0)),SUM($DV629:$DZ629,$EF629)&gt;=4),"Ecosystem approach","")</f>
        <v/>
      </c>
      <c r="EM629" s="2" t="str">
        <f>IF(AND(AND(AND($DX629=0,$DW629=0),OR($EC629=1,$EA629=1)),SUM($EB629:$EE629)&gt;=2),"Technology approach","")</f>
        <v/>
      </c>
      <c r="EP629" t="str">
        <f>IF(ISNUMBER(BU629),IF(ABS(BU629-[1]QC_indicators!$B$2)&gt;3*[1]QC_indicators!$C$2,"C ratio",IF(ISNUMBER(BY629),IF(ABS(BY629-[1]QC_indicators!$B$1)&gt;3*[1]QC_indicators!$C$1,"DF","no"))),IF(ISNUMBER(BY629),IF(ABS(BY629-[1]QC_indicators!$B$1)&gt;3*[1]QC_indicators!$C$1,"DF","no")))</f>
        <v>no</v>
      </c>
      <c r="ER629" s="266" t="s">
        <v>2396</v>
      </c>
      <c r="ET629" s="308" t="s">
        <v>3424</v>
      </c>
    </row>
    <row r="630" spans="1:150" ht="15" hidden="1" customHeight="1">
      <c r="A630" s="1" t="s">
        <v>1104</v>
      </c>
      <c r="B630" t="s">
        <v>2383</v>
      </c>
      <c r="C630" t="s">
        <v>2384</v>
      </c>
      <c r="D630" t="s">
        <v>2385</v>
      </c>
      <c r="E630" t="s">
        <v>2386</v>
      </c>
      <c r="F630" t="s">
        <v>2387</v>
      </c>
      <c r="G630" t="s">
        <v>1110</v>
      </c>
      <c r="H630" t="s">
        <v>255</v>
      </c>
      <c r="I630">
        <v>2016</v>
      </c>
      <c r="J630">
        <v>13</v>
      </c>
      <c r="K630" t="s">
        <v>2388</v>
      </c>
      <c r="M630" t="str">
        <f>LEFT($D630,FIND(",",$D630)-1)&amp;"_"&amp;I630&amp;L630</f>
        <v>Torssonen_2016</v>
      </c>
      <c r="N630" t="s">
        <v>223</v>
      </c>
      <c r="O630" s="145" t="s">
        <v>1156</v>
      </c>
      <c r="Q630" s="266" t="s">
        <v>257</v>
      </c>
      <c r="R630" s="271" t="s">
        <v>342</v>
      </c>
      <c r="S630" s="1" t="s">
        <v>2399</v>
      </c>
      <c r="T630" t="s">
        <v>2390</v>
      </c>
      <c r="U630" t="s">
        <v>2400</v>
      </c>
      <c r="V630">
        <v>0</v>
      </c>
      <c r="W630">
        <v>0</v>
      </c>
      <c r="X630">
        <v>0</v>
      </c>
      <c r="Y630">
        <v>1</v>
      </c>
      <c r="Z630">
        <v>0</v>
      </c>
      <c r="AA630">
        <v>0</v>
      </c>
      <c r="AB630">
        <v>0</v>
      </c>
      <c r="AC630">
        <v>0</v>
      </c>
      <c r="AD630">
        <v>0</v>
      </c>
      <c r="AE630">
        <v>0</v>
      </c>
      <c r="AF630">
        <v>0</v>
      </c>
      <c r="AG630">
        <v>0</v>
      </c>
      <c r="AH630">
        <v>0</v>
      </c>
      <c r="AI630">
        <v>0</v>
      </c>
      <c r="AJ630">
        <v>0</v>
      </c>
      <c r="AK630">
        <v>0</v>
      </c>
      <c r="AL630">
        <v>0</v>
      </c>
      <c r="AM630">
        <v>0</v>
      </c>
      <c r="AN630">
        <v>0</v>
      </c>
      <c r="AO630">
        <v>0</v>
      </c>
      <c r="AP630">
        <v>0</v>
      </c>
      <c r="AQ630">
        <v>0</v>
      </c>
      <c r="AR630">
        <v>0</v>
      </c>
      <c r="AS630">
        <v>0</v>
      </c>
      <c r="AT630">
        <v>0</v>
      </c>
      <c r="AU630">
        <v>0</v>
      </c>
      <c r="AV630">
        <v>0</v>
      </c>
      <c r="AW630">
        <v>0</v>
      </c>
      <c r="AX630" s="141">
        <f>COUNTIF(V630:AW630,"&lt;&gt;0")</f>
        <v>1</v>
      </c>
      <c r="AY630" s="141">
        <f>COUNTIF(V630:AL630,"&lt;&gt;0")</f>
        <v>1</v>
      </c>
      <c r="AZ630">
        <f>COUNTIF(V630:AC630,"&lt;&gt;0")</f>
        <v>1</v>
      </c>
      <c r="BA630">
        <f>COUNTIF(AD630:AI630,"&lt;&gt;0")</f>
        <v>0</v>
      </c>
      <c r="BB630">
        <f>COUNTIF(AJ630:AL630,"&lt;&gt;0")</f>
        <v>0</v>
      </c>
      <c r="BC630">
        <f>COUNTIF(AS630:AW630,"&lt;&gt;0")</f>
        <v>0</v>
      </c>
      <c r="BD630">
        <f>COUNTIF(AM630:AR630,"&lt;&gt;0")</f>
        <v>0</v>
      </c>
      <c r="BE630" t="str" cm="1">
        <f t="array" ref="BE630">IF(AY630=1,INDEX($V$7:$AL$7,MATCH(TRUE,INDEX($V630:$AW630&lt;&gt;0,),0)),IF(AY630=0,INDEX($AM$7:$AW$7,MATCH(1,$AM630:$AW630,0)),IF(BF630="Multiple strategies","mixed drivers",IF(BF630="Supply chain","multiple supply","multiple silviculture"))))</f>
        <v xml:space="preserve">cutting intensity </v>
      </c>
      <c r="BF630" s="2" t="str" cm="1">
        <f t="array" ref="BF630">IF(COUNTIF(AZ630:BB630,"&lt;&gt;0")=1,INDEX($V$4:$AW$4,MATCH(TRUE,INDEX($V630:$AW630&lt;&gt;0,),0)),IF(COUNTIF(AZ630:BB630,"&lt;&gt;0")=0,INDEX($AM$4:$AW$4,MATCH(1,$AM630:$AW630,0)),"Multiple strategies"))</f>
        <v>SilvicultureRemov</v>
      </c>
      <c r="BG630" s="1" t="s">
        <v>230</v>
      </c>
      <c r="BH630" t="s">
        <v>2392</v>
      </c>
      <c r="BI630" s="266" t="s">
        <v>2393</v>
      </c>
      <c r="BJ630" t="s">
        <v>2394</v>
      </c>
      <c r="BK630">
        <v>0</v>
      </c>
      <c r="BL630">
        <v>0.44</v>
      </c>
      <c r="BM630" s="143" t="e">
        <f>BL630/BK630</f>
        <v>#DIV/0!</v>
      </c>
      <c r="BN630">
        <f>BL630-BK630</f>
        <v>0.44</v>
      </c>
      <c r="BO630">
        <f>+BL630*t_to_m3</f>
        <v>0.89795918367346939</v>
      </c>
      <c r="BP630" s="308" t="s">
        <v>396</v>
      </c>
      <c r="BQ630" s="153" t="s">
        <v>3423</v>
      </c>
      <c r="BR630" s="266" t="s">
        <v>2395</v>
      </c>
      <c r="BS630">
        <v>-247.272727272727</v>
      </c>
      <c r="BT630">
        <v>-334.54545454545399</v>
      </c>
      <c r="BU630" s="144"/>
      <c r="BV630" s="144">
        <f>BT630-BS630</f>
        <v>-87.272727272726996</v>
      </c>
      <c r="BW630" s="144"/>
      <c r="BX630" s="144">
        <f>BV630*10^4/10^6</f>
        <v>-0.87272727272726991</v>
      </c>
      <c r="BY630">
        <f>IFERROR(BX630/BO630,"")</f>
        <v>-0.97190082644627784</v>
      </c>
      <c r="BZ630">
        <v>0</v>
      </c>
      <c r="CA630">
        <v>0</v>
      </c>
      <c r="CB630">
        <v>0</v>
      </c>
      <c r="CC630">
        <v>0</v>
      </c>
      <c r="CD630">
        <v>0</v>
      </c>
      <c r="CE630">
        <v>0</v>
      </c>
      <c r="CF630">
        <v>0</v>
      </c>
      <c r="CG630">
        <v>0</v>
      </c>
      <c r="CH630">
        <v>0</v>
      </c>
      <c r="CI630">
        <v>0</v>
      </c>
      <c r="CJ630">
        <v>0</v>
      </c>
      <c r="CK630">
        <v>0</v>
      </c>
      <c r="CL630">
        <v>0</v>
      </c>
      <c r="CM630">
        <v>1</v>
      </c>
      <c r="CN630" t="str">
        <f>IF($BL630&lt;$BK630,"refNeedCorrection","refOK")</f>
        <v>refOK</v>
      </c>
      <c r="CO630">
        <f>IF($CN630="refOK",$BK630,$BL630)</f>
        <v>0</v>
      </c>
      <c r="CP630">
        <f>IF($CN630="refOK",$BL630,$BK630)</f>
        <v>0.44</v>
      </c>
      <c r="CQ630">
        <f>IF($CN630="refOK",$BO630,-$BO630)</f>
        <v>0.89795918367346939</v>
      </c>
      <c r="CR630">
        <f>IF($CN630="refOK",$BS630,$BT630)*IF($BP630="Emissions positive",-1,1)</f>
        <v>247.272727272727</v>
      </c>
      <c r="CS630">
        <f>IF($CN630="refOK",$BT630,$BS630)*IF($BP630="Emissions positive",-1,1)</f>
        <v>334.54545454545399</v>
      </c>
      <c r="CT630">
        <f>IF($CN630="refNeedCorrection",-BX630,BX630)*IF($BP630="Emissions positive",-1,1)</f>
        <v>0.87272727272726991</v>
      </c>
      <c r="CU630">
        <f>IFERROR(CT630/CQ630,"")</f>
        <v>0.97190082644627784</v>
      </c>
      <c r="CV630" s="2">
        <f>IFERROR((CS630-CR630)/ABS(CR630),"")</f>
        <v>0.35294117647058754</v>
      </c>
      <c r="CW630" s="1" t="s">
        <v>1201</v>
      </c>
      <c r="CX630" s="266" t="str">
        <f>IF(OR($CW630="prd",$CW630="std",$CW630="cit"),"loc",IF(OR($CW630="eur",$CW630="reg",$CW630="coy"),"reg",$CW630))</f>
        <v>reg</v>
      </c>
      <c r="CY630" t="s">
        <v>236</v>
      </c>
      <c r="CZ630">
        <v>2020</v>
      </c>
      <c r="DA630">
        <v>2100</v>
      </c>
      <c r="DB630">
        <f>DA630-CZ630</f>
        <v>80</v>
      </c>
      <c r="DC630" t="str">
        <f>IF(DB630=0,"0",IF(AND(DB630&gt;=1,DB630&lt;=30),"1-30",IF(AND(DB630&gt;30,DB630&lt;=70),"31-70",IF(AND(DB630&gt;70,DB630&lt;=100),"71-100",IF(DB630&gt;100,"+100")))))</f>
        <v>71-100</v>
      </c>
      <c r="DD630">
        <v>0</v>
      </c>
      <c r="DE630">
        <v>1</v>
      </c>
      <c r="DF630">
        <v>0</v>
      </c>
      <c r="DG630">
        <v>0</v>
      </c>
      <c r="DI630">
        <f>SUM(DD630:DG630)</f>
        <v>1</v>
      </c>
      <c r="DJ630" t="str">
        <f>IF(DI630=1,INDEX($DD$7:$DG$7,MATCH(1,$DD630:$DG630,0)),"mixedProduct")</f>
        <v>EnergyInput</v>
      </c>
      <c r="DK630">
        <f>IF(DD630=1,DK$7,0)</f>
        <v>0</v>
      </c>
      <c r="DL630" t="str">
        <f>IF(DE630=1,DL$7,0)</f>
        <v>Energy</v>
      </c>
      <c r="DM630">
        <f>IF(DF630=1,DM$7,0)</f>
        <v>0</v>
      </c>
      <c r="DN630">
        <f>IF(DG630=1,DN$7,0)</f>
        <v>0</v>
      </c>
      <c r="DO630">
        <v>1</v>
      </c>
      <c r="DP630">
        <v>0</v>
      </c>
      <c r="DQ630">
        <v>0</v>
      </c>
      <c r="DR630">
        <v>0</v>
      </c>
      <c r="DS630">
        <v>0</v>
      </c>
      <c r="DT630">
        <f>SUM(DO630:DP630)</f>
        <v>1</v>
      </c>
      <c r="DU630" s="143" t="str">
        <f>IF(DO630=1,"self-calculated DF",IF(DP630=1,"external DF used","explicit C balance"))</f>
        <v>self-calculated DF</v>
      </c>
      <c r="DV630">
        <v>1</v>
      </c>
      <c r="DW630">
        <v>0</v>
      </c>
      <c r="DX630">
        <v>1</v>
      </c>
      <c r="DY630">
        <v>0</v>
      </c>
      <c r="DZ630">
        <v>0</v>
      </c>
      <c r="EA630" s="143">
        <v>0</v>
      </c>
      <c r="EB630">
        <v>0</v>
      </c>
      <c r="EC630">
        <v>0</v>
      </c>
      <c r="ED630">
        <v>0</v>
      </c>
      <c r="EE630">
        <v>0</v>
      </c>
      <c r="EF630">
        <v>1</v>
      </c>
      <c r="EG630">
        <v>0</v>
      </c>
      <c r="EH630">
        <v>0</v>
      </c>
      <c r="EI630" s="2">
        <v>0</v>
      </c>
      <c r="EK630" t="str">
        <f>IF(AND(AND(AND(OR($DX630=1,$DW630=1),OR($EC630=1,$EA630=1)),SUM($DV630:$DZ630,$EF630)&gt;=4),SUM($EA630:$EE630)&gt;=2),"Whole sector","")</f>
        <v/>
      </c>
      <c r="EL630" t="str">
        <f>IF(AND(AND(OR($DX630=1,$DW630=1),AND($EC630=0,$EA630=0)),SUM($DV630:$DZ630,$EF630)&gt;=4),"Ecosystem approach","")</f>
        <v/>
      </c>
      <c r="EM630" s="2" t="str">
        <f>IF(AND(AND(AND($DX630=0,$DW630=0),OR($EC630=1,$EA630=1)),SUM($EB630:$EE630)&gt;=2),"Technology approach","")</f>
        <v/>
      </c>
      <c r="EP630" t="str">
        <f>IF(ISNUMBER(BU630),IF(ABS(BU630-[1]QC_indicators!$B$2)&gt;3*[1]QC_indicators!$C$2,"C ratio",IF(ISNUMBER(BY630),IF(ABS(BY630-[1]QC_indicators!$B$1)&gt;3*[1]QC_indicators!$C$1,"DF","no"))),IF(ISNUMBER(BY630),IF(ABS(BY630-[1]QC_indicators!$B$1)&gt;3*[1]QC_indicators!$C$1,"DF","no")))</f>
        <v>no</v>
      </c>
      <c r="ER630" s="266" t="s">
        <v>2396</v>
      </c>
      <c r="ET630" s="308" t="s">
        <v>3424</v>
      </c>
    </row>
    <row r="631" spans="1:150" ht="15" hidden="1" customHeight="1">
      <c r="A631" s="1" t="s">
        <v>1104</v>
      </c>
      <c r="B631" t="s">
        <v>2383</v>
      </c>
      <c r="C631" t="s">
        <v>2384</v>
      </c>
      <c r="D631" t="s">
        <v>2385</v>
      </c>
      <c r="E631" t="s">
        <v>2386</v>
      </c>
      <c r="F631" t="s">
        <v>2387</v>
      </c>
      <c r="G631" t="s">
        <v>1110</v>
      </c>
      <c r="H631" t="s">
        <v>255</v>
      </c>
      <c r="I631">
        <v>2016</v>
      </c>
      <c r="J631">
        <v>13</v>
      </c>
      <c r="K631" t="s">
        <v>2388</v>
      </c>
      <c r="M631" t="str">
        <f>LEFT($D631,FIND(",",$D631)-1)&amp;"_"&amp;I631&amp;L631</f>
        <v>Torssonen_2016</v>
      </c>
      <c r="N631" t="s">
        <v>223</v>
      </c>
      <c r="O631" s="145" t="s">
        <v>1156</v>
      </c>
      <c r="Q631" s="266" t="s">
        <v>257</v>
      </c>
      <c r="R631" s="271" t="s">
        <v>342</v>
      </c>
      <c r="S631" s="1" t="s">
        <v>2389</v>
      </c>
      <c r="T631" t="s">
        <v>2390</v>
      </c>
      <c r="U631" s="266" t="s">
        <v>2401</v>
      </c>
      <c r="V631">
        <v>0</v>
      </c>
      <c r="W631">
        <v>0</v>
      </c>
      <c r="X631">
        <v>0</v>
      </c>
      <c r="Y631">
        <v>1</v>
      </c>
      <c r="Z631">
        <v>0</v>
      </c>
      <c r="AA631">
        <v>0</v>
      </c>
      <c r="AB631">
        <v>1</v>
      </c>
      <c r="AC631">
        <v>0</v>
      </c>
      <c r="AD631">
        <v>0</v>
      </c>
      <c r="AE631">
        <v>0</v>
      </c>
      <c r="AF631">
        <v>0</v>
      </c>
      <c r="AG631">
        <v>0</v>
      </c>
      <c r="AH631">
        <v>0</v>
      </c>
      <c r="AI631">
        <v>0</v>
      </c>
      <c r="AJ631">
        <v>0</v>
      </c>
      <c r="AK631">
        <v>0</v>
      </c>
      <c r="AL631">
        <v>0</v>
      </c>
      <c r="AM631">
        <v>0</v>
      </c>
      <c r="AN631">
        <v>0</v>
      </c>
      <c r="AO631">
        <v>0</v>
      </c>
      <c r="AP631">
        <v>0</v>
      </c>
      <c r="AQ631">
        <v>0</v>
      </c>
      <c r="AR631">
        <v>0</v>
      </c>
      <c r="AS631">
        <v>0</v>
      </c>
      <c r="AT631">
        <v>0</v>
      </c>
      <c r="AU631">
        <v>0</v>
      </c>
      <c r="AV631">
        <v>0</v>
      </c>
      <c r="AW631">
        <v>0</v>
      </c>
      <c r="AX631" s="141">
        <f>COUNTIF(V631:AW631,"&lt;&gt;0")</f>
        <v>2</v>
      </c>
      <c r="AY631" s="141">
        <f>COUNTIF(V631:AL631,"&lt;&gt;0")</f>
        <v>2</v>
      </c>
      <c r="AZ631">
        <f>COUNTIF(V631:AC631,"&lt;&gt;0")</f>
        <v>2</v>
      </c>
      <c r="BA631">
        <f>COUNTIF(AD631:AI631,"&lt;&gt;0")</f>
        <v>0</v>
      </c>
      <c r="BB631">
        <f>COUNTIF(AJ631:AL631,"&lt;&gt;0")</f>
        <v>0</v>
      </c>
      <c r="BC631">
        <f>COUNTIF(AS631:AW631,"&lt;&gt;0")</f>
        <v>0</v>
      </c>
      <c r="BD631">
        <f>COUNTIF(AM631:AR631,"&lt;&gt;0")</f>
        <v>0</v>
      </c>
      <c r="BE631" t="str" cm="1">
        <f t="array" ref="BE631">IF(AY631=1,INDEX($V$7:$AL$7,MATCH(TRUE,INDEX($V631:$AW631&lt;&gt;0,),0)),IF(AY631=0,INDEX($AM$7:$AW$7,MATCH(1,$AM631:$AW631,0)),IF(BF631="Multiple strategies","mixed drivers",IF(BF631="Supply chain","multiple supply","multiple silviculture"))))</f>
        <v>multiple silviculture</v>
      </c>
      <c r="BF631" s="2" t="str" cm="1">
        <f t="array" ref="BF631">IF(COUNTIF(AZ631:BB631,"&lt;&gt;0")=1,INDEX($V$4:$AW$4,MATCH(TRUE,INDEX($V631:$AW631&lt;&gt;0,),0)),IF(COUNTIF(AZ631:BB631,"&lt;&gt;0")=0,INDEX($AM$4:$AW$4,MATCH(1,$AM631:$AW631,0)),"Multiple strategies"))</f>
        <v>SilvicultureRemov</v>
      </c>
      <c r="BG631" s="1" t="s">
        <v>230</v>
      </c>
      <c r="BH631" t="s">
        <v>2392</v>
      </c>
      <c r="BI631" s="266" t="s">
        <v>2393</v>
      </c>
      <c r="BJ631" t="s">
        <v>2394</v>
      </c>
      <c r="BK631">
        <v>0</v>
      </c>
      <c r="BL631">
        <v>0.35</v>
      </c>
      <c r="BM631" s="143" t="e">
        <f>BL631/BK631</f>
        <v>#DIV/0!</v>
      </c>
      <c r="BN631">
        <f>BL631-BK631</f>
        <v>0.35</v>
      </c>
      <c r="BO631">
        <f>+BL631*t_to_m3</f>
        <v>0.7142857142857143</v>
      </c>
      <c r="BP631" s="308" t="s">
        <v>396</v>
      </c>
      <c r="BQ631" s="153" t="s">
        <v>3423</v>
      </c>
      <c r="BR631" s="266" t="s">
        <v>2395</v>
      </c>
      <c r="BS631">
        <v>-247.272727272727</v>
      </c>
      <c r="BT631">
        <v>-324.36363636363598</v>
      </c>
      <c r="BU631" s="144"/>
      <c r="BV631" s="144">
        <f>BT631-BS631</f>
        <v>-77.09090909090898</v>
      </c>
      <c r="BW631" s="144"/>
      <c r="BX631" s="144">
        <f>BV631*10^4/10^6</f>
        <v>-0.77090909090908977</v>
      </c>
      <c r="BY631">
        <f>IFERROR(BX631/BO631,"")</f>
        <v>-1.0792727272727256</v>
      </c>
      <c r="BZ631">
        <v>0</v>
      </c>
      <c r="CA631">
        <v>0</v>
      </c>
      <c r="CB631">
        <v>0</v>
      </c>
      <c r="CC631">
        <v>0</v>
      </c>
      <c r="CD631">
        <v>0</v>
      </c>
      <c r="CE631">
        <v>0</v>
      </c>
      <c r="CF631">
        <v>0</v>
      </c>
      <c r="CG631">
        <v>0</v>
      </c>
      <c r="CH631">
        <v>0</v>
      </c>
      <c r="CI631">
        <v>0</v>
      </c>
      <c r="CJ631">
        <v>0</v>
      </c>
      <c r="CK631">
        <v>0</v>
      </c>
      <c r="CL631">
        <v>0</v>
      </c>
      <c r="CM631">
        <v>1</v>
      </c>
      <c r="CN631" t="str">
        <f>IF($BL631&lt;$BK631,"refNeedCorrection","refOK")</f>
        <v>refOK</v>
      </c>
      <c r="CO631">
        <f>IF($CN631="refOK",$BK631,$BL631)</f>
        <v>0</v>
      </c>
      <c r="CP631">
        <f>IF($CN631="refOK",$BL631,$BK631)</f>
        <v>0.35</v>
      </c>
      <c r="CQ631">
        <f>IF($CN631="refOK",$BO631,-$BO631)</f>
        <v>0.7142857142857143</v>
      </c>
      <c r="CR631">
        <f>IF($CN631="refOK",$BS631,$BT631)*IF($BP631="Emissions positive",-1,1)</f>
        <v>247.272727272727</v>
      </c>
      <c r="CS631">
        <f>IF($CN631="refOK",$BT631,$BS631)*IF($BP631="Emissions positive",-1,1)</f>
        <v>324.36363636363598</v>
      </c>
      <c r="CT631">
        <f>IF($CN631="refNeedCorrection",-BX631,BX631)*IF($BP631="Emissions positive",-1,1)</f>
        <v>0.77090909090908977</v>
      </c>
      <c r="CU631">
        <f>IFERROR(CT631/CQ631,"")</f>
        <v>1.0792727272727256</v>
      </c>
      <c r="CV631" s="2">
        <f>IFERROR((CS631-CR631)/ABS(CR631),"")</f>
        <v>0.31176470588235283</v>
      </c>
      <c r="CW631" s="1" t="s">
        <v>1201</v>
      </c>
      <c r="CX631" s="266" t="str">
        <f>IF(OR($CW631="prd",$CW631="std",$CW631="cit"),"loc",IF(OR($CW631="eur",$CW631="reg",$CW631="coy"),"reg",$CW631))</f>
        <v>reg</v>
      </c>
      <c r="CY631" t="s">
        <v>236</v>
      </c>
      <c r="CZ631">
        <v>2020</v>
      </c>
      <c r="DA631">
        <v>2100</v>
      </c>
      <c r="DB631">
        <f>DA631-CZ631</f>
        <v>80</v>
      </c>
      <c r="DC631" t="str">
        <f>IF(DB631=0,"0",IF(AND(DB631&gt;=1,DB631&lt;=30),"1-30",IF(AND(DB631&gt;30,DB631&lt;=70),"31-70",IF(AND(DB631&gt;70,DB631&lt;=100),"71-100",IF(DB631&gt;100,"+100")))))</f>
        <v>71-100</v>
      </c>
      <c r="DD631">
        <v>0</v>
      </c>
      <c r="DE631">
        <v>1</v>
      </c>
      <c r="DF631">
        <v>0</v>
      </c>
      <c r="DG631">
        <v>0</v>
      </c>
      <c r="DI631">
        <f>SUM(DD631:DG631)</f>
        <v>1</v>
      </c>
      <c r="DJ631" t="str">
        <f>IF(DI631=1,INDEX($DD$7:$DG$7,MATCH(1,$DD631:$DG631,0)),"mixedProduct")</f>
        <v>EnergyInput</v>
      </c>
      <c r="DK631">
        <f>IF(DD631=1,DK$7,0)</f>
        <v>0</v>
      </c>
      <c r="DL631" t="str">
        <f>IF(DE631=1,DL$7,0)</f>
        <v>Energy</v>
      </c>
      <c r="DM631">
        <f>IF(DF631=1,DM$7,0)</f>
        <v>0</v>
      </c>
      <c r="DN631">
        <f>IF(DG631=1,DN$7,0)</f>
        <v>0</v>
      </c>
      <c r="DO631">
        <v>1</v>
      </c>
      <c r="DP631">
        <v>0</v>
      </c>
      <c r="DQ631">
        <v>0</v>
      </c>
      <c r="DR631">
        <v>0</v>
      </c>
      <c r="DS631">
        <v>0</v>
      </c>
      <c r="DT631">
        <f>SUM(DO631:DP631)</f>
        <v>1</v>
      </c>
      <c r="DU631" s="143" t="str">
        <f>IF(DO631=1,"self-calculated DF",IF(DP631=1,"external DF used","explicit C balance"))</f>
        <v>self-calculated DF</v>
      </c>
      <c r="DV631">
        <v>1</v>
      </c>
      <c r="DW631">
        <v>0</v>
      </c>
      <c r="DX631">
        <v>1</v>
      </c>
      <c r="DY631">
        <v>0</v>
      </c>
      <c r="DZ631">
        <v>0</v>
      </c>
      <c r="EA631" s="143">
        <v>0</v>
      </c>
      <c r="EB631">
        <v>0</v>
      </c>
      <c r="EC631">
        <v>0</v>
      </c>
      <c r="ED631">
        <v>0</v>
      </c>
      <c r="EE631">
        <v>0</v>
      </c>
      <c r="EF631">
        <v>1</v>
      </c>
      <c r="EG631">
        <v>0</v>
      </c>
      <c r="EH631">
        <v>0</v>
      </c>
      <c r="EI631" s="2">
        <v>0</v>
      </c>
      <c r="EK631" t="str">
        <f>IF(AND(AND(AND(OR($DX631=1,$DW631=1),OR($EC631=1,$EA631=1)),SUM($DV631:$DZ631,$EF631)&gt;=4),SUM($EA631:$EE631)&gt;=2),"Whole sector","")</f>
        <v/>
      </c>
      <c r="EL631" t="str">
        <f>IF(AND(AND(OR($DX631=1,$DW631=1),AND($EC631=0,$EA631=0)),SUM($DV631:$DZ631,$EF631)&gt;=4),"Ecosystem approach","")</f>
        <v/>
      </c>
      <c r="EM631" s="2" t="str">
        <f>IF(AND(AND(AND($DX631=0,$DW631=0),OR($EC631=1,$EA631=1)),SUM($EB631:$EE631)&gt;=2),"Technology approach","")</f>
        <v/>
      </c>
      <c r="EP631" t="str">
        <f>IF(ISNUMBER(BU631),IF(ABS(BU631-[1]QC_indicators!$B$2)&gt;3*[1]QC_indicators!$C$2,"C ratio",IF(ISNUMBER(BY631),IF(ABS(BY631-[1]QC_indicators!$B$1)&gt;3*[1]QC_indicators!$C$1,"DF","no"))),IF(ISNUMBER(BY631),IF(ABS(BY631-[1]QC_indicators!$B$1)&gt;3*[1]QC_indicators!$C$1,"DF","no")))</f>
        <v>no</v>
      </c>
      <c r="ER631" s="266" t="s">
        <v>2396</v>
      </c>
      <c r="ET631" s="308" t="s">
        <v>3424</v>
      </c>
    </row>
    <row r="632" spans="1:150" ht="15" hidden="1" customHeight="1">
      <c r="A632" s="1" t="s">
        <v>1104</v>
      </c>
      <c r="B632" t="s">
        <v>2383</v>
      </c>
      <c r="C632" t="s">
        <v>2384</v>
      </c>
      <c r="D632" t="s">
        <v>2385</v>
      </c>
      <c r="E632" t="s">
        <v>2386</v>
      </c>
      <c r="F632" t="s">
        <v>2387</v>
      </c>
      <c r="G632" t="s">
        <v>1110</v>
      </c>
      <c r="H632" t="s">
        <v>255</v>
      </c>
      <c r="I632">
        <v>2016</v>
      </c>
      <c r="J632">
        <v>13</v>
      </c>
      <c r="K632" t="s">
        <v>2388</v>
      </c>
      <c r="M632" t="str">
        <f>LEFT($D632,FIND(",",$D632)-1)&amp;"_"&amp;I632&amp;L632</f>
        <v>Torssonen_2016</v>
      </c>
      <c r="N632" t="s">
        <v>223</v>
      </c>
      <c r="O632" s="145" t="s">
        <v>1156</v>
      </c>
      <c r="Q632" s="266" t="s">
        <v>257</v>
      </c>
      <c r="R632" s="271" t="s">
        <v>342</v>
      </c>
      <c r="S632" s="1" t="s">
        <v>2389</v>
      </c>
      <c r="T632" t="s">
        <v>2400</v>
      </c>
      <c r="U632" t="s">
        <v>2391</v>
      </c>
      <c r="V632">
        <v>0</v>
      </c>
      <c r="W632">
        <v>0</v>
      </c>
      <c r="X632">
        <v>0</v>
      </c>
      <c r="Y632">
        <v>1</v>
      </c>
      <c r="Z632">
        <v>0</v>
      </c>
      <c r="AA632">
        <v>0</v>
      </c>
      <c r="AB632">
        <v>0</v>
      </c>
      <c r="AC632">
        <v>0</v>
      </c>
      <c r="AD632">
        <v>0</v>
      </c>
      <c r="AE632">
        <v>0</v>
      </c>
      <c r="AF632">
        <v>0</v>
      </c>
      <c r="AG632">
        <v>0</v>
      </c>
      <c r="AH632">
        <v>0</v>
      </c>
      <c r="AI632">
        <v>0</v>
      </c>
      <c r="AJ632">
        <v>0</v>
      </c>
      <c r="AK632">
        <v>0</v>
      </c>
      <c r="AL632">
        <v>0</v>
      </c>
      <c r="AM632">
        <v>0</v>
      </c>
      <c r="AN632">
        <v>0</v>
      </c>
      <c r="AO632">
        <v>0</v>
      </c>
      <c r="AP632">
        <v>0</v>
      </c>
      <c r="AQ632">
        <v>0</v>
      </c>
      <c r="AR632">
        <v>0</v>
      </c>
      <c r="AS632">
        <v>0</v>
      </c>
      <c r="AT632">
        <v>0</v>
      </c>
      <c r="AU632">
        <v>0</v>
      </c>
      <c r="AV632">
        <v>0</v>
      </c>
      <c r="AW632">
        <v>0</v>
      </c>
      <c r="AX632" s="141">
        <f>COUNTIF(V632:AW632,"&lt;&gt;0")</f>
        <v>1</v>
      </c>
      <c r="AY632" s="141">
        <f>COUNTIF(V632:AL632,"&lt;&gt;0")</f>
        <v>1</v>
      </c>
      <c r="AZ632">
        <f>COUNTIF(V632:AC632,"&lt;&gt;0")</f>
        <v>1</v>
      </c>
      <c r="BA632">
        <f>COUNTIF(AD632:AI632,"&lt;&gt;0")</f>
        <v>0</v>
      </c>
      <c r="BB632">
        <f>COUNTIF(AJ632:AL632,"&lt;&gt;0")</f>
        <v>0</v>
      </c>
      <c r="BC632">
        <f>COUNTIF(AS632:AW632,"&lt;&gt;0")</f>
        <v>0</v>
      </c>
      <c r="BD632">
        <f>COUNTIF(AM632:AR632,"&lt;&gt;0")</f>
        <v>0</v>
      </c>
      <c r="BE632" t="str" cm="1">
        <f t="array" ref="BE632">IF(AY632=1,INDEX($V$7:$AL$7,MATCH(TRUE,INDEX($V632:$AW632&lt;&gt;0,),0)),IF(AY632=0,INDEX($AM$7:$AW$7,MATCH(1,$AM632:$AW632,0)),IF(BF632="Multiple strategies","mixed drivers",IF(BF632="Supply chain","multiple supply","multiple silviculture"))))</f>
        <v xml:space="preserve">cutting intensity </v>
      </c>
      <c r="BF632" s="2" t="str" cm="1">
        <f t="array" ref="BF632">IF(COUNTIF(AZ632:BB632,"&lt;&gt;0")=1,INDEX($V$4:$AW$4,MATCH(TRUE,INDEX($V632:$AW632&lt;&gt;0,),0)),IF(COUNTIF(AZ632:BB632,"&lt;&gt;0")=0,INDEX($AM$4:$AW$4,MATCH(1,$AM632:$AW632,0)),"Multiple strategies"))</f>
        <v>SilvicultureRemov</v>
      </c>
      <c r="BG632" s="1" t="s">
        <v>230</v>
      </c>
      <c r="BH632" s="308" t="s">
        <v>2146</v>
      </c>
      <c r="BI632" s="266" t="s">
        <v>2393</v>
      </c>
      <c r="BJ632" s="308" t="s">
        <v>1060</v>
      </c>
      <c r="BK632">
        <v>6.697959172</v>
      </c>
      <c r="BL632">
        <v>6.8142857049999996</v>
      </c>
      <c r="BM632" s="143">
        <f>BL632/BK632</f>
        <v>1.0173674592533033</v>
      </c>
      <c r="BN632">
        <f>BL632-BK632</f>
        <v>0.11632653299999962</v>
      </c>
      <c r="BO632">
        <f>BN632</f>
        <v>0.11632653299999962</v>
      </c>
      <c r="BP632" s="308" t="s">
        <v>396</v>
      </c>
      <c r="BQ632" s="153" t="s">
        <v>3423</v>
      </c>
      <c r="BR632" s="266" t="s">
        <v>2395</v>
      </c>
      <c r="BS632" s="301">
        <v>-334.54545000000002</v>
      </c>
      <c r="BT632">
        <v>-302.54545454545399</v>
      </c>
      <c r="BU632" s="144"/>
      <c r="BV632" s="144">
        <f>BT632-BS632</f>
        <v>31.999995454546024</v>
      </c>
      <c r="BW632" s="144"/>
      <c r="BX632" s="144">
        <f>BV632*10^4/10^6</f>
        <v>0.31999995454546021</v>
      </c>
      <c r="BY632">
        <f>IFERROR(BX632/BO632,"")</f>
        <v>2.7508767457675476</v>
      </c>
      <c r="BZ632">
        <v>0</v>
      </c>
      <c r="CA632">
        <v>0</v>
      </c>
      <c r="CB632">
        <v>0</v>
      </c>
      <c r="CC632">
        <v>0</v>
      </c>
      <c r="CD632">
        <v>0</v>
      </c>
      <c r="CE632">
        <v>0</v>
      </c>
      <c r="CF632">
        <v>0</v>
      </c>
      <c r="CG632">
        <v>0</v>
      </c>
      <c r="CH632">
        <v>0</v>
      </c>
      <c r="CI632">
        <v>0</v>
      </c>
      <c r="CJ632">
        <v>0</v>
      </c>
      <c r="CK632">
        <v>0</v>
      </c>
      <c r="CL632">
        <v>0</v>
      </c>
      <c r="CM632">
        <v>1</v>
      </c>
      <c r="CN632" t="str">
        <f>IF($BL632&lt;$BK632,"refNeedCorrection","refOK")</f>
        <v>refOK</v>
      </c>
      <c r="CO632">
        <f>IF($CN632="refOK",$BK632,$BL632)</f>
        <v>6.697959172</v>
      </c>
      <c r="CP632">
        <f>IF($CN632="refOK",$BL632,$BK632)</f>
        <v>6.8142857049999996</v>
      </c>
      <c r="CQ632">
        <f>IF($CN632="refOK",$BO632,-$BO632)</f>
        <v>0.11632653299999962</v>
      </c>
      <c r="CR632">
        <f>IF($CN632="refOK",$BS632,$BT632)*IF($BP632="Emissions positive",-1,1)</f>
        <v>334.54545000000002</v>
      </c>
      <c r="CS632">
        <f>IF($CN632="refOK",$BT632,$BS632)*IF($BP632="Emissions positive",-1,1)</f>
        <v>302.54545454545399</v>
      </c>
      <c r="CT632">
        <f>IF($CN632="refNeedCorrection",-BX632,BX632)*IF($BP632="Emissions positive",-1,1)</f>
        <v>-0.31999995454546021</v>
      </c>
      <c r="CU632">
        <f>IFERROR(CT632/CQ632,"")</f>
        <v>-2.7508767457675476</v>
      </c>
      <c r="CV632" s="2">
        <f>IFERROR((CS632-CR632)/ABS(CR632),"")</f>
        <v>-9.5652161625710413E-2</v>
      </c>
      <c r="CW632" s="1" t="s">
        <v>1201</v>
      </c>
      <c r="CX632" s="266" t="str">
        <f>IF(OR($CW632="prd",$CW632="std",$CW632="cit"),"loc",IF(OR($CW632="eur",$CW632="reg",$CW632="coy"),"reg",$CW632))</f>
        <v>reg</v>
      </c>
      <c r="CY632" t="s">
        <v>236</v>
      </c>
      <c r="CZ632">
        <v>2020</v>
      </c>
      <c r="DA632">
        <v>2100</v>
      </c>
      <c r="DB632">
        <f>DA632-CZ632</f>
        <v>80</v>
      </c>
      <c r="DC632" t="str">
        <f>IF(DB632=0,"0",IF(AND(DB632&gt;=1,DB632&lt;=30),"1-30",IF(AND(DB632&gt;30,DB632&lt;=70),"31-70",IF(AND(DB632&gt;70,DB632&lt;=100),"71-100",IF(DB632&gt;100,"+100")))))</f>
        <v>71-100</v>
      </c>
      <c r="DD632">
        <v>0</v>
      </c>
      <c r="DE632">
        <v>1</v>
      </c>
      <c r="DF632">
        <v>0</v>
      </c>
      <c r="DG632">
        <v>1</v>
      </c>
      <c r="DI632">
        <f>SUM(DD632:DG632)</f>
        <v>2</v>
      </c>
      <c r="DJ632" t="str">
        <f>IF(DI632=1,INDEX($DD$7:$DG$7,MATCH(1,$DD632:$DG632,0)),"mixedProduct")</f>
        <v>mixedProduct</v>
      </c>
      <c r="DK632">
        <f>IF(DD632=1,DK$7,0)</f>
        <v>0</v>
      </c>
      <c r="DL632" t="str">
        <f>IF(DE632=1,DL$7,0)</f>
        <v>Energy</v>
      </c>
      <c r="DM632">
        <f>IF(DF632=1,DM$7,0)</f>
        <v>0</v>
      </c>
      <c r="DN632" t="str">
        <f>IF(DG632=1,DN$7,0)</f>
        <v>Timber</v>
      </c>
      <c r="DO632">
        <v>1</v>
      </c>
      <c r="DP632">
        <v>0</v>
      </c>
      <c r="DQ632">
        <v>0</v>
      </c>
      <c r="DR632">
        <v>0</v>
      </c>
      <c r="DS632">
        <v>0</v>
      </c>
      <c r="DT632">
        <f>SUM(DO632:DP632)</f>
        <v>1</v>
      </c>
      <c r="DU632" s="143" t="str">
        <f>IF(DO632=1,"self-calculated DF",IF(DP632=1,"external DF used","explicit C balance"))</f>
        <v>self-calculated DF</v>
      </c>
      <c r="DV632">
        <v>1</v>
      </c>
      <c r="DW632">
        <v>0</v>
      </c>
      <c r="DX632">
        <v>1</v>
      </c>
      <c r="DY632">
        <v>0</v>
      </c>
      <c r="DZ632">
        <v>0</v>
      </c>
      <c r="EA632" s="143">
        <v>0</v>
      </c>
      <c r="EB632">
        <v>0</v>
      </c>
      <c r="EC632">
        <v>0</v>
      </c>
      <c r="ED632">
        <v>0</v>
      </c>
      <c r="EE632">
        <v>0</v>
      </c>
      <c r="EF632">
        <v>1</v>
      </c>
      <c r="EG632">
        <v>0</v>
      </c>
      <c r="EH632">
        <v>0</v>
      </c>
      <c r="EI632" s="2">
        <v>0</v>
      </c>
      <c r="EK632" t="str">
        <f>IF(AND(AND(AND(OR($DX632=1,$DW632=1),OR($EC632=1,$EA632=1)),SUM($DV632:$DZ632,$EF632)&gt;=4),SUM($EA632:$EE632)&gt;=2),"Whole sector","")</f>
        <v/>
      </c>
      <c r="EL632" t="str">
        <f>IF(AND(AND(OR($DX632=1,$DW632=1),AND($EC632=0,$EA632=0)),SUM($DV632:$DZ632,$EF632)&gt;=4),"Ecosystem approach","")</f>
        <v/>
      </c>
      <c r="EM632" s="2" t="str">
        <f>IF(AND(AND(AND($DX632=0,$DW632=0),OR($EC632=1,$EA632=1)),SUM($EB632:$EE632)&gt;=2),"Technology approach","")</f>
        <v/>
      </c>
      <c r="EP632" t="str">
        <f>IF(ISNUMBER(BU632),IF(ABS(BU632-[1]QC_indicators!$B$2)&gt;3*[1]QC_indicators!$C$2,"C ratio",IF(ISNUMBER(BY632),IF(ABS(BY632-[1]QC_indicators!$B$1)&gt;3*[1]QC_indicators!$C$1,"DF","no"))),IF(ISNUMBER(BY632),IF(ABS(BY632-[1]QC_indicators!$B$1)&gt;3*[1]QC_indicators!$C$1,"DF","no")))</f>
        <v>no</v>
      </c>
      <c r="ER632" s="266" t="s">
        <v>2396</v>
      </c>
      <c r="ET632" s="308" t="s">
        <v>3424</v>
      </c>
    </row>
    <row r="633" spans="1:150" ht="15" hidden="1" customHeight="1">
      <c r="A633" s="1" t="s">
        <v>1104</v>
      </c>
      <c r="B633" t="s">
        <v>2383</v>
      </c>
      <c r="C633" t="s">
        <v>2384</v>
      </c>
      <c r="D633" t="s">
        <v>2385</v>
      </c>
      <c r="E633" t="s">
        <v>2386</v>
      </c>
      <c r="F633" t="s">
        <v>2387</v>
      </c>
      <c r="G633" t="s">
        <v>1110</v>
      </c>
      <c r="H633" t="s">
        <v>255</v>
      </c>
      <c r="I633">
        <v>2016</v>
      </c>
      <c r="J633">
        <v>13</v>
      </c>
      <c r="K633" t="s">
        <v>2388</v>
      </c>
      <c r="M633" t="str">
        <f>LEFT($D633,FIND(",",$D633)-1)&amp;"_"&amp;I633&amp;L633</f>
        <v>Torssonen_2016</v>
      </c>
      <c r="N633" t="s">
        <v>223</v>
      </c>
      <c r="O633" s="145" t="s">
        <v>1156</v>
      </c>
      <c r="Q633" s="266" t="s">
        <v>257</v>
      </c>
      <c r="R633" s="271" t="s">
        <v>342</v>
      </c>
      <c r="S633" s="1" t="s">
        <v>2389</v>
      </c>
      <c r="T633" t="s">
        <v>2400</v>
      </c>
      <c r="U633" t="s">
        <v>2397</v>
      </c>
      <c r="V633">
        <v>0</v>
      </c>
      <c r="W633">
        <v>0</v>
      </c>
      <c r="X633">
        <v>0</v>
      </c>
      <c r="Y633">
        <v>1</v>
      </c>
      <c r="Z633">
        <v>0</v>
      </c>
      <c r="AA633">
        <v>0</v>
      </c>
      <c r="AB633">
        <v>0</v>
      </c>
      <c r="AC633">
        <v>0</v>
      </c>
      <c r="AD633">
        <v>0</v>
      </c>
      <c r="AE633">
        <v>0</v>
      </c>
      <c r="AF633">
        <v>0</v>
      </c>
      <c r="AG633">
        <v>0</v>
      </c>
      <c r="AH633">
        <v>0</v>
      </c>
      <c r="AI633">
        <v>0</v>
      </c>
      <c r="AJ633">
        <v>0</v>
      </c>
      <c r="AK633">
        <v>0</v>
      </c>
      <c r="AL633">
        <v>0</v>
      </c>
      <c r="AM633">
        <v>0</v>
      </c>
      <c r="AN633">
        <v>0</v>
      </c>
      <c r="AO633">
        <v>0</v>
      </c>
      <c r="AP633">
        <v>0</v>
      </c>
      <c r="AQ633">
        <v>0</v>
      </c>
      <c r="AR633">
        <v>0</v>
      </c>
      <c r="AS633">
        <v>0</v>
      </c>
      <c r="AT633">
        <v>0</v>
      </c>
      <c r="AU633">
        <v>0</v>
      </c>
      <c r="AV633">
        <v>0</v>
      </c>
      <c r="AW633">
        <v>0</v>
      </c>
      <c r="AX633" s="141">
        <f>COUNTIF(V633:AW633,"&lt;&gt;0")</f>
        <v>1</v>
      </c>
      <c r="AY633" s="141">
        <f>COUNTIF(V633:AL633,"&lt;&gt;0")</f>
        <v>1</v>
      </c>
      <c r="AZ633">
        <f>COUNTIF(V633:AC633,"&lt;&gt;0")</f>
        <v>1</v>
      </c>
      <c r="BA633">
        <f>COUNTIF(AD633:AI633,"&lt;&gt;0")</f>
        <v>0</v>
      </c>
      <c r="BB633">
        <f>COUNTIF(AJ633:AL633,"&lt;&gt;0")</f>
        <v>0</v>
      </c>
      <c r="BC633">
        <f>COUNTIF(AS633:AW633,"&lt;&gt;0")</f>
        <v>0</v>
      </c>
      <c r="BD633">
        <f>COUNTIF(AM633:AR633,"&lt;&gt;0")</f>
        <v>0</v>
      </c>
      <c r="BE633" t="str" cm="1">
        <f t="array" ref="BE633">IF(AY633=1,INDEX($V$7:$AL$7,MATCH(TRUE,INDEX($V633:$AW633&lt;&gt;0,),0)),IF(AY633=0,INDEX($AM$7:$AW$7,MATCH(1,$AM633:$AW633,0)),IF(BF633="Multiple strategies","mixed drivers",IF(BF633="Supply chain","multiple supply","multiple silviculture"))))</f>
        <v xml:space="preserve">cutting intensity </v>
      </c>
      <c r="BF633" s="2" t="str" cm="1">
        <f t="array" ref="BF633">IF(COUNTIF(AZ633:BB633,"&lt;&gt;0")=1,INDEX($V$4:$AW$4,MATCH(TRUE,INDEX($V633:$AW633&lt;&gt;0,),0)),IF(COUNTIF(AZ633:BB633,"&lt;&gt;0")=0,INDEX($AM$4:$AW$4,MATCH(1,$AM633:$AW633,0)),"Multiple strategies"))</f>
        <v>SilvicultureRemov</v>
      </c>
      <c r="BG633" s="1" t="s">
        <v>230</v>
      </c>
      <c r="BH633" s="308" t="s">
        <v>2146</v>
      </c>
      <c r="BI633" s="266" t="s">
        <v>2393</v>
      </c>
      <c r="BJ633" s="308" t="s">
        <v>1060</v>
      </c>
      <c r="BK633">
        <v>6.697959172</v>
      </c>
      <c r="BL633">
        <v>7.9367346699999999</v>
      </c>
      <c r="BM633" s="143">
        <f>BL633/BK633</f>
        <v>1.1849482008159364</v>
      </c>
      <c r="BN633">
        <f>BL633-BK633</f>
        <v>1.2387754979999999</v>
      </c>
      <c r="BO633">
        <f>BN633</f>
        <v>1.2387754979999999</v>
      </c>
      <c r="BP633" s="308" t="s">
        <v>396</v>
      </c>
      <c r="BQ633" s="153" t="s">
        <v>3423</v>
      </c>
      <c r="BR633" s="266" t="s">
        <v>2395</v>
      </c>
      <c r="BS633" s="301">
        <v>-334.54545000000002</v>
      </c>
      <c r="BT633">
        <v>-402.90909090909099</v>
      </c>
      <c r="BU633" s="144"/>
      <c r="BV633" s="144">
        <f>BT633-BS633</f>
        <v>-68.363640909090975</v>
      </c>
      <c r="BW633" s="144"/>
      <c r="BX633" s="144">
        <f>BV633*10^4/10^6</f>
        <v>-0.68363640909090972</v>
      </c>
      <c r="BY633">
        <f>IFERROR(BX633/BO633,"")</f>
        <v>-0.55186465198467283</v>
      </c>
      <c r="BZ633">
        <v>0</v>
      </c>
      <c r="CA633">
        <v>0</v>
      </c>
      <c r="CB633">
        <v>0</v>
      </c>
      <c r="CC633">
        <v>0</v>
      </c>
      <c r="CD633">
        <v>0</v>
      </c>
      <c r="CE633">
        <v>0</v>
      </c>
      <c r="CF633">
        <v>0</v>
      </c>
      <c r="CG633">
        <v>0</v>
      </c>
      <c r="CH633">
        <v>0</v>
      </c>
      <c r="CI633">
        <v>0</v>
      </c>
      <c r="CJ633">
        <v>0</v>
      </c>
      <c r="CK633">
        <v>0</v>
      </c>
      <c r="CL633">
        <v>0</v>
      </c>
      <c r="CM633">
        <v>1</v>
      </c>
      <c r="CN633" t="str">
        <f>IF($BL633&lt;$BK633,"refNeedCorrection","refOK")</f>
        <v>refOK</v>
      </c>
      <c r="CO633">
        <f>IF($CN633="refOK",$BK633,$BL633)</f>
        <v>6.697959172</v>
      </c>
      <c r="CP633">
        <f>IF($CN633="refOK",$BL633,$BK633)</f>
        <v>7.9367346699999999</v>
      </c>
      <c r="CQ633">
        <f>IF($CN633="refOK",$BO633,-$BO633)</f>
        <v>1.2387754979999999</v>
      </c>
      <c r="CR633">
        <f>IF($CN633="refOK",$BS633,$BT633)*IF($BP633="Emissions positive",-1,1)</f>
        <v>334.54545000000002</v>
      </c>
      <c r="CS633">
        <f>IF($CN633="refOK",$BT633,$BS633)*IF($BP633="Emissions positive",-1,1)</f>
        <v>402.90909090909099</v>
      </c>
      <c r="CT633">
        <f>IF($CN633="refNeedCorrection",-BX633,BX633)*IF($BP633="Emissions positive",-1,1)</f>
        <v>0.68363640909090972</v>
      </c>
      <c r="CU633">
        <f>IFERROR(CT633/CQ633,"")</f>
        <v>0.55186465198467283</v>
      </c>
      <c r="CV633" s="2">
        <f>IFERROR((CS633-CR633)/ABS(CR633),"")</f>
        <v>0.20434784245037849</v>
      </c>
      <c r="CW633" s="1" t="s">
        <v>1201</v>
      </c>
      <c r="CX633" s="266" t="str">
        <f>IF(OR($CW633="prd",$CW633="std",$CW633="cit"),"loc",IF(OR($CW633="eur",$CW633="reg",$CW633="coy"),"reg",$CW633))</f>
        <v>reg</v>
      </c>
      <c r="CY633" t="s">
        <v>236</v>
      </c>
      <c r="CZ633">
        <v>2020</v>
      </c>
      <c r="DA633">
        <v>2100</v>
      </c>
      <c r="DB633">
        <f>DA633-CZ633</f>
        <v>80</v>
      </c>
      <c r="DC633" t="str">
        <f>IF(DB633=0,"0",IF(AND(DB633&gt;=1,DB633&lt;=30),"1-30",IF(AND(DB633&gt;30,DB633&lt;=70),"31-70",IF(AND(DB633&gt;70,DB633&lt;=100),"71-100",IF(DB633&gt;100,"+100")))))</f>
        <v>71-100</v>
      </c>
      <c r="DD633">
        <v>0</v>
      </c>
      <c r="DE633">
        <v>1</v>
      </c>
      <c r="DF633">
        <v>0</v>
      </c>
      <c r="DG633">
        <v>1</v>
      </c>
      <c r="DI633">
        <f>SUM(DD633:DG633)</f>
        <v>2</v>
      </c>
      <c r="DJ633" t="str">
        <f>IF(DI633=1,INDEX($DD$7:$DG$7,MATCH(1,$DD633:$DG633,0)),"mixedProduct")</f>
        <v>mixedProduct</v>
      </c>
      <c r="DK633">
        <f>IF(DD633=1,DK$7,0)</f>
        <v>0</v>
      </c>
      <c r="DL633" t="str">
        <f>IF(DE633=1,DL$7,0)</f>
        <v>Energy</v>
      </c>
      <c r="DM633">
        <f>IF(DF633=1,DM$7,0)</f>
        <v>0</v>
      </c>
      <c r="DN633" t="str">
        <f>IF(DG633=1,DN$7,0)</f>
        <v>Timber</v>
      </c>
      <c r="DO633">
        <v>1</v>
      </c>
      <c r="DP633">
        <v>0</v>
      </c>
      <c r="DQ633">
        <v>0</v>
      </c>
      <c r="DR633">
        <v>0</v>
      </c>
      <c r="DS633">
        <v>0</v>
      </c>
      <c r="DT633">
        <f>SUM(DO633:DP633)</f>
        <v>1</v>
      </c>
      <c r="DU633" s="143" t="str">
        <f>IF(DO633=1,"self-calculated DF",IF(DP633=1,"external DF used","explicit C balance"))</f>
        <v>self-calculated DF</v>
      </c>
      <c r="DV633">
        <v>1</v>
      </c>
      <c r="DW633">
        <v>0</v>
      </c>
      <c r="DX633">
        <v>1</v>
      </c>
      <c r="DY633">
        <v>0</v>
      </c>
      <c r="DZ633">
        <v>0</v>
      </c>
      <c r="EA633" s="143">
        <v>0</v>
      </c>
      <c r="EB633">
        <v>0</v>
      </c>
      <c r="EC633">
        <v>0</v>
      </c>
      <c r="ED633">
        <v>0</v>
      </c>
      <c r="EE633">
        <v>0</v>
      </c>
      <c r="EF633">
        <v>1</v>
      </c>
      <c r="EG633">
        <v>0</v>
      </c>
      <c r="EH633">
        <v>0</v>
      </c>
      <c r="EI633" s="2">
        <v>0</v>
      </c>
      <c r="EK633" t="str">
        <f>IF(AND(AND(AND(OR($DX633=1,$DW633=1),OR($EC633=1,$EA633=1)),SUM($DV633:$DZ633,$EF633)&gt;=4),SUM($EA633:$EE633)&gt;=2),"Whole sector","")</f>
        <v/>
      </c>
      <c r="EL633" t="str">
        <f>IF(AND(AND(OR($DX633=1,$DW633=1),AND($EC633=0,$EA633=0)),SUM($DV633:$DZ633,$EF633)&gt;=4),"Ecosystem approach","")</f>
        <v/>
      </c>
      <c r="EM633" s="2" t="str">
        <f>IF(AND(AND(AND($DX633=0,$DW633=0),OR($EC633=1,$EA633=1)),SUM($EB633:$EE633)&gt;=2),"Technology approach","")</f>
        <v/>
      </c>
      <c r="EP633" t="str">
        <f>IF(ISNUMBER(BU633),IF(ABS(BU633-[1]QC_indicators!$B$2)&gt;3*[1]QC_indicators!$C$2,"C ratio",IF(ISNUMBER(BY633),IF(ABS(BY633-[1]QC_indicators!$B$1)&gt;3*[1]QC_indicators!$C$1,"DF","no"))),IF(ISNUMBER(BY633),IF(ABS(BY633-[1]QC_indicators!$B$1)&gt;3*[1]QC_indicators!$C$1,"DF","no")))</f>
        <v>no</v>
      </c>
      <c r="ER633" s="266" t="s">
        <v>2396</v>
      </c>
      <c r="ET633" s="308" t="s">
        <v>3424</v>
      </c>
    </row>
    <row r="634" spans="1:150" ht="15" hidden="1" customHeight="1">
      <c r="A634" s="1" t="s">
        <v>1104</v>
      </c>
      <c r="B634" t="s">
        <v>2383</v>
      </c>
      <c r="C634" t="s">
        <v>2384</v>
      </c>
      <c r="D634" t="s">
        <v>2385</v>
      </c>
      <c r="E634" t="s">
        <v>2386</v>
      </c>
      <c r="F634" t="s">
        <v>2387</v>
      </c>
      <c r="G634" t="s">
        <v>1110</v>
      </c>
      <c r="H634" t="s">
        <v>255</v>
      </c>
      <c r="I634">
        <v>2016</v>
      </c>
      <c r="J634">
        <v>13</v>
      </c>
      <c r="K634" t="s">
        <v>2388</v>
      </c>
      <c r="M634" t="str">
        <f>LEFT($D634,FIND(",",$D634)-1)&amp;"_"&amp;I634&amp;L634</f>
        <v>Torssonen_2016</v>
      </c>
      <c r="N634" t="s">
        <v>223</v>
      </c>
      <c r="O634" s="145" t="s">
        <v>1156</v>
      </c>
      <c r="Q634" s="266" t="s">
        <v>257</v>
      </c>
      <c r="R634" s="271" t="s">
        <v>342</v>
      </c>
      <c r="S634" s="1" t="s">
        <v>2389</v>
      </c>
      <c r="T634" t="s">
        <v>2400</v>
      </c>
      <c r="U634" t="s">
        <v>2398</v>
      </c>
      <c r="V634">
        <v>0</v>
      </c>
      <c r="W634">
        <v>0</v>
      </c>
      <c r="X634">
        <v>0</v>
      </c>
      <c r="Y634">
        <v>1</v>
      </c>
      <c r="Z634">
        <v>0</v>
      </c>
      <c r="AA634">
        <v>0</v>
      </c>
      <c r="AB634">
        <v>0</v>
      </c>
      <c r="AC634">
        <v>0</v>
      </c>
      <c r="AD634">
        <v>0</v>
      </c>
      <c r="AE634">
        <v>0</v>
      </c>
      <c r="AF634">
        <v>0</v>
      </c>
      <c r="AG634">
        <v>0</v>
      </c>
      <c r="AH634">
        <v>0</v>
      </c>
      <c r="AI634">
        <v>0</v>
      </c>
      <c r="AJ634">
        <v>0</v>
      </c>
      <c r="AK634">
        <v>0</v>
      </c>
      <c r="AL634">
        <v>0</v>
      </c>
      <c r="AM634">
        <v>0</v>
      </c>
      <c r="AN634">
        <v>0</v>
      </c>
      <c r="AO634">
        <v>0</v>
      </c>
      <c r="AP634">
        <v>0</v>
      </c>
      <c r="AQ634">
        <v>0</v>
      </c>
      <c r="AR634">
        <v>0</v>
      </c>
      <c r="AS634">
        <v>0</v>
      </c>
      <c r="AT634">
        <v>0</v>
      </c>
      <c r="AU634">
        <v>0</v>
      </c>
      <c r="AV634">
        <v>0</v>
      </c>
      <c r="AW634">
        <v>0</v>
      </c>
      <c r="AX634" s="141">
        <v>1</v>
      </c>
      <c r="AY634" s="141">
        <f>COUNTIF(V634:AL634,"&lt;&gt;0")</f>
        <v>1</v>
      </c>
      <c r="AZ634">
        <f>COUNTIF(V634:AC634,"&lt;&gt;0")</f>
        <v>1</v>
      </c>
      <c r="BA634">
        <f>COUNTIF(AD634:AI634,"&lt;&gt;0")</f>
        <v>0</v>
      </c>
      <c r="BB634">
        <f>COUNTIF(AJ634:AL634,"&lt;&gt;0")</f>
        <v>0</v>
      </c>
      <c r="BC634">
        <f>COUNTIF(AS634:AW634,"&lt;&gt;0")</f>
        <v>0</v>
      </c>
      <c r="BD634">
        <f>COUNTIF(AM634:AR634,"&lt;&gt;0")</f>
        <v>0</v>
      </c>
      <c r="BE634" t="str" cm="1">
        <f t="array" ref="BE634">IF(AY634=1,INDEX($V$7:$AL$7,MATCH(TRUE,INDEX($V634:$AW634&lt;&gt;0,),0)),IF(AY634=0,INDEX($AM$7:$AW$7,MATCH(1,$AM634:$AW634,0)),IF(BF634="Multiple strategies","mixed drivers",IF(BF634="Supply chain","multiple supply","multiple silviculture"))))</f>
        <v xml:space="preserve">cutting intensity </v>
      </c>
      <c r="BF634" s="2" t="str" cm="1">
        <f t="array" ref="BF634">IF(COUNTIF(AZ634:BB634,"&lt;&gt;0")=1,INDEX($V$4:$AW$4,MATCH(TRUE,INDEX($V634:$AW634&lt;&gt;0,),0)),IF(COUNTIF(AZ634:BB634,"&lt;&gt;0")=0,INDEX($AM$4:$AW$4,MATCH(1,$AM634:$AW634,0)),"Multiple strategies"))</f>
        <v>SilvicultureRemov</v>
      </c>
      <c r="BG634" s="1" t="s">
        <v>230</v>
      </c>
      <c r="BH634" s="308" t="s">
        <v>2146</v>
      </c>
      <c r="BI634" s="266" t="s">
        <v>2393</v>
      </c>
      <c r="BJ634" s="308" t="s">
        <v>1060</v>
      </c>
      <c r="BK634">
        <v>6.697959172</v>
      </c>
      <c r="BL634">
        <v>8.0857142559999993</v>
      </c>
      <c r="BM634" s="143">
        <f>BL634/BK634</f>
        <v>1.2071907350228916</v>
      </c>
      <c r="BN634">
        <f>BL634-BK634</f>
        <v>1.3877550839999993</v>
      </c>
      <c r="BO634">
        <f>BN634</f>
        <v>1.3877550839999993</v>
      </c>
      <c r="BP634" s="308" t="s">
        <v>396</v>
      </c>
      <c r="BQ634" s="153" t="s">
        <v>3423</v>
      </c>
      <c r="BR634" s="266" t="s">
        <v>2395</v>
      </c>
      <c r="BS634" s="301">
        <v>-334.54545000000002</v>
      </c>
      <c r="BT634">
        <v>-456.72727272727298</v>
      </c>
      <c r="BU634" s="144"/>
      <c r="BV634" s="144">
        <f>BT634-BS634</f>
        <v>-122.18182272727296</v>
      </c>
      <c r="BW634" s="144"/>
      <c r="BX634" s="144">
        <f>BV634*10^4/10^6</f>
        <v>-1.2218182272727296</v>
      </c>
      <c r="BY634">
        <f>IFERROR(BX634/BO634,"")</f>
        <v>-0.88042785168620596</v>
      </c>
      <c r="BZ634">
        <v>0</v>
      </c>
      <c r="CA634">
        <v>0</v>
      </c>
      <c r="CB634">
        <v>0</v>
      </c>
      <c r="CC634">
        <v>0</v>
      </c>
      <c r="CD634">
        <v>0</v>
      </c>
      <c r="CE634">
        <v>0</v>
      </c>
      <c r="CF634">
        <v>0</v>
      </c>
      <c r="CG634">
        <v>0</v>
      </c>
      <c r="CH634">
        <v>0</v>
      </c>
      <c r="CI634">
        <v>0</v>
      </c>
      <c r="CJ634">
        <v>0</v>
      </c>
      <c r="CK634">
        <v>0</v>
      </c>
      <c r="CL634">
        <v>0</v>
      </c>
      <c r="CM634">
        <v>1</v>
      </c>
      <c r="CN634" t="str">
        <f>IF($BL634&lt;$BK634,"refNeedCorrection","refOK")</f>
        <v>refOK</v>
      </c>
      <c r="CO634">
        <f>IF($CN634="refOK",$BK634,$BL634)</f>
        <v>6.697959172</v>
      </c>
      <c r="CP634">
        <f>IF($CN634="refOK",$BL634,$BK634)</f>
        <v>8.0857142559999993</v>
      </c>
      <c r="CQ634">
        <f>IF($CN634="refOK",$BO634,-$BO634)</f>
        <v>1.3877550839999993</v>
      </c>
      <c r="CR634">
        <f>IF($CN634="refOK",$BS634,$BT634)*IF($BP634="Emissions positive",-1,1)</f>
        <v>334.54545000000002</v>
      </c>
      <c r="CS634">
        <f>IF($CN634="refOK",$BT634,$BS634)*IF($BP634="Emissions positive",-1,1)</f>
        <v>456.72727272727298</v>
      </c>
      <c r="CT634">
        <f>IF($CN634="refNeedCorrection",-BX634,BX634)*IF($BP634="Emissions positive",-1,1)</f>
        <v>1.2218182272727296</v>
      </c>
      <c r="CU634">
        <f>IFERROR(CT634/CQ634,"")</f>
        <v>0.88042785168620596</v>
      </c>
      <c r="CV634" s="2">
        <f>IFERROR((CS634-CR634)/ABS(CR634),"")</f>
        <v>0.3652174098534981</v>
      </c>
      <c r="CW634" s="1" t="s">
        <v>1201</v>
      </c>
      <c r="CX634" s="266" t="str">
        <f>IF(OR($CW634="prd",$CW634="std",$CW634="cit"),"loc",IF(OR($CW634="eur",$CW634="reg",$CW634="coy"),"reg",$CW634))</f>
        <v>reg</v>
      </c>
      <c r="CY634" t="s">
        <v>236</v>
      </c>
      <c r="CZ634">
        <v>2020</v>
      </c>
      <c r="DA634">
        <v>2100</v>
      </c>
      <c r="DB634">
        <f>DA634-CZ634</f>
        <v>80</v>
      </c>
      <c r="DC634" t="str">
        <f>IF(DB634=0,"0",IF(AND(DB634&gt;=1,DB634&lt;=30),"1-30",IF(AND(DB634&gt;30,DB634&lt;=70),"31-70",IF(AND(DB634&gt;70,DB634&lt;=100),"71-100",IF(DB634&gt;100,"+100")))))</f>
        <v>71-100</v>
      </c>
      <c r="DD634">
        <v>0</v>
      </c>
      <c r="DE634">
        <v>1</v>
      </c>
      <c r="DF634">
        <v>0</v>
      </c>
      <c r="DG634">
        <v>1</v>
      </c>
      <c r="DI634">
        <f>SUM(DD634:DG634)</f>
        <v>2</v>
      </c>
      <c r="DJ634" t="str">
        <f>IF(DI634=1,INDEX($DD$7:$DG$7,MATCH(1,$DD634:$DG634,0)),"mixedProduct")</f>
        <v>mixedProduct</v>
      </c>
      <c r="DK634">
        <f>IF(DD634=1,DK$7,0)</f>
        <v>0</v>
      </c>
      <c r="DL634" t="str">
        <f>IF(DE634=1,DL$7,0)</f>
        <v>Energy</v>
      </c>
      <c r="DM634">
        <f>IF(DF634=1,DM$7,0)</f>
        <v>0</v>
      </c>
      <c r="DN634" t="str">
        <f>IF(DG634=1,DN$7,0)</f>
        <v>Timber</v>
      </c>
      <c r="DO634">
        <v>1</v>
      </c>
      <c r="DP634">
        <v>0</v>
      </c>
      <c r="DQ634">
        <v>0</v>
      </c>
      <c r="DR634">
        <v>0</v>
      </c>
      <c r="DS634">
        <v>0</v>
      </c>
      <c r="DT634">
        <f>SUM(DO634:DP634)</f>
        <v>1</v>
      </c>
      <c r="DU634" s="143" t="str">
        <f>IF(DO634=1,"self-calculated DF",IF(DP634=1,"external DF used","explicit C balance"))</f>
        <v>self-calculated DF</v>
      </c>
      <c r="DV634">
        <v>1</v>
      </c>
      <c r="DW634">
        <v>0</v>
      </c>
      <c r="DX634">
        <v>1</v>
      </c>
      <c r="DY634">
        <v>0</v>
      </c>
      <c r="DZ634">
        <v>0</v>
      </c>
      <c r="EA634" s="143">
        <v>0</v>
      </c>
      <c r="EB634">
        <v>0</v>
      </c>
      <c r="EC634">
        <v>0</v>
      </c>
      <c r="ED634">
        <v>0</v>
      </c>
      <c r="EE634">
        <v>0</v>
      </c>
      <c r="EF634">
        <v>1</v>
      </c>
      <c r="EG634">
        <v>0</v>
      </c>
      <c r="EH634">
        <v>0</v>
      </c>
      <c r="EI634" s="2">
        <v>0</v>
      </c>
      <c r="EK634" t="str">
        <f>IF(AND(AND(AND(OR($DX634=1,$DW634=1),OR($EC634=1,$EA634=1)),SUM($DV634:$DZ634,$EF634)&gt;=4),SUM($EA634:$EE634)&gt;=2),"Whole sector","")</f>
        <v/>
      </c>
      <c r="EL634" t="str">
        <f>IF(AND(AND(OR($DX634=1,$DW634=1),AND($EC634=0,$EA634=0)),SUM($DV634:$DZ634,$EF634)&gt;=4),"Ecosystem approach","")</f>
        <v/>
      </c>
      <c r="EM634" s="2" t="str">
        <f>IF(AND(AND(AND($DX634=0,$DW634=0),OR($EC634=1,$EA634=1)),SUM($EB634:$EE634)&gt;=2),"Technology approach","")</f>
        <v/>
      </c>
      <c r="EP634" t="str">
        <f>IF(ISNUMBER(BU634),IF(ABS(BU634-[1]QC_indicators!$B$2)&gt;3*[1]QC_indicators!$C$2,"C ratio",IF(ISNUMBER(BY634),IF(ABS(BY634-[1]QC_indicators!$B$1)&gt;3*[1]QC_indicators!$C$1,"DF","no"))),IF(ISNUMBER(BY634),IF(ABS(BY634-[1]QC_indicators!$B$1)&gt;3*[1]QC_indicators!$C$1,"DF","no")))</f>
        <v>no</v>
      </c>
      <c r="ER634" s="266" t="s">
        <v>2396</v>
      </c>
      <c r="ET634" s="308" t="s">
        <v>3424</v>
      </c>
    </row>
    <row r="635" spans="1:150" ht="187" hidden="1">
      <c r="A635" s="1" t="s">
        <v>1104</v>
      </c>
      <c r="B635" t="s">
        <v>2383</v>
      </c>
      <c r="C635" t="s">
        <v>2384</v>
      </c>
      <c r="D635" t="s">
        <v>2385</v>
      </c>
      <c r="E635" t="s">
        <v>2386</v>
      </c>
      <c r="F635" t="s">
        <v>2387</v>
      </c>
      <c r="G635" t="s">
        <v>1110</v>
      </c>
      <c r="H635" t="s">
        <v>255</v>
      </c>
      <c r="I635">
        <v>2016</v>
      </c>
      <c r="J635">
        <v>13</v>
      </c>
      <c r="K635" t="s">
        <v>2388</v>
      </c>
      <c r="M635" t="str">
        <f>LEFT($D635,FIND(",",$D635)-1)&amp;"_"&amp;I635&amp;L635</f>
        <v>Torssonen_2016</v>
      </c>
      <c r="N635" t="s">
        <v>223</v>
      </c>
      <c r="O635" s="145" t="s">
        <v>1156</v>
      </c>
      <c r="Q635" s="266" t="s">
        <v>257</v>
      </c>
      <c r="R635" s="271" t="s">
        <v>342</v>
      </c>
      <c r="S635" s="1" t="s">
        <v>2389</v>
      </c>
      <c r="T635" t="s">
        <v>2400</v>
      </c>
      <c r="U635" s="266" t="s">
        <v>2401</v>
      </c>
      <c r="V635">
        <v>0</v>
      </c>
      <c r="W635">
        <v>0</v>
      </c>
      <c r="X635">
        <v>0</v>
      </c>
      <c r="Y635">
        <v>1</v>
      </c>
      <c r="Z635">
        <v>0</v>
      </c>
      <c r="AA635">
        <v>0</v>
      </c>
      <c r="AB635">
        <v>1</v>
      </c>
      <c r="AC635">
        <v>0</v>
      </c>
      <c r="AD635">
        <v>0</v>
      </c>
      <c r="AE635">
        <v>0</v>
      </c>
      <c r="AF635">
        <v>0</v>
      </c>
      <c r="AG635">
        <v>0</v>
      </c>
      <c r="AH635">
        <v>0</v>
      </c>
      <c r="AI635">
        <v>0</v>
      </c>
      <c r="AJ635">
        <v>0</v>
      </c>
      <c r="AK635">
        <v>0</v>
      </c>
      <c r="AL635">
        <v>0</v>
      </c>
      <c r="AM635">
        <v>0</v>
      </c>
      <c r="AN635">
        <v>0</v>
      </c>
      <c r="AO635">
        <v>0</v>
      </c>
      <c r="AP635">
        <v>0</v>
      </c>
      <c r="AQ635">
        <v>0</v>
      </c>
      <c r="AR635">
        <v>0</v>
      </c>
      <c r="AS635">
        <v>0</v>
      </c>
      <c r="AT635">
        <v>0</v>
      </c>
      <c r="AU635">
        <v>0</v>
      </c>
      <c r="AV635">
        <v>0</v>
      </c>
      <c r="AW635">
        <v>0</v>
      </c>
      <c r="AX635" s="141">
        <f>COUNTIF(V635:AW635,"&lt;&gt;0")</f>
        <v>2</v>
      </c>
      <c r="AY635" s="141">
        <f>COUNTIF(V635:AL635,"&lt;&gt;0")</f>
        <v>2</v>
      </c>
      <c r="AZ635">
        <f>COUNTIF(V635:AC635,"&lt;&gt;0")</f>
        <v>2</v>
      </c>
      <c r="BA635">
        <f>COUNTIF(AD635:AI635,"&lt;&gt;0")</f>
        <v>0</v>
      </c>
      <c r="BB635">
        <f>COUNTIF(AJ635:AL635,"&lt;&gt;0")</f>
        <v>0</v>
      </c>
      <c r="BC635">
        <f>COUNTIF(AS635:AW635,"&lt;&gt;0")</f>
        <v>0</v>
      </c>
      <c r="BD635">
        <f>COUNTIF(AM635:AR635,"&lt;&gt;0")</f>
        <v>0</v>
      </c>
      <c r="BE635" t="str" cm="1">
        <f t="array" ref="BE635">IF(AY635=1,INDEX($V$7:$AL$7,MATCH(TRUE,INDEX($V635:$AW635&lt;&gt;0,),0)),IF(AY635=0,INDEX($AM$7:$AW$7,MATCH(1,$AM635:$AW635,0)),IF(BF635="Multiple strategies","mixed drivers",IF(BF635="Supply chain","multiple supply","multiple silviculture"))))</f>
        <v>multiple silviculture</v>
      </c>
      <c r="BF635" s="2" t="str" cm="1">
        <f t="array" ref="BF635">IF(COUNTIF(AZ635:BB635,"&lt;&gt;0")=1,INDEX($V$4:$AW$4,MATCH(TRUE,INDEX($V635:$AW635&lt;&gt;0,),0)),IF(COUNTIF(AZ635:BB635,"&lt;&gt;0")=0,INDEX($AM$4:$AW$4,MATCH(1,$AM635:$AW635,0)),"Multiple strategies"))</f>
        <v>SilvicultureRemov</v>
      </c>
      <c r="BG635" s="1" t="s">
        <v>230</v>
      </c>
      <c r="BH635" s="308" t="s">
        <v>2146</v>
      </c>
      <c r="BI635" s="266" t="s">
        <v>2393</v>
      </c>
      <c r="BJ635" s="308" t="s">
        <v>1060</v>
      </c>
      <c r="BK635">
        <v>6.697959172</v>
      </c>
      <c r="BL635">
        <v>7.0346938679999997</v>
      </c>
      <c r="BM635" s="143">
        <f>BL635/BK635</f>
        <v>1.0502742234392348</v>
      </c>
      <c r="BN635">
        <f>BL635-BK635</f>
        <v>0.33673469599999972</v>
      </c>
      <c r="BO635">
        <f>BN635</f>
        <v>0.33673469599999972</v>
      </c>
      <c r="BP635" s="308" t="s">
        <v>396</v>
      </c>
      <c r="BQ635" s="153" t="s">
        <v>3423</v>
      </c>
      <c r="BR635" s="266" t="s">
        <v>2395</v>
      </c>
      <c r="BS635" s="301">
        <v>-334.54545000000002</v>
      </c>
      <c r="BT635">
        <v>-324.36363636363598</v>
      </c>
      <c r="BU635" s="144"/>
      <c r="BV635" s="144">
        <f>BT635-BS635</f>
        <v>10.181813636364041</v>
      </c>
      <c r="BW635" s="144"/>
      <c r="BX635" s="144">
        <f>BV635*10^4/10^6</f>
        <v>0.1018181363636404</v>
      </c>
      <c r="BY635">
        <f>IFERROR(BX635/BO635,"")</f>
        <v>0.30236900911345493</v>
      </c>
      <c r="BZ635">
        <v>0</v>
      </c>
      <c r="CA635">
        <v>0</v>
      </c>
      <c r="CB635">
        <v>0</v>
      </c>
      <c r="CC635">
        <v>0</v>
      </c>
      <c r="CD635">
        <v>0</v>
      </c>
      <c r="CE635">
        <v>0</v>
      </c>
      <c r="CF635">
        <v>0</v>
      </c>
      <c r="CG635">
        <v>0</v>
      </c>
      <c r="CH635">
        <v>0</v>
      </c>
      <c r="CI635">
        <v>0</v>
      </c>
      <c r="CJ635">
        <v>0</v>
      </c>
      <c r="CK635">
        <v>0</v>
      </c>
      <c r="CL635">
        <v>0</v>
      </c>
      <c r="CM635">
        <v>1</v>
      </c>
      <c r="CN635" t="str">
        <f>IF($BL635&lt;$BK635,"refNeedCorrection","refOK")</f>
        <v>refOK</v>
      </c>
      <c r="CO635">
        <f>IF($CN635="refOK",$BK635,$BL635)</f>
        <v>6.697959172</v>
      </c>
      <c r="CP635">
        <f>IF($CN635="refOK",$BL635,$BK635)</f>
        <v>7.0346938679999997</v>
      </c>
      <c r="CQ635">
        <f>IF($CN635="refOK",$BO635,-$BO635)</f>
        <v>0.33673469599999972</v>
      </c>
      <c r="CR635">
        <f>IF($CN635="refOK",$BS635,$BT635)*IF($BP635="Emissions positive",-1,1)</f>
        <v>334.54545000000002</v>
      </c>
      <c r="CS635">
        <f>IF($CN635="refOK",$BT635,$BS635)*IF($BP635="Emissions positive",-1,1)</f>
        <v>324.36363636363598</v>
      </c>
      <c r="CT635">
        <f>IF($CN635="refNeedCorrection",-BX635,BX635)*IF($BP635="Emissions positive",-1,1)</f>
        <v>-0.1018181363636404</v>
      </c>
      <c r="CU635">
        <f>IFERROR(CT635/CQ635,"")</f>
        <v>-0.30236900911345493</v>
      </c>
      <c r="CV635" s="2">
        <f>IFERROR((CS635-CR635)/ABS(CR635),"")</f>
        <v>-3.0434769435256227E-2</v>
      </c>
      <c r="CW635" s="1" t="s">
        <v>1201</v>
      </c>
      <c r="CX635" s="266" t="str">
        <f>IF(OR($CW635="prd",$CW635="std",$CW635="cit"),"loc",IF(OR($CW635="eur",$CW635="reg",$CW635="coy"),"reg",$CW635))</f>
        <v>reg</v>
      </c>
      <c r="CY635" t="s">
        <v>236</v>
      </c>
      <c r="CZ635">
        <v>2020</v>
      </c>
      <c r="DA635">
        <v>2100</v>
      </c>
      <c r="DB635">
        <f>DA635-CZ635</f>
        <v>80</v>
      </c>
      <c r="DC635" t="str">
        <f>IF(DB635=0,"0",IF(AND(DB635&gt;=1,DB635&lt;=30),"1-30",IF(AND(DB635&gt;30,DB635&lt;=70),"31-70",IF(AND(DB635&gt;70,DB635&lt;=100),"71-100",IF(DB635&gt;100,"+100")))))</f>
        <v>71-100</v>
      </c>
      <c r="DD635">
        <v>0</v>
      </c>
      <c r="DE635">
        <v>1</v>
      </c>
      <c r="DF635">
        <v>0</v>
      </c>
      <c r="DG635">
        <v>1</v>
      </c>
      <c r="DI635">
        <f>SUM(DD635:DG635)</f>
        <v>2</v>
      </c>
      <c r="DJ635" t="str">
        <f>IF(DI635=1,INDEX($DD$7:$DG$7,MATCH(1,$DD635:$DG635,0)),"mixedProduct")</f>
        <v>mixedProduct</v>
      </c>
      <c r="DK635">
        <f>IF(DD635=1,DK$7,0)</f>
        <v>0</v>
      </c>
      <c r="DL635" t="str">
        <f>IF(DE635=1,DL$7,0)</f>
        <v>Energy</v>
      </c>
      <c r="DM635">
        <f>IF(DF635=1,DM$7,0)</f>
        <v>0</v>
      </c>
      <c r="DN635" t="str">
        <f>IF(DG635=1,DN$7,0)</f>
        <v>Timber</v>
      </c>
      <c r="DO635">
        <v>1</v>
      </c>
      <c r="DP635">
        <v>0</v>
      </c>
      <c r="DQ635">
        <v>0</v>
      </c>
      <c r="DR635">
        <v>0</v>
      </c>
      <c r="DS635">
        <v>0</v>
      </c>
      <c r="DT635">
        <f>SUM(DO635:DP635)</f>
        <v>1</v>
      </c>
      <c r="DU635" s="143" t="str">
        <f>IF(DO635=1,"self-calculated DF",IF(DP635=1,"external DF used","explicit C balance"))</f>
        <v>self-calculated DF</v>
      </c>
      <c r="DV635">
        <v>1</v>
      </c>
      <c r="DW635">
        <v>0</v>
      </c>
      <c r="DX635">
        <v>1</v>
      </c>
      <c r="DY635">
        <v>0</v>
      </c>
      <c r="DZ635">
        <v>0</v>
      </c>
      <c r="EA635" s="143">
        <v>0</v>
      </c>
      <c r="EB635">
        <v>0</v>
      </c>
      <c r="EC635">
        <v>0</v>
      </c>
      <c r="ED635">
        <v>0</v>
      </c>
      <c r="EE635">
        <v>0</v>
      </c>
      <c r="EF635">
        <v>1</v>
      </c>
      <c r="EG635">
        <v>0</v>
      </c>
      <c r="EH635">
        <v>0</v>
      </c>
      <c r="EI635" s="2">
        <v>0</v>
      </c>
      <c r="EK635" t="str">
        <f>IF(AND(AND(AND(OR($DX635=1,$DW635=1),OR($EC635=1,$EA635=1)),SUM($DV635:$DZ635,$EF635)&gt;=4),SUM($EA635:$EE635)&gt;=2),"Whole sector","")</f>
        <v/>
      </c>
      <c r="EL635" t="str">
        <f>IF(AND(AND(OR($DX635=1,$DW635=1),AND($EC635=0,$EA635=0)),SUM($DV635:$DZ635,$EF635)&gt;=4),"Ecosystem approach","")</f>
        <v/>
      </c>
      <c r="EM635" s="2" t="str">
        <f>IF(AND(AND(AND($DX635=0,$DW635=0),OR($EC635=1,$EA635=1)),SUM($EB635:$EE635)&gt;=2),"Technology approach","")</f>
        <v/>
      </c>
      <c r="EP635" t="str">
        <f>IF(ISNUMBER(BU635),IF(ABS(BU635-[1]QC_indicators!$B$2)&gt;3*[1]QC_indicators!$C$2,"C ratio",IF(ISNUMBER(BY635),IF(ABS(BY635-[1]QC_indicators!$B$1)&gt;3*[1]QC_indicators!$C$1,"DF","no"))),IF(ISNUMBER(BY635),IF(ABS(BY635-[1]QC_indicators!$B$1)&gt;3*[1]QC_indicators!$C$1,"DF","no")))</f>
        <v>no</v>
      </c>
      <c r="ER635" s="266" t="s">
        <v>2396</v>
      </c>
      <c r="ET635" s="308" t="s">
        <v>3424</v>
      </c>
    </row>
    <row r="636" spans="1:150" ht="15" hidden="1" customHeight="1">
      <c r="A636" s="1" t="s">
        <v>266</v>
      </c>
      <c r="B636" t="s">
        <v>1533</v>
      </c>
      <c r="C636" t="s">
        <v>1534</v>
      </c>
      <c r="D636" t="s">
        <v>1535</v>
      </c>
      <c r="E636" t="s">
        <v>1536</v>
      </c>
      <c r="F636" t="s">
        <v>1537</v>
      </c>
      <c r="G636" t="s">
        <v>272</v>
      </c>
      <c r="H636" t="s">
        <v>255</v>
      </c>
      <c r="I636">
        <v>2019</v>
      </c>
      <c r="J636">
        <v>26</v>
      </c>
      <c r="K636" t="s">
        <v>1538</v>
      </c>
      <c r="M636" t="str">
        <f>LEFT($D636,FIND(",",$D636)-1)&amp;"_"&amp;I636&amp;L636</f>
        <v>Faraca_2019</v>
      </c>
      <c r="N636" t="s">
        <v>223</v>
      </c>
      <c r="O636" s="145" t="s">
        <v>275</v>
      </c>
      <c r="P636" s="180" t="s">
        <v>224</v>
      </c>
      <c r="Q636" t="s">
        <v>257</v>
      </c>
      <c r="R636" s="264" t="s">
        <v>224</v>
      </c>
      <c r="S636" s="265" t="s">
        <v>3137</v>
      </c>
      <c r="T636" t="s">
        <v>1540</v>
      </c>
      <c r="U636" t="s">
        <v>1551</v>
      </c>
      <c r="V636">
        <v>0</v>
      </c>
      <c r="W636">
        <v>0</v>
      </c>
      <c r="X636">
        <v>0</v>
      </c>
      <c r="Y636">
        <v>0</v>
      </c>
      <c r="Z636">
        <v>0</v>
      </c>
      <c r="AA636">
        <v>0</v>
      </c>
      <c r="AB636">
        <v>0</v>
      </c>
      <c r="AC636">
        <v>0</v>
      </c>
      <c r="AD636">
        <v>0</v>
      </c>
      <c r="AE636">
        <v>0</v>
      </c>
      <c r="AF636">
        <v>0</v>
      </c>
      <c r="AG636">
        <v>1</v>
      </c>
      <c r="AH636">
        <v>0</v>
      </c>
      <c r="AI636">
        <v>0</v>
      </c>
      <c r="AJ636">
        <v>0</v>
      </c>
      <c r="AK636">
        <v>0</v>
      </c>
      <c r="AL636">
        <v>0</v>
      </c>
      <c r="AM636">
        <v>0</v>
      </c>
      <c r="AN636">
        <v>0</v>
      </c>
      <c r="AO636">
        <v>0</v>
      </c>
      <c r="AP636">
        <v>0</v>
      </c>
      <c r="AQ636">
        <v>0</v>
      </c>
      <c r="AR636">
        <v>0</v>
      </c>
      <c r="AS636">
        <v>0</v>
      </c>
      <c r="AT636">
        <v>0</v>
      </c>
      <c r="AU636">
        <v>0</v>
      </c>
      <c r="AV636">
        <v>0</v>
      </c>
      <c r="AW636">
        <v>0</v>
      </c>
      <c r="AX636" s="141">
        <f>COUNTIF(V636:AW636,"&lt;&gt;0")</f>
        <v>1</v>
      </c>
      <c r="AY636" s="141">
        <f>COUNTIF(V636:AL636,"&lt;&gt;0")</f>
        <v>1</v>
      </c>
      <c r="AZ636">
        <f>COUNTIF(V636:AC636,"&lt;&gt;0")</f>
        <v>0</v>
      </c>
      <c r="BA636">
        <f>COUNTIF(AD636:AI636,"&lt;&gt;0")</f>
        <v>1</v>
      </c>
      <c r="BB636">
        <f>COUNTIF(AJ636:AL636,"&lt;&gt;0")</f>
        <v>0</v>
      </c>
      <c r="BC636">
        <f>COUNTIF(AS636:AW636,"&lt;&gt;0")</f>
        <v>0</v>
      </c>
      <c r="BD636">
        <f>COUNTIF(AM636:AR636,"&lt;&gt;0")</f>
        <v>0</v>
      </c>
      <c r="BE636" t="str">
        <f t="array" ref="BE636">IF(AY636=1,INDEX($V$7:$AL$7,MATCH(TRUE,INDEX($V636:$AW636&lt;&gt;0,),0)),IF(AY636=0,INDEX($AM$7:$AW$7,MATCH(1,$AM636:$AW636,0)),IF(BF636="Multiple strategies","mixed drivers",IF(BF636="Supply chain","multiple supply","multiple silviculture"))))</f>
        <v>recycling</v>
      </c>
      <c r="BF636" s="2" t="str" cm="1">
        <f t="array" ref="BF636">IF(COUNTIF(AZ636:BB636,"&lt;&gt;0")=1,INDEX($V$4:$AW$4,MATCH(TRUE,INDEX($V636:$AW636&lt;&gt;0,),0)),IF(COUNTIF(AZ636:BB636,"&lt;&gt;0")=0,INDEX($AM$4:$AW$4,MATCH(1,$AM636:$AW636,0)),"Multiple strategies"))</f>
        <v>Supply chain</v>
      </c>
      <c r="BG636" s="1" t="s">
        <v>230</v>
      </c>
      <c r="BH636" t="s">
        <v>1550</v>
      </c>
      <c r="BJ636" t="s">
        <v>346</v>
      </c>
      <c r="BK636">
        <v>922</v>
      </c>
      <c r="BL636">
        <f>922+519+281+121</f>
        <v>1843</v>
      </c>
      <c r="BM636">
        <v>1.9989154013015185</v>
      </c>
      <c r="BN636">
        <f>BL636-BK636</f>
        <v>921</v>
      </c>
      <c r="BO636">
        <f>BN636*kg_to_m3</f>
        <v>1.879591836734694</v>
      </c>
      <c r="BP636" s="266" t="s">
        <v>396</v>
      </c>
      <c r="BQ636" t="s">
        <v>427</v>
      </c>
      <c r="BR636" t="s">
        <v>730</v>
      </c>
      <c r="BS636">
        <v>515.29999999999995</v>
      </c>
      <c r="BT636">
        <v>589.79999999999995</v>
      </c>
      <c r="BU636" s="144"/>
      <c r="BV636">
        <f>BT636-BS636</f>
        <v>74.5</v>
      </c>
      <c r="BX636">
        <f>BV636/1000</f>
        <v>7.4499999999999997E-2</v>
      </c>
      <c r="BY636">
        <f>IFERROR(BX636/BO636,"")</f>
        <v>3.9636264929424535E-2</v>
      </c>
      <c r="BZ636">
        <v>0</v>
      </c>
      <c r="CA636">
        <v>0</v>
      </c>
      <c r="CB636">
        <v>0</v>
      </c>
      <c r="CC636">
        <v>0</v>
      </c>
      <c r="CD636">
        <v>0</v>
      </c>
      <c r="CE636">
        <v>0</v>
      </c>
      <c r="CF636">
        <v>0</v>
      </c>
      <c r="CG636">
        <v>0</v>
      </c>
      <c r="CH636">
        <v>0</v>
      </c>
      <c r="CI636">
        <v>0</v>
      </c>
      <c r="CJ636">
        <v>0</v>
      </c>
      <c r="CK636">
        <v>0</v>
      </c>
      <c r="CL636">
        <v>0</v>
      </c>
      <c r="CM636">
        <v>0</v>
      </c>
      <c r="CN636" t="str">
        <f>IF($BL636&lt;$BK636,"refNeedCorrection","refOK")</f>
        <v>refOK</v>
      </c>
      <c r="CO636">
        <f>IF($CN636="refNeedCorrection",BL636,BK636)</f>
        <v>922</v>
      </c>
      <c r="CP636">
        <f>IF($CN636="refNeedCorrection",BK636,BL636)</f>
        <v>1843</v>
      </c>
      <c r="CQ636">
        <f>IF($CN636="refOK",$BO636,-$BO636)</f>
        <v>1.879591836734694</v>
      </c>
      <c r="CR636">
        <f>IF($CN636="refOK",$BS636,$BT636)*IF($BP636="Emissions positive",-1,1)</f>
        <v>-515.29999999999995</v>
      </c>
      <c r="CS636">
        <f>IF($CN636="refOK",$BT636,$BS636)*IF($BP636="Emissions positive",-1,1)</f>
        <v>-589.79999999999995</v>
      </c>
      <c r="CT636">
        <f>IF($CN636="refNeedCorrection",-BX636,BX636)*IF($BP636="Emissions positive",-1,1)</f>
        <v>-7.4499999999999997E-2</v>
      </c>
      <c r="CU636">
        <f>IFERROR(CT636/CQ636,"")</f>
        <v>-3.9636264929424535E-2</v>
      </c>
      <c r="CV636" s="2">
        <f>IFERROR((CS636-CR636)/ABS(CR636),"")</f>
        <v>-0.14457597516010093</v>
      </c>
      <c r="CW636" s="1" t="s">
        <v>1201</v>
      </c>
      <c r="CX636" t="str">
        <f>IF(OR($CW636="prd",$CW636="std",$CW636="cit"),"loc",IF(OR($CW636="eur",$CW636="reg",$CW636="coy"),"reg",$CW636))</f>
        <v>reg</v>
      </c>
      <c r="CY636" t="s">
        <v>1542</v>
      </c>
      <c r="DB636">
        <v>100</v>
      </c>
      <c r="DC636" t="str">
        <f>IF(DB636=0,"0",IF(AND(DB636&gt;=1,DB636&lt;=30),"1-30",IF(AND(DB636&gt;30,DB636&lt;=70),"31-70",IF(AND(DB636&gt;70,DB636&lt;=100),"71-100",IF(DB636&gt;100,"+100")))))</f>
        <v>71-100</v>
      </c>
      <c r="DD636">
        <v>0</v>
      </c>
      <c r="DE636">
        <v>0</v>
      </c>
      <c r="DF636">
        <v>0</v>
      </c>
      <c r="DG636">
        <v>1</v>
      </c>
      <c r="DI636">
        <f>SUM(DD636:DG636)</f>
        <v>1</v>
      </c>
      <c r="DJ636" t="str">
        <f>IF(DI636=1,INDEX($DD$7:$DG$7,MATCH(1,$DD636:$DG636,0)),"mixedProduct")</f>
        <v>TimberInput</v>
      </c>
      <c r="DK636">
        <f>IF(DD636=1,DK$7,0)</f>
        <v>0</v>
      </c>
      <c r="DL636">
        <f>IF(DE636=1,DL$7,0)</f>
        <v>0</v>
      </c>
      <c r="DM636">
        <f>IF(DF636=1,DM$7,0)</f>
        <v>0</v>
      </c>
      <c r="DN636" t="str">
        <f>IF(DG636=1,DN$7,0)</f>
        <v>Timber</v>
      </c>
      <c r="DO636">
        <v>0</v>
      </c>
      <c r="DP636">
        <v>0</v>
      </c>
      <c r="DQ636">
        <v>0</v>
      </c>
      <c r="DR636">
        <v>0</v>
      </c>
      <c r="DS636">
        <v>0</v>
      </c>
      <c r="DT636">
        <f>SUM(DO636:DP636)</f>
        <v>0</v>
      </c>
      <c r="DU636" s="143" t="str">
        <f>IF(DO636=1,"self-calculated DF",IF(DP636=1,"external DF used","explicit C balance"))</f>
        <v>explicit C balance</v>
      </c>
      <c r="DV636">
        <v>0</v>
      </c>
      <c r="DW636">
        <v>0</v>
      </c>
      <c r="DX636">
        <v>0</v>
      </c>
      <c r="DY636">
        <v>0</v>
      </c>
      <c r="DZ636">
        <v>1</v>
      </c>
      <c r="EA636" s="143">
        <v>0</v>
      </c>
      <c r="EB636">
        <v>0</v>
      </c>
      <c r="EC636">
        <v>1</v>
      </c>
      <c r="ED636">
        <v>0</v>
      </c>
      <c r="EE636">
        <v>1</v>
      </c>
      <c r="EF636">
        <v>1</v>
      </c>
      <c r="EG636">
        <v>1</v>
      </c>
      <c r="EH636">
        <v>0</v>
      </c>
      <c r="EI636" s="2">
        <v>0</v>
      </c>
      <c r="EK636" t="str">
        <f>IF(AND(AND(AND(OR($DX636=1,$DW636=1),OR($EC636=1,$EA636=1)),SUM($DV636:$DZ636,$EF636)&gt;=4),SUM($EA636:$EE636)&gt;=2),"Whole sector","")</f>
        <v/>
      </c>
      <c r="EL636" t="str">
        <f>IF(AND(AND(OR($DX636=1,$DW636=1),AND($EC636=0,$EA636=0)),SUM($DV636:$DZ636,$EF636)&gt;=4),"Ecosystem approach","")</f>
        <v/>
      </c>
      <c r="EM636" s="2" t="str">
        <f>IF(AND(AND(AND($DX636=0,$DW636=0),OR($EC636=1,$EA636=1)),SUM($EB636:$EE636)&gt;=2),"Technology approach","")</f>
        <v>Technology approach</v>
      </c>
      <c r="EP636" t="str">
        <f>IF(ISNUMBER(BU636),IF(ABS(BU636-[2]QC_indicators!$B$2)&gt;3*[2]QC_indicators!$C$2,"C ratio",IF(ISNUMBER(BY636),IF(ABS(BY636-[2]QC_indicators!$B$1)&gt;3*[2]QC_indicators!$C$1,"DF","no"))),IF(ISNUMBER(BY636),IF(ABS(BY636-[2]QC_indicators!$B$1)&gt;3*[2]QC_indicators!$C$1,"DF","no")))</f>
        <v>no</v>
      </c>
      <c r="ET636" s="266" t="s">
        <v>3275</v>
      </c>
    </row>
    <row r="637" spans="1:150" ht="15" hidden="1" customHeight="1">
      <c r="A637" s="1" t="s">
        <v>266</v>
      </c>
      <c r="B637" t="s">
        <v>1533</v>
      </c>
      <c r="C637" t="s">
        <v>1534</v>
      </c>
      <c r="D637" t="s">
        <v>1535</v>
      </c>
      <c r="E637" t="s">
        <v>1536</v>
      </c>
      <c r="F637" t="s">
        <v>1537</v>
      </c>
      <c r="G637" t="s">
        <v>272</v>
      </c>
      <c r="H637" t="s">
        <v>255</v>
      </c>
      <c r="I637">
        <v>2019</v>
      </c>
      <c r="J637">
        <v>26</v>
      </c>
      <c r="K637" t="s">
        <v>1538</v>
      </c>
      <c r="M637" t="str">
        <f>LEFT($D637,FIND(",",$D637)-1)&amp;"_"&amp;I637&amp;L637</f>
        <v>Faraca_2019</v>
      </c>
      <c r="N637" t="s">
        <v>223</v>
      </c>
      <c r="O637" s="145" t="s">
        <v>275</v>
      </c>
      <c r="P637" s="180" t="s">
        <v>224</v>
      </c>
      <c r="Q637" t="s">
        <v>257</v>
      </c>
      <c r="R637" s="264" t="s">
        <v>224</v>
      </c>
      <c r="S637" s="265" t="s">
        <v>3138</v>
      </c>
      <c r="T637" t="s">
        <v>1540</v>
      </c>
      <c r="U637" t="s">
        <v>1551</v>
      </c>
      <c r="V637">
        <v>0</v>
      </c>
      <c r="W637">
        <v>0</v>
      </c>
      <c r="X637">
        <v>0</v>
      </c>
      <c r="Y637">
        <v>0</v>
      </c>
      <c r="Z637">
        <v>0</v>
      </c>
      <c r="AA637">
        <v>0</v>
      </c>
      <c r="AB637">
        <v>0</v>
      </c>
      <c r="AC637">
        <v>0</v>
      </c>
      <c r="AD637">
        <v>0</v>
      </c>
      <c r="AE637">
        <v>0</v>
      </c>
      <c r="AF637">
        <v>0</v>
      </c>
      <c r="AG637">
        <v>1</v>
      </c>
      <c r="AH637">
        <v>0</v>
      </c>
      <c r="AI637">
        <v>0</v>
      </c>
      <c r="AJ637">
        <v>0</v>
      </c>
      <c r="AK637">
        <v>0</v>
      </c>
      <c r="AL637">
        <v>0</v>
      </c>
      <c r="AM637">
        <v>0</v>
      </c>
      <c r="AN637">
        <v>0</v>
      </c>
      <c r="AO637">
        <v>0</v>
      </c>
      <c r="AP637">
        <v>0</v>
      </c>
      <c r="AQ637">
        <v>0</v>
      </c>
      <c r="AR637">
        <v>0</v>
      </c>
      <c r="AS637">
        <v>0</v>
      </c>
      <c r="AT637">
        <v>0</v>
      </c>
      <c r="AU637">
        <v>0</v>
      </c>
      <c r="AV637">
        <v>0</v>
      </c>
      <c r="AW637">
        <v>0</v>
      </c>
      <c r="AX637" s="141">
        <f>COUNTIF(V637:AW637,"&lt;&gt;0")</f>
        <v>1</v>
      </c>
      <c r="AY637" s="141">
        <f>COUNTIF(V637:AL637,"&lt;&gt;0")</f>
        <v>1</v>
      </c>
      <c r="AZ637">
        <f>COUNTIF(V637:AC637,"&lt;&gt;0")</f>
        <v>0</v>
      </c>
      <c r="BA637">
        <f>COUNTIF(AD637:AI637,"&lt;&gt;0")</f>
        <v>1</v>
      </c>
      <c r="BB637">
        <f>COUNTIF(AJ637:AL637,"&lt;&gt;0")</f>
        <v>0</v>
      </c>
      <c r="BC637">
        <f>COUNTIF(AS637:AW637,"&lt;&gt;0")</f>
        <v>0</v>
      </c>
      <c r="BD637">
        <f>COUNTIF(AM637:AR637,"&lt;&gt;0")</f>
        <v>0</v>
      </c>
      <c r="BE637" t="str">
        <f t="array" ref="BE637">IF(AY637=1,INDEX($V$7:$AL$7,MATCH(TRUE,INDEX($V637:$AW637&lt;&gt;0,),0)),IF(AY637=0,INDEX($AM$7:$AW$7,MATCH(1,$AM637:$AW637,0)),IF(BF637="Multiple strategies","mixed drivers",IF(BF637="Supply chain","multiple supply","multiple silviculture"))))</f>
        <v>recycling</v>
      </c>
      <c r="BF637" s="2" t="str" cm="1">
        <f t="array" ref="BF637">IF(COUNTIF(AZ637:BB637,"&lt;&gt;0")=1,INDEX($V$4:$AW$4,MATCH(TRUE,INDEX($V637:$AW637&lt;&gt;0,),0)),IF(COUNTIF(AZ637:BB637,"&lt;&gt;0")=0,INDEX($AM$4:$AW$4,MATCH(1,$AM637:$AW637,0)),"Multiple strategies"))</f>
        <v>Supply chain</v>
      </c>
      <c r="BG637" s="1" t="s">
        <v>230</v>
      </c>
      <c r="BH637" t="s">
        <v>1550</v>
      </c>
      <c r="BJ637" t="s">
        <v>346</v>
      </c>
      <c r="BK637">
        <v>922</v>
      </c>
      <c r="BL637">
        <f>922+519+281+121</f>
        <v>1843</v>
      </c>
      <c r="BM637">
        <v>1.9989154013015185</v>
      </c>
      <c r="BN637">
        <f>BL637-BK637</f>
        <v>921</v>
      </c>
      <c r="BO637">
        <f>BN637*kg_to_m3</f>
        <v>1.879591836734694</v>
      </c>
      <c r="BP637" s="266" t="s">
        <v>396</v>
      </c>
      <c r="BQ637" t="s">
        <v>427</v>
      </c>
      <c r="BR637" t="s">
        <v>730</v>
      </c>
      <c r="BS637">
        <v>33.9</v>
      </c>
      <c r="BT637">
        <v>-54.2</v>
      </c>
      <c r="BU637" s="144">
        <v>-0.52307692307692311</v>
      </c>
      <c r="BV637">
        <f>BT637-BS637</f>
        <v>-88.1</v>
      </c>
      <c r="BX637">
        <f>BV637/1000</f>
        <v>-8.8099999999999998E-2</v>
      </c>
      <c r="BY637">
        <f>IFERROR(BX637/BO637,"")</f>
        <v>-4.6871878393051028E-2</v>
      </c>
      <c r="BZ637">
        <v>0</v>
      </c>
      <c r="CA637">
        <v>0</v>
      </c>
      <c r="CB637">
        <v>0</v>
      </c>
      <c r="CC637">
        <v>0</v>
      </c>
      <c r="CD637">
        <v>0</v>
      </c>
      <c r="CE637">
        <v>0</v>
      </c>
      <c r="CF637">
        <v>0</v>
      </c>
      <c r="CG637">
        <v>0</v>
      </c>
      <c r="CH637">
        <v>0</v>
      </c>
      <c r="CI637">
        <v>0</v>
      </c>
      <c r="CJ637">
        <v>0</v>
      </c>
      <c r="CK637">
        <v>0</v>
      </c>
      <c r="CL637">
        <v>0</v>
      </c>
      <c r="CM637">
        <v>0</v>
      </c>
      <c r="CN637" t="str">
        <f>IF($BL637&lt;$BK637,"refNeedCorrection","refOK")</f>
        <v>refOK</v>
      </c>
      <c r="CO637">
        <f>IF($CN637="refNeedCorrection",BL637,BK637)</f>
        <v>922</v>
      </c>
      <c r="CP637">
        <f>IF($CN637="refNeedCorrection",BK637,BL637)</f>
        <v>1843</v>
      </c>
      <c r="CQ637">
        <f>IF($CN637="refOK",$BO637,-$BO637)</f>
        <v>1.879591836734694</v>
      </c>
      <c r="CR637">
        <f>IF($CN637="refOK",$BS637,$BT637)*IF($BP637="Emissions positive",-1,1)</f>
        <v>-33.9</v>
      </c>
      <c r="CS637">
        <f>IF($CN637="refOK",$BT637,$BS637)*IF($BP637="Emissions positive",-1,1)</f>
        <v>54.2</v>
      </c>
      <c r="CT637">
        <f>IF($CN637="refNeedCorrection",-BX637,BX637)*IF($BP637="Emissions positive",-1,1)</f>
        <v>8.8099999999999998E-2</v>
      </c>
      <c r="CU637">
        <f>IFERROR(CT637/CQ637,"")</f>
        <v>4.6871878393051028E-2</v>
      </c>
      <c r="CV637" s="2">
        <f>IFERROR((CS637-CR637)/ABS(CR637),"")</f>
        <v>2.5988200589970503</v>
      </c>
      <c r="CW637" s="1" t="s">
        <v>1201</v>
      </c>
      <c r="CX637" t="str">
        <f>IF(OR($CW637="prd",$CW637="std",$CW637="cit"),"loc",IF(OR($CW637="eur",$CW637="reg",$CW637="coy"),"reg",$CW637))</f>
        <v>reg</v>
      </c>
      <c r="CY637" t="s">
        <v>1542</v>
      </c>
      <c r="DB637">
        <v>100</v>
      </c>
      <c r="DC637" t="str">
        <f>IF(DB637=0,"0",IF(AND(DB637&gt;=1,DB637&lt;=30),"1-30",IF(AND(DB637&gt;30,DB637&lt;=70),"31-70",IF(AND(DB637&gt;70,DB637&lt;=100),"71-100",IF(DB637&gt;100,"+100")))))</f>
        <v>71-100</v>
      </c>
      <c r="DD637">
        <v>0</v>
      </c>
      <c r="DE637">
        <v>0</v>
      </c>
      <c r="DF637">
        <v>0</v>
      </c>
      <c r="DG637">
        <v>1</v>
      </c>
      <c r="DI637">
        <f>SUM(DD637:DG637)</f>
        <v>1</v>
      </c>
      <c r="DJ637" t="str">
        <f>IF(DI637=1,INDEX($DD$7:$DG$7,MATCH(1,$DD637:$DG637,0)),"mixedProduct")</f>
        <v>TimberInput</v>
      </c>
      <c r="DK637">
        <f>IF(DD637=1,DK$7,0)</f>
        <v>0</v>
      </c>
      <c r="DL637">
        <f>IF(DE637=1,DL$7,0)</f>
        <v>0</v>
      </c>
      <c r="DM637">
        <f>IF(DF637=1,DM$7,0)</f>
        <v>0</v>
      </c>
      <c r="DN637" t="str">
        <f>IF(DG637=1,DN$7,0)</f>
        <v>Timber</v>
      </c>
      <c r="DO637">
        <v>0</v>
      </c>
      <c r="DP637">
        <v>1</v>
      </c>
      <c r="DQ637">
        <v>0</v>
      </c>
      <c r="DR637">
        <v>0</v>
      </c>
      <c r="DS637" t="s">
        <v>1543</v>
      </c>
      <c r="DT637">
        <f>SUM(DO637:DP637)</f>
        <v>1</v>
      </c>
      <c r="DU637" s="143" t="str">
        <f>IF(DO637=1,"self-calculated DF",IF(DP637=1,"external DF used","explicit C balance"))</f>
        <v>external DF used</v>
      </c>
      <c r="DV637">
        <v>0</v>
      </c>
      <c r="DW637">
        <v>0</v>
      </c>
      <c r="DX637">
        <v>0</v>
      </c>
      <c r="DY637">
        <v>0</v>
      </c>
      <c r="DZ637">
        <v>1</v>
      </c>
      <c r="EA637" s="143">
        <v>1</v>
      </c>
      <c r="EB637">
        <v>0</v>
      </c>
      <c r="EC637">
        <v>1</v>
      </c>
      <c r="ED637">
        <v>0</v>
      </c>
      <c r="EE637">
        <v>1</v>
      </c>
      <c r="EF637">
        <v>1</v>
      </c>
      <c r="EG637">
        <v>1</v>
      </c>
      <c r="EH637">
        <v>0</v>
      </c>
      <c r="EI637" s="2">
        <v>0</v>
      </c>
      <c r="EK637" t="str">
        <f>IF(AND(AND(AND(OR($DX637=1,$DW637=1),OR($EC637=1,$EA637=1)),SUM($DV637:$DZ637,$EF637)&gt;=4),SUM($EA637:$EE637)&gt;=2),"Whole sector","")</f>
        <v/>
      </c>
      <c r="EL637" t="str">
        <f>IF(AND(AND(OR($DX637=1,$DW637=1),AND($EC637=0,$EA637=0)),SUM($DV637:$DZ637,$EF637)&gt;=4),"Ecosystem approach","")</f>
        <v/>
      </c>
      <c r="EM637" s="2" t="str">
        <f>IF(AND(AND(AND($DX637=0,$DW637=0),OR($EC637=1,$EA637=1)),SUM($EB637:$EE637)&gt;=2),"Technology approach","")</f>
        <v>Technology approach</v>
      </c>
      <c r="EP637" t="str">
        <f>IF(ISNUMBER(BU637),IF(ABS(BU637-[2]QC_indicators!$B$2)&gt;3*[2]QC_indicators!$C$2,"C ratio",IF(ISNUMBER(BY637),IF(ABS(BY637-[2]QC_indicators!$B$1)&gt;3*[2]QC_indicators!$C$1,"DF","no"))),IF(ISNUMBER(BY637),IF(ABS(BY637-[2]QC_indicators!$B$1)&gt;3*[2]QC_indicators!$C$1,"DF","no")))</f>
        <v>no</v>
      </c>
      <c r="ET637" s="266" t="s">
        <v>3275</v>
      </c>
    </row>
    <row r="638" spans="1:150" ht="15" hidden="1" customHeight="1">
      <c r="A638" s="1" t="s">
        <v>266</v>
      </c>
      <c r="B638" t="s">
        <v>1533</v>
      </c>
      <c r="C638" t="s">
        <v>1534</v>
      </c>
      <c r="D638" t="s">
        <v>1535</v>
      </c>
      <c r="E638" t="s">
        <v>1536</v>
      </c>
      <c r="F638" t="s">
        <v>1537</v>
      </c>
      <c r="G638" t="s">
        <v>272</v>
      </c>
      <c r="H638" t="s">
        <v>255</v>
      </c>
      <c r="I638">
        <v>2019</v>
      </c>
      <c r="J638">
        <v>26</v>
      </c>
      <c r="K638" t="s">
        <v>1538</v>
      </c>
      <c r="M638" t="str">
        <f>LEFT($D638,FIND(",",$D638)-1)&amp;"_"&amp;I638&amp;L638</f>
        <v>Faraca_2019</v>
      </c>
      <c r="N638" t="s">
        <v>223</v>
      </c>
      <c r="O638" s="145" t="s">
        <v>275</v>
      </c>
      <c r="Q638" t="s">
        <v>257</v>
      </c>
      <c r="R638" s="264" t="s">
        <v>224</v>
      </c>
      <c r="S638" s="265" t="s">
        <v>3139</v>
      </c>
      <c r="T638" t="s">
        <v>1540</v>
      </c>
      <c r="U638" t="s">
        <v>1551</v>
      </c>
      <c r="V638">
        <v>0</v>
      </c>
      <c r="W638">
        <v>0</v>
      </c>
      <c r="X638">
        <v>0</v>
      </c>
      <c r="Y638">
        <v>0</v>
      </c>
      <c r="Z638">
        <v>0</v>
      </c>
      <c r="AA638">
        <v>0</v>
      </c>
      <c r="AB638">
        <v>0</v>
      </c>
      <c r="AC638">
        <v>0</v>
      </c>
      <c r="AD638">
        <v>0</v>
      </c>
      <c r="AE638">
        <v>0</v>
      </c>
      <c r="AF638">
        <v>0</v>
      </c>
      <c r="AG638">
        <v>1</v>
      </c>
      <c r="AH638">
        <v>0</v>
      </c>
      <c r="AI638">
        <v>0</v>
      </c>
      <c r="AJ638">
        <v>0</v>
      </c>
      <c r="AK638">
        <v>0</v>
      </c>
      <c r="AL638">
        <v>0</v>
      </c>
      <c r="AM638">
        <v>0</v>
      </c>
      <c r="AN638">
        <v>0</v>
      </c>
      <c r="AO638">
        <v>0</v>
      </c>
      <c r="AP638">
        <v>0</v>
      </c>
      <c r="AQ638">
        <v>0</v>
      </c>
      <c r="AR638">
        <v>0</v>
      </c>
      <c r="AS638">
        <v>0</v>
      </c>
      <c r="AT638">
        <v>0</v>
      </c>
      <c r="AU638">
        <v>0</v>
      </c>
      <c r="AV638">
        <v>0</v>
      </c>
      <c r="AW638">
        <v>0</v>
      </c>
      <c r="AX638" s="141">
        <f>COUNTIF(V638:AW638,"&lt;&gt;0")</f>
        <v>1</v>
      </c>
      <c r="AY638" s="141">
        <f>COUNTIF(V638:AL638,"&lt;&gt;0")</f>
        <v>1</v>
      </c>
      <c r="AZ638">
        <f>COUNTIF(V638:AC638,"&lt;&gt;0")</f>
        <v>0</v>
      </c>
      <c r="BA638">
        <f>COUNTIF(AD638:AI638,"&lt;&gt;0")</f>
        <v>1</v>
      </c>
      <c r="BB638">
        <f>COUNTIF(AJ638:AL638,"&lt;&gt;0")</f>
        <v>0</v>
      </c>
      <c r="BC638">
        <f>COUNTIF(AS638:AW638,"&lt;&gt;0")</f>
        <v>0</v>
      </c>
      <c r="BD638">
        <f>COUNTIF(AM638:AR638,"&lt;&gt;0")</f>
        <v>0</v>
      </c>
      <c r="BE638" t="str">
        <f t="array" ref="BE638">IF(AY638=1,INDEX($V$7:$AL$7,MATCH(TRUE,INDEX($V638:$AW638&lt;&gt;0,),0)),IF(AY638=0,INDEX($AM$7:$AW$7,MATCH(1,$AM638:$AW638,0)),IF(BF638="Multiple strategies","mixed drivers",IF(BF638="Supply chain","multiple supply","multiple silviculture"))))</f>
        <v>recycling</v>
      </c>
      <c r="BF638" s="2" t="str" cm="1">
        <f t="array" ref="BF638">IF(COUNTIF(AZ638:BB638,"&lt;&gt;0")=1,INDEX($V$4:$AW$4,MATCH(TRUE,INDEX($V638:$AW638&lt;&gt;0,),0)),IF(COUNTIF(AZ638:BB638,"&lt;&gt;0")=0,INDEX($AM$4:$AW$4,MATCH(1,$AM638:$AW638,0)),"Multiple strategies"))</f>
        <v>Supply chain</v>
      </c>
      <c r="BG638" s="1" t="s">
        <v>230</v>
      </c>
      <c r="BH638" t="s">
        <v>1550</v>
      </c>
      <c r="BI638" t="s">
        <v>1541</v>
      </c>
      <c r="BJ638" t="s">
        <v>346</v>
      </c>
      <c r="BK638">
        <v>922</v>
      </c>
      <c r="BL638">
        <f>922+519+281+121</f>
        <v>1843</v>
      </c>
      <c r="BM638">
        <v>1.9989154013015185</v>
      </c>
      <c r="BN638">
        <f>BL638-BK638</f>
        <v>921</v>
      </c>
      <c r="BO638">
        <f>BN638*kg_to_m3</f>
        <v>1.879591836734694</v>
      </c>
      <c r="BP638" s="266" t="s">
        <v>396</v>
      </c>
      <c r="BQ638" t="s">
        <v>427</v>
      </c>
      <c r="BR638" t="s">
        <v>730</v>
      </c>
      <c r="BS638">
        <v>-10.3</v>
      </c>
      <c r="BT638">
        <v>-100</v>
      </c>
      <c r="BU638" s="144">
        <v>9.545454545454545</v>
      </c>
      <c r="BV638">
        <v>94</v>
      </c>
      <c r="BX638">
        <f>BV638/1000</f>
        <v>9.4E-2</v>
      </c>
      <c r="BY638">
        <f>IFERROR(BX638/BO638,"")</f>
        <v>5.0010857763300755E-2</v>
      </c>
      <c r="BZ638">
        <v>0</v>
      </c>
      <c r="CA638">
        <v>0</v>
      </c>
      <c r="CB638">
        <v>0</v>
      </c>
      <c r="CC638">
        <v>0</v>
      </c>
      <c r="CD638">
        <v>0</v>
      </c>
      <c r="CE638">
        <v>0</v>
      </c>
      <c r="CF638">
        <v>0</v>
      </c>
      <c r="CG638">
        <v>0</v>
      </c>
      <c r="CH638">
        <v>0</v>
      </c>
      <c r="CI638">
        <v>0</v>
      </c>
      <c r="CJ638">
        <v>0</v>
      </c>
      <c r="CK638">
        <v>0</v>
      </c>
      <c r="CL638">
        <v>0</v>
      </c>
      <c r="CM638">
        <v>0</v>
      </c>
      <c r="CN638" t="str">
        <f>IF($BL638&lt;$BK638,"refNeedCorrection","refOK")</f>
        <v>refOK</v>
      </c>
      <c r="CO638">
        <f>IF($CN638="refNeedCorrection",BL638,BK638)</f>
        <v>922</v>
      </c>
      <c r="CP638">
        <f>IF($CN638="refNeedCorrection",BK638,BL638)</f>
        <v>1843</v>
      </c>
      <c r="CQ638">
        <f>IF($CN638="refOK",$BO638,-$BO638)</f>
        <v>1.879591836734694</v>
      </c>
      <c r="CR638">
        <f>IF($CN638="refOK",$BS638,$BT638)*IF($BP638="Emissions positive",-1,1)</f>
        <v>10.3</v>
      </c>
      <c r="CS638">
        <f>IF($CN638="refOK",$BT638,$BS638)*IF($BP638="Emissions positive",-1,1)</f>
        <v>100</v>
      </c>
      <c r="CT638">
        <f>IF($CN638="refNeedCorrection",-BX638,BX638)*IF($BP638="Emissions positive",-1,1)</f>
        <v>-9.4E-2</v>
      </c>
      <c r="CU638">
        <f>IFERROR(CT638/CQ638,"")</f>
        <v>-5.0010857763300755E-2</v>
      </c>
      <c r="CV638" s="2">
        <f>IFERROR((CS638-CR638)/ABS(CR638),"")</f>
        <v>8.7087378640776691</v>
      </c>
      <c r="CW638" s="1" t="s">
        <v>1201</v>
      </c>
      <c r="CX638" t="str">
        <f>IF(OR($CW638="prd",$CW638="std",$CW638="cit"),"loc",IF(OR($CW638="eur",$CW638="reg",$CW638="coy"),"reg",$CW638))</f>
        <v>reg</v>
      </c>
      <c r="CY638" t="s">
        <v>1542</v>
      </c>
      <c r="DB638">
        <v>100</v>
      </c>
      <c r="DC638" t="str">
        <f>IF(DB638=0,"0",IF(AND(DB638&gt;=1,DB638&lt;=30),"1-30",IF(AND(DB638&gt;30,DB638&lt;=70),"31-70",IF(AND(DB638&gt;70,DB638&lt;=100),"71-100",IF(DB638&gt;100,"+100")))))</f>
        <v>71-100</v>
      </c>
      <c r="DD638">
        <v>0</v>
      </c>
      <c r="DE638">
        <v>0</v>
      </c>
      <c r="DF638">
        <v>0</v>
      </c>
      <c r="DG638">
        <v>1</v>
      </c>
      <c r="DI638">
        <f>SUM(DD638:DG638)</f>
        <v>1</v>
      </c>
      <c r="DJ638" t="str">
        <f>IF(DI638=1,INDEX($DD$7:$DG$7,MATCH(1,$DD638:$DG638,0)),"mixedProduct")</f>
        <v>TimberInput</v>
      </c>
      <c r="DK638">
        <f>IF(DD638=1,DK$7,0)</f>
        <v>0</v>
      </c>
      <c r="DL638">
        <f>IF(DE638=1,DL$7,0)</f>
        <v>0</v>
      </c>
      <c r="DM638">
        <f>IF(DF638=1,DM$7,0)</f>
        <v>0</v>
      </c>
      <c r="DN638" t="str">
        <f>IF(DG638=1,DN$7,0)</f>
        <v>Timber</v>
      </c>
      <c r="DO638">
        <v>0</v>
      </c>
      <c r="DP638">
        <v>1</v>
      </c>
      <c r="DQ638">
        <v>0</v>
      </c>
      <c r="DR638">
        <v>0</v>
      </c>
      <c r="DS638" t="s">
        <v>1543</v>
      </c>
      <c r="DT638">
        <f>SUM(DO638:DP638)</f>
        <v>1</v>
      </c>
      <c r="DU638" s="143" t="str">
        <f>IF(DO638=1,"self-calculated DF",IF(DP638=1,"external DF used","explicit C balance"))</f>
        <v>external DF used</v>
      </c>
      <c r="DV638">
        <v>0</v>
      </c>
      <c r="DW638">
        <v>0</v>
      </c>
      <c r="DX638">
        <v>0</v>
      </c>
      <c r="DY638">
        <v>0</v>
      </c>
      <c r="DZ638">
        <v>1</v>
      </c>
      <c r="EA638" s="143">
        <v>1</v>
      </c>
      <c r="EB638">
        <v>0</v>
      </c>
      <c r="EC638">
        <v>1</v>
      </c>
      <c r="ED638">
        <v>0</v>
      </c>
      <c r="EE638">
        <v>1</v>
      </c>
      <c r="EF638">
        <v>1</v>
      </c>
      <c r="EG638">
        <v>1</v>
      </c>
      <c r="EH638">
        <v>0</v>
      </c>
      <c r="EI638" s="2">
        <v>0</v>
      </c>
      <c r="EK638" t="str">
        <f>IF(AND(AND(AND(OR($DX638=1,$DW638=1),OR($EC638=1,$EA638=1)),SUM($DV638:$DZ638,$EF638)&gt;=4),SUM($EA638:$EE638)&gt;=2),"Whole sector","")</f>
        <v/>
      </c>
      <c r="EL638" t="str">
        <f>IF(AND(AND(OR($DX638=1,$DW638=1),AND($EC638=0,$EA638=0)),SUM($DV638:$DZ638,$EF638)&gt;=4),"Ecosystem approach","")</f>
        <v/>
      </c>
      <c r="EM638" s="2" t="str">
        <f>IF(AND(AND(AND($DX638=0,$DW638=0),OR($EC638=1,$EA638=1)),SUM($EB638:$EE638)&gt;=2),"Technology approach","")</f>
        <v>Technology approach</v>
      </c>
      <c r="EP638" t="str">
        <f>IF(ISNUMBER(BU638),IF(ABS(BU638-[2]QC_indicators!$B$2)&gt;3*[2]QC_indicators!$C$2,"C ratio",IF(ISNUMBER(BY638),IF(ABS(BY638-[2]QC_indicators!$B$1)&gt;3*[2]QC_indicators!$C$1,"DF","no"))),IF(ISNUMBER(BY638),IF(ABS(BY638-[2]QC_indicators!$B$1)&gt;3*[2]QC_indicators!$C$1,"DF","no")))</f>
        <v>no</v>
      </c>
      <c r="ET638" s="266" t="s">
        <v>3275</v>
      </c>
    </row>
    <row r="639" spans="1:150" ht="15" hidden="1" customHeight="1">
      <c r="A639" s="1" t="s">
        <v>266</v>
      </c>
      <c r="B639" t="s">
        <v>1533</v>
      </c>
      <c r="C639" t="s">
        <v>1534</v>
      </c>
      <c r="D639" t="s">
        <v>1535</v>
      </c>
      <c r="E639" t="s">
        <v>1536</v>
      </c>
      <c r="F639" t="s">
        <v>1537</v>
      </c>
      <c r="G639" t="s">
        <v>272</v>
      </c>
      <c r="H639" t="s">
        <v>255</v>
      </c>
      <c r="I639">
        <v>2019</v>
      </c>
      <c r="J639">
        <v>26</v>
      </c>
      <c r="K639" t="s">
        <v>1538</v>
      </c>
      <c r="M639" t="str">
        <f>LEFT($D639,FIND(",",$D639)-1)&amp;"_"&amp;I639&amp;L639</f>
        <v>Faraca_2019</v>
      </c>
      <c r="N639" t="s">
        <v>223</v>
      </c>
      <c r="O639" s="145" t="s">
        <v>275</v>
      </c>
      <c r="P639" s="180" t="s">
        <v>224</v>
      </c>
      <c r="Q639" t="s">
        <v>257</v>
      </c>
      <c r="R639" s="264" t="s">
        <v>224</v>
      </c>
      <c r="S639" s="265" t="s">
        <v>3137</v>
      </c>
      <c r="T639" t="s">
        <v>971</v>
      </c>
      <c r="U639" t="s">
        <v>1549</v>
      </c>
      <c r="V639">
        <v>0</v>
      </c>
      <c r="W639">
        <v>0</v>
      </c>
      <c r="X639">
        <v>0</v>
      </c>
      <c r="Y639">
        <v>0</v>
      </c>
      <c r="Z639">
        <v>0</v>
      </c>
      <c r="AA639">
        <v>0</v>
      </c>
      <c r="AB639">
        <v>0</v>
      </c>
      <c r="AC639">
        <v>0</v>
      </c>
      <c r="AD639">
        <v>0</v>
      </c>
      <c r="AE639">
        <v>0</v>
      </c>
      <c r="AF639">
        <v>0</v>
      </c>
      <c r="AG639">
        <v>1</v>
      </c>
      <c r="AH639">
        <v>0</v>
      </c>
      <c r="AI639">
        <v>0</v>
      </c>
      <c r="AJ639">
        <v>0</v>
      </c>
      <c r="AK639">
        <v>0</v>
      </c>
      <c r="AL639">
        <v>0</v>
      </c>
      <c r="AM639">
        <v>0</v>
      </c>
      <c r="AN639">
        <v>0</v>
      </c>
      <c r="AO639">
        <v>0</v>
      </c>
      <c r="AP639">
        <v>0</v>
      </c>
      <c r="AQ639">
        <v>0</v>
      </c>
      <c r="AR639">
        <v>0</v>
      </c>
      <c r="AS639">
        <v>0</v>
      </c>
      <c r="AT639">
        <v>0</v>
      </c>
      <c r="AU639">
        <v>0</v>
      </c>
      <c r="AV639">
        <v>0</v>
      </c>
      <c r="AW639">
        <v>0</v>
      </c>
      <c r="AX639" s="141">
        <f>COUNTIF(V639:AW639,"&lt;&gt;0")</f>
        <v>1</v>
      </c>
      <c r="AY639" s="141">
        <f>COUNTIF(V639:AL639,"&lt;&gt;0")</f>
        <v>1</v>
      </c>
      <c r="AZ639">
        <f>COUNTIF(V639:AC639,"&lt;&gt;0")</f>
        <v>0</v>
      </c>
      <c r="BA639">
        <f>COUNTIF(AD639:AI639,"&lt;&gt;0")</f>
        <v>1</v>
      </c>
      <c r="BB639">
        <f>COUNTIF(AJ639:AL639,"&lt;&gt;0")</f>
        <v>0</v>
      </c>
      <c r="BC639">
        <f>COUNTIF(AS639:AW639,"&lt;&gt;0")</f>
        <v>0</v>
      </c>
      <c r="BD639">
        <f>COUNTIF(AM639:AR639,"&lt;&gt;0")</f>
        <v>0</v>
      </c>
      <c r="BE639" t="str">
        <f t="array" ref="BE639">IF(AY639=1,INDEX($V$7:$AL$7,MATCH(TRUE,INDEX($V639:$AW639&lt;&gt;0,),0)),IF(AY639=0,INDEX($AM$7:$AW$7,MATCH(1,$AM639:$AW639,0)),IF(BF639="Multiple strategies","mixed drivers",IF(BF639="Supply chain","multiple supply","multiple silviculture"))))</f>
        <v>recycling</v>
      </c>
      <c r="BF639" s="2" t="str" cm="1">
        <f t="array" ref="BF639">IF(COUNTIF(AZ639:BB639,"&lt;&gt;0")=1,INDEX($V$4:$AW$4,MATCH(TRUE,INDEX($V639:$AW639&lt;&gt;0,),0)),IF(COUNTIF(AZ639:BB639,"&lt;&gt;0")=0,INDEX($AM$4:$AW$4,MATCH(1,$AM639:$AW639,0)),"Multiple strategies"))</f>
        <v>Supply chain</v>
      </c>
      <c r="BG639" s="1" t="s">
        <v>230</v>
      </c>
      <c r="BH639" t="s">
        <v>1550</v>
      </c>
      <c r="BI639" t="s">
        <v>1541</v>
      </c>
      <c r="BJ639" t="s">
        <v>346</v>
      </c>
      <c r="BK639">
        <v>636</v>
      </c>
      <c r="BL639">
        <f>638+378+212+115</f>
        <v>1343</v>
      </c>
      <c r="BM639">
        <v>2.108490566037736</v>
      </c>
      <c r="BN639">
        <f>BL639-BK639</f>
        <v>707</v>
      </c>
      <c r="BO639">
        <f>BN639*kg_to_m3</f>
        <v>1.4428571428571431</v>
      </c>
      <c r="BP639" s="266" t="s">
        <v>396</v>
      </c>
      <c r="BQ639" t="s">
        <v>427</v>
      </c>
      <c r="BR639" t="s">
        <v>730</v>
      </c>
      <c r="BS639">
        <v>474.6</v>
      </c>
      <c r="BT639">
        <v>545.79999999999995</v>
      </c>
      <c r="BU639" s="144"/>
      <c r="BV639">
        <f>BT639-BS639</f>
        <v>71.199999999999932</v>
      </c>
      <c r="BX639">
        <f>BV639/1000</f>
        <v>7.119999999999993E-2</v>
      </c>
      <c r="BY639">
        <f>IFERROR(BX639/BO639,"")</f>
        <v>4.9346534653465293E-2</v>
      </c>
      <c r="BZ639">
        <v>0</v>
      </c>
      <c r="CA639">
        <v>0</v>
      </c>
      <c r="CB639">
        <v>0</v>
      </c>
      <c r="CC639">
        <v>0</v>
      </c>
      <c r="CD639">
        <v>0</v>
      </c>
      <c r="CE639">
        <v>0</v>
      </c>
      <c r="CF639">
        <v>0</v>
      </c>
      <c r="CG639">
        <v>0</v>
      </c>
      <c r="CH639">
        <v>0</v>
      </c>
      <c r="CI639">
        <v>0</v>
      </c>
      <c r="CJ639">
        <v>0</v>
      </c>
      <c r="CK639">
        <v>0</v>
      </c>
      <c r="CL639">
        <v>0</v>
      </c>
      <c r="CM639">
        <v>0</v>
      </c>
      <c r="CN639" t="str">
        <f>IF($BL639&lt;$BK639,"refNeedCorrection","refOK")</f>
        <v>refOK</v>
      </c>
      <c r="CO639">
        <f>IF($CN639="refNeedCorrection",BL639,BK639)</f>
        <v>636</v>
      </c>
      <c r="CP639">
        <f>IF($CN639="refNeedCorrection",BK639,BL639)</f>
        <v>1343</v>
      </c>
      <c r="CQ639">
        <f>IF($CN639="refOK",$BO639,-$BO639)</f>
        <v>1.4428571428571431</v>
      </c>
      <c r="CR639">
        <f>IF($CN639="refOK",$BS639,$BT639)*IF($BP639="Emissions positive",-1,1)</f>
        <v>-474.6</v>
      </c>
      <c r="CS639">
        <f>IF($CN639="refOK",$BT639,$BS639)*IF($BP639="Emissions positive",-1,1)</f>
        <v>-545.79999999999995</v>
      </c>
      <c r="CT639">
        <f>IF($CN639="refNeedCorrection",-BX639,BX639)*IF($BP639="Emissions positive",-1,1)</f>
        <v>-7.119999999999993E-2</v>
      </c>
      <c r="CU639">
        <f>IFERROR(CT639/CQ639,"")</f>
        <v>-4.9346534653465293E-2</v>
      </c>
      <c r="CV639" s="2">
        <f>IFERROR((CS639-CR639)/ABS(CR639),"")</f>
        <v>-0.15002107037505252</v>
      </c>
      <c r="CW639" s="1" t="s">
        <v>1201</v>
      </c>
      <c r="CX639" t="str">
        <f>IF(OR($CW639="prd",$CW639="std",$CW639="cit"),"loc",IF(OR($CW639="eur",$CW639="reg",$CW639="coy"),"reg",$CW639))</f>
        <v>reg</v>
      </c>
      <c r="CY639" t="s">
        <v>1542</v>
      </c>
      <c r="DB639">
        <v>100</v>
      </c>
      <c r="DC639" t="str">
        <f>IF(DB639=0,"0",IF(AND(DB639&gt;=1,DB639&lt;=30),"1-30",IF(AND(DB639&gt;30,DB639&lt;=70),"31-70",IF(AND(DB639&gt;70,DB639&lt;=100),"71-100",IF(DB639&gt;100,"+100")))))</f>
        <v>71-100</v>
      </c>
      <c r="DD639">
        <v>0</v>
      </c>
      <c r="DE639">
        <v>0</v>
      </c>
      <c r="DF639">
        <v>0</v>
      </c>
      <c r="DG639">
        <v>1</v>
      </c>
      <c r="DI639">
        <f>SUM(DD639:DG639)</f>
        <v>1</v>
      </c>
      <c r="DJ639" t="str">
        <f>IF(DI639=1,INDEX($DD$7:$DG$7,MATCH(1,$DD639:$DG639,0)),"mixedProduct")</f>
        <v>TimberInput</v>
      </c>
      <c r="DK639">
        <f>IF(DD639=1,DK$7,0)</f>
        <v>0</v>
      </c>
      <c r="DL639">
        <f>IF(DE639=1,DL$7,0)</f>
        <v>0</v>
      </c>
      <c r="DM639">
        <f>IF(DF639=1,DM$7,0)</f>
        <v>0</v>
      </c>
      <c r="DN639" t="str">
        <f>IF(DG639=1,DN$7,0)</f>
        <v>Timber</v>
      </c>
      <c r="DO639">
        <v>0</v>
      </c>
      <c r="DP639">
        <v>0</v>
      </c>
      <c r="DQ639">
        <v>0</v>
      </c>
      <c r="DR639">
        <v>0</v>
      </c>
      <c r="DS639">
        <v>0</v>
      </c>
      <c r="DT639">
        <f>SUM(DO639:DP639)</f>
        <v>0</v>
      </c>
      <c r="DU639" s="143" t="str">
        <f>IF(DO639=1,"self-calculated DF",IF(DP639=1,"external DF used","explicit C balance"))</f>
        <v>explicit C balance</v>
      </c>
      <c r="DV639">
        <v>0</v>
      </c>
      <c r="DW639">
        <v>0</v>
      </c>
      <c r="DX639">
        <v>0</v>
      </c>
      <c r="DY639">
        <v>0</v>
      </c>
      <c r="DZ639">
        <v>1</v>
      </c>
      <c r="EA639" s="143">
        <v>0</v>
      </c>
      <c r="EB639">
        <v>0</v>
      </c>
      <c r="EC639">
        <v>1</v>
      </c>
      <c r="ED639">
        <v>0</v>
      </c>
      <c r="EE639">
        <v>1</v>
      </c>
      <c r="EF639">
        <v>1</v>
      </c>
      <c r="EG639">
        <v>1</v>
      </c>
      <c r="EH639">
        <v>0</v>
      </c>
      <c r="EI639" s="2">
        <v>0</v>
      </c>
      <c r="EK639" t="str">
        <f>IF(AND(AND(AND(OR($DX639=1,$DW639=1),OR($EC639=1,$EA639=1)),SUM($DV639:$DZ639,$EF639)&gt;=4),SUM($EA639:$EE639)&gt;=2),"Whole sector","")</f>
        <v/>
      </c>
      <c r="EL639" t="str">
        <f>IF(AND(AND(OR($DX639=1,$DW639=1),AND($EC639=0,$EA639=0)),SUM($DV639:$DZ639,$EF639)&gt;=4),"Ecosystem approach","")</f>
        <v/>
      </c>
      <c r="EM639" s="2" t="str">
        <f>IF(AND(AND(AND($DX639=0,$DW639=0),OR($EC639=1,$EA639=1)),SUM($EB639:$EE639)&gt;=2),"Technology approach","")</f>
        <v>Technology approach</v>
      </c>
      <c r="EP639" t="str">
        <f>IF(ISNUMBER(BU639),IF(ABS(BU639-[2]QC_indicators!$B$2)&gt;3*[2]QC_indicators!$C$2,"C ratio",IF(ISNUMBER(BY639),IF(ABS(BY639-[2]QC_indicators!$B$1)&gt;3*[2]QC_indicators!$C$1,"DF","no"))),IF(ISNUMBER(BY639),IF(ABS(BY639-[2]QC_indicators!$B$1)&gt;3*[2]QC_indicators!$C$1,"DF","no")))</f>
        <v>no</v>
      </c>
      <c r="ET639" s="266" t="s">
        <v>3275</v>
      </c>
    </row>
    <row r="640" spans="1:150" ht="15" hidden="1" customHeight="1">
      <c r="A640" s="1" t="s">
        <v>266</v>
      </c>
      <c r="B640" t="s">
        <v>1533</v>
      </c>
      <c r="C640" t="s">
        <v>1534</v>
      </c>
      <c r="D640" t="s">
        <v>1535</v>
      </c>
      <c r="E640" t="s">
        <v>1536</v>
      </c>
      <c r="F640" t="s">
        <v>1537</v>
      </c>
      <c r="G640" t="s">
        <v>272</v>
      </c>
      <c r="H640" t="s">
        <v>255</v>
      </c>
      <c r="I640">
        <v>2019</v>
      </c>
      <c r="J640">
        <v>26</v>
      </c>
      <c r="K640" t="s">
        <v>1538</v>
      </c>
      <c r="M640" t="str">
        <f>LEFT($D640,FIND(",",$D640)-1)&amp;"_"&amp;I640&amp;L640</f>
        <v>Faraca_2019</v>
      </c>
      <c r="N640" t="s">
        <v>223</v>
      </c>
      <c r="O640" s="145" t="s">
        <v>275</v>
      </c>
      <c r="P640" s="180" t="s">
        <v>224</v>
      </c>
      <c r="Q640" t="s">
        <v>257</v>
      </c>
      <c r="R640" s="264" t="s">
        <v>224</v>
      </c>
      <c r="S640" s="265" t="s">
        <v>3140</v>
      </c>
      <c r="T640" t="s">
        <v>971</v>
      </c>
      <c r="U640" t="s">
        <v>1549</v>
      </c>
      <c r="V640">
        <v>0</v>
      </c>
      <c r="W640">
        <v>0</v>
      </c>
      <c r="X640">
        <v>0</v>
      </c>
      <c r="Y640">
        <v>0</v>
      </c>
      <c r="Z640">
        <v>0</v>
      </c>
      <c r="AA640">
        <v>0</v>
      </c>
      <c r="AB640">
        <v>0</v>
      </c>
      <c r="AC640">
        <v>0</v>
      </c>
      <c r="AD640">
        <v>0</v>
      </c>
      <c r="AE640">
        <v>0</v>
      </c>
      <c r="AF640">
        <v>0</v>
      </c>
      <c r="AG640">
        <v>1</v>
      </c>
      <c r="AH640">
        <v>0</v>
      </c>
      <c r="AI640">
        <v>0</v>
      </c>
      <c r="AJ640">
        <v>0</v>
      </c>
      <c r="AK640">
        <v>0</v>
      </c>
      <c r="AL640">
        <v>0</v>
      </c>
      <c r="AM640">
        <v>0</v>
      </c>
      <c r="AN640">
        <v>0</v>
      </c>
      <c r="AO640">
        <v>0</v>
      </c>
      <c r="AP640">
        <v>0</v>
      </c>
      <c r="AQ640">
        <v>0</v>
      </c>
      <c r="AR640">
        <v>0</v>
      </c>
      <c r="AS640">
        <v>0</v>
      </c>
      <c r="AT640">
        <v>0</v>
      </c>
      <c r="AU640">
        <v>0</v>
      </c>
      <c r="AV640">
        <v>0</v>
      </c>
      <c r="AW640">
        <v>0</v>
      </c>
      <c r="AX640" s="141">
        <f>COUNTIF(V640:AW640,"&lt;&gt;0")</f>
        <v>1</v>
      </c>
      <c r="AY640" s="141">
        <f>COUNTIF(V640:AL640,"&lt;&gt;0")</f>
        <v>1</v>
      </c>
      <c r="AZ640">
        <f>COUNTIF(V640:AC640,"&lt;&gt;0")</f>
        <v>0</v>
      </c>
      <c r="BA640">
        <f>COUNTIF(AD640:AI640,"&lt;&gt;0")</f>
        <v>1</v>
      </c>
      <c r="BB640">
        <f>COUNTIF(AJ640:AL640,"&lt;&gt;0")</f>
        <v>0</v>
      </c>
      <c r="BC640">
        <f>COUNTIF(AS640:AW640,"&lt;&gt;0")</f>
        <v>0</v>
      </c>
      <c r="BD640">
        <f>COUNTIF(AM640:AR640,"&lt;&gt;0")</f>
        <v>0</v>
      </c>
      <c r="BE640" t="str">
        <f t="array" ref="BE640">IF(AY640=1,INDEX($V$7:$AL$7,MATCH(TRUE,INDEX($V640:$AW640&lt;&gt;0,),0)),IF(AY640=0,INDEX($AM$7:$AW$7,MATCH(1,$AM640:$AW640,0)),IF(BF640="Multiple strategies","mixed drivers",IF(BF640="Supply chain","multiple supply","multiple silviculture"))))</f>
        <v>recycling</v>
      </c>
      <c r="BF640" s="2" t="str" cm="1">
        <f t="array" ref="BF640">IF(COUNTIF(AZ640:BB640,"&lt;&gt;0")=1,INDEX($V$4:$AW$4,MATCH(TRUE,INDEX($V640:$AW640&lt;&gt;0,),0)),IF(COUNTIF(AZ640:BB640,"&lt;&gt;0")=0,INDEX($AM$4:$AW$4,MATCH(1,$AM640:$AW640,0)),"Multiple strategies"))</f>
        <v>Supply chain</v>
      </c>
      <c r="BG640" s="1" t="s">
        <v>230</v>
      </c>
      <c r="BH640" t="s">
        <v>1550</v>
      </c>
      <c r="BI640" t="s">
        <v>1541</v>
      </c>
      <c r="BJ640" t="s">
        <v>346</v>
      </c>
      <c r="BK640">
        <v>636</v>
      </c>
      <c r="BL640">
        <f>638+378+212+115</f>
        <v>1343</v>
      </c>
      <c r="BM640">
        <v>2.108490566037736</v>
      </c>
      <c r="BN640">
        <f>BL640-BK640</f>
        <v>707</v>
      </c>
      <c r="BO640">
        <f>BN640*kg_to_m3</f>
        <v>1.4428571428571431</v>
      </c>
      <c r="BP640" s="266" t="s">
        <v>396</v>
      </c>
      <c r="BQ640" s="266" t="s">
        <v>427</v>
      </c>
      <c r="BR640" t="s">
        <v>730</v>
      </c>
      <c r="BS640">
        <v>-40.700000000000003</v>
      </c>
      <c r="BT640">
        <v>-98.3</v>
      </c>
      <c r="BU640" s="144">
        <v>1.5227272727272727</v>
      </c>
      <c r="BV640">
        <f>BT640-BS640</f>
        <v>-57.599999999999994</v>
      </c>
      <c r="BX640">
        <f>BV640/1000</f>
        <v>-5.7599999999999991E-2</v>
      </c>
      <c r="BY640">
        <f>IFERROR(BX640/BO640,"")</f>
        <v>-3.9920792079207908E-2</v>
      </c>
      <c r="BZ640">
        <v>0</v>
      </c>
      <c r="CA640">
        <v>0</v>
      </c>
      <c r="CB640">
        <v>0</v>
      </c>
      <c r="CC640">
        <v>0</v>
      </c>
      <c r="CD640">
        <v>0</v>
      </c>
      <c r="CE640">
        <v>0</v>
      </c>
      <c r="CF640">
        <v>0</v>
      </c>
      <c r="CG640">
        <v>0</v>
      </c>
      <c r="CH640">
        <v>0</v>
      </c>
      <c r="CI640">
        <v>0</v>
      </c>
      <c r="CJ640">
        <v>0</v>
      </c>
      <c r="CK640">
        <v>0</v>
      </c>
      <c r="CL640">
        <v>0</v>
      </c>
      <c r="CM640">
        <v>0</v>
      </c>
      <c r="CN640" t="str">
        <f>IF($BL640&lt;$BK640,"refNeedCorrection","refOK")</f>
        <v>refOK</v>
      </c>
      <c r="CO640">
        <f>IF($CN640="refNeedCorrection",BL640,BK640)</f>
        <v>636</v>
      </c>
      <c r="CP640">
        <f>IF($CN640="refNeedCorrection",BK640,BL640)</f>
        <v>1343</v>
      </c>
      <c r="CQ640">
        <f>IF($CN640="refOK",$BO640,-$BO640)</f>
        <v>1.4428571428571431</v>
      </c>
      <c r="CR640">
        <f>IF($CN640="refOK",$BS640,$BT640)*IF($BP640="Emissions positive",-1,1)</f>
        <v>40.700000000000003</v>
      </c>
      <c r="CS640">
        <f>IF($CN640="refOK",$BT640,$BS640)*IF($BP640="Emissions positive",-1,1)</f>
        <v>98.3</v>
      </c>
      <c r="CT640">
        <f>IF($CN640="refNeedCorrection",-BX640,BX640)*IF($BP640="Emissions positive",-1,1)</f>
        <v>5.7599999999999991E-2</v>
      </c>
      <c r="CU640">
        <f>IFERROR(CT640/CQ640,"")</f>
        <v>3.9920792079207908E-2</v>
      </c>
      <c r="CV640" s="2">
        <f>IFERROR((CS640-CR640)/ABS(CR640),"")</f>
        <v>1.4152334152334149</v>
      </c>
      <c r="CW640" s="1" t="s">
        <v>1201</v>
      </c>
      <c r="CX640" t="str">
        <f>IF(OR($CW640="prd",$CW640="std",$CW640="cit"),"loc",IF(OR($CW640="eur",$CW640="reg",$CW640="coy"),"reg",$CW640))</f>
        <v>reg</v>
      </c>
      <c r="CY640" t="s">
        <v>1542</v>
      </c>
      <c r="DB640">
        <v>100</v>
      </c>
      <c r="DC640" t="str">
        <f>IF(DB640=0,"0",IF(AND(DB640&gt;=1,DB640&lt;=30),"1-30",IF(AND(DB640&gt;30,DB640&lt;=70),"31-70",IF(AND(DB640&gt;70,DB640&lt;=100),"71-100",IF(DB640&gt;100,"+100")))))</f>
        <v>71-100</v>
      </c>
      <c r="DD640">
        <v>0</v>
      </c>
      <c r="DE640">
        <v>0</v>
      </c>
      <c r="DF640">
        <v>0</v>
      </c>
      <c r="DG640">
        <v>1</v>
      </c>
      <c r="DI640">
        <f>SUM(DD640:DG640)</f>
        <v>1</v>
      </c>
      <c r="DJ640" t="str">
        <f>IF(DI640=1,INDEX($DD$7:$DG$7,MATCH(1,$DD640:$DG640,0)),"mixedProduct")</f>
        <v>TimberInput</v>
      </c>
      <c r="DK640">
        <f>IF(DD640=1,DK$7,0)</f>
        <v>0</v>
      </c>
      <c r="DL640">
        <f>IF(DE640=1,DL$7,0)</f>
        <v>0</v>
      </c>
      <c r="DM640">
        <f>IF(DF640=1,DM$7,0)</f>
        <v>0</v>
      </c>
      <c r="DN640" t="str">
        <f>IF(DG640=1,DN$7,0)</f>
        <v>Timber</v>
      </c>
      <c r="DO640">
        <v>0</v>
      </c>
      <c r="DP640">
        <v>1</v>
      </c>
      <c r="DQ640">
        <v>0</v>
      </c>
      <c r="DR640">
        <v>0</v>
      </c>
      <c r="DS640" t="s">
        <v>1543</v>
      </c>
      <c r="DT640">
        <f>SUM(DO640:DP640)</f>
        <v>1</v>
      </c>
      <c r="DU640" s="143" t="str">
        <f>IF(DO640=1,"self-calculated DF",IF(DP640=1,"external DF used","explicit C balance"))</f>
        <v>external DF used</v>
      </c>
      <c r="DV640">
        <v>0</v>
      </c>
      <c r="DW640">
        <v>0</v>
      </c>
      <c r="DX640">
        <v>0</v>
      </c>
      <c r="DY640">
        <v>0</v>
      </c>
      <c r="DZ640">
        <v>1</v>
      </c>
      <c r="EA640" s="143">
        <v>1</v>
      </c>
      <c r="EB640">
        <v>0</v>
      </c>
      <c r="EC640">
        <v>1</v>
      </c>
      <c r="ED640">
        <v>0</v>
      </c>
      <c r="EE640">
        <v>1</v>
      </c>
      <c r="EF640">
        <v>1</v>
      </c>
      <c r="EG640">
        <v>1</v>
      </c>
      <c r="EH640">
        <v>0</v>
      </c>
      <c r="EI640" s="2">
        <v>0</v>
      </c>
      <c r="EK640" t="str">
        <f>IF(AND(AND(AND(OR($DX640=1,$DW640=1),OR($EC640=1,$EA640=1)),SUM($DV640:$DZ640,$EF640)&gt;=4),SUM($EA640:$EE640)&gt;=2),"Whole sector","")</f>
        <v/>
      </c>
      <c r="EL640" t="str">
        <f>IF(AND(AND(OR($DX640=1,$DW640=1),AND($EC640=0,$EA640=0)),SUM($DV640:$DZ640,$EF640)&gt;=4),"Ecosystem approach","")</f>
        <v/>
      </c>
      <c r="EM640" s="2" t="str">
        <f>IF(AND(AND(AND($DX640=0,$DW640=0),OR($EC640=1,$EA640=1)),SUM($EB640:$EE640)&gt;=2),"Technology approach","")</f>
        <v>Technology approach</v>
      </c>
      <c r="EP640" t="str">
        <f>IF(ISNUMBER(BU640),IF(ABS(BU640-[2]QC_indicators!$B$2)&gt;3*[2]QC_indicators!$C$2,"C ratio",IF(ISNUMBER(BY640),IF(ABS(BY640-[2]QC_indicators!$B$1)&gt;3*[2]QC_indicators!$C$1,"DF","no"))),IF(ISNUMBER(BY640),IF(ABS(BY640-[2]QC_indicators!$B$1)&gt;3*[2]QC_indicators!$C$1,"DF","no")))</f>
        <v>no</v>
      </c>
      <c r="ET640" s="266" t="s">
        <v>3275</v>
      </c>
    </row>
    <row r="641" spans="1:150" ht="15" hidden="1" customHeight="1">
      <c r="A641" s="1" t="s">
        <v>266</v>
      </c>
      <c r="B641" t="s">
        <v>1533</v>
      </c>
      <c r="C641" t="s">
        <v>1534</v>
      </c>
      <c r="D641" t="s">
        <v>1535</v>
      </c>
      <c r="E641" t="s">
        <v>1536</v>
      </c>
      <c r="F641" t="s">
        <v>1537</v>
      </c>
      <c r="G641" t="s">
        <v>272</v>
      </c>
      <c r="H641" t="s">
        <v>255</v>
      </c>
      <c r="I641">
        <v>2019</v>
      </c>
      <c r="J641">
        <v>26</v>
      </c>
      <c r="K641" t="s">
        <v>1538</v>
      </c>
      <c r="M641" t="str">
        <f>LEFT($D641,FIND(",",$D641)-1)&amp;"_"&amp;I641&amp;L641</f>
        <v>Faraca_2019</v>
      </c>
      <c r="N641" t="s">
        <v>223</v>
      </c>
      <c r="O641" s="145" t="s">
        <v>275</v>
      </c>
      <c r="P641" s="180" t="s">
        <v>224</v>
      </c>
      <c r="Q641" t="s">
        <v>257</v>
      </c>
      <c r="R641" s="264" t="s">
        <v>224</v>
      </c>
      <c r="S641" s="1" t="s">
        <v>1548</v>
      </c>
      <c r="T641" t="s">
        <v>971</v>
      </c>
      <c r="U641" t="s">
        <v>1549</v>
      </c>
      <c r="V641">
        <v>0</v>
      </c>
      <c r="W641">
        <v>0</v>
      </c>
      <c r="X641">
        <v>0</v>
      </c>
      <c r="Y641">
        <v>0</v>
      </c>
      <c r="Z641">
        <v>0</v>
      </c>
      <c r="AA641">
        <v>0</v>
      </c>
      <c r="AB641">
        <v>0</v>
      </c>
      <c r="AC641">
        <v>0</v>
      </c>
      <c r="AD641">
        <v>0</v>
      </c>
      <c r="AE641">
        <v>0</v>
      </c>
      <c r="AF641">
        <v>0</v>
      </c>
      <c r="AG641">
        <v>1</v>
      </c>
      <c r="AH641">
        <v>0</v>
      </c>
      <c r="AI641">
        <v>0</v>
      </c>
      <c r="AJ641">
        <v>0</v>
      </c>
      <c r="AK641">
        <v>0</v>
      </c>
      <c r="AL641">
        <v>0</v>
      </c>
      <c r="AM641">
        <v>0</v>
      </c>
      <c r="AN641">
        <v>0</v>
      </c>
      <c r="AO641">
        <v>0</v>
      </c>
      <c r="AP641">
        <v>0</v>
      </c>
      <c r="AQ641">
        <v>0</v>
      </c>
      <c r="AR641">
        <v>0</v>
      </c>
      <c r="AS641">
        <v>0</v>
      </c>
      <c r="AT641">
        <v>0</v>
      </c>
      <c r="AU641">
        <v>0</v>
      </c>
      <c r="AV641">
        <v>0</v>
      </c>
      <c r="AW641">
        <v>0</v>
      </c>
      <c r="AX641" s="141">
        <f>COUNTIF(V641:AW641,"&lt;&gt;0")</f>
        <v>1</v>
      </c>
      <c r="AY641" s="141">
        <f>COUNTIF(V641:AL641,"&lt;&gt;0")</f>
        <v>1</v>
      </c>
      <c r="AZ641">
        <f>COUNTIF(V641:AC641,"&lt;&gt;0")</f>
        <v>0</v>
      </c>
      <c r="BA641">
        <f>COUNTIF(AD641:AI641,"&lt;&gt;0")</f>
        <v>1</v>
      </c>
      <c r="BB641">
        <f>COUNTIF(AJ641:AL641,"&lt;&gt;0")</f>
        <v>0</v>
      </c>
      <c r="BC641">
        <f>COUNTIF(AS641:AW641,"&lt;&gt;0")</f>
        <v>0</v>
      </c>
      <c r="BD641">
        <f>COUNTIF(AM641:AR641,"&lt;&gt;0")</f>
        <v>0</v>
      </c>
      <c r="BE641" t="str">
        <f t="array" ref="BE641">IF(AY641=1,INDEX($V$7:$AL$7,MATCH(TRUE,INDEX($V641:$AW641&lt;&gt;0,),0)),IF(AY641=0,INDEX($AM$7:$AW$7,MATCH(1,$AM641:$AW641,0)),IF(BF641="Multiple strategies","mixed drivers",IF(BF641="Supply chain","multiple supply","multiple silviculture"))))</f>
        <v>recycling</v>
      </c>
      <c r="BF641" s="2" t="str" cm="1">
        <f t="array" ref="BF641">IF(COUNTIF(AZ641:BB641,"&lt;&gt;0")=1,INDEX($V$4:$AW$4,MATCH(TRUE,INDEX($V641:$AW641&lt;&gt;0,),0)),IF(COUNTIF(AZ641:BB641,"&lt;&gt;0")=0,INDEX($AM$4:$AW$4,MATCH(1,$AM641:$AW641,0)),"Multiple strategies"))</f>
        <v>Supply chain</v>
      </c>
      <c r="BG641" s="1" t="s">
        <v>230</v>
      </c>
      <c r="BH641" t="s">
        <v>1550</v>
      </c>
      <c r="BI641" s="266" t="s">
        <v>3123</v>
      </c>
      <c r="BJ641" t="s">
        <v>346</v>
      </c>
      <c r="BK641">
        <v>636</v>
      </c>
      <c r="BL641">
        <f>638+378+212+115</f>
        <v>1343</v>
      </c>
      <c r="BM641">
        <v>2.108490566037736</v>
      </c>
      <c r="BN641">
        <f>BL641-BK641</f>
        <v>707</v>
      </c>
      <c r="BO641">
        <f>BN641*kg_to_m3</f>
        <v>1.4428571428571431</v>
      </c>
      <c r="BP641" s="266" t="s">
        <v>396</v>
      </c>
      <c r="BR641" t="s">
        <v>730</v>
      </c>
      <c r="BS641">
        <v>-548.29999999999995</v>
      </c>
      <c r="BT641">
        <v>-779.3</v>
      </c>
      <c r="BU641" s="144">
        <v>1.5227272727272727</v>
      </c>
      <c r="BV641">
        <f>BT641-BS641</f>
        <v>-231</v>
      </c>
      <c r="BX641">
        <f>BV641/1000</f>
        <v>-0.23100000000000001</v>
      </c>
      <c r="BY641">
        <f>IFERROR(BX641/BO641,"")</f>
        <v>-0.16009900990099007</v>
      </c>
      <c r="BZ641">
        <v>0</v>
      </c>
      <c r="CA641">
        <v>0</v>
      </c>
      <c r="CB641">
        <v>0</v>
      </c>
      <c r="CC641">
        <v>0</v>
      </c>
      <c r="CD641">
        <v>0</v>
      </c>
      <c r="CE641">
        <v>0</v>
      </c>
      <c r="CF641">
        <v>0</v>
      </c>
      <c r="CG641">
        <v>0</v>
      </c>
      <c r="CH641">
        <v>0</v>
      </c>
      <c r="CI641">
        <v>0</v>
      </c>
      <c r="CJ641">
        <v>0</v>
      </c>
      <c r="CK641">
        <v>0</v>
      </c>
      <c r="CL641">
        <v>0</v>
      </c>
      <c r="CM641">
        <v>0</v>
      </c>
      <c r="CN641" t="str">
        <f>IF($BL641&lt;$BK641,"refNeedCorrection","refOK")</f>
        <v>refOK</v>
      </c>
      <c r="CO641">
        <f>IF($CN641="refNeedCorrection",BL641,BK641)</f>
        <v>636</v>
      </c>
      <c r="CP641">
        <f>IF($CN641="refNeedCorrection",BK641,BL641)</f>
        <v>1343</v>
      </c>
      <c r="CQ641">
        <f>IF($CN641="refOK",$BO641,-$BO641)</f>
        <v>1.4428571428571431</v>
      </c>
      <c r="CR641">
        <f>IF($CN641="refOK",$BS641,$BT641)*IF($BP641="Emissions positive",-1,1)</f>
        <v>548.29999999999995</v>
      </c>
      <c r="CS641">
        <f>IF($CN641="refOK",$BT641,$BS641)*IF($BP641="Emissions positive",-1,1)</f>
        <v>779.3</v>
      </c>
      <c r="CT641">
        <f>IF($CN641="refNeedCorrection",-BX641,BX641)*IF($BP641="Emissions positive",-1,1)</f>
        <v>0.23100000000000001</v>
      </c>
      <c r="CU641">
        <f>IFERROR(CT641/CQ641,"")</f>
        <v>0.16009900990099007</v>
      </c>
      <c r="CV641" s="2">
        <f>IFERROR((CS641-CR641)/ABS(CR641),"")</f>
        <v>0.42130220682108338</v>
      </c>
      <c r="CW641" s="1" t="s">
        <v>1201</v>
      </c>
      <c r="CX641" t="str">
        <f>IF(OR($CW641="prd",$CW641="std",$CW641="cit"),"loc",IF(OR($CW641="eur",$CW641="reg",$CW641="coy"),"reg",$CW641))</f>
        <v>reg</v>
      </c>
      <c r="CY641" t="s">
        <v>1542</v>
      </c>
      <c r="DB641">
        <v>100</v>
      </c>
      <c r="DC641" t="str">
        <f>IF(DB641=0,"0",IF(AND(DB641&gt;=1,DB641&lt;=30),"1-30",IF(AND(DB641&gt;30,DB641&lt;=70),"31-70",IF(AND(DB641&gt;70,DB641&lt;=100),"71-100",IF(DB641&gt;100,"+100")))))</f>
        <v>71-100</v>
      </c>
      <c r="DD641">
        <v>0</v>
      </c>
      <c r="DE641">
        <v>0</v>
      </c>
      <c r="DF641">
        <v>0</v>
      </c>
      <c r="DG641">
        <v>1</v>
      </c>
      <c r="DI641">
        <f>SUM(DD641:DG641)</f>
        <v>1</v>
      </c>
      <c r="DJ641" t="str">
        <f>IF(DI641=1,INDEX($DD$7:$DG$7,MATCH(1,$DD641:$DG641,0)),"mixedProduct")</f>
        <v>TimberInput</v>
      </c>
      <c r="DK641">
        <f>IF(DD641=1,DK$7,0)</f>
        <v>0</v>
      </c>
      <c r="DL641">
        <f>IF(DE641=1,DL$7,0)</f>
        <v>0</v>
      </c>
      <c r="DM641">
        <f>IF(DF641=1,DM$7,0)</f>
        <v>0</v>
      </c>
      <c r="DN641" t="str">
        <f>IF(DG641=1,DN$7,0)</f>
        <v>Timber</v>
      </c>
      <c r="DO641">
        <v>0</v>
      </c>
      <c r="DP641">
        <v>1</v>
      </c>
      <c r="DQ641">
        <v>0</v>
      </c>
      <c r="DR641">
        <v>0</v>
      </c>
      <c r="DS641" t="s">
        <v>1543</v>
      </c>
      <c r="DT641">
        <f>SUM(DO641:DP641)</f>
        <v>1</v>
      </c>
      <c r="DU641" s="143" t="str">
        <f>IF(DO641=1,"self-calculated DF",IF(DP641=1,"external DF used","explicit C balance"))</f>
        <v>external DF used</v>
      </c>
      <c r="DV641">
        <v>0</v>
      </c>
      <c r="DW641">
        <v>0</v>
      </c>
      <c r="DX641">
        <v>0</v>
      </c>
      <c r="DY641">
        <v>0</v>
      </c>
      <c r="DZ641">
        <v>1</v>
      </c>
      <c r="EA641" s="143">
        <v>1</v>
      </c>
      <c r="EB641">
        <v>0</v>
      </c>
      <c r="EC641">
        <v>1</v>
      </c>
      <c r="ED641">
        <v>0</v>
      </c>
      <c r="EE641">
        <v>1</v>
      </c>
      <c r="EF641">
        <v>1</v>
      </c>
      <c r="EG641">
        <v>1</v>
      </c>
      <c r="EH641">
        <v>1</v>
      </c>
      <c r="EI641" s="2">
        <v>0</v>
      </c>
      <c r="EK641" t="str">
        <f>IF(AND(AND(AND(OR($DX641=1,$DW641=1),OR($EC641=1,$EA641=1)),SUM($DV641:$DZ641,$EF641)&gt;=4),SUM($EA641:$EE641)&gt;=2),"Whole sector","")</f>
        <v/>
      </c>
      <c r="EL641" t="str">
        <f>IF(AND(AND(OR($DX641=1,$DW641=1),AND($EC641=0,$EA641=0)),SUM($DV641:$DZ641,$EF641)&gt;=4),"Ecosystem approach","")</f>
        <v/>
      </c>
      <c r="EM641" s="2" t="str">
        <f>IF(AND(AND(AND($DX641=0,$DW641=0),OR($EC641=1,$EA641=1)),SUM($EB641:$EE641)&gt;=2),"Technology approach","")</f>
        <v>Technology approach</v>
      </c>
      <c r="EP641" t="str">
        <f>IF(ISNUMBER(BU641),IF(ABS(BU641-[2]QC_indicators!$B$2)&gt;3*[2]QC_indicators!$C$2,"C ratio",IF(ISNUMBER(BY641),IF(ABS(BY641-[2]QC_indicators!$B$1)&gt;3*[2]QC_indicators!$C$1,"DF","no"))),IF(ISNUMBER(BY641),IF(ABS(BY641-[2]QC_indicators!$B$1)&gt;3*[2]QC_indicators!$C$1,"DF","no")))</f>
        <v>no</v>
      </c>
      <c r="ET641" s="266" t="s">
        <v>3275</v>
      </c>
    </row>
    <row r="642" spans="1:150" ht="15" hidden="1" customHeight="1">
      <c r="A642" s="1" t="s">
        <v>266</v>
      </c>
      <c r="B642" t="s">
        <v>1533</v>
      </c>
      <c r="C642" t="s">
        <v>1534</v>
      </c>
      <c r="D642" t="s">
        <v>1535</v>
      </c>
      <c r="E642" t="s">
        <v>1536</v>
      </c>
      <c r="F642" t="s">
        <v>1537</v>
      </c>
      <c r="G642" t="s">
        <v>272</v>
      </c>
      <c r="H642" t="s">
        <v>255</v>
      </c>
      <c r="I642">
        <v>2019</v>
      </c>
      <c r="J642">
        <v>26</v>
      </c>
      <c r="K642" t="s">
        <v>1538</v>
      </c>
      <c r="M642" t="str">
        <f>LEFT($D642,FIND(",",$D642)-1)&amp;"_"&amp;I642&amp;L642</f>
        <v>Faraca_2019</v>
      </c>
      <c r="N642" t="s">
        <v>223</v>
      </c>
      <c r="O642" s="145" t="s">
        <v>275</v>
      </c>
      <c r="P642" s="180" t="s">
        <v>224</v>
      </c>
      <c r="Q642" t="s">
        <v>257</v>
      </c>
      <c r="R642" s="264" t="s">
        <v>224</v>
      </c>
      <c r="S642" s="265" t="s">
        <v>3137</v>
      </c>
      <c r="T642" t="s">
        <v>1552</v>
      </c>
      <c r="U642" t="s">
        <v>1553</v>
      </c>
      <c r="V642">
        <v>0</v>
      </c>
      <c r="W642">
        <v>0</v>
      </c>
      <c r="X642">
        <v>0</v>
      </c>
      <c r="Y642">
        <v>0</v>
      </c>
      <c r="Z642">
        <v>0</v>
      </c>
      <c r="AA642">
        <v>0</v>
      </c>
      <c r="AB642">
        <v>0</v>
      </c>
      <c r="AC642">
        <v>0</v>
      </c>
      <c r="AD642">
        <v>0</v>
      </c>
      <c r="AE642">
        <v>0</v>
      </c>
      <c r="AF642">
        <v>0</v>
      </c>
      <c r="AG642">
        <v>1</v>
      </c>
      <c r="AH642">
        <v>0</v>
      </c>
      <c r="AI642">
        <v>0</v>
      </c>
      <c r="AJ642">
        <v>0</v>
      </c>
      <c r="AK642">
        <v>0</v>
      </c>
      <c r="AL642">
        <v>0</v>
      </c>
      <c r="AM642">
        <v>0</v>
      </c>
      <c r="AN642">
        <v>0</v>
      </c>
      <c r="AO642">
        <v>0</v>
      </c>
      <c r="AP642">
        <v>0</v>
      </c>
      <c r="AQ642">
        <v>0</v>
      </c>
      <c r="AR642">
        <v>0</v>
      </c>
      <c r="AS642">
        <v>0</v>
      </c>
      <c r="AT642">
        <v>0</v>
      </c>
      <c r="AU642">
        <v>0</v>
      </c>
      <c r="AV642">
        <v>0</v>
      </c>
      <c r="AW642">
        <v>0</v>
      </c>
      <c r="AX642" s="141">
        <f>COUNTIF(V642:AW642,"&lt;&gt;0")</f>
        <v>1</v>
      </c>
      <c r="AY642" s="141">
        <f>COUNTIF(V642:AL642,"&lt;&gt;0")</f>
        <v>1</v>
      </c>
      <c r="AZ642">
        <f>COUNTIF(V642:AC642,"&lt;&gt;0")</f>
        <v>0</v>
      </c>
      <c r="BA642">
        <f>COUNTIF(AD642:AI642,"&lt;&gt;0")</f>
        <v>1</v>
      </c>
      <c r="BB642">
        <f>COUNTIF(AJ642:AL642,"&lt;&gt;0")</f>
        <v>0</v>
      </c>
      <c r="BC642">
        <f>COUNTIF(AS642:AW642,"&lt;&gt;0")</f>
        <v>0</v>
      </c>
      <c r="BD642">
        <f>COUNTIF(AM642:AR642,"&lt;&gt;0")</f>
        <v>0</v>
      </c>
      <c r="BE642" t="str">
        <f t="array" ref="BE642">IF(AY642=1,INDEX($V$7:$AL$7,MATCH(TRUE,INDEX($V642:$AW642&lt;&gt;0,),0)),IF(AY642=0,INDEX($AM$7:$AW$7,MATCH(1,$AM642:$AW642,0)),IF(BF642="Multiple strategies","mixed drivers",IF(BF642="Supply chain","multiple supply","multiple silviculture"))))</f>
        <v>recycling</v>
      </c>
      <c r="BF642" s="2" t="str" cm="1">
        <f t="array" ref="BF642">IF(COUNTIF(AZ642:BB642,"&lt;&gt;0")=1,INDEX($V$4:$AW$4,MATCH(TRUE,INDEX($V642:$AW642&lt;&gt;0,),0)),IF(COUNTIF(AZ642:BB642,"&lt;&gt;0")=0,INDEX($AM$4:$AW$4,MATCH(1,$AM642:$AW642,0)),"Multiple strategies"))</f>
        <v>Supply chain</v>
      </c>
      <c r="BG642" s="1" t="s">
        <v>230</v>
      </c>
      <c r="BH642" t="s">
        <v>1550</v>
      </c>
      <c r="BI642" s="266" t="s">
        <v>3123</v>
      </c>
      <c r="BJ642" t="s">
        <v>346</v>
      </c>
      <c r="BK642">
        <v>478</v>
      </c>
      <c r="BL642">
        <f>478+409+223+122</f>
        <v>1232</v>
      </c>
      <c r="BM642">
        <v>2.5774058577405858</v>
      </c>
      <c r="BN642">
        <f>BL642-BK642</f>
        <v>754</v>
      </c>
      <c r="BO642">
        <f>BN642*kg_to_m3</f>
        <v>1.5387755102040819</v>
      </c>
      <c r="BP642" s="266" t="s">
        <v>396</v>
      </c>
      <c r="BQ642" t="s">
        <v>427</v>
      </c>
      <c r="BR642" t="s">
        <v>730</v>
      </c>
      <c r="BS642">
        <v>206.8</v>
      </c>
      <c r="BT642">
        <v>200</v>
      </c>
      <c r="BU642" s="144"/>
      <c r="BV642">
        <f>BT642-BS642</f>
        <v>-6.8000000000000114</v>
      </c>
      <c r="BX642">
        <f>BV642/1000</f>
        <v>-6.8000000000000118E-3</v>
      </c>
      <c r="BY642">
        <f>IFERROR(BX642/BO642,"")</f>
        <v>-4.4190981432360816E-3</v>
      </c>
      <c r="BZ642">
        <v>0</v>
      </c>
      <c r="CA642">
        <v>0</v>
      </c>
      <c r="CB642">
        <v>0</v>
      </c>
      <c r="CC642">
        <v>0</v>
      </c>
      <c r="CD642">
        <v>0</v>
      </c>
      <c r="CE642">
        <v>0</v>
      </c>
      <c r="CF642">
        <v>0</v>
      </c>
      <c r="CG642">
        <v>0</v>
      </c>
      <c r="CH642">
        <v>0</v>
      </c>
      <c r="CI642">
        <v>0</v>
      </c>
      <c r="CJ642">
        <v>0</v>
      </c>
      <c r="CK642">
        <v>0</v>
      </c>
      <c r="CL642">
        <v>0</v>
      </c>
      <c r="CM642">
        <v>0</v>
      </c>
      <c r="CN642" t="str">
        <f>IF($BL642&lt;$BK642,"refNeedCorrection","refOK")</f>
        <v>refOK</v>
      </c>
      <c r="CO642">
        <f>IF($CN642="refNeedCorrection",BL642,BK642)</f>
        <v>478</v>
      </c>
      <c r="CP642">
        <f>IF($CN642="refNeedCorrection",BK642,BL642)</f>
        <v>1232</v>
      </c>
      <c r="CQ642">
        <f>IF($CN642="refOK",$BO642,-$BO642)</f>
        <v>1.5387755102040819</v>
      </c>
      <c r="CR642">
        <f>IF($CN642="refOK",$BS642,$BT642)*IF($BP642="Emissions positive",-1,1)</f>
        <v>-206.8</v>
      </c>
      <c r="CS642">
        <f>IF($CN642="refOK",$BT642,$BS642)*IF($BP642="Emissions positive",-1,1)</f>
        <v>-200</v>
      </c>
      <c r="CT642">
        <f>IF($CN642="refNeedCorrection",-BX642,BX642)*IF($BP642="Emissions positive",-1,1)</f>
        <v>6.8000000000000118E-3</v>
      </c>
      <c r="CU642">
        <f>IFERROR(CT642/CQ642,"")</f>
        <v>4.4190981432360816E-3</v>
      </c>
      <c r="CV642" s="2">
        <f>IFERROR((CS642-CR642)/ABS(CR642),"")</f>
        <v>3.2882011605415915E-2</v>
      </c>
      <c r="CW642" s="1" t="s">
        <v>1201</v>
      </c>
      <c r="CX642" t="str">
        <f>IF(OR($CW642="prd",$CW642="std",$CW642="cit"),"loc",IF(OR($CW642="eur",$CW642="reg",$CW642="coy"),"reg",$CW642))</f>
        <v>reg</v>
      </c>
      <c r="CY642" t="s">
        <v>1542</v>
      </c>
      <c r="DB642">
        <v>100</v>
      </c>
      <c r="DC642" t="str">
        <f>IF(DB642=0,"0",IF(AND(DB642&gt;=1,DB642&lt;=30),"1-30",IF(AND(DB642&gt;30,DB642&lt;=70),"31-70",IF(AND(DB642&gt;70,DB642&lt;=100),"71-100",IF(DB642&gt;100,"+100")))))</f>
        <v>71-100</v>
      </c>
      <c r="DD642">
        <v>0</v>
      </c>
      <c r="DE642">
        <v>0</v>
      </c>
      <c r="DF642">
        <v>0</v>
      </c>
      <c r="DG642">
        <v>1</v>
      </c>
      <c r="DI642">
        <f>SUM(DD642:DG642)</f>
        <v>1</v>
      </c>
      <c r="DJ642" t="str">
        <f>IF(DI642=1,INDEX($DD$7:$DG$7,MATCH(1,$DD642:$DG642,0)),"mixedProduct")</f>
        <v>TimberInput</v>
      </c>
      <c r="DK642">
        <f>IF(DD642=1,DK$7,0)</f>
        <v>0</v>
      </c>
      <c r="DL642">
        <f>IF(DE642=1,DL$7,0)</f>
        <v>0</v>
      </c>
      <c r="DM642">
        <f>IF(DF642=1,DM$7,0)</f>
        <v>0</v>
      </c>
      <c r="DN642" t="str">
        <f>IF(DG642=1,DN$7,0)</f>
        <v>Timber</v>
      </c>
      <c r="DO642">
        <v>0</v>
      </c>
      <c r="DP642">
        <v>0</v>
      </c>
      <c r="DQ642">
        <v>0</v>
      </c>
      <c r="DR642">
        <v>0</v>
      </c>
      <c r="DS642">
        <v>0</v>
      </c>
      <c r="DT642">
        <f>SUM(DO642:DP642)</f>
        <v>0</v>
      </c>
      <c r="DU642" s="143" t="str">
        <f>IF(DO642=1,"self-calculated DF",IF(DP642=1,"external DF used","explicit C balance"))</f>
        <v>explicit C balance</v>
      </c>
      <c r="DV642">
        <v>0</v>
      </c>
      <c r="DW642">
        <v>0</v>
      </c>
      <c r="DX642">
        <v>0</v>
      </c>
      <c r="DY642">
        <v>0</v>
      </c>
      <c r="DZ642">
        <v>1</v>
      </c>
      <c r="EA642" s="143">
        <v>0</v>
      </c>
      <c r="EB642">
        <v>0</v>
      </c>
      <c r="EC642">
        <v>1</v>
      </c>
      <c r="ED642">
        <v>0</v>
      </c>
      <c r="EE642">
        <v>1</v>
      </c>
      <c r="EF642">
        <v>1</v>
      </c>
      <c r="EG642">
        <v>1</v>
      </c>
      <c r="EH642">
        <v>0</v>
      </c>
      <c r="EI642" s="2">
        <v>0</v>
      </c>
      <c r="EK642" t="str">
        <f>IF(AND(AND(AND(OR($DX642=1,$DW642=1),OR($EC642=1,$EA642=1)),SUM($DV642:$DZ642,$EF642)&gt;=4),SUM($EA642:$EE642)&gt;=2),"Whole sector","")</f>
        <v/>
      </c>
      <c r="EL642" t="str">
        <f>IF(AND(AND(OR($DX642=1,$DW642=1),AND($EC642=0,$EA642=0)),SUM($DV642:$DZ642,$EF642)&gt;=4),"Ecosystem approach","")</f>
        <v/>
      </c>
      <c r="EM642" s="2" t="str">
        <f>IF(AND(AND(AND($DX642=0,$DW642=0),OR($EC642=1,$EA642=1)),SUM($EB642:$EE642)&gt;=2),"Technology approach","")</f>
        <v>Technology approach</v>
      </c>
      <c r="EP642" t="str">
        <f>IF(ISNUMBER(BU642),IF(ABS(BU642-[2]QC_indicators!$B$2)&gt;3*[2]QC_indicators!$C$2,"C ratio",IF(ISNUMBER(BY642),IF(ABS(BY642-[2]QC_indicators!$B$1)&gt;3*[2]QC_indicators!$C$1,"DF","no"))),IF(ISNUMBER(BY642),IF(ABS(BY642-[2]QC_indicators!$B$1)&gt;3*[2]QC_indicators!$C$1,"DF","no")))</f>
        <v>no</v>
      </c>
      <c r="ET642" s="266" t="s">
        <v>3275</v>
      </c>
    </row>
    <row r="643" spans="1:150" ht="15" hidden="1" customHeight="1">
      <c r="A643" s="1" t="s">
        <v>266</v>
      </c>
      <c r="B643" t="s">
        <v>1533</v>
      </c>
      <c r="C643" t="s">
        <v>1534</v>
      </c>
      <c r="D643" t="s">
        <v>1535</v>
      </c>
      <c r="E643" t="s">
        <v>1536</v>
      </c>
      <c r="F643" t="s">
        <v>1537</v>
      </c>
      <c r="G643" t="s">
        <v>272</v>
      </c>
      <c r="H643" t="s">
        <v>255</v>
      </c>
      <c r="I643">
        <v>2019</v>
      </c>
      <c r="J643">
        <v>26</v>
      </c>
      <c r="K643" t="s">
        <v>1538</v>
      </c>
      <c r="M643" t="str">
        <f>LEFT($D643,FIND(",",$D643)-1)&amp;"_"&amp;I643&amp;L643</f>
        <v>Faraca_2019</v>
      </c>
      <c r="N643" t="s">
        <v>223</v>
      </c>
      <c r="O643" s="145" t="s">
        <v>275</v>
      </c>
      <c r="P643" s="180" t="s">
        <v>224</v>
      </c>
      <c r="Q643" t="s">
        <v>257</v>
      </c>
      <c r="R643" s="264" t="s">
        <v>224</v>
      </c>
      <c r="S643" s="265" t="s">
        <v>3138</v>
      </c>
      <c r="T643" t="s">
        <v>1552</v>
      </c>
      <c r="U643" t="s">
        <v>1553</v>
      </c>
      <c r="V643">
        <v>0</v>
      </c>
      <c r="W643">
        <v>0</v>
      </c>
      <c r="X643">
        <v>0</v>
      </c>
      <c r="Y643">
        <v>0</v>
      </c>
      <c r="Z643">
        <v>0</v>
      </c>
      <c r="AA643">
        <v>0</v>
      </c>
      <c r="AB643">
        <v>0</v>
      </c>
      <c r="AC643">
        <v>0</v>
      </c>
      <c r="AD643">
        <v>0</v>
      </c>
      <c r="AE643">
        <v>0</v>
      </c>
      <c r="AF643">
        <v>0</v>
      </c>
      <c r="AG643">
        <v>1</v>
      </c>
      <c r="AH643">
        <v>0</v>
      </c>
      <c r="AI643">
        <v>0</v>
      </c>
      <c r="AJ643">
        <v>0</v>
      </c>
      <c r="AK643">
        <v>0</v>
      </c>
      <c r="AL643">
        <v>0</v>
      </c>
      <c r="AM643">
        <v>0</v>
      </c>
      <c r="AN643">
        <v>0</v>
      </c>
      <c r="AO643">
        <v>0</v>
      </c>
      <c r="AP643">
        <v>0</v>
      </c>
      <c r="AQ643">
        <v>0</v>
      </c>
      <c r="AR643">
        <v>0</v>
      </c>
      <c r="AS643">
        <v>0</v>
      </c>
      <c r="AT643">
        <v>0</v>
      </c>
      <c r="AU643">
        <v>0</v>
      </c>
      <c r="AV643">
        <v>0</v>
      </c>
      <c r="AW643">
        <v>0</v>
      </c>
      <c r="AX643" s="141">
        <f>COUNTIF(V643:AW643,"&lt;&gt;0")</f>
        <v>1</v>
      </c>
      <c r="AY643" s="141">
        <f>COUNTIF(V643:AL643,"&lt;&gt;0")</f>
        <v>1</v>
      </c>
      <c r="AZ643">
        <f>COUNTIF(V643:AC643,"&lt;&gt;0")</f>
        <v>0</v>
      </c>
      <c r="BA643">
        <f>COUNTIF(AD643:AI643,"&lt;&gt;0")</f>
        <v>1</v>
      </c>
      <c r="BB643">
        <f>COUNTIF(AJ643:AL643,"&lt;&gt;0")</f>
        <v>0</v>
      </c>
      <c r="BC643">
        <f>COUNTIF(AS643:AW643,"&lt;&gt;0")</f>
        <v>0</v>
      </c>
      <c r="BD643">
        <f>COUNTIF(AM643:AR643,"&lt;&gt;0")</f>
        <v>0</v>
      </c>
      <c r="BE643" t="str">
        <f t="array" ref="BE643">IF(AY643=1,INDEX($V$7:$AL$7,MATCH(TRUE,INDEX($V643:$AW643&lt;&gt;0,),0)),IF(AY643=0,INDEX($AM$7:$AW$7,MATCH(1,$AM643:$AW643,0)),IF(BF643="Multiple strategies","mixed drivers",IF(BF643="Supply chain","multiple supply","multiple silviculture"))))</f>
        <v>recycling</v>
      </c>
      <c r="BF643" s="2" t="str" cm="1">
        <f t="array" ref="BF643">IF(COUNTIF(AZ643:BB643,"&lt;&gt;0")=1,INDEX($V$4:$AW$4,MATCH(TRUE,INDEX($V643:$AW643&lt;&gt;0,),0)),IF(COUNTIF(AZ643:BB643,"&lt;&gt;0")=0,INDEX($AM$4:$AW$4,MATCH(1,$AM643:$AW643,0)),"Multiple strategies"))</f>
        <v>Supply chain</v>
      </c>
      <c r="BG643" s="1" t="s">
        <v>230</v>
      </c>
      <c r="BH643" t="s">
        <v>1550</v>
      </c>
      <c r="BI643" s="266" t="s">
        <v>3123</v>
      </c>
      <c r="BJ643" t="s">
        <v>346</v>
      </c>
      <c r="BK643">
        <v>478</v>
      </c>
      <c r="BL643">
        <f>478+409+223+122</f>
        <v>1232</v>
      </c>
      <c r="BM643">
        <v>2.5774058577405858</v>
      </c>
      <c r="BN643">
        <f>BL643-BK643</f>
        <v>754</v>
      </c>
      <c r="BO643">
        <f>BN643*kg_to_m3</f>
        <v>1.5387755102040819</v>
      </c>
      <c r="BP643" s="266" t="s">
        <v>396</v>
      </c>
      <c r="BQ643" t="s">
        <v>427</v>
      </c>
      <c r="BR643" t="s">
        <v>730</v>
      </c>
      <c r="BS643">
        <v>-355.9</v>
      </c>
      <c r="BT643">
        <v>-572.9</v>
      </c>
      <c r="BU643" s="144">
        <v>1.6646341463414633</v>
      </c>
      <c r="BV643">
        <f>BT643-BS643</f>
        <v>-217</v>
      </c>
      <c r="BX643">
        <f>BV643/1000</f>
        <v>-0.217</v>
      </c>
      <c r="BY643">
        <f>IFERROR(BX643/BO643,"")</f>
        <v>-0.14102122015915117</v>
      </c>
      <c r="BZ643">
        <v>0</v>
      </c>
      <c r="CA643">
        <v>0</v>
      </c>
      <c r="CB643">
        <v>0</v>
      </c>
      <c r="CC643">
        <v>0</v>
      </c>
      <c r="CD643">
        <v>0</v>
      </c>
      <c r="CE643">
        <v>0</v>
      </c>
      <c r="CF643">
        <v>0</v>
      </c>
      <c r="CG643">
        <v>0</v>
      </c>
      <c r="CH643">
        <v>0</v>
      </c>
      <c r="CI643">
        <v>0</v>
      </c>
      <c r="CJ643">
        <v>0</v>
      </c>
      <c r="CK643">
        <v>0</v>
      </c>
      <c r="CL643">
        <v>0</v>
      </c>
      <c r="CM643">
        <v>0</v>
      </c>
      <c r="CN643" t="str">
        <f>IF($BL643&lt;$BK643,"refNeedCorrection","refOK")</f>
        <v>refOK</v>
      </c>
      <c r="CO643">
        <f>IF($CN643="refNeedCorrection",BL643,BK643)</f>
        <v>478</v>
      </c>
      <c r="CP643">
        <f>IF($CN643="refNeedCorrection",BK643,BL643)</f>
        <v>1232</v>
      </c>
      <c r="CQ643">
        <f>IF($CN643="refOK",$BO643,-$BO643)</f>
        <v>1.5387755102040819</v>
      </c>
      <c r="CR643">
        <f>IF($CN643="refOK",$BS643,$BT643)*IF($BP643="Emissions positive",-1,1)</f>
        <v>355.9</v>
      </c>
      <c r="CS643">
        <f>IF($CN643="refOK",$BT643,$BS643)*IF($BP643="Emissions positive",-1,1)</f>
        <v>572.9</v>
      </c>
      <c r="CT643">
        <f>IF($CN643="refNeedCorrection",-BX643,BX643)*IF($BP643="Emissions positive",-1,1)</f>
        <v>0.217</v>
      </c>
      <c r="CU643">
        <f>IFERROR(CT643/CQ643,"")</f>
        <v>0.14102122015915117</v>
      </c>
      <c r="CV643" s="2">
        <f>IFERROR((CS643-CR643)/ABS(CR643),"")</f>
        <v>0.60972183197527396</v>
      </c>
      <c r="CW643" s="1" t="s">
        <v>1201</v>
      </c>
      <c r="CX643" t="str">
        <f>IF(OR($CW643="prd",$CW643="std",$CW643="cit"),"loc",IF(OR($CW643="eur",$CW643="reg",$CW643="coy"),"reg",$CW643))</f>
        <v>reg</v>
      </c>
      <c r="CY643" t="s">
        <v>1542</v>
      </c>
      <c r="DB643">
        <v>100</v>
      </c>
      <c r="DC643" t="str">
        <f>IF(DB643=0,"0",IF(AND(DB643&gt;=1,DB643&lt;=30),"1-30",IF(AND(DB643&gt;30,DB643&lt;=70),"31-70",IF(AND(DB643&gt;70,DB643&lt;=100),"71-100",IF(DB643&gt;100,"+100")))))</f>
        <v>71-100</v>
      </c>
      <c r="DD643">
        <v>0</v>
      </c>
      <c r="DE643">
        <v>0</v>
      </c>
      <c r="DF643">
        <v>0</v>
      </c>
      <c r="DG643">
        <v>1</v>
      </c>
      <c r="DI643">
        <f>SUM(DD643:DG643)</f>
        <v>1</v>
      </c>
      <c r="DJ643" t="str">
        <f>IF(DI643=1,INDEX($DD$7:$DG$7,MATCH(1,$DD643:$DG643,0)),"mixedProduct")</f>
        <v>TimberInput</v>
      </c>
      <c r="DK643">
        <f>IF(DD643=1,DK$7,0)</f>
        <v>0</v>
      </c>
      <c r="DL643">
        <f>IF(DE643=1,DL$7,0)</f>
        <v>0</v>
      </c>
      <c r="DM643">
        <f>IF(DF643=1,DM$7,0)</f>
        <v>0</v>
      </c>
      <c r="DN643" t="str">
        <f>IF(DG643=1,DN$7,0)</f>
        <v>Timber</v>
      </c>
      <c r="DO643">
        <v>0</v>
      </c>
      <c r="DP643">
        <v>1</v>
      </c>
      <c r="DQ643">
        <v>0</v>
      </c>
      <c r="DR643">
        <v>0</v>
      </c>
      <c r="DS643" t="s">
        <v>1543</v>
      </c>
      <c r="DT643">
        <f>SUM(DO643:DP643)</f>
        <v>1</v>
      </c>
      <c r="DU643" s="143" t="str">
        <f>IF(DO643=1,"self-calculated DF",IF(DP643=1,"external DF used","explicit C balance"))</f>
        <v>external DF used</v>
      </c>
      <c r="DV643">
        <v>0</v>
      </c>
      <c r="DW643">
        <v>0</v>
      </c>
      <c r="DX643">
        <v>0</v>
      </c>
      <c r="DY643">
        <v>0</v>
      </c>
      <c r="DZ643">
        <v>1</v>
      </c>
      <c r="EA643" s="143">
        <v>1</v>
      </c>
      <c r="EB643">
        <v>0</v>
      </c>
      <c r="EC643">
        <v>1</v>
      </c>
      <c r="ED643">
        <v>0</v>
      </c>
      <c r="EE643">
        <v>1</v>
      </c>
      <c r="EF643">
        <v>1</v>
      </c>
      <c r="EG643">
        <v>1</v>
      </c>
      <c r="EH643">
        <v>0</v>
      </c>
      <c r="EI643" s="2">
        <v>0</v>
      </c>
      <c r="EK643" t="str">
        <f>IF(AND(AND(AND(OR($DX643=1,$DW643=1),OR($EC643=1,$EA643=1)),SUM($DV643:$DZ643,$EF643)&gt;=4),SUM($EA643:$EE643)&gt;=2),"Whole sector","")</f>
        <v/>
      </c>
      <c r="EL643" t="str">
        <f>IF(AND(AND(OR($DX643=1,$DW643=1),AND($EC643=0,$EA643=0)),SUM($DV643:$DZ643,$EF643)&gt;=4),"Ecosystem approach","")</f>
        <v/>
      </c>
      <c r="EM643" s="2" t="str">
        <f>IF(AND(AND(AND($DX643=0,$DW643=0),OR($EC643=1,$EA643=1)),SUM($EB643:$EE643)&gt;=2),"Technology approach","")</f>
        <v>Technology approach</v>
      </c>
      <c r="EP643" t="str">
        <f>IF(ISNUMBER(BU643),IF(ABS(BU643-[2]QC_indicators!$B$2)&gt;3*[2]QC_indicators!$C$2,"C ratio",IF(ISNUMBER(BY643),IF(ABS(BY643-[2]QC_indicators!$B$1)&gt;3*[2]QC_indicators!$C$1,"DF","no"))),IF(ISNUMBER(BY643),IF(ABS(BY643-[2]QC_indicators!$B$1)&gt;3*[2]QC_indicators!$C$1,"DF","no")))</f>
        <v>no</v>
      </c>
      <c r="ET643" s="266" t="s">
        <v>3275</v>
      </c>
    </row>
    <row r="644" spans="1:150" ht="15" hidden="1" customHeight="1">
      <c r="A644" s="1" t="s">
        <v>248</v>
      </c>
      <c r="B644" t="s">
        <v>1030</v>
      </c>
      <c r="C644" t="s">
        <v>1031</v>
      </c>
      <c r="D644" t="s">
        <v>1032</v>
      </c>
      <c r="E644" t="s">
        <v>1033</v>
      </c>
      <c r="F644" t="s">
        <v>1034</v>
      </c>
      <c r="G644" t="s">
        <v>254</v>
      </c>
      <c r="H644" t="s">
        <v>255</v>
      </c>
      <c r="I644">
        <v>2021</v>
      </c>
      <c r="J644">
        <v>0</v>
      </c>
      <c r="K644" t="s">
        <v>1035</v>
      </c>
      <c r="M644" t="str">
        <f>LEFT($D644,FIND(",",$D644)-1)&amp;"_"&amp;I644&amp;L644</f>
        <v>Piccardo_2021</v>
      </c>
      <c r="N644" t="s">
        <v>223</v>
      </c>
      <c r="O644" s="171" t="s">
        <v>514</v>
      </c>
      <c r="P644" s="141" t="s">
        <v>226</v>
      </c>
      <c r="Q644" t="s">
        <v>390</v>
      </c>
      <c r="R644" s="264" t="s">
        <v>224</v>
      </c>
      <c r="S644" s="1" t="s">
        <v>1036</v>
      </c>
      <c r="T644" s="266" t="s">
        <v>3216</v>
      </c>
      <c r="U644" s="266" t="s">
        <v>3217</v>
      </c>
      <c r="V644">
        <v>0</v>
      </c>
      <c r="W644">
        <v>0</v>
      </c>
      <c r="X644">
        <v>0</v>
      </c>
      <c r="Y644">
        <v>0</v>
      </c>
      <c r="Z644">
        <v>0</v>
      </c>
      <c r="AA644">
        <v>0</v>
      </c>
      <c r="AB644">
        <v>0</v>
      </c>
      <c r="AC644">
        <v>0</v>
      </c>
      <c r="AD644">
        <v>0</v>
      </c>
      <c r="AE644">
        <v>0</v>
      </c>
      <c r="AF644">
        <v>0</v>
      </c>
      <c r="AG644">
        <v>1</v>
      </c>
      <c r="AH644">
        <v>0</v>
      </c>
      <c r="AI644">
        <v>0</v>
      </c>
      <c r="AJ644">
        <v>0</v>
      </c>
      <c r="AK644">
        <v>0</v>
      </c>
      <c r="AL644">
        <v>0</v>
      </c>
      <c r="AM644">
        <v>0</v>
      </c>
      <c r="AN644">
        <v>0</v>
      </c>
      <c r="AO644">
        <v>0</v>
      </c>
      <c r="AP644">
        <v>0</v>
      </c>
      <c r="AQ644">
        <v>0</v>
      </c>
      <c r="AR644">
        <v>0</v>
      </c>
      <c r="AS644">
        <v>0</v>
      </c>
      <c r="AT644">
        <v>0</v>
      </c>
      <c r="AU644">
        <v>0</v>
      </c>
      <c r="AV644">
        <v>0</v>
      </c>
      <c r="AW644">
        <v>0</v>
      </c>
      <c r="AX644" s="141">
        <f>COUNTIF(V644:AW644,"&lt;&gt;0")</f>
        <v>1</v>
      </c>
      <c r="AY644" s="141">
        <f>COUNTIF(V644:AL644,"&lt;&gt;0")</f>
        <v>1</v>
      </c>
      <c r="AZ644">
        <f>COUNTIF(V644:AC644,"&lt;&gt;0")</f>
        <v>0</v>
      </c>
      <c r="BA644">
        <f>COUNTIF(AD644:AI644,"&lt;&gt;0")</f>
        <v>1</v>
      </c>
      <c r="BB644">
        <f>COUNTIF(AJ644:AL644,"&lt;&gt;0")</f>
        <v>0</v>
      </c>
      <c r="BC644">
        <f>COUNTIF(AS644:AW644,"&lt;&gt;0")</f>
        <v>0</v>
      </c>
      <c r="BD644">
        <f>COUNTIF(AM644:AR644,"&lt;&gt;0")</f>
        <v>0</v>
      </c>
      <c r="BE644" t="str">
        <f t="array" ref="BE644">IF(AY644=1,INDEX($V$7:$AL$7,MATCH(TRUE,INDEX($V644:$AW644&lt;&gt;0,),0)),IF(AY644=0,INDEX($AM$7:$AW$7,MATCH(1,$AM644:$AW644,0)),IF(BF644="Multiple strategies","mixed drivers",IF(BF644="Supply chain","multiple supply","multiple silviculture"))))</f>
        <v>recycling</v>
      </c>
      <c r="BF644" s="2" t="str" cm="1">
        <f t="array" ref="BF644">IF(COUNTIF(AZ644:BB644,"&lt;&gt;0")=1,INDEX($V$4:$AW$4,MATCH(TRUE,INDEX($V644:$AW644&lt;&gt;0,),0)),IF(COUNTIF(AZ644:BB644,"&lt;&gt;0")=0,INDEX($AM$4:$AW$4,MATCH(1,$AM644:$AW644,0)),"Multiple strategies"))</f>
        <v>Supply chain</v>
      </c>
      <c r="BG644" s="142" t="s">
        <v>230</v>
      </c>
      <c r="BH644" t="s">
        <v>1037</v>
      </c>
      <c r="BI644" t="s">
        <v>1038</v>
      </c>
      <c r="BJ644" t="s">
        <v>1039</v>
      </c>
      <c r="BK644">
        <f>35+3+20+8+8</f>
        <v>74</v>
      </c>
      <c r="BL644">
        <f>35+3+20+8+8</f>
        <v>74</v>
      </c>
      <c r="BM644">
        <f>IFERROR(BL644/BK644,"")</f>
        <v>1</v>
      </c>
      <c r="BN644">
        <f>BL644-BK644</f>
        <v>0</v>
      </c>
      <c r="BO644">
        <f>BN644*t_to_m3</f>
        <v>0</v>
      </c>
      <c r="BP644" s="266" t="s">
        <v>396</v>
      </c>
      <c r="BQ644" t="s">
        <v>1040</v>
      </c>
      <c r="BR644" t="s">
        <v>1041</v>
      </c>
      <c r="BS644">
        <v>99</v>
      </c>
      <c r="BT644">
        <v>267</v>
      </c>
      <c r="BU644" s="144"/>
      <c r="BV644">
        <f>(BT644-BS644)</f>
        <v>168</v>
      </c>
      <c r="BX644">
        <f>BV644</f>
        <v>168</v>
      </c>
      <c r="BY644" t="str">
        <f>IFERROR(BX644/BO644,"")</f>
        <v/>
      </c>
      <c r="BZ644">
        <v>0</v>
      </c>
      <c r="CA644">
        <v>0</v>
      </c>
      <c r="CB644">
        <v>0</v>
      </c>
      <c r="CC644">
        <v>0</v>
      </c>
      <c r="CD644">
        <v>0</v>
      </c>
      <c r="CE644">
        <v>0</v>
      </c>
      <c r="CF644">
        <v>0</v>
      </c>
      <c r="CG644">
        <v>0</v>
      </c>
      <c r="CH644">
        <v>0</v>
      </c>
      <c r="CI644">
        <v>0</v>
      </c>
      <c r="CJ644">
        <v>0</v>
      </c>
      <c r="CK644">
        <v>0</v>
      </c>
      <c r="CL644">
        <v>0</v>
      </c>
      <c r="CM644">
        <v>0</v>
      </c>
      <c r="CN644" t="str">
        <f>IF($BL644&lt;$BK644,"refNeedCorrection","refOK")</f>
        <v>refOK</v>
      </c>
      <c r="CO644">
        <f>IF($CN644="refOK",$BK644,$BL644)</f>
        <v>74</v>
      </c>
      <c r="CP644">
        <f>IF($CN644="refOK",$BL644,$BK644)</f>
        <v>74</v>
      </c>
      <c r="CQ644">
        <f>IF($CN644="refOK",$BO644,-$BO644)</f>
        <v>0</v>
      </c>
      <c r="CR644">
        <f>IF($CN644="refOK",$BS644,$BT644)*IF($BP644="Emissions positive",-1,1)</f>
        <v>-99</v>
      </c>
      <c r="CS644">
        <f>IF($CN644="refOK",$BT644,$BS644)*IF($BP644="Emissions positive",-1,1)</f>
        <v>-267</v>
      </c>
      <c r="CT644">
        <f>IF($CN644="refNeedCorrection",-BX644,BX644)*IF($BP644="Emissions positive",-1,1)</f>
        <v>-168</v>
      </c>
      <c r="CU644" t="str">
        <f>IFERROR(CT644/CQ644,"")</f>
        <v/>
      </c>
      <c r="CV644" s="2">
        <f>IFERROR((CS644-CR644)/ABS(CR644),"")</f>
        <v>-1.696969696969697</v>
      </c>
      <c r="CW644" s="1" t="s">
        <v>264</v>
      </c>
      <c r="CX644" t="str">
        <f>IF(OR($CW644="prd",$CW644="std",$CW644="cit"),"loc",IF(OR($CW644="eur",$CW644="reg",$CW644="coy"),"reg",$CW644))</f>
        <v>loc</v>
      </c>
      <c r="CY644" t="s">
        <v>745</v>
      </c>
      <c r="DB644">
        <v>50</v>
      </c>
      <c r="DC644" t="str">
        <f>IF(DB644=0,"0",IF(AND(DB644&gt;=1,DB644&lt;=30),"1-30",IF(AND(DB644&gt;30,DB644&lt;=70),"31-70",IF(AND(DB644&gt;70,DB644&lt;=100),"71-100",IF(DB644&gt;100,"+100")))))</f>
        <v>31-70</v>
      </c>
      <c r="DD644">
        <v>0</v>
      </c>
      <c r="DE644">
        <v>1</v>
      </c>
      <c r="DF644">
        <v>0</v>
      </c>
      <c r="DG644">
        <v>1</v>
      </c>
      <c r="DI644">
        <f>SUM(DD644:DG644)</f>
        <v>2</v>
      </c>
      <c r="DJ644" t="str">
        <f>IF(DI644=1,INDEX($DD$7:$DG$7,MATCH(1,$DD644:$DG644,0)),"mixedProduct")</f>
        <v>mixedProduct</v>
      </c>
      <c r="DK644">
        <f>IF(DD644=1,DK$7,0)</f>
        <v>0</v>
      </c>
      <c r="DL644" t="str">
        <f>IF(DE644=1,DL$7,0)</f>
        <v>Energy</v>
      </c>
      <c r="DM644">
        <f>IF(DF644=1,DM$7,0)</f>
        <v>0</v>
      </c>
      <c r="DN644" t="str">
        <f>IF(DG644=1,DN$7,0)</f>
        <v>Timber</v>
      </c>
      <c r="DO644">
        <v>1</v>
      </c>
      <c r="DP644">
        <v>0</v>
      </c>
      <c r="DQ644">
        <v>0</v>
      </c>
      <c r="DR644">
        <v>0</v>
      </c>
      <c r="DS644">
        <v>0</v>
      </c>
      <c r="DT644">
        <f>SUM(DO644:DP644)</f>
        <v>1</v>
      </c>
      <c r="DU644" s="143" t="str">
        <f>IF(DO644=1,"self-calculated DF",IF(DP644=1,"external DF used","explicit C balance"))</f>
        <v>self-calculated DF</v>
      </c>
      <c r="DV644">
        <v>0</v>
      </c>
      <c r="DW644">
        <v>0</v>
      </c>
      <c r="DX644">
        <v>0</v>
      </c>
      <c r="DY644">
        <v>1</v>
      </c>
      <c r="DZ644">
        <v>1</v>
      </c>
      <c r="EA644" s="143">
        <v>1</v>
      </c>
      <c r="EB644">
        <v>0</v>
      </c>
      <c r="EC644">
        <v>1</v>
      </c>
      <c r="ED644">
        <v>1</v>
      </c>
      <c r="EE644">
        <v>1</v>
      </c>
      <c r="EF644">
        <v>0</v>
      </c>
      <c r="EG644" s="143">
        <v>0</v>
      </c>
      <c r="EH644" s="143">
        <v>0</v>
      </c>
      <c r="EI644" s="2">
        <v>0</v>
      </c>
      <c r="EK644" t="str">
        <f>IF(AND(AND(AND(OR($DX644=1,$DW644=1),OR($EC644=1,$EA644=1)),SUM($DV644:$DZ644,$EF644)&gt;=4),SUM($EA644:$EE644)&gt;=2),"Whole sector","")</f>
        <v/>
      </c>
      <c r="EL644" t="str">
        <f>IF(AND(AND(OR($DX644=1,$DW644=1),AND($EC644=0,$EA644=0)),SUM($DV644:$DZ644,$EF644)&gt;=4),"Ecosystem approach","")</f>
        <v/>
      </c>
      <c r="EM644" s="2" t="str">
        <f>IF(AND(AND(AND($DX644=0,$DW644=0),OR($EC644=1,$EA644=1)),SUM($EB644:$EE644)&gt;=2),"Technology approach","")</f>
        <v>Technology approach</v>
      </c>
      <c r="EP644" t="b">
        <f>IF(ISNUMBER(BU644),IF(ABS(BU644-[2]QC_indicators!$B$2)&gt;3*[2]QC_indicators!$C$2,"C ratio",IF(ISNUMBER(BY644),IF(ABS(BY644-[2]QC_indicators!$B$1)&gt;3*[2]QC_indicators!$C$1,"DF","no"))),IF(ISNUMBER(BY644),IF(ABS(BY644-[2]QC_indicators!$B$1)&gt;3*[2]QC_indicators!$C$1,"DF","no")))</f>
        <v>0</v>
      </c>
      <c r="ET644" s="266" t="s">
        <v>3218</v>
      </c>
    </row>
    <row r="645" spans="1:150" ht="15" hidden="1" customHeight="1">
      <c r="A645" s="1" t="s">
        <v>248</v>
      </c>
      <c r="B645" t="s">
        <v>1030</v>
      </c>
      <c r="C645" t="s">
        <v>1031</v>
      </c>
      <c r="D645" t="s">
        <v>1032</v>
      </c>
      <c r="E645" t="s">
        <v>1033</v>
      </c>
      <c r="F645" t="s">
        <v>1034</v>
      </c>
      <c r="G645" t="s">
        <v>254</v>
      </c>
      <c r="H645" t="s">
        <v>255</v>
      </c>
      <c r="I645">
        <v>2021</v>
      </c>
      <c r="J645">
        <v>0</v>
      </c>
      <c r="K645" t="s">
        <v>1035</v>
      </c>
      <c r="M645" t="str">
        <f>LEFT($D645,FIND(",",$D645)-1)&amp;"_"&amp;I645&amp;L645</f>
        <v>Piccardo_2021</v>
      </c>
      <c r="N645" t="s">
        <v>223</v>
      </c>
      <c r="O645" s="171" t="s">
        <v>514</v>
      </c>
      <c r="P645" s="141" t="s">
        <v>226</v>
      </c>
      <c r="Q645" t="s">
        <v>390</v>
      </c>
      <c r="R645" s="264" t="s">
        <v>224</v>
      </c>
      <c r="S645" s="1" t="s">
        <v>1036</v>
      </c>
      <c r="T645" s="266" t="s">
        <v>3219</v>
      </c>
      <c r="U645" s="266" t="s">
        <v>3220</v>
      </c>
      <c r="V645">
        <v>0</v>
      </c>
      <c r="W645">
        <v>0</v>
      </c>
      <c r="X645">
        <v>0</v>
      </c>
      <c r="Y645">
        <v>0</v>
      </c>
      <c r="Z645">
        <v>0</v>
      </c>
      <c r="AA645">
        <v>0</v>
      </c>
      <c r="AB645">
        <v>0</v>
      </c>
      <c r="AC645">
        <v>0</v>
      </c>
      <c r="AD645">
        <v>0</v>
      </c>
      <c r="AE645">
        <v>0</v>
      </c>
      <c r="AF645">
        <v>0</v>
      </c>
      <c r="AG645">
        <v>1</v>
      </c>
      <c r="AH645">
        <v>0</v>
      </c>
      <c r="AI645">
        <v>0</v>
      </c>
      <c r="AJ645">
        <v>0</v>
      </c>
      <c r="AK645">
        <v>0</v>
      </c>
      <c r="AL645">
        <v>0</v>
      </c>
      <c r="AM645">
        <v>0</v>
      </c>
      <c r="AN645">
        <v>0</v>
      </c>
      <c r="AO645">
        <v>0</v>
      </c>
      <c r="AP645">
        <v>0</v>
      </c>
      <c r="AQ645">
        <v>0</v>
      </c>
      <c r="AR645">
        <v>0</v>
      </c>
      <c r="AS645">
        <v>0</v>
      </c>
      <c r="AT645">
        <v>0</v>
      </c>
      <c r="AU645">
        <v>0</v>
      </c>
      <c r="AV645">
        <v>0</v>
      </c>
      <c r="AW645">
        <v>0</v>
      </c>
      <c r="AX645" s="141">
        <f>COUNTIF(V645:AW645,"&lt;&gt;0")</f>
        <v>1</v>
      </c>
      <c r="AY645" s="141">
        <f>COUNTIF(V645:AL645,"&lt;&gt;0")</f>
        <v>1</v>
      </c>
      <c r="AZ645">
        <f>COUNTIF(V645:AC645,"&lt;&gt;0")</f>
        <v>0</v>
      </c>
      <c r="BA645">
        <f>COUNTIF(AD645:AI645,"&lt;&gt;0")</f>
        <v>1</v>
      </c>
      <c r="BB645">
        <f>COUNTIF(AJ645:AL645,"&lt;&gt;0")</f>
        <v>0</v>
      </c>
      <c r="BC645">
        <f>COUNTIF(AS645:AW645,"&lt;&gt;0")</f>
        <v>0</v>
      </c>
      <c r="BD645">
        <f>COUNTIF(AM645:AR645,"&lt;&gt;0")</f>
        <v>0</v>
      </c>
      <c r="BE645" t="str">
        <f t="array" ref="BE645">IF(AY645=1,INDEX($V$7:$AL$7,MATCH(TRUE,INDEX($V645:$AW645&lt;&gt;0,),0)),IF(AY645=0,INDEX($AM$7:$AW$7,MATCH(1,$AM645:$AW645,0)),IF(BF645="Multiple strategies","mixed drivers",IF(BF645="Supply chain","multiple supply","multiple silviculture"))))</f>
        <v>recycling</v>
      </c>
      <c r="BF645" s="2" t="str" cm="1">
        <f t="array" ref="BF645">IF(COUNTIF(AZ645:BB645,"&lt;&gt;0")=1,INDEX($V$4:$AW$4,MATCH(TRUE,INDEX($V645:$AW645&lt;&gt;0,),0)),IF(COUNTIF(AZ645:BB645,"&lt;&gt;0")=0,INDEX($AM$4:$AW$4,MATCH(1,$AM645:$AW645,0)),"Multiple strategies"))</f>
        <v>Supply chain</v>
      </c>
      <c r="BG645" s="142" t="s">
        <v>230</v>
      </c>
      <c r="BH645" t="s">
        <v>1037</v>
      </c>
      <c r="BI645" t="s">
        <v>1038</v>
      </c>
      <c r="BJ645" t="s">
        <v>1039</v>
      </c>
      <c r="BK645">
        <f>175+40+77+18+35+3+8+8</f>
        <v>364</v>
      </c>
      <c r="BL645">
        <f>175+40+77+18+35+3+8+8</f>
        <v>364</v>
      </c>
      <c r="BM645">
        <f>IFERROR(BL645/BK645,"")</f>
        <v>1</v>
      </c>
      <c r="BN645">
        <f>BL645-BK645</f>
        <v>0</v>
      </c>
      <c r="BO645">
        <f>BN645*t_to_m3</f>
        <v>0</v>
      </c>
      <c r="BP645" s="266" t="s">
        <v>396</v>
      </c>
      <c r="BQ645" t="s">
        <v>1040</v>
      </c>
      <c r="BR645" t="s">
        <v>1041</v>
      </c>
      <c r="BS645">
        <v>-1415</v>
      </c>
      <c r="BT645">
        <v>-370</v>
      </c>
      <c r="BU645" s="144"/>
      <c r="BV645">
        <f>(BT645-BS645)</f>
        <v>1045</v>
      </c>
      <c r="BX645">
        <f>BV645</f>
        <v>1045</v>
      </c>
      <c r="BY645" t="str">
        <f>IFERROR(BX645/BO645,"")</f>
        <v/>
      </c>
      <c r="BZ645">
        <v>0</v>
      </c>
      <c r="CA645">
        <v>0</v>
      </c>
      <c r="CB645">
        <v>0</v>
      </c>
      <c r="CC645">
        <v>0</v>
      </c>
      <c r="CD645">
        <v>0</v>
      </c>
      <c r="CE645">
        <v>0</v>
      </c>
      <c r="CF645">
        <v>0</v>
      </c>
      <c r="CG645">
        <v>0</v>
      </c>
      <c r="CH645">
        <v>0</v>
      </c>
      <c r="CI645">
        <v>0</v>
      </c>
      <c r="CJ645">
        <v>0</v>
      </c>
      <c r="CK645">
        <v>0</v>
      </c>
      <c r="CL645">
        <v>0</v>
      </c>
      <c r="CM645">
        <v>0</v>
      </c>
      <c r="CN645" t="str">
        <f>IF($BL645&lt;$BK645,"refNeedCorrection","refOK")</f>
        <v>refOK</v>
      </c>
      <c r="CO645">
        <f>IF($CN645="refOK",$BK645,$BL645)</f>
        <v>364</v>
      </c>
      <c r="CP645">
        <f>IF($CN645="refOK",$BL645,$BK645)</f>
        <v>364</v>
      </c>
      <c r="CQ645">
        <f>IF($CN645="refOK",$BO645,-$BO645)</f>
        <v>0</v>
      </c>
      <c r="CR645">
        <f>IF($CN645="refOK",$BS645,$BT645)*IF($BP645="Emissions positive",-1,1)</f>
        <v>1415</v>
      </c>
      <c r="CS645">
        <f>IF($CN645="refOK",$BT645,$BS645)*IF($BP645="Emissions positive",-1,1)</f>
        <v>370</v>
      </c>
      <c r="CT645">
        <f>IF($CN645="refNeedCorrection",-BX645,BX645)*IF($BP645="Emissions positive",-1,1)</f>
        <v>-1045</v>
      </c>
      <c r="CU645" t="str">
        <f>IFERROR(CT645/CQ645,"")</f>
        <v/>
      </c>
      <c r="CV645" s="2">
        <f>IFERROR((CS645-CR645)/ABS(CR645),"")</f>
        <v>-0.7385159010600707</v>
      </c>
      <c r="CW645" s="1" t="s">
        <v>264</v>
      </c>
      <c r="CX645" t="str">
        <f>IF(OR($CW645="prd",$CW645="std",$CW645="cit"),"loc",IF(OR($CW645="eur",$CW645="reg",$CW645="coy"),"reg",$CW645))</f>
        <v>loc</v>
      </c>
      <c r="CY645" t="s">
        <v>745</v>
      </c>
      <c r="DB645">
        <v>50</v>
      </c>
      <c r="DC645" t="str">
        <f>IF(DB645=0,"0",IF(AND(DB645&gt;=1,DB645&lt;=30),"1-30",IF(AND(DB645&gt;30,DB645&lt;=70),"31-70",IF(AND(DB645&gt;70,DB645&lt;=100),"71-100",IF(DB645&gt;100,"+100")))))</f>
        <v>31-70</v>
      </c>
      <c r="DD645">
        <v>0</v>
      </c>
      <c r="DE645">
        <v>1</v>
      </c>
      <c r="DF645">
        <v>0</v>
      </c>
      <c r="DG645">
        <v>1</v>
      </c>
      <c r="DI645">
        <f>SUM(DD645:DG645)</f>
        <v>2</v>
      </c>
      <c r="DJ645" t="str">
        <f>IF(DI645=1,INDEX($DD$7:$DG$7,MATCH(1,$DD645:$DG645,0)),"mixedProduct")</f>
        <v>mixedProduct</v>
      </c>
      <c r="DK645">
        <f>IF(DD645=1,DK$7,0)</f>
        <v>0</v>
      </c>
      <c r="DL645" t="str">
        <f>IF(DE645=1,DL$7,0)</f>
        <v>Energy</v>
      </c>
      <c r="DM645">
        <f>IF(DF645=1,DM$7,0)</f>
        <v>0</v>
      </c>
      <c r="DN645" t="str">
        <f>IF(DG645=1,DN$7,0)</f>
        <v>Timber</v>
      </c>
      <c r="DO645">
        <v>1</v>
      </c>
      <c r="DP645">
        <v>0</v>
      </c>
      <c r="DQ645">
        <v>0</v>
      </c>
      <c r="DR645">
        <v>0</v>
      </c>
      <c r="DS645">
        <v>0</v>
      </c>
      <c r="DT645">
        <f>SUM(DO645:DP645)</f>
        <v>1</v>
      </c>
      <c r="DU645" s="143" t="str">
        <f>IF(DO645=1,"self-calculated DF",IF(DP645=1,"external DF used","explicit C balance"))</f>
        <v>self-calculated DF</v>
      </c>
      <c r="DV645">
        <v>0</v>
      </c>
      <c r="DW645">
        <v>0</v>
      </c>
      <c r="DX645">
        <v>0</v>
      </c>
      <c r="DY645">
        <v>1</v>
      </c>
      <c r="DZ645">
        <v>1</v>
      </c>
      <c r="EA645" s="143">
        <v>1</v>
      </c>
      <c r="EB645">
        <v>0</v>
      </c>
      <c r="EC645">
        <v>1</v>
      </c>
      <c r="ED645">
        <v>1</v>
      </c>
      <c r="EE645">
        <v>1</v>
      </c>
      <c r="EF645">
        <v>0</v>
      </c>
      <c r="EG645" s="143">
        <v>0</v>
      </c>
      <c r="EH645" s="143">
        <v>0</v>
      </c>
      <c r="EI645" s="2">
        <v>0</v>
      </c>
      <c r="EK645" t="str">
        <f>IF(AND(AND(AND(OR($DX645=1,$DW645=1),OR($EC645=1,$EA645=1)),SUM($DV645:$DZ645,$EF645)&gt;=4),SUM($EA645:$EE645)&gt;=2),"Whole sector","")</f>
        <v/>
      </c>
      <c r="EL645" t="str">
        <f>IF(AND(AND(OR($DX645=1,$DW645=1),AND($EC645=0,$EA645=0)),SUM($DV645:$DZ645,$EF645)&gt;=4),"Ecosystem approach","")</f>
        <v/>
      </c>
      <c r="EM645" s="2" t="str">
        <f>IF(AND(AND(AND($DX645=0,$DW645=0),OR($EC645=1,$EA645=1)),SUM($EB645:$EE645)&gt;=2),"Technology approach","")</f>
        <v>Technology approach</v>
      </c>
      <c r="EP645" t="b">
        <f>IF(ISNUMBER(BU645),IF(ABS(BU645-[2]QC_indicators!$B$2)&gt;3*[2]QC_indicators!$C$2,"C ratio",IF(ISNUMBER(BY645),IF(ABS(BY645-[2]QC_indicators!$B$1)&gt;3*[2]QC_indicators!$C$1,"DF","no"))),IF(ISNUMBER(BY645),IF(ABS(BY645-[2]QC_indicators!$B$1)&gt;3*[2]QC_indicators!$C$1,"DF","no")))</f>
        <v>0</v>
      </c>
      <c r="ET645" s="266" t="s">
        <v>3218</v>
      </c>
    </row>
    <row r="646" spans="1:150" ht="15" hidden="1" customHeight="1">
      <c r="A646" s="1" t="s">
        <v>248</v>
      </c>
      <c r="B646" t="s">
        <v>1030</v>
      </c>
      <c r="C646" t="s">
        <v>1031</v>
      </c>
      <c r="D646" t="s">
        <v>1032</v>
      </c>
      <c r="E646" t="s">
        <v>1033</v>
      </c>
      <c r="F646" t="s">
        <v>1034</v>
      </c>
      <c r="G646" t="s">
        <v>254</v>
      </c>
      <c r="H646" t="s">
        <v>255</v>
      </c>
      <c r="I646">
        <v>2021</v>
      </c>
      <c r="J646">
        <v>0</v>
      </c>
      <c r="K646" t="s">
        <v>1035</v>
      </c>
      <c r="M646" t="str">
        <f>LEFT($D646,FIND(",",$D646)-1)&amp;"_"&amp;I646&amp;L646</f>
        <v>Piccardo_2021</v>
      </c>
      <c r="N646" t="s">
        <v>223</v>
      </c>
      <c r="O646" s="171" t="s">
        <v>514</v>
      </c>
      <c r="P646" s="141" t="s">
        <v>226</v>
      </c>
      <c r="Q646" t="s">
        <v>390</v>
      </c>
      <c r="R646" s="264" t="s">
        <v>224</v>
      </c>
      <c r="S646" s="1" t="s">
        <v>1036</v>
      </c>
      <c r="T646" s="266" t="s">
        <v>3221</v>
      </c>
      <c r="U646" t="s">
        <v>1042</v>
      </c>
      <c r="V646">
        <v>0</v>
      </c>
      <c r="W646">
        <v>0</v>
      </c>
      <c r="X646">
        <v>0</v>
      </c>
      <c r="Y646">
        <v>0</v>
      </c>
      <c r="Z646">
        <v>0</v>
      </c>
      <c r="AA646">
        <v>0</v>
      </c>
      <c r="AB646">
        <v>0</v>
      </c>
      <c r="AC646">
        <v>0</v>
      </c>
      <c r="AD646">
        <v>0</v>
      </c>
      <c r="AE646">
        <v>0</v>
      </c>
      <c r="AF646">
        <v>0</v>
      </c>
      <c r="AG646">
        <v>1</v>
      </c>
      <c r="AH646">
        <v>0</v>
      </c>
      <c r="AI646">
        <v>0</v>
      </c>
      <c r="AJ646">
        <v>0</v>
      </c>
      <c r="AK646">
        <v>0</v>
      </c>
      <c r="AL646">
        <v>0</v>
      </c>
      <c r="AM646">
        <v>0</v>
      </c>
      <c r="AN646">
        <v>0</v>
      </c>
      <c r="AO646">
        <v>0</v>
      </c>
      <c r="AP646">
        <v>0</v>
      </c>
      <c r="AQ646">
        <v>0</v>
      </c>
      <c r="AR646">
        <v>0</v>
      </c>
      <c r="AS646">
        <v>0</v>
      </c>
      <c r="AT646">
        <v>0</v>
      </c>
      <c r="AU646">
        <v>0</v>
      </c>
      <c r="AV646">
        <v>0</v>
      </c>
      <c r="AW646">
        <v>0</v>
      </c>
      <c r="AX646" s="141">
        <f>COUNTIF(V646:AW646,"&lt;&gt;0")</f>
        <v>1</v>
      </c>
      <c r="AY646" s="141">
        <f>COUNTIF(V646:AL646,"&lt;&gt;0")</f>
        <v>1</v>
      </c>
      <c r="AZ646">
        <f>COUNTIF(V646:AC646,"&lt;&gt;0")</f>
        <v>0</v>
      </c>
      <c r="BA646">
        <f>COUNTIF(AD646:AI646,"&lt;&gt;0")</f>
        <v>1</v>
      </c>
      <c r="BB646">
        <f>COUNTIF(AJ646:AL646,"&lt;&gt;0")</f>
        <v>0</v>
      </c>
      <c r="BC646">
        <f>COUNTIF(AS646:AW646,"&lt;&gt;0")</f>
        <v>0</v>
      </c>
      <c r="BD646">
        <f>COUNTIF(AM646:AR646,"&lt;&gt;0")</f>
        <v>0</v>
      </c>
      <c r="BE646" t="str">
        <f t="array" ref="BE646">IF(AY646=1,INDEX($V$7:$AL$7,MATCH(TRUE,INDEX($V646:$AW646&lt;&gt;0,),0)),IF(AY646=0,INDEX($AM$7:$AW$7,MATCH(1,$AM646:$AW646,0)),IF(BF646="Multiple strategies","mixed drivers",IF(BF646="Supply chain","multiple supply","multiple silviculture"))))</f>
        <v>recycling</v>
      </c>
      <c r="BF646" s="2" t="str" cm="1">
        <f t="array" ref="BF646">IF(COUNTIF(AZ646:BB646,"&lt;&gt;0")=1,INDEX($V$4:$AW$4,MATCH(TRUE,INDEX($V646:$AW646&lt;&gt;0,),0)),IF(COUNTIF(AZ646:BB646,"&lt;&gt;0")=0,INDEX($AM$4:$AW$4,MATCH(1,$AM646:$AW646,0)),"Multiple strategies"))</f>
        <v>Supply chain</v>
      </c>
      <c r="BG646" s="142" t="s">
        <v>230</v>
      </c>
      <c r="BH646" t="s">
        <v>1037</v>
      </c>
      <c r="BI646" t="s">
        <v>1038</v>
      </c>
      <c r="BJ646" t="s">
        <v>1039</v>
      </c>
      <c r="BK646">
        <f>8+103+26+23+35+3+8+8</f>
        <v>214</v>
      </c>
      <c r="BL646">
        <f>8+103+26+23+35+3+8+8</f>
        <v>214</v>
      </c>
      <c r="BM646">
        <f>IFERROR(BL646/BK646,"")</f>
        <v>1</v>
      </c>
      <c r="BN646">
        <f>BL646-BK646</f>
        <v>0</v>
      </c>
      <c r="BO646">
        <f>BN646*t_to_m3</f>
        <v>0</v>
      </c>
      <c r="BP646" s="266" t="s">
        <v>396</v>
      </c>
      <c r="BQ646" t="s">
        <v>1040</v>
      </c>
      <c r="BR646" t="s">
        <v>1041</v>
      </c>
      <c r="BS646">
        <v>-747</v>
      </c>
      <c r="BT646">
        <v>-161</v>
      </c>
      <c r="BU646" s="144"/>
      <c r="BV646">
        <f>(BT646-BS646)</f>
        <v>586</v>
      </c>
      <c r="BX646">
        <f>BV646</f>
        <v>586</v>
      </c>
      <c r="BY646" t="str">
        <f>IFERROR(BX646/BO646,"")</f>
        <v/>
      </c>
      <c r="BZ646">
        <v>0</v>
      </c>
      <c r="CA646">
        <v>0</v>
      </c>
      <c r="CB646">
        <v>0</v>
      </c>
      <c r="CC646">
        <v>0</v>
      </c>
      <c r="CD646">
        <v>0</v>
      </c>
      <c r="CE646">
        <v>0</v>
      </c>
      <c r="CF646">
        <v>0</v>
      </c>
      <c r="CG646">
        <v>0</v>
      </c>
      <c r="CH646">
        <v>0</v>
      </c>
      <c r="CI646">
        <v>0</v>
      </c>
      <c r="CJ646">
        <v>0</v>
      </c>
      <c r="CK646">
        <v>0</v>
      </c>
      <c r="CL646">
        <v>0</v>
      </c>
      <c r="CM646">
        <v>0</v>
      </c>
      <c r="CN646" t="str">
        <f>IF($BL646&lt;$BK646,"refNeedCorrection","refOK")</f>
        <v>refOK</v>
      </c>
      <c r="CO646">
        <f>IF($CN646="refOK",$BK646,$BL646)</f>
        <v>214</v>
      </c>
      <c r="CP646">
        <f>IF($CN646="refOK",$BL646,$BK646)</f>
        <v>214</v>
      </c>
      <c r="CQ646">
        <f>IF($CN646="refOK",$BO646,-$BO646)</f>
        <v>0</v>
      </c>
      <c r="CR646">
        <f>IF($CN646="refOK",$BS646,$BT646)*IF($BP646="Emissions positive",-1,1)</f>
        <v>747</v>
      </c>
      <c r="CS646">
        <f>IF($CN646="refOK",$BT646,$BS646)*IF($BP646="Emissions positive",-1,1)</f>
        <v>161</v>
      </c>
      <c r="CT646">
        <f>IF($CN646="refNeedCorrection",-BX646,BX646)*IF($BP646="Emissions positive",-1,1)</f>
        <v>-586</v>
      </c>
      <c r="CU646" t="str">
        <f>IFERROR(CT646/CQ646,"")</f>
        <v/>
      </c>
      <c r="CV646" s="2">
        <f>IFERROR((CS646-CR646)/ABS(CR646),"")</f>
        <v>-0.78447121820615795</v>
      </c>
      <c r="CW646" s="1" t="s">
        <v>264</v>
      </c>
      <c r="CX646" t="str">
        <f>IF(OR($CW646="prd",$CW646="std",$CW646="cit"),"loc",IF(OR($CW646="eur",$CW646="reg",$CW646="coy"),"reg",$CW646))</f>
        <v>loc</v>
      </c>
      <c r="CY646" t="s">
        <v>745</v>
      </c>
      <c r="DB646">
        <v>50</v>
      </c>
      <c r="DC646" t="str">
        <f>IF(DB646=0,"0",IF(AND(DB646&gt;=1,DB646&lt;=30),"1-30",IF(AND(DB646&gt;30,DB646&lt;=70),"31-70",IF(AND(DB646&gt;70,DB646&lt;=100),"71-100",IF(DB646&gt;100,"+100")))))</f>
        <v>31-70</v>
      </c>
      <c r="DD646">
        <v>0</v>
      </c>
      <c r="DE646">
        <v>1</v>
      </c>
      <c r="DF646">
        <v>0</v>
      </c>
      <c r="DG646">
        <v>1</v>
      </c>
      <c r="DI646">
        <f>SUM(DD646:DG646)</f>
        <v>2</v>
      </c>
      <c r="DJ646" t="str">
        <f>IF(DI646=1,INDEX($DD$7:$DG$7,MATCH(1,$DD646:$DG646,0)),"mixedProduct")</f>
        <v>mixedProduct</v>
      </c>
      <c r="DK646">
        <f>IF(DD646=1,DK$7,0)</f>
        <v>0</v>
      </c>
      <c r="DL646" t="str">
        <f>IF(DE646=1,DL$7,0)</f>
        <v>Energy</v>
      </c>
      <c r="DM646">
        <f>IF(DF646=1,DM$7,0)</f>
        <v>0</v>
      </c>
      <c r="DN646" t="str">
        <f>IF(DG646=1,DN$7,0)</f>
        <v>Timber</v>
      </c>
      <c r="DO646">
        <v>1</v>
      </c>
      <c r="DP646">
        <v>0</v>
      </c>
      <c r="DQ646">
        <v>0</v>
      </c>
      <c r="DR646">
        <v>0</v>
      </c>
      <c r="DS646">
        <v>0</v>
      </c>
      <c r="DT646">
        <f>SUM(DO646:DP646)</f>
        <v>1</v>
      </c>
      <c r="DU646" s="143" t="str">
        <f>IF(DO646=1,"self-calculated DF",IF(DP646=1,"external DF used","explicit C balance"))</f>
        <v>self-calculated DF</v>
      </c>
      <c r="DV646">
        <v>0</v>
      </c>
      <c r="DW646">
        <v>0</v>
      </c>
      <c r="DX646">
        <v>0</v>
      </c>
      <c r="DY646">
        <v>1</v>
      </c>
      <c r="DZ646">
        <v>1</v>
      </c>
      <c r="EA646" s="143">
        <v>1</v>
      </c>
      <c r="EB646">
        <v>0</v>
      </c>
      <c r="EC646">
        <v>1</v>
      </c>
      <c r="ED646">
        <v>1</v>
      </c>
      <c r="EE646">
        <v>1</v>
      </c>
      <c r="EF646">
        <v>0</v>
      </c>
      <c r="EG646" s="143">
        <v>0</v>
      </c>
      <c r="EH646" s="143">
        <v>0</v>
      </c>
      <c r="EI646" s="2">
        <v>0</v>
      </c>
      <c r="EK646" t="str">
        <f>IF(AND(AND(AND(OR($DX646=1,$DW646=1),OR($EC646=1,$EA646=1)),SUM($DV646:$DZ646,$EF646)&gt;=4),SUM($EA646:$EE646)&gt;=2),"Whole sector","")</f>
        <v/>
      </c>
      <c r="EL646" t="str">
        <f>IF(AND(AND(OR($DX646=1,$DW646=1),AND($EC646=0,$EA646=0)),SUM($DV646:$DZ646,$EF646)&gt;=4),"Ecosystem approach","")</f>
        <v/>
      </c>
      <c r="EM646" s="2" t="str">
        <f>IF(AND(AND(AND($DX646=0,$DW646=0),OR($EC646=1,$EA646=1)),SUM($EB646:$EE646)&gt;=2),"Technology approach","")</f>
        <v>Technology approach</v>
      </c>
      <c r="EP646" t="b">
        <f>IF(ISNUMBER(BU646),IF(ABS(BU646-[2]QC_indicators!$B$2)&gt;3*[2]QC_indicators!$C$2,"C ratio",IF(ISNUMBER(BY646),IF(ABS(BY646-[2]QC_indicators!$B$1)&gt;3*[2]QC_indicators!$C$1,"DF","no"))),IF(ISNUMBER(BY646),IF(ABS(BY646-[2]QC_indicators!$B$1)&gt;3*[2]QC_indicators!$C$1,"DF","no")))</f>
        <v>0</v>
      </c>
      <c r="ET646" s="266" t="s">
        <v>3218</v>
      </c>
    </row>
    <row r="647" spans="1:150" ht="15" hidden="1" customHeight="1">
      <c r="A647" s="1" t="s">
        <v>588</v>
      </c>
      <c r="B647" t="s">
        <v>2362</v>
      </c>
      <c r="C647" t="s">
        <v>2363</v>
      </c>
      <c r="D647" t="s">
        <v>2364</v>
      </c>
      <c r="E647" t="s">
        <v>2365</v>
      </c>
      <c r="F647" t="s">
        <v>2366</v>
      </c>
      <c r="G647" t="s">
        <v>594</v>
      </c>
      <c r="H647" t="s">
        <v>255</v>
      </c>
      <c r="I647">
        <v>2016</v>
      </c>
      <c r="J647">
        <v>32</v>
      </c>
      <c r="K647" t="s">
        <v>2367</v>
      </c>
      <c r="M647" t="str">
        <f>LEFT($D647,FIND(",",$D647)-1)&amp;"_"&amp;I647&amp;L647</f>
        <v>Taskhiri_2016</v>
      </c>
      <c r="N647" t="s">
        <v>223</v>
      </c>
      <c r="O647" s="145" t="s">
        <v>1156</v>
      </c>
      <c r="Q647" t="s">
        <v>257</v>
      </c>
      <c r="R647" s="255" t="s">
        <v>224</v>
      </c>
      <c r="S647" s="1" t="s">
        <v>2368</v>
      </c>
      <c r="T647" t="s">
        <v>1310</v>
      </c>
      <c r="U647" s="266" t="s">
        <v>3104</v>
      </c>
      <c r="V647">
        <v>0</v>
      </c>
      <c r="W647">
        <v>0</v>
      </c>
      <c r="X647">
        <v>0</v>
      </c>
      <c r="Y647">
        <v>0</v>
      </c>
      <c r="Z647">
        <v>0</v>
      </c>
      <c r="AA647">
        <v>0</v>
      </c>
      <c r="AB647">
        <v>0</v>
      </c>
      <c r="AC647">
        <v>0</v>
      </c>
      <c r="AD647">
        <v>0</v>
      </c>
      <c r="AE647">
        <v>0</v>
      </c>
      <c r="AF647">
        <v>0</v>
      </c>
      <c r="AG647">
        <v>1</v>
      </c>
      <c r="AH647">
        <v>0</v>
      </c>
      <c r="AI647">
        <v>0</v>
      </c>
      <c r="AJ647">
        <v>0</v>
      </c>
      <c r="AK647">
        <v>0</v>
      </c>
      <c r="AL647">
        <v>0</v>
      </c>
      <c r="AM647">
        <v>0</v>
      </c>
      <c r="AN647">
        <v>0</v>
      </c>
      <c r="AO647">
        <v>0</v>
      </c>
      <c r="AP647">
        <v>0</v>
      </c>
      <c r="AQ647">
        <v>0</v>
      </c>
      <c r="AR647">
        <v>0</v>
      </c>
      <c r="AS647">
        <v>0</v>
      </c>
      <c r="AT647">
        <v>0</v>
      </c>
      <c r="AU647">
        <v>0</v>
      </c>
      <c r="AV647">
        <v>0</v>
      </c>
      <c r="AW647">
        <v>0</v>
      </c>
      <c r="AX647" s="141">
        <f>COUNTIF(V647:AW647,"&lt;&gt;0")</f>
        <v>1</v>
      </c>
      <c r="AY647" s="141">
        <f>COUNTIF(V647:AL647,"&lt;&gt;0")</f>
        <v>1</v>
      </c>
      <c r="AZ647">
        <f>COUNTIF(V647:AC647,"&lt;&gt;0")</f>
        <v>0</v>
      </c>
      <c r="BA647">
        <f>COUNTIF(AD647:AI647,"&lt;&gt;0")</f>
        <v>1</v>
      </c>
      <c r="BB647">
        <f>COUNTIF(AJ647:AL647,"&lt;&gt;0")</f>
        <v>0</v>
      </c>
      <c r="BC647">
        <f>COUNTIF(AS647:AW647,"&lt;&gt;0")</f>
        <v>0</v>
      </c>
      <c r="BD647">
        <f>COUNTIF(AM647:AR647,"&lt;&gt;0")</f>
        <v>0</v>
      </c>
      <c r="BE647" t="str">
        <f t="array" ref="BE647">IF(AY647=1,INDEX($V$7:$AL$7,MATCH(TRUE,INDEX($V647:$AW647&lt;&gt;0,),0)),IF(AY647=0,INDEX($AM$7:$AW$7,MATCH(1,$AM647:$AW647,0)),IF(BF647="Multiple strategies","mixed drivers",IF(BF647="Supply chain","multiple supply","multiple silviculture"))))</f>
        <v>recycling</v>
      </c>
      <c r="BF647" s="2" t="str" cm="1">
        <f t="array" ref="BF647">IF(COUNTIF(AZ647:BB647,"&lt;&gt;0")=1,INDEX($V$4:$AW$4,MATCH(TRUE,INDEX($V647:$AW647&lt;&gt;0,),0)),IF(COUNTIF(AZ647:BB647,"&lt;&gt;0")=0,INDEX($AM$4:$AW$4,MATCH(1,$AM647:$AW647,0)),"Multiple strategies"))</f>
        <v>Supply chain</v>
      </c>
      <c r="BG647" s="1" t="s">
        <v>230</v>
      </c>
      <c r="BH647" t="s">
        <v>2369</v>
      </c>
      <c r="BI647" s="266" t="s">
        <v>3101</v>
      </c>
      <c r="BJ647" t="s">
        <v>1325</v>
      </c>
      <c r="BK647">
        <v>0</v>
      </c>
      <c r="BL647">
        <v>5.0000000000000001E-3</v>
      </c>
      <c r="BM647" s="143" t="e">
        <f>BL647/BK647</f>
        <v>#DIV/0!</v>
      </c>
      <c r="BN647">
        <f>BL647-BK647</f>
        <v>5.0000000000000001E-3</v>
      </c>
      <c r="BO647">
        <f>BN647*10^6</f>
        <v>5000</v>
      </c>
      <c r="BP647" t="s">
        <v>233</v>
      </c>
      <c r="BQ647" s="269" t="s">
        <v>785</v>
      </c>
      <c r="BR647" t="s">
        <v>1197</v>
      </c>
      <c r="BS647" s="198">
        <v>-32092.528180728899</v>
      </c>
      <c r="BT647" s="198">
        <v>-29322.470132498798</v>
      </c>
      <c r="BU647" s="144">
        <f>IFERROR(BT647/BS647,"")</f>
        <v>0.9136852655350014</v>
      </c>
      <c r="BV647" s="144">
        <f>BT647-BS647</f>
        <v>2770.0580482301011</v>
      </c>
      <c r="BW647" s="144"/>
      <c r="BX647" s="144">
        <f>BV647</f>
        <v>2770.0580482301011</v>
      </c>
      <c r="BY647">
        <f>IFERROR(BX647/BO647,"")</f>
        <v>0.55401160964602025</v>
      </c>
      <c r="BZ647">
        <v>0</v>
      </c>
      <c r="CA647">
        <v>0</v>
      </c>
      <c r="CB647">
        <v>0</v>
      </c>
      <c r="CC647">
        <v>0</v>
      </c>
      <c r="CD647">
        <v>0</v>
      </c>
      <c r="CE647">
        <v>0</v>
      </c>
      <c r="CF647">
        <v>0</v>
      </c>
      <c r="CG647">
        <v>0</v>
      </c>
      <c r="CH647">
        <v>0</v>
      </c>
      <c r="CI647">
        <v>0</v>
      </c>
      <c r="CJ647">
        <v>0</v>
      </c>
      <c r="CK647">
        <v>0</v>
      </c>
      <c r="CL647">
        <v>0</v>
      </c>
      <c r="CM647">
        <v>1</v>
      </c>
      <c r="CN647" t="str">
        <f>IF($BL647&lt;$BK647,"refNeedCorrection","refOK")</f>
        <v>refOK</v>
      </c>
      <c r="CO647">
        <f>IF($CN647="refOK",$BK647,$BL647)</f>
        <v>0</v>
      </c>
      <c r="CP647">
        <f>IF($CN647="refOK",$BL647,$BK647)</f>
        <v>5.0000000000000001E-3</v>
      </c>
      <c r="CQ647">
        <f>IF($CN647="refOK",$BO647,-$BO647)</f>
        <v>5000</v>
      </c>
      <c r="CR647">
        <f>IF($CN647="refOK",$BS647,$BT647)*IF($BP647="Emissions positive",-1,1)</f>
        <v>-32092.528180728899</v>
      </c>
      <c r="CS647">
        <f>IF($CN647="refOK",$BT647,$BS647)*IF($BP647="Emissions positive",-1,1)</f>
        <v>-29322.470132498798</v>
      </c>
      <c r="CT647">
        <f>IF($CN647="refNeedCorrection",-BX647,BX647)*IF($BP647="Emissions positive",-1,1)</f>
        <v>2770.0580482301011</v>
      </c>
      <c r="CU647">
        <f>IFERROR(CT647/CQ647,"")</f>
        <v>0.55401160964602025</v>
      </c>
      <c r="CV647" s="2">
        <f>IFERROR((CS647-CR647)/ABS(CR647),"")</f>
        <v>8.6314734464998655E-2</v>
      </c>
      <c r="CW647" s="1" t="s">
        <v>1201</v>
      </c>
      <c r="CX647" t="str">
        <f>IF(OR($CW647="prd",$CW647="std",$CW647="cit"),"loc",IF(OR($CW647="eur",$CW647="reg",$CW647="coy"),"reg",$CW647))</f>
        <v>reg</v>
      </c>
      <c r="CY647" t="s">
        <v>1303</v>
      </c>
      <c r="DB647">
        <v>0</v>
      </c>
      <c r="DC647" t="str">
        <f>IF(DB647=0,"0",IF(AND(DB647&gt;=1,DB647&lt;=30),"1-30",IF(AND(DB647&gt;30,DB647&lt;=70),"31-70",IF(AND(DB647&gt;70,DB647&lt;=100),"71-100",IF(DB647&gt;100,"+100")))))</f>
        <v>0</v>
      </c>
      <c r="DD647">
        <v>0</v>
      </c>
      <c r="DE647">
        <v>0</v>
      </c>
      <c r="DF647">
        <v>1</v>
      </c>
      <c r="DG647">
        <v>0</v>
      </c>
      <c r="DI647">
        <f>SUM(DD647:DG647)</f>
        <v>1</v>
      </c>
      <c r="DJ647" t="str">
        <f>IF(DI647=1,INDEX($DD$7:$DG$7,MATCH(1,$DD647:$DG647,0)),"mixedProduct")</f>
        <v>PulpPaperInput</v>
      </c>
      <c r="DK647">
        <f>IF(DD647=1,DK$7,0)</f>
        <v>0</v>
      </c>
      <c r="DL647">
        <f>IF(DE647=1,DL$7,0)</f>
        <v>0</v>
      </c>
      <c r="DM647" t="str">
        <f>IF(DF647=1,DM$7,0)</f>
        <v>Pulp/Paper</v>
      </c>
      <c r="DN647">
        <f>IF(DG647=1,DN$7,0)</f>
        <v>0</v>
      </c>
      <c r="DO647">
        <v>0</v>
      </c>
      <c r="DP647">
        <v>0</v>
      </c>
      <c r="DQ647">
        <v>0</v>
      </c>
      <c r="DR647">
        <v>0</v>
      </c>
      <c r="DS647">
        <v>0</v>
      </c>
      <c r="DT647">
        <f>SUM(DO647:DP647)</f>
        <v>0</v>
      </c>
      <c r="DU647" s="143" t="str">
        <f>IF(DO647=1,"self-calculated DF",IF(DP647=1,"external DF used","explicit C balance"))</f>
        <v>explicit C balance</v>
      </c>
      <c r="DV647">
        <v>0</v>
      </c>
      <c r="DW647">
        <v>0</v>
      </c>
      <c r="DX647">
        <v>0</v>
      </c>
      <c r="DY647">
        <v>0</v>
      </c>
      <c r="DZ647">
        <v>0</v>
      </c>
      <c r="EA647" s="143">
        <v>0</v>
      </c>
      <c r="EB647">
        <v>1</v>
      </c>
      <c r="EC647">
        <v>1</v>
      </c>
      <c r="ED647">
        <v>0</v>
      </c>
      <c r="EE647">
        <v>0</v>
      </c>
      <c r="EF647">
        <v>0</v>
      </c>
      <c r="EG647">
        <v>0</v>
      </c>
      <c r="EH647">
        <v>0</v>
      </c>
      <c r="EI647" s="2">
        <v>0</v>
      </c>
      <c r="EK647" t="str">
        <f>IF(AND(AND(AND(OR($DX647=1,$DW647=1),OR($EC647=1,$EA647=1)),SUM($DV647:$DZ647,$EF647)&gt;=4),SUM($EA647:$EE647)&gt;=2),"Whole sector","")</f>
        <v/>
      </c>
      <c r="EL647" t="str">
        <f>IF(AND(AND(OR($DX647=1,$DW647=1),AND($EC647=0,$EA647=0)),SUM($DV647:$DZ647,$EF647)&gt;=4),"Ecosystem approach","")</f>
        <v/>
      </c>
      <c r="EM647" s="2" t="str">
        <f>IF(AND(AND(AND($DX647=0,$DW647=0),OR($EC647=1,$EA647=1)),SUM($EB647:$EE647)&gt;=2),"Technology approach","")</f>
        <v>Technology approach</v>
      </c>
      <c r="EP647" t="str">
        <f>IF(ISNUMBER(BU647),IF(ABS(BU647-[2]QC_indicators!$B$2)&gt;3*[2]QC_indicators!$C$2,"C ratio",IF(ISNUMBER(BY647),IF(ABS(BY647-[2]QC_indicators!$B$1)&gt;3*[2]QC_indicators!$C$1,"DF","no"))),IF(ISNUMBER(BY647),IF(ABS(BY647-[2]QC_indicators!$B$1)&gt;3*[2]QC_indicators!$C$1,"DF","no")))</f>
        <v>no</v>
      </c>
      <c r="ET647" s="266" t="s">
        <v>3106</v>
      </c>
    </row>
    <row r="648" spans="1:150" ht="15" hidden="1" customHeight="1">
      <c r="A648" s="1" t="s">
        <v>588</v>
      </c>
      <c r="B648" t="s">
        <v>2533</v>
      </c>
      <c r="C648" t="s">
        <v>2534</v>
      </c>
      <c r="D648" t="s">
        <v>2535</v>
      </c>
      <c r="E648" t="s">
        <v>2536</v>
      </c>
      <c r="F648" t="s">
        <v>2537</v>
      </c>
      <c r="G648" t="s">
        <v>594</v>
      </c>
      <c r="H648" t="s">
        <v>255</v>
      </c>
      <c r="I648">
        <v>2015</v>
      </c>
      <c r="J648">
        <v>46</v>
      </c>
      <c r="K648" t="s">
        <v>2538</v>
      </c>
      <c r="M648" t="str">
        <f>LEFT($D648,FIND(",",$D648)-1)&amp;"_"&amp;I648&amp;L648</f>
        <v>Iritani_2015</v>
      </c>
      <c r="N648" t="s">
        <v>223</v>
      </c>
      <c r="O648" s="145" t="s">
        <v>514</v>
      </c>
      <c r="Q648" t="s">
        <v>257</v>
      </c>
      <c r="R648" s="255" t="s">
        <v>224</v>
      </c>
      <c r="S648" s="1" t="s">
        <v>2539</v>
      </c>
      <c r="T648" s="266" t="s">
        <v>3091</v>
      </c>
      <c r="U648" s="266" t="s">
        <v>3092</v>
      </c>
      <c r="V648">
        <v>0</v>
      </c>
      <c r="W648">
        <v>0</v>
      </c>
      <c r="X648">
        <v>0</v>
      </c>
      <c r="Y648">
        <v>0</v>
      </c>
      <c r="Z648">
        <v>0</v>
      </c>
      <c r="AA648">
        <v>0</v>
      </c>
      <c r="AB648">
        <v>0</v>
      </c>
      <c r="AC648">
        <v>0</v>
      </c>
      <c r="AD648">
        <v>0</v>
      </c>
      <c r="AE648">
        <v>0</v>
      </c>
      <c r="AF648">
        <v>0</v>
      </c>
      <c r="AG648">
        <v>1</v>
      </c>
      <c r="AH648">
        <v>0</v>
      </c>
      <c r="AI648">
        <v>0</v>
      </c>
      <c r="AJ648">
        <v>0</v>
      </c>
      <c r="AK648">
        <v>0</v>
      </c>
      <c r="AL648">
        <v>0</v>
      </c>
      <c r="AM648">
        <v>0</v>
      </c>
      <c r="AN648">
        <v>0</v>
      </c>
      <c r="AO648">
        <v>0</v>
      </c>
      <c r="AP648">
        <v>0</v>
      </c>
      <c r="AQ648">
        <v>0</v>
      </c>
      <c r="AR648">
        <v>0</v>
      </c>
      <c r="AS648">
        <v>0</v>
      </c>
      <c r="AT648">
        <v>0</v>
      </c>
      <c r="AU648">
        <v>0</v>
      </c>
      <c r="AV648">
        <v>0</v>
      </c>
      <c r="AW648">
        <v>0</v>
      </c>
      <c r="AX648" s="141">
        <f>COUNTIF(V648:AW648,"&lt;&gt;0")</f>
        <v>1</v>
      </c>
      <c r="AY648" s="141">
        <f>COUNTIF(V648:AL648,"&lt;&gt;0")</f>
        <v>1</v>
      </c>
      <c r="AZ648">
        <f>COUNTIF(V648:AC648,"&lt;&gt;0")</f>
        <v>0</v>
      </c>
      <c r="BA648">
        <f>COUNTIF(AD648:AI648,"&lt;&gt;0")</f>
        <v>1</v>
      </c>
      <c r="BB648">
        <f>COUNTIF(AJ648:AL648,"&lt;&gt;0")</f>
        <v>0</v>
      </c>
      <c r="BC648">
        <f>COUNTIF(AS648:AW648,"&lt;&gt;0")</f>
        <v>0</v>
      </c>
      <c r="BD648">
        <f>COUNTIF(AM648:AR648,"&lt;&gt;0")</f>
        <v>0</v>
      </c>
      <c r="BE648" t="str">
        <f t="array" ref="BE648">IF(AY648=1,INDEX($V$7:$AL$7,MATCH(TRUE,INDEX($V648:$AW648&lt;&gt;0,),0)),IF(AY648=0,INDEX($AM$7:$AW$7,MATCH(1,$AM648:$AW648,0)),IF(BF648="Multiple strategies","mixed drivers",IF(BF648="Supply chain","multiple supply","multiple silviculture"))))</f>
        <v>recycling</v>
      </c>
      <c r="BF648" s="2" t="str" cm="1">
        <f t="array" ref="BF648">IF(COUNTIF(AZ648:BB648,"&lt;&gt;0")=1,INDEX($V$4:$AW$4,MATCH(TRUE,INDEX($V648:$AW648&lt;&gt;0,),0)),IF(COUNTIF(AZ648:BB648,"&lt;&gt;0")=0,INDEX($AM$4:$AW$4,MATCH(1,$AM648:$AW648,0)),"Multiple strategies"))</f>
        <v>Supply chain</v>
      </c>
      <c r="BG648" s="1" t="s">
        <v>230</v>
      </c>
      <c r="BH648" t="s">
        <v>2540</v>
      </c>
      <c r="BI648" s="266" t="s">
        <v>690</v>
      </c>
      <c r="BJ648" t="s">
        <v>346</v>
      </c>
      <c r="BK648">
        <v>0</v>
      </c>
      <c r="BL648">
        <v>235</v>
      </c>
      <c r="BN648">
        <f>BL648-BK648</f>
        <v>235</v>
      </c>
      <c r="BO648">
        <f>BN648*kg_to_m3</f>
        <v>0.47959183673469391</v>
      </c>
      <c r="BP648" t="s">
        <v>233</v>
      </c>
      <c r="BQ648" s="153" t="s">
        <v>3093</v>
      </c>
      <c r="BR648" t="s">
        <v>730</v>
      </c>
      <c r="BS648">
        <v>-290.75</v>
      </c>
      <c r="BT648">
        <f>-0.52*290.75</f>
        <v>-151.19</v>
      </c>
      <c r="BU648" s="144">
        <f>IFERROR(BT648/BS648,"")</f>
        <v>0.52</v>
      </c>
      <c r="BV648">
        <f>BT648-BS648</f>
        <v>139.56</v>
      </c>
      <c r="BX648">
        <f>BV648/1000</f>
        <v>0.13955999999999999</v>
      </c>
      <c r="BY648">
        <f>IFERROR(BX648/BO648,"")</f>
        <v>0.29099744680851058</v>
      </c>
      <c r="BZ648">
        <v>1</v>
      </c>
      <c r="CA648">
        <v>0</v>
      </c>
      <c r="CB648">
        <v>0</v>
      </c>
      <c r="CC648">
        <v>0</v>
      </c>
      <c r="CD648">
        <v>0</v>
      </c>
      <c r="CE648">
        <v>0</v>
      </c>
      <c r="CF648">
        <v>0</v>
      </c>
      <c r="CG648">
        <v>0</v>
      </c>
      <c r="CH648">
        <v>0</v>
      </c>
      <c r="CI648">
        <v>0</v>
      </c>
      <c r="CJ648">
        <v>0</v>
      </c>
      <c r="CK648">
        <v>0</v>
      </c>
      <c r="CL648">
        <v>0</v>
      </c>
      <c r="CM648">
        <v>0</v>
      </c>
      <c r="CN648" t="str">
        <f>IF($BL648&lt;$BK648,"refNeedCorrection","refOK")</f>
        <v>refOK</v>
      </c>
      <c r="CO648">
        <f>IF($CN648="refOK",$BK648,$BL648)</f>
        <v>0</v>
      </c>
      <c r="CP648">
        <f>IF($CN648="refOK",$BL648,$BK648)</f>
        <v>235</v>
      </c>
      <c r="CQ648">
        <f>IF($CN648="refOK",$BO648,-$BO648)</f>
        <v>0.47959183673469391</v>
      </c>
      <c r="CR648">
        <f>IF($CN648="refOK",$BS648,$BT648)*IF($BP648="Emissions positive",-1,1)</f>
        <v>-290.75</v>
      </c>
      <c r="CS648">
        <f>IF($CN648="refOK",$BT648,$BS648)*IF($BP648="Emissions positive",-1,1)</f>
        <v>-151.19</v>
      </c>
      <c r="CT648">
        <f>IF($CN648="refNeedCorrection",-BX648,BX648)*IF($BP648="Emissions positive",-1,1)</f>
        <v>0.13955999999999999</v>
      </c>
      <c r="CU648">
        <f>IFERROR(CT648/CQ648,"")</f>
        <v>0.29099744680851058</v>
      </c>
      <c r="CV648" s="2">
        <f>IFERROR((CS648-CR648)/ABS(CR648),"")</f>
        <v>0.48</v>
      </c>
      <c r="CW648" s="265" t="s">
        <v>264</v>
      </c>
      <c r="CX648" t="str">
        <f>IF(OR($CW648="prd",$CW648="std",$CW648="cit"),"loc",IF(OR($CW648="eur",$CW648="reg",$CW648="coy"),"reg",$CW648))</f>
        <v>loc</v>
      </c>
      <c r="CY648" s="266" t="s">
        <v>521</v>
      </c>
      <c r="DB648">
        <v>0</v>
      </c>
      <c r="DC648" t="str">
        <f>IF(DB648=0,"0",IF(AND(DB648&gt;=1,DB648&lt;=30),"1-30",IF(AND(DB648&gt;30,DB648&lt;=70),"31-70",IF(AND(DB648&gt;70,DB648&lt;=100),"71-100",IF(DB648&gt;100,"+100")))))</f>
        <v>0</v>
      </c>
      <c r="DD648">
        <v>0</v>
      </c>
      <c r="DE648">
        <v>0</v>
      </c>
      <c r="DF648">
        <v>0</v>
      </c>
      <c r="DG648">
        <v>1</v>
      </c>
      <c r="DI648">
        <f>SUM(DD648:DG648)</f>
        <v>1</v>
      </c>
      <c r="DJ648" t="str">
        <f>IF(DI648=1,INDEX($DD$7:$DG$7,MATCH(1,$DD648:$DG648,0)),"mixedProduct")</f>
        <v>TimberInput</v>
      </c>
      <c r="DK648">
        <f>IF(DD648=1,DK$7,0)</f>
        <v>0</v>
      </c>
      <c r="DL648">
        <f>IF(DE648=1,DL$7,0)</f>
        <v>0</v>
      </c>
      <c r="DM648">
        <f>IF(DF648=1,DM$7,0)</f>
        <v>0</v>
      </c>
      <c r="DN648" t="str">
        <f>IF(DG648=1,DN$7,0)</f>
        <v>Timber</v>
      </c>
      <c r="DO648">
        <v>0</v>
      </c>
      <c r="DP648">
        <v>0</v>
      </c>
      <c r="DQ648">
        <v>0</v>
      </c>
      <c r="DR648">
        <v>0</v>
      </c>
      <c r="DS648">
        <v>0</v>
      </c>
      <c r="DT648">
        <f>SUM(DO648:DP648)</f>
        <v>0</v>
      </c>
      <c r="DU648" s="143" t="str">
        <f>IF(DO648=1,"self-calculated DF",IF(DP648=1,"external DF used","explicit C balance"))</f>
        <v>explicit C balance</v>
      </c>
      <c r="DV648">
        <v>0</v>
      </c>
      <c r="DW648">
        <v>0</v>
      </c>
      <c r="DX648">
        <v>0</v>
      </c>
      <c r="DY648">
        <v>0</v>
      </c>
      <c r="DZ648">
        <v>0</v>
      </c>
      <c r="EA648" s="143">
        <v>1</v>
      </c>
      <c r="EB648">
        <v>0</v>
      </c>
      <c r="EC648">
        <v>1</v>
      </c>
      <c r="ED648">
        <v>0</v>
      </c>
      <c r="EE648">
        <v>0</v>
      </c>
      <c r="EF648">
        <v>0</v>
      </c>
      <c r="EG648">
        <v>0</v>
      </c>
      <c r="EH648">
        <v>0</v>
      </c>
      <c r="EI648" s="2">
        <v>0</v>
      </c>
      <c r="EK648" t="str">
        <f>IF(AND(AND(AND(OR($DX648=1,$DW648=1),OR($EC648=1,$EA648=1)),SUM($DV648:$DZ648,$EF648)&gt;=4),SUM($EA648:$EE648)&gt;=2),"Whole sector","")</f>
        <v/>
      </c>
      <c r="EL648" t="str">
        <f>IF(AND(AND(OR($DX648=1,$DW648=1),AND($EC648=0,$EA648=0)),SUM($DV648:$DZ648,$EF648)&gt;=4),"Ecosystem approach","")</f>
        <v/>
      </c>
      <c r="EM648" s="2" t="str">
        <f>IF(AND(AND(AND($DX648=0,$DW648=0),OR($EC648=1,$EA648=1)),SUM($EB648:$EE648)&gt;=2),"Technology approach","")</f>
        <v/>
      </c>
      <c r="EP648" t="str">
        <f>IF(ISNUMBER(BU648),IF(ABS(BU648-[2]QC_indicators!$B$2)&gt;3*[2]QC_indicators!$C$2,"C ratio",IF(ISNUMBER(BY648),IF(ABS(BY648-[2]QC_indicators!$B$1)&gt;3*[2]QC_indicators!$C$1,"DF","no"))),IF(ISNUMBER(BY648),IF(ABS(BY648-[2]QC_indicators!$B$1)&gt;3*[2]QC_indicators!$C$1,"DF","no")))</f>
        <v>no</v>
      </c>
      <c r="ET648" s="266" t="s">
        <v>3094</v>
      </c>
    </row>
    <row r="649" spans="1:150" ht="15" hidden="1" customHeight="1">
      <c r="A649" s="1" t="s">
        <v>588</v>
      </c>
      <c r="B649" t="s">
        <v>2533</v>
      </c>
      <c r="C649" t="s">
        <v>2534</v>
      </c>
      <c r="D649" t="s">
        <v>2535</v>
      </c>
      <c r="E649" t="s">
        <v>2536</v>
      </c>
      <c r="F649" t="s">
        <v>2537</v>
      </c>
      <c r="G649" t="s">
        <v>594</v>
      </c>
      <c r="H649" t="s">
        <v>255</v>
      </c>
      <c r="I649">
        <v>2015</v>
      </c>
      <c r="J649">
        <v>46</v>
      </c>
      <c r="K649" t="s">
        <v>2538</v>
      </c>
      <c r="M649" t="str">
        <f>LEFT($D649,FIND(",",$D649)-1)&amp;"_"&amp;I649&amp;L649</f>
        <v>Iritani_2015</v>
      </c>
      <c r="N649" t="s">
        <v>223</v>
      </c>
      <c r="O649" s="145" t="s">
        <v>514</v>
      </c>
      <c r="Q649" t="s">
        <v>257</v>
      </c>
      <c r="R649" s="255" t="s">
        <v>224</v>
      </c>
      <c r="S649" s="1" t="s">
        <v>2539</v>
      </c>
      <c r="T649" s="266" t="s">
        <v>3091</v>
      </c>
      <c r="U649" s="266" t="s">
        <v>3095</v>
      </c>
      <c r="V649">
        <v>0</v>
      </c>
      <c r="W649">
        <v>0</v>
      </c>
      <c r="X649">
        <v>0</v>
      </c>
      <c r="Y649">
        <v>0</v>
      </c>
      <c r="Z649">
        <v>0</v>
      </c>
      <c r="AA649">
        <v>0</v>
      </c>
      <c r="AB649">
        <v>0</v>
      </c>
      <c r="AC649">
        <v>0</v>
      </c>
      <c r="AD649">
        <v>0</v>
      </c>
      <c r="AE649">
        <v>0</v>
      </c>
      <c r="AF649">
        <v>0</v>
      </c>
      <c r="AG649">
        <v>1</v>
      </c>
      <c r="AH649">
        <v>0</v>
      </c>
      <c r="AI649">
        <v>0</v>
      </c>
      <c r="AJ649">
        <v>0</v>
      </c>
      <c r="AK649">
        <v>0</v>
      </c>
      <c r="AL649">
        <v>0</v>
      </c>
      <c r="AM649">
        <v>0</v>
      </c>
      <c r="AN649">
        <v>0</v>
      </c>
      <c r="AO649">
        <v>0</v>
      </c>
      <c r="AP649">
        <v>0</v>
      </c>
      <c r="AQ649">
        <v>0</v>
      </c>
      <c r="AR649">
        <v>0</v>
      </c>
      <c r="AS649">
        <v>0</v>
      </c>
      <c r="AT649">
        <v>0</v>
      </c>
      <c r="AU649">
        <v>0</v>
      </c>
      <c r="AV649">
        <v>0</v>
      </c>
      <c r="AW649">
        <v>0</v>
      </c>
      <c r="AX649" s="141">
        <f>COUNTIF(V649:AW649,"&lt;&gt;0")</f>
        <v>1</v>
      </c>
      <c r="AY649" s="141">
        <f>COUNTIF(V649:AL649,"&lt;&gt;0")</f>
        <v>1</v>
      </c>
      <c r="AZ649">
        <f>COUNTIF(V649:AC649,"&lt;&gt;0")</f>
        <v>0</v>
      </c>
      <c r="BA649">
        <f>COUNTIF(AD649:AI649,"&lt;&gt;0")</f>
        <v>1</v>
      </c>
      <c r="BB649">
        <f>COUNTIF(AJ649:AL649,"&lt;&gt;0")</f>
        <v>0</v>
      </c>
      <c r="BC649">
        <f>COUNTIF(AS649:AW649,"&lt;&gt;0")</f>
        <v>0</v>
      </c>
      <c r="BD649">
        <f>COUNTIF(AM649:AR649,"&lt;&gt;0")</f>
        <v>0</v>
      </c>
      <c r="BE649" t="str">
        <f t="array" ref="BE649">IF(AY649=1,INDEX($V$7:$AL$7,MATCH(TRUE,INDEX($V649:$AW649&lt;&gt;0,),0)),IF(AY649=0,INDEX($AM$7:$AW$7,MATCH(1,$AM649:$AW649,0)),IF(BF649="Multiple strategies","mixed drivers",IF(BF649="Supply chain","multiple supply","multiple silviculture"))))</f>
        <v>recycling</v>
      </c>
      <c r="BF649" s="2" t="str" cm="1">
        <f t="array" ref="BF649">IF(COUNTIF(AZ649:BB649,"&lt;&gt;0")=1,INDEX($V$4:$AW$4,MATCH(TRUE,INDEX($V649:$AW649&lt;&gt;0,),0)),IF(COUNTIF(AZ649:BB649,"&lt;&gt;0")=0,INDEX($AM$4:$AW$4,MATCH(1,$AM649:$AW649,0)),"Multiple strategies"))</f>
        <v>Supply chain</v>
      </c>
      <c r="BG649" s="1" t="s">
        <v>230</v>
      </c>
      <c r="BH649" t="s">
        <v>2540</v>
      </c>
      <c r="BI649" s="266" t="s">
        <v>690</v>
      </c>
      <c r="BJ649" t="s">
        <v>346</v>
      </c>
      <c r="BK649">
        <v>0</v>
      </c>
      <c r="BL649">
        <v>117.5</v>
      </c>
      <c r="BN649">
        <f>BL649-BK649</f>
        <v>117.5</v>
      </c>
      <c r="BO649">
        <f>BN649*kg_to_m3</f>
        <v>0.23979591836734696</v>
      </c>
      <c r="BP649" t="s">
        <v>233</v>
      </c>
      <c r="BQ649" s="153" t="s">
        <v>3093</v>
      </c>
      <c r="BR649" t="s">
        <v>730</v>
      </c>
      <c r="BS649">
        <v>-290.75</v>
      </c>
      <c r="BT649">
        <f>-0.73*290.75</f>
        <v>-212.2475</v>
      </c>
      <c r="BU649" s="144">
        <f>IFERROR(BT649/BS649,"")</f>
        <v>0.73</v>
      </c>
      <c r="BV649">
        <f>BT649-BS649</f>
        <v>78.502499999999998</v>
      </c>
      <c r="BX649">
        <f>BV649/1000</f>
        <v>7.8502500000000003E-2</v>
      </c>
      <c r="BY649">
        <f>IFERROR(BX649/BO649,"")</f>
        <v>0.32737212765957446</v>
      </c>
      <c r="BZ649">
        <v>1</v>
      </c>
      <c r="CA649">
        <v>0</v>
      </c>
      <c r="CB649">
        <v>0</v>
      </c>
      <c r="CC649">
        <v>0</v>
      </c>
      <c r="CD649">
        <v>0</v>
      </c>
      <c r="CE649">
        <v>0</v>
      </c>
      <c r="CF649">
        <v>0</v>
      </c>
      <c r="CG649">
        <v>0</v>
      </c>
      <c r="CH649">
        <v>0</v>
      </c>
      <c r="CI649">
        <v>0</v>
      </c>
      <c r="CJ649">
        <v>0</v>
      </c>
      <c r="CK649">
        <v>0</v>
      </c>
      <c r="CL649">
        <v>0</v>
      </c>
      <c r="CM649">
        <v>0</v>
      </c>
      <c r="CN649" t="str">
        <f>IF($BL649&lt;$BK649,"refNeedCorrection","refOK")</f>
        <v>refOK</v>
      </c>
      <c r="CO649">
        <f>IF($CN649="refOK",$BK649,$BL649)</f>
        <v>0</v>
      </c>
      <c r="CP649">
        <f>IF($CN649="refOK",$BL649,$BK649)</f>
        <v>117.5</v>
      </c>
      <c r="CQ649">
        <f>IF($CN649="refOK",$BO649,-$BO649)</f>
        <v>0.23979591836734696</v>
      </c>
      <c r="CR649">
        <f>IF($CN649="refOK",$BS649,$BT649)*IF($BP649="Emissions positive",-1,1)</f>
        <v>-290.75</v>
      </c>
      <c r="CS649">
        <f>IF($CN649="refOK",$BT649,$BS649)*IF($BP649="Emissions positive",-1,1)</f>
        <v>-212.2475</v>
      </c>
      <c r="CT649">
        <f>IF($CN649="refNeedCorrection",-BX649,BX649)*IF($BP649="Emissions positive",-1,1)</f>
        <v>7.8502500000000003E-2</v>
      </c>
      <c r="CU649">
        <f>IFERROR(CT649/CQ649,"")</f>
        <v>0.32737212765957446</v>
      </c>
      <c r="CV649" s="2">
        <f>IFERROR((CS649-CR649)/ABS(CR649),"")</f>
        <v>0.27</v>
      </c>
      <c r="CW649" s="265" t="s">
        <v>264</v>
      </c>
      <c r="CX649" t="str">
        <f>IF(OR($CW649="prd",$CW649="std",$CW649="cit"),"loc",IF(OR($CW649="eur",$CW649="reg",$CW649="coy"),"reg",$CW649))</f>
        <v>loc</v>
      </c>
      <c r="CY649" s="266" t="s">
        <v>521</v>
      </c>
      <c r="DB649">
        <v>0</v>
      </c>
      <c r="DC649" t="str">
        <f>IF(DB649=0,"0",IF(AND(DB649&gt;=1,DB649&lt;=30),"1-30",IF(AND(DB649&gt;30,DB649&lt;=70),"31-70",IF(AND(DB649&gt;70,DB649&lt;=100),"71-100",IF(DB649&gt;100,"+100")))))</f>
        <v>0</v>
      </c>
      <c r="DD649">
        <v>0</v>
      </c>
      <c r="DE649">
        <v>0</v>
      </c>
      <c r="DF649">
        <v>0</v>
      </c>
      <c r="DG649">
        <v>1</v>
      </c>
      <c r="DI649">
        <f>SUM(DD649:DG649)</f>
        <v>1</v>
      </c>
      <c r="DJ649" t="str">
        <f>IF(DI649=1,INDEX($DD$7:$DG$7,MATCH(1,$DD649:$DG649,0)),"mixedProduct")</f>
        <v>TimberInput</v>
      </c>
      <c r="DK649">
        <f>IF(DD649=1,DK$7,0)</f>
        <v>0</v>
      </c>
      <c r="DL649">
        <f>IF(DE649=1,DL$7,0)</f>
        <v>0</v>
      </c>
      <c r="DM649">
        <f>IF(DF649=1,DM$7,0)</f>
        <v>0</v>
      </c>
      <c r="DN649" t="str">
        <f>IF(DG649=1,DN$7,0)</f>
        <v>Timber</v>
      </c>
      <c r="DO649">
        <v>0</v>
      </c>
      <c r="DP649">
        <v>0</v>
      </c>
      <c r="DQ649">
        <v>0</v>
      </c>
      <c r="DR649">
        <v>0</v>
      </c>
      <c r="DS649">
        <v>0</v>
      </c>
      <c r="DT649">
        <f>SUM(DO649:DP649)</f>
        <v>0</v>
      </c>
      <c r="DU649" s="143" t="str">
        <f>IF(DO649=1,"self-calculated DF",IF(DP649=1,"external DF used","explicit C balance"))</f>
        <v>explicit C balance</v>
      </c>
      <c r="DV649">
        <v>0</v>
      </c>
      <c r="DW649">
        <v>0</v>
      </c>
      <c r="DX649">
        <v>0</v>
      </c>
      <c r="DY649">
        <v>0</v>
      </c>
      <c r="DZ649">
        <v>0</v>
      </c>
      <c r="EA649" s="143">
        <v>1</v>
      </c>
      <c r="EB649">
        <v>0</v>
      </c>
      <c r="EC649">
        <v>1</v>
      </c>
      <c r="ED649">
        <v>0</v>
      </c>
      <c r="EE649">
        <v>0</v>
      </c>
      <c r="EF649">
        <v>0</v>
      </c>
      <c r="EG649">
        <v>0</v>
      </c>
      <c r="EH649">
        <v>0</v>
      </c>
      <c r="EI649" s="2">
        <v>0</v>
      </c>
      <c r="EK649" t="str">
        <f>IF(AND(AND(AND(OR($DX649=1,$DW649=1),OR($EC649=1,$EA649=1)),SUM($DV649:$DZ649,$EF649)&gt;=4),SUM($EA649:$EE649)&gt;=2),"Whole sector","")</f>
        <v/>
      </c>
      <c r="EL649" t="str">
        <f>IF(AND(AND(OR($DX649=1,$DW649=1),AND($EC649=0,$EA649=0)),SUM($DV649:$DZ649,$EF649)&gt;=4),"Ecosystem approach","")</f>
        <v/>
      </c>
      <c r="EM649" s="2" t="str">
        <f>IF(AND(AND(AND($DX649=0,$DW649=0),OR($EC649=1,$EA649=1)),SUM($EB649:$EE649)&gt;=2),"Technology approach","")</f>
        <v/>
      </c>
      <c r="EP649" t="str">
        <f>IF(ISNUMBER(BU649),IF(ABS(BU649-[2]QC_indicators!$B$2)&gt;3*[2]QC_indicators!$C$2,"C ratio",IF(ISNUMBER(BY649),IF(ABS(BY649-[2]QC_indicators!$B$1)&gt;3*[2]QC_indicators!$C$1,"DF","no"))),IF(ISNUMBER(BY649),IF(ABS(BY649-[2]QC_indicators!$B$1)&gt;3*[2]QC_indicators!$C$1,"DF","no")))</f>
        <v>no</v>
      </c>
      <c r="ET649" s="266" t="s">
        <v>3094</v>
      </c>
    </row>
    <row r="650" spans="1:150" ht="15" hidden="1" customHeight="1">
      <c r="A650" s="1" t="s">
        <v>588</v>
      </c>
      <c r="B650" t="s">
        <v>2362</v>
      </c>
      <c r="C650" t="s">
        <v>2363</v>
      </c>
      <c r="D650" t="s">
        <v>2364</v>
      </c>
      <c r="E650" t="s">
        <v>2365</v>
      </c>
      <c r="F650" t="s">
        <v>2366</v>
      </c>
      <c r="G650" t="s">
        <v>594</v>
      </c>
      <c r="H650" t="s">
        <v>255</v>
      </c>
      <c r="I650">
        <v>2016</v>
      </c>
      <c r="J650">
        <v>32</v>
      </c>
      <c r="K650" t="s">
        <v>2367</v>
      </c>
      <c r="M650" t="str">
        <f>LEFT($D650,FIND(",",$D650)-1)&amp;"_"&amp;I650&amp;L650</f>
        <v>Taskhiri_2016</v>
      </c>
      <c r="N650" t="s">
        <v>223</v>
      </c>
      <c r="O650" s="145" t="s">
        <v>1156</v>
      </c>
      <c r="Q650" t="s">
        <v>257</v>
      </c>
      <c r="R650" s="255" t="s">
        <v>224</v>
      </c>
      <c r="S650" s="1" t="s">
        <v>2368</v>
      </c>
      <c r="T650" t="s">
        <v>1310</v>
      </c>
      <c r="U650" s="266" t="s">
        <v>3103</v>
      </c>
      <c r="V650">
        <v>0</v>
      </c>
      <c r="W650">
        <v>0</v>
      </c>
      <c r="X650">
        <v>0</v>
      </c>
      <c r="Y650">
        <v>0</v>
      </c>
      <c r="Z650">
        <v>0</v>
      </c>
      <c r="AA650">
        <v>0</v>
      </c>
      <c r="AB650">
        <v>0</v>
      </c>
      <c r="AC650">
        <v>0</v>
      </c>
      <c r="AD650">
        <v>0</v>
      </c>
      <c r="AE650">
        <v>0</v>
      </c>
      <c r="AF650">
        <v>0</v>
      </c>
      <c r="AG650">
        <v>1</v>
      </c>
      <c r="AH650">
        <v>0</v>
      </c>
      <c r="AI650">
        <v>0</v>
      </c>
      <c r="AJ650">
        <v>0</v>
      </c>
      <c r="AK650">
        <v>0</v>
      </c>
      <c r="AL650">
        <v>0</v>
      </c>
      <c r="AM650">
        <v>0</v>
      </c>
      <c r="AN650">
        <v>0</v>
      </c>
      <c r="AO650">
        <v>0</v>
      </c>
      <c r="AP650">
        <v>0</v>
      </c>
      <c r="AQ650">
        <v>0</v>
      </c>
      <c r="AR650">
        <v>0</v>
      </c>
      <c r="AS650">
        <v>0</v>
      </c>
      <c r="AT650">
        <v>0</v>
      </c>
      <c r="AU650">
        <v>0</v>
      </c>
      <c r="AV650">
        <v>0</v>
      </c>
      <c r="AW650">
        <v>0</v>
      </c>
      <c r="AX650" s="141">
        <f>COUNTIF(V650:AW650,"&lt;&gt;0")</f>
        <v>1</v>
      </c>
      <c r="AY650" s="141">
        <f>COUNTIF(V650:AL650,"&lt;&gt;0")</f>
        <v>1</v>
      </c>
      <c r="AZ650">
        <f>COUNTIF(V650:AC650,"&lt;&gt;0")</f>
        <v>0</v>
      </c>
      <c r="BA650">
        <f>COUNTIF(AD650:AI650,"&lt;&gt;0")</f>
        <v>1</v>
      </c>
      <c r="BB650">
        <f>COUNTIF(AJ650:AL650,"&lt;&gt;0")</f>
        <v>0</v>
      </c>
      <c r="BC650">
        <f>COUNTIF(AS650:AW650,"&lt;&gt;0")</f>
        <v>0</v>
      </c>
      <c r="BD650">
        <f>COUNTIF(AM650:AR650,"&lt;&gt;0")</f>
        <v>0</v>
      </c>
      <c r="BE650" t="str">
        <f t="array" ref="BE650">IF(AY650=1,INDEX($V$7:$AL$7,MATCH(TRUE,INDEX($V650:$AW650&lt;&gt;0,),0)),IF(AY650=0,INDEX($AM$7:$AW$7,MATCH(1,$AM650:$AW650,0)),IF(BF650="Multiple strategies","mixed drivers",IF(BF650="Supply chain","multiple supply","multiple silviculture"))))</f>
        <v>recycling</v>
      </c>
      <c r="BF650" s="2" t="str" cm="1">
        <f t="array" ref="BF650">IF(COUNTIF(AZ650:BB650,"&lt;&gt;0")=1,INDEX($V$4:$AW$4,MATCH(TRUE,INDEX($V650:$AW650&lt;&gt;0,),0)),IF(COUNTIF(AZ650:BB650,"&lt;&gt;0")=0,INDEX($AM$4:$AW$4,MATCH(1,$AM650:$AW650,0)),"Multiple strategies"))</f>
        <v>Supply chain</v>
      </c>
      <c r="BG650" s="1" t="s">
        <v>230</v>
      </c>
      <c r="BH650" t="s">
        <v>2369</v>
      </c>
      <c r="BI650" s="266" t="s">
        <v>3101</v>
      </c>
      <c r="BJ650" t="s">
        <v>1325</v>
      </c>
      <c r="BK650">
        <v>0</v>
      </c>
      <c r="BL650">
        <v>0.05</v>
      </c>
      <c r="BM650" s="143" t="e">
        <f>BL650/BK650</f>
        <v>#DIV/0!</v>
      </c>
      <c r="BN650">
        <f>BL650-BK650</f>
        <v>0.05</v>
      </c>
      <c r="BO650">
        <f>BN650*10^6</f>
        <v>50000</v>
      </c>
      <c r="BP650" t="s">
        <v>233</v>
      </c>
      <c r="BQ650" s="269" t="s">
        <v>785</v>
      </c>
      <c r="BR650" t="s">
        <v>1197</v>
      </c>
      <c r="BS650" s="198">
        <v>-32092.528180728899</v>
      </c>
      <c r="BT650" s="198">
        <v>-23743.471028233002</v>
      </c>
      <c r="BU650" s="144">
        <f>IFERROR(BT650/BS650,"")</f>
        <v>0.73984420593235201</v>
      </c>
      <c r="BV650" s="144">
        <f>BT650-BS650</f>
        <v>8349.0571524958978</v>
      </c>
      <c r="BW650" s="144"/>
      <c r="BX650" s="144">
        <f>BV650</f>
        <v>8349.0571524958978</v>
      </c>
      <c r="BY650">
        <f>IFERROR(BX650/BO650,"")</f>
        <v>0.16698114304991796</v>
      </c>
      <c r="BZ650">
        <v>0</v>
      </c>
      <c r="CA650">
        <v>0</v>
      </c>
      <c r="CB650">
        <v>0</v>
      </c>
      <c r="CC650">
        <v>0</v>
      </c>
      <c r="CD650">
        <v>0</v>
      </c>
      <c r="CE650">
        <v>0</v>
      </c>
      <c r="CF650">
        <v>0</v>
      </c>
      <c r="CG650">
        <v>0</v>
      </c>
      <c r="CH650">
        <v>0</v>
      </c>
      <c r="CI650">
        <v>0</v>
      </c>
      <c r="CJ650">
        <v>0</v>
      </c>
      <c r="CK650">
        <v>0</v>
      </c>
      <c r="CL650">
        <v>0</v>
      </c>
      <c r="CM650">
        <v>1</v>
      </c>
      <c r="CN650" t="str">
        <f>IF($BL650&lt;$BK650,"refNeedCorrection","refOK")</f>
        <v>refOK</v>
      </c>
      <c r="CO650">
        <f>IF($CN650="refOK",$BK650,$BL650)</f>
        <v>0</v>
      </c>
      <c r="CP650">
        <f>IF($CN650="refOK",$BL650,$BK650)</f>
        <v>0.05</v>
      </c>
      <c r="CQ650">
        <f>IF($CN650="refOK",$BO650,-$BO650)</f>
        <v>50000</v>
      </c>
      <c r="CR650">
        <f>IF($CN650="refOK",$BS650,$BT650)*IF($BP650="Emissions positive",-1,1)</f>
        <v>-32092.528180728899</v>
      </c>
      <c r="CS650">
        <f>IF($CN650="refOK",$BT650,$BS650)*IF($BP650="Emissions positive",-1,1)</f>
        <v>-23743.471028233002</v>
      </c>
      <c r="CT650">
        <f>IF($CN650="refNeedCorrection",-BX650,BX650)*IF($BP650="Emissions positive",-1,1)</f>
        <v>8349.0571524958978</v>
      </c>
      <c r="CU650">
        <f>IFERROR(CT650/CQ650,"")</f>
        <v>0.16698114304991796</v>
      </c>
      <c r="CV650" s="2">
        <f>IFERROR((CS650-CR650)/ABS(CR650),"")</f>
        <v>0.26015579406764799</v>
      </c>
      <c r="CW650" s="1" t="s">
        <v>1201</v>
      </c>
      <c r="CX650" t="str">
        <f>IF(OR($CW650="prd",$CW650="std",$CW650="cit"),"loc",IF(OR($CW650="eur",$CW650="reg",$CW650="coy"),"reg",$CW650))</f>
        <v>reg</v>
      </c>
      <c r="CY650" t="s">
        <v>1303</v>
      </c>
      <c r="DB650">
        <v>0</v>
      </c>
      <c r="DC650" t="str">
        <f>IF(DB650=0,"0",IF(AND(DB650&gt;=1,DB650&lt;=30),"1-30",IF(AND(DB650&gt;30,DB650&lt;=70),"31-70",IF(AND(DB650&gt;70,DB650&lt;=100),"71-100",IF(DB650&gt;100,"+100")))))</f>
        <v>0</v>
      </c>
      <c r="DD650">
        <v>0</v>
      </c>
      <c r="DE650">
        <v>0</v>
      </c>
      <c r="DF650">
        <v>1</v>
      </c>
      <c r="DG650">
        <v>0</v>
      </c>
      <c r="DI650">
        <f>SUM(DD650:DG650)</f>
        <v>1</v>
      </c>
      <c r="DJ650" t="str">
        <f>IF(DI650=1,INDEX($DD$7:$DG$7,MATCH(1,$DD650:$DG650,0)),"mixedProduct")</f>
        <v>PulpPaperInput</v>
      </c>
      <c r="DK650">
        <f>IF(DD650=1,DK$7,0)</f>
        <v>0</v>
      </c>
      <c r="DL650">
        <f>IF(DE650=1,DL$7,0)</f>
        <v>0</v>
      </c>
      <c r="DM650" t="str">
        <f>IF(DF650=1,DM$7,0)</f>
        <v>Pulp/Paper</v>
      </c>
      <c r="DN650">
        <f>IF(DG650=1,DN$7,0)</f>
        <v>0</v>
      </c>
      <c r="DO650">
        <v>0</v>
      </c>
      <c r="DP650">
        <v>0</v>
      </c>
      <c r="DQ650">
        <v>0</v>
      </c>
      <c r="DR650">
        <v>0</v>
      </c>
      <c r="DS650">
        <v>0</v>
      </c>
      <c r="DT650">
        <f>SUM(DO650:DP650)</f>
        <v>0</v>
      </c>
      <c r="DU650" s="143" t="str">
        <f>IF(DO650=1,"self-calculated DF",IF(DP650=1,"external DF used","explicit C balance"))</f>
        <v>explicit C balance</v>
      </c>
      <c r="DV650">
        <v>0</v>
      </c>
      <c r="DW650">
        <v>0</v>
      </c>
      <c r="DX650">
        <v>0</v>
      </c>
      <c r="DY650">
        <v>0</v>
      </c>
      <c r="DZ650">
        <v>0</v>
      </c>
      <c r="EA650" s="143">
        <v>0</v>
      </c>
      <c r="EB650">
        <v>1</v>
      </c>
      <c r="EC650">
        <v>1</v>
      </c>
      <c r="ED650">
        <v>0</v>
      </c>
      <c r="EE650">
        <v>0</v>
      </c>
      <c r="EF650">
        <v>0</v>
      </c>
      <c r="EG650">
        <v>0</v>
      </c>
      <c r="EH650">
        <v>0</v>
      </c>
      <c r="EI650" s="2">
        <v>0</v>
      </c>
      <c r="EK650" t="str">
        <f>IF(AND(AND(AND(OR($DX650=1,$DW650=1),OR($EC650=1,$EA650=1)),SUM($DV650:$DZ650,$EF650)&gt;=4),SUM($EA650:$EE650)&gt;=2),"Whole sector","")</f>
        <v/>
      </c>
      <c r="EL650" t="str">
        <f>IF(AND(AND(OR($DX650=1,$DW650=1),AND($EC650=0,$EA650=0)),SUM($DV650:$DZ650,$EF650)&gt;=4),"Ecosystem approach","")</f>
        <v/>
      </c>
      <c r="EM650" s="2" t="str">
        <f>IF(AND(AND(AND($DX650=0,$DW650=0),OR($EC650=1,$EA650=1)),SUM($EB650:$EE650)&gt;=2),"Technology approach","")</f>
        <v>Technology approach</v>
      </c>
      <c r="EP650" t="str">
        <f>IF(ISNUMBER(BU650),IF(ABS(BU650-[2]QC_indicators!$B$2)&gt;3*[2]QC_indicators!$C$2,"C ratio",IF(ISNUMBER(BY650),IF(ABS(BY650-[2]QC_indicators!$B$1)&gt;3*[2]QC_indicators!$C$1,"DF","no"))),IF(ISNUMBER(BY650),IF(ABS(BY650-[2]QC_indicators!$B$1)&gt;3*[2]QC_indicators!$C$1,"DF","no")))</f>
        <v>no</v>
      </c>
      <c r="ET650" s="266" t="s">
        <v>3153</v>
      </c>
    </row>
    <row r="651" spans="1:150" ht="15" hidden="1" customHeight="1">
      <c r="A651" s="1" t="s">
        <v>588</v>
      </c>
      <c r="B651" t="s">
        <v>2362</v>
      </c>
      <c r="C651" t="s">
        <v>2363</v>
      </c>
      <c r="D651" t="s">
        <v>2364</v>
      </c>
      <c r="E651" t="s">
        <v>2365</v>
      </c>
      <c r="F651" t="s">
        <v>2366</v>
      </c>
      <c r="G651" t="s">
        <v>594</v>
      </c>
      <c r="H651" t="s">
        <v>255</v>
      </c>
      <c r="I651">
        <v>2016</v>
      </c>
      <c r="J651">
        <v>32</v>
      </c>
      <c r="K651" t="s">
        <v>2367</v>
      </c>
      <c r="M651" t="str">
        <f>LEFT($D651,FIND(",",$D651)-1)&amp;"_"&amp;I651&amp;L651</f>
        <v>Taskhiri_2016</v>
      </c>
      <c r="N651" t="s">
        <v>223</v>
      </c>
      <c r="O651" s="145" t="s">
        <v>1156</v>
      </c>
      <c r="Q651" t="s">
        <v>257</v>
      </c>
      <c r="R651" s="255" t="s">
        <v>224</v>
      </c>
      <c r="S651" s="1" t="s">
        <v>2368</v>
      </c>
      <c r="T651" t="s">
        <v>1310</v>
      </c>
      <c r="U651" s="266" t="s">
        <v>3100</v>
      </c>
      <c r="V651">
        <v>0</v>
      </c>
      <c r="W651">
        <v>0</v>
      </c>
      <c r="X651">
        <v>0</v>
      </c>
      <c r="Y651">
        <v>0</v>
      </c>
      <c r="Z651">
        <v>0</v>
      </c>
      <c r="AA651">
        <v>0</v>
      </c>
      <c r="AB651">
        <v>0</v>
      </c>
      <c r="AC651">
        <v>0</v>
      </c>
      <c r="AD651">
        <v>0</v>
      </c>
      <c r="AE651">
        <v>0</v>
      </c>
      <c r="AF651">
        <v>0</v>
      </c>
      <c r="AG651">
        <v>1</v>
      </c>
      <c r="AH651">
        <v>0</v>
      </c>
      <c r="AI651">
        <v>0</v>
      </c>
      <c r="AJ651">
        <v>0</v>
      </c>
      <c r="AK651">
        <v>0</v>
      </c>
      <c r="AL651">
        <v>0</v>
      </c>
      <c r="AM651">
        <v>0</v>
      </c>
      <c r="AN651">
        <v>0</v>
      </c>
      <c r="AO651">
        <v>0</v>
      </c>
      <c r="AP651">
        <v>0</v>
      </c>
      <c r="AQ651">
        <v>0</v>
      </c>
      <c r="AR651">
        <v>0</v>
      </c>
      <c r="AS651">
        <v>0</v>
      </c>
      <c r="AT651">
        <v>0</v>
      </c>
      <c r="AU651">
        <v>0</v>
      </c>
      <c r="AV651">
        <v>0</v>
      </c>
      <c r="AW651">
        <v>0</v>
      </c>
      <c r="AX651" s="141">
        <f>COUNTIF(V651:AW651,"&lt;&gt;0")</f>
        <v>1</v>
      </c>
      <c r="AY651" s="141">
        <f>COUNTIF(V651:AL651,"&lt;&gt;0")</f>
        <v>1</v>
      </c>
      <c r="AZ651">
        <f>COUNTIF(V651:AC651,"&lt;&gt;0")</f>
        <v>0</v>
      </c>
      <c r="BA651">
        <f>COUNTIF(AD651:AI651,"&lt;&gt;0")</f>
        <v>1</v>
      </c>
      <c r="BB651">
        <f>COUNTIF(AJ651:AL651,"&lt;&gt;0")</f>
        <v>0</v>
      </c>
      <c r="BC651">
        <f>COUNTIF(AS651:AW651,"&lt;&gt;0")</f>
        <v>0</v>
      </c>
      <c r="BD651">
        <f>COUNTIF(AM651:AR651,"&lt;&gt;0")</f>
        <v>0</v>
      </c>
      <c r="BE651" t="str">
        <f t="array" ref="BE651">IF(AY651=1,INDEX($V$7:$AL$7,MATCH(TRUE,INDEX($V651:$AW651&lt;&gt;0,),0)),IF(AY651=0,INDEX($AM$7:$AW$7,MATCH(1,$AM651:$AW651,0)),IF(BF651="Multiple strategies","mixed drivers",IF(BF651="Supply chain","multiple supply","multiple silviculture"))))</f>
        <v>recycling</v>
      </c>
      <c r="BF651" s="2" t="str" cm="1">
        <f t="array" ref="BF651">IF(COUNTIF(AZ651:BB651,"&lt;&gt;0")=1,INDEX($V$4:$AW$4,MATCH(TRUE,INDEX($V651:$AW651&lt;&gt;0,),0)),IF(COUNTIF(AZ651:BB651,"&lt;&gt;0")=0,INDEX($AM$4:$AW$4,MATCH(1,$AM651:$AW651,0)),"Multiple strategies"))</f>
        <v>Supply chain</v>
      </c>
      <c r="BG651" s="1" t="s">
        <v>230</v>
      </c>
      <c r="BH651" t="s">
        <v>2369</v>
      </c>
      <c r="BI651" s="266" t="s">
        <v>3101</v>
      </c>
      <c r="BJ651" t="s">
        <v>1325</v>
      </c>
      <c r="BK651">
        <v>0</v>
      </c>
      <c r="BL651">
        <v>0.05</v>
      </c>
      <c r="BM651" s="143" t="e">
        <f>BL651/BK651</f>
        <v>#DIV/0!</v>
      </c>
      <c r="BN651">
        <f>BL651-BK651</f>
        <v>0.05</v>
      </c>
      <c r="BO651">
        <f>BN651*10^6</f>
        <v>50000</v>
      </c>
      <c r="BP651" t="s">
        <v>233</v>
      </c>
      <c r="BQ651" s="269" t="s">
        <v>785</v>
      </c>
      <c r="BR651" t="s">
        <v>1197</v>
      </c>
      <c r="BS651" s="198">
        <v>-27686.567164179</v>
      </c>
      <c r="BT651" s="198">
        <v>-20298.507462686499</v>
      </c>
      <c r="BU651" s="144">
        <f>IFERROR(BT651/BS651,"")</f>
        <v>0.73315363881401652</v>
      </c>
      <c r="BV651" s="144">
        <f>BT651-BS651</f>
        <v>7388.0597014925006</v>
      </c>
      <c r="BW651" s="144"/>
      <c r="BX651" s="144">
        <f>BV651</f>
        <v>7388.0597014925006</v>
      </c>
      <c r="BY651">
        <f>IFERROR(BX651/BO651,"")</f>
        <v>0.14776119402985002</v>
      </c>
      <c r="BZ651">
        <v>0</v>
      </c>
      <c r="CA651">
        <v>0</v>
      </c>
      <c r="CB651">
        <v>0</v>
      </c>
      <c r="CC651">
        <v>0</v>
      </c>
      <c r="CD651">
        <v>0</v>
      </c>
      <c r="CE651">
        <v>0</v>
      </c>
      <c r="CF651">
        <v>0</v>
      </c>
      <c r="CG651">
        <v>0</v>
      </c>
      <c r="CH651">
        <v>0</v>
      </c>
      <c r="CI651">
        <v>0</v>
      </c>
      <c r="CJ651">
        <v>0</v>
      </c>
      <c r="CK651">
        <v>0</v>
      </c>
      <c r="CL651">
        <v>0</v>
      </c>
      <c r="CM651">
        <v>1</v>
      </c>
      <c r="CN651" t="str">
        <f>IF($BL651&lt;$BK651,"refNeedCorrection","refOK")</f>
        <v>refOK</v>
      </c>
      <c r="CO651">
        <f>IF($CN651="refOK",$BK651,$BL651)</f>
        <v>0</v>
      </c>
      <c r="CP651">
        <f>IF($CN651="refOK",$BL651,$BK651)</f>
        <v>0.05</v>
      </c>
      <c r="CQ651">
        <f>IF($CN651="refOK",$BO651,-$BO651)</f>
        <v>50000</v>
      </c>
      <c r="CR651">
        <f>IF($CN651="refOK",$BS651,$BT651)*IF($BP651="Emissions positive",-1,1)</f>
        <v>-27686.567164179</v>
      </c>
      <c r="CS651">
        <f>IF($CN651="refOK",$BT651,$BS651)*IF($BP651="Emissions positive",-1,1)</f>
        <v>-20298.507462686499</v>
      </c>
      <c r="CT651">
        <f>IF($CN651="refNeedCorrection",-BX651,BX651)*IF($BP651="Emissions positive",-1,1)</f>
        <v>7388.0597014925006</v>
      </c>
      <c r="CU651">
        <f>IFERROR(CT651/CQ651,"")</f>
        <v>0.14776119402985002</v>
      </c>
      <c r="CV651" s="2">
        <f>IFERROR((CS651-CR651)/ABS(CR651),"")</f>
        <v>0.26684636118598354</v>
      </c>
      <c r="CW651" s="1" t="s">
        <v>1201</v>
      </c>
      <c r="CX651" t="str">
        <f>IF(OR($CW651="prd",$CW651="std",$CW651="cit"),"loc",IF(OR($CW651="eur",$CW651="reg",$CW651="coy"),"reg",$CW651))</f>
        <v>reg</v>
      </c>
      <c r="CY651" t="s">
        <v>1303</v>
      </c>
      <c r="DB651">
        <v>0</v>
      </c>
      <c r="DC651" t="str">
        <f>IF(DB651=0,"0",IF(AND(DB651&gt;=1,DB651&lt;=30),"1-30",IF(AND(DB651&gt;30,DB651&lt;=70),"31-70",IF(AND(DB651&gt;70,DB651&lt;=100),"71-100",IF(DB651&gt;100,"+100")))))</f>
        <v>0</v>
      </c>
      <c r="DD651">
        <v>0</v>
      </c>
      <c r="DE651">
        <v>0</v>
      </c>
      <c r="DF651">
        <v>1</v>
      </c>
      <c r="DG651">
        <v>0</v>
      </c>
      <c r="DI651">
        <f>SUM(DD651:DG651)</f>
        <v>1</v>
      </c>
      <c r="DJ651" t="str">
        <f>IF(DI651=1,INDEX($DD$7:$DG$7,MATCH(1,$DD651:$DG651,0)),"mixedProduct")</f>
        <v>PulpPaperInput</v>
      </c>
      <c r="DK651">
        <f>IF(DD651=1,DK$7,0)</f>
        <v>0</v>
      </c>
      <c r="DL651">
        <f>IF(DE651=1,DL$7,0)</f>
        <v>0</v>
      </c>
      <c r="DM651" t="str">
        <f>IF(DF651=1,DM$7,0)</f>
        <v>Pulp/Paper</v>
      </c>
      <c r="DN651">
        <f>IF(DG651=1,DN$7,0)</f>
        <v>0</v>
      </c>
      <c r="DO651">
        <v>0</v>
      </c>
      <c r="DP651">
        <v>0</v>
      </c>
      <c r="DQ651">
        <v>0</v>
      </c>
      <c r="DR651">
        <v>0</v>
      </c>
      <c r="DS651">
        <v>0</v>
      </c>
      <c r="DT651">
        <f>SUM(DO651:DP651)</f>
        <v>0</v>
      </c>
      <c r="DU651" s="143" t="str">
        <f>IF(DO651=1,"self-calculated DF",IF(DP651=1,"external DF used","explicit C balance"))</f>
        <v>explicit C balance</v>
      </c>
      <c r="DV651">
        <v>0</v>
      </c>
      <c r="DW651">
        <v>0</v>
      </c>
      <c r="DX651">
        <v>0</v>
      </c>
      <c r="DY651">
        <v>0</v>
      </c>
      <c r="DZ651">
        <v>0</v>
      </c>
      <c r="EA651" s="143">
        <v>0</v>
      </c>
      <c r="EB651">
        <v>0</v>
      </c>
      <c r="EC651">
        <v>1</v>
      </c>
      <c r="ED651">
        <v>0</v>
      </c>
      <c r="EE651">
        <v>0</v>
      </c>
      <c r="EF651">
        <v>0</v>
      </c>
      <c r="EG651">
        <v>0</v>
      </c>
      <c r="EH651">
        <v>0</v>
      </c>
      <c r="EI651" s="2">
        <v>0</v>
      </c>
      <c r="EK651" t="str">
        <f>IF(AND(AND(AND(OR($DX651=1,$DW651=1),OR($EC651=1,$EA651=1)),SUM($DV651:$DZ651,$EF651)&gt;=4),SUM($EA651:$EE651)&gt;=2),"Whole sector","")</f>
        <v/>
      </c>
      <c r="EL651" t="str">
        <f>IF(AND(AND(OR($DX651=1,$DW651=1),AND($EC651=0,$EA651=0)),SUM($DV651:$DZ651,$EF651)&gt;=4),"Ecosystem approach","")</f>
        <v/>
      </c>
      <c r="EM651" s="2" t="str">
        <f>IF(AND(AND(AND($DX651=0,$DW651=0),OR($EC651=1,$EA651=1)),SUM($EB651:$EE651)&gt;=2),"Technology approach","")</f>
        <v/>
      </c>
      <c r="EP651" t="str">
        <f>IF(ISNUMBER(BU651),IF(ABS(BU651-[2]QC_indicators!$B$2)&gt;3*[2]QC_indicators!$C$2,"C ratio",IF(ISNUMBER(BY651),IF(ABS(BY651-[2]QC_indicators!$B$1)&gt;3*[2]QC_indicators!$C$1,"DF","no"))),IF(ISNUMBER(BY651),IF(ABS(BY651-[2]QC_indicators!$B$1)&gt;3*[2]QC_indicators!$C$1,"DF","no")))</f>
        <v>no</v>
      </c>
      <c r="ET651" s="266" t="s">
        <v>3102</v>
      </c>
    </row>
    <row r="652" spans="1:150" ht="15" hidden="1" customHeight="1">
      <c r="A652" s="1" t="s">
        <v>588</v>
      </c>
      <c r="B652" t="s">
        <v>2362</v>
      </c>
      <c r="C652" t="s">
        <v>2363</v>
      </c>
      <c r="D652" t="s">
        <v>2364</v>
      </c>
      <c r="E652" t="s">
        <v>2365</v>
      </c>
      <c r="F652" t="s">
        <v>2366</v>
      </c>
      <c r="G652" t="s">
        <v>594</v>
      </c>
      <c r="H652" t="s">
        <v>255</v>
      </c>
      <c r="I652">
        <v>2016</v>
      </c>
      <c r="J652">
        <v>32</v>
      </c>
      <c r="K652" t="s">
        <v>2367</v>
      </c>
      <c r="M652" t="str">
        <f>LEFT($D652,FIND(",",$D652)-1)&amp;"_"&amp;I652&amp;L652</f>
        <v>Taskhiri_2016</v>
      </c>
      <c r="N652" t="s">
        <v>223</v>
      </c>
      <c r="O652" s="145" t="s">
        <v>1156</v>
      </c>
      <c r="Q652" t="s">
        <v>257</v>
      </c>
      <c r="R652" s="255" t="s">
        <v>224</v>
      </c>
      <c r="S652" s="1" t="s">
        <v>2368</v>
      </c>
      <c r="T652" t="s">
        <v>1310</v>
      </c>
      <c r="U652" s="266" t="s">
        <v>3104</v>
      </c>
      <c r="V652">
        <v>0</v>
      </c>
      <c r="W652">
        <v>0</v>
      </c>
      <c r="X652">
        <v>0</v>
      </c>
      <c r="Y652">
        <v>0</v>
      </c>
      <c r="Z652">
        <v>0</v>
      </c>
      <c r="AA652">
        <v>0</v>
      </c>
      <c r="AB652">
        <v>0</v>
      </c>
      <c r="AC652">
        <v>0</v>
      </c>
      <c r="AD652">
        <v>0</v>
      </c>
      <c r="AE652">
        <v>0</v>
      </c>
      <c r="AF652">
        <v>0</v>
      </c>
      <c r="AG652">
        <v>1</v>
      </c>
      <c r="AH652">
        <v>0</v>
      </c>
      <c r="AI652">
        <v>0</v>
      </c>
      <c r="AJ652">
        <v>0</v>
      </c>
      <c r="AK652">
        <v>0</v>
      </c>
      <c r="AL652">
        <v>0</v>
      </c>
      <c r="AM652">
        <v>0</v>
      </c>
      <c r="AN652">
        <v>0</v>
      </c>
      <c r="AO652">
        <v>0</v>
      </c>
      <c r="AP652">
        <v>0</v>
      </c>
      <c r="AQ652">
        <v>0</v>
      </c>
      <c r="AR652">
        <v>0</v>
      </c>
      <c r="AS652">
        <v>0</v>
      </c>
      <c r="AT652">
        <v>0</v>
      </c>
      <c r="AU652">
        <v>0</v>
      </c>
      <c r="AV652">
        <v>0</v>
      </c>
      <c r="AW652">
        <v>0</v>
      </c>
      <c r="AX652" s="141">
        <f>COUNTIF(V652:AW652,"&lt;&gt;0")</f>
        <v>1</v>
      </c>
      <c r="AY652" s="141">
        <f>COUNTIF(V652:AL652,"&lt;&gt;0")</f>
        <v>1</v>
      </c>
      <c r="AZ652">
        <f>COUNTIF(V652:AC652,"&lt;&gt;0")</f>
        <v>0</v>
      </c>
      <c r="BA652">
        <f>COUNTIF(AD652:AI652,"&lt;&gt;0")</f>
        <v>1</v>
      </c>
      <c r="BB652">
        <f>COUNTIF(AJ652:AL652,"&lt;&gt;0")</f>
        <v>0</v>
      </c>
      <c r="BC652">
        <f>COUNTIF(AS652:AW652,"&lt;&gt;0")</f>
        <v>0</v>
      </c>
      <c r="BD652">
        <f>COUNTIF(AM652:AR652,"&lt;&gt;0")</f>
        <v>0</v>
      </c>
      <c r="BE652" t="str">
        <f t="array" ref="BE652">IF(AY652=1,INDEX($V$7:$AL$7,MATCH(TRUE,INDEX($V652:$AW652&lt;&gt;0,),0)),IF(AY652=0,INDEX($AM$7:$AW$7,MATCH(1,$AM652:$AW652,0)),IF(BF652="Multiple strategies","mixed drivers",IF(BF652="Supply chain","multiple supply","multiple silviculture"))))</f>
        <v>recycling</v>
      </c>
      <c r="BF652" s="2" t="str" cm="1">
        <f t="array" ref="BF652">IF(COUNTIF(AZ652:BB652,"&lt;&gt;0")=1,INDEX($V$4:$AW$4,MATCH(TRUE,INDEX($V652:$AW652&lt;&gt;0,),0)),IF(COUNTIF(AZ652:BB652,"&lt;&gt;0")=0,INDEX($AM$4:$AW$4,MATCH(1,$AM652:$AW652,0)),"Multiple strategies"))</f>
        <v>Supply chain</v>
      </c>
      <c r="BG652" s="1" t="s">
        <v>230</v>
      </c>
      <c r="BH652" t="s">
        <v>2369</v>
      </c>
      <c r="BI652" s="266" t="s">
        <v>3101</v>
      </c>
      <c r="BJ652" t="s">
        <v>1325</v>
      </c>
      <c r="BK652">
        <v>0</v>
      </c>
      <c r="BL652">
        <v>5.0000000000000001E-3</v>
      </c>
      <c r="BM652" s="143" t="e">
        <f>BL652/BK652</f>
        <v>#DIV/0!</v>
      </c>
      <c r="BN652">
        <f>BL652-BK652</f>
        <v>5.0000000000000001E-3</v>
      </c>
      <c r="BO652">
        <f>BN652*10^6</f>
        <v>5000</v>
      </c>
      <c r="BP652" t="s">
        <v>233</v>
      </c>
      <c r="BQ652" s="269" t="s">
        <v>785</v>
      </c>
      <c r="BR652" t="s">
        <v>1197</v>
      </c>
      <c r="BS652" s="198">
        <v>-27686.567164179</v>
      </c>
      <c r="BT652" s="198">
        <v>-25746.268656716398</v>
      </c>
      <c r="BU652" s="144">
        <f>IFERROR(BT652/BS652,"")</f>
        <v>0.92991913746631005</v>
      </c>
      <c r="BV652" s="144">
        <f>BT652-BS652</f>
        <v>1940.2985074626013</v>
      </c>
      <c r="BW652" s="144"/>
      <c r="BX652" s="144">
        <f>BV652</f>
        <v>1940.2985074626013</v>
      </c>
      <c r="BY652">
        <f>IFERROR(BX652/BO652,"")</f>
        <v>0.38805970149252023</v>
      </c>
      <c r="BZ652">
        <v>0</v>
      </c>
      <c r="CA652">
        <v>0</v>
      </c>
      <c r="CB652">
        <v>0</v>
      </c>
      <c r="CC652">
        <v>0</v>
      </c>
      <c r="CD652">
        <v>0</v>
      </c>
      <c r="CE652">
        <v>0</v>
      </c>
      <c r="CF652">
        <v>0</v>
      </c>
      <c r="CG652">
        <v>0</v>
      </c>
      <c r="CH652">
        <v>0</v>
      </c>
      <c r="CI652">
        <v>0</v>
      </c>
      <c r="CJ652">
        <v>0</v>
      </c>
      <c r="CK652">
        <v>0</v>
      </c>
      <c r="CL652">
        <v>0</v>
      </c>
      <c r="CM652">
        <v>1</v>
      </c>
      <c r="CN652" t="str">
        <f>IF($BL652&lt;$BK652,"refNeedCorrection","refOK")</f>
        <v>refOK</v>
      </c>
      <c r="CO652">
        <f>IF($CN652="refOK",$BK652,$BL652)</f>
        <v>0</v>
      </c>
      <c r="CP652">
        <f>IF($CN652="refOK",$BL652,$BK652)</f>
        <v>5.0000000000000001E-3</v>
      </c>
      <c r="CQ652">
        <f>IF($CN652="refOK",$BO652,-$BO652)</f>
        <v>5000</v>
      </c>
      <c r="CR652">
        <f>IF($CN652="refOK",$BS652,$BT652)*IF($BP652="Emissions positive",-1,1)</f>
        <v>-27686.567164179</v>
      </c>
      <c r="CS652">
        <f>IF($CN652="refOK",$BT652,$BS652)*IF($BP652="Emissions positive",-1,1)</f>
        <v>-25746.268656716398</v>
      </c>
      <c r="CT652">
        <f>IF($CN652="refNeedCorrection",-BX652,BX652)*IF($BP652="Emissions positive",-1,1)</f>
        <v>1940.2985074626013</v>
      </c>
      <c r="CU652">
        <f>IFERROR(CT652/CQ652,"")</f>
        <v>0.38805970149252023</v>
      </c>
      <c r="CV652" s="2">
        <f>IFERROR((CS652-CR652)/ABS(CR652),"")</f>
        <v>7.0080862533689905E-2</v>
      </c>
      <c r="CW652" s="1" t="s">
        <v>1201</v>
      </c>
      <c r="CX652" t="str">
        <f>IF(OR($CW652="prd",$CW652="std",$CW652="cit"),"loc",IF(OR($CW652="eur",$CW652="reg",$CW652="coy"),"reg",$CW652))</f>
        <v>reg</v>
      </c>
      <c r="CY652" t="s">
        <v>1303</v>
      </c>
      <c r="DB652">
        <v>0</v>
      </c>
      <c r="DC652" t="str">
        <f>IF(DB652=0,"0",IF(AND(DB652&gt;=1,DB652&lt;=30),"1-30",IF(AND(DB652&gt;30,DB652&lt;=70),"31-70",IF(AND(DB652&gt;70,DB652&lt;=100),"71-100",IF(DB652&gt;100,"+100")))))</f>
        <v>0</v>
      </c>
      <c r="DD652">
        <v>0</v>
      </c>
      <c r="DE652">
        <v>0</v>
      </c>
      <c r="DF652">
        <v>1</v>
      </c>
      <c r="DG652">
        <v>0</v>
      </c>
      <c r="DI652">
        <f>SUM(DD652:DG652)</f>
        <v>1</v>
      </c>
      <c r="DJ652" t="str">
        <f>IF(DI652=1,INDEX($DD$7:$DG$7,MATCH(1,$DD652:$DG652,0)),"mixedProduct")</f>
        <v>PulpPaperInput</v>
      </c>
      <c r="DK652">
        <f>IF(DD652=1,DK$7,0)</f>
        <v>0</v>
      </c>
      <c r="DL652">
        <f>IF(DE652=1,DL$7,0)</f>
        <v>0</v>
      </c>
      <c r="DM652" t="str">
        <f>IF(DF652=1,DM$7,0)</f>
        <v>Pulp/Paper</v>
      </c>
      <c r="DN652">
        <f>IF(DG652=1,DN$7,0)</f>
        <v>0</v>
      </c>
      <c r="DO652">
        <v>0</v>
      </c>
      <c r="DP652">
        <v>0</v>
      </c>
      <c r="DQ652">
        <v>0</v>
      </c>
      <c r="DR652">
        <v>0</v>
      </c>
      <c r="DS652">
        <v>0</v>
      </c>
      <c r="DT652">
        <f>SUM(DO652:DP652)</f>
        <v>0</v>
      </c>
      <c r="DU652" s="143" t="str">
        <f>IF(DO652=1,"self-calculated DF",IF(DP652=1,"external DF used","explicit C balance"))</f>
        <v>explicit C balance</v>
      </c>
      <c r="DV652">
        <v>0</v>
      </c>
      <c r="DW652">
        <v>0</v>
      </c>
      <c r="DX652">
        <v>0</v>
      </c>
      <c r="DY652">
        <v>0</v>
      </c>
      <c r="DZ652">
        <v>0</v>
      </c>
      <c r="EA652" s="143">
        <v>0</v>
      </c>
      <c r="EB652">
        <v>0</v>
      </c>
      <c r="EC652">
        <v>1</v>
      </c>
      <c r="ED652">
        <v>0</v>
      </c>
      <c r="EE652">
        <v>0</v>
      </c>
      <c r="EF652">
        <v>0</v>
      </c>
      <c r="EG652">
        <v>0</v>
      </c>
      <c r="EH652">
        <v>0</v>
      </c>
      <c r="EI652" s="2">
        <v>0</v>
      </c>
      <c r="EK652" t="str">
        <f>IF(AND(AND(AND(OR($DX652=1,$DW652=1),OR($EC652=1,$EA652=1)),SUM($DV652:$DZ652,$EF652)&gt;=4),SUM($EA652:$EE652)&gt;=2),"Whole sector","")</f>
        <v/>
      </c>
      <c r="EL652" t="str">
        <f>IF(AND(AND(OR($DX652=1,$DW652=1),AND($EC652=0,$EA652=0)),SUM($DV652:$DZ652,$EF652)&gt;=4),"Ecosystem approach","")</f>
        <v/>
      </c>
      <c r="EM652" s="2" t="str">
        <f>IF(AND(AND(AND($DX652=0,$DW652=0),OR($EC652=1,$EA652=1)),SUM($EB652:$EE652)&gt;=2),"Technology approach","")</f>
        <v/>
      </c>
      <c r="EP652" t="str">
        <f>IF(ISNUMBER(BU652),IF(ABS(BU652-[2]QC_indicators!$B$2)&gt;3*[2]QC_indicators!$C$2,"C ratio",IF(ISNUMBER(BY652),IF(ABS(BY652-[2]QC_indicators!$B$1)&gt;3*[2]QC_indicators!$C$1,"DF","no"))),IF(ISNUMBER(BY652),IF(ABS(BY652-[2]QC_indicators!$B$1)&gt;3*[2]QC_indicators!$C$1,"DF","no")))</f>
        <v>no</v>
      </c>
      <c r="ET652" s="266" t="s">
        <v>3105</v>
      </c>
    </row>
    <row r="653" spans="1:150" ht="15" hidden="1" customHeight="1">
      <c r="A653" s="1" t="s">
        <v>266</v>
      </c>
      <c r="B653" t="s">
        <v>1533</v>
      </c>
      <c r="C653" t="s">
        <v>1534</v>
      </c>
      <c r="D653" t="s">
        <v>1535</v>
      </c>
      <c r="E653" t="s">
        <v>1536</v>
      </c>
      <c r="F653" t="s">
        <v>1537</v>
      </c>
      <c r="G653" t="s">
        <v>272</v>
      </c>
      <c r="H653" t="s">
        <v>255</v>
      </c>
      <c r="I653">
        <v>2019</v>
      </c>
      <c r="J653">
        <v>26</v>
      </c>
      <c r="K653" t="s">
        <v>1538</v>
      </c>
      <c r="M653" t="str">
        <f>LEFT($D653,FIND(",",$D653)-1)&amp;"_"&amp;I653&amp;L653</f>
        <v>Faraca_2019</v>
      </c>
      <c r="N653" t="s">
        <v>223</v>
      </c>
      <c r="O653" s="145" t="s">
        <v>275</v>
      </c>
      <c r="P653" s="180" t="s">
        <v>224</v>
      </c>
      <c r="Q653" t="s">
        <v>257</v>
      </c>
      <c r="R653" s="264" t="s">
        <v>224</v>
      </c>
      <c r="S653" s="265" t="s">
        <v>3138</v>
      </c>
      <c r="T653" t="s">
        <v>1540</v>
      </c>
      <c r="U653" t="s">
        <v>1551</v>
      </c>
      <c r="V653">
        <v>0</v>
      </c>
      <c r="W653">
        <v>0</v>
      </c>
      <c r="X653">
        <v>0</v>
      </c>
      <c r="Y653">
        <v>0</v>
      </c>
      <c r="Z653">
        <v>0</v>
      </c>
      <c r="AA653">
        <v>0</v>
      </c>
      <c r="AB653">
        <v>0</v>
      </c>
      <c r="AC653">
        <v>0</v>
      </c>
      <c r="AD653">
        <v>0</v>
      </c>
      <c r="AE653">
        <v>0</v>
      </c>
      <c r="AF653">
        <v>0</v>
      </c>
      <c r="AG653">
        <v>1</v>
      </c>
      <c r="AH653">
        <v>0</v>
      </c>
      <c r="AI653">
        <v>0</v>
      </c>
      <c r="AJ653">
        <v>0</v>
      </c>
      <c r="AK653">
        <v>0</v>
      </c>
      <c r="AL653">
        <v>0</v>
      </c>
      <c r="AM653">
        <v>0</v>
      </c>
      <c r="AN653">
        <v>0</v>
      </c>
      <c r="AO653">
        <v>0</v>
      </c>
      <c r="AP653">
        <v>0</v>
      </c>
      <c r="AQ653">
        <v>0</v>
      </c>
      <c r="AR653">
        <v>0</v>
      </c>
      <c r="AS653">
        <v>0</v>
      </c>
      <c r="AT653">
        <v>0</v>
      </c>
      <c r="AU653">
        <v>0</v>
      </c>
      <c r="AV653">
        <v>0</v>
      </c>
      <c r="AW653">
        <v>0</v>
      </c>
      <c r="AX653" s="141">
        <f>COUNTIF(V653:AW653,"&lt;&gt;0")</f>
        <v>1</v>
      </c>
      <c r="AY653" s="141">
        <f>COUNTIF(V653:AL653,"&lt;&gt;0")</f>
        <v>1</v>
      </c>
      <c r="AZ653">
        <f>COUNTIF(V653:AC653,"&lt;&gt;0")</f>
        <v>0</v>
      </c>
      <c r="BA653">
        <f>COUNTIF(AD653:AI653,"&lt;&gt;0")</f>
        <v>1</v>
      </c>
      <c r="BB653">
        <f>COUNTIF(AJ653:AL653,"&lt;&gt;0")</f>
        <v>0</v>
      </c>
      <c r="BC653">
        <f>COUNTIF(AS653:AW653,"&lt;&gt;0")</f>
        <v>0</v>
      </c>
      <c r="BD653">
        <f>COUNTIF(AM653:AR653,"&lt;&gt;0")</f>
        <v>0</v>
      </c>
      <c r="BE653" t="str">
        <f t="array" ref="BE653">IF(AY653=1,INDEX($V$7:$AL$7,MATCH(TRUE,INDEX($V653:$AW653&lt;&gt;0,),0)),IF(AY653=0,INDEX($AM$7:$AW$7,MATCH(1,$AM653:$AW653,0)),IF(BF653="Multiple strategies","mixed drivers",IF(BF653="Supply chain","multiple supply","multiple silviculture"))))</f>
        <v>recycling</v>
      </c>
      <c r="BF653" s="2" t="str" cm="1">
        <f t="array" ref="BF653">IF(COUNTIF(AZ653:BB653,"&lt;&gt;0")=1,INDEX($V$4:$AW$4,MATCH(TRUE,INDEX($V653:$AW653&lt;&gt;0,),0)),IF(COUNTIF(AZ653:BB653,"&lt;&gt;0")=0,INDEX($AM$4:$AW$4,MATCH(1,$AM653:$AW653,0)),"Multiple strategies"))</f>
        <v>Supply chain</v>
      </c>
      <c r="BG653" s="1" t="s">
        <v>230</v>
      </c>
      <c r="BH653" t="s">
        <v>1550</v>
      </c>
      <c r="BI653" s="266" t="s">
        <v>3123</v>
      </c>
      <c r="BJ653" t="s">
        <v>346</v>
      </c>
      <c r="BK653">
        <v>922</v>
      </c>
      <c r="BL653">
        <f>922+519+281+121</f>
        <v>1843</v>
      </c>
      <c r="BM653">
        <v>1.9989154013015185</v>
      </c>
      <c r="BN653">
        <f>BL653-BK653</f>
        <v>921</v>
      </c>
      <c r="BO653">
        <f>BN653*kg_to_m3</f>
        <v>1.879591836734694</v>
      </c>
      <c r="BP653" s="266" t="s">
        <v>396</v>
      </c>
      <c r="BQ653" t="s">
        <v>427</v>
      </c>
      <c r="BR653" t="s">
        <v>730</v>
      </c>
      <c r="BS653">
        <v>-16.899999999999999</v>
      </c>
      <c r="BT653">
        <v>81.400000000000006</v>
      </c>
      <c r="BU653" s="144"/>
      <c r="BV653">
        <f>BT653-BS653</f>
        <v>98.300000000000011</v>
      </c>
      <c r="BX653">
        <f>BV653/1000</f>
        <v>9.8300000000000012E-2</v>
      </c>
      <c r="BY653">
        <f>IFERROR(BX653/BO653,"")</f>
        <v>5.2298588490770903E-2</v>
      </c>
      <c r="BZ653">
        <v>0</v>
      </c>
      <c r="CA653">
        <v>0</v>
      </c>
      <c r="CB653">
        <v>0</v>
      </c>
      <c r="CC653">
        <v>0</v>
      </c>
      <c r="CD653">
        <v>0</v>
      </c>
      <c r="CE653">
        <v>0</v>
      </c>
      <c r="CF653">
        <v>0</v>
      </c>
      <c r="CG653">
        <v>0</v>
      </c>
      <c r="CH653">
        <v>0</v>
      </c>
      <c r="CI653">
        <v>0</v>
      </c>
      <c r="CJ653">
        <v>0</v>
      </c>
      <c r="CK653">
        <v>0</v>
      </c>
      <c r="CL653">
        <v>0</v>
      </c>
      <c r="CM653">
        <v>0</v>
      </c>
      <c r="CN653" t="str">
        <f>IF($BL653&lt;$BK653,"refNeedCorrection","refOK")</f>
        <v>refOK</v>
      </c>
      <c r="CO653">
        <f>IF($CN653="refNeedCorrection",BL653,BK653)</f>
        <v>922</v>
      </c>
      <c r="CP653">
        <f>IF($CN653="refNeedCorrection",BK653,BL653)</f>
        <v>1843</v>
      </c>
      <c r="CQ653">
        <f>IF($CN653="refOK",$BO653,-$BO653)</f>
        <v>1.879591836734694</v>
      </c>
      <c r="CR653">
        <f>IF($CN653="refOK",$BS653,$BT653)*IF($BP653="Emissions positive",-1,1)</f>
        <v>16.899999999999999</v>
      </c>
      <c r="CS653">
        <f>IF($CN653="refOK",$BS653,#REF!)*IF($BP653="Emissions positive",-1,1)</f>
        <v>16.899999999999999</v>
      </c>
      <c r="CT653">
        <f>IF($CN653="refNeedCorrection",-BX653,BX653)*IF($BP653="Emissions positive",-1,1)</f>
        <v>-9.8300000000000012E-2</v>
      </c>
      <c r="CU653">
        <f>IFERROR(CT653/CQ653,"")</f>
        <v>-5.2298588490770903E-2</v>
      </c>
      <c r="CV653" s="2">
        <f>IFERROR((CS653-CR653)/ABS(CR653),"")</f>
        <v>0</v>
      </c>
      <c r="CW653" s="1" t="s">
        <v>1201</v>
      </c>
      <c r="CX653" t="str">
        <f>IF(OR($CW653="prd",$CW653="std",$CW653="cit"),"loc",IF(OR($CW653="eur",$CW653="reg",$CW653="coy"),"reg",$CW653))</f>
        <v>reg</v>
      </c>
      <c r="CY653" t="s">
        <v>1542</v>
      </c>
      <c r="DB653">
        <v>500</v>
      </c>
      <c r="DC653" t="str">
        <f>IF(DB653=0,"0",IF(AND(DB653&gt;=1,DB653&lt;=30),"1-30",IF(AND(DB653&gt;30,DB653&lt;=70),"31-70",IF(AND(DB653&gt;70,DB653&lt;=100),"71-100",IF(DB653&gt;100,"+100")))))</f>
        <v>+100</v>
      </c>
      <c r="DD653">
        <v>0</v>
      </c>
      <c r="DE653">
        <v>0</v>
      </c>
      <c r="DF653">
        <v>0</v>
      </c>
      <c r="DG653">
        <v>1</v>
      </c>
      <c r="DI653">
        <f>SUM(DD653:DG653)</f>
        <v>1</v>
      </c>
      <c r="DJ653" t="str">
        <f>IF(DI653=1,INDEX($DD$7:$DG$7,MATCH(1,$DD653:$DG653,0)),"mixedProduct")</f>
        <v>TimberInput</v>
      </c>
      <c r="DK653">
        <f>IF(DD653=1,DK$7,0)</f>
        <v>0</v>
      </c>
      <c r="DL653">
        <f>IF(DE653=1,DL$7,0)</f>
        <v>0</v>
      </c>
      <c r="DM653">
        <f>IF(DF653=1,DM$7,0)</f>
        <v>0</v>
      </c>
      <c r="DN653" t="str">
        <f>IF(DG653=1,DN$7,0)</f>
        <v>Timber</v>
      </c>
      <c r="DO653">
        <v>0</v>
      </c>
      <c r="DP653">
        <v>0</v>
      </c>
      <c r="DQ653">
        <v>0</v>
      </c>
      <c r="DR653">
        <v>0</v>
      </c>
      <c r="DS653">
        <v>0</v>
      </c>
      <c r="DT653">
        <f>SUM(DO653:DP653)</f>
        <v>0</v>
      </c>
      <c r="DU653" s="143" t="str">
        <f>IF(DO653=1,"self-calculated DF",IF(DP653=1,"external DF used","explicit C balance"))</f>
        <v>explicit C balance</v>
      </c>
      <c r="DV653">
        <v>0</v>
      </c>
      <c r="DW653">
        <v>0</v>
      </c>
      <c r="DX653">
        <v>0</v>
      </c>
      <c r="DY653">
        <v>0</v>
      </c>
      <c r="DZ653">
        <v>1</v>
      </c>
      <c r="EA653" s="143">
        <v>1</v>
      </c>
      <c r="EB653">
        <v>0</v>
      </c>
      <c r="EC653">
        <v>1</v>
      </c>
      <c r="ED653">
        <v>0</v>
      </c>
      <c r="EE653">
        <v>1</v>
      </c>
      <c r="EF653">
        <v>1</v>
      </c>
      <c r="EG653">
        <v>1</v>
      </c>
      <c r="EH653">
        <v>0</v>
      </c>
      <c r="EI653" s="2">
        <v>0</v>
      </c>
      <c r="EK653" t="str">
        <f>IF(AND(AND(AND(OR($DX653=1,$DW653=1),OR($EC653=1,$EA653=1)),SUM($DV653:$DZ653,$EF653)&gt;=4),SUM($EA653:$EE653)&gt;=2),"Whole sector","")</f>
        <v/>
      </c>
      <c r="EL653" t="str">
        <f>IF(AND(AND(OR($DX653=1,$DW653=1),AND($EC653=0,$EA653=0)),SUM($DV653:$DZ653,$EF653)&gt;=4),"Ecosystem approach","")</f>
        <v/>
      </c>
      <c r="EM653" s="2" t="str">
        <f>IF(AND(AND(AND($DX653=0,$DW653=0),OR($EC653=1,$EA653=1)),SUM($EB653:$EE653)&gt;=2),"Technology approach","")</f>
        <v>Technology approach</v>
      </c>
      <c r="EP653" t="str">
        <f>IF(ISNUMBER(BU653),IF(ABS(BU653-[2]QC_indicators!$B$2)&gt;3*[2]QC_indicators!$C$2,"C ratio",IF(ISNUMBER(BY653),IF(ABS(BY653-[2]QC_indicators!$B$1)&gt;3*[2]QC_indicators!$C$1,"DF","no"))),IF(ISNUMBER(BY653),IF(ABS(BY653-[2]QC_indicators!$B$1)&gt;3*[2]QC_indicators!$C$1,"DF","no")))</f>
        <v>no</v>
      </c>
      <c r="ET653" s="266" t="s">
        <v>3275</v>
      </c>
    </row>
    <row r="654" spans="1:150" ht="15" hidden="1" customHeight="1">
      <c r="A654" s="1" t="s">
        <v>266</v>
      </c>
      <c r="B654" t="s">
        <v>1533</v>
      </c>
      <c r="C654" t="s">
        <v>1534</v>
      </c>
      <c r="D654" t="s">
        <v>1535</v>
      </c>
      <c r="E654" t="s">
        <v>1536</v>
      </c>
      <c r="F654" t="s">
        <v>1537</v>
      </c>
      <c r="G654" t="s">
        <v>272</v>
      </c>
      <c r="H654" t="s">
        <v>255</v>
      </c>
      <c r="I654">
        <v>2019</v>
      </c>
      <c r="J654">
        <v>26</v>
      </c>
      <c r="K654" t="s">
        <v>1538</v>
      </c>
      <c r="M654" t="str">
        <f>LEFT($D654,FIND(",",$D654)-1)&amp;"_"&amp;I654&amp;L654</f>
        <v>Faraca_2019</v>
      </c>
      <c r="N654" t="s">
        <v>223</v>
      </c>
      <c r="O654" s="145" t="s">
        <v>275</v>
      </c>
      <c r="P654" s="180" t="s">
        <v>224</v>
      </c>
      <c r="Q654" t="s">
        <v>257</v>
      </c>
      <c r="R654" s="264" t="s">
        <v>224</v>
      </c>
      <c r="S654" s="1" t="s">
        <v>1548</v>
      </c>
      <c r="T654" t="s">
        <v>1540</v>
      </c>
      <c r="U654" t="s">
        <v>1551</v>
      </c>
      <c r="V654">
        <v>0</v>
      </c>
      <c r="W654">
        <v>0</v>
      </c>
      <c r="X654">
        <v>0</v>
      </c>
      <c r="Y654">
        <v>0</v>
      </c>
      <c r="Z654">
        <v>0</v>
      </c>
      <c r="AA654">
        <v>0</v>
      </c>
      <c r="AB654">
        <v>0</v>
      </c>
      <c r="AC654">
        <v>0</v>
      </c>
      <c r="AD654">
        <v>0</v>
      </c>
      <c r="AE654">
        <v>0</v>
      </c>
      <c r="AF654">
        <v>0</v>
      </c>
      <c r="AG654">
        <v>1</v>
      </c>
      <c r="AH654">
        <v>0</v>
      </c>
      <c r="AI654">
        <v>0</v>
      </c>
      <c r="AJ654">
        <v>0</v>
      </c>
      <c r="AK654">
        <v>0</v>
      </c>
      <c r="AL654">
        <v>0</v>
      </c>
      <c r="AM654">
        <v>0</v>
      </c>
      <c r="AN654">
        <v>0</v>
      </c>
      <c r="AO654">
        <v>0</v>
      </c>
      <c r="AP654">
        <v>0</v>
      </c>
      <c r="AQ654">
        <v>0</v>
      </c>
      <c r="AR654">
        <v>0</v>
      </c>
      <c r="AS654">
        <v>0</v>
      </c>
      <c r="AT654">
        <v>0</v>
      </c>
      <c r="AU654">
        <v>0</v>
      </c>
      <c r="AV654">
        <v>0</v>
      </c>
      <c r="AW654">
        <v>0</v>
      </c>
      <c r="AX654" s="141">
        <f>COUNTIF(V654:AW654,"&lt;&gt;0")</f>
        <v>1</v>
      </c>
      <c r="AY654" s="141">
        <f>COUNTIF(V654:AL654,"&lt;&gt;0")</f>
        <v>1</v>
      </c>
      <c r="AZ654">
        <f>COUNTIF(V654:AC654,"&lt;&gt;0")</f>
        <v>0</v>
      </c>
      <c r="BA654">
        <f>COUNTIF(AD654:AI654,"&lt;&gt;0")</f>
        <v>1</v>
      </c>
      <c r="BB654">
        <f>COUNTIF(AJ654:AL654,"&lt;&gt;0")</f>
        <v>0</v>
      </c>
      <c r="BC654">
        <f>COUNTIF(AS654:AW654,"&lt;&gt;0")</f>
        <v>0</v>
      </c>
      <c r="BD654">
        <f>COUNTIF(AM654:AR654,"&lt;&gt;0")</f>
        <v>0</v>
      </c>
      <c r="BE654" t="str">
        <f t="array" ref="BE654">IF(AY654=1,INDEX($V$7:$AL$7,MATCH(TRUE,INDEX($V654:$AW654&lt;&gt;0,),0)),IF(AY654=0,INDEX($AM$7:$AW$7,MATCH(1,$AM654:$AW654,0)),IF(BF654="Multiple strategies","mixed drivers",IF(BF654="Supply chain","multiple supply","multiple silviculture"))))</f>
        <v>recycling</v>
      </c>
      <c r="BF654" s="2" t="str" cm="1">
        <f t="array" ref="BF654">IF(COUNTIF(AZ654:BB654,"&lt;&gt;0")=1,INDEX($V$4:$AW$4,MATCH(TRUE,INDEX($V654:$AW654&lt;&gt;0,),0)),IF(COUNTIF(AZ654:BB654,"&lt;&gt;0")=0,INDEX($AM$4:$AW$4,MATCH(1,$AM654:$AW654,0)),"Multiple strategies"))</f>
        <v>Supply chain</v>
      </c>
      <c r="BG654" s="1" t="s">
        <v>230</v>
      </c>
      <c r="BH654" t="s">
        <v>1550</v>
      </c>
      <c r="BJ654" t="s">
        <v>346</v>
      </c>
      <c r="BK654">
        <v>922</v>
      </c>
      <c r="BL654">
        <f>922+519+281+121</f>
        <v>1843</v>
      </c>
      <c r="BM654">
        <v>1.9989154013015185</v>
      </c>
      <c r="BN654">
        <f>BL654-BK654</f>
        <v>921</v>
      </c>
      <c r="BO654">
        <f>BN654*kg_to_m3</f>
        <v>1.879591836734694</v>
      </c>
      <c r="BP654" s="266" t="s">
        <v>396</v>
      </c>
      <c r="BR654" t="s">
        <v>730</v>
      </c>
      <c r="BS654">
        <v>-462.1</v>
      </c>
      <c r="BT654">
        <v>-675.9</v>
      </c>
      <c r="BU654" s="144">
        <v>-0.52307692307692311</v>
      </c>
      <c r="BV654">
        <f>BT654-BS654</f>
        <v>-213.79999999999995</v>
      </c>
      <c r="BX654">
        <f>BV654/1000</f>
        <v>-0.21379999999999996</v>
      </c>
      <c r="BY654">
        <f>IFERROR(BX654/BO654,"")</f>
        <v>-0.11374809989142234</v>
      </c>
      <c r="BZ654">
        <v>0</v>
      </c>
      <c r="CA654">
        <v>0</v>
      </c>
      <c r="CB654">
        <v>0</v>
      </c>
      <c r="CC654">
        <v>0</v>
      </c>
      <c r="CD654">
        <v>0</v>
      </c>
      <c r="CE654">
        <v>0</v>
      </c>
      <c r="CF654">
        <v>0</v>
      </c>
      <c r="CG654">
        <v>0</v>
      </c>
      <c r="CH654">
        <v>0</v>
      </c>
      <c r="CI654">
        <v>0</v>
      </c>
      <c r="CJ654">
        <v>0</v>
      </c>
      <c r="CK654">
        <v>0</v>
      </c>
      <c r="CL654">
        <v>0</v>
      </c>
      <c r="CM654">
        <v>0</v>
      </c>
      <c r="CN654" t="str">
        <f>IF($BL654&lt;$BK654,"refNeedCorrection","refOK")</f>
        <v>refOK</v>
      </c>
      <c r="CO654">
        <f>IF($CN654="refNeedCorrection",BL654,BK654)</f>
        <v>922</v>
      </c>
      <c r="CP654">
        <f>IF($CN654="refNeedCorrection",BK654,BL654)</f>
        <v>1843</v>
      </c>
      <c r="CQ654">
        <f>IF($CN654="refOK",$BO654,-$BO654)</f>
        <v>1.879591836734694</v>
      </c>
      <c r="CR654">
        <f>IF($CN654="refOK",$BS654,$BT654)*IF($BP654="Emissions positive",-1,1)</f>
        <v>462.1</v>
      </c>
      <c r="CS654">
        <f>IF($CN654="refOK",$BT654,$BS654)*IF($BP654="Emissions positive",-1,1)</f>
        <v>675.9</v>
      </c>
      <c r="CT654">
        <f>IF($CN654="refNeedCorrection",-BX654,BX654)*IF($BP654="Emissions positive",-1,1)</f>
        <v>0.21379999999999996</v>
      </c>
      <c r="CU654">
        <f>IFERROR(CT654/CQ654,"")</f>
        <v>0.11374809989142234</v>
      </c>
      <c r="CV654" s="2">
        <f>IFERROR((CS654-CR654)/ABS(CR654),"")</f>
        <v>0.46267041765851535</v>
      </c>
      <c r="CW654" s="1" t="s">
        <v>1201</v>
      </c>
      <c r="CX654" t="str">
        <f>IF(OR($CW654="prd",$CW654="std",$CW654="cit"),"loc",IF(OR($CW654="eur",$CW654="reg",$CW654="coy"),"reg",$CW654))</f>
        <v>reg</v>
      </c>
      <c r="CY654" t="s">
        <v>1542</v>
      </c>
      <c r="DB654">
        <v>500</v>
      </c>
      <c r="DC654" t="str">
        <f>IF(DB654=0,"0",IF(AND(DB654&gt;=1,DB654&lt;=30),"1-30",IF(AND(DB654&gt;30,DB654&lt;=70),"31-70",IF(AND(DB654&gt;70,DB654&lt;=100),"71-100",IF(DB654&gt;100,"+100")))))</f>
        <v>+100</v>
      </c>
      <c r="DD654">
        <v>0</v>
      </c>
      <c r="DE654">
        <v>0</v>
      </c>
      <c r="DF654">
        <v>0</v>
      </c>
      <c r="DG654">
        <v>1</v>
      </c>
      <c r="DI654">
        <f>SUM(DD654:DG654)</f>
        <v>1</v>
      </c>
      <c r="DJ654" t="str">
        <f>IF(DI654=1,INDEX($DD$7:$DG$7,MATCH(1,$DD654:$DG654,0)),"mixedProduct")</f>
        <v>TimberInput</v>
      </c>
      <c r="DK654">
        <f>IF(DD654=1,DK$7,0)</f>
        <v>0</v>
      </c>
      <c r="DL654">
        <f>IF(DE654=1,DL$7,0)</f>
        <v>0</v>
      </c>
      <c r="DM654">
        <f>IF(DF654=1,DM$7,0)</f>
        <v>0</v>
      </c>
      <c r="DN654" t="str">
        <f>IF(DG654=1,DN$7,0)</f>
        <v>Timber</v>
      </c>
      <c r="DO654">
        <v>0</v>
      </c>
      <c r="DP654">
        <v>1</v>
      </c>
      <c r="DQ654">
        <v>0</v>
      </c>
      <c r="DR654">
        <v>0</v>
      </c>
      <c r="DS654" t="s">
        <v>1543</v>
      </c>
      <c r="DT654">
        <f>SUM(DO654:DP654)</f>
        <v>1</v>
      </c>
      <c r="DU654" s="143" t="str">
        <f>IF(DO654=1,"self-calculated DF",IF(DP654=1,"external DF used","explicit C balance"))</f>
        <v>external DF used</v>
      </c>
      <c r="DV654">
        <v>0</v>
      </c>
      <c r="DW654">
        <v>0</v>
      </c>
      <c r="DX654">
        <v>0</v>
      </c>
      <c r="DY654">
        <v>0</v>
      </c>
      <c r="DZ654">
        <v>1</v>
      </c>
      <c r="EA654" s="143">
        <v>1</v>
      </c>
      <c r="EB654">
        <v>0</v>
      </c>
      <c r="EC654">
        <v>1</v>
      </c>
      <c r="ED654">
        <v>0</v>
      </c>
      <c r="EE654">
        <v>1</v>
      </c>
      <c r="EF654">
        <v>1</v>
      </c>
      <c r="EG654">
        <v>1</v>
      </c>
      <c r="EH654">
        <v>1</v>
      </c>
      <c r="EI654" s="2">
        <v>0</v>
      </c>
      <c r="EK654" t="str">
        <f>IF(AND(AND(AND(OR($DX654=1,$DW654=1),OR($EC654=1,$EA654=1)),SUM($DV654:$DZ654,$EF654)&gt;=4),SUM($EA654:$EE654)&gt;=2),"Whole sector","")</f>
        <v/>
      </c>
      <c r="EL654" t="str">
        <f>IF(AND(AND(OR($DX654=1,$DW654=1),AND($EC654=0,$EA654=0)),SUM($DV654:$DZ654,$EF654)&gt;=4),"Ecosystem approach","")</f>
        <v/>
      </c>
      <c r="EM654" s="2" t="str">
        <f>IF(AND(AND(AND($DX654=0,$DW654=0),OR($EC654=1,$EA654=1)),SUM($EB654:$EE654)&gt;=2),"Technology approach","")</f>
        <v>Technology approach</v>
      </c>
      <c r="EP654" t="str">
        <f>IF(ISNUMBER(BU654),IF(ABS(BU654-[2]QC_indicators!$B$2)&gt;3*[2]QC_indicators!$C$2,"C ratio",IF(ISNUMBER(BY654),IF(ABS(BY654-[2]QC_indicators!$B$1)&gt;3*[2]QC_indicators!$C$1,"DF","no"))),IF(ISNUMBER(BY654),IF(ABS(BY654-[2]QC_indicators!$B$1)&gt;3*[2]QC_indicators!$C$1,"DF","no")))</f>
        <v>no</v>
      </c>
      <c r="ET654" s="266" t="s">
        <v>3275</v>
      </c>
    </row>
    <row r="655" spans="1:150" ht="15" hidden="1" customHeight="1">
      <c r="A655" s="1" t="s">
        <v>266</v>
      </c>
      <c r="B655" t="s">
        <v>1533</v>
      </c>
      <c r="C655" t="s">
        <v>1534</v>
      </c>
      <c r="D655" t="s">
        <v>1535</v>
      </c>
      <c r="E655" t="s">
        <v>1536</v>
      </c>
      <c r="F655" t="s">
        <v>1537</v>
      </c>
      <c r="G655" t="s">
        <v>272</v>
      </c>
      <c r="H655" t="s">
        <v>255</v>
      </c>
      <c r="I655">
        <v>2019</v>
      </c>
      <c r="J655">
        <v>26</v>
      </c>
      <c r="K655" t="s">
        <v>1538</v>
      </c>
      <c r="M655" t="str">
        <f>LEFT($D655,FIND(",",$D655)-1)&amp;"_"&amp;I655&amp;L655</f>
        <v>Faraca_2019</v>
      </c>
      <c r="N655" t="s">
        <v>223</v>
      </c>
      <c r="O655" s="145" t="s">
        <v>275</v>
      </c>
      <c r="P655" s="180" t="s">
        <v>224</v>
      </c>
      <c r="Q655" t="s">
        <v>257</v>
      </c>
      <c r="R655" s="264" t="s">
        <v>224</v>
      </c>
      <c r="S655" s="265" t="s">
        <v>3138</v>
      </c>
      <c r="T655" t="s">
        <v>971</v>
      </c>
      <c r="U655" t="s">
        <v>1549</v>
      </c>
      <c r="V655">
        <v>0</v>
      </c>
      <c r="W655">
        <v>0</v>
      </c>
      <c r="X655">
        <v>0</v>
      </c>
      <c r="Y655">
        <v>0</v>
      </c>
      <c r="Z655">
        <v>0</v>
      </c>
      <c r="AA655">
        <v>0</v>
      </c>
      <c r="AB655">
        <v>0</v>
      </c>
      <c r="AC655">
        <v>0</v>
      </c>
      <c r="AD655">
        <v>0</v>
      </c>
      <c r="AE655">
        <v>0</v>
      </c>
      <c r="AF655">
        <v>0</v>
      </c>
      <c r="AG655">
        <v>1</v>
      </c>
      <c r="AH655">
        <v>0</v>
      </c>
      <c r="AI655">
        <v>0</v>
      </c>
      <c r="AJ655">
        <v>0</v>
      </c>
      <c r="AK655">
        <v>0</v>
      </c>
      <c r="AL655">
        <v>0</v>
      </c>
      <c r="AM655">
        <v>0</v>
      </c>
      <c r="AN655">
        <v>0</v>
      </c>
      <c r="AO655">
        <v>0</v>
      </c>
      <c r="AP655">
        <v>0</v>
      </c>
      <c r="AQ655">
        <v>0</v>
      </c>
      <c r="AR655">
        <v>0</v>
      </c>
      <c r="AS655">
        <v>0</v>
      </c>
      <c r="AT655">
        <v>0</v>
      </c>
      <c r="AU655">
        <v>0</v>
      </c>
      <c r="AV655">
        <v>0</v>
      </c>
      <c r="AW655">
        <v>0</v>
      </c>
      <c r="AX655" s="141">
        <f>COUNTIF(V655:AW655,"&lt;&gt;0")</f>
        <v>1</v>
      </c>
      <c r="AY655" s="141">
        <f>COUNTIF(V655:AL655,"&lt;&gt;0")</f>
        <v>1</v>
      </c>
      <c r="AZ655">
        <f>COUNTIF(V655:AC655,"&lt;&gt;0")</f>
        <v>0</v>
      </c>
      <c r="BA655">
        <f>COUNTIF(AD655:AI655,"&lt;&gt;0")</f>
        <v>1</v>
      </c>
      <c r="BB655">
        <f>COUNTIF(AJ655:AL655,"&lt;&gt;0")</f>
        <v>0</v>
      </c>
      <c r="BC655">
        <f>COUNTIF(AS655:AW655,"&lt;&gt;0")</f>
        <v>0</v>
      </c>
      <c r="BD655">
        <f>COUNTIF(AM655:AR655,"&lt;&gt;0")</f>
        <v>0</v>
      </c>
      <c r="BE655" t="str">
        <f t="array" ref="BE655">IF(AY655=1,INDEX($V$7:$AL$7,MATCH(TRUE,INDEX($V655:$AW655&lt;&gt;0,),0)),IF(AY655=0,INDEX($AM$7:$AW$7,MATCH(1,$AM655:$AW655,0)),IF(BF655="Multiple strategies","mixed drivers",IF(BF655="Supply chain","multiple supply","multiple silviculture"))))</f>
        <v>recycling</v>
      </c>
      <c r="BF655" s="2" t="str" cm="1">
        <f t="array" ref="BF655">IF(COUNTIF(AZ655:BB655,"&lt;&gt;0")=1,INDEX($V$4:$AW$4,MATCH(TRUE,INDEX($V655:$AW655&lt;&gt;0,),0)),IF(COUNTIF(AZ655:BB655,"&lt;&gt;0")=0,INDEX($AM$4:$AW$4,MATCH(1,$AM655:$AW655,0)),"Multiple strategies"))</f>
        <v>Supply chain</v>
      </c>
      <c r="BG655" s="1" t="s">
        <v>230</v>
      </c>
      <c r="BH655" t="s">
        <v>1550</v>
      </c>
      <c r="BI655" t="s">
        <v>1541</v>
      </c>
      <c r="BJ655" t="s">
        <v>346</v>
      </c>
      <c r="BK655">
        <v>636</v>
      </c>
      <c r="BL655">
        <f>638+378+212+115</f>
        <v>1343</v>
      </c>
      <c r="BM655">
        <v>2.108490566037736</v>
      </c>
      <c r="BN655">
        <f>BL655-BK655</f>
        <v>707</v>
      </c>
      <c r="BO655">
        <f>BN655*kg_to_m3</f>
        <v>1.4428571428571431</v>
      </c>
      <c r="BP655" s="266" t="s">
        <v>396</v>
      </c>
      <c r="BQ655" t="s">
        <v>427</v>
      </c>
      <c r="BR655" t="s">
        <v>730</v>
      </c>
      <c r="BS655">
        <v>-84.7</v>
      </c>
      <c r="BT655">
        <v>10.199999999999999</v>
      </c>
      <c r="BU655" s="144"/>
      <c r="BV655">
        <f>BT655-BS655</f>
        <v>94.9</v>
      </c>
      <c r="BX655">
        <f>BV655/1000</f>
        <v>9.4900000000000012E-2</v>
      </c>
      <c r="BY655">
        <f>IFERROR(BX655/BO655,"")</f>
        <v>6.5772277227722775E-2</v>
      </c>
      <c r="BZ655">
        <v>0</v>
      </c>
      <c r="CA655">
        <v>0</v>
      </c>
      <c r="CB655">
        <v>0</v>
      </c>
      <c r="CC655">
        <v>0</v>
      </c>
      <c r="CD655">
        <v>0</v>
      </c>
      <c r="CE655">
        <v>0</v>
      </c>
      <c r="CF655">
        <v>0</v>
      </c>
      <c r="CG655">
        <v>0</v>
      </c>
      <c r="CH655">
        <v>0</v>
      </c>
      <c r="CI655">
        <v>0</v>
      </c>
      <c r="CJ655">
        <v>0</v>
      </c>
      <c r="CK655">
        <v>0</v>
      </c>
      <c r="CL655">
        <v>0</v>
      </c>
      <c r="CM655">
        <v>0</v>
      </c>
      <c r="CN655" t="str">
        <f>IF($BL655&lt;$BK655,"refNeedCorrection","refOK")</f>
        <v>refOK</v>
      </c>
      <c r="CO655">
        <f>IF($CN655="refNeedCorrection",BL655,BK655)</f>
        <v>636</v>
      </c>
      <c r="CP655">
        <f>IF($CN655="refNeedCorrection",BK655,BL655)</f>
        <v>1343</v>
      </c>
      <c r="CQ655">
        <f>IF($CN655="refOK",$BO655,-$BO655)</f>
        <v>1.4428571428571431</v>
      </c>
      <c r="CR655">
        <f>IF($CN655="refOK",$BS655,$BT655)*IF($BP655="Emissions positive",-1,1)</f>
        <v>84.7</v>
      </c>
      <c r="CS655">
        <f>IF($CN655="refOK",$BT655,$BS655)*IF($BP655="Emissions positive",-1,1)</f>
        <v>-10.199999999999999</v>
      </c>
      <c r="CT655">
        <f>IF($CN655="refNeedCorrection",-BX655,BX655)*IF($BP655="Emissions positive",-1,1)</f>
        <v>-9.4900000000000012E-2</v>
      </c>
      <c r="CU655">
        <f>IFERROR(CT655/CQ655,"")</f>
        <v>-6.5772277227722775E-2</v>
      </c>
      <c r="CV655" s="2">
        <f>IFERROR((CS655-CR655)/ABS(CR655),"")</f>
        <v>-1.1204250295159386</v>
      </c>
      <c r="CW655" s="1" t="s">
        <v>1201</v>
      </c>
      <c r="CX655" t="str">
        <f>IF(OR($CW655="prd",$CW655="std",$CW655="cit"),"loc",IF(OR($CW655="eur",$CW655="reg",$CW655="coy"),"reg",$CW655))</f>
        <v>reg</v>
      </c>
      <c r="CY655" t="s">
        <v>1542</v>
      </c>
      <c r="DB655">
        <v>500</v>
      </c>
      <c r="DC655" t="str">
        <f>IF(DB655=0,"0",IF(AND(DB655&gt;=1,DB655&lt;=30),"1-30",IF(AND(DB655&gt;30,DB655&lt;=70),"31-70",IF(AND(DB655&gt;70,DB655&lt;=100),"71-100",IF(DB655&gt;100,"+100")))))</f>
        <v>+100</v>
      </c>
      <c r="DD655">
        <v>0</v>
      </c>
      <c r="DE655">
        <v>0</v>
      </c>
      <c r="DF655">
        <v>0</v>
      </c>
      <c r="DG655">
        <v>1</v>
      </c>
      <c r="DI655">
        <f>SUM(DD655:DG655)</f>
        <v>1</v>
      </c>
      <c r="DJ655" t="str">
        <f>IF(DI655=1,INDEX($DD$7:$DG$7,MATCH(1,$DD655:$DG655,0)),"mixedProduct")</f>
        <v>TimberInput</v>
      </c>
      <c r="DK655">
        <f>IF(DD655=1,DK$7,0)</f>
        <v>0</v>
      </c>
      <c r="DL655">
        <f>IF(DE655=1,DL$7,0)</f>
        <v>0</v>
      </c>
      <c r="DM655">
        <f>IF(DF655=1,DM$7,0)</f>
        <v>0</v>
      </c>
      <c r="DN655" t="str">
        <f>IF(DG655=1,DN$7,0)</f>
        <v>Timber</v>
      </c>
      <c r="DO655">
        <v>0</v>
      </c>
      <c r="DP655">
        <v>0</v>
      </c>
      <c r="DQ655">
        <v>0</v>
      </c>
      <c r="DR655">
        <v>0</v>
      </c>
      <c r="DS655">
        <v>0</v>
      </c>
      <c r="DT655">
        <f>SUM(DO655:DP655)</f>
        <v>0</v>
      </c>
      <c r="DU655" s="143" t="str">
        <f>IF(DO655=1,"self-calculated DF",IF(DP655=1,"external DF used","explicit C balance"))</f>
        <v>explicit C balance</v>
      </c>
      <c r="DV655">
        <v>0</v>
      </c>
      <c r="DW655">
        <v>0</v>
      </c>
      <c r="DX655">
        <v>0</v>
      </c>
      <c r="DY655">
        <v>0</v>
      </c>
      <c r="DZ655">
        <v>1</v>
      </c>
      <c r="EA655" s="143">
        <v>1</v>
      </c>
      <c r="EB655">
        <v>0</v>
      </c>
      <c r="EC655">
        <v>1</v>
      </c>
      <c r="ED655">
        <v>0</v>
      </c>
      <c r="EE655">
        <v>1</v>
      </c>
      <c r="EF655">
        <v>1</v>
      </c>
      <c r="EG655">
        <v>1</v>
      </c>
      <c r="EH655">
        <v>0</v>
      </c>
      <c r="EI655" s="2">
        <v>0</v>
      </c>
      <c r="EK655" t="str">
        <f>IF(AND(AND(AND(OR($DX655=1,$DW655=1),OR($EC655=1,$EA655=1)),SUM($DV655:$DZ655,$EF655)&gt;=4),SUM($EA655:$EE655)&gt;=2),"Whole sector","")</f>
        <v/>
      </c>
      <c r="EL655" t="str">
        <f>IF(AND(AND(OR($DX655=1,$DW655=1),AND($EC655=0,$EA655=0)),SUM($DV655:$DZ655,$EF655)&gt;=4),"Ecosystem approach","")</f>
        <v/>
      </c>
      <c r="EM655" s="2" t="str">
        <f>IF(AND(AND(AND($DX655=0,$DW655=0),OR($EC655=1,$EA655=1)),SUM($EB655:$EE655)&gt;=2),"Technology approach","")</f>
        <v>Technology approach</v>
      </c>
      <c r="EP655" t="str">
        <f>IF(ISNUMBER(BU655),IF(ABS(BU655-[2]QC_indicators!$B$2)&gt;3*[2]QC_indicators!$C$2,"C ratio",IF(ISNUMBER(BY655),IF(ABS(BY655-[2]QC_indicators!$B$1)&gt;3*[2]QC_indicators!$C$1,"DF","no"))),IF(ISNUMBER(BY655),IF(ABS(BY655-[2]QC_indicators!$B$1)&gt;3*[2]QC_indicators!$C$1,"DF","no")))</f>
        <v>no</v>
      </c>
      <c r="ET655" s="266" t="s">
        <v>3275</v>
      </c>
    </row>
    <row r="656" spans="1:150" ht="15" hidden="1" customHeight="1">
      <c r="A656" s="1" t="s">
        <v>266</v>
      </c>
      <c r="B656" t="s">
        <v>1533</v>
      </c>
      <c r="C656" t="s">
        <v>1534</v>
      </c>
      <c r="D656" t="s">
        <v>1535</v>
      </c>
      <c r="E656" t="s">
        <v>1536</v>
      </c>
      <c r="F656" t="s">
        <v>1537</v>
      </c>
      <c r="G656" t="s">
        <v>272</v>
      </c>
      <c r="H656" t="s">
        <v>255</v>
      </c>
      <c r="I656">
        <v>2019</v>
      </c>
      <c r="J656">
        <v>26</v>
      </c>
      <c r="K656" t="s">
        <v>1538</v>
      </c>
      <c r="M656" t="str">
        <f>LEFT($D656,FIND(",",$D656)-1)&amp;"_"&amp;I656&amp;L656</f>
        <v>Faraca_2019</v>
      </c>
      <c r="N656" t="s">
        <v>223</v>
      </c>
      <c r="O656" s="145" t="s">
        <v>275</v>
      </c>
      <c r="P656" s="180" t="s">
        <v>224</v>
      </c>
      <c r="Q656" t="s">
        <v>257</v>
      </c>
      <c r="R656" s="264" t="s">
        <v>224</v>
      </c>
      <c r="S656" s="265" t="s">
        <v>3138</v>
      </c>
      <c r="T656" t="s">
        <v>1552</v>
      </c>
      <c r="U656" t="s">
        <v>1553</v>
      </c>
      <c r="V656">
        <v>0</v>
      </c>
      <c r="W656">
        <v>0</v>
      </c>
      <c r="X656">
        <v>0</v>
      </c>
      <c r="Y656">
        <v>0</v>
      </c>
      <c r="Z656">
        <v>0</v>
      </c>
      <c r="AA656">
        <v>0</v>
      </c>
      <c r="AB656">
        <v>0</v>
      </c>
      <c r="AC656">
        <v>0</v>
      </c>
      <c r="AD656">
        <v>0</v>
      </c>
      <c r="AE656">
        <v>0</v>
      </c>
      <c r="AF656">
        <v>0</v>
      </c>
      <c r="AG656">
        <v>1</v>
      </c>
      <c r="AH656">
        <v>0</v>
      </c>
      <c r="AI656">
        <v>0</v>
      </c>
      <c r="AJ656">
        <v>0</v>
      </c>
      <c r="AK656">
        <v>0</v>
      </c>
      <c r="AL656">
        <v>0</v>
      </c>
      <c r="AM656">
        <v>0</v>
      </c>
      <c r="AN656">
        <v>0</v>
      </c>
      <c r="AO656">
        <v>0</v>
      </c>
      <c r="AP656">
        <v>0</v>
      </c>
      <c r="AQ656">
        <v>0</v>
      </c>
      <c r="AR656">
        <v>0</v>
      </c>
      <c r="AS656">
        <v>0</v>
      </c>
      <c r="AT656">
        <v>0</v>
      </c>
      <c r="AU656">
        <v>0</v>
      </c>
      <c r="AV656">
        <v>0</v>
      </c>
      <c r="AW656">
        <v>0</v>
      </c>
      <c r="AX656" s="141">
        <f>COUNTIF(V656:AW656,"&lt;&gt;0")</f>
        <v>1</v>
      </c>
      <c r="AY656" s="141">
        <f>COUNTIF(V656:AL656,"&lt;&gt;0")</f>
        <v>1</v>
      </c>
      <c r="AZ656">
        <f>COUNTIF(V656:AC656,"&lt;&gt;0")</f>
        <v>0</v>
      </c>
      <c r="BA656">
        <f>COUNTIF(AD656:AI656,"&lt;&gt;0")</f>
        <v>1</v>
      </c>
      <c r="BB656">
        <f>COUNTIF(AJ656:AL656,"&lt;&gt;0")</f>
        <v>0</v>
      </c>
      <c r="BC656">
        <f>COUNTIF(AS656:AW656,"&lt;&gt;0")</f>
        <v>0</v>
      </c>
      <c r="BD656">
        <f>COUNTIF(AM656:AR656,"&lt;&gt;0")</f>
        <v>0</v>
      </c>
      <c r="BE656" t="str">
        <f t="array" ref="BE656">IF(AY656=1,INDEX($V$7:$AL$7,MATCH(TRUE,INDEX($V656:$AW656&lt;&gt;0,),0)),IF(AY656=0,INDEX($AM$7:$AW$7,MATCH(1,$AM656:$AW656,0)),IF(BF656="Multiple strategies","mixed drivers",IF(BF656="Supply chain","multiple supply","multiple silviculture"))))</f>
        <v>recycling</v>
      </c>
      <c r="BF656" s="2" t="str" cm="1">
        <f t="array" ref="BF656">IF(COUNTIF(AZ656:BB656,"&lt;&gt;0")=1,INDEX($V$4:$AW$4,MATCH(TRUE,INDEX($V656:$AW656&lt;&gt;0,),0)),IF(COUNTIF(AZ656:BB656,"&lt;&gt;0")=0,INDEX($AM$4:$AW$4,MATCH(1,$AM656:$AW656,0)),"Multiple strategies"))</f>
        <v>Supply chain</v>
      </c>
      <c r="BG656" s="1" t="s">
        <v>230</v>
      </c>
      <c r="BH656" t="s">
        <v>1550</v>
      </c>
      <c r="BI656" s="266" t="s">
        <v>3123</v>
      </c>
      <c r="BJ656" t="s">
        <v>346</v>
      </c>
      <c r="BK656">
        <v>478</v>
      </c>
      <c r="BL656">
        <f>478+409+223+122</f>
        <v>1232</v>
      </c>
      <c r="BM656">
        <v>2.5774058577405858</v>
      </c>
      <c r="BN656">
        <f>BL656-BK656</f>
        <v>754</v>
      </c>
      <c r="BO656">
        <f>BN656*kg_to_m3</f>
        <v>1.5387755102040819</v>
      </c>
      <c r="BP656" s="266" t="s">
        <v>396</v>
      </c>
      <c r="BQ656" t="s">
        <v>427</v>
      </c>
      <c r="BR656" t="s">
        <v>730</v>
      </c>
      <c r="BS656">
        <v>-172.9</v>
      </c>
      <c r="BT656">
        <v>-132.19999999999999</v>
      </c>
      <c r="BU656" s="144"/>
      <c r="BV656">
        <f>BT656-BS656</f>
        <v>40.700000000000017</v>
      </c>
      <c r="BX656">
        <f>BV656/1000</f>
        <v>4.0700000000000014E-2</v>
      </c>
      <c r="BY656">
        <f>IFERROR(BX656/BO656,"")</f>
        <v>2.6449602122015921E-2</v>
      </c>
      <c r="BZ656">
        <v>0</v>
      </c>
      <c r="CA656">
        <v>0</v>
      </c>
      <c r="CB656">
        <v>0</v>
      </c>
      <c r="CC656">
        <v>0</v>
      </c>
      <c r="CD656">
        <v>0</v>
      </c>
      <c r="CE656">
        <v>0</v>
      </c>
      <c r="CF656">
        <v>0</v>
      </c>
      <c r="CG656">
        <v>0</v>
      </c>
      <c r="CH656">
        <v>0</v>
      </c>
      <c r="CI656">
        <v>0</v>
      </c>
      <c r="CJ656">
        <v>0</v>
      </c>
      <c r="CK656">
        <v>0</v>
      </c>
      <c r="CL656">
        <v>0</v>
      </c>
      <c r="CM656">
        <v>0</v>
      </c>
      <c r="CN656" t="str">
        <f>IF($BL656&lt;$BK656,"refNeedCorrection","refOK")</f>
        <v>refOK</v>
      </c>
      <c r="CO656">
        <f>IF($CN656="refNeedCorrection",BL656,BK656)</f>
        <v>478</v>
      </c>
      <c r="CP656">
        <f>IF($CN656="refNeedCorrection",BK656,BL656)</f>
        <v>1232</v>
      </c>
      <c r="CQ656">
        <f>IF($CN656="refOK",$BO656,-$BO656)</f>
        <v>1.5387755102040819</v>
      </c>
      <c r="CR656">
        <f>IF($CN656="refOK",$BS656,$BT656)*IF($BP656="Emissions positive",-1,1)</f>
        <v>172.9</v>
      </c>
      <c r="CS656">
        <f>IF($CN656="refOK",$BT656,$BS656)*IF($BP656="Emissions positive",-1,1)</f>
        <v>132.19999999999999</v>
      </c>
      <c r="CT656">
        <f>IF($CN656="refNeedCorrection",-BX656,BX656)*IF($BP656="Emissions positive",-1,1)</f>
        <v>-4.0700000000000014E-2</v>
      </c>
      <c r="CU656">
        <f>IFERROR(CT656/CQ656,"")</f>
        <v>-2.6449602122015921E-2</v>
      </c>
      <c r="CV656" s="2">
        <f>IFERROR((CS656-CR656)/ABS(CR656),"")</f>
        <v>-0.23539618276460392</v>
      </c>
      <c r="CW656" s="1" t="s">
        <v>1201</v>
      </c>
      <c r="CX656" t="str">
        <f>IF(OR($CW656="prd",$CW656="std",$CW656="cit"),"loc",IF(OR($CW656="eur",$CW656="reg",$CW656="coy"),"reg",$CW656))</f>
        <v>reg</v>
      </c>
      <c r="CY656" t="s">
        <v>1542</v>
      </c>
      <c r="DB656">
        <v>500</v>
      </c>
      <c r="DC656" t="str">
        <f>IF(DB656=0,"0",IF(AND(DB656&gt;=1,DB656&lt;=30),"1-30",IF(AND(DB656&gt;30,DB656&lt;=70),"31-70",IF(AND(DB656&gt;70,DB656&lt;=100),"71-100",IF(DB656&gt;100,"+100")))))</f>
        <v>+100</v>
      </c>
      <c r="DD656">
        <v>0</v>
      </c>
      <c r="DE656">
        <v>0</v>
      </c>
      <c r="DF656">
        <v>0</v>
      </c>
      <c r="DG656">
        <v>1</v>
      </c>
      <c r="DI656">
        <f>SUM(DD656:DG656)</f>
        <v>1</v>
      </c>
      <c r="DJ656" t="str">
        <f>IF(DI656=1,INDEX($DD$7:$DG$7,MATCH(1,$DD656:$DG656,0)),"mixedProduct")</f>
        <v>TimberInput</v>
      </c>
      <c r="DK656">
        <f>IF(DD656=1,DK$7,0)</f>
        <v>0</v>
      </c>
      <c r="DL656">
        <f>IF(DE656=1,DL$7,0)</f>
        <v>0</v>
      </c>
      <c r="DM656">
        <f>IF(DF656=1,DM$7,0)</f>
        <v>0</v>
      </c>
      <c r="DN656" t="str">
        <f>IF(DG656=1,DN$7,0)</f>
        <v>Timber</v>
      </c>
      <c r="DO656">
        <v>0</v>
      </c>
      <c r="DP656">
        <v>0</v>
      </c>
      <c r="DQ656">
        <v>0</v>
      </c>
      <c r="DR656">
        <v>0</v>
      </c>
      <c r="DS656">
        <v>0</v>
      </c>
      <c r="DT656">
        <f>SUM(DO656:DP656)</f>
        <v>0</v>
      </c>
      <c r="DU656" s="143" t="str">
        <f>IF(DO656=1,"self-calculated DF",IF(DP656=1,"external DF used","explicit C balance"))</f>
        <v>explicit C balance</v>
      </c>
      <c r="DV656">
        <v>0</v>
      </c>
      <c r="DW656">
        <v>0</v>
      </c>
      <c r="DX656">
        <v>0</v>
      </c>
      <c r="DY656">
        <v>0</v>
      </c>
      <c r="DZ656">
        <v>1</v>
      </c>
      <c r="EA656" s="143">
        <v>1</v>
      </c>
      <c r="EB656">
        <v>0</v>
      </c>
      <c r="EC656">
        <v>1</v>
      </c>
      <c r="ED656">
        <v>0</v>
      </c>
      <c r="EE656">
        <v>1</v>
      </c>
      <c r="EF656">
        <v>1</v>
      </c>
      <c r="EG656">
        <v>1</v>
      </c>
      <c r="EH656">
        <v>0</v>
      </c>
      <c r="EI656" s="2">
        <v>0</v>
      </c>
      <c r="EK656" t="str">
        <f>IF(AND(AND(AND(OR($DX656=1,$DW656=1),OR($EC656=1,$EA656=1)),SUM($DV656:$DZ656,$EF656)&gt;=4),SUM($EA656:$EE656)&gt;=2),"Whole sector","")</f>
        <v/>
      </c>
      <c r="EL656" t="str">
        <f>IF(AND(AND(OR($DX656=1,$DW656=1),AND($EC656=0,$EA656=0)),SUM($DV656:$DZ656,$EF656)&gt;=4),"Ecosystem approach","")</f>
        <v/>
      </c>
      <c r="EM656" s="2" t="str">
        <f>IF(AND(AND(AND($DX656=0,$DW656=0),OR($EC656=1,$EA656=1)),SUM($EB656:$EE656)&gt;=2),"Technology approach","")</f>
        <v>Technology approach</v>
      </c>
      <c r="EP656" t="str">
        <f>IF(ISNUMBER(BU656),IF(ABS(BU656-[2]QC_indicators!$B$2)&gt;3*[2]QC_indicators!$C$2,"C ratio",IF(ISNUMBER(BY656),IF(ABS(BY656-[2]QC_indicators!$B$1)&gt;3*[2]QC_indicators!$C$1,"DF","no"))),IF(ISNUMBER(BY656),IF(ABS(BY656-[2]QC_indicators!$B$1)&gt;3*[2]QC_indicators!$C$1,"DF","no")))</f>
        <v>no</v>
      </c>
      <c r="ET656" s="266" t="s">
        <v>3275</v>
      </c>
    </row>
    <row r="657" spans="1:150" ht="15" hidden="1" customHeight="1">
      <c r="A657" s="1" t="s">
        <v>266</v>
      </c>
      <c r="B657" t="s">
        <v>1533</v>
      </c>
      <c r="C657" t="s">
        <v>1534</v>
      </c>
      <c r="D657" t="s">
        <v>1535</v>
      </c>
      <c r="E657" t="s">
        <v>1536</v>
      </c>
      <c r="F657" t="s">
        <v>1537</v>
      </c>
      <c r="G657" t="s">
        <v>272</v>
      </c>
      <c r="H657" t="s">
        <v>255</v>
      </c>
      <c r="I657">
        <v>2019</v>
      </c>
      <c r="J657">
        <v>26</v>
      </c>
      <c r="K657" t="s">
        <v>1538</v>
      </c>
      <c r="M657" t="str">
        <f>LEFT($D657,FIND(",",$D657)-1)&amp;"_"&amp;I657&amp;L657</f>
        <v>Faraca_2019</v>
      </c>
      <c r="N657" t="s">
        <v>223</v>
      </c>
      <c r="O657" s="145" t="s">
        <v>275</v>
      </c>
      <c r="P657" s="180" t="s">
        <v>224</v>
      </c>
      <c r="Q657" t="s">
        <v>257</v>
      </c>
      <c r="R657" s="264" t="s">
        <v>224</v>
      </c>
      <c r="S657" s="1" t="s">
        <v>1548</v>
      </c>
      <c r="T657" t="s">
        <v>1552</v>
      </c>
      <c r="U657" t="s">
        <v>1553</v>
      </c>
      <c r="V657">
        <v>0</v>
      </c>
      <c r="W657">
        <v>0</v>
      </c>
      <c r="X657">
        <v>0</v>
      </c>
      <c r="Y657">
        <v>0</v>
      </c>
      <c r="Z657">
        <v>0</v>
      </c>
      <c r="AA657">
        <v>0</v>
      </c>
      <c r="AB657">
        <v>0</v>
      </c>
      <c r="AC657">
        <v>0</v>
      </c>
      <c r="AD657">
        <v>0</v>
      </c>
      <c r="AE657">
        <v>0</v>
      </c>
      <c r="AF657">
        <v>0</v>
      </c>
      <c r="AG657">
        <v>1</v>
      </c>
      <c r="AH657">
        <v>0</v>
      </c>
      <c r="AI657">
        <v>0</v>
      </c>
      <c r="AJ657">
        <v>0</v>
      </c>
      <c r="AK657">
        <v>0</v>
      </c>
      <c r="AL657">
        <v>0</v>
      </c>
      <c r="AM657">
        <v>0</v>
      </c>
      <c r="AN657">
        <v>0</v>
      </c>
      <c r="AO657">
        <v>0</v>
      </c>
      <c r="AP657">
        <v>0</v>
      </c>
      <c r="AQ657">
        <v>0</v>
      </c>
      <c r="AR657">
        <v>0</v>
      </c>
      <c r="AS657">
        <v>0</v>
      </c>
      <c r="AT657">
        <v>0</v>
      </c>
      <c r="AU657">
        <v>0</v>
      </c>
      <c r="AV657">
        <v>0</v>
      </c>
      <c r="AW657">
        <v>0</v>
      </c>
      <c r="AX657" s="141">
        <f>COUNTIF(V657:AW657,"&lt;&gt;0")</f>
        <v>1</v>
      </c>
      <c r="AY657" s="141">
        <f>COUNTIF(V657:AL657,"&lt;&gt;0")</f>
        <v>1</v>
      </c>
      <c r="AZ657">
        <f>COUNTIF(V657:AC657,"&lt;&gt;0")</f>
        <v>0</v>
      </c>
      <c r="BA657">
        <f>COUNTIF(AD657:AI657,"&lt;&gt;0")</f>
        <v>1</v>
      </c>
      <c r="BB657">
        <f>COUNTIF(AJ657:AL657,"&lt;&gt;0")</f>
        <v>0</v>
      </c>
      <c r="BC657">
        <f>COUNTIF(AS657:AW657,"&lt;&gt;0")</f>
        <v>0</v>
      </c>
      <c r="BD657">
        <f>COUNTIF(AM657:AR657,"&lt;&gt;0")</f>
        <v>0</v>
      </c>
      <c r="BE657" t="str">
        <f t="array" ref="BE657">IF(AY657=1,INDEX($V$7:$AL$7,MATCH(TRUE,INDEX($V657:$AW657&lt;&gt;0,),0)),IF(AY657=0,INDEX($AM$7:$AW$7,MATCH(1,$AM657:$AW657,0)),IF(BF657="Multiple strategies","mixed drivers",IF(BF657="Supply chain","multiple supply","multiple silviculture"))))</f>
        <v>recycling</v>
      </c>
      <c r="BF657" s="2" t="str" cm="1">
        <f t="array" ref="BF657">IF(COUNTIF(AZ657:BB657,"&lt;&gt;0")=1,INDEX($V$4:$AW$4,MATCH(TRUE,INDEX($V657:$AW657&lt;&gt;0,),0)),IF(COUNTIF(AZ657:BB657,"&lt;&gt;0")=0,INDEX($AM$4:$AW$4,MATCH(1,$AM657:$AW657,0)),"Multiple strategies"))</f>
        <v>Supply chain</v>
      </c>
      <c r="BG657" s="1" t="s">
        <v>230</v>
      </c>
      <c r="BH657" t="s">
        <v>1550</v>
      </c>
      <c r="BI657" s="266" t="s">
        <v>3123</v>
      </c>
      <c r="BJ657" t="s">
        <v>346</v>
      </c>
      <c r="BK657">
        <v>478</v>
      </c>
      <c r="BL657">
        <f>478+409+223+122</f>
        <v>1232</v>
      </c>
      <c r="BM657">
        <v>2.5774058577405858</v>
      </c>
      <c r="BN657">
        <f>BL657-BK657</f>
        <v>754</v>
      </c>
      <c r="BO657">
        <f>BN657*kg_to_m3</f>
        <v>1.5387755102040819</v>
      </c>
      <c r="BP657" s="266" t="s">
        <v>396</v>
      </c>
      <c r="BR657" t="s">
        <v>730</v>
      </c>
      <c r="BS657">
        <v>-520.70000000000005</v>
      </c>
      <c r="BT657">
        <v>-762.1</v>
      </c>
      <c r="BU657" s="144">
        <v>1.6646341463414633</v>
      </c>
      <c r="BV657">
        <f>BT657-BS657</f>
        <v>-241.39999999999998</v>
      </c>
      <c r="BX657">
        <f>BV657/1000</f>
        <v>-0.24139999999999998</v>
      </c>
      <c r="BY657">
        <f>IFERROR(BX657/BO657,"")</f>
        <v>-0.1568779840848806</v>
      </c>
      <c r="BZ657">
        <v>0</v>
      </c>
      <c r="CA657">
        <v>0</v>
      </c>
      <c r="CB657">
        <v>0</v>
      </c>
      <c r="CC657">
        <v>0</v>
      </c>
      <c r="CD657">
        <v>0</v>
      </c>
      <c r="CE657">
        <v>0</v>
      </c>
      <c r="CF657">
        <v>0</v>
      </c>
      <c r="CG657">
        <v>0</v>
      </c>
      <c r="CH657">
        <v>0</v>
      </c>
      <c r="CI657">
        <v>0</v>
      </c>
      <c r="CJ657">
        <v>0</v>
      </c>
      <c r="CK657">
        <v>0</v>
      </c>
      <c r="CL657">
        <v>0</v>
      </c>
      <c r="CM657">
        <v>0</v>
      </c>
      <c r="CN657" t="str">
        <f>IF($BL657&lt;$BK657,"refNeedCorrection","refOK")</f>
        <v>refOK</v>
      </c>
      <c r="CO657">
        <f>IF($CN657="refNeedCorrection",BL657,BK657)</f>
        <v>478</v>
      </c>
      <c r="CP657">
        <f>IF($CN657="refNeedCorrection",BK657,BL657)</f>
        <v>1232</v>
      </c>
      <c r="CQ657">
        <f>IF($CN657="refOK",$BO657,-$BO657)</f>
        <v>1.5387755102040819</v>
      </c>
      <c r="CR657">
        <f>IF($CN657="refOK",$BS657,$BT657)*IF($BP657="Emissions positive",-1,1)</f>
        <v>520.70000000000005</v>
      </c>
      <c r="CS657">
        <f>IF($CN657="refOK",$BT657,$BS657)*IF($BP657="Emissions positive",-1,1)</f>
        <v>762.1</v>
      </c>
      <c r="CT657">
        <f>IF($CN657="refNeedCorrection",-BX657,BX657)*IF($BP657="Emissions positive",-1,1)</f>
        <v>0.24139999999999998</v>
      </c>
      <c r="CU657">
        <f>IFERROR(CT657/CQ657,"")</f>
        <v>0.1568779840848806</v>
      </c>
      <c r="CV657" s="2">
        <f>IFERROR((CS657-CR657)/ABS(CR657),"")</f>
        <v>0.46360668331092753</v>
      </c>
      <c r="CW657" s="1" t="s">
        <v>1201</v>
      </c>
      <c r="CX657" t="str">
        <f>IF(OR($CW657="prd",$CW657="std",$CW657="cit"),"loc",IF(OR($CW657="eur",$CW657="reg",$CW657="coy"),"reg",$CW657))</f>
        <v>reg</v>
      </c>
      <c r="CY657" t="s">
        <v>1542</v>
      </c>
      <c r="DB657">
        <v>500</v>
      </c>
      <c r="DC657" t="str">
        <f>IF(DB657=0,"0",IF(AND(DB657&gt;=1,DB657&lt;=30),"1-30",IF(AND(DB657&gt;30,DB657&lt;=70),"31-70",IF(AND(DB657&gt;70,DB657&lt;=100),"71-100",IF(DB657&gt;100,"+100")))))</f>
        <v>+100</v>
      </c>
      <c r="DD657">
        <v>0</v>
      </c>
      <c r="DE657">
        <v>0</v>
      </c>
      <c r="DF657">
        <v>0</v>
      </c>
      <c r="DG657">
        <v>1</v>
      </c>
      <c r="DI657">
        <f>SUM(DD657:DG657)</f>
        <v>1</v>
      </c>
      <c r="DJ657" t="str">
        <f>IF(DI657=1,INDEX($DD$7:$DG$7,MATCH(1,$DD657:$DG657,0)),"mixedProduct")</f>
        <v>TimberInput</v>
      </c>
      <c r="DK657">
        <f>IF(DD657=1,DK$7,0)</f>
        <v>0</v>
      </c>
      <c r="DL657">
        <f>IF(DE657=1,DL$7,0)</f>
        <v>0</v>
      </c>
      <c r="DM657">
        <f>IF(DF657=1,DM$7,0)</f>
        <v>0</v>
      </c>
      <c r="DN657" t="str">
        <f>IF(DG657=1,DN$7,0)</f>
        <v>Timber</v>
      </c>
      <c r="DO657">
        <v>0</v>
      </c>
      <c r="DP657">
        <v>1</v>
      </c>
      <c r="DQ657">
        <v>0</v>
      </c>
      <c r="DR657">
        <v>0</v>
      </c>
      <c r="DS657" t="s">
        <v>1543</v>
      </c>
      <c r="DT657">
        <f>SUM(DO657:DP657)</f>
        <v>1</v>
      </c>
      <c r="DU657" s="143" t="str">
        <f>IF(DO657=1,"self-calculated DF",IF(DP657=1,"external DF used","explicit C balance"))</f>
        <v>external DF used</v>
      </c>
      <c r="DV657">
        <v>0</v>
      </c>
      <c r="DW657">
        <v>0</v>
      </c>
      <c r="DX657">
        <v>0</v>
      </c>
      <c r="DY657">
        <v>0</v>
      </c>
      <c r="DZ657">
        <v>1</v>
      </c>
      <c r="EA657" s="143">
        <v>1</v>
      </c>
      <c r="EB657">
        <v>0</v>
      </c>
      <c r="EC657">
        <v>1</v>
      </c>
      <c r="ED657">
        <v>0</v>
      </c>
      <c r="EE657">
        <v>1</v>
      </c>
      <c r="EF657">
        <v>1</v>
      </c>
      <c r="EG657">
        <v>1</v>
      </c>
      <c r="EH657">
        <v>1</v>
      </c>
      <c r="EI657" s="2">
        <v>0</v>
      </c>
      <c r="EK657" t="str">
        <f>IF(AND(AND(AND(OR($DX657=1,$DW657=1),OR($EC657=1,$EA657=1)),SUM($DV657:$DZ657,$EF657)&gt;=4),SUM($EA657:$EE657)&gt;=2),"Whole sector","")</f>
        <v/>
      </c>
      <c r="EL657" t="str">
        <f>IF(AND(AND(OR($DX657=1,$DW657=1),AND($EC657=0,$EA657=0)),SUM($DV657:$DZ657,$EF657)&gt;=4),"Ecosystem approach","")</f>
        <v/>
      </c>
      <c r="EM657" s="2" t="str">
        <f>IF(AND(AND(AND($DX657=0,$DW657=0),OR($EC657=1,$EA657=1)),SUM($EB657:$EE657)&gt;=2),"Technology approach","")</f>
        <v>Technology approach</v>
      </c>
      <c r="EP657" t="str">
        <f>IF(ISNUMBER(BU657),IF(ABS(BU657-[2]QC_indicators!$B$2)&gt;3*[2]QC_indicators!$C$2,"C ratio",IF(ISNUMBER(BY657),IF(ABS(BY657-[2]QC_indicators!$B$1)&gt;3*[2]QC_indicators!$C$1,"DF","no"))),IF(ISNUMBER(BY657),IF(ABS(BY657-[2]QC_indicators!$B$1)&gt;3*[2]QC_indicators!$C$1,"DF","no")))</f>
        <v>no</v>
      </c>
      <c r="ET657" s="266" t="s">
        <v>3275</v>
      </c>
    </row>
    <row r="658" spans="1:150" ht="15" hidden="1" customHeight="1">
      <c r="A658" s="1" t="s">
        <v>588</v>
      </c>
      <c r="B658" t="s">
        <v>1222</v>
      </c>
      <c r="C658" t="s">
        <v>1223</v>
      </c>
      <c r="D658" t="s">
        <v>1224</v>
      </c>
      <c r="E658" t="s">
        <v>1225</v>
      </c>
      <c r="F658" t="s">
        <v>1226</v>
      </c>
      <c r="G658" t="s">
        <v>594</v>
      </c>
      <c r="I658">
        <v>2018</v>
      </c>
      <c r="K658" t="s">
        <v>1227</v>
      </c>
      <c r="M658" t="str">
        <f>LEFT($D658,FIND(",",$D658)-1)&amp;"_"&amp;I658&amp;L658</f>
        <v>Bais-Moleman_2018</v>
      </c>
      <c r="N658" t="s">
        <v>223</v>
      </c>
      <c r="O658" s="140" t="s">
        <v>342</v>
      </c>
      <c r="Q658" t="s">
        <v>225</v>
      </c>
      <c r="R658" s="271" t="s">
        <v>275</v>
      </c>
      <c r="S658" s="1" t="s">
        <v>1228</v>
      </c>
      <c r="T658" t="s">
        <v>1203</v>
      </c>
      <c r="U658" t="s">
        <v>1229</v>
      </c>
      <c r="V658">
        <v>0</v>
      </c>
      <c r="W658">
        <v>0</v>
      </c>
      <c r="X658">
        <v>0</v>
      </c>
      <c r="Y658">
        <v>0</v>
      </c>
      <c r="Z658">
        <v>0</v>
      </c>
      <c r="AA658">
        <v>0</v>
      </c>
      <c r="AB658">
        <v>0</v>
      </c>
      <c r="AC658">
        <v>0</v>
      </c>
      <c r="AD658">
        <v>0</v>
      </c>
      <c r="AE658">
        <v>0</v>
      </c>
      <c r="AF658">
        <v>0</v>
      </c>
      <c r="AG658">
        <v>1</v>
      </c>
      <c r="AH658">
        <v>0</v>
      </c>
      <c r="AI658">
        <v>0</v>
      </c>
      <c r="AJ658">
        <v>0</v>
      </c>
      <c r="AK658">
        <v>0</v>
      </c>
      <c r="AL658">
        <v>0</v>
      </c>
      <c r="AM658">
        <v>0</v>
      </c>
      <c r="AN658">
        <v>0</v>
      </c>
      <c r="AO658">
        <v>0</v>
      </c>
      <c r="AP658">
        <v>0</v>
      </c>
      <c r="AQ658">
        <v>0</v>
      </c>
      <c r="AR658">
        <v>0</v>
      </c>
      <c r="AS658">
        <v>0</v>
      </c>
      <c r="AT658">
        <v>0</v>
      </c>
      <c r="AU658">
        <v>0</v>
      </c>
      <c r="AV658">
        <v>0</v>
      </c>
      <c r="AW658">
        <v>0</v>
      </c>
      <c r="AX658" s="141">
        <f>COUNTIF(V658:AW658,"&lt;&gt;0")</f>
        <v>1</v>
      </c>
      <c r="AY658" s="141">
        <f>COUNTIF(V658:AL658,"&lt;&gt;0")</f>
        <v>1</v>
      </c>
      <c r="AZ658">
        <f>COUNTIF(V658:AC658,"&lt;&gt;0")</f>
        <v>0</v>
      </c>
      <c r="BA658">
        <f>COUNTIF(AD658:AI658,"&lt;&gt;0")</f>
        <v>1</v>
      </c>
      <c r="BB658">
        <f>COUNTIF(AJ658:AL658,"&lt;&gt;0")</f>
        <v>0</v>
      </c>
      <c r="BC658">
        <f>COUNTIF(AS658:AW658,"&lt;&gt;0")</f>
        <v>0</v>
      </c>
      <c r="BD658">
        <f>COUNTIF(AM658:AR658,"&lt;&gt;0")</f>
        <v>0</v>
      </c>
      <c r="BE658" t="str">
        <f t="array" ref="BE658">IF(AY658=1,INDEX($V$7:$AL$7,MATCH(TRUE,INDEX($V658:$AW658&lt;&gt;0,),0)),IF(AY658=0,INDEX($AM$7:$AW$7,MATCH(1,$AM658:$AW658,0)),IF(BF658="Multiple strategies","mixed drivers",IF(BF658="Supply chain","multiple supply","multiple silviculture"))))</f>
        <v>recycling</v>
      </c>
      <c r="BF658" s="2" t="str" cm="1">
        <f t="array" ref="BF658">IF(COUNTIF(AZ658:BB658,"&lt;&gt;0")=1,INDEX($V$4:$AW$4,MATCH(TRUE,INDEX($V658:$AW658&lt;&gt;0,),0)),IF(COUNTIF(AZ658:BB658,"&lt;&gt;0")=0,INDEX($AM$4:$AW$4,MATCH(1,$AM658:$AW658,0)),"Multiple strategies"))</f>
        <v>Supply chain</v>
      </c>
      <c r="BG658" s="1" t="s">
        <v>230</v>
      </c>
      <c r="BH658" t="s">
        <v>1230</v>
      </c>
      <c r="BI658" t="s">
        <v>397</v>
      </c>
      <c r="BJ658" t="s">
        <v>1217</v>
      </c>
      <c r="BK658">
        <v>12</v>
      </c>
      <c r="BL658">
        <v>48</v>
      </c>
      <c r="BM658">
        <f>BL658/BK658</f>
        <v>4</v>
      </c>
      <c r="BN658">
        <f>BL658-BK658</f>
        <v>36</v>
      </c>
      <c r="BO658" s="143">
        <f>+BN658*10^6*tC_to_m3</f>
        <v>156317846.28745115</v>
      </c>
      <c r="BP658" t="s">
        <v>233</v>
      </c>
      <c r="BQ658" t="s">
        <v>1231</v>
      </c>
      <c r="BR658" t="s">
        <v>1232</v>
      </c>
      <c r="BS658" s="152"/>
      <c r="BU658" s="144" t="str">
        <f>IFERROR(BT658/BS658,"")</f>
        <v/>
      </c>
      <c r="BV658">
        <f>28-43+7</f>
        <v>-8</v>
      </c>
      <c r="BX658">
        <f>BV658*10^6</f>
        <v>-8000000</v>
      </c>
      <c r="BY658">
        <f>IFERROR(BX658/BO658,"")</f>
        <v>-5.117777777777778E-2</v>
      </c>
      <c r="BZ658">
        <v>0</v>
      </c>
      <c r="CA658">
        <v>0</v>
      </c>
      <c r="CB658">
        <v>0</v>
      </c>
      <c r="CC658">
        <v>0</v>
      </c>
      <c r="CD658">
        <v>0</v>
      </c>
      <c r="CE658">
        <v>0</v>
      </c>
      <c r="CF658">
        <v>0</v>
      </c>
      <c r="CG658">
        <v>0</v>
      </c>
      <c r="CH658">
        <v>0</v>
      </c>
      <c r="CI658">
        <v>0</v>
      </c>
      <c r="CJ658">
        <v>0</v>
      </c>
      <c r="CK658">
        <v>0</v>
      </c>
      <c r="CL658">
        <v>0</v>
      </c>
      <c r="CM658">
        <v>0</v>
      </c>
      <c r="CN658" t="str">
        <f>IF(BL658&lt;BK658,"refNeedCorrection","refOK")</f>
        <v>refOK</v>
      </c>
      <c r="CO658">
        <f>IF($CN658="refOK",$BK658,$BL658)</f>
        <v>12</v>
      </c>
      <c r="CP658">
        <f>IF($CN658="refOK",$BL658,$BK658)</f>
        <v>48</v>
      </c>
      <c r="CQ658">
        <f>IF($CN658="refOK",$BO658,-$BO658)</f>
        <v>156317846.28745115</v>
      </c>
      <c r="CR658">
        <f>IF($CN658="refOK",$BS658,$BT658)*IF($BP658="Emissions positive",-1,1)</f>
        <v>0</v>
      </c>
      <c r="CS658">
        <f>IF($CN658="refOK",$BT658,$BS658)*IF($BP658="Emissions positive",-1,1)</f>
        <v>0</v>
      </c>
      <c r="CT658">
        <f>IF($CN658="refNeedCorrection",-BX658,BX658)*IF($BP658="Emissions positive",-1,1)</f>
        <v>-8000000</v>
      </c>
      <c r="CU658">
        <f>IFERROR(CT658/CQ658,"")</f>
        <v>-5.117777777777778E-2</v>
      </c>
      <c r="CV658" s="2" t="str">
        <f>IFERROR((CS658-CR658)/ABS(CR658),"")</f>
        <v/>
      </c>
      <c r="CW658" s="1" t="s">
        <v>1233</v>
      </c>
      <c r="CX658" t="str">
        <f>IF(OR($CW658="prd",$CW658="std",$CW658="cit"),"loc",IF(OR($CW658="eur",$CW658="reg",$CW658="coy"),"reg",$CW658))</f>
        <v>reg</v>
      </c>
      <c r="CY658" t="s">
        <v>745</v>
      </c>
      <c r="DB658">
        <v>100</v>
      </c>
      <c r="DC658" t="str">
        <f>IF(DB658=0,"0",IF(AND(DB658&gt;=1,DB658&lt;=30),"1-30",IF(AND(DB658&gt;30,DB658&lt;=70),"31-70",IF(AND(DB658&gt;70,DB658&lt;=100),"71-100",IF(DB658&gt;100,"+100")))))</f>
        <v>71-100</v>
      </c>
      <c r="DD658">
        <v>0</v>
      </c>
      <c r="DE658">
        <v>1</v>
      </c>
      <c r="DF658">
        <v>1</v>
      </c>
      <c r="DG658">
        <v>1</v>
      </c>
      <c r="DI658">
        <f>SUM(DD658:DG658)</f>
        <v>3</v>
      </c>
      <c r="DJ658" t="str">
        <f>IF(DI658=1,INDEX($DD$7:$DG$7,MATCH(1,$DD658:$DG658,0)),"mixedProduct")</f>
        <v>mixedProduct</v>
      </c>
      <c r="DK658">
        <f>IF(DD658=1,DK$7,0)</f>
        <v>0</v>
      </c>
      <c r="DL658" t="str">
        <f>IF(DE658=1,DL$7,0)</f>
        <v>Energy</v>
      </c>
      <c r="DM658" t="str">
        <f>IF(DF658=1,DM$7,0)</f>
        <v>Pulp/Paper</v>
      </c>
      <c r="DN658" t="str">
        <f>IF(DG658=1,DN$7,0)</f>
        <v>Timber</v>
      </c>
      <c r="DO658">
        <v>1</v>
      </c>
      <c r="DP658">
        <v>0</v>
      </c>
      <c r="DQ658">
        <v>0</v>
      </c>
      <c r="DR658">
        <v>0</v>
      </c>
      <c r="DS658">
        <v>0</v>
      </c>
      <c r="DT658">
        <f>SUM(DO658:DP658)</f>
        <v>1</v>
      </c>
      <c r="DU658" s="143" t="str">
        <f>IF(DO658=1,"self-calculated DF",IF(DP658=1,"external DF used","explicit C balance"))</f>
        <v>self-calculated DF</v>
      </c>
      <c r="DV658">
        <v>0</v>
      </c>
      <c r="DW658">
        <v>1</v>
      </c>
      <c r="DX658">
        <v>0</v>
      </c>
      <c r="DY658">
        <v>1</v>
      </c>
      <c r="DZ658">
        <v>1</v>
      </c>
      <c r="EA658" s="143">
        <v>1</v>
      </c>
      <c r="EB658">
        <v>1</v>
      </c>
      <c r="EC658">
        <v>1</v>
      </c>
      <c r="ED658">
        <v>1</v>
      </c>
      <c r="EE658">
        <v>1</v>
      </c>
      <c r="EF658">
        <v>0</v>
      </c>
      <c r="EG658">
        <v>1</v>
      </c>
      <c r="EH658">
        <v>0</v>
      </c>
      <c r="EI658" s="2">
        <v>0</v>
      </c>
      <c r="EK658" t="str">
        <f>IF(AND(AND(AND(OR($DX658=1,$DW658=1),OR($EC658=1,$EA658=1)),SUM($DV658:$DZ658,$EF658)&gt;=4),SUM($EA658:$EE658)&gt;=2),"Whole sector","")</f>
        <v/>
      </c>
      <c r="EL658" t="str">
        <f>IF(AND(AND(OR($DX658=1,$DW658=1),AND($EC658=0,$EA658=0)),SUM($DV658:$DZ658,$EF658)&gt;=4),"Ecosystem approach","")</f>
        <v/>
      </c>
      <c r="EM658" s="2" t="str">
        <f>IF(AND(AND(AND($DX658=0,$DW658=0),OR($EC658=1,$EA658=1)),SUM($EB658:$EE658)&gt;=2),"Technology approach","")</f>
        <v/>
      </c>
      <c r="EP658" t="str">
        <f>IF(ISNUMBER(BU658),IF(ABS(BU658-[3]QC_indicators!$B$2)&gt;3*[3]QC_indicators!$C$2,"C ratio",IF(ISNUMBER(BY658),IF(ABS(BY658-[3]QC_indicators!$B$1)&gt;3*[3]QC_indicators!$C$1,"DF","no"))),IF(ISNUMBER(BY658),IF(ABS(BY658-[3]QC_indicators!$B$1)&gt;3*[3]QC_indicators!$C$1,"DF","no")))</f>
        <v>no</v>
      </c>
      <c r="ER658" s="149" t="s">
        <v>350</v>
      </c>
      <c r="ET658" s="266" t="s">
        <v>3153</v>
      </c>
    </row>
    <row r="659" spans="1:150" ht="15" hidden="1" customHeight="1">
      <c r="A659" s="1" t="s">
        <v>588</v>
      </c>
      <c r="B659" t="s">
        <v>1222</v>
      </c>
      <c r="C659" t="s">
        <v>1223</v>
      </c>
      <c r="D659" t="s">
        <v>1224</v>
      </c>
      <c r="E659" t="s">
        <v>1225</v>
      </c>
      <c r="F659" t="s">
        <v>1226</v>
      </c>
      <c r="G659" t="s">
        <v>594</v>
      </c>
      <c r="I659">
        <v>2018</v>
      </c>
      <c r="K659" t="s">
        <v>1227</v>
      </c>
      <c r="M659" t="str">
        <f>LEFT($D659,FIND(",",$D659)-1)&amp;"_"&amp;I659&amp;L659</f>
        <v>Bais-Moleman_2018</v>
      </c>
      <c r="N659" t="s">
        <v>223</v>
      </c>
      <c r="O659" s="140" t="s">
        <v>342</v>
      </c>
      <c r="Q659" t="s">
        <v>225</v>
      </c>
      <c r="R659" s="271" t="s">
        <v>275</v>
      </c>
      <c r="S659" s="1" t="s">
        <v>1228</v>
      </c>
      <c r="T659" t="s">
        <v>1203</v>
      </c>
      <c r="U659" t="s">
        <v>1234</v>
      </c>
      <c r="V659">
        <v>0</v>
      </c>
      <c r="W659">
        <v>0</v>
      </c>
      <c r="X659">
        <v>0</v>
      </c>
      <c r="Y659">
        <v>0</v>
      </c>
      <c r="Z659">
        <v>0</v>
      </c>
      <c r="AA659">
        <v>0</v>
      </c>
      <c r="AB659">
        <v>0</v>
      </c>
      <c r="AC659">
        <v>0</v>
      </c>
      <c r="AD659">
        <v>0</v>
      </c>
      <c r="AE659">
        <v>0</v>
      </c>
      <c r="AF659">
        <v>0</v>
      </c>
      <c r="AG659">
        <v>1</v>
      </c>
      <c r="AH659">
        <v>0</v>
      </c>
      <c r="AI659">
        <v>0</v>
      </c>
      <c r="AJ659">
        <v>0</v>
      </c>
      <c r="AK659">
        <v>0</v>
      </c>
      <c r="AL659">
        <v>0</v>
      </c>
      <c r="AM659">
        <v>0</v>
      </c>
      <c r="AN659">
        <v>0</v>
      </c>
      <c r="AO659">
        <v>0</v>
      </c>
      <c r="AP659">
        <v>0</v>
      </c>
      <c r="AQ659">
        <v>0</v>
      </c>
      <c r="AR659">
        <v>0</v>
      </c>
      <c r="AS659">
        <v>0</v>
      </c>
      <c r="AT659">
        <v>0</v>
      </c>
      <c r="AU659">
        <v>0</v>
      </c>
      <c r="AV659">
        <v>0</v>
      </c>
      <c r="AW659">
        <v>0</v>
      </c>
      <c r="AX659" s="141">
        <f>COUNTIF(V659:AW659,"&lt;&gt;0")</f>
        <v>1</v>
      </c>
      <c r="AY659" s="141">
        <f>COUNTIF(V659:AL659,"&lt;&gt;0")</f>
        <v>1</v>
      </c>
      <c r="AZ659">
        <f>COUNTIF(V659:AC659,"&lt;&gt;0")</f>
        <v>0</v>
      </c>
      <c r="BA659">
        <f>COUNTIF(AD659:AI659,"&lt;&gt;0")</f>
        <v>1</v>
      </c>
      <c r="BB659">
        <f>COUNTIF(AJ659:AL659,"&lt;&gt;0")</f>
        <v>0</v>
      </c>
      <c r="BC659">
        <f>COUNTIF(AS659:AW659,"&lt;&gt;0")</f>
        <v>0</v>
      </c>
      <c r="BD659">
        <f>COUNTIF(AM659:AR659,"&lt;&gt;0")</f>
        <v>0</v>
      </c>
      <c r="BE659" t="str">
        <f t="array" ref="BE659">IF(AY659=1,INDEX($V$7:$AL$7,MATCH(TRUE,INDEX($V659:$AW659&lt;&gt;0,),0)),IF(AY659=0,INDEX($AM$7:$AW$7,MATCH(1,$AM659:$AW659,0)),IF(BF659="Multiple strategies","mixed drivers",IF(BF659="Supply chain","multiple supply","multiple silviculture"))))</f>
        <v>recycling</v>
      </c>
      <c r="BF659" s="2" t="str" cm="1">
        <f t="array" ref="BF659">IF(COUNTIF(AZ659:BB659,"&lt;&gt;0")=1,INDEX($V$4:$AW$4,MATCH(TRUE,INDEX($V659:$AW659&lt;&gt;0,),0)),IF(COUNTIF(AZ659:BB659,"&lt;&gt;0")=0,INDEX($AM$4:$AW$4,MATCH(1,$AM659:$AW659,0)),"Multiple strategies"))</f>
        <v>Supply chain</v>
      </c>
      <c r="BG659" s="1" t="s">
        <v>230</v>
      </c>
      <c r="BH659" t="s">
        <v>1230</v>
      </c>
      <c r="BI659" t="s">
        <v>397</v>
      </c>
      <c r="BJ659" t="s">
        <v>1217</v>
      </c>
      <c r="BK659">
        <v>12</v>
      </c>
      <c r="BL659">
        <v>56</v>
      </c>
      <c r="BM659">
        <f>BL659/BK659</f>
        <v>4.666666666666667</v>
      </c>
      <c r="BN659">
        <f>BL659-BK659</f>
        <v>44</v>
      </c>
      <c r="BO659" s="143">
        <f>+BN659*10^6*tC_to_m3</f>
        <v>191055145.46244031</v>
      </c>
      <c r="BP659" t="s">
        <v>233</v>
      </c>
      <c r="BQ659" t="s">
        <v>1231</v>
      </c>
      <c r="BR659" t="s">
        <v>1232</v>
      </c>
      <c r="BS659" s="152"/>
      <c r="BU659" s="144" t="str">
        <f>IFERROR(BT659/BS659,"")</f>
        <v/>
      </c>
      <c r="BV659">
        <f>35-42+13</f>
        <v>6</v>
      </c>
      <c r="BX659">
        <f>BV659*10^6</f>
        <v>6000000</v>
      </c>
      <c r="BY659">
        <f>IFERROR(BX659/BO659,"")</f>
        <v>3.1404545454545449E-2</v>
      </c>
      <c r="BZ659">
        <v>0</v>
      </c>
      <c r="CA659">
        <v>0</v>
      </c>
      <c r="CB659">
        <v>0</v>
      </c>
      <c r="CC659">
        <v>0</v>
      </c>
      <c r="CD659">
        <v>0</v>
      </c>
      <c r="CE659">
        <v>0</v>
      </c>
      <c r="CF659">
        <v>0</v>
      </c>
      <c r="CG659">
        <v>0</v>
      </c>
      <c r="CH659">
        <v>0</v>
      </c>
      <c r="CI659">
        <v>0</v>
      </c>
      <c r="CJ659">
        <v>0</v>
      </c>
      <c r="CK659">
        <v>0</v>
      </c>
      <c r="CL659">
        <v>0</v>
      </c>
      <c r="CM659">
        <v>0</v>
      </c>
      <c r="CN659" t="str">
        <f>IF(BL659&lt;BK659,"refNeedCorrection","refOK")</f>
        <v>refOK</v>
      </c>
      <c r="CO659">
        <f>IF($CN659="refOK",$BK659,$BL659)</f>
        <v>12</v>
      </c>
      <c r="CP659">
        <f>IF($CN659="refOK",$BL659,$BK659)</f>
        <v>56</v>
      </c>
      <c r="CQ659">
        <f>IF($CN659="refOK",$BO659,-$BO659)</f>
        <v>191055145.46244031</v>
      </c>
      <c r="CR659">
        <f>IF($CN659="refOK",$BS659,$BT659)*IF($BP659="Emissions positive",-1,1)</f>
        <v>0</v>
      </c>
      <c r="CS659">
        <f>IF($CN659="refOK",$BT659,$BS659)*IF($BP659="Emissions positive",-1,1)</f>
        <v>0</v>
      </c>
      <c r="CT659">
        <f>IF($CN659="refNeedCorrection",-BX659,BX659)*IF($BP659="Emissions positive",-1,1)</f>
        <v>6000000</v>
      </c>
      <c r="CU659">
        <f>IFERROR(CT659/CQ659,"")</f>
        <v>3.1404545454545449E-2</v>
      </c>
      <c r="CV659" s="2" t="str">
        <f>IFERROR((CS659-CR659)/ABS(CR659),"")</f>
        <v/>
      </c>
      <c r="CW659" s="1" t="s">
        <v>1233</v>
      </c>
      <c r="CX659" t="str">
        <f>IF(OR($CW659="prd",$CW659="std",$CW659="cit"),"loc",IF(OR($CW659="eur",$CW659="reg",$CW659="coy"),"reg",$CW659))</f>
        <v>reg</v>
      </c>
      <c r="CY659" t="s">
        <v>745</v>
      </c>
      <c r="DB659">
        <v>100</v>
      </c>
      <c r="DC659" t="str">
        <f>IF(DB659=0,"0",IF(AND(DB659&gt;=1,DB659&lt;=30),"1-30",IF(AND(DB659&gt;30,DB659&lt;=70),"31-70",IF(AND(DB659&gt;70,DB659&lt;=100),"71-100",IF(DB659&gt;100,"+100")))))</f>
        <v>71-100</v>
      </c>
      <c r="DD659">
        <v>0</v>
      </c>
      <c r="DE659">
        <v>1</v>
      </c>
      <c r="DF659">
        <v>1</v>
      </c>
      <c r="DG659">
        <v>1</v>
      </c>
      <c r="DI659">
        <f>SUM(DD659:DG659)</f>
        <v>3</v>
      </c>
      <c r="DJ659" t="str">
        <f>IF(DI659=1,INDEX($DD$7:$DG$7,MATCH(1,$DD659:$DG659,0)),"mixedProduct")</f>
        <v>mixedProduct</v>
      </c>
      <c r="DK659">
        <f>IF(DD659=1,DK$7,0)</f>
        <v>0</v>
      </c>
      <c r="DL659" t="str">
        <f>IF(DE659=1,DL$7,0)</f>
        <v>Energy</v>
      </c>
      <c r="DM659" t="str">
        <f>IF(DF659=1,DM$7,0)</f>
        <v>Pulp/Paper</v>
      </c>
      <c r="DN659" t="str">
        <f>IF(DG659=1,DN$7,0)</f>
        <v>Timber</v>
      </c>
      <c r="DO659">
        <v>1</v>
      </c>
      <c r="DP659">
        <v>0</v>
      </c>
      <c r="DQ659">
        <v>0</v>
      </c>
      <c r="DR659">
        <v>0</v>
      </c>
      <c r="DS659">
        <v>0</v>
      </c>
      <c r="DT659">
        <f>SUM(DO659:DP659)</f>
        <v>1</v>
      </c>
      <c r="DU659" s="143" t="str">
        <f>IF(DO659=1,"self-calculated DF",IF(DP659=1,"external DF used","explicit C balance"))</f>
        <v>self-calculated DF</v>
      </c>
      <c r="DV659">
        <v>0</v>
      </c>
      <c r="DW659">
        <v>1</v>
      </c>
      <c r="DX659">
        <v>0</v>
      </c>
      <c r="DY659">
        <v>1</v>
      </c>
      <c r="DZ659">
        <v>1</v>
      </c>
      <c r="EA659" s="143">
        <v>1</v>
      </c>
      <c r="EB659">
        <v>1</v>
      </c>
      <c r="EC659">
        <v>1</v>
      </c>
      <c r="ED659">
        <v>1</v>
      </c>
      <c r="EE659">
        <v>1</v>
      </c>
      <c r="EF659">
        <v>0</v>
      </c>
      <c r="EG659">
        <v>1</v>
      </c>
      <c r="EH659">
        <v>0</v>
      </c>
      <c r="EI659" s="2">
        <v>0</v>
      </c>
      <c r="EK659" t="str">
        <f>IF(AND(AND(AND(OR($DX659=1,$DW659=1),OR($EC659=1,$EA659=1)),SUM($DV659:$DZ659,$EF659)&gt;=4),SUM($EA659:$EE659)&gt;=2),"Whole sector","")</f>
        <v/>
      </c>
      <c r="EL659" t="str">
        <f>IF(AND(AND(OR($DX659=1,$DW659=1),AND($EC659=0,$EA659=0)),SUM($DV659:$DZ659,$EF659)&gt;=4),"Ecosystem approach","")</f>
        <v/>
      </c>
      <c r="EM659" s="2" t="str">
        <f>IF(AND(AND(AND($DX659=0,$DW659=0),OR($EC659=1,$EA659=1)),SUM($EB659:$EE659)&gt;=2),"Technology approach","")</f>
        <v/>
      </c>
      <c r="EP659" t="str">
        <f>IF(ISNUMBER(BU659),IF(ABS(BU659-[3]QC_indicators!$B$2)&gt;3*[3]QC_indicators!$C$2,"C ratio",IF(ISNUMBER(BY659),IF(ABS(BY659-[3]QC_indicators!$B$1)&gt;3*[3]QC_indicators!$C$1,"DF","no"))),IF(ISNUMBER(BY659),IF(ABS(BY659-[3]QC_indicators!$B$1)&gt;3*[3]QC_indicators!$C$1,"DF","no")))</f>
        <v>no</v>
      </c>
      <c r="ER659" s="149" t="s">
        <v>350</v>
      </c>
      <c r="ET659" s="266" t="s">
        <v>3153</v>
      </c>
    </row>
    <row r="660" spans="1:150" ht="15" hidden="1" customHeight="1">
      <c r="A660" s="1" t="s">
        <v>658</v>
      </c>
      <c r="B660" t="s">
        <v>1907</v>
      </c>
      <c r="C660" t="s">
        <v>1908</v>
      </c>
      <c r="D660" t="s">
        <v>1909</v>
      </c>
      <c r="E660" t="s">
        <v>1910</v>
      </c>
      <c r="F660" t="s">
        <v>1911</v>
      </c>
      <c r="G660" t="s">
        <v>664</v>
      </c>
      <c r="H660" t="s">
        <v>255</v>
      </c>
      <c r="I660">
        <v>2016</v>
      </c>
      <c r="J660">
        <v>41</v>
      </c>
      <c r="K660" t="s">
        <v>1912</v>
      </c>
      <c r="M660" t="str">
        <f>LEFT($D660,FIND(",",$D660)-1)&amp;"_"&amp;I660&amp;L660</f>
        <v>Liu_2016</v>
      </c>
      <c r="N660" t="s">
        <v>223</v>
      </c>
      <c r="O660" s="145" t="s">
        <v>226</v>
      </c>
      <c r="Q660" s="266" t="s">
        <v>257</v>
      </c>
      <c r="R660" s="271" t="s">
        <v>1156</v>
      </c>
      <c r="S660" s="1" t="s">
        <v>1913</v>
      </c>
      <c r="T660" s="183">
        <v>0.55000000000000004</v>
      </c>
      <c r="U660" s="183">
        <v>0.9</v>
      </c>
      <c r="V660">
        <v>0</v>
      </c>
      <c r="W660">
        <v>0</v>
      </c>
      <c r="X660">
        <v>0</v>
      </c>
      <c r="Y660">
        <v>0</v>
      </c>
      <c r="Z660">
        <v>0</v>
      </c>
      <c r="AA660">
        <v>0</v>
      </c>
      <c r="AB660">
        <v>0</v>
      </c>
      <c r="AC660">
        <v>0</v>
      </c>
      <c r="AD660">
        <v>0</v>
      </c>
      <c r="AE660">
        <v>0</v>
      </c>
      <c r="AF660">
        <v>0</v>
      </c>
      <c r="AG660">
        <v>1</v>
      </c>
      <c r="AH660">
        <v>0</v>
      </c>
      <c r="AI660">
        <v>0</v>
      </c>
      <c r="AJ660">
        <v>0</v>
      </c>
      <c r="AK660">
        <v>0</v>
      </c>
      <c r="AL660">
        <v>0</v>
      </c>
      <c r="AM660">
        <v>0</v>
      </c>
      <c r="AN660">
        <v>0</v>
      </c>
      <c r="AO660">
        <v>0</v>
      </c>
      <c r="AP660">
        <v>0</v>
      </c>
      <c r="AQ660">
        <v>0</v>
      </c>
      <c r="AR660">
        <v>0</v>
      </c>
      <c r="AS660">
        <v>0</v>
      </c>
      <c r="AT660">
        <v>0</v>
      </c>
      <c r="AU660">
        <v>0</v>
      </c>
      <c r="AV660">
        <v>0</v>
      </c>
      <c r="AW660">
        <v>0</v>
      </c>
      <c r="AX660" s="141">
        <f>COUNTIF(V660:AW660,"&lt;&gt;0")</f>
        <v>1</v>
      </c>
      <c r="AY660" s="141">
        <f>COUNTIF(V660:AL660,"&lt;&gt;0")</f>
        <v>1</v>
      </c>
      <c r="AZ660">
        <f>COUNTIF(V660:AC660,"&lt;&gt;0")</f>
        <v>0</v>
      </c>
      <c r="BA660">
        <f>COUNTIF(AD660:AI660,"&lt;&gt;0")</f>
        <v>1</v>
      </c>
      <c r="BB660">
        <f>COUNTIF(AJ660:AL660,"&lt;&gt;0")</f>
        <v>0</v>
      </c>
      <c r="BC660">
        <f>COUNTIF(AS660:AW660,"&lt;&gt;0")</f>
        <v>0</v>
      </c>
      <c r="BD660">
        <f>COUNTIF(AM660:AR660,"&lt;&gt;0")</f>
        <v>0</v>
      </c>
      <c r="BE660" t="str" cm="1">
        <f t="array" ref="BE660">IF(AY660=1,INDEX($V$7:$AL$7,MATCH(TRUE,INDEX($V660:$AW660&lt;&gt;0,),0)),IF(AY660=0,INDEX($AM$7:$AW$7,MATCH(1,$AM660:$AW660,0)),IF(BF660="Multiple strategies","mixed drivers",IF(BF660="Supply chain","multiple supply","multiple silviculture"))))</f>
        <v>recycling</v>
      </c>
      <c r="BF660" s="2" t="str" cm="1">
        <f t="array" ref="BF660">IF(COUNTIF(AZ660:BB660,"&lt;&gt;0")=1,INDEX($V$4:$AW$4,MATCH(TRUE,INDEX($V660:$AW660&lt;&gt;0,),0)),IF(COUNTIF(AZ660:BB660,"&lt;&gt;0")=0,INDEX($AM$4:$AW$4,MATCH(1,$AM660:$AW660,0)),"Multiple strategies"))</f>
        <v>Supply chain</v>
      </c>
      <c r="BG660" s="142" t="s">
        <v>230</v>
      </c>
      <c r="BH660" t="s">
        <v>1914</v>
      </c>
      <c r="BJ660" s="143" t="s">
        <v>1915</v>
      </c>
      <c r="BK660">
        <v>606</v>
      </c>
      <c r="BL660" s="143">
        <v>606</v>
      </c>
      <c r="BM660" s="163"/>
      <c r="BN660">
        <f>BL660-BK660</f>
        <v>0</v>
      </c>
      <c r="BO660" s="143">
        <f>BN660*t_to_m3</f>
        <v>0</v>
      </c>
      <c r="BP660" s="266" t="s">
        <v>233</v>
      </c>
      <c r="BQ660" s="266"/>
      <c r="BR660" t="s">
        <v>1916</v>
      </c>
      <c r="BS660" s="143">
        <v>-2295.4259999999999</v>
      </c>
      <c r="BT660">
        <v>-2043.489</v>
      </c>
      <c r="BU660" s="144">
        <v>0.8902439024390244</v>
      </c>
      <c r="BV660">
        <f>BT660-BS660</f>
        <v>251.9369999999999</v>
      </c>
      <c r="BX660">
        <f>BV660</f>
        <v>251.9369999999999</v>
      </c>
      <c r="BY660" t="str">
        <f>IFERROR(BX660/BO660,"")</f>
        <v/>
      </c>
      <c r="BZ660">
        <v>0</v>
      </c>
      <c r="CA660">
        <v>0</v>
      </c>
      <c r="CB660">
        <v>0</v>
      </c>
      <c r="CC660">
        <v>0</v>
      </c>
      <c r="CD660">
        <v>0</v>
      </c>
      <c r="CE660">
        <v>0</v>
      </c>
      <c r="CF660">
        <v>0</v>
      </c>
      <c r="CG660">
        <v>0</v>
      </c>
      <c r="CH660">
        <v>0</v>
      </c>
      <c r="CI660">
        <v>0</v>
      </c>
      <c r="CJ660">
        <v>0</v>
      </c>
      <c r="CK660">
        <v>0</v>
      </c>
      <c r="CL660">
        <v>0</v>
      </c>
      <c r="CM660">
        <v>0</v>
      </c>
      <c r="CN660" t="str">
        <f>IF($BL660&lt;$BK660,"refNeedCorrection","refOK")</f>
        <v>refOK</v>
      </c>
      <c r="CO660">
        <f>IF($CN660="refNeedCorrection",BL660,BK660)</f>
        <v>606</v>
      </c>
      <c r="CP660">
        <f>IF($CN660="refNeedCorrection",BK660,BL660)</f>
        <v>606</v>
      </c>
      <c r="CQ660">
        <f>IF($CN660="refOK",$BO660,-$BO660)</f>
        <v>0</v>
      </c>
      <c r="CR660">
        <f>IF($CN660="refOK",$BS660,$BT660)*IF($BP660="Emissions positive",-1,1)</f>
        <v>-2295.4259999999999</v>
      </c>
      <c r="CS660">
        <f>IF($CN660="refOK",$BT660,$BS660)*IF($BP660="Emissions positive",-1,1)</f>
        <v>-2043.489</v>
      </c>
      <c r="CT660">
        <f>IF($CN660="refNeedCorrection",-BX660,BX660)*IF($BP660="Emissions positive",-1,1)</f>
        <v>251.9369999999999</v>
      </c>
      <c r="CU660" t="str">
        <f>IFERROR(CT660/CQ660,"")</f>
        <v/>
      </c>
      <c r="CV660" s="2">
        <f>IFERROR((CS660-CR660)/ABS(CR660),"")</f>
        <v>0.10975609756097557</v>
      </c>
      <c r="CW660" s="1" t="s">
        <v>1201</v>
      </c>
      <c r="CX660" s="266" t="str">
        <f>IF(OR($CW660="prd",$CW660="std",$CW660="cit"),"loc",IF(OR($CW660="eur",$CW660="reg",$CW660="coy"),"reg",$CW660))</f>
        <v>reg</v>
      </c>
      <c r="CY660" t="s">
        <v>692</v>
      </c>
      <c r="DA660" s="143"/>
      <c r="DB660" s="143">
        <v>50</v>
      </c>
      <c r="DC660" t="str">
        <f>IF(DB660=0,"0",IF(AND(DB660&gt;=1,DB660&lt;=30),"1-30",IF(AND(DB660&gt;30,DB660&lt;=70),"31-70",IF(AND(DB660&gt;70,DB660&lt;=100),"71-100",IF(DB660&gt;100,"+100")))))</f>
        <v>31-70</v>
      </c>
      <c r="DD660">
        <v>0</v>
      </c>
      <c r="DE660">
        <v>0</v>
      </c>
      <c r="DF660">
        <v>0</v>
      </c>
      <c r="DG660">
        <v>1</v>
      </c>
      <c r="DI660">
        <f>SUM(DD660:DG660)</f>
        <v>1</v>
      </c>
      <c r="DJ660" t="str">
        <f>IF(DI660=1,INDEX($DD$7:$DG$7,MATCH(1,$DD660:$DG660,0)),"mixedProduct")</f>
        <v>TimberInput</v>
      </c>
      <c r="DK660">
        <f>IF(DD660=1,DK$7,0)</f>
        <v>0</v>
      </c>
      <c r="DL660">
        <f>IF(DE660=1,DL$7,0)</f>
        <v>0</v>
      </c>
      <c r="DM660">
        <f>IF(DF660=1,DM$7,0)</f>
        <v>0</v>
      </c>
      <c r="DN660" t="str">
        <f>IF(DG660=1,DN$7,0)</f>
        <v>Timber</v>
      </c>
      <c r="DO660">
        <v>0</v>
      </c>
      <c r="DP660" s="143">
        <v>0</v>
      </c>
      <c r="DQ660" s="143">
        <v>0</v>
      </c>
      <c r="DR660">
        <v>0</v>
      </c>
      <c r="DS660" s="143">
        <v>0</v>
      </c>
      <c r="DT660">
        <f>SUM(DO660:DP660)</f>
        <v>0</v>
      </c>
      <c r="DU660" s="143" t="str">
        <f>IF(DO660=1,"self-calculated DF",IF(DP660=1,"external DF used","explicit C balance"))</f>
        <v>explicit C balance</v>
      </c>
      <c r="DV660" s="143">
        <v>0</v>
      </c>
      <c r="DW660" s="143">
        <v>0</v>
      </c>
      <c r="DX660" s="143">
        <v>0</v>
      </c>
      <c r="DY660" s="143">
        <v>1</v>
      </c>
      <c r="DZ660">
        <v>0</v>
      </c>
      <c r="EA660" s="143">
        <v>0</v>
      </c>
      <c r="EB660" s="143">
        <v>1</v>
      </c>
      <c r="EC660" s="143">
        <v>1</v>
      </c>
      <c r="ED660" s="143">
        <v>1</v>
      </c>
      <c r="EE660">
        <v>1</v>
      </c>
      <c r="EF660">
        <v>0</v>
      </c>
      <c r="EG660" s="143">
        <v>0</v>
      </c>
      <c r="EH660">
        <v>0</v>
      </c>
      <c r="EI660" s="2">
        <v>0</v>
      </c>
      <c r="EK660" t="str">
        <f>IF(AND(AND(AND(OR($DX660=1,$DW660=1),OR($EC660=1,$EA660=1)),SUM($DV660:$DZ660,$EF660)&gt;=4),SUM($EA660:$EE660)&gt;=2),"Whole sector","")</f>
        <v/>
      </c>
      <c r="EL660" t="str">
        <f>IF(AND(AND(OR($DX660=1,$DW660=1),AND($EC660=0,$EA660=0)),SUM($DV660:$DZ660,$EF660)&gt;=4),"Ecosystem approach","")</f>
        <v/>
      </c>
      <c r="EM660" s="2" t="str">
        <f>IF(AND(AND(AND($DX660=0,$DW660=0),OR($EC660=1,$EA660=1)),SUM($EB660:$EE660)&gt;=2),"Technology approach","")</f>
        <v>Technology approach</v>
      </c>
      <c r="EN660" t="s">
        <v>1917</v>
      </c>
      <c r="EP660" t="b">
        <f>IF(ISNUMBER(BU660),IF(ABS(BU660-[1]QC_indicators!$B$2)&gt;3*[1]QC_indicators!$C$2,"C ratio",IF(ISNUMBER(BY660),IF(ABS(BY660-[1]QC_indicators!$B$1)&gt;3*[1]QC_indicators!$C$1,"DF","no"))),IF(ISNUMBER(BY660),IF(ABS(BY660-[1]QC_indicators!$B$1)&gt;3*[1]QC_indicators!$C$1,"DF","no")))</f>
        <v>0</v>
      </c>
      <c r="EQ660" t="s">
        <v>1166</v>
      </c>
      <c r="ER660" s="266" t="s">
        <v>1918</v>
      </c>
      <c r="ET660" s="266" t="s">
        <v>3409</v>
      </c>
    </row>
    <row r="661" spans="1:150" ht="15" hidden="1" customHeight="1">
      <c r="A661" s="1" t="s">
        <v>658</v>
      </c>
      <c r="B661" t="s">
        <v>1907</v>
      </c>
      <c r="C661" t="s">
        <v>1908</v>
      </c>
      <c r="D661" t="s">
        <v>1909</v>
      </c>
      <c r="E661" t="s">
        <v>1910</v>
      </c>
      <c r="F661" t="s">
        <v>1911</v>
      </c>
      <c r="G661" t="s">
        <v>664</v>
      </c>
      <c r="H661" t="s">
        <v>255</v>
      </c>
      <c r="I661">
        <v>2016</v>
      </c>
      <c r="J661">
        <v>41</v>
      </c>
      <c r="K661" t="s">
        <v>1912</v>
      </c>
      <c r="M661" t="str">
        <f>LEFT($D661,FIND(",",$D661)-1)&amp;"_"&amp;I661&amp;L661</f>
        <v>Liu_2016</v>
      </c>
      <c r="N661" t="s">
        <v>223</v>
      </c>
      <c r="O661" s="145" t="s">
        <v>226</v>
      </c>
      <c r="Q661" s="266" t="s">
        <v>257</v>
      </c>
      <c r="R661" s="271" t="s">
        <v>1156</v>
      </c>
      <c r="S661" s="1" t="s">
        <v>1919</v>
      </c>
      <c r="T661" s="183">
        <v>0.55000000000000004</v>
      </c>
      <c r="U661" s="183">
        <v>0.9</v>
      </c>
      <c r="V661">
        <v>0</v>
      </c>
      <c r="W661">
        <v>0</v>
      </c>
      <c r="X661">
        <v>0</v>
      </c>
      <c r="Y661">
        <v>0</v>
      </c>
      <c r="Z661">
        <v>0</v>
      </c>
      <c r="AA661">
        <v>0</v>
      </c>
      <c r="AB661">
        <v>0</v>
      </c>
      <c r="AC661">
        <v>0</v>
      </c>
      <c r="AD661">
        <v>0</v>
      </c>
      <c r="AE661">
        <v>0</v>
      </c>
      <c r="AF661">
        <v>0</v>
      </c>
      <c r="AG661">
        <v>1</v>
      </c>
      <c r="AH661">
        <v>0</v>
      </c>
      <c r="AI661">
        <v>0</v>
      </c>
      <c r="AJ661">
        <v>0</v>
      </c>
      <c r="AK661">
        <v>0</v>
      </c>
      <c r="AL661">
        <v>0</v>
      </c>
      <c r="AM661">
        <v>0</v>
      </c>
      <c r="AN661">
        <v>0</v>
      </c>
      <c r="AO661">
        <v>0</v>
      </c>
      <c r="AP661">
        <v>0</v>
      </c>
      <c r="AQ661">
        <v>0</v>
      </c>
      <c r="AR661">
        <v>0</v>
      </c>
      <c r="AS661">
        <v>0</v>
      </c>
      <c r="AT661">
        <v>0</v>
      </c>
      <c r="AU661">
        <v>0</v>
      </c>
      <c r="AV661">
        <v>0</v>
      </c>
      <c r="AW661">
        <v>0</v>
      </c>
      <c r="AX661" s="141">
        <f>COUNTIF(V661:AW661,"&lt;&gt;0")</f>
        <v>1</v>
      </c>
      <c r="AY661" s="141">
        <f>COUNTIF(V661:AL661,"&lt;&gt;0")</f>
        <v>1</v>
      </c>
      <c r="AZ661">
        <f>COUNTIF(V661:AC661,"&lt;&gt;0")</f>
        <v>0</v>
      </c>
      <c r="BA661">
        <f>COUNTIF(AD661:AI661,"&lt;&gt;0")</f>
        <v>1</v>
      </c>
      <c r="BB661">
        <f>COUNTIF(AJ661:AL661,"&lt;&gt;0")</f>
        <v>0</v>
      </c>
      <c r="BC661">
        <f>COUNTIF(AS661:AW661,"&lt;&gt;0")</f>
        <v>0</v>
      </c>
      <c r="BD661">
        <f>COUNTIF(AM661:AR661,"&lt;&gt;0")</f>
        <v>0</v>
      </c>
      <c r="BE661" t="str" cm="1">
        <f t="array" ref="BE661">IF(AY661=1,INDEX($V$7:$AL$7,MATCH(TRUE,INDEX($V661:$AW661&lt;&gt;0,),0)),IF(AY661=0,INDEX($AM$7:$AW$7,MATCH(1,$AM661:$AW661,0)),IF(BF661="Multiple strategies","mixed drivers",IF(BF661="Supply chain","multiple supply","multiple silviculture"))))</f>
        <v>recycling</v>
      </c>
      <c r="BF661" s="2" t="str" cm="1">
        <f t="array" ref="BF661">IF(COUNTIF(AZ661:BB661,"&lt;&gt;0")=1,INDEX($V$4:$AW$4,MATCH(TRUE,INDEX($V661:$AW661&lt;&gt;0,),0)),IF(COUNTIF(AZ661:BB661,"&lt;&gt;0")=0,INDEX($AM$4:$AW$4,MATCH(1,$AM661:$AW661,0)),"Multiple strategies"))</f>
        <v>Supply chain</v>
      </c>
      <c r="BG661" s="142" t="s">
        <v>230</v>
      </c>
      <c r="BH661" t="s">
        <v>1914</v>
      </c>
      <c r="BJ661" s="143" t="s">
        <v>1915</v>
      </c>
      <c r="BK661">
        <v>606</v>
      </c>
      <c r="BL661" s="143">
        <v>606</v>
      </c>
      <c r="BM661" s="163"/>
      <c r="BN661">
        <f>BL661-BK661</f>
        <v>0</v>
      </c>
      <c r="BO661" s="143">
        <f>BN661*t_to_m3</f>
        <v>0</v>
      </c>
      <c r="BP661" s="266" t="s">
        <v>233</v>
      </c>
      <c r="BQ661" s="266"/>
      <c r="BR661" t="s">
        <v>1916</v>
      </c>
      <c r="BS661" s="143">
        <v>-2995.2510000000002</v>
      </c>
      <c r="BT661">
        <v>-2771.3070000000002</v>
      </c>
      <c r="BU661" s="144">
        <v>0.92523364485981308</v>
      </c>
      <c r="BV661">
        <f>BT661-BS661</f>
        <v>223.94399999999996</v>
      </c>
      <c r="BX661">
        <f>BV661</f>
        <v>223.94399999999996</v>
      </c>
      <c r="BY661" t="str">
        <f>IFERROR(BX661/BO661,"")</f>
        <v/>
      </c>
      <c r="BZ661">
        <v>0</v>
      </c>
      <c r="CA661">
        <v>0</v>
      </c>
      <c r="CB661">
        <v>0</v>
      </c>
      <c r="CC661">
        <v>0</v>
      </c>
      <c r="CD661">
        <v>0</v>
      </c>
      <c r="CE661">
        <v>0</v>
      </c>
      <c r="CF661">
        <v>0</v>
      </c>
      <c r="CG661">
        <v>0</v>
      </c>
      <c r="CH661">
        <v>0</v>
      </c>
      <c r="CI661">
        <v>0</v>
      </c>
      <c r="CJ661">
        <v>0</v>
      </c>
      <c r="CK661">
        <v>0</v>
      </c>
      <c r="CL661">
        <v>0</v>
      </c>
      <c r="CM661">
        <v>0</v>
      </c>
      <c r="CN661" t="str">
        <f>IF($BL661&lt;$BK661,"refNeedCorrection","refOK")</f>
        <v>refOK</v>
      </c>
      <c r="CO661">
        <f>IF($CN661="refNeedCorrection",BL661,BK661)</f>
        <v>606</v>
      </c>
      <c r="CP661">
        <f>IF($CN661="refNeedCorrection",BK661,BL661)</f>
        <v>606</v>
      </c>
      <c r="CQ661">
        <f>IF($CN661="refOK",$BO661,-$BO661)</f>
        <v>0</v>
      </c>
      <c r="CR661">
        <f>IF($CN661="refOK",$BS661,$BT661)*IF($BP661="Emissions positive",-1,1)</f>
        <v>-2995.2510000000002</v>
      </c>
      <c r="CS661">
        <f>IF($CN661="refOK",$BT661,$BS661)*IF($BP661="Emissions positive",-1,1)</f>
        <v>-2771.3070000000002</v>
      </c>
      <c r="CT661">
        <f>IF($CN661="refNeedCorrection",-BX661,BX661)*IF($BP661="Emissions positive",-1,1)</f>
        <v>223.94399999999996</v>
      </c>
      <c r="CU661" t="str">
        <f>IFERROR(CT661/CQ661,"")</f>
        <v/>
      </c>
      <c r="CV661" s="2">
        <f>IFERROR((CS661-CR661)/ABS(CR661),"")</f>
        <v>7.4766355140186896E-2</v>
      </c>
      <c r="CW661" s="1" t="s">
        <v>1201</v>
      </c>
      <c r="CX661" s="266" t="str">
        <f>IF(OR($CW661="prd",$CW661="std",$CW661="cit"),"loc",IF(OR($CW661="eur",$CW661="reg",$CW661="coy"),"reg",$CW661))</f>
        <v>reg</v>
      </c>
      <c r="CY661" t="s">
        <v>692</v>
      </c>
      <c r="DA661" s="143"/>
      <c r="DB661" s="143">
        <v>50</v>
      </c>
      <c r="DC661" t="str">
        <f>IF(DB661=0,"0",IF(AND(DB661&gt;=1,DB661&lt;=30),"1-30",IF(AND(DB661&gt;30,DB661&lt;=70),"31-70",IF(AND(DB661&gt;70,DB661&lt;=100),"71-100",IF(DB661&gt;100,"+100")))))</f>
        <v>31-70</v>
      </c>
      <c r="DD661">
        <v>0</v>
      </c>
      <c r="DE661">
        <v>0</v>
      </c>
      <c r="DF661">
        <v>0</v>
      </c>
      <c r="DG661">
        <v>1</v>
      </c>
      <c r="DI661">
        <f>SUM(DD661:DG661)</f>
        <v>1</v>
      </c>
      <c r="DJ661" t="str">
        <f>IF(DI661=1,INDEX($DD$7:$DG$7,MATCH(1,$DD661:$DG661,0)),"mixedProduct")</f>
        <v>TimberInput</v>
      </c>
      <c r="DK661">
        <f>IF(DD661=1,DK$7,0)</f>
        <v>0</v>
      </c>
      <c r="DL661">
        <f>IF(DE661=1,DL$7,0)</f>
        <v>0</v>
      </c>
      <c r="DM661">
        <f>IF(DF661=1,DM$7,0)</f>
        <v>0</v>
      </c>
      <c r="DN661" t="str">
        <f>IF(DG661=1,DN$7,0)</f>
        <v>Timber</v>
      </c>
      <c r="DO661">
        <v>0</v>
      </c>
      <c r="DP661" s="143">
        <v>0</v>
      </c>
      <c r="DQ661" s="143">
        <v>0</v>
      </c>
      <c r="DR661">
        <v>0</v>
      </c>
      <c r="DS661" s="143">
        <v>0</v>
      </c>
      <c r="DT661">
        <f>SUM(DO661:DP661)</f>
        <v>0</v>
      </c>
      <c r="DU661" s="143" t="str">
        <f>IF(DO661=1,"self-calculated DF",IF(DP661=1,"external DF used","explicit C balance"))</f>
        <v>explicit C balance</v>
      </c>
      <c r="DV661" s="143">
        <v>0</v>
      </c>
      <c r="DW661" s="143">
        <v>0</v>
      </c>
      <c r="DX661" s="143">
        <v>0</v>
      </c>
      <c r="DY661" s="143">
        <v>1</v>
      </c>
      <c r="DZ661">
        <v>0</v>
      </c>
      <c r="EA661" s="143">
        <v>0</v>
      </c>
      <c r="EB661" s="143">
        <v>1</v>
      </c>
      <c r="EC661" s="143">
        <v>1</v>
      </c>
      <c r="ED661" s="143">
        <v>1</v>
      </c>
      <c r="EE661">
        <v>1</v>
      </c>
      <c r="EF661">
        <v>0</v>
      </c>
      <c r="EG661" s="143">
        <v>0</v>
      </c>
      <c r="EH661">
        <v>0</v>
      </c>
      <c r="EI661" s="2">
        <v>0</v>
      </c>
      <c r="EK661" t="str">
        <f>IF(AND(AND(AND(OR($DX661=1,$DW661=1),OR($EC661=1,$EA661=1)),SUM($DV661:$DZ661,$EF661)&gt;=4),SUM($EA661:$EE661)&gt;=2),"Whole sector","")</f>
        <v/>
      </c>
      <c r="EL661" t="str">
        <f>IF(AND(AND(OR($DX661=1,$DW661=1),AND($EC661=0,$EA661=0)),SUM($DV661:$DZ661,$EF661)&gt;=4),"Ecosystem approach","")</f>
        <v/>
      </c>
      <c r="EM661" s="2" t="str">
        <f>IF(AND(AND(AND($DX661=0,$DW661=0),OR($EC661=1,$EA661=1)),SUM($EB661:$EE661)&gt;=2),"Technology approach","")</f>
        <v>Technology approach</v>
      </c>
      <c r="EN661" t="s">
        <v>1917</v>
      </c>
      <c r="EP661" t="b">
        <f>IF(ISNUMBER(BU661),IF(ABS(BU661-[1]QC_indicators!$B$2)&gt;3*[1]QC_indicators!$C$2,"C ratio",IF(ISNUMBER(BY661),IF(ABS(BY661-[1]QC_indicators!$B$1)&gt;3*[1]QC_indicators!$C$1,"DF","no"))),IF(ISNUMBER(BY661),IF(ABS(BY661-[1]QC_indicators!$B$1)&gt;3*[1]QC_indicators!$C$1,"DF","no")))</f>
        <v>0</v>
      </c>
      <c r="EQ661" t="s">
        <v>1166</v>
      </c>
      <c r="ER661" s="266" t="s">
        <v>1918</v>
      </c>
      <c r="ET661" s="266" t="s">
        <v>3409</v>
      </c>
    </row>
    <row r="662" spans="1:150" ht="15" hidden="1" customHeight="1">
      <c r="A662" s="1" t="s">
        <v>850</v>
      </c>
      <c r="B662" t="s">
        <v>851</v>
      </c>
      <c r="C662" t="s">
        <v>852</v>
      </c>
      <c r="D662" t="s">
        <v>853</v>
      </c>
      <c r="E662" t="s">
        <v>854</v>
      </c>
      <c r="F662" t="s">
        <v>855</v>
      </c>
      <c r="G662" t="s">
        <v>856</v>
      </c>
      <c r="H662" t="s">
        <v>255</v>
      </c>
      <c r="I662">
        <v>2020</v>
      </c>
      <c r="J662">
        <v>5</v>
      </c>
      <c r="K662" t="s">
        <v>857</v>
      </c>
      <c r="M662" t="str">
        <f>LEFT($D662,FIND(",",$D662)-1)&amp;"_"&amp;I662&amp;L662</f>
        <v>Lan_2020</v>
      </c>
      <c r="N662" t="s">
        <v>223</v>
      </c>
      <c r="O662" s="145" t="s">
        <v>226</v>
      </c>
      <c r="Q662" t="s">
        <v>257</v>
      </c>
      <c r="R662" s="264" t="s">
        <v>224</v>
      </c>
      <c r="S662" s="1" t="s">
        <v>858</v>
      </c>
      <c r="T662" t="s">
        <v>859</v>
      </c>
      <c r="U662" t="s">
        <v>860</v>
      </c>
      <c r="V662">
        <v>0</v>
      </c>
      <c r="W662">
        <v>0</v>
      </c>
      <c r="X662">
        <v>0</v>
      </c>
      <c r="Y662">
        <v>0</v>
      </c>
      <c r="Z662">
        <v>0</v>
      </c>
      <c r="AA662">
        <v>0</v>
      </c>
      <c r="AB662">
        <v>0</v>
      </c>
      <c r="AC662">
        <v>0</v>
      </c>
      <c r="AD662">
        <v>0</v>
      </c>
      <c r="AE662">
        <v>0</v>
      </c>
      <c r="AF662">
        <v>0</v>
      </c>
      <c r="AG662">
        <v>0</v>
      </c>
      <c r="AH662">
        <v>1</v>
      </c>
      <c r="AI662">
        <v>0</v>
      </c>
      <c r="AJ662">
        <v>0</v>
      </c>
      <c r="AK662">
        <v>0</v>
      </c>
      <c r="AL662">
        <v>0</v>
      </c>
      <c r="AM662">
        <v>0</v>
      </c>
      <c r="AN662">
        <v>0</v>
      </c>
      <c r="AO662">
        <v>0</v>
      </c>
      <c r="AP662">
        <v>0</v>
      </c>
      <c r="AQ662">
        <v>0</v>
      </c>
      <c r="AR662">
        <v>0</v>
      </c>
      <c r="AS662">
        <v>0</v>
      </c>
      <c r="AT662">
        <v>0</v>
      </c>
      <c r="AU662">
        <v>0</v>
      </c>
      <c r="AV662">
        <v>0</v>
      </c>
      <c r="AW662">
        <v>0</v>
      </c>
      <c r="AX662" s="141">
        <f>COUNTIF(V662:AW662,"&lt;&gt;0")</f>
        <v>1</v>
      </c>
      <c r="AY662" s="141">
        <f>COUNTIF(V662:AL662,"&lt;&gt;0")</f>
        <v>1</v>
      </c>
      <c r="AZ662">
        <f>COUNTIF(V662:AC662,"&lt;&gt;0")</f>
        <v>0</v>
      </c>
      <c r="BA662">
        <f>COUNTIF(AD662:AI662,"&lt;&gt;0")</f>
        <v>1</v>
      </c>
      <c r="BB662">
        <f>COUNTIF(AJ662:AL662,"&lt;&gt;0")</f>
        <v>0</v>
      </c>
      <c r="BC662">
        <f>COUNTIF(AS662:AW662,"&lt;&gt;0")</f>
        <v>0</v>
      </c>
      <c r="BD662">
        <f>COUNTIF(AM662:AR662,"&lt;&gt;0")</f>
        <v>0</v>
      </c>
      <c r="BE662" t="str">
        <f t="array" ref="BE662">IF(AY662=1,INDEX($V$7:$AL$7,MATCH(TRUE,INDEX($V662:$AW662&lt;&gt;0,),0)),IF(AY662=0,INDEX($AM$7:$AW$7,MATCH(1,$AM662:$AW662,0)),IF(BF662="Multiple strategies","mixed drivers",IF(BF662="Supply chain","multiple supply","multiple silviculture"))))</f>
        <v xml:space="preserve">end of life disposal </v>
      </c>
      <c r="BF662" s="2" t="str" cm="1">
        <f t="array" ref="BF662">IF(COUNTIF(AZ662:BB662,"&lt;&gt;0")=1,INDEX($V$4:$AW$4,MATCH(TRUE,INDEX($V662:$AW662&lt;&gt;0,),0)),IF(COUNTIF(AZ662:BB662,"&lt;&gt;0")=0,INDEX($AM$4:$AW$4,MATCH(1,$AM662:$AW662,0)),"Multiple strategies"))</f>
        <v>Supply chain</v>
      </c>
      <c r="BG662" s="142"/>
      <c r="BJ662" s="143"/>
      <c r="BL662" s="143"/>
      <c r="BM662" s="163"/>
      <c r="BN662" s="158"/>
      <c r="BO662" s="143"/>
      <c r="BP662" t="s">
        <v>233</v>
      </c>
      <c r="BQ662" s="153" t="s">
        <v>430</v>
      </c>
      <c r="BR662" t="s">
        <v>861</v>
      </c>
      <c r="BS662">
        <v>726.60500000000002</v>
      </c>
      <c r="BT662">
        <v>739.44899999999996</v>
      </c>
      <c r="BU662" s="144">
        <f>IFERROR(BT662/BS662,"")</f>
        <v>1.0176767294472235</v>
      </c>
      <c r="BV662">
        <f>BT662-BS662</f>
        <v>12.843999999999937</v>
      </c>
      <c r="BX662">
        <f>BV662</f>
        <v>12.843999999999937</v>
      </c>
      <c r="BY662" t="str">
        <f>IFERROR(BX662/BO662,"")</f>
        <v/>
      </c>
      <c r="BZ662">
        <v>0</v>
      </c>
      <c r="CA662">
        <v>0</v>
      </c>
      <c r="CB662">
        <v>0</v>
      </c>
      <c r="CC662">
        <v>0</v>
      </c>
      <c r="CD662">
        <v>0</v>
      </c>
      <c r="CE662">
        <v>0</v>
      </c>
      <c r="CF662">
        <v>0</v>
      </c>
      <c r="CG662">
        <v>0</v>
      </c>
      <c r="CH662">
        <v>0</v>
      </c>
      <c r="CI662">
        <v>0</v>
      </c>
      <c r="CJ662">
        <v>0</v>
      </c>
      <c r="CK662">
        <v>0</v>
      </c>
      <c r="CL662">
        <v>0</v>
      </c>
      <c r="CM662">
        <v>0</v>
      </c>
      <c r="CN662" t="str">
        <f>IF(BL662&lt;BK662,"refNeedCorrection","refOK")</f>
        <v>refOK</v>
      </c>
      <c r="CO662"/>
      <c r="CP662"/>
      <c r="CQ662"/>
      <c r="CR662">
        <f>IF($CN662="refOK",$BS662,$BT662)*IF($BP662="Emissions positive",-1,1)</f>
        <v>726.60500000000002</v>
      </c>
      <c r="CS662">
        <f>IF($CN662="refOK",$BT662,$BS662)*IF($BP662="Emissions positive",-1,1)</f>
        <v>739.44899999999996</v>
      </c>
      <c r="CT662">
        <f>IF($CN662="refNeedCorrection",-BX662,BX662)*IF($BP662="Emissions positive",-1,1)</f>
        <v>12.843999999999937</v>
      </c>
      <c r="CU662" t="str">
        <f>IFERROR(CT662/CQ662,"")</f>
        <v/>
      </c>
      <c r="CV662" s="2">
        <f>IFERROR((CS662-CR662)/ABS(CR662),"")</f>
        <v>1.7676729447223646E-2</v>
      </c>
      <c r="CW662" s="1" t="s">
        <v>235</v>
      </c>
      <c r="CX662" t="str">
        <f>IF(OR($CW662="prd",$CW662="std",$CW662="cit"),"loc",IF(OR($CW662="eur",$CW662="reg",$CW662="coy"),"reg",$CW662))</f>
        <v>loc</v>
      </c>
      <c r="CY662" t="s">
        <v>429</v>
      </c>
      <c r="CZ662">
        <v>2021</v>
      </c>
      <c r="DA662" s="143">
        <v>2120</v>
      </c>
      <c r="DB662" s="143">
        <v>100</v>
      </c>
      <c r="DC662" t="str">
        <f>IF(DB662=0,"0",IF(AND(DB662&gt;=1,DB662&lt;=30),"1-30",IF(AND(DB662&gt;30,DB662&lt;=70),"31-70",IF(AND(DB662&gt;70,DB662&lt;=100),"71-100",IF(DB662&gt;100,"+100")))))</f>
        <v>71-100</v>
      </c>
      <c r="DD662">
        <v>1</v>
      </c>
      <c r="DE662">
        <v>1</v>
      </c>
      <c r="DF662">
        <v>0</v>
      </c>
      <c r="DG662">
        <v>1</v>
      </c>
      <c r="DI662">
        <f>SUM(DD662:DG662)</f>
        <v>3</v>
      </c>
      <c r="DJ662" t="str">
        <f>IF(DI662=1,INDEX($DD$7:$DG$7,MATCH(1,$DD662:$DG662,0)),"mixedProduct")</f>
        <v>mixedProduct</v>
      </c>
      <c r="DK662" t="str">
        <f>IF(DD662=1,DK$7,0)</f>
        <v>Upstream</v>
      </c>
      <c r="DL662" t="str">
        <f>IF(DE662=1,DL$7,0)</f>
        <v>Energy</v>
      </c>
      <c r="DM662">
        <f>IF(DF662=1,DM$7,0)</f>
        <v>0</v>
      </c>
      <c r="DN662" t="str">
        <f>IF(DG662=1,DN$7,0)</f>
        <v>Timber</v>
      </c>
      <c r="DO662">
        <v>0</v>
      </c>
      <c r="DP662" s="143">
        <v>0</v>
      </c>
      <c r="DQ662" s="143">
        <v>0</v>
      </c>
      <c r="DR662">
        <v>0</v>
      </c>
      <c r="DS662" s="143">
        <v>0</v>
      </c>
      <c r="DT662">
        <f>SUM(DO662:DP662)</f>
        <v>0</v>
      </c>
      <c r="DU662" s="143" t="str">
        <f>IF(DO662=1,"self-calculated DF",IF(DP662=1,"external DF used","explicit C balance"))</f>
        <v>explicit C balance</v>
      </c>
      <c r="DV662" s="143">
        <v>0</v>
      </c>
      <c r="DW662" s="143">
        <v>1</v>
      </c>
      <c r="DX662" s="143">
        <v>1</v>
      </c>
      <c r="DY662" s="143">
        <v>1</v>
      </c>
      <c r="DZ662">
        <v>1</v>
      </c>
      <c r="EA662" s="143">
        <v>0</v>
      </c>
      <c r="EB662" s="143">
        <v>1</v>
      </c>
      <c r="EC662" s="143">
        <v>1</v>
      </c>
      <c r="ED662" s="143">
        <v>1</v>
      </c>
      <c r="EE662">
        <v>0</v>
      </c>
      <c r="EF662">
        <v>1</v>
      </c>
      <c r="EG662" s="143">
        <v>1</v>
      </c>
      <c r="EH662">
        <v>0</v>
      </c>
      <c r="EI662" s="2">
        <v>0</v>
      </c>
      <c r="EK662" t="str">
        <f>IF(AND(AND(AND(OR($DX662=1,$DW662=1),OR($EC662=1,$EA662=1)),SUM($DV662:$DZ662,$EF662)&gt;=4),SUM($EA662:$EE662)&gt;=2),"Whole sector","")</f>
        <v>Whole sector</v>
      </c>
      <c r="EL662" t="str">
        <f>IF(AND(AND(OR($DX662=1,$DW662=1),AND($EC662=0,$EA662=0)),SUM($DV662:$DZ662,$EF662)&gt;=4),"Ecosystem approach","")</f>
        <v/>
      </c>
      <c r="EM662" s="2" t="str">
        <f>IF(AND(AND(AND($DX662=0,$DW662=0),OR($EC662=1,$EA662=1)),SUM($EB662:$EE662)&gt;=2),"Technology approach","")</f>
        <v/>
      </c>
      <c r="EP662" t="b">
        <f>IF(ISNUMBER(BU662),IF(ABS(BU662-[2]QC_indicators!$B$2)&gt;3*[2]QC_indicators!$C$2,"C ratio",IF(ISNUMBER(BY662),IF(ABS(BY662-[2]QC_indicators!$B$1)&gt;3*[2]QC_indicators!$C$1,"DF","no"))),IF(ISNUMBER(BY662),IF(ABS(BY662-[2]QC_indicators!$B$1)&gt;3*[2]QC_indicators!$C$1,"DF","no")))</f>
        <v>0</v>
      </c>
      <c r="ER662" t="s">
        <v>862</v>
      </c>
      <c r="ET662" s="266" t="s">
        <v>3153</v>
      </c>
    </row>
    <row r="663" spans="1:150" ht="15" hidden="1" customHeight="1">
      <c r="A663" s="1" t="s">
        <v>850</v>
      </c>
      <c r="B663" t="s">
        <v>851</v>
      </c>
      <c r="C663" t="s">
        <v>852</v>
      </c>
      <c r="D663" t="s">
        <v>853</v>
      </c>
      <c r="E663" t="s">
        <v>854</v>
      </c>
      <c r="F663" t="s">
        <v>855</v>
      </c>
      <c r="G663" t="s">
        <v>856</v>
      </c>
      <c r="H663" t="s">
        <v>255</v>
      </c>
      <c r="I663">
        <v>2020</v>
      </c>
      <c r="J663">
        <v>5</v>
      </c>
      <c r="K663" t="s">
        <v>857</v>
      </c>
      <c r="M663" t="str">
        <f>LEFT($D663,FIND(",",$D663)-1)&amp;"_"&amp;I663&amp;L663</f>
        <v>Lan_2020</v>
      </c>
      <c r="N663" t="s">
        <v>223</v>
      </c>
      <c r="O663" s="145" t="s">
        <v>226</v>
      </c>
      <c r="Q663" t="s">
        <v>257</v>
      </c>
      <c r="R663" s="264" t="s">
        <v>224</v>
      </c>
      <c r="S663" s="1" t="s">
        <v>858</v>
      </c>
      <c r="T663" t="s">
        <v>863</v>
      </c>
      <c r="U663" t="s">
        <v>864</v>
      </c>
      <c r="V663">
        <v>0</v>
      </c>
      <c r="W663">
        <v>0</v>
      </c>
      <c r="X663">
        <v>0</v>
      </c>
      <c r="Y663">
        <v>0</v>
      </c>
      <c r="Z663">
        <v>0</v>
      </c>
      <c r="AA663">
        <v>0</v>
      </c>
      <c r="AB663">
        <v>0</v>
      </c>
      <c r="AC663">
        <v>0</v>
      </c>
      <c r="AD663">
        <v>0</v>
      </c>
      <c r="AE663">
        <v>0</v>
      </c>
      <c r="AF663">
        <v>0</v>
      </c>
      <c r="AG663">
        <v>0</v>
      </c>
      <c r="AH663">
        <v>1</v>
      </c>
      <c r="AI663">
        <v>0</v>
      </c>
      <c r="AJ663">
        <v>0</v>
      </c>
      <c r="AK663">
        <v>0</v>
      </c>
      <c r="AL663">
        <v>0</v>
      </c>
      <c r="AM663">
        <v>0</v>
      </c>
      <c r="AN663">
        <v>0</v>
      </c>
      <c r="AO663">
        <v>0</v>
      </c>
      <c r="AP663">
        <v>0</v>
      </c>
      <c r="AQ663">
        <v>0</v>
      </c>
      <c r="AR663">
        <v>0</v>
      </c>
      <c r="AS663">
        <v>0</v>
      </c>
      <c r="AT663">
        <v>0</v>
      </c>
      <c r="AU663">
        <v>0</v>
      </c>
      <c r="AV663">
        <v>0</v>
      </c>
      <c r="AW663">
        <v>0</v>
      </c>
      <c r="AX663" s="141">
        <f>COUNTIF(V663:AW663,"&lt;&gt;0")</f>
        <v>1</v>
      </c>
      <c r="AY663" s="141">
        <f>COUNTIF(V663:AL663,"&lt;&gt;0")</f>
        <v>1</v>
      </c>
      <c r="AZ663">
        <f>COUNTIF(V663:AC663,"&lt;&gt;0")</f>
        <v>0</v>
      </c>
      <c r="BA663">
        <f>COUNTIF(AD663:AI663,"&lt;&gt;0")</f>
        <v>1</v>
      </c>
      <c r="BB663">
        <f>COUNTIF(AJ663:AL663,"&lt;&gt;0")</f>
        <v>0</v>
      </c>
      <c r="BC663">
        <f>COUNTIF(AS663:AW663,"&lt;&gt;0")</f>
        <v>0</v>
      </c>
      <c r="BD663">
        <f>COUNTIF(AM663:AR663,"&lt;&gt;0")</f>
        <v>0</v>
      </c>
      <c r="BE663" t="str">
        <f t="array" ref="BE663">IF(AY663=1,INDEX($V$7:$AL$7,MATCH(TRUE,INDEX($V663:$AW663&lt;&gt;0,),0)),IF(AY663=0,INDEX($AM$7:$AW$7,MATCH(1,$AM663:$AW663,0)),IF(BF663="Multiple strategies","mixed drivers",IF(BF663="Supply chain","multiple supply","multiple silviculture"))))</f>
        <v xml:space="preserve">end of life disposal </v>
      </c>
      <c r="BF663" s="2" t="str" cm="1">
        <f t="array" ref="BF663">IF(COUNTIF(AZ663:BB663,"&lt;&gt;0")=1,INDEX($V$4:$AW$4,MATCH(TRUE,INDEX($V663:$AW663&lt;&gt;0,),0)),IF(COUNTIF(AZ663:BB663,"&lt;&gt;0")=0,INDEX($AM$4:$AW$4,MATCH(1,$AM663:$AW663,0)),"Multiple strategies"))</f>
        <v>Supply chain</v>
      </c>
      <c r="BG663" s="142"/>
      <c r="BJ663" s="143"/>
      <c r="BL663" s="143"/>
      <c r="BM663" s="163"/>
      <c r="BN663" s="158"/>
      <c r="BO663" s="143"/>
      <c r="BP663" t="s">
        <v>233</v>
      </c>
      <c r="BQ663" s="153" t="s">
        <v>430</v>
      </c>
      <c r="BR663" t="s">
        <v>861</v>
      </c>
      <c r="BS663">
        <v>816.51300000000003</v>
      </c>
      <c r="BT663">
        <v>829.35699999999997</v>
      </c>
      <c r="BU663" s="144">
        <f>IFERROR(BT663/BS663,"")</f>
        <v>1.0157303068046681</v>
      </c>
      <c r="BV663">
        <f>BT663-BS663</f>
        <v>12.843999999999937</v>
      </c>
      <c r="BX663">
        <f>BV663</f>
        <v>12.843999999999937</v>
      </c>
      <c r="BY663" t="str">
        <f>IFERROR(BX663/BO663,"")</f>
        <v/>
      </c>
      <c r="BZ663">
        <v>0</v>
      </c>
      <c r="CA663">
        <v>0</v>
      </c>
      <c r="CB663">
        <v>0</v>
      </c>
      <c r="CC663">
        <v>0</v>
      </c>
      <c r="CD663">
        <v>0</v>
      </c>
      <c r="CE663">
        <v>0</v>
      </c>
      <c r="CF663">
        <v>0</v>
      </c>
      <c r="CG663">
        <v>0</v>
      </c>
      <c r="CH663">
        <v>0</v>
      </c>
      <c r="CI663">
        <v>0</v>
      </c>
      <c r="CJ663">
        <v>0</v>
      </c>
      <c r="CK663">
        <v>0</v>
      </c>
      <c r="CL663">
        <v>0</v>
      </c>
      <c r="CM663">
        <v>0</v>
      </c>
      <c r="CN663" t="str">
        <f>IF(BL663&lt;BK663,"refNeedCorrection","refOK")</f>
        <v>refOK</v>
      </c>
      <c r="CO663"/>
      <c r="CP663"/>
      <c r="CQ663"/>
      <c r="CR663">
        <f>IF($CN663="refOK",$BS663,$BT663)*IF($BP663="Emissions positive",-1,1)</f>
        <v>816.51300000000003</v>
      </c>
      <c r="CS663">
        <f>IF($CN663="refOK",$BT663,$BS663)*IF($BP663="Emissions positive",-1,1)</f>
        <v>829.35699999999997</v>
      </c>
      <c r="CT663">
        <f>IF($CN663="refNeedCorrection",-BX663,BX663)*IF($BP663="Emissions positive",-1,1)</f>
        <v>12.843999999999937</v>
      </c>
      <c r="CU663" t="str">
        <f>IFERROR(CT663/CQ663,"")</f>
        <v/>
      </c>
      <c r="CV663" s="2">
        <f>IFERROR((CS663-CR663)/ABS(CR663),"")</f>
        <v>1.5730306804668068E-2</v>
      </c>
      <c r="CW663" s="1" t="s">
        <v>235</v>
      </c>
      <c r="CX663" t="str">
        <f>IF(OR($CW663="prd",$CW663="std",$CW663="cit"),"loc",IF(OR($CW663="eur",$CW663="reg",$CW663="coy"),"reg",$CW663))</f>
        <v>loc</v>
      </c>
      <c r="CY663" t="s">
        <v>429</v>
      </c>
      <c r="CZ663">
        <v>2021</v>
      </c>
      <c r="DA663" s="143">
        <v>2120</v>
      </c>
      <c r="DB663" s="143">
        <v>100</v>
      </c>
      <c r="DC663" t="str">
        <f>IF(DB663=0,"0",IF(AND(DB663&gt;=1,DB663&lt;=30),"1-30",IF(AND(DB663&gt;30,DB663&lt;=70),"31-70",IF(AND(DB663&gt;70,DB663&lt;=100),"71-100",IF(DB663&gt;100,"+100")))))</f>
        <v>71-100</v>
      </c>
      <c r="DD663">
        <v>1</v>
      </c>
      <c r="DE663">
        <v>1</v>
      </c>
      <c r="DF663">
        <v>0</v>
      </c>
      <c r="DG663">
        <v>1</v>
      </c>
      <c r="DI663">
        <f>SUM(DD663:DG663)</f>
        <v>3</v>
      </c>
      <c r="DJ663" t="str">
        <f>IF(DI663=1,INDEX($DD$7:$DG$7,MATCH(1,$DD663:$DG663,0)),"mixedProduct")</f>
        <v>mixedProduct</v>
      </c>
      <c r="DK663" t="str">
        <f>IF(DD663=1,DK$7,0)</f>
        <v>Upstream</v>
      </c>
      <c r="DL663" t="str">
        <f>IF(DE663=1,DL$7,0)</f>
        <v>Energy</v>
      </c>
      <c r="DM663">
        <f>IF(DF663=1,DM$7,0)</f>
        <v>0</v>
      </c>
      <c r="DN663" t="str">
        <f>IF(DG663=1,DN$7,0)</f>
        <v>Timber</v>
      </c>
      <c r="DO663">
        <v>0</v>
      </c>
      <c r="DP663" s="143">
        <v>0</v>
      </c>
      <c r="DQ663" s="143">
        <v>0</v>
      </c>
      <c r="DR663">
        <v>0</v>
      </c>
      <c r="DS663" s="143">
        <v>0</v>
      </c>
      <c r="DT663">
        <f>SUM(DO663:DP663)</f>
        <v>0</v>
      </c>
      <c r="DU663" s="143" t="str">
        <f>IF(DO663=1,"self-calculated DF",IF(DP663=1,"external DF used","explicit C balance"))</f>
        <v>explicit C balance</v>
      </c>
      <c r="DV663" s="143">
        <v>0</v>
      </c>
      <c r="DW663" s="143">
        <v>1</v>
      </c>
      <c r="DX663" s="143">
        <v>1</v>
      </c>
      <c r="DY663" s="143">
        <v>1</v>
      </c>
      <c r="DZ663">
        <v>1</v>
      </c>
      <c r="EA663" s="143">
        <v>0</v>
      </c>
      <c r="EB663" s="143">
        <v>1</v>
      </c>
      <c r="EC663" s="143">
        <v>1</v>
      </c>
      <c r="ED663" s="143">
        <v>1</v>
      </c>
      <c r="EE663">
        <v>0</v>
      </c>
      <c r="EF663">
        <v>1</v>
      </c>
      <c r="EG663" s="143">
        <v>1</v>
      </c>
      <c r="EH663">
        <v>0</v>
      </c>
      <c r="EI663" s="2">
        <v>0</v>
      </c>
      <c r="EK663" t="str">
        <f>IF(AND(AND(AND(OR($DX663=1,$DW663=1),OR($EC663=1,$EA663=1)),SUM($DV663:$DZ663,$EF663)&gt;=4),SUM($EA663:$EE663)&gt;=2),"Whole sector","")</f>
        <v>Whole sector</v>
      </c>
      <c r="EL663" t="str">
        <f>IF(AND(AND(OR($DX663=1,$DW663=1),AND($EC663=0,$EA663=0)),SUM($DV663:$DZ663,$EF663)&gt;=4),"Ecosystem approach","")</f>
        <v/>
      </c>
      <c r="EM663" s="2" t="str">
        <f>IF(AND(AND(AND($DX663=0,$DW663=0),OR($EC663=1,$EA663=1)),SUM($EB663:$EE663)&gt;=2),"Technology approach","")</f>
        <v/>
      </c>
      <c r="EP663" t="b">
        <f>IF(ISNUMBER(BU663),IF(ABS(BU663-[2]QC_indicators!$B$2)&gt;3*[2]QC_indicators!$C$2,"C ratio",IF(ISNUMBER(BY663),IF(ABS(BY663-[2]QC_indicators!$B$1)&gt;3*[2]QC_indicators!$C$1,"DF","no"))),IF(ISNUMBER(BY663),IF(ABS(BY663-[2]QC_indicators!$B$1)&gt;3*[2]QC_indicators!$C$1,"DF","no")))</f>
        <v>0</v>
      </c>
      <c r="ER663" t="s">
        <v>862</v>
      </c>
      <c r="ET663" s="266" t="s">
        <v>3153</v>
      </c>
    </row>
    <row r="664" spans="1:150" ht="15" hidden="1" customHeight="1">
      <c r="A664" s="1" t="s">
        <v>850</v>
      </c>
      <c r="B664" t="s">
        <v>851</v>
      </c>
      <c r="C664" t="s">
        <v>852</v>
      </c>
      <c r="D664" t="s">
        <v>853</v>
      </c>
      <c r="E664" t="s">
        <v>854</v>
      </c>
      <c r="F664" t="s">
        <v>855</v>
      </c>
      <c r="G664" t="s">
        <v>856</v>
      </c>
      <c r="H664" t="s">
        <v>255</v>
      </c>
      <c r="I664">
        <v>2020</v>
      </c>
      <c r="J664">
        <v>5</v>
      </c>
      <c r="K664" t="s">
        <v>857</v>
      </c>
      <c r="M664" t="str">
        <f>LEFT($D664,FIND(",",$D664)-1)&amp;"_"&amp;I664&amp;L664</f>
        <v>Lan_2020</v>
      </c>
      <c r="N664" t="s">
        <v>223</v>
      </c>
      <c r="O664" s="145" t="s">
        <v>226</v>
      </c>
      <c r="Q664" t="s">
        <v>257</v>
      </c>
      <c r="R664" s="264" t="s">
        <v>224</v>
      </c>
      <c r="S664" s="1" t="s">
        <v>858</v>
      </c>
      <c r="T664" t="s">
        <v>865</v>
      </c>
      <c r="U664" t="s">
        <v>866</v>
      </c>
      <c r="V664">
        <v>0</v>
      </c>
      <c r="W664">
        <v>0</v>
      </c>
      <c r="X664">
        <v>0</v>
      </c>
      <c r="Y664">
        <v>0</v>
      </c>
      <c r="Z664">
        <v>0</v>
      </c>
      <c r="AA664">
        <v>0</v>
      </c>
      <c r="AB664">
        <v>0</v>
      </c>
      <c r="AC664">
        <v>0</v>
      </c>
      <c r="AD664">
        <v>0</v>
      </c>
      <c r="AE664">
        <v>0</v>
      </c>
      <c r="AF664">
        <v>0</v>
      </c>
      <c r="AG664">
        <v>0</v>
      </c>
      <c r="AH664">
        <v>1</v>
      </c>
      <c r="AI664">
        <v>0</v>
      </c>
      <c r="AJ664">
        <v>0</v>
      </c>
      <c r="AK664">
        <v>0</v>
      </c>
      <c r="AL664">
        <v>0</v>
      </c>
      <c r="AM664">
        <v>0</v>
      </c>
      <c r="AN664">
        <v>0</v>
      </c>
      <c r="AO664">
        <v>0</v>
      </c>
      <c r="AP664">
        <v>0</v>
      </c>
      <c r="AQ664">
        <v>0</v>
      </c>
      <c r="AR664">
        <v>0</v>
      </c>
      <c r="AS664">
        <v>0</v>
      </c>
      <c r="AT664">
        <v>0</v>
      </c>
      <c r="AU664">
        <v>0</v>
      </c>
      <c r="AV664">
        <v>0</v>
      </c>
      <c r="AW664">
        <v>0</v>
      </c>
      <c r="AX664" s="141">
        <f>COUNTIF(V664:AW664,"&lt;&gt;0")</f>
        <v>1</v>
      </c>
      <c r="AY664" s="141">
        <f>COUNTIF(V664:AL664,"&lt;&gt;0")</f>
        <v>1</v>
      </c>
      <c r="AZ664">
        <f>COUNTIF(V664:AC664,"&lt;&gt;0")</f>
        <v>0</v>
      </c>
      <c r="BA664">
        <f>COUNTIF(AD664:AI664,"&lt;&gt;0")</f>
        <v>1</v>
      </c>
      <c r="BB664">
        <f>COUNTIF(AJ664:AL664,"&lt;&gt;0")</f>
        <v>0</v>
      </c>
      <c r="BC664">
        <f>COUNTIF(AS664:AW664,"&lt;&gt;0")</f>
        <v>0</v>
      </c>
      <c r="BD664">
        <f>COUNTIF(AM664:AR664,"&lt;&gt;0")</f>
        <v>0</v>
      </c>
      <c r="BE664" t="str">
        <f t="array" ref="BE664">IF(AY664=1,INDEX($V$7:$AL$7,MATCH(TRUE,INDEX($V664:$AW664&lt;&gt;0,),0)),IF(AY664=0,INDEX($AM$7:$AW$7,MATCH(1,$AM664:$AW664,0)),IF(BF664="Multiple strategies","mixed drivers",IF(BF664="Supply chain","multiple supply","multiple silviculture"))))</f>
        <v xml:space="preserve">end of life disposal </v>
      </c>
      <c r="BF664" s="2" t="str" cm="1">
        <f t="array" ref="BF664">IF(COUNTIF(AZ664:BB664,"&lt;&gt;0")=1,INDEX($V$4:$AW$4,MATCH(TRUE,INDEX($V664:$AW664&lt;&gt;0,),0)),IF(COUNTIF(AZ664:BB664,"&lt;&gt;0")=0,INDEX($AM$4:$AW$4,MATCH(1,$AM664:$AW664,0)),"Multiple strategies"))</f>
        <v>Supply chain</v>
      </c>
      <c r="BG664" s="142"/>
      <c r="BJ664" s="143"/>
      <c r="BL664" s="143"/>
      <c r="BM664" s="163"/>
      <c r="BN664" s="158"/>
      <c r="BO664" s="143"/>
      <c r="BP664" t="s">
        <v>233</v>
      </c>
      <c r="BQ664" s="153" t="s">
        <v>430</v>
      </c>
      <c r="BR664" t="s">
        <v>861</v>
      </c>
      <c r="BS664">
        <v>1124.77</v>
      </c>
      <c r="BT664">
        <v>1150.4580000000001</v>
      </c>
      <c r="BU664" s="144">
        <f>IFERROR(BT664/BS664,"")</f>
        <v>1.0228384469713809</v>
      </c>
      <c r="BV664">
        <f>BT664-BS664</f>
        <v>25.688000000000102</v>
      </c>
      <c r="BX664">
        <f>BV664</f>
        <v>25.688000000000102</v>
      </c>
      <c r="BY664" t="str">
        <f>IFERROR(BX664/BO664,"")</f>
        <v/>
      </c>
      <c r="BZ664">
        <v>0</v>
      </c>
      <c r="CA664">
        <v>0</v>
      </c>
      <c r="CB664">
        <v>0</v>
      </c>
      <c r="CC664">
        <v>0</v>
      </c>
      <c r="CD664">
        <v>0</v>
      </c>
      <c r="CE664">
        <v>0</v>
      </c>
      <c r="CF664">
        <v>0</v>
      </c>
      <c r="CG664">
        <v>0</v>
      </c>
      <c r="CH664">
        <v>0</v>
      </c>
      <c r="CI664">
        <v>0</v>
      </c>
      <c r="CJ664">
        <v>0</v>
      </c>
      <c r="CK664">
        <v>0</v>
      </c>
      <c r="CL664">
        <v>0</v>
      </c>
      <c r="CM664">
        <v>0</v>
      </c>
      <c r="CN664" t="str">
        <f>IF(BL664&lt;BK664,"refNeedCorrection","refOK")</f>
        <v>refOK</v>
      </c>
      <c r="CO664"/>
      <c r="CP664"/>
      <c r="CQ664"/>
      <c r="CR664">
        <f>IF($CN664="refOK",$BS664,$BT664)*IF($BP664="Emissions positive",-1,1)</f>
        <v>1124.77</v>
      </c>
      <c r="CS664">
        <f>IF($CN664="refOK",$BT664,$BS664)*IF($BP664="Emissions positive",-1,1)</f>
        <v>1150.4580000000001</v>
      </c>
      <c r="CT664">
        <f>IF($CN664="refNeedCorrection",-BX664,BX664)*IF($BP664="Emissions positive",-1,1)</f>
        <v>25.688000000000102</v>
      </c>
      <c r="CU664" t="str">
        <f>IFERROR(CT664/CQ664,"")</f>
        <v/>
      </c>
      <c r="CV664" s="2">
        <f>IFERROR((CS664-CR664)/ABS(CR664),"")</f>
        <v>2.2838446971380908E-2</v>
      </c>
      <c r="CW664" s="1" t="s">
        <v>235</v>
      </c>
      <c r="CX664" t="str">
        <f>IF(OR($CW664="prd",$CW664="std",$CW664="cit"),"loc",IF(OR($CW664="eur",$CW664="reg",$CW664="coy"),"reg",$CW664))</f>
        <v>loc</v>
      </c>
      <c r="CY664" t="s">
        <v>429</v>
      </c>
      <c r="CZ664">
        <v>2021</v>
      </c>
      <c r="DA664" s="143">
        <v>2120</v>
      </c>
      <c r="DB664" s="143">
        <v>100</v>
      </c>
      <c r="DC664" t="str">
        <f>IF(DB664=0,"0",IF(AND(DB664&gt;=1,DB664&lt;=30),"1-30",IF(AND(DB664&gt;30,DB664&lt;=70),"31-70",IF(AND(DB664&gt;70,DB664&lt;=100),"71-100",IF(DB664&gt;100,"+100")))))</f>
        <v>71-100</v>
      </c>
      <c r="DD664">
        <v>1</v>
      </c>
      <c r="DE664">
        <v>1</v>
      </c>
      <c r="DF664">
        <v>0</v>
      </c>
      <c r="DG664">
        <v>1</v>
      </c>
      <c r="DI664">
        <f>SUM(DD664:DG664)</f>
        <v>3</v>
      </c>
      <c r="DJ664" t="str">
        <f>IF(DI664=1,INDEX($DD$7:$DG$7,MATCH(1,$DD664:$DG664,0)),"mixedProduct")</f>
        <v>mixedProduct</v>
      </c>
      <c r="DK664" t="str">
        <f>IF(DD664=1,DK$7,0)</f>
        <v>Upstream</v>
      </c>
      <c r="DL664" t="str">
        <f>IF(DE664=1,DL$7,0)</f>
        <v>Energy</v>
      </c>
      <c r="DM664">
        <f>IF(DF664=1,DM$7,0)</f>
        <v>0</v>
      </c>
      <c r="DN664" t="str">
        <f>IF(DG664=1,DN$7,0)</f>
        <v>Timber</v>
      </c>
      <c r="DO664">
        <v>0</v>
      </c>
      <c r="DP664" s="143">
        <v>0</v>
      </c>
      <c r="DQ664" s="143">
        <v>0</v>
      </c>
      <c r="DR664">
        <v>0</v>
      </c>
      <c r="DS664" s="143">
        <v>0</v>
      </c>
      <c r="DT664">
        <f>SUM(DO664:DP664)</f>
        <v>0</v>
      </c>
      <c r="DU664" s="143" t="str">
        <f>IF(DO664=1,"self-calculated DF",IF(DP664=1,"external DF used","explicit C balance"))</f>
        <v>explicit C balance</v>
      </c>
      <c r="DV664" s="143">
        <v>0</v>
      </c>
      <c r="DW664" s="143">
        <v>1</v>
      </c>
      <c r="DX664" s="143">
        <v>1</v>
      </c>
      <c r="DY664" s="143">
        <v>1</v>
      </c>
      <c r="DZ664">
        <v>1</v>
      </c>
      <c r="EA664" s="143">
        <v>0</v>
      </c>
      <c r="EB664" s="143">
        <v>1</v>
      </c>
      <c r="EC664" s="143">
        <v>1</v>
      </c>
      <c r="ED664" s="143">
        <v>1</v>
      </c>
      <c r="EE664">
        <v>0</v>
      </c>
      <c r="EF664">
        <v>1</v>
      </c>
      <c r="EG664" s="143">
        <v>1</v>
      </c>
      <c r="EH664">
        <v>0</v>
      </c>
      <c r="EI664" s="2">
        <v>0</v>
      </c>
      <c r="EK664" t="str">
        <f>IF(AND(AND(AND(OR($DX664=1,$DW664=1),OR($EC664=1,$EA664=1)),SUM($DV664:$DZ664,$EF664)&gt;=4),SUM($EA664:$EE664)&gt;=2),"Whole sector","")</f>
        <v>Whole sector</v>
      </c>
      <c r="EL664" t="str">
        <f>IF(AND(AND(OR($DX664=1,$DW664=1),AND($EC664=0,$EA664=0)),SUM($DV664:$DZ664,$EF664)&gt;=4),"Ecosystem approach","")</f>
        <v/>
      </c>
      <c r="EM664" s="2" t="str">
        <f>IF(AND(AND(AND($DX664=0,$DW664=0),OR($EC664=1,$EA664=1)),SUM($EB664:$EE664)&gt;=2),"Technology approach","")</f>
        <v/>
      </c>
      <c r="EP664" t="b">
        <f>IF(ISNUMBER(BU664),IF(ABS(BU664-[2]QC_indicators!$B$2)&gt;3*[2]QC_indicators!$C$2,"C ratio",IF(ISNUMBER(BY664),IF(ABS(BY664-[2]QC_indicators!$B$1)&gt;3*[2]QC_indicators!$C$1,"DF","no"))),IF(ISNUMBER(BY664),IF(ABS(BY664-[2]QC_indicators!$B$1)&gt;3*[2]QC_indicators!$C$1,"DF","no")))</f>
        <v>0</v>
      </c>
      <c r="ER664" t="s">
        <v>862</v>
      </c>
      <c r="ET664" s="266" t="s">
        <v>3153</v>
      </c>
    </row>
    <row r="665" spans="1:150" ht="15" hidden="1" customHeight="1">
      <c r="A665" s="1" t="s">
        <v>850</v>
      </c>
      <c r="B665" t="s">
        <v>851</v>
      </c>
      <c r="C665" t="s">
        <v>852</v>
      </c>
      <c r="D665" t="s">
        <v>853</v>
      </c>
      <c r="E665" t="s">
        <v>854</v>
      </c>
      <c r="F665" t="s">
        <v>855</v>
      </c>
      <c r="G665" t="s">
        <v>856</v>
      </c>
      <c r="H665" t="s">
        <v>255</v>
      </c>
      <c r="I665">
        <v>2020</v>
      </c>
      <c r="J665">
        <v>5</v>
      </c>
      <c r="K665" t="s">
        <v>857</v>
      </c>
      <c r="M665" t="str">
        <f>LEFT($D665,FIND(",",$D665)-1)&amp;"_"&amp;I665&amp;L665</f>
        <v>Lan_2020</v>
      </c>
      <c r="N665" t="s">
        <v>223</v>
      </c>
      <c r="O665" s="145" t="s">
        <v>226</v>
      </c>
      <c r="Q665" t="s">
        <v>257</v>
      </c>
      <c r="R665" s="264" t="s">
        <v>224</v>
      </c>
      <c r="S665" s="1" t="s">
        <v>858</v>
      </c>
      <c r="T665" t="s">
        <v>867</v>
      </c>
      <c r="U665" t="s">
        <v>868</v>
      </c>
      <c r="V665">
        <v>0</v>
      </c>
      <c r="W665">
        <v>0</v>
      </c>
      <c r="X665">
        <v>0</v>
      </c>
      <c r="Y665">
        <v>0</v>
      </c>
      <c r="Z665">
        <v>0</v>
      </c>
      <c r="AA665">
        <v>0</v>
      </c>
      <c r="AB665">
        <v>0</v>
      </c>
      <c r="AC665">
        <v>0</v>
      </c>
      <c r="AD665">
        <v>0</v>
      </c>
      <c r="AE665">
        <v>0</v>
      </c>
      <c r="AF665">
        <v>0</v>
      </c>
      <c r="AG665">
        <v>0</v>
      </c>
      <c r="AH665">
        <v>1</v>
      </c>
      <c r="AI665">
        <v>0</v>
      </c>
      <c r="AJ665">
        <v>0</v>
      </c>
      <c r="AK665">
        <v>0</v>
      </c>
      <c r="AL665">
        <v>0</v>
      </c>
      <c r="AM665">
        <v>0</v>
      </c>
      <c r="AN665">
        <v>0</v>
      </c>
      <c r="AO665">
        <v>0</v>
      </c>
      <c r="AP665">
        <v>0</v>
      </c>
      <c r="AQ665">
        <v>0</v>
      </c>
      <c r="AR665">
        <v>0</v>
      </c>
      <c r="AS665">
        <v>0</v>
      </c>
      <c r="AT665">
        <v>0</v>
      </c>
      <c r="AU665">
        <v>0</v>
      </c>
      <c r="AV665">
        <v>0</v>
      </c>
      <c r="AW665">
        <v>0</v>
      </c>
      <c r="AX665" s="141">
        <f>COUNTIF(V665:AW665,"&lt;&gt;0")</f>
        <v>1</v>
      </c>
      <c r="AY665" s="141">
        <f>COUNTIF(V665:AL665,"&lt;&gt;0")</f>
        <v>1</v>
      </c>
      <c r="AZ665">
        <f>COUNTIF(V665:AC665,"&lt;&gt;0")</f>
        <v>0</v>
      </c>
      <c r="BA665">
        <f>COUNTIF(AD665:AI665,"&lt;&gt;0")</f>
        <v>1</v>
      </c>
      <c r="BB665">
        <f>COUNTIF(AJ665:AL665,"&lt;&gt;0")</f>
        <v>0</v>
      </c>
      <c r="BC665">
        <f>COUNTIF(AS665:AW665,"&lt;&gt;0")</f>
        <v>0</v>
      </c>
      <c r="BD665">
        <f>COUNTIF(AM665:AR665,"&lt;&gt;0")</f>
        <v>0</v>
      </c>
      <c r="BE665" t="str">
        <f t="array" ref="BE665">IF(AY665=1,INDEX($V$7:$AL$7,MATCH(TRUE,INDEX($V665:$AW665&lt;&gt;0,),0)),IF(AY665=0,INDEX($AM$7:$AW$7,MATCH(1,$AM665:$AW665,0)),IF(BF665="Multiple strategies","mixed drivers",IF(BF665="Supply chain","multiple supply","multiple silviculture"))))</f>
        <v xml:space="preserve">end of life disposal </v>
      </c>
      <c r="BF665" s="2" t="str" cm="1">
        <f t="array" ref="BF665">IF(COUNTIF(AZ665:BB665,"&lt;&gt;0")=1,INDEX($V$4:$AW$4,MATCH(TRUE,INDEX($V665:$AW665&lt;&gt;0,),0)),IF(COUNTIF(AZ665:BB665,"&lt;&gt;0")=0,INDEX($AM$4:$AW$4,MATCH(1,$AM665:$AW665,0)),"Multiple strategies"))</f>
        <v>Supply chain</v>
      </c>
      <c r="BM665" s="163"/>
      <c r="BN665" s="158"/>
      <c r="BO665" s="143"/>
      <c r="BP665" t="s">
        <v>233</v>
      </c>
      <c r="BQ665" s="153" t="s">
        <v>430</v>
      </c>
      <c r="BR665" t="s">
        <v>861</v>
      </c>
      <c r="BS665">
        <v>1266.0550000000001</v>
      </c>
      <c r="BT665">
        <v>1291.7429999999999</v>
      </c>
      <c r="BU665" s="144">
        <f>IFERROR(BT665/BS665,"")</f>
        <v>1.0202897978365868</v>
      </c>
      <c r="BV665">
        <f>BT665-BS665</f>
        <v>25.687999999999874</v>
      </c>
      <c r="BX665">
        <f>BV665</f>
        <v>25.687999999999874</v>
      </c>
      <c r="BY665" t="str">
        <f>IFERROR(BX665/BO665,"")</f>
        <v/>
      </c>
      <c r="BZ665">
        <v>0</v>
      </c>
      <c r="CA665">
        <v>0</v>
      </c>
      <c r="CB665">
        <v>0</v>
      </c>
      <c r="CC665">
        <v>0</v>
      </c>
      <c r="CD665">
        <v>0</v>
      </c>
      <c r="CE665">
        <v>0</v>
      </c>
      <c r="CF665">
        <v>0</v>
      </c>
      <c r="CG665">
        <v>0</v>
      </c>
      <c r="CH665">
        <v>0</v>
      </c>
      <c r="CI665">
        <v>0</v>
      </c>
      <c r="CJ665">
        <v>0</v>
      </c>
      <c r="CK665">
        <v>0</v>
      </c>
      <c r="CL665">
        <v>0</v>
      </c>
      <c r="CM665">
        <v>0</v>
      </c>
      <c r="CN665" t="str">
        <f>IF(BL665&lt;BK665,"refNeedCorrection","refOK")</f>
        <v>refOK</v>
      </c>
      <c r="CO665"/>
      <c r="CP665"/>
      <c r="CQ665"/>
      <c r="CR665">
        <f>IF($CN665="refOK",$BS665,$BT665)*IF($BP665="Emissions positive",-1,1)</f>
        <v>1266.0550000000001</v>
      </c>
      <c r="CS665">
        <f>IF($CN665="refOK",$BT665,$BS665)*IF($BP665="Emissions positive",-1,1)</f>
        <v>1291.7429999999999</v>
      </c>
      <c r="CT665">
        <f>IF($CN665="refNeedCorrection",-BX665,BX665)*IF($BP665="Emissions positive",-1,1)</f>
        <v>25.687999999999874</v>
      </c>
      <c r="CU665" t="str">
        <f>IFERROR(CT665/CQ665,"")</f>
        <v/>
      </c>
      <c r="CV665" s="2">
        <f>IFERROR((CS665-CR665)/ABS(CR665),"")</f>
        <v>2.0289797836586777E-2</v>
      </c>
      <c r="CW665" s="1" t="s">
        <v>235</v>
      </c>
      <c r="CX665" t="str">
        <f>IF(OR($CW665="prd",$CW665="std",$CW665="cit"),"loc",IF(OR($CW665="eur",$CW665="reg",$CW665="coy"),"reg",$CW665))</f>
        <v>loc</v>
      </c>
      <c r="CY665" t="s">
        <v>429</v>
      </c>
      <c r="CZ665">
        <v>2021</v>
      </c>
      <c r="DA665" s="143">
        <v>2120</v>
      </c>
      <c r="DB665" s="143">
        <v>100</v>
      </c>
      <c r="DC665" t="str">
        <f>IF(DB665=0,"0",IF(AND(DB665&gt;=1,DB665&lt;=30),"1-30",IF(AND(DB665&gt;30,DB665&lt;=70),"31-70",IF(AND(DB665&gt;70,DB665&lt;=100),"71-100",IF(DB665&gt;100,"+100")))))</f>
        <v>71-100</v>
      </c>
      <c r="DD665">
        <v>1</v>
      </c>
      <c r="DE665">
        <v>1</v>
      </c>
      <c r="DF665">
        <v>0</v>
      </c>
      <c r="DG665">
        <v>1</v>
      </c>
      <c r="DI665">
        <f>SUM(DD665:DG665)</f>
        <v>3</v>
      </c>
      <c r="DJ665" t="str">
        <f>IF(DI665=1,INDEX($DD$7:$DG$7,MATCH(1,$DD665:$DG665,0)),"mixedProduct")</f>
        <v>mixedProduct</v>
      </c>
      <c r="DK665" t="str">
        <f>IF(DD665=1,DK$7,0)</f>
        <v>Upstream</v>
      </c>
      <c r="DL665" t="str">
        <f>IF(DE665=1,DL$7,0)</f>
        <v>Energy</v>
      </c>
      <c r="DM665">
        <f>IF(DF665=1,DM$7,0)</f>
        <v>0</v>
      </c>
      <c r="DN665" t="str">
        <f>IF(DG665=1,DN$7,0)</f>
        <v>Timber</v>
      </c>
      <c r="DO665">
        <v>0</v>
      </c>
      <c r="DP665" s="143">
        <v>0</v>
      </c>
      <c r="DQ665" s="143">
        <v>0</v>
      </c>
      <c r="DR665">
        <v>0</v>
      </c>
      <c r="DS665" s="143">
        <v>0</v>
      </c>
      <c r="DT665">
        <f>SUM(DO665:DP665)</f>
        <v>0</v>
      </c>
      <c r="DU665" s="143" t="str">
        <f>IF(DO665=1,"self-calculated DF",IF(DP665=1,"external DF used","explicit C balance"))</f>
        <v>explicit C balance</v>
      </c>
      <c r="DV665" s="143">
        <v>0</v>
      </c>
      <c r="DW665" s="143">
        <v>1</v>
      </c>
      <c r="DX665" s="143">
        <v>1</v>
      </c>
      <c r="DY665" s="143">
        <v>1</v>
      </c>
      <c r="DZ665">
        <v>1</v>
      </c>
      <c r="EA665" s="143">
        <v>0</v>
      </c>
      <c r="EB665" s="143">
        <v>1</v>
      </c>
      <c r="EC665" s="143">
        <v>1</v>
      </c>
      <c r="ED665" s="143">
        <v>1</v>
      </c>
      <c r="EE665">
        <v>0</v>
      </c>
      <c r="EF665">
        <v>1</v>
      </c>
      <c r="EG665" s="143">
        <v>1</v>
      </c>
      <c r="EH665">
        <v>0</v>
      </c>
      <c r="EI665" s="2">
        <v>0</v>
      </c>
      <c r="EK665" t="str">
        <f>IF(AND(AND(AND(OR($DX665=1,$DW665=1),OR($EC665=1,$EA665=1)),SUM($DV665:$DZ665,$EF665)&gt;=4),SUM($EA665:$EE665)&gt;=2),"Whole sector","")</f>
        <v>Whole sector</v>
      </c>
      <c r="EL665" t="str">
        <f>IF(AND(AND(OR($DX665=1,$DW665=1),AND($EC665=0,$EA665=0)),SUM($DV665:$DZ665,$EF665)&gt;=4),"Ecosystem approach","")</f>
        <v/>
      </c>
      <c r="EM665" s="2" t="str">
        <f>IF(AND(AND(AND($DX665=0,$DW665=0),OR($EC665=1,$EA665=1)),SUM($EB665:$EE665)&gt;=2),"Technology approach","")</f>
        <v/>
      </c>
      <c r="EP665" t="b">
        <f>IF(ISNUMBER(BU665),IF(ABS(BU665-[2]QC_indicators!$B$2)&gt;3*[2]QC_indicators!$C$2,"C ratio",IF(ISNUMBER(BY665),IF(ABS(BY665-[2]QC_indicators!$B$1)&gt;3*[2]QC_indicators!$C$1,"DF","no"))),IF(ISNUMBER(BY665),IF(ABS(BY665-[2]QC_indicators!$B$1)&gt;3*[2]QC_indicators!$C$1,"DF","no")))</f>
        <v>0</v>
      </c>
      <c r="ER665" t="s">
        <v>862</v>
      </c>
      <c r="ET665" s="266" t="s">
        <v>3153</v>
      </c>
    </row>
    <row r="666" spans="1:150" ht="15" hidden="1" customHeight="1">
      <c r="A666" s="1" t="s">
        <v>850</v>
      </c>
      <c r="B666" t="s">
        <v>851</v>
      </c>
      <c r="C666" t="s">
        <v>852</v>
      </c>
      <c r="D666" t="s">
        <v>853</v>
      </c>
      <c r="E666" t="s">
        <v>854</v>
      </c>
      <c r="F666" t="s">
        <v>855</v>
      </c>
      <c r="G666" t="s">
        <v>856</v>
      </c>
      <c r="H666" t="s">
        <v>255</v>
      </c>
      <c r="I666">
        <v>2020</v>
      </c>
      <c r="J666">
        <v>5</v>
      </c>
      <c r="K666" t="s">
        <v>857</v>
      </c>
      <c r="M666" t="str">
        <f>LEFT($D666,FIND(",",$D666)-1)&amp;"_"&amp;I666&amp;L666</f>
        <v>Lan_2020</v>
      </c>
      <c r="N666" t="s">
        <v>223</v>
      </c>
      <c r="O666" s="145" t="s">
        <v>226</v>
      </c>
      <c r="Q666" t="s">
        <v>257</v>
      </c>
      <c r="R666" s="264" t="s">
        <v>224</v>
      </c>
      <c r="S666" s="1" t="s">
        <v>871</v>
      </c>
      <c r="T666" t="s">
        <v>872</v>
      </c>
      <c r="U666" t="s">
        <v>873</v>
      </c>
      <c r="V666">
        <v>0</v>
      </c>
      <c r="W666">
        <v>0</v>
      </c>
      <c r="X666">
        <v>0</v>
      </c>
      <c r="Y666">
        <v>0</v>
      </c>
      <c r="Z666">
        <v>0</v>
      </c>
      <c r="AA666">
        <v>0</v>
      </c>
      <c r="AB666">
        <v>0</v>
      </c>
      <c r="AC666">
        <v>0</v>
      </c>
      <c r="AD666">
        <v>0</v>
      </c>
      <c r="AE666">
        <v>0</v>
      </c>
      <c r="AF666">
        <v>1</v>
      </c>
      <c r="AG666">
        <v>0</v>
      </c>
      <c r="AH666">
        <v>0</v>
      </c>
      <c r="AI666">
        <v>0</v>
      </c>
      <c r="AJ666">
        <v>0</v>
      </c>
      <c r="AK666">
        <v>0</v>
      </c>
      <c r="AL666">
        <v>0</v>
      </c>
      <c r="AM666">
        <v>0</v>
      </c>
      <c r="AN666">
        <v>0</v>
      </c>
      <c r="AO666">
        <v>0</v>
      </c>
      <c r="AP666">
        <v>0</v>
      </c>
      <c r="AQ666">
        <v>0</v>
      </c>
      <c r="AR666">
        <v>0</v>
      </c>
      <c r="AS666">
        <v>0</v>
      </c>
      <c r="AT666">
        <v>0</v>
      </c>
      <c r="AU666">
        <v>0</v>
      </c>
      <c r="AV666">
        <v>0</v>
      </c>
      <c r="AW666">
        <v>0</v>
      </c>
      <c r="AX666" s="141">
        <f>COUNTIF(V666:AW666,"&lt;&gt;0")</f>
        <v>1</v>
      </c>
      <c r="AY666" s="141">
        <f>COUNTIF(V666:AL666,"&lt;&gt;0")</f>
        <v>1</v>
      </c>
      <c r="AZ666">
        <f>COUNTIF(V666:AC666,"&lt;&gt;0")</f>
        <v>0</v>
      </c>
      <c r="BA666">
        <f>COUNTIF(AD666:AI666,"&lt;&gt;0")</f>
        <v>1</v>
      </c>
      <c r="BB666">
        <f>COUNTIF(AJ666:AL666,"&lt;&gt;0")</f>
        <v>0</v>
      </c>
      <c r="BC666">
        <f>COUNTIF(AS666:AW666,"&lt;&gt;0")</f>
        <v>0</v>
      </c>
      <c r="BD666">
        <f>COUNTIF(AM666:AR666,"&lt;&gt;0")</f>
        <v>0</v>
      </c>
      <c r="BE666" t="str">
        <f t="array" ref="BE666">IF(AY666=1,INDEX($V$7:$AL$7,MATCH(TRUE,INDEX($V666:$AW666&lt;&gt;0,),0)),IF(AY666=0,INDEX($AM$7:$AW$7,MATCH(1,$AM666:$AW666,0)),IF(BF666="Multiple strategies","mixed drivers",IF(BF666="Supply chain","multiple supply","multiple silviculture"))))</f>
        <v>supply chain organization</v>
      </c>
      <c r="BF666" s="2" t="str" cm="1">
        <f t="array" ref="BF666">IF(COUNTIF(AZ666:BB666,"&lt;&gt;0")=1,INDEX($V$4:$AW$4,MATCH(TRUE,INDEX($V666:$AW666&lt;&gt;0,),0)),IF(COUNTIF(AZ666:BB666,"&lt;&gt;0")=0,INDEX($AM$4:$AW$4,MATCH(1,$AM666:$AW666,0)),"Multiple strategies"))</f>
        <v>Supply chain</v>
      </c>
      <c r="BG666" s="142"/>
      <c r="BH666" s="266"/>
      <c r="BI666" s="266"/>
      <c r="BJ666" s="143"/>
      <c r="BL666" s="143"/>
      <c r="BM666" s="163"/>
      <c r="BO666" s="159"/>
      <c r="BP666" t="s">
        <v>233</v>
      </c>
      <c r="BQ666" s="153" t="s">
        <v>430</v>
      </c>
      <c r="BR666" t="s">
        <v>861</v>
      </c>
      <c r="BS666">
        <v>1266.0550000000001</v>
      </c>
      <c r="BT666">
        <v>1124.77</v>
      </c>
      <c r="BU666" s="144">
        <f>IFERROR(BS666/BT666,"")</f>
        <v>1.1256123474132491</v>
      </c>
      <c r="BV666">
        <f>BS666-BT666</f>
        <v>141.28500000000008</v>
      </c>
      <c r="BX666">
        <f>BV666</f>
        <v>141.28500000000008</v>
      </c>
      <c r="BY666" t="str">
        <f>IFERROR(BX666/BO666,"")</f>
        <v/>
      </c>
      <c r="BZ666">
        <v>0</v>
      </c>
      <c r="CA666">
        <v>0</v>
      </c>
      <c r="CB666">
        <v>0</v>
      </c>
      <c r="CC666">
        <v>0</v>
      </c>
      <c r="CD666">
        <v>0</v>
      </c>
      <c r="CE666">
        <v>0</v>
      </c>
      <c r="CF666">
        <v>0</v>
      </c>
      <c r="CG666">
        <v>0</v>
      </c>
      <c r="CH666">
        <v>0</v>
      </c>
      <c r="CI666">
        <v>0</v>
      </c>
      <c r="CJ666">
        <v>0</v>
      </c>
      <c r="CK666">
        <v>0</v>
      </c>
      <c r="CL666">
        <v>0</v>
      </c>
      <c r="CM666">
        <v>0</v>
      </c>
      <c r="CN666" t="str">
        <f>IF(BL666&lt;BK666,"refNeedCorrection","refOK")</f>
        <v>refOK</v>
      </c>
      <c r="CO666"/>
      <c r="CP666"/>
      <c r="CQ666"/>
      <c r="CR666">
        <f>IF($CN666="refOK",$BT666,$BS666)*IF($BP666="Emissions positive",-1,1)</f>
        <v>1124.77</v>
      </c>
      <c r="CS666">
        <f>IF($CN666="refOK",$BS666,$BT666)*IF($BP666="Emissions positive",-1,1)</f>
        <v>1266.0550000000001</v>
      </c>
      <c r="CT666">
        <f>IF($CN666="refNeedCorrection",-BX666,BX666)*IF($BP666="Emissions positive",-1,1)</f>
        <v>141.28500000000008</v>
      </c>
      <c r="CU666" t="str">
        <f>IFERROR(CT666/CQ666,"")</f>
        <v/>
      </c>
      <c r="CV666" s="2">
        <f>IFERROR((CS666-CR666)/ABS(CR666),"")</f>
        <v>0.125612347413249</v>
      </c>
      <c r="CW666" s="1" t="s">
        <v>235</v>
      </c>
      <c r="CX666" t="str">
        <f>IF(OR($CW666="prd",$CW666="std",$CW666="cit"),"loc",IF(OR($CW666="eur",$CW666="reg",$CW666="coy"),"reg",$CW666))</f>
        <v>loc</v>
      </c>
      <c r="CY666" t="s">
        <v>429</v>
      </c>
      <c r="CZ666">
        <v>2021</v>
      </c>
      <c r="DA666" s="143">
        <v>2120</v>
      </c>
      <c r="DB666" s="143">
        <v>100</v>
      </c>
      <c r="DC666" t="str">
        <f>IF(DB666=0,"0",IF(AND(DB666&gt;=1,DB666&lt;=30),"1-30",IF(AND(DB666&gt;30,DB666&lt;=70),"31-70",IF(AND(DB666&gt;70,DB666&lt;=100),"71-100",IF(DB666&gt;100,"+100")))))</f>
        <v>71-100</v>
      </c>
      <c r="DD666">
        <v>0</v>
      </c>
      <c r="DE666">
        <v>1</v>
      </c>
      <c r="DF666">
        <v>0</v>
      </c>
      <c r="DG666">
        <v>0</v>
      </c>
      <c r="DI666">
        <f>SUM(DD666:DG666)</f>
        <v>1</v>
      </c>
      <c r="DJ666" t="str">
        <f>IF(DI666=1,INDEX($DD$7:$DG$7,MATCH(1,$DD666:$DG666,0)),"mixedProduct")</f>
        <v>EnergyInput</v>
      </c>
      <c r="DK666">
        <f>IF(DD666=1,DK$7,0)</f>
        <v>0</v>
      </c>
      <c r="DL666" t="str">
        <f>IF(DE666=1,DL$7,0)</f>
        <v>Energy</v>
      </c>
      <c r="DM666">
        <f>IF(DF666=1,DM$7,0)</f>
        <v>0</v>
      </c>
      <c r="DN666">
        <f>IF(DG666=1,DN$7,0)</f>
        <v>0</v>
      </c>
      <c r="DO666">
        <v>0</v>
      </c>
      <c r="DP666" s="143">
        <v>0</v>
      </c>
      <c r="DQ666" s="143">
        <v>0</v>
      </c>
      <c r="DR666">
        <v>0</v>
      </c>
      <c r="DS666" s="143">
        <v>0</v>
      </c>
      <c r="DT666">
        <f>SUM(DO666:DP666)</f>
        <v>0</v>
      </c>
      <c r="DU666" s="143" t="str">
        <f>IF(DO666=1,"self-calculated DF",IF(DP666=1,"external DF used","explicit C balance"))</f>
        <v>explicit C balance</v>
      </c>
      <c r="DV666" s="143">
        <v>0</v>
      </c>
      <c r="DW666" s="143">
        <v>1</v>
      </c>
      <c r="DX666" s="143">
        <v>1</v>
      </c>
      <c r="DY666" s="143">
        <v>1</v>
      </c>
      <c r="DZ666">
        <v>1</v>
      </c>
      <c r="EA666" s="143">
        <v>0</v>
      </c>
      <c r="EB666" s="143">
        <v>1</v>
      </c>
      <c r="EC666" s="143">
        <v>1</v>
      </c>
      <c r="ED666" s="143">
        <v>1</v>
      </c>
      <c r="EE666">
        <v>0</v>
      </c>
      <c r="EF666">
        <v>1</v>
      </c>
      <c r="EG666" s="143">
        <v>1</v>
      </c>
      <c r="EH666">
        <v>0</v>
      </c>
      <c r="EI666" s="2">
        <v>0</v>
      </c>
      <c r="EK666" t="str">
        <f>IF(AND(AND(AND(OR($DX666=1,$DW666=1),OR($EC666=1,$EA666=1)),SUM($DV666:$DZ666,$EF666)&gt;=4),SUM($EA666:$EE666)&gt;=2),"Whole sector","")</f>
        <v>Whole sector</v>
      </c>
      <c r="EL666" t="str">
        <f>IF(AND(AND(OR($DX666=1,$DW666=1),AND($EC666=0,$EA666=0)),SUM($DV666:$DZ666,$EF666)&gt;=4),"Ecosystem approach","")</f>
        <v/>
      </c>
      <c r="EM666" s="2" t="str">
        <f>IF(AND(AND(AND($DX666=0,$DW666=0),OR($EC666=1,$EA666=1)),SUM($EB666:$EE666)&gt;=2),"Technology approach","")</f>
        <v/>
      </c>
      <c r="EP666" t="b">
        <f>IF(ISNUMBER(BU666),IF(ABS(BU666-[2]QC_indicators!$B$2)&gt;3*[2]QC_indicators!$C$2,"C ratio",IF(ISNUMBER(BY666),IF(ABS(BY666-[2]QC_indicators!$B$1)&gt;3*[2]QC_indicators!$C$1,"DF","no"))),IF(ISNUMBER(BY666),IF(ABS(BY666-[2]QC_indicators!$B$1)&gt;3*[2]QC_indicators!$C$1,"DF","no")))</f>
        <v>0</v>
      </c>
      <c r="ER666" s="266" t="s">
        <v>3154</v>
      </c>
      <c r="ET666" s="266" t="s">
        <v>3155</v>
      </c>
    </row>
    <row r="667" spans="1:150" ht="15" hidden="1" customHeight="1">
      <c r="A667" s="1" t="s">
        <v>850</v>
      </c>
      <c r="B667" t="s">
        <v>851</v>
      </c>
      <c r="C667" t="s">
        <v>852</v>
      </c>
      <c r="D667" t="s">
        <v>853</v>
      </c>
      <c r="E667" t="s">
        <v>854</v>
      </c>
      <c r="F667" t="s">
        <v>855</v>
      </c>
      <c r="G667" t="s">
        <v>856</v>
      </c>
      <c r="H667" t="s">
        <v>255</v>
      </c>
      <c r="I667">
        <v>2020</v>
      </c>
      <c r="J667">
        <v>5</v>
      </c>
      <c r="K667" t="s">
        <v>857</v>
      </c>
      <c r="M667" t="str">
        <f>LEFT($D667,FIND(",",$D667)-1)&amp;"_"&amp;I667&amp;L667</f>
        <v>Lan_2020</v>
      </c>
      <c r="N667" t="s">
        <v>223</v>
      </c>
      <c r="O667" s="145" t="s">
        <v>226</v>
      </c>
      <c r="Q667" t="s">
        <v>257</v>
      </c>
      <c r="R667" s="264" t="s">
        <v>224</v>
      </c>
      <c r="S667" s="1" t="s">
        <v>871</v>
      </c>
      <c r="T667" t="s">
        <v>874</v>
      </c>
      <c r="U667" t="s">
        <v>875</v>
      </c>
      <c r="V667">
        <v>0</v>
      </c>
      <c r="W667">
        <v>0</v>
      </c>
      <c r="X667">
        <v>0</v>
      </c>
      <c r="Y667">
        <v>0</v>
      </c>
      <c r="Z667">
        <v>0</v>
      </c>
      <c r="AA667">
        <v>0</v>
      </c>
      <c r="AB667">
        <v>0</v>
      </c>
      <c r="AC667">
        <v>0</v>
      </c>
      <c r="AD667">
        <v>0</v>
      </c>
      <c r="AE667">
        <v>0</v>
      </c>
      <c r="AF667">
        <v>1</v>
      </c>
      <c r="AG667">
        <v>0</v>
      </c>
      <c r="AH667">
        <v>0</v>
      </c>
      <c r="AI667">
        <v>0</v>
      </c>
      <c r="AJ667">
        <v>0</v>
      </c>
      <c r="AK667">
        <v>0</v>
      </c>
      <c r="AL667">
        <v>0</v>
      </c>
      <c r="AM667">
        <v>0</v>
      </c>
      <c r="AN667">
        <v>0</v>
      </c>
      <c r="AO667">
        <v>0</v>
      </c>
      <c r="AP667">
        <v>0</v>
      </c>
      <c r="AQ667">
        <v>0</v>
      </c>
      <c r="AR667">
        <v>0</v>
      </c>
      <c r="AS667">
        <v>0</v>
      </c>
      <c r="AT667">
        <v>0</v>
      </c>
      <c r="AU667">
        <v>0</v>
      </c>
      <c r="AV667">
        <v>0</v>
      </c>
      <c r="AW667">
        <v>0</v>
      </c>
      <c r="AX667" s="141">
        <f>COUNTIF(V667:AW667,"&lt;&gt;0")</f>
        <v>1</v>
      </c>
      <c r="AY667" s="141">
        <f>COUNTIF(V667:AL667,"&lt;&gt;0")</f>
        <v>1</v>
      </c>
      <c r="AZ667">
        <f>COUNTIF(V667:AC667,"&lt;&gt;0")</f>
        <v>0</v>
      </c>
      <c r="BA667">
        <f>COUNTIF(AD667:AI667,"&lt;&gt;0")</f>
        <v>1</v>
      </c>
      <c r="BB667">
        <f>COUNTIF(AJ667:AL667,"&lt;&gt;0")</f>
        <v>0</v>
      </c>
      <c r="BC667">
        <f>COUNTIF(AS667:AW667,"&lt;&gt;0")</f>
        <v>0</v>
      </c>
      <c r="BD667">
        <f>COUNTIF(AM667:AR667,"&lt;&gt;0")</f>
        <v>0</v>
      </c>
      <c r="BE667" t="str">
        <f t="array" ref="BE667">IF(AY667=1,INDEX($V$7:$AL$7,MATCH(TRUE,INDEX($V667:$AW667&lt;&gt;0,),0)),IF(AY667=0,INDEX($AM$7:$AW$7,MATCH(1,$AM667:$AW667,0)),IF(BF667="Multiple strategies","mixed drivers",IF(BF667="Supply chain","multiple supply","multiple silviculture"))))</f>
        <v>supply chain organization</v>
      </c>
      <c r="BF667" s="2" t="str" cm="1">
        <f t="array" ref="BF667">IF(COUNTIF(AZ667:BB667,"&lt;&gt;0")=1,INDEX($V$4:$AW$4,MATCH(TRUE,INDEX($V667:$AW667&lt;&gt;0,),0)),IF(COUNTIF(AZ667:BB667,"&lt;&gt;0")=0,INDEX($AM$4:$AW$4,MATCH(1,$AM667:$AW667,0)),"Multiple strategies"))</f>
        <v>Supply chain</v>
      </c>
      <c r="BG667" s="142"/>
      <c r="BH667" s="266"/>
      <c r="BI667" s="266"/>
      <c r="BJ667" s="143"/>
      <c r="BL667" s="143"/>
      <c r="BM667" s="163"/>
      <c r="BO667" s="159"/>
      <c r="BP667" t="s">
        <v>233</v>
      </c>
      <c r="BQ667" s="153" t="s">
        <v>430</v>
      </c>
      <c r="BR667" t="s">
        <v>861</v>
      </c>
      <c r="BS667">
        <v>1291.7429999999999</v>
      </c>
      <c r="BT667">
        <v>1150.4580000000001</v>
      </c>
      <c r="BU667" s="144">
        <f>IFERROR(BS667/BT667,"")</f>
        <v>1.1228076122726773</v>
      </c>
      <c r="BV667">
        <f>BS667-BT667</f>
        <v>141.28499999999985</v>
      </c>
      <c r="BX667">
        <f>BV667</f>
        <v>141.28499999999985</v>
      </c>
      <c r="BY667" t="str">
        <f>IFERROR(BX667/BO667,"")</f>
        <v/>
      </c>
      <c r="BZ667">
        <v>0</v>
      </c>
      <c r="CA667">
        <v>0</v>
      </c>
      <c r="CB667">
        <v>0</v>
      </c>
      <c r="CC667">
        <v>0</v>
      </c>
      <c r="CD667">
        <v>0</v>
      </c>
      <c r="CE667">
        <v>0</v>
      </c>
      <c r="CF667">
        <v>0</v>
      </c>
      <c r="CG667">
        <v>0</v>
      </c>
      <c r="CH667">
        <v>0</v>
      </c>
      <c r="CI667">
        <v>0</v>
      </c>
      <c r="CJ667">
        <v>0</v>
      </c>
      <c r="CK667">
        <v>0</v>
      </c>
      <c r="CL667">
        <v>0</v>
      </c>
      <c r="CM667">
        <v>0</v>
      </c>
      <c r="CN667" t="str">
        <f>IF($BL667&lt;$BK667,"refNeedCorrection","refOK")</f>
        <v>refOK</v>
      </c>
      <c r="CO667"/>
      <c r="CP667"/>
      <c r="CQ667"/>
      <c r="CR667">
        <f>IF($CN667="refOK",$BT667,$BS667)*IF($BP667="Emissions positive",-1,1)</f>
        <v>1150.4580000000001</v>
      </c>
      <c r="CS667">
        <f>IF($CN667="refOK",$BS667,$BT667)*IF($BP667="Emissions positive",-1,1)</f>
        <v>1291.7429999999999</v>
      </c>
      <c r="CT667">
        <f>IF($CN667="refNeedCorrection",-BX667,BX667)*IF($BP667="Emissions positive",-1,1)</f>
        <v>141.28499999999985</v>
      </c>
      <c r="CU667" t="str">
        <f>IFERROR(CT667/CQ667,"")</f>
        <v/>
      </c>
      <c r="CV667" s="2">
        <f>IFERROR((CS667-CR667)/ABS(CR667),"")</f>
        <v>0.12280761227267735</v>
      </c>
      <c r="CW667" s="1" t="s">
        <v>235</v>
      </c>
      <c r="CX667" t="str">
        <f>IF(OR($CW667="prd",$CW667="std",$CW667="cit"),"loc",IF(OR($CW667="eur",$CW667="reg",$CW667="coy"),"reg",$CW667))</f>
        <v>loc</v>
      </c>
      <c r="CY667" t="s">
        <v>429</v>
      </c>
      <c r="CZ667">
        <v>2021</v>
      </c>
      <c r="DA667" s="143">
        <v>2120</v>
      </c>
      <c r="DB667" s="143">
        <v>100</v>
      </c>
      <c r="DC667" t="str">
        <f>IF(DB667=0,"0",IF(AND(DB667&gt;=1,DB667&lt;=30),"1-30",IF(AND(DB667&gt;30,DB667&lt;=70),"31-70",IF(AND(DB667&gt;70,DB667&lt;=100),"71-100",IF(DB667&gt;100,"+100")))))</f>
        <v>71-100</v>
      </c>
      <c r="DD667">
        <v>0</v>
      </c>
      <c r="DE667">
        <v>1</v>
      </c>
      <c r="DF667">
        <v>0</v>
      </c>
      <c r="DG667">
        <v>0</v>
      </c>
      <c r="DI667">
        <f>SUM(DD667:DG667)</f>
        <v>1</v>
      </c>
      <c r="DJ667" t="str">
        <f>IF(DI667=1,INDEX($DD$7:$DG$7,MATCH(1,$DD667:$DG667,0)),"mixedProduct")</f>
        <v>EnergyInput</v>
      </c>
      <c r="DK667">
        <f>IF(DD667=1,DK$7,0)</f>
        <v>0</v>
      </c>
      <c r="DL667" t="str">
        <f>IF(DE667=1,DL$7,0)</f>
        <v>Energy</v>
      </c>
      <c r="DM667">
        <f>IF(DF667=1,DM$7,0)</f>
        <v>0</v>
      </c>
      <c r="DN667">
        <f>IF(DG667=1,DN$7,0)</f>
        <v>0</v>
      </c>
      <c r="DO667">
        <v>0</v>
      </c>
      <c r="DP667" s="143">
        <v>0</v>
      </c>
      <c r="DQ667" s="143">
        <v>0</v>
      </c>
      <c r="DR667">
        <v>0</v>
      </c>
      <c r="DS667" s="143">
        <v>0</v>
      </c>
      <c r="DT667">
        <f>SUM(DO667:DP667)</f>
        <v>0</v>
      </c>
      <c r="DU667" s="143" t="str">
        <f>IF(DO667=1,"self-calculated DF",IF(DP667=1,"external DF used","explicit C balance"))</f>
        <v>explicit C balance</v>
      </c>
      <c r="DV667" s="143">
        <v>0</v>
      </c>
      <c r="DW667" s="143">
        <v>1</v>
      </c>
      <c r="DX667" s="143">
        <v>1</v>
      </c>
      <c r="DY667" s="143">
        <v>1</v>
      </c>
      <c r="DZ667">
        <v>1</v>
      </c>
      <c r="EA667" s="143">
        <v>0</v>
      </c>
      <c r="EB667" s="143">
        <v>1</v>
      </c>
      <c r="EC667" s="143">
        <v>1</v>
      </c>
      <c r="ED667" s="143">
        <v>1</v>
      </c>
      <c r="EE667">
        <v>0</v>
      </c>
      <c r="EF667">
        <v>1</v>
      </c>
      <c r="EG667" s="143">
        <v>1</v>
      </c>
      <c r="EH667">
        <v>0</v>
      </c>
      <c r="EI667" s="2">
        <v>0</v>
      </c>
      <c r="EK667" t="str">
        <f>IF(AND(AND(AND(OR($DX667=1,$DW667=1),OR($EC667=1,$EA667=1)),SUM($DV667:$DZ667,$EF667)&gt;=4),SUM($EA667:$EE667)&gt;=2),"Whole sector","")</f>
        <v>Whole sector</v>
      </c>
      <c r="EL667" t="str">
        <f>IF(AND(AND(OR($DX667=1,$DW667=1),AND($EC667=0,$EA667=0)),SUM($DV667:$DZ667,$EF667)&gt;=4),"Ecosystem approach","")</f>
        <v/>
      </c>
      <c r="EM667" s="2" t="str">
        <f>IF(AND(AND(AND($DX667=0,$DW667=0),OR($EC667=1,$EA667=1)),SUM($EB667:$EE667)&gt;=2),"Technology approach","")</f>
        <v/>
      </c>
      <c r="EP667" t="b">
        <f>IF(ISNUMBER(BU667),IF(ABS(BU667-[2]QC_indicators!$B$2)&gt;3*[2]QC_indicators!$C$2,"C ratio",IF(ISNUMBER(BY667),IF(ABS(BY667-[2]QC_indicators!$B$1)&gt;3*[2]QC_indicators!$C$1,"DF","no"))),IF(ISNUMBER(BY667),IF(ABS(BY667-[2]QC_indicators!$B$1)&gt;3*[2]QC_indicators!$C$1,"DF","no")))</f>
        <v>0</v>
      </c>
      <c r="ER667" s="266" t="s">
        <v>3154</v>
      </c>
      <c r="ET667" s="266" t="s">
        <v>3155</v>
      </c>
    </row>
    <row r="668" spans="1:150" ht="15" hidden="1" customHeight="1">
      <c r="A668" s="1" t="s">
        <v>850</v>
      </c>
      <c r="B668" t="s">
        <v>851</v>
      </c>
      <c r="C668" t="s">
        <v>852</v>
      </c>
      <c r="D668" t="s">
        <v>853</v>
      </c>
      <c r="E668" t="s">
        <v>854</v>
      </c>
      <c r="F668" t="s">
        <v>855</v>
      </c>
      <c r="G668" t="s">
        <v>856</v>
      </c>
      <c r="H668" t="s">
        <v>255</v>
      </c>
      <c r="I668">
        <v>2020</v>
      </c>
      <c r="J668">
        <v>5</v>
      </c>
      <c r="K668" t="s">
        <v>857</v>
      </c>
      <c r="M668" t="str">
        <f>LEFT($D668,FIND(",",$D668)-1)&amp;"_"&amp;I668&amp;L668</f>
        <v>Lan_2020</v>
      </c>
      <c r="N668" t="s">
        <v>223</v>
      </c>
      <c r="O668" s="145" t="s">
        <v>226</v>
      </c>
      <c r="Q668" t="s">
        <v>257</v>
      </c>
      <c r="R668" s="264" t="s">
        <v>224</v>
      </c>
      <c r="S668" s="1" t="s">
        <v>871</v>
      </c>
      <c r="T668" t="s">
        <v>876</v>
      </c>
      <c r="U668" t="s">
        <v>877</v>
      </c>
      <c r="V668">
        <v>0</v>
      </c>
      <c r="W668">
        <v>0</v>
      </c>
      <c r="X668">
        <v>0</v>
      </c>
      <c r="Y668">
        <v>0</v>
      </c>
      <c r="Z668">
        <v>0</v>
      </c>
      <c r="AA668">
        <v>0</v>
      </c>
      <c r="AB668">
        <v>0</v>
      </c>
      <c r="AC668">
        <v>0</v>
      </c>
      <c r="AD668">
        <v>0</v>
      </c>
      <c r="AE668">
        <v>0</v>
      </c>
      <c r="AF668">
        <v>1</v>
      </c>
      <c r="AG668">
        <v>0</v>
      </c>
      <c r="AH668">
        <v>0</v>
      </c>
      <c r="AI668">
        <v>0</v>
      </c>
      <c r="AJ668">
        <v>0</v>
      </c>
      <c r="AK668">
        <v>0</v>
      </c>
      <c r="AL668">
        <v>0</v>
      </c>
      <c r="AM668">
        <v>0</v>
      </c>
      <c r="AN668">
        <v>0</v>
      </c>
      <c r="AO668">
        <v>0</v>
      </c>
      <c r="AP668">
        <v>0</v>
      </c>
      <c r="AQ668">
        <v>0</v>
      </c>
      <c r="AR668">
        <v>0</v>
      </c>
      <c r="AS668">
        <v>0</v>
      </c>
      <c r="AT668">
        <v>0</v>
      </c>
      <c r="AU668">
        <v>0</v>
      </c>
      <c r="AV668">
        <v>0</v>
      </c>
      <c r="AW668">
        <v>0</v>
      </c>
      <c r="AX668" s="141">
        <f>COUNTIF(V668:AW668,"&lt;&gt;0")</f>
        <v>1</v>
      </c>
      <c r="AY668" s="141">
        <f>COUNTIF(V668:AL668,"&lt;&gt;0")</f>
        <v>1</v>
      </c>
      <c r="AZ668">
        <f>COUNTIF(V668:AC668,"&lt;&gt;0")</f>
        <v>0</v>
      </c>
      <c r="BA668">
        <f>COUNTIF(AD668:AI668,"&lt;&gt;0")</f>
        <v>1</v>
      </c>
      <c r="BB668">
        <f>COUNTIF(AJ668:AL668,"&lt;&gt;0")</f>
        <v>0</v>
      </c>
      <c r="BC668">
        <f>COUNTIF(AS668:AW668,"&lt;&gt;0")</f>
        <v>0</v>
      </c>
      <c r="BD668">
        <f>COUNTIF(AM668:AR668,"&lt;&gt;0")</f>
        <v>0</v>
      </c>
      <c r="BE668" t="str">
        <f t="array" ref="BE668">IF(AY668=1,INDEX($V$7:$AL$7,MATCH(TRUE,INDEX($V668:$AW668&lt;&gt;0,),0)),IF(AY668=0,INDEX($AM$7:$AW$7,MATCH(1,$AM668:$AW668,0)),IF(BF668="Multiple strategies","mixed drivers",IF(BF668="Supply chain","multiple supply","multiple silviculture"))))</f>
        <v>supply chain organization</v>
      </c>
      <c r="BF668" s="2" t="str" cm="1">
        <f t="array" ref="BF668">IF(COUNTIF(AZ668:BB668,"&lt;&gt;0")=1,INDEX($V$4:$AW$4,MATCH(TRUE,INDEX($V668:$AW668&lt;&gt;0,),0)),IF(COUNTIF(AZ668:BB668,"&lt;&gt;0")=0,INDEX($AM$4:$AW$4,MATCH(1,$AM668:$AW668,0)),"Multiple strategies"))</f>
        <v>Supply chain</v>
      </c>
      <c r="BG668" s="142"/>
      <c r="BH668" s="266"/>
      <c r="BI668" s="266"/>
      <c r="BJ668" s="143"/>
      <c r="BL668" s="143"/>
      <c r="BM668" s="163"/>
      <c r="BO668" s="159"/>
      <c r="BP668" t="s">
        <v>233</v>
      </c>
      <c r="BQ668" s="153" t="s">
        <v>430</v>
      </c>
      <c r="BR668" t="s">
        <v>861</v>
      </c>
      <c r="BS668">
        <v>816.51300000000003</v>
      </c>
      <c r="BT668">
        <v>726.60500000000002</v>
      </c>
      <c r="BU668" s="144">
        <f>IFERROR(BS668/BT668,"")</f>
        <v>1.1237371061305661</v>
      </c>
      <c r="BV668">
        <f>BS668-BT668</f>
        <v>89.908000000000015</v>
      </c>
      <c r="BX668">
        <f>BV668</f>
        <v>89.908000000000015</v>
      </c>
      <c r="BY668" t="str">
        <f>IFERROR(BX668/BO668,"")</f>
        <v/>
      </c>
      <c r="BZ668">
        <v>0</v>
      </c>
      <c r="CA668">
        <v>0</v>
      </c>
      <c r="CB668">
        <v>0</v>
      </c>
      <c r="CC668">
        <v>0</v>
      </c>
      <c r="CD668">
        <v>0</v>
      </c>
      <c r="CE668">
        <v>0</v>
      </c>
      <c r="CF668">
        <v>0</v>
      </c>
      <c r="CG668">
        <v>0</v>
      </c>
      <c r="CH668">
        <v>0</v>
      </c>
      <c r="CI668">
        <v>0</v>
      </c>
      <c r="CJ668">
        <v>0</v>
      </c>
      <c r="CK668">
        <v>0</v>
      </c>
      <c r="CL668">
        <v>0</v>
      </c>
      <c r="CM668">
        <v>0</v>
      </c>
      <c r="CN668" t="str">
        <f>IF(BL668&lt;BK668,"refNeedCorrection","refOK")</f>
        <v>refOK</v>
      </c>
      <c r="CO668"/>
      <c r="CP668"/>
      <c r="CQ668"/>
      <c r="CR668">
        <f>IF($CN668="refOK",$BT668,$BS668)*IF($BP668="Emissions positive",-1,1)</f>
        <v>726.60500000000002</v>
      </c>
      <c r="CS668">
        <f>IF($CN668="refOK",$BS668,$BT668)*IF($BP668="Emissions positive",-1,1)</f>
        <v>816.51300000000003</v>
      </c>
      <c r="CT668">
        <f>IF($CN668="refNeedCorrection",-BX668,BX668)*IF($BP668="Emissions positive",-1,1)</f>
        <v>89.908000000000015</v>
      </c>
      <c r="CU668" t="str">
        <f>IFERROR(CT668/CQ668,"")</f>
        <v/>
      </c>
      <c r="CV668" s="2">
        <f>IFERROR((CS668-CR668)/ABS(CR668),"")</f>
        <v>0.12373710613056614</v>
      </c>
      <c r="CW668" s="1" t="s">
        <v>235</v>
      </c>
      <c r="CX668" t="str">
        <f>IF(OR($CW668="prd",$CW668="std",$CW668="cit"),"loc",IF(OR($CW668="eur",$CW668="reg",$CW668="coy"),"reg",$CW668))</f>
        <v>loc</v>
      </c>
      <c r="CY668" t="s">
        <v>429</v>
      </c>
      <c r="CZ668">
        <v>2021</v>
      </c>
      <c r="DA668" s="143">
        <v>2120</v>
      </c>
      <c r="DB668" s="143">
        <v>100</v>
      </c>
      <c r="DC668" t="str">
        <f>IF(DB668=0,"0",IF(AND(DB668&gt;=1,DB668&lt;=30),"1-30",IF(AND(DB668&gt;30,DB668&lt;=70),"31-70",IF(AND(DB668&gt;70,DB668&lt;=100),"71-100",IF(DB668&gt;100,"+100")))))</f>
        <v>71-100</v>
      </c>
      <c r="DD668">
        <v>0</v>
      </c>
      <c r="DE668">
        <v>1</v>
      </c>
      <c r="DF668">
        <v>0</v>
      </c>
      <c r="DG668">
        <v>0</v>
      </c>
      <c r="DI668">
        <f>SUM(DD668:DG668)</f>
        <v>1</v>
      </c>
      <c r="DJ668" t="str">
        <f>IF(DI668=1,INDEX($DD$7:$DG$7,MATCH(1,$DD668:$DG668,0)),"mixedProduct")</f>
        <v>EnergyInput</v>
      </c>
      <c r="DK668">
        <f>IF(DD668=1,DK$7,0)</f>
        <v>0</v>
      </c>
      <c r="DL668" t="str">
        <f>IF(DE668=1,DL$7,0)</f>
        <v>Energy</v>
      </c>
      <c r="DM668">
        <f>IF(DF668=1,DM$7,0)</f>
        <v>0</v>
      </c>
      <c r="DN668">
        <f>IF(DG668=1,DN$7,0)</f>
        <v>0</v>
      </c>
      <c r="DO668">
        <v>0</v>
      </c>
      <c r="DP668" s="143">
        <v>0</v>
      </c>
      <c r="DQ668" s="143">
        <v>0</v>
      </c>
      <c r="DR668">
        <v>0</v>
      </c>
      <c r="DS668" s="143">
        <v>0</v>
      </c>
      <c r="DT668">
        <f>SUM(DO668:DP668)</f>
        <v>0</v>
      </c>
      <c r="DU668" s="143" t="str">
        <f>IF(DO668=1,"self-calculated DF",IF(DP668=1,"external DF used","explicit C balance"))</f>
        <v>explicit C balance</v>
      </c>
      <c r="DV668" s="143">
        <v>0</v>
      </c>
      <c r="DW668" s="143">
        <v>1</v>
      </c>
      <c r="DX668" s="143">
        <v>1</v>
      </c>
      <c r="DY668" s="143">
        <v>1</v>
      </c>
      <c r="DZ668">
        <v>1</v>
      </c>
      <c r="EA668" s="143">
        <v>0</v>
      </c>
      <c r="EB668" s="143">
        <v>1</v>
      </c>
      <c r="EC668" s="143">
        <v>1</v>
      </c>
      <c r="ED668" s="143">
        <v>1</v>
      </c>
      <c r="EE668">
        <v>0</v>
      </c>
      <c r="EF668">
        <v>1</v>
      </c>
      <c r="EG668" s="143">
        <v>1</v>
      </c>
      <c r="EH668">
        <v>0</v>
      </c>
      <c r="EI668" s="2">
        <v>0</v>
      </c>
      <c r="EK668" t="str">
        <f>IF(AND(AND(AND(OR($DX668=1,$DW668=1),OR($EC668=1,$EA668=1)),SUM($DV668:$DZ668,$EF668)&gt;=4),SUM($EA668:$EE668)&gt;=2),"Whole sector","")</f>
        <v>Whole sector</v>
      </c>
      <c r="EL668" t="str">
        <f>IF(AND(AND(OR($DX668=1,$DW668=1),AND($EC668=0,$EA668=0)),SUM($DV668:$DZ668,$EF668)&gt;=4),"Ecosystem approach","")</f>
        <v/>
      </c>
      <c r="EM668" s="2" t="str">
        <f>IF(AND(AND(AND($DX668=0,$DW668=0),OR($EC668=1,$EA668=1)),SUM($EB668:$EE668)&gt;=2),"Technology approach","")</f>
        <v/>
      </c>
      <c r="EP668" t="b">
        <f>IF(ISNUMBER(BU668),IF(ABS(BU668-[2]QC_indicators!$B$2)&gt;3*[2]QC_indicators!$C$2,"C ratio",IF(ISNUMBER(BY668),IF(ABS(BY668-[2]QC_indicators!$B$1)&gt;3*[2]QC_indicators!$C$1,"DF","no"))),IF(ISNUMBER(BY668),IF(ABS(BY668-[2]QC_indicators!$B$1)&gt;3*[2]QC_indicators!$C$1,"DF","no")))</f>
        <v>0</v>
      </c>
      <c r="ER668" s="266" t="s">
        <v>3154</v>
      </c>
      <c r="ET668" s="266" t="s">
        <v>3155</v>
      </c>
    </row>
    <row r="669" spans="1:150" ht="15" hidden="1" customHeight="1">
      <c r="A669" s="1" t="s">
        <v>850</v>
      </c>
      <c r="B669" t="s">
        <v>851</v>
      </c>
      <c r="C669" t="s">
        <v>852</v>
      </c>
      <c r="D669" t="s">
        <v>853</v>
      </c>
      <c r="E669" t="s">
        <v>854</v>
      </c>
      <c r="F669" t="s">
        <v>855</v>
      </c>
      <c r="G669" t="s">
        <v>856</v>
      </c>
      <c r="H669" t="s">
        <v>255</v>
      </c>
      <c r="I669">
        <v>2020</v>
      </c>
      <c r="J669">
        <v>5</v>
      </c>
      <c r="K669" t="s">
        <v>857</v>
      </c>
      <c r="M669" t="str">
        <f>LEFT($D669,FIND(",",$D669)-1)&amp;"_"&amp;I669&amp;L669</f>
        <v>Lan_2020</v>
      </c>
      <c r="N669" t="s">
        <v>223</v>
      </c>
      <c r="O669" s="145" t="s">
        <v>226</v>
      </c>
      <c r="Q669" t="s">
        <v>257</v>
      </c>
      <c r="R669" s="264" t="s">
        <v>224</v>
      </c>
      <c r="S669" s="1" t="s">
        <v>871</v>
      </c>
      <c r="T669" t="s">
        <v>878</v>
      </c>
      <c r="U669" t="s">
        <v>879</v>
      </c>
      <c r="V669">
        <v>0</v>
      </c>
      <c r="W669">
        <v>0</v>
      </c>
      <c r="X669">
        <v>0</v>
      </c>
      <c r="Y669">
        <v>0</v>
      </c>
      <c r="Z669">
        <v>0</v>
      </c>
      <c r="AA669">
        <v>0</v>
      </c>
      <c r="AB669">
        <v>0</v>
      </c>
      <c r="AC669">
        <v>0</v>
      </c>
      <c r="AD669">
        <v>0</v>
      </c>
      <c r="AE669">
        <v>0</v>
      </c>
      <c r="AF669">
        <v>1</v>
      </c>
      <c r="AG669">
        <v>0</v>
      </c>
      <c r="AH669">
        <v>0</v>
      </c>
      <c r="AI669">
        <v>0</v>
      </c>
      <c r="AJ669">
        <v>0</v>
      </c>
      <c r="AK669">
        <v>0</v>
      </c>
      <c r="AL669">
        <v>0</v>
      </c>
      <c r="AM669">
        <v>0</v>
      </c>
      <c r="AN669">
        <v>0</v>
      </c>
      <c r="AO669">
        <v>0</v>
      </c>
      <c r="AP669">
        <v>0</v>
      </c>
      <c r="AQ669">
        <v>0</v>
      </c>
      <c r="AR669">
        <v>0</v>
      </c>
      <c r="AS669">
        <v>0</v>
      </c>
      <c r="AT669">
        <v>0</v>
      </c>
      <c r="AU669">
        <v>0</v>
      </c>
      <c r="AV669">
        <v>0</v>
      </c>
      <c r="AW669">
        <v>0</v>
      </c>
      <c r="AX669" s="141">
        <f>COUNTIF(V669:AW669,"&lt;&gt;0")</f>
        <v>1</v>
      </c>
      <c r="AY669" s="141">
        <f>COUNTIF(V669:AL669,"&lt;&gt;0")</f>
        <v>1</v>
      </c>
      <c r="AZ669">
        <f>COUNTIF(V669:AC669,"&lt;&gt;0")</f>
        <v>0</v>
      </c>
      <c r="BA669">
        <f>COUNTIF(AD669:AI669,"&lt;&gt;0")</f>
        <v>1</v>
      </c>
      <c r="BB669">
        <f>COUNTIF(AJ669:AL669,"&lt;&gt;0")</f>
        <v>0</v>
      </c>
      <c r="BC669">
        <f>COUNTIF(AS669:AW669,"&lt;&gt;0")</f>
        <v>0</v>
      </c>
      <c r="BD669">
        <f>COUNTIF(AM669:AR669,"&lt;&gt;0")</f>
        <v>0</v>
      </c>
      <c r="BE669" t="str">
        <f t="array" ref="BE669">IF(AY669=1,INDEX($V$7:$AL$7,MATCH(TRUE,INDEX($V669:$AW669&lt;&gt;0,),0)),IF(AY669=0,INDEX($AM$7:$AW$7,MATCH(1,$AM669:$AW669,0)),IF(BF669="Multiple strategies","mixed drivers",IF(BF669="Supply chain","multiple supply","multiple silviculture"))))</f>
        <v>supply chain organization</v>
      </c>
      <c r="BF669" s="2" t="str" cm="1">
        <f t="array" ref="BF669">IF(COUNTIF(AZ669:BB669,"&lt;&gt;0")=1,INDEX($V$4:$AW$4,MATCH(TRUE,INDEX($V669:$AW669&lt;&gt;0,),0)),IF(COUNTIF(AZ669:BB669,"&lt;&gt;0")=0,INDEX($AM$4:$AW$4,MATCH(1,$AM669:$AW669,0)),"Multiple strategies"))</f>
        <v>Supply chain</v>
      </c>
      <c r="BG669" s="142"/>
      <c r="BH669" s="266"/>
      <c r="BI669" s="266"/>
      <c r="BJ669" s="143"/>
      <c r="BL669" s="143"/>
      <c r="BM669" s="163"/>
      <c r="BO669" s="159"/>
      <c r="BP669" t="s">
        <v>233</v>
      </c>
      <c r="BQ669" s="153" t="s">
        <v>430</v>
      </c>
      <c r="BR669" t="s">
        <v>861</v>
      </c>
      <c r="BS669">
        <v>829.35699999999997</v>
      </c>
      <c r="BT669">
        <v>739.44899999999996</v>
      </c>
      <c r="BU669" s="144">
        <f>IFERROR(BS669/BT669,"")</f>
        <v>1.1215878309389831</v>
      </c>
      <c r="BV669">
        <f>BS669-BT669</f>
        <v>89.908000000000015</v>
      </c>
      <c r="BX669">
        <f>BV669</f>
        <v>89.908000000000015</v>
      </c>
      <c r="BY669" t="str">
        <f>IFERROR(BX669/BO669,"")</f>
        <v/>
      </c>
      <c r="BZ669">
        <v>0</v>
      </c>
      <c r="CA669">
        <v>0</v>
      </c>
      <c r="CB669">
        <v>0</v>
      </c>
      <c r="CC669">
        <v>0</v>
      </c>
      <c r="CD669">
        <v>0</v>
      </c>
      <c r="CE669">
        <v>0</v>
      </c>
      <c r="CF669">
        <v>0</v>
      </c>
      <c r="CG669">
        <v>0</v>
      </c>
      <c r="CH669">
        <v>0</v>
      </c>
      <c r="CI669">
        <v>0</v>
      </c>
      <c r="CJ669">
        <v>0</v>
      </c>
      <c r="CK669">
        <v>0</v>
      </c>
      <c r="CL669">
        <v>0</v>
      </c>
      <c r="CM669">
        <v>0</v>
      </c>
      <c r="CN669" t="str">
        <f>IF(BL669&lt;BK669,"refNeedCorrection","refOK")</f>
        <v>refOK</v>
      </c>
      <c r="CO669"/>
      <c r="CP669"/>
      <c r="CQ669"/>
      <c r="CR669">
        <f>IF($CN669="refOK",$BT669,$BS669)*IF($BP669="Emissions positive",-1,1)</f>
        <v>739.44899999999996</v>
      </c>
      <c r="CS669">
        <f>IF($CN669="refOK",$BS669,$BT669)*IF($BP669="Emissions positive",-1,1)</f>
        <v>829.35699999999997</v>
      </c>
      <c r="CT669">
        <f>IF($CN669="refNeedCorrection",-BX669,BX669)*IF($BP669="Emissions positive",-1,1)</f>
        <v>89.908000000000015</v>
      </c>
      <c r="CU669" t="str">
        <f>IFERROR(CT669/CQ669,"")</f>
        <v/>
      </c>
      <c r="CV669" s="2">
        <f>IFERROR((CS669-CR669)/ABS(CR669),"")</f>
        <v>0.12158783093898297</v>
      </c>
      <c r="CW669" s="1" t="s">
        <v>235</v>
      </c>
      <c r="CX669" t="str">
        <f>IF(OR($CW669="prd",$CW669="std",$CW669="cit"),"loc",IF(OR($CW669="eur",$CW669="reg",$CW669="coy"),"reg",$CW669))</f>
        <v>loc</v>
      </c>
      <c r="CY669" t="s">
        <v>429</v>
      </c>
      <c r="CZ669">
        <v>2021</v>
      </c>
      <c r="DA669" s="143">
        <v>2120</v>
      </c>
      <c r="DB669" s="143">
        <v>100</v>
      </c>
      <c r="DC669" t="str">
        <f>IF(DB669=0,"0",IF(AND(DB669&gt;=1,DB669&lt;=30),"1-30",IF(AND(DB669&gt;30,DB669&lt;=70),"31-70",IF(AND(DB669&gt;70,DB669&lt;=100),"71-100",IF(DB669&gt;100,"+100")))))</f>
        <v>71-100</v>
      </c>
      <c r="DD669">
        <v>0</v>
      </c>
      <c r="DE669">
        <v>1</v>
      </c>
      <c r="DF669">
        <v>0</v>
      </c>
      <c r="DG669">
        <v>0</v>
      </c>
      <c r="DI669">
        <f>SUM(DD669:DG669)</f>
        <v>1</v>
      </c>
      <c r="DJ669" t="str">
        <f>IF(DI669=1,INDEX($DD$7:$DG$7,MATCH(1,$DD669:$DG669,0)),"mixedProduct")</f>
        <v>EnergyInput</v>
      </c>
      <c r="DK669">
        <f>IF(DD669=1,DK$7,0)</f>
        <v>0</v>
      </c>
      <c r="DL669" t="str">
        <f>IF(DE669=1,DL$7,0)</f>
        <v>Energy</v>
      </c>
      <c r="DM669">
        <f>IF(DF669=1,DM$7,0)</f>
        <v>0</v>
      </c>
      <c r="DN669">
        <f>IF(DG669=1,DN$7,0)</f>
        <v>0</v>
      </c>
      <c r="DO669">
        <v>0</v>
      </c>
      <c r="DP669" s="143">
        <v>0</v>
      </c>
      <c r="DQ669" s="143">
        <v>0</v>
      </c>
      <c r="DR669">
        <v>0</v>
      </c>
      <c r="DS669" s="143">
        <v>0</v>
      </c>
      <c r="DT669">
        <f>SUM(DO669:DP669)</f>
        <v>0</v>
      </c>
      <c r="DU669" s="143" t="str">
        <f>IF(DO669=1,"self-calculated DF",IF(DP669=1,"external DF used","explicit C balance"))</f>
        <v>explicit C balance</v>
      </c>
      <c r="DV669" s="143">
        <v>0</v>
      </c>
      <c r="DW669" s="143">
        <v>1</v>
      </c>
      <c r="DX669" s="143">
        <v>1</v>
      </c>
      <c r="DY669" s="143">
        <v>1</v>
      </c>
      <c r="DZ669">
        <v>1</v>
      </c>
      <c r="EA669" s="143">
        <v>0</v>
      </c>
      <c r="EB669" s="143">
        <v>1</v>
      </c>
      <c r="EC669" s="143">
        <v>1</v>
      </c>
      <c r="ED669" s="143">
        <v>1</v>
      </c>
      <c r="EE669">
        <v>0</v>
      </c>
      <c r="EF669">
        <v>1</v>
      </c>
      <c r="EG669" s="143">
        <v>1</v>
      </c>
      <c r="EH669">
        <v>0</v>
      </c>
      <c r="EI669" s="2">
        <v>0</v>
      </c>
      <c r="EK669" t="str">
        <f>IF(AND(AND(AND(OR($DX669=1,$DW669=1),OR($EC669=1,$EA669=1)),SUM($DV669:$DZ669,$EF669)&gt;=4),SUM($EA669:$EE669)&gt;=2),"Whole sector","")</f>
        <v>Whole sector</v>
      </c>
      <c r="EL669" t="str">
        <f>IF(AND(AND(OR($DX669=1,$DW669=1),AND($EC669=0,$EA669=0)),SUM($DV669:$DZ669,$EF669)&gt;=4),"Ecosystem approach","")</f>
        <v/>
      </c>
      <c r="EM669" s="2" t="str">
        <f>IF(AND(AND(AND($DX669=0,$DW669=0),OR($EC669=1,$EA669=1)),SUM($EB669:$EE669)&gt;=2),"Technology approach","")</f>
        <v/>
      </c>
      <c r="EP669" t="b">
        <f>IF(ISNUMBER(BU669),IF(ABS(BU669-[2]QC_indicators!$B$2)&gt;3*[2]QC_indicators!$C$2,"C ratio",IF(ISNUMBER(BY669),IF(ABS(BY669-[2]QC_indicators!$B$1)&gt;3*[2]QC_indicators!$C$1,"DF","no"))),IF(ISNUMBER(BY669),IF(ABS(BY669-[2]QC_indicators!$B$1)&gt;3*[2]QC_indicators!$C$1,"DF","no")))</f>
        <v>0</v>
      </c>
      <c r="ER669" s="266" t="s">
        <v>3154</v>
      </c>
      <c r="ET669" s="266" t="s">
        <v>3155</v>
      </c>
    </row>
    <row r="670" spans="1:150" ht="15" hidden="1" customHeight="1">
      <c r="A670" s="1" t="s">
        <v>266</v>
      </c>
      <c r="B670" t="s">
        <v>267</v>
      </c>
      <c r="C670" t="s">
        <v>268</v>
      </c>
      <c r="D670" t="s">
        <v>269</v>
      </c>
      <c r="E670" t="s">
        <v>270</v>
      </c>
      <c r="F670" t="s">
        <v>271</v>
      </c>
      <c r="G670" t="s">
        <v>272</v>
      </c>
      <c r="H670" t="s">
        <v>255</v>
      </c>
      <c r="I670">
        <v>2022</v>
      </c>
      <c r="J670">
        <v>0</v>
      </c>
      <c r="K670" t="s">
        <v>273</v>
      </c>
      <c r="M670" t="str">
        <f>LEFT($D670,FIND(",",$D670)-1)&amp;"_"&amp;I670&amp;L670</f>
        <v>Aryapratama_2022</v>
      </c>
      <c r="N670" t="s">
        <v>223</v>
      </c>
      <c r="O670" s="145" t="s">
        <v>275</v>
      </c>
      <c r="Q670" t="s">
        <v>225</v>
      </c>
      <c r="R670" s="264" t="s">
        <v>224</v>
      </c>
      <c r="S670" s="265" t="s">
        <v>3110</v>
      </c>
      <c r="T670" t="s">
        <v>313</v>
      </c>
      <c r="U670" t="s">
        <v>304</v>
      </c>
      <c r="V670">
        <v>0</v>
      </c>
      <c r="W670">
        <v>0</v>
      </c>
      <c r="X670">
        <v>0</v>
      </c>
      <c r="Y670">
        <v>0</v>
      </c>
      <c r="Z670">
        <v>0</v>
      </c>
      <c r="AA670">
        <v>0</v>
      </c>
      <c r="AB670">
        <v>0</v>
      </c>
      <c r="AC670">
        <v>0</v>
      </c>
      <c r="AD670">
        <v>1</v>
      </c>
      <c r="AE670">
        <v>0</v>
      </c>
      <c r="AF670">
        <v>0</v>
      </c>
      <c r="AG670">
        <v>0</v>
      </c>
      <c r="AH670">
        <v>0</v>
      </c>
      <c r="AI670">
        <v>0</v>
      </c>
      <c r="AJ670">
        <v>0</v>
      </c>
      <c r="AK670">
        <v>0</v>
      </c>
      <c r="AL670">
        <v>0</v>
      </c>
      <c r="AM670">
        <v>0</v>
      </c>
      <c r="AN670">
        <v>0</v>
      </c>
      <c r="AO670">
        <v>0</v>
      </c>
      <c r="AP670">
        <v>0</v>
      </c>
      <c r="AQ670">
        <v>0</v>
      </c>
      <c r="AR670">
        <v>0</v>
      </c>
      <c r="AS670">
        <v>0</v>
      </c>
      <c r="AT670">
        <v>0</v>
      </c>
      <c r="AU670">
        <v>0</v>
      </c>
      <c r="AV670">
        <v>0</v>
      </c>
      <c r="AW670">
        <v>0</v>
      </c>
      <c r="AX670" s="141">
        <f>COUNTIF(V670:AW670,"&lt;&gt;0")</f>
        <v>1</v>
      </c>
      <c r="AY670" s="141">
        <f>COUNTIF(V670:AL670,"&lt;&gt;0")</f>
        <v>1</v>
      </c>
      <c r="AZ670">
        <f>COUNTIF(V670:AC670,"&lt;&gt;0")</f>
        <v>0</v>
      </c>
      <c r="BA670">
        <f>COUNTIF(AD670:AI670,"&lt;&gt;0")</f>
        <v>1</v>
      </c>
      <c r="BB670">
        <f>COUNTIF(AJ670:AL670,"&lt;&gt;0")</f>
        <v>0</v>
      </c>
      <c r="BC670">
        <f>COUNTIF(AS670:AW670,"&lt;&gt;0")</f>
        <v>0</v>
      </c>
      <c r="BD670">
        <f>COUNTIF(AM670:AR670,"&lt;&gt;0")</f>
        <v>0</v>
      </c>
      <c r="BE670" t="str">
        <f t="array" ref="BE670">IF(AY670=1,INDEX($V$7:$AL$7,MATCH(TRUE,INDEX($V670:$AW670&lt;&gt;0,),0)),IF(AY670=0,INDEX($AM$7:$AW$7,MATCH(1,$AM670:$AW670,0)),IF(BF670="Multiple strategies","mixed drivers",IF(BF670="Supply chain","multiple supply","multiple silviculture"))))</f>
        <v>harvesting system</v>
      </c>
      <c r="BF670" s="2" t="str" cm="1">
        <f t="array" ref="BF670">IF(COUNTIF(AZ670:BB670,"&lt;&gt;0")=1,INDEX($V$4:$AW$4,MATCH(TRUE,INDEX($V670:$AW670&lt;&gt;0,),0)),IF(COUNTIF(AZ670:BB670,"&lt;&gt;0")=0,INDEX($AM$4:$AW$4,MATCH(1,$AM670:$AW670,0)),"Multiple strategies"))</f>
        <v>Supply chain</v>
      </c>
      <c r="BG670" s="1" t="s">
        <v>230</v>
      </c>
      <c r="BH670" t="s">
        <v>286</v>
      </c>
      <c r="BJ670" t="s">
        <v>279</v>
      </c>
      <c r="BK670">
        <v>23.12907189695861</v>
      </c>
      <c r="BL670">
        <v>23.12907189695861</v>
      </c>
      <c r="BM670">
        <f>BL670/BK670</f>
        <v>1</v>
      </c>
      <c r="BN670">
        <f>BL670-BK670</f>
        <v>0</v>
      </c>
      <c r="BO670">
        <f>BN670*tC_to_m3</f>
        <v>0</v>
      </c>
      <c r="BP670" t="s">
        <v>233</v>
      </c>
      <c r="BQ670" s="153" t="s">
        <v>3109</v>
      </c>
      <c r="BR670" t="s">
        <v>280</v>
      </c>
      <c r="BS670">
        <v>354.30409954781243</v>
      </c>
      <c r="BT670">
        <v>176.62110895178901</v>
      </c>
      <c r="BU670" s="144">
        <f>IFERROR(BT670/BS670,"")</f>
        <v>0.49850145447711491</v>
      </c>
      <c r="BV670">
        <f>BT670-BS670</f>
        <v>-177.68299059602342</v>
      </c>
      <c r="BX670">
        <f>BV670</f>
        <v>-177.68299059602342</v>
      </c>
      <c r="BY670" t="str">
        <f>IFERROR(BX670/BO670,"")</f>
        <v/>
      </c>
      <c r="BZ670">
        <v>0</v>
      </c>
      <c r="CA670">
        <v>0</v>
      </c>
      <c r="CB670">
        <v>0</v>
      </c>
      <c r="CC670">
        <v>0</v>
      </c>
      <c r="CD670">
        <v>0</v>
      </c>
      <c r="CE670">
        <v>0</v>
      </c>
      <c r="CF670">
        <v>0</v>
      </c>
      <c r="CG670">
        <v>0</v>
      </c>
      <c r="CH670">
        <v>0</v>
      </c>
      <c r="CI670">
        <v>0</v>
      </c>
      <c r="CJ670">
        <v>0</v>
      </c>
      <c r="CK670">
        <v>0</v>
      </c>
      <c r="CL670">
        <v>0</v>
      </c>
      <c r="CM670">
        <v>0</v>
      </c>
      <c r="CN670" t="str">
        <f>IF($BL670&lt;$BK670,"refNeedCorrection","refOK")</f>
        <v>refOK</v>
      </c>
      <c r="CO670">
        <f>IF($CN670="refOK",$BK670,$BL670)</f>
        <v>23.12907189695861</v>
      </c>
      <c r="CP670">
        <f>IF($CN670="refOK",$BL670,$BK670)</f>
        <v>23.12907189695861</v>
      </c>
      <c r="CQ670">
        <f>IF($CN670="refOK",$BO670,-$BO670)</f>
        <v>0</v>
      </c>
      <c r="CR670">
        <f>IF($CN670="refOK",$BS670,$BT670)*IF($BP670="Emissions positive",-1,1)</f>
        <v>354.30409954781243</v>
      </c>
      <c r="CS670">
        <f>IF($CN670="refOK",$BT670,$BS670)*IF($BP670="Emissions positive",-1,1)</f>
        <v>176.62110895178901</v>
      </c>
      <c r="CT670">
        <f>IF($CN670="refNeedCorrection",-BX670,BX670)*IF($BP670="Emissions positive",-1,1)</f>
        <v>-177.68299059602342</v>
      </c>
      <c r="CU670" t="str">
        <f>IFERROR(CT670/CQ670,"")</f>
        <v/>
      </c>
      <c r="CV670" s="2">
        <f>IFERROR((CS670-CR670)/ABS(CR670),"")</f>
        <v>-0.50149854552288509</v>
      </c>
      <c r="CW670" s="1" t="s">
        <v>235</v>
      </c>
      <c r="CX670" t="str">
        <f>IF(OR($CW670="prd",$CW670="std",$CW670="cit"),"loc",IF(OR($CW670="eur",$CW670="reg",$CW670="coy"),"reg",$CW670))</f>
        <v>loc</v>
      </c>
      <c r="CY670" t="s">
        <v>281</v>
      </c>
      <c r="DB670">
        <v>100</v>
      </c>
      <c r="DC670" t="str">
        <f>IF(DB670=0,"0",IF(AND(DB670&gt;=1,DB670&lt;=30),"1-30",IF(AND(DB670&gt;30,DB670&lt;=70),"31-70",IF(AND(DB670&gt;70,DB670&lt;=100),"71-100",IF(DB670&gt;100,"+100")))))</f>
        <v>71-100</v>
      </c>
      <c r="DD670">
        <v>0</v>
      </c>
      <c r="DE670">
        <v>1</v>
      </c>
      <c r="DF670">
        <v>0</v>
      </c>
      <c r="DG670">
        <v>0</v>
      </c>
      <c r="DI670">
        <f>SUM(DD670:DG670)</f>
        <v>1</v>
      </c>
      <c r="DJ670" t="str">
        <f>IF(DI670=1,INDEX($DD$7:$DG$7,MATCH(1,$DD670:$DG670,0)),"mixedProduct")</f>
        <v>EnergyInput</v>
      </c>
      <c r="DK670">
        <f>IF(DD670=1,DK$7,0)</f>
        <v>0</v>
      </c>
      <c r="DL670" t="str">
        <f>IF(DE670=1,DL$7,0)</f>
        <v>Energy</v>
      </c>
      <c r="DM670">
        <f>IF(DF670=1,DM$7,0)</f>
        <v>0</v>
      </c>
      <c r="DN670">
        <f>IF(DG670=1,DN$7,0)</f>
        <v>0</v>
      </c>
      <c r="DO670">
        <v>0</v>
      </c>
      <c r="DP670">
        <v>1</v>
      </c>
      <c r="DQ670" t="s">
        <v>305</v>
      </c>
      <c r="DR670" t="s">
        <v>282</v>
      </c>
      <c r="DS670">
        <v>0</v>
      </c>
      <c r="DT670">
        <f>SUM(DO670:DP670)</f>
        <v>1</v>
      </c>
      <c r="DU670" s="143" t="str">
        <f>IF(DO670=1,"self-calculated DF",IF(DP670=1,"external DF used","explicit C balance"))</f>
        <v>external DF used</v>
      </c>
      <c r="DV670">
        <v>0</v>
      </c>
      <c r="DW670">
        <v>1</v>
      </c>
      <c r="DX670">
        <v>1</v>
      </c>
      <c r="DY670">
        <v>1</v>
      </c>
      <c r="DZ670">
        <v>1</v>
      </c>
      <c r="EA670" s="143">
        <v>0</v>
      </c>
      <c r="EB670">
        <v>1</v>
      </c>
      <c r="EC670">
        <v>1</v>
      </c>
      <c r="ED670">
        <v>0</v>
      </c>
      <c r="EE670">
        <v>1</v>
      </c>
      <c r="EF670">
        <v>1</v>
      </c>
      <c r="EG670">
        <v>1</v>
      </c>
      <c r="EH670">
        <v>0</v>
      </c>
      <c r="EI670" s="2">
        <v>0</v>
      </c>
      <c r="EK670" t="str">
        <f>IF(AND(AND(AND(OR($DX670=1,$DW670=1),OR($EC670=1,$EA670=1)),SUM($DV670:$DZ670,$EF670)&gt;=4),SUM($EA670:$EE670)&gt;=2),"Whole sector","")</f>
        <v>Whole sector</v>
      </c>
      <c r="EL670" t="str">
        <f>IF(AND(AND(OR($DX670=1,$DW670=1),AND($EC670=0,$EA670=0)),SUM($DV670:$DZ670,$EF670)&gt;=4),"Ecosystem approach","")</f>
        <v/>
      </c>
      <c r="EM670" s="2" t="str">
        <f>IF(AND(AND(AND($DX670=0,$DW670=0),OR($EC670=1,$EA670=1)),SUM($EB670:$EE670)&gt;=2),"Technology approach","")</f>
        <v/>
      </c>
      <c r="EP670" t="b">
        <f>IF(ISNUMBER(BU670),IF(ABS(BU670-[2]QC_indicators!$B$2)&gt;3*[2]QC_indicators!$C$2,"C ratio",IF(ISNUMBER(BY670),IF(ABS(BY670-[2]QC_indicators!$B$1)&gt;3*[2]QC_indicators!$C$1,"DF","no"))),IF(ISNUMBER(BY670),IF(ABS(BY670-[2]QC_indicators!$B$1)&gt;3*[2]QC_indicators!$C$1,"DF","no")))</f>
        <v>0</v>
      </c>
      <c r="EQ670" t="s">
        <v>287</v>
      </c>
      <c r="ET670" s="266" t="s">
        <v>3275</v>
      </c>
    </row>
    <row r="671" spans="1:150" ht="15" hidden="1" customHeight="1">
      <c r="A671" s="1" t="s">
        <v>266</v>
      </c>
      <c r="B671" t="s">
        <v>267</v>
      </c>
      <c r="C671" t="s">
        <v>268</v>
      </c>
      <c r="D671" t="s">
        <v>269</v>
      </c>
      <c r="E671" t="s">
        <v>270</v>
      </c>
      <c r="F671" t="s">
        <v>271</v>
      </c>
      <c r="G671" t="s">
        <v>272</v>
      </c>
      <c r="H671" t="s">
        <v>255</v>
      </c>
      <c r="I671">
        <v>2022</v>
      </c>
      <c r="J671">
        <v>0</v>
      </c>
      <c r="K671" t="s">
        <v>273</v>
      </c>
      <c r="M671" t="str">
        <f>LEFT($D671,FIND(",",$D671)-1)&amp;"_"&amp;I671&amp;L671</f>
        <v>Aryapratama_2022</v>
      </c>
      <c r="N671" t="s">
        <v>223</v>
      </c>
      <c r="O671" s="145" t="s">
        <v>275</v>
      </c>
      <c r="Q671" t="s">
        <v>225</v>
      </c>
      <c r="R671" s="264" t="s">
        <v>224</v>
      </c>
      <c r="S671" s="1" t="s">
        <v>320</v>
      </c>
      <c r="T671" t="s">
        <v>321</v>
      </c>
      <c r="U671" t="s">
        <v>276</v>
      </c>
      <c r="V671">
        <v>0</v>
      </c>
      <c r="W671">
        <v>0</v>
      </c>
      <c r="X671">
        <v>0</v>
      </c>
      <c r="Y671">
        <v>0</v>
      </c>
      <c r="Z671">
        <v>0</v>
      </c>
      <c r="AA671">
        <v>0</v>
      </c>
      <c r="AB671">
        <v>0</v>
      </c>
      <c r="AC671">
        <v>0</v>
      </c>
      <c r="AD671">
        <v>0</v>
      </c>
      <c r="AE671">
        <v>0</v>
      </c>
      <c r="AF671">
        <v>1</v>
      </c>
      <c r="AG671">
        <v>0</v>
      </c>
      <c r="AH671">
        <v>0</v>
      </c>
      <c r="AI671">
        <v>0</v>
      </c>
      <c r="AJ671">
        <v>0</v>
      </c>
      <c r="AK671">
        <v>0</v>
      </c>
      <c r="AL671">
        <v>0</v>
      </c>
      <c r="AM671">
        <v>0</v>
      </c>
      <c r="AN671">
        <v>0</v>
      </c>
      <c r="AO671">
        <v>0</v>
      </c>
      <c r="AP671">
        <v>0</v>
      </c>
      <c r="AQ671">
        <v>0</v>
      </c>
      <c r="AR671">
        <v>0</v>
      </c>
      <c r="AS671">
        <v>0</v>
      </c>
      <c r="AT671">
        <v>0</v>
      </c>
      <c r="AU671">
        <v>0</v>
      </c>
      <c r="AV671">
        <v>0</v>
      </c>
      <c r="AW671">
        <v>0</v>
      </c>
      <c r="AX671" s="141">
        <f>COUNTIF(V671:AW671,"&lt;&gt;0")</f>
        <v>1</v>
      </c>
      <c r="AY671" s="141">
        <f>COUNTIF(V671:AL671,"&lt;&gt;0")</f>
        <v>1</v>
      </c>
      <c r="AZ671">
        <f>COUNTIF(V671:AC671,"&lt;&gt;0")</f>
        <v>0</v>
      </c>
      <c r="BA671">
        <f>COUNTIF(AD671:AI671,"&lt;&gt;0")</f>
        <v>1</v>
      </c>
      <c r="BB671">
        <f>COUNTIF(AJ671:AL671,"&lt;&gt;0")</f>
        <v>0</v>
      </c>
      <c r="BC671">
        <f>COUNTIF(AS671:AW671,"&lt;&gt;0")</f>
        <v>0</v>
      </c>
      <c r="BD671">
        <f>COUNTIF(AM671:AR671,"&lt;&gt;0")</f>
        <v>0</v>
      </c>
      <c r="BE671" t="str">
        <f t="array" ref="BE671">IF(AY671=1,INDEX($V$7:$AL$7,MATCH(TRUE,INDEX($V671:$AW671&lt;&gt;0,),0)),IF(AY671=0,INDEX($AM$7:$AW$7,MATCH(1,$AM671:$AW671,0)),IF(BF671="Multiple strategies","mixed drivers",IF(BF671="Supply chain","multiple supply","multiple silviculture"))))</f>
        <v>supply chain organization</v>
      </c>
      <c r="BF671" s="2" t="str" cm="1">
        <f t="array" ref="BF671">IF(COUNTIF(AZ671:BB671,"&lt;&gt;0")=1,INDEX($V$4:$AW$4,MATCH(TRUE,INDEX($V671:$AW671&lt;&gt;0,),0)),IF(COUNTIF(AZ671:BB671,"&lt;&gt;0")=0,INDEX($AM$4:$AW$4,MATCH(1,$AM671:$AW671,0)),"Multiple strategies"))</f>
        <v>Supply chain</v>
      </c>
      <c r="BG671" s="1" t="s">
        <v>322</v>
      </c>
      <c r="BH671" s="146" t="s">
        <v>323</v>
      </c>
      <c r="BI671" t="s">
        <v>324</v>
      </c>
      <c r="BJ671" t="s">
        <v>279</v>
      </c>
      <c r="BK671">
        <v>225.96603773584911</v>
      </c>
      <c r="BL671">
        <v>225.96603773584911</v>
      </c>
      <c r="BM671">
        <f>BL671/BK671</f>
        <v>1</v>
      </c>
      <c r="BN671">
        <f>BL671-BK671</f>
        <v>0</v>
      </c>
      <c r="BO671">
        <f>BN671*tC_to_m3</f>
        <v>0</v>
      </c>
      <c r="BP671" t="s">
        <v>233</v>
      </c>
      <c r="BQ671" s="153" t="s">
        <v>3109</v>
      </c>
      <c r="BR671" t="s">
        <v>280</v>
      </c>
      <c r="BS671">
        <v>-588.42624598329485</v>
      </c>
      <c r="BT671">
        <v>-502.68675849347369</v>
      </c>
      <c r="BU671" s="144">
        <f>IFERROR(BS671/BT671,"")</f>
        <v>1.1705624547318054</v>
      </c>
      <c r="BV671">
        <f>BS671-BT671</f>
        <v>-85.739487489821158</v>
      </c>
      <c r="BX671">
        <f>BV671</f>
        <v>-85.739487489821158</v>
      </c>
      <c r="BY671" t="str">
        <f>IFERROR(BX671/BO671,"")</f>
        <v/>
      </c>
      <c r="BZ671">
        <v>0</v>
      </c>
      <c r="CA671">
        <v>0</v>
      </c>
      <c r="CB671">
        <v>0</v>
      </c>
      <c r="CC671">
        <v>0</v>
      </c>
      <c r="CD671">
        <v>0</v>
      </c>
      <c r="CE671">
        <v>0</v>
      </c>
      <c r="CF671">
        <v>0</v>
      </c>
      <c r="CG671">
        <v>0</v>
      </c>
      <c r="CH671">
        <v>0</v>
      </c>
      <c r="CI671">
        <v>0</v>
      </c>
      <c r="CJ671">
        <v>0</v>
      </c>
      <c r="CK671">
        <v>0</v>
      </c>
      <c r="CL671">
        <v>0</v>
      </c>
      <c r="CM671">
        <v>0</v>
      </c>
      <c r="CN671" t="str">
        <f>IF($BL671&lt;$BK671,"refNeedCorrection","refOK")</f>
        <v>refOK</v>
      </c>
      <c r="CO671">
        <f>IF($CN671="refOK",$BK671,$BL671)</f>
        <v>225.96603773584911</v>
      </c>
      <c r="CP671">
        <f>IF($CN671="refOK",$BL671,$BK671)</f>
        <v>225.96603773584911</v>
      </c>
      <c r="CQ671">
        <f>IF($CN671="refOK",$BO671,-$BO671)</f>
        <v>0</v>
      </c>
      <c r="CR671">
        <f>IF($CN671="refOK",$BT671,$BS671)*IF($BP671="Emissions positive",-1,1)</f>
        <v>-502.68675849347369</v>
      </c>
      <c r="CS671">
        <f>IF($CN671="refOK",$BS671,$BT671)*IF($BP671="Emissions positive",-1,1)</f>
        <v>-588.42624598329485</v>
      </c>
      <c r="CT671">
        <f>IF($CN671="refNeedCorrection",-BX671,BX671)*IF($BP671="Emissions positive",-1,1)</f>
        <v>-85.739487489821158</v>
      </c>
      <c r="CU671" t="str">
        <f>IFERROR(CT671/CQ671,"")</f>
        <v/>
      </c>
      <c r="CV671" s="2">
        <f>IFERROR((CS671-CR671)/ABS(CR671),"")</f>
        <v>-0.17056245473180551</v>
      </c>
      <c r="CW671" s="1" t="s">
        <v>235</v>
      </c>
      <c r="CX671" t="str">
        <f>IF(OR($CW671="prd",$CW671="std",$CW671="cit"),"loc",IF(OR($CW671="eur",$CW671="reg",$CW671="coy"),"reg",$CW671))</f>
        <v>loc</v>
      </c>
      <c r="CY671" t="s">
        <v>281</v>
      </c>
      <c r="DB671">
        <v>100</v>
      </c>
      <c r="DC671" t="str">
        <f>IF(DB671=0,"0",IF(AND(DB671&gt;=1,DB671&lt;=30),"1-30",IF(AND(DB671&gt;30,DB671&lt;=70),"31-70",IF(AND(DB671&gt;70,DB671&lt;=100),"71-100",IF(DB671&gt;100,"+100")))))</f>
        <v>71-100</v>
      </c>
      <c r="DD671">
        <v>0</v>
      </c>
      <c r="DE671">
        <v>1</v>
      </c>
      <c r="DF671">
        <v>0</v>
      </c>
      <c r="DG671">
        <v>1</v>
      </c>
      <c r="DI671">
        <f>SUM(DD671:DG671)</f>
        <v>2</v>
      </c>
      <c r="DJ671" t="str">
        <f>IF(DI671=1,INDEX($DD$7:$DG$7,MATCH(1,$DD671:$DG671,0)),"mixedProduct")</f>
        <v>mixedProduct</v>
      </c>
      <c r="DK671">
        <f>IF(DD671=1,DK$7,0)</f>
        <v>0</v>
      </c>
      <c r="DL671" t="str">
        <f>IF(DE671=1,DL$7,0)</f>
        <v>Energy</v>
      </c>
      <c r="DM671">
        <f>IF(DF671=1,DM$7,0)</f>
        <v>0</v>
      </c>
      <c r="DN671" t="str">
        <f>IF(DG671=1,DN$7,0)</f>
        <v>Timber</v>
      </c>
      <c r="DO671">
        <v>0</v>
      </c>
      <c r="DP671">
        <v>1</v>
      </c>
      <c r="DQ671" t="s">
        <v>305</v>
      </c>
      <c r="DR671" t="s">
        <v>282</v>
      </c>
      <c r="DS671">
        <v>0</v>
      </c>
      <c r="DT671">
        <f>SUM(DO671:DP671)</f>
        <v>1</v>
      </c>
      <c r="DU671" s="143" t="str">
        <f>IF(DO671=1,"self-calculated DF",IF(DP671=1,"external DF used","explicit C balance"))</f>
        <v>external DF used</v>
      </c>
      <c r="DV671">
        <v>0</v>
      </c>
      <c r="DW671">
        <v>1</v>
      </c>
      <c r="DX671">
        <v>1</v>
      </c>
      <c r="DY671">
        <v>1</v>
      </c>
      <c r="DZ671">
        <v>1</v>
      </c>
      <c r="EA671" s="143">
        <v>0</v>
      </c>
      <c r="EB671">
        <v>1</v>
      </c>
      <c r="EC671">
        <v>1</v>
      </c>
      <c r="ED671">
        <v>0</v>
      </c>
      <c r="EE671">
        <v>1</v>
      </c>
      <c r="EF671">
        <v>1</v>
      </c>
      <c r="EG671">
        <v>1</v>
      </c>
      <c r="EH671">
        <v>0</v>
      </c>
      <c r="EI671" s="2">
        <v>0</v>
      </c>
      <c r="EK671" t="str">
        <f>IF(AND(AND(AND(OR($DX671=1,$DW671=1),OR($EC671=1,$EA671=1)),SUM($DV671:$DZ671,$EF671)&gt;=4),SUM($EA671:$EE671)&gt;=2),"Whole sector","")</f>
        <v>Whole sector</v>
      </c>
      <c r="EL671" t="str">
        <f>IF(AND(AND(OR($DX671=1,$DW671=1),AND($EC671=0,$EA671=0)),SUM($DV671:$DZ671,$EF671)&gt;=4),"Ecosystem approach","")</f>
        <v/>
      </c>
      <c r="EM671" s="2" t="str">
        <f>IF(AND(AND(AND($DX671=0,$DW671=0),OR($EC671=1,$EA671=1)),SUM($EB671:$EE671)&gt;=2),"Technology approach","")</f>
        <v/>
      </c>
      <c r="EN671" t="s">
        <v>325</v>
      </c>
      <c r="EP671" t="b">
        <f>IF(ISNUMBER(BU671),IF(ABS(BU671-[2]QC_indicators!$B$2)&gt;3*[2]QC_indicators!$C$2,"C ratio",IF(ISNUMBER(BY671),IF(ABS(BY671-[2]QC_indicators!$B$1)&gt;3*[2]QC_indicators!$C$1,"DF","no"))),IF(ISNUMBER(BY671),IF(ABS(BY671-[2]QC_indicators!$B$1)&gt;3*[2]QC_indicators!$C$1,"DF","no")))</f>
        <v>0</v>
      </c>
      <c r="EQ671" t="s">
        <v>287</v>
      </c>
      <c r="ER671" s="147" t="s">
        <v>326</v>
      </c>
      <c r="ET671" s="266" t="s">
        <v>3275</v>
      </c>
    </row>
    <row r="672" spans="1:150" ht="15" hidden="1" customHeight="1">
      <c r="A672" s="1" t="s">
        <v>266</v>
      </c>
      <c r="B672" t="s">
        <v>267</v>
      </c>
      <c r="C672" t="s">
        <v>268</v>
      </c>
      <c r="D672" t="s">
        <v>269</v>
      </c>
      <c r="E672" t="s">
        <v>270</v>
      </c>
      <c r="F672" t="s">
        <v>271</v>
      </c>
      <c r="G672" t="s">
        <v>272</v>
      </c>
      <c r="H672" t="s">
        <v>255</v>
      </c>
      <c r="I672">
        <v>2022</v>
      </c>
      <c r="J672">
        <v>0</v>
      </c>
      <c r="K672" t="s">
        <v>273</v>
      </c>
      <c r="M672" t="str">
        <f>LEFT($D672,FIND(",",$D672)-1)&amp;"_"&amp;I672&amp;L672</f>
        <v>Aryapratama_2022</v>
      </c>
      <c r="N672" t="s">
        <v>223</v>
      </c>
      <c r="O672" s="145" t="s">
        <v>275</v>
      </c>
      <c r="Q672" t="s">
        <v>225</v>
      </c>
      <c r="R672" s="264" t="s">
        <v>224</v>
      </c>
      <c r="S672" s="1" t="s">
        <v>320</v>
      </c>
      <c r="T672" t="s">
        <v>327</v>
      </c>
      <c r="U672" t="s">
        <v>277</v>
      </c>
      <c r="V672">
        <v>0</v>
      </c>
      <c r="W672">
        <v>0</v>
      </c>
      <c r="X672">
        <v>0</v>
      </c>
      <c r="Y672">
        <v>0</v>
      </c>
      <c r="Z672">
        <v>0</v>
      </c>
      <c r="AA672">
        <v>0</v>
      </c>
      <c r="AB672">
        <v>0</v>
      </c>
      <c r="AC672">
        <v>0</v>
      </c>
      <c r="AD672">
        <v>0</v>
      </c>
      <c r="AE672">
        <v>0</v>
      </c>
      <c r="AF672">
        <v>1</v>
      </c>
      <c r="AG672">
        <v>0</v>
      </c>
      <c r="AH672">
        <v>0</v>
      </c>
      <c r="AI672">
        <v>0</v>
      </c>
      <c r="AJ672">
        <v>0</v>
      </c>
      <c r="AK672">
        <v>0</v>
      </c>
      <c r="AL672">
        <v>0</v>
      </c>
      <c r="AM672">
        <v>0</v>
      </c>
      <c r="AN672">
        <v>0</v>
      </c>
      <c r="AO672">
        <v>0</v>
      </c>
      <c r="AP672">
        <v>0</v>
      </c>
      <c r="AQ672">
        <v>0</v>
      </c>
      <c r="AR672">
        <v>0</v>
      </c>
      <c r="AS672">
        <v>0</v>
      </c>
      <c r="AT672">
        <v>0</v>
      </c>
      <c r="AU672">
        <v>0</v>
      </c>
      <c r="AV672">
        <v>0</v>
      </c>
      <c r="AW672">
        <v>0</v>
      </c>
      <c r="AX672" s="141">
        <f>COUNTIF(V672:AW672,"&lt;&gt;0")</f>
        <v>1</v>
      </c>
      <c r="AY672" s="141">
        <f>COUNTIF(V672:AL672,"&lt;&gt;0")</f>
        <v>1</v>
      </c>
      <c r="AZ672">
        <f>COUNTIF(V672:AC672,"&lt;&gt;0")</f>
        <v>0</v>
      </c>
      <c r="BA672">
        <f>COUNTIF(AD672:AI672,"&lt;&gt;0")</f>
        <v>1</v>
      </c>
      <c r="BB672">
        <f>COUNTIF(AJ672:AL672,"&lt;&gt;0")</f>
        <v>0</v>
      </c>
      <c r="BC672">
        <f>COUNTIF(AS672:AW672,"&lt;&gt;0")</f>
        <v>0</v>
      </c>
      <c r="BD672">
        <f>COUNTIF(AM672:AR672,"&lt;&gt;0")</f>
        <v>0</v>
      </c>
      <c r="BE672" t="str">
        <f t="array" ref="BE672">IF(AY672=1,INDEX($V$7:$AL$7,MATCH(TRUE,INDEX($V672:$AW672&lt;&gt;0,),0)),IF(AY672=0,INDEX($AM$7:$AW$7,MATCH(1,$AM672:$AW672,0)),IF(BF672="Multiple strategies","mixed drivers",IF(BF672="Supply chain","multiple supply","multiple silviculture"))))</f>
        <v>supply chain organization</v>
      </c>
      <c r="BF672" s="2" t="str" cm="1">
        <f t="array" ref="BF672">IF(COUNTIF(AZ672:BB672,"&lt;&gt;0")=1,INDEX($V$4:$AW$4,MATCH(TRUE,INDEX($V672:$AW672&lt;&gt;0,),0)),IF(COUNTIF(AZ672:BB672,"&lt;&gt;0")=0,INDEX($AM$4:$AW$4,MATCH(1,$AM672:$AW672,0)),"Multiple strategies"))</f>
        <v>Supply chain</v>
      </c>
      <c r="BG672" s="1" t="s">
        <v>322</v>
      </c>
      <c r="BH672" s="146" t="s">
        <v>323</v>
      </c>
      <c r="BI672" t="s">
        <v>324</v>
      </c>
      <c r="BJ672" t="s">
        <v>279</v>
      </c>
      <c r="BK672" s="148">
        <v>225.96603773584911</v>
      </c>
      <c r="BL672" s="148">
        <v>225.96603773584911</v>
      </c>
      <c r="BM672">
        <f>BL672/BK672</f>
        <v>1</v>
      </c>
      <c r="BN672">
        <f>BL672-BK672</f>
        <v>0</v>
      </c>
      <c r="BO672">
        <f>BN672*tC_to_m3</f>
        <v>0</v>
      </c>
      <c r="BP672" t="s">
        <v>233</v>
      </c>
      <c r="BQ672" s="153" t="s">
        <v>3109</v>
      </c>
      <c r="BR672" t="s">
        <v>280</v>
      </c>
      <c r="BS672">
        <v>-1049.6296143500765</v>
      </c>
      <c r="BT672">
        <v>-922.29525217943831</v>
      </c>
      <c r="BU672" s="144">
        <f>IFERROR(BS672/BT672,"")</f>
        <v>1.1380624717190504</v>
      </c>
      <c r="BV672">
        <f>BS672-BT672</f>
        <v>-127.3343621706382</v>
      </c>
      <c r="BX672">
        <f>BV672</f>
        <v>-127.3343621706382</v>
      </c>
      <c r="BY672" t="str">
        <f>IFERROR(BX672/BO672,"")</f>
        <v/>
      </c>
      <c r="BZ672">
        <v>0</v>
      </c>
      <c r="CA672">
        <v>0</v>
      </c>
      <c r="CB672">
        <v>0</v>
      </c>
      <c r="CC672">
        <v>0</v>
      </c>
      <c r="CD672">
        <v>0</v>
      </c>
      <c r="CE672">
        <v>0</v>
      </c>
      <c r="CF672">
        <v>0</v>
      </c>
      <c r="CG672">
        <v>0</v>
      </c>
      <c r="CH672">
        <v>0</v>
      </c>
      <c r="CI672">
        <v>0</v>
      </c>
      <c r="CJ672">
        <v>0</v>
      </c>
      <c r="CK672">
        <v>0</v>
      </c>
      <c r="CL672">
        <v>0</v>
      </c>
      <c r="CM672">
        <v>0</v>
      </c>
      <c r="CN672" t="str">
        <f>IF($BL672&lt;$BK672,"refNeedCorrection","refOK")</f>
        <v>refOK</v>
      </c>
      <c r="CO672">
        <f>IF($CN672="refOK",$BK672,$BL672)</f>
        <v>225.96603773584911</v>
      </c>
      <c r="CP672">
        <f>IF($CN672="refOK",$BL672,$BK672)</f>
        <v>225.96603773584911</v>
      </c>
      <c r="CQ672">
        <f>IF($CN672="refOK",$BO672,-$BO672)</f>
        <v>0</v>
      </c>
      <c r="CR672">
        <f>IF($CN672="refOK",$BT672,$BS672)*IF($BP672="Emissions positive",-1,1)</f>
        <v>-922.29525217943831</v>
      </c>
      <c r="CS672">
        <f>IF($CN672="refOK",$BS672,$BT672)*IF($BP672="Emissions positive",-1,1)</f>
        <v>-1049.6296143500765</v>
      </c>
      <c r="CT672">
        <f>IF($CN672="refNeedCorrection",-BX672,BX672)*IF($BP672="Emissions positive",-1,1)</f>
        <v>-127.3343621706382</v>
      </c>
      <c r="CU672" t="str">
        <f>IFERROR(CT672/CQ672,"")</f>
        <v/>
      </c>
      <c r="CV672" s="2">
        <f>IFERROR((CS672-CR672)/ABS(CR672),"")</f>
        <v>-0.13806247171905045</v>
      </c>
      <c r="CW672" s="1" t="s">
        <v>235</v>
      </c>
      <c r="CX672" t="str">
        <f>IF(OR($CW672="prd",$CW672="std",$CW672="cit"),"loc",IF(OR($CW672="eur",$CW672="reg",$CW672="coy"),"reg",$CW672))</f>
        <v>loc</v>
      </c>
      <c r="CY672" t="s">
        <v>281</v>
      </c>
      <c r="DB672">
        <v>100</v>
      </c>
      <c r="DC672" t="str">
        <f>IF(DB672=0,"0",IF(AND(DB672&gt;=1,DB672&lt;=30),"1-30",IF(AND(DB672&gt;30,DB672&lt;=70),"31-70",IF(AND(DB672&gt;70,DB672&lt;=100),"71-100",IF(DB672&gt;100,"+100")))))</f>
        <v>71-100</v>
      </c>
      <c r="DD672">
        <v>0</v>
      </c>
      <c r="DE672">
        <v>1</v>
      </c>
      <c r="DF672">
        <v>0</v>
      </c>
      <c r="DG672">
        <v>1</v>
      </c>
      <c r="DI672">
        <f>SUM(DD672:DG672)</f>
        <v>2</v>
      </c>
      <c r="DJ672" t="str">
        <f>IF(DI672=1,INDEX($DD$7:$DG$7,MATCH(1,$DD672:$DG672,0)),"mixedProduct")</f>
        <v>mixedProduct</v>
      </c>
      <c r="DK672">
        <f>IF(DD672=1,DK$7,0)</f>
        <v>0</v>
      </c>
      <c r="DL672" t="str">
        <f>IF(DE672=1,DL$7,0)</f>
        <v>Energy</v>
      </c>
      <c r="DM672">
        <f>IF(DF672=1,DM$7,0)</f>
        <v>0</v>
      </c>
      <c r="DN672" t="str">
        <f>IF(DG672=1,DN$7,0)</f>
        <v>Timber</v>
      </c>
      <c r="DO672">
        <v>0</v>
      </c>
      <c r="DP672">
        <v>1</v>
      </c>
      <c r="DQ672" t="s">
        <v>305</v>
      </c>
      <c r="DR672" t="s">
        <v>282</v>
      </c>
      <c r="DS672">
        <v>0</v>
      </c>
      <c r="DT672">
        <f>SUM(DO672:DP672)</f>
        <v>1</v>
      </c>
      <c r="DU672" s="143" t="str">
        <f>IF(DO672=1,"self-calculated DF",IF(DP672=1,"external DF used","explicit C balance"))</f>
        <v>external DF used</v>
      </c>
      <c r="DV672">
        <v>0</v>
      </c>
      <c r="DW672">
        <v>1</v>
      </c>
      <c r="DX672">
        <v>1</v>
      </c>
      <c r="DY672">
        <v>1</v>
      </c>
      <c r="DZ672">
        <v>1</v>
      </c>
      <c r="EA672" s="143">
        <v>0</v>
      </c>
      <c r="EB672">
        <v>1</v>
      </c>
      <c r="EC672">
        <v>1</v>
      </c>
      <c r="ED672">
        <v>0</v>
      </c>
      <c r="EE672">
        <v>1</v>
      </c>
      <c r="EF672">
        <v>1</v>
      </c>
      <c r="EG672">
        <v>1</v>
      </c>
      <c r="EH672">
        <v>0</v>
      </c>
      <c r="EI672" s="2">
        <v>0</v>
      </c>
      <c r="EK672" t="str">
        <f>IF(AND(AND(AND(OR($DX672=1,$DW672=1),OR($EC672=1,$EA672=1)),SUM($DV672:$DZ672,$EF672)&gt;=4),SUM($EA672:$EE672)&gt;=2),"Whole sector","")</f>
        <v>Whole sector</v>
      </c>
      <c r="EL672" t="str">
        <f>IF(AND(AND(OR($DX672=1,$DW672=1),AND($EC672=0,$EA672=0)),SUM($DV672:$DZ672,$EF672)&gt;=4),"Ecosystem approach","")</f>
        <v/>
      </c>
      <c r="EM672" s="2" t="str">
        <f>IF(AND(AND(AND($DX672=0,$DW672=0),OR($EC672=1,$EA672=1)),SUM($EB672:$EE672)&gt;=2),"Technology approach","")</f>
        <v/>
      </c>
      <c r="EN672" t="s">
        <v>325</v>
      </c>
      <c r="EP672" t="b">
        <f>IF(ISNUMBER(BU672),IF(ABS(BU672-[2]QC_indicators!$B$2)&gt;3*[2]QC_indicators!$C$2,"C ratio",IF(ISNUMBER(BY672),IF(ABS(BY672-[2]QC_indicators!$B$1)&gt;3*[2]QC_indicators!$C$1,"DF","no"))),IF(ISNUMBER(BY672),IF(ABS(BY672-[2]QC_indicators!$B$1)&gt;3*[2]QC_indicators!$C$1,"DF","no")))</f>
        <v>0</v>
      </c>
      <c r="EQ672" t="s">
        <v>287</v>
      </c>
      <c r="ER672" s="147" t="s">
        <v>326</v>
      </c>
      <c r="ET672" s="266" t="s">
        <v>3275</v>
      </c>
    </row>
    <row r="673" spans="1:150" ht="15" hidden="1" customHeight="1">
      <c r="A673" s="1" t="s">
        <v>266</v>
      </c>
      <c r="B673" t="s">
        <v>267</v>
      </c>
      <c r="C673" t="s">
        <v>268</v>
      </c>
      <c r="D673" t="s">
        <v>269</v>
      </c>
      <c r="E673" t="s">
        <v>270</v>
      </c>
      <c r="F673" t="s">
        <v>271</v>
      </c>
      <c r="G673" t="s">
        <v>272</v>
      </c>
      <c r="H673" t="s">
        <v>255</v>
      </c>
      <c r="I673">
        <v>2022</v>
      </c>
      <c r="J673">
        <v>0</v>
      </c>
      <c r="K673" t="s">
        <v>273</v>
      </c>
      <c r="M673" t="str">
        <f>LEFT($D673,FIND(",",$D673)-1)&amp;"_"&amp;I673&amp;L673</f>
        <v>Aryapratama_2022</v>
      </c>
      <c r="N673" t="s">
        <v>223</v>
      </c>
      <c r="O673" s="145" t="s">
        <v>275</v>
      </c>
      <c r="Q673" t="s">
        <v>225</v>
      </c>
      <c r="R673" s="264" t="s">
        <v>224</v>
      </c>
      <c r="S673" s="1" t="s">
        <v>320</v>
      </c>
      <c r="T673" t="s">
        <v>304</v>
      </c>
      <c r="U673" t="s">
        <v>285</v>
      </c>
      <c r="V673">
        <v>0</v>
      </c>
      <c r="W673">
        <v>0</v>
      </c>
      <c r="X673">
        <v>0</v>
      </c>
      <c r="Y673">
        <v>0</v>
      </c>
      <c r="Z673">
        <v>0</v>
      </c>
      <c r="AA673">
        <v>0</v>
      </c>
      <c r="AB673">
        <v>0</v>
      </c>
      <c r="AC673">
        <v>0</v>
      </c>
      <c r="AD673">
        <v>0</v>
      </c>
      <c r="AE673">
        <v>0</v>
      </c>
      <c r="AF673">
        <v>1</v>
      </c>
      <c r="AG673">
        <v>0</v>
      </c>
      <c r="AH673">
        <v>0</v>
      </c>
      <c r="AI673">
        <v>0</v>
      </c>
      <c r="AJ673">
        <v>0</v>
      </c>
      <c r="AK673">
        <v>0</v>
      </c>
      <c r="AL673">
        <v>0</v>
      </c>
      <c r="AM673">
        <v>0</v>
      </c>
      <c r="AN673">
        <v>0</v>
      </c>
      <c r="AO673">
        <v>0</v>
      </c>
      <c r="AP673">
        <v>0</v>
      </c>
      <c r="AQ673">
        <v>0</v>
      </c>
      <c r="AR673">
        <v>0</v>
      </c>
      <c r="AS673">
        <v>0</v>
      </c>
      <c r="AT673">
        <v>0</v>
      </c>
      <c r="AU673">
        <v>0</v>
      </c>
      <c r="AV673">
        <v>0</v>
      </c>
      <c r="AW673">
        <v>0</v>
      </c>
      <c r="AX673" s="141">
        <f>COUNTIF(V673:AW673,"&lt;&gt;0")</f>
        <v>1</v>
      </c>
      <c r="AY673" s="141">
        <f>COUNTIF(V673:AL673,"&lt;&gt;0")</f>
        <v>1</v>
      </c>
      <c r="AZ673">
        <f>COUNTIF(V673:AC673,"&lt;&gt;0")</f>
        <v>0</v>
      </c>
      <c r="BA673">
        <f>COUNTIF(AD673:AI673,"&lt;&gt;0")</f>
        <v>1</v>
      </c>
      <c r="BB673">
        <f>COUNTIF(AJ673:AL673,"&lt;&gt;0")</f>
        <v>0</v>
      </c>
      <c r="BC673">
        <f>COUNTIF(AS673:AW673,"&lt;&gt;0")</f>
        <v>0</v>
      </c>
      <c r="BD673">
        <f>COUNTIF(AM673:AR673,"&lt;&gt;0")</f>
        <v>0</v>
      </c>
      <c r="BE673" t="str">
        <f t="array" ref="BE673">IF(AY673=1,INDEX($V$7:$AL$7,MATCH(TRUE,INDEX($V673:$AW673&lt;&gt;0,),0)),IF(AY673=0,INDEX($AM$7:$AW$7,MATCH(1,$AM673:$AW673,0)),IF(BF673="Multiple strategies","mixed drivers",IF(BF673="Supply chain","multiple supply","multiple silviculture"))))</f>
        <v>supply chain organization</v>
      </c>
      <c r="BF673" s="2" t="str" cm="1">
        <f t="array" ref="BF673">IF(COUNTIF(AZ673:BB673,"&lt;&gt;0")=1,INDEX($V$4:$AW$4,MATCH(TRUE,INDEX($V673:$AW673&lt;&gt;0,),0)),IF(COUNTIF(AZ673:BB673,"&lt;&gt;0")=0,INDEX($AM$4:$AW$4,MATCH(1,$AM673:$AW673,0)),"Multiple strategies"))</f>
        <v>Supply chain</v>
      </c>
      <c r="BG673" s="1" t="s">
        <v>322</v>
      </c>
      <c r="BH673" s="146" t="s">
        <v>323</v>
      </c>
      <c r="BI673" t="s">
        <v>324</v>
      </c>
      <c r="BJ673" t="s">
        <v>279</v>
      </c>
      <c r="BK673" s="148">
        <v>9.6371132903994159</v>
      </c>
      <c r="BL673" s="148">
        <v>9.6371132903994159</v>
      </c>
      <c r="BM673">
        <f>BL673/BK673</f>
        <v>1</v>
      </c>
      <c r="BN673">
        <f>BL673-BK673</f>
        <v>0</v>
      </c>
      <c r="BO673">
        <f>BN673*tC_to_m3</f>
        <v>0</v>
      </c>
      <c r="BP673" t="s">
        <v>233</v>
      </c>
      <c r="BQ673" s="153" t="s">
        <v>3109</v>
      </c>
      <c r="BR673" t="s">
        <v>280</v>
      </c>
      <c r="BS673">
        <v>176.62110895178901</v>
      </c>
      <c r="BT673">
        <v>192.24097622198209</v>
      </c>
      <c r="BU673" s="144">
        <f>IFERROR(BS673/BT673,"")</f>
        <v>0.91874850212913661</v>
      </c>
      <c r="BV673">
        <f>BS673-BT673</f>
        <v>-15.619867270193083</v>
      </c>
      <c r="BX673">
        <f>BV673</f>
        <v>-15.619867270193083</v>
      </c>
      <c r="BY673" t="str">
        <f>IFERROR(BX673/BO673,"")</f>
        <v/>
      </c>
      <c r="BZ673">
        <v>0</v>
      </c>
      <c r="CA673">
        <v>0</v>
      </c>
      <c r="CB673">
        <v>0</v>
      </c>
      <c r="CC673">
        <v>0</v>
      </c>
      <c r="CD673">
        <v>0</v>
      </c>
      <c r="CE673">
        <v>0</v>
      </c>
      <c r="CF673">
        <v>0</v>
      </c>
      <c r="CG673">
        <v>0</v>
      </c>
      <c r="CH673">
        <v>0</v>
      </c>
      <c r="CI673">
        <v>0</v>
      </c>
      <c r="CJ673">
        <v>0</v>
      </c>
      <c r="CK673">
        <v>0</v>
      </c>
      <c r="CL673">
        <v>0</v>
      </c>
      <c r="CM673">
        <v>0</v>
      </c>
      <c r="CN673" t="str">
        <f>IF($BL673&lt;$BK673,"refNeedCorrection","refOK")</f>
        <v>refOK</v>
      </c>
      <c r="CO673">
        <f>IF($CN673="refOK",$BK673,$BL673)</f>
        <v>9.6371132903994159</v>
      </c>
      <c r="CP673">
        <f>IF($CN673="refOK",$BL673,$BK673)</f>
        <v>9.6371132903994159</v>
      </c>
      <c r="CQ673">
        <f>IF($CN673="refOK",$BO673,-$BO673)</f>
        <v>0</v>
      </c>
      <c r="CR673">
        <f>IF($CN673="refOK",$BT673,$BS673)*IF($BP673="Emissions positive",-1,1)</f>
        <v>192.24097622198209</v>
      </c>
      <c r="CS673">
        <f>IF($CN673="refOK",$BS673,$BT673)*IF($BP673="Emissions positive",-1,1)</f>
        <v>176.62110895178901</v>
      </c>
      <c r="CT673">
        <f>IF($CN673="refNeedCorrection",-BX673,BX673)*IF($BP673="Emissions positive",-1,1)</f>
        <v>-15.619867270193083</v>
      </c>
      <c r="CU673" t="str">
        <f>IFERROR(CT673/CQ673,"")</f>
        <v/>
      </c>
      <c r="CV673" s="2">
        <f>IFERROR((CS673-CR673)/ABS(CR673),"")</f>
        <v>-8.1251497870863415E-2</v>
      </c>
      <c r="CW673" s="1" t="s">
        <v>235</v>
      </c>
      <c r="CX673" t="str">
        <f>IF(OR($CW673="prd",$CW673="std",$CW673="cit"),"loc",IF(OR($CW673="eur",$CW673="reg",$CW673="coy"),"reg",$CW673))</f>
        <v>loc</v>
      </c>
      <c r="CY673" t="s">
        <v>281</v>
      </c>
      <c r="DB673">
        <v>100</v>
      </c>
      <c r="DC673" t="str">
        <f>IF(DB673=0,"0",IF(AND(DB673&gt;=1,DB673&lt;=30),"1-30",IF(AND(DB673&gt;30,DB673&lt;=70),"31-70",IF(AND(DB673&gt;70,DB673&lt;=100),"71-100",IF(DB673&gt;100,"+100")))))</f>
        <v>71-100</v>
      </c>
      <c r="DD673">
        <v>0</v>
      </c>
      <c r="DE673">
        <v>1</v>
      </c>
      <c r="DF673">
        <v>0</v>
      </c>
      <c r="DG673">
        <v>1</v>
      </c>
      <c r="DI673">
        <f>SUM(DD673:DG673)</f>
        <v>2</v>
      </c>
      <c r="DJ673" t="str">
        <f>IF(DI673=1,INDEX($DD$7:$DG$7,MATCH(1,$DD673:$DG673,0)),"mixedProduct")</f>
        <v>mixedProduct</v>
      </c>
      <c r="DK673">
        <f>IF(DD673=1,DK$7,0)</f>
        <v>0</v>
      </c>
      <c r="DL673" t="str">
        <f>IF(DE673=1,DL$7,0)</f>
        <v>Energy</v>
      </c>
      <c r="DM673">
        <f>IF(DF673=1,DM$7,0)</f>
        <v>0</v>
      </c>
      <c r="DN673" t="str">
        <f>IF(DG673=1,DN$7,0)</f>
        <v>Timber</v>
      </c>
      <c r="DO673">
        <v>0</v>
      </c>
      <c r="DP673">
        <v>1</v>
      </c>
      <c r="DQ673" t="s">
        <v>305</v>
      </c>
      <c r="DR673" t="s">
        <v>282</v>
      </c>
      <c r="DS673">
        <v>0</v>
      </c>
      <c r="DT673">
        <f>SUM(DO673:DP673)</f>
        <v>1</v>
      </c>
      <c r="DU673" s="143" t="str">
        <f>IF(DO673=1,"self-calculated DF",IF(DP673=1,"external DF used","explicit C balance"))</f>
        <v>external DF used</v>
      </c>
      <c r="DV673">
        <v>0</v>
      </c>
      <c r="DW673">
        <v>1</v>
      </c>
      <c r="DX673">
        <v>1</v>
      </c>
      <c r="DY673">
        <v>1</v>
      </c>
      <c r="DZ673">
        <v>1</v>
      </c>
      <c r="EA673" s="143">
        <v>0</v>
      </c>
      <c r="EB673">
        <v>1</v>
      </c>
      <c r="EC673">
        <v>1</v>
      </c>
      <c r="ED673">
        <v>0</v>
      </c>
      <c r="EE673">
        <v>1</v>
      </c>
      <c r="EF673">
        <v>1</v>
      </c>
      <c r="EG673">
        <v>1</v>
      </c>
      <c r="EH673">
        <v>0</v>
      </c>
      <c r="EI673" s="2">
        <v>0</v>
      </c>
      <c r="EK673" t="str">
        <f>IF(AND(AND(AND(OR($DX673=1,$DW673=1),OR($EC673=1,$EA673=1)),SUM($DV673:$DZ673,$EF673)&gt;=4),SUM($EA673:$EE673)&gt;=2),"Whole sector","")</f>
        <v>Whole sector</v>
      </c>
      <c r="EL673" t="str">
        <f>IF(AND(AND(OR($DX673=1,$DW673=1),AND($EC673=0,$EA673=0)),SUM($DV673:$DZ673,$EF673)&gt;=4),"Ecosystem approach","")</f>
        <v/>
      </c>
      <c r="EM673" s="2" t="str">
        <f>IF(AND(AND(AND($DX673=0,$DW673=0),OR($EC673=1,$EA673=1)),SUM($EB673:$EE673)&gt;=2),"Technology approach","")</f>
        <v/>
      </c>
      <c r="EN673" t="s">
        <v>325</v>
      </c>
      <c r="EP673" t="b">
        <f>IF(ISNUMBER(BU673),IF(ABS(BU673-[2]QC_indicators!$B$2)&gt;3*[2]QC_indicators!$C$2,"C ratio",IF(ISNUMBER(BY673),IF(ABS(BY673-[2]QC_indicators!$B$1)&gt;3*[2]QC_indicators!$C$1,"DF","no"))),IF(ISNUMBER(BY673),IF(ABS(BY673-[2]QC_indicators!$B$1)&gt;3*[2]QC_indicators!$C$1,"DF","no")))</f>
        <v>0</v>
      </c>
      <c r="EQ673" t="s">
        <v>287</v>
      </c>
      <c r="ER673" s="147" t="s">
        <v>326</v>
      </c>
      <c r="ET673" s="266" t="s">
        <v>3275</v>
      </c>
    </row>
    <row r="674" spans="1:150" ht="15" hidden="1" customHeight="1">
      <c r="A674" s="1" t="s">
        <v>266</v>
      </c>
      <c r="B674" t="s">
        <v>267</v>
      </c>
      <c r="C674" t="s">
        <v>268</v>
      </c>
      <c r="D674" t="s">
        <v>269</v>
      </c>
      <c r="E674" t="s">
        <v>270</v>
      </c>
      <c r="F674" t="s">
        <v>271</v>
      </c>
      <c r="G674" t="s">
        <v>272</v>
      </c>
      <c r="H674" t="s">
        <v>255</v>
      </c>
      <c r="I674">
        <v>2022</v>
      </c>
      <c r="J674">
        <v>0</v>
      </c>
      <c r="K674" t="s">
        <v>273</v>
      </c>
      <c r="M674" t="str">
        <f>LEFT($D674,FIND(",",$D674)-1)&amp;"_"&amp;I674&amp;L674</f>
        <v>Aryapratama_2022</v>
      </c>
      <c r="N674" t="s">
        <v>223</v>
      </c>
      <c r="O674" s="145" t="s">
        <v>275</v>
      </c>
      <c r="Q674" t="s">
        <v>225</v>
      </c>
      <c r="R674" s="264" t="s">
        <v>224</v>
      </c>
      <c r="S674" s="1" t="s">
        <v>320</v>
      </c>
      <c r="T674" t="s">
        <v>313</v>
      </c>
      <c r="U674" t="s">
        <v>284</v>
      </c>
      <c r="V674">
        <v>0</v>
      </c>
      <c r="W674">
        <v>0</v>
      </c>
      <c r="X674">
        <v>0</v>
      </c>
      <c r="Y674">
        <v>0</v>
      </c>
      <c r="Z674">
        <v>0</v>
      </c>
      <c r="AA674">
        <v>0</v>
      </c>
      <c r="AB674">
        <v>0</v>
      </c>
      <c r="AC674">
        <v>0</v>
      </c>
      <c r="AD674">
        <v>0</v>
      </c>
      <c r="AE674">
        <v>0</v>
      </c>
      <c r="AF674">
        <v>1</v>
      </c>
      <c r="AG674">
        <v>0</v>
      </c>
      <c r="AH674">
        <v>0</v>
      </c>
      <c r="AI674">
        <v>0</v>
      </c>
      <c r="AJ674">
        <v>0</v>
      </c>
      <c r="AK674">
        <v>0</v>
      </c>
      <c r="AL674">
        <v>0</v>
      </c>
      <c r="AM674">
        <v>0</v>
      </c>
      <c r="AN674">
        <v>0</v>
      </c>
      <c r="AO674">
        <v>0</v>
      </c>
      <c r="AP674">
        <v>0</v>
      </c>
      <c r="AQ674">
        <v>0</v>
      </c>
      <c r="AR674">
        <v>0</v>
      </c>
      <c r="AS674">
        <v>0</v>
      </c>
      <c r="AT674">
        <v>0</v>
      </c>
      <c r="AU674">
        <v>0</v>
      </c>
      <c r="AV674">
        <v>0</v>
      </c>
      <c r="AW674">
        <v>0</v>
      </c>
      <c r="AX674" s="141">
        <f>COUNTIF(V674:AW674,"&lt;&gt;0")</f>
        <v>1</v>
      </c>
      <c r="AY674" s="141">
        <f>COUNTIF(V674:AL674,"&lt;&gt;0")</f>
        <v>1</v>
      </c>
      <c r="AZ674">
        <f>COUNTIF(V674:AC674,"&lt;&gt;0")</f>
        <v>0</v>
      </c>
      <c r="BA674">
        <f>COUNTIF(AD674:AI674,"&lt;&gt;0")</f>
        <v>1</v>
      </c>
      <c r="BB674">
        <f>COUNTIF(AJ674:AL674,"&lt;&gt;0")</f>
        <v>0</v>
      </c>
      <c r="BC674">
        <f>COUNTIF(AS674:AW674,"&lt;&gt;0")</f>
        <v>0</v>
      </c>
      <c r="BD674">
        <f>COUNTIF(AM674:AR674,"&lt;&gt;0")</f>
        <v>0</v>
      </c>
      <c r="BE674" t="str">
        <f t="array" ref="BE674">IF(AY674=1,INDEX($V$7:$AL$7,MATCH(TRUE,INDEX($V674:$AW674&lt;&gt;0,),0)),IF(AY674=0,INDEX($AM$7:$AW$7,MATCH(1,$AM674:$AW674,0)),IF(BF674="Multiple strategies","mixed drivers",IF(BF674="Supply chain","multiple supply","multiple silviculture"))))</f>
        <v>supply chain organization</v>
      </c>
      <c r="BF674" s="2" t="str" cm="1">
        <f t="array" ref="BF674">IF(COUNTIF(AZ674:BB674,"&lt;&gt;0")=1,INDEX($V$4:$AW$4,MATCH(TRUE,INDEX($V674:$AW674&lt;&gt;0,),0)),IF(COUNTIF(AZ674:BB674,"&lt;&gt;0")=0,INDEX($AM$4:$AW$4,MATCH(1,$AM674:$AW674,0)),"Multiple strategies"))</f>
        <v>Supply chain</v>
      </c>
      <c r="BG674" s="1" t="s">
        <v>322</v>
      </c>
      <c r="BH674" s="146" t="s">
        <v>323</v>
      </c>
      <c r="BI674" t="s">
        <v>324</v>
      </c>
      <c r="BJ674" t="s">
        <v>279</v>
      </c>
      <c r="BK674" s="148">
        <v>9.6371132903994159</v>
      </c>
      <c r="BL674" s="148">
        <v>9.6371132903994159</v>
      </c>
      <c r="BM674">
        <f>BL674/BK674</f>
        <v>1</v>
      </c>
      <c r="BN674">
        <f>BL674-BK674</f>
        <v>0</v>
      </c>
      <c r="BO674">
        <f>BN674*tC_to_m3</f>
        <v>0</v>
      </c>
      <c r="BP674" t="s">
        <v>233</v>
      </c>
      <c r="BQ674" s="153" t="s">
        <v>3109</v>
      </c>
      <c r="BR674" t="s">
        <v>280</v>
      </c>
      <c r="BS674">
        <v>354.30409954781243</v>
      </c>
      <c r="BT674">
        <v>369.9239668180054</v>
      </c>
      <c r="BU674" s="144">
        <f>IFERROR(BS674/BT674,"")</f>
        <v>0.9577754655786398</v>
      </c>
      <c r="BV674">
        <f>BS674-BT674</f>
        <v>-15.619867270192969</v>
      </c>
      <c r="BX674">
        <f>BV674</f>
        <v>-15.619867270192969</v>
      </c>
      <c r="BY674" t="str">
        <f>IFERROR(BX674/BO674,"")</f>
        <v/>
      </c>
      <c r="BZ674">
        <v>0</v>
      </c>
      <c r="CA674">
        <v>0</v>
      </c>
      <c r="CB674">
        <v>0</v>
      </c>
      <c r="CC674">
        <v>0</v>
      </c>
      <c r="CD674">
        <v>0</v>
      </c>
      <c r="CE674">
        <v>0</v>
      </c>
      <c r="CF674">
        <v>0</v>
      </c>
      <c r="CG674">
        <v>0</v>
      </c>
      <c r="CH674">
        <v>0</v>
      </c>
      <c r="CI674">
        <v>0</v>
      </c>
      <c r="CJ674">
        <v>0</v>
      </c>
      <c r="CK674">
        <v>0</v>
      </c>
      <c r="CL674">
        <v>0</v>
      </c>
      <c r="CM674">
        <v>0</v>
      </c>
      <c r="CN674" t="str">
        <f>IF($BL674&lt;$BK674,"refNeedCorrection","refOK")</f>
        <v>refOK</v>
      </c>
      <c r="CO674">
        <f>IF($CN674="refOK",$BK674,$BL674)</f>
        <v>9.6371132903994159</v>
      </c>
      <c r="CP674">
        <f>IF($CN674="refOK",$BL674,$BK674)</f>
        <v>9.6371132903994159</v>
      </c>
      <c r="CQ674">
        <f>IF($CN674="refOK",$BO674,-$BO674)</f>
        <v>0</v>
      </c>
      <c r="CR674">
        <f>IF($CN674="refOK",$BT674,$BS674)*IF($BP674="Emissions positive",-1,1)</f>
        <v>369.9239668180054</v>
      </c>
      <c r="CS674">
        <f>IF($CN674="refOK",$BS674,$BT674)*IF($BP674="Emissions positive",-1,1)</f>
        <v>354.30409954781243</v>
      </c>
      <c r="CT674">
        <f>IF($CN674="refNeedCorrection",-BX674,BX674)*IF($BP674="Emissions positive",-1,1)</f>
        <v>-15.619867270192969</v>
      </c>
      <c r="CU674" t="str">
        <f>IFERROR(CT674/CQ674,"")</f>
        <v/>
      </c>
      <c r="CV674" s="2">
        <f>IFERROR((CS674-CR674)/ABS(CR674),"")</f>
        <v>-4.2224534421360177E-2</v>
      </c>
      <c r="CW674" s="1" t="s">
        <v>235</v>
      </c>
      <c r="CX674" t="str">
        <f>IF(OR($CW674="prd",$CW674="std",$CW674="cit"),"loc",IF(OR($CW674="eur",$CW674="reg",$CW674="coy"),"reg",$CW674))</f>
        <v>loc</v>
      </c>
      <c r="CY674" t="s">
        <v>281</v>
      </c>
      <c r="DB674">
        <v>100</v>
      </c>
      <c r="DC674" t="str">
        <f>IF(DB674=0,"0",IF(AND(DB674&gt;=1,DB674&lt;=30),"1-30",IF(AND(DB674&gt;30,DB674&lt;=70),"31-70",IF(AND(DB674&gt;70,DB674&lt;=100),"71-100",IF(DB674&gt;100,"+100")))))</f>
        <v>71-100</v>
      </c>
      <c r="DD674">
        <v>0</v>
      </c>
      <c r="DE674">
        <v>1</v>
      </c>
      <c r="DF674">
        <v>0</v>
      </c>
      <c r="DG674">
        <v>1</v>
      </c>
      <c r="DI674">
        <f>SUM(DD674:DG674)</f>
        <v>2</v>
      </c>
      <c r="DJ674" t="str">
        <f>IF(DI674=1,INDEX($DD$7:$DG$7,MATCH(1,$DD674:$DG674,0)),"mixedProduct")</f>
        <v>mixedProduct</v>
      </c>
      <c r="DK674">
        <f>IF(DD674=1,DK$7,0)</f>
        <v>0</v>
      </c>
      <c r="DL674" t="str">
        <f>IF(DE674=1,DL$7,0)</f>
        <v>Energy</v>
      </c>
      <c r="DM674">
        <f>IF(DF674=1,DM$7,0)</f>
        <v>0</v>
      </c>
      <c r="DN674" t="str">
        <f>IF(DG674=1,DN$7,0)</f>
        <v>Timber</v>
      </c>
      <c r="DO674">
        <v>0</v>
      </c>
      <c r="DP674">
        <v>1</v>
      </c>
      <c r="DQ674" t="s">
        <v>305</v>
      </c>
      <c r="DR674" t="s">
        <v>282</v>
      </c>
      <c r="DS674">
        <v>0</v>
      </c>
      <c r="DT674">
        <f>SUM(DO674:DP674)</f>
        <v>1</v>
      </c>
      <c r="DU674" s="143" t="str">
        <f>IF(DO674=1,"self-calculated DF",IF(DP674=1,"external DF used","explicit C balance"))</f>
        <v>external DF used</v>
      </c>
      <c r="DV674">
        <v>0</v>
      </c>
      <c r="DW674">
        <v>1</v>
      </c>
      <c r="DX674">
        <v>1</v>
      </c>
      <c r="DY674">
        <v>1</v>
      </c>
      <c r="DZ674">
        <v>1</v>
      </c>
      <c r="EA674" s="143">
        <v>0</v>
      </c>
      <c r="EB674">
        <v>1</v>
      </c>
      <c r="EC674">
        <v>1</v>
      </c>
      <c r="ED674">
        <v>0</v>
      </c>
      <c r="EE674">
        <v>1</v>
      </c>
      <c r="EF674">
        <v>1</v>
      </c>
      <c r="EG674">
        <v>1</v>
      </c>
      <c r="EH674">
        <v>0</v>
      </c>
      <c r="EI674" s="2">
        <v>0</v>
      </c>
      <c r="EK674" t="str">
        <f>IF(AND(AND(AND(OR($DX674=1,$DW674=1),OR($EC674=1,$EA674=1)),SUM($DV674:$DZ674,$EF674)&gt;=4),SUM($EA674:$EE674)&gt;=2),"Whole sector","")</f>
        <v>Whole sector</v>
      </c>
      <c r="EL674" t="str">
        <f>IF(AND(AND(OR($DX674=1,$DW674=1),AND($EC674=0,$EA674=0)),SUM($DV674:$DZ674,$EF674)&gt;=4),"Ecosystem approach","")</f>
        <v/>
      </c>
      <c r="EM674" s="2" t="str">
        <f>IF(AND(AND(AND($DX674=0,$DW674=0),OR($EC674=1,$EA674=1)),SUM($EB674:$EE674)&gt;=2),"Technology approach","")</f>
        <v/>
      </c>
      <c r="EN674" t="s">
        <v>325</v>
      </c>
      <c r="EP674" t="b">
        <f>IF(ISNUMBER(BU674),IF(ABS(BU674-[2]QC_indicators!$B$2)&gt;3*[2]QC_indicators!$C$2,"C ratio",IF(ISNUMBER(BY674),IF(ABS(BY674-[2]QC_indicators!$B$1)&gt;3*[2]QC_indicators!$C$1,"DF","no"))),IF(ISNUMBER(BY674),IF(ABS(BY674-[2]QC_indicators!$B$1)&gt;3*[2]QC_indicators!$C$1,"DF","no")))</f>
        <v>0</v>
      </c>
      <c r="EQ674" t="s">
        <v>287</v>
      </c>
      <c r="ER674" s="147" t="s">
        <v>326</v>
      </c>
      <c r="ET674" s="266" t="s">
        <v>3275</v>
      </c>
    </row>
    <row r="675" spans="1:150" ht="15" hidden="1" customHeight="1">
      <c r="A675" s="1" t="s">
        <v>266</v>
      </c>
      <c r="B675" t="s">
        <v>267</v>
      </c>
      <c r="C675" t="s">
        <v>268</v>
      </c>
      <c r="D675" t="s">
        <v>269</v>
      </c>
      <c r="E675" t="s">
        <v>270</v>
      </c>
      <c r="F675" t="s">
        <v>271</v>
      </c>
      <c r="G675" t="s">
        <v>272</v>
      </c>
      <c r="H675" t="s">
        <v>255</v>
      </c>
      <c r="I675">
        <v>2022</v>
      </c>
      <c r="J675">
        <v>0</v>
      </c>
      <c r="K675" t="s">
        <v>273</v>
      </c>
      <c r="M675" t="str">
        <f>LEFT($D675,FIND(",",$D675)-1)&amp;"_"&amp;I675&amp;L675</f>
        <v>Aryapratama_2022</v>
      </c>
      <c r="N675" t="s">
        <v>223</v>
      </c>
      <c r="O675" s="145" t="s">
        <v>275</v>
      </c>
      <c r="Q675" t="s">
        <v>225</v>
      </c>
      <c r="R675" s="264" t="s">
        <v>224</v>
      </c>
      <c r="S675" s="265" t="s">
        <v>3110</v>
      </c>
      <c r="T675" t="s">
        <v>284</v>
      </c>
      <c r="U675" t="s">
        <v>285</v>
      </c>
      <c r="V675">
        <v>0</v>
      </c>
      <c r="W675">
        <v>0</v>
      </c>
      <c r="X675">
        <v>0</v>
      </c>
      <c r="Y675">
        <v>0</v>
      </c>
      <c r="Z675">
        <v>0</v>
      </c>
      <c r="AA675">
        <v>0</v>
      </c>
      <c r="AB675">
        <v>0</v>
      </c>
      <c r="AC675">
        <v>0</v>
      </c>
      <c r="AD675">
        <v>1</v>
      </c>
      <c r="AE675">
        <v>0</v>
      </c>
      <c r="AF675">
        <v>0</v>
      </c>
      <c r="AG675">
        <v>0</v>
      </c>
      <c r="AH675">
        <v>0</v>
      </c>
      <c r="AI675">
        <v>0</v>
      </c>
      <c r="AJ675">
        <v>0</v>
      </c>
      <c r="AK675">
        <v>0</v>
      </c>
      <c r="AL675">
        <v>0</v>
      </c>
      <c r="AM675">
        <v>0</v>
      </c>
      <c r="AN675">
        <v>0</v>
      </c>
      <c r="AO675">
        <v>0</v>
      </c>
      <c r="AP675">
        <v>0</v>
      </c>
      <c r="AQ675">
        <v>0</v>
      </c>
      <c r="AR675">
        <v>0</v>
      </c>
      <c r="AS675">
        <v>0</v>
      </c>
      <c r="AT675">
        <v>0</v>
      </c>
      <c r="AU675">
        <v>0</v>
      </c>
      <c r="AV675">
        <v>0</v>
      </c>
      <c r="AW675">
        <v>0</v>
      </c>
      <c r="AX675" s="141">
        <f>COUNTIF(V675:AW675,"&lt;&gt;0")</f>
        <v>1</v>
      </c>
      <c r="AY675" s="141">
        <f>COUNTIF(V675:AL675,"&lt;&gt;0")</f>
        <v>1</v>
      </c>
      <c r="AZ675">
        <f>COUNTIF(V675:AC675,"&lt;&gt;0")</f>
        <v>0</v>
      </c>
      <c r="BA675">
        <f>COUNTIF(AD675:AI675,"&lt;&gt;0")</f>
        <v>1</v>
      </c>
      <c r="BB675">
        <f>COUNTIF(AJ675:AL675,"&lt;&gt;0")</f>
        <v>0</v>
      </c>
      <c r="BC675">
        <f>COUNTIF(AS675:AW675,"&lt;&gt;0")</f>
        <v>0</v>
      </c>
      <c r="BD675">
        <f>COUNTIF(AM675:AR675,"&lt;&gt;0")</f>
        <v>0</v>
      </c>
      <c r="BE675" t="str">
        <f t="array" ref="BE675">IF(AY675=1,INDEX($V$7:$AL$7,MATCH(TRUE,INDEX($V675:$AW675&lt;&gt;0,),0)),IF(AY675=0,INDEX($AM$7:$AW$7,MATCH(1,$AM675:$AW675,0)),IF(BF675="Multiple strategies","mixed drivers",IF(BF675="Supply chain","multiple supply","multiple silviculture"))))</f>
        <v>harvesting system</v>
      </c>
      <c r="BF675" s="2" t="str" cm="1">
        <f t="array" ref="BF675">IF(COUNTIF(AZ675:BB675,"&lt;&gt;0")=1,INDEX($V$4:$AW$4,MATCH(TRUE,INDEX($V675:$AW675&lt;&gt;0,),0)),IF(COUNTIF(AZ675:BB675,"&lt;&gt;0")=0,INDEX($AM$4:$AW$4,MATCH(1,$AM675:$AW675,0)),"Multiple strategies"))</f>
        <v>Supply chain</v>
      </c>
      <c r="BG675" s="1" t="s">
        <v>230</v>
      </c>
      <c r="BH675" t="s">
        <v>286</v>
      </c>
      <c r="BJ675" t="s">
        <v>279</v>
      </c>
      <c r="BK675">
        <v>17.346803922718955</v>
      </c>
      <c r="BL675">
        <v>17.346803922718955</v>
      </c>
      <c r="BM675">
        <f>BL675/BK675</f>
        <v>1</v>
      </c>
      <c r="BN675">
        <f>BL675-BK675</f>
        <v>0</v>
      </c>
      <c r="BO675">
        <f>BN675*tC_to_m3</f>
        <v>0</v>
      </c>
      <c r="BP675" t="s">
        <v>233</v>
      </c>
      <c r="BQ675" s="153" t="s">
        <v>3109</v>
      </c>
      <c r="BR675" t="s">
        <v>280</v>
      </c>
      <c r="BS675">
        <v>369.9239668180054</v>
      </c>
      <c r="BT675">
        <v>192.24097622198209</v>
      </c>
      <c r="BU675" s="144">
        <f>IFERROR(BT675/BS675,"")</f>
        <v>0.51967699707480841</v>
      </c>
      <c r="BV675">
        <f>BT675-BS675</f>
        <v>-177.6829905960233</v>
      </c>
      <c r="BX675">
        <f>BV675</f>
        <v>-177.6829905960233</v>
      </c>
      <c r="BY675" t="str">
        <f>IFERROR(BX675/BO675,"")</f>
        <v/>
      </c>
      <c r="BZ675">
        <v>0</v>
      </c>
      <c r="CA675">
        <v>0</v>
      </c>
      <c r="CB675">
        <v>0</v>
      </c>
      <c r="CC675">
        <v>0</v>
      </c>
      <c r="CD675">
        <v>0</v>
      </c>
      <c r="CE675">
        <v>0</v>
      </c>
      <c r="CF675">
        <v>0</v>
      </c>
      <c r="CG675">
        <v>0</v>
      </c>
      <c r="CH675">
        <v>0</v>
      </c>
      <c r="CI675">
        <v>0</v>
      </c>
      <c r="CJ675">
        <v>0</v>
      </c>
      <c r="CK675">
        <v>0</v>
      </c>
      <c r="CL675">
        <v>0</v>
      </c>
      <c r="CM675">
        <v>0</v>
      </c>
      <c r="CN675" t="str">
        <f>IF($BL675&lt;$BK675,"refNeedCorrection","refOK")</f>
        <v>refOK</v>
      </c>
      <c r="CO675">
        <f>IF($CN675="refOK",$BK675,$BL675)</f>
        <v>17.346803922718955</v>
      </c>
      <c r="CP675">
        <f>IF($CN675="refOK",$BL675,$BK675)</f>
        <v>17.346803922718955</v>
      </c>
      <c r="CQ675">
        <f>IF($CN675="refOK",$BO675,-$BO675)</f>
        <v>0</v>
      </c>
      <c r="CR675">
        <f>IF($CN675="refOK",$BS675,$BT675)*IF($BP675="Emissions positive",-1,1)</f>
        <v>369.9239668180054</v>
      </c>
      <c r="CS675">
        <f>IF($CN675="refOK",$BT675,$BS675)*IF($BP675="Emissions positive",-1,1)</f>
        <v>192.24097622198209</v>
      </c>
      <c r="CT675">
        <f>IF($CN675="refNeedCorrection",-BX675,BX675)*IF($BP675="Emissions positive",-1,1)</f>
        <v>-177.6829905960233</v>
      </c>
      <c r="CU675" t="str">
        <f>IFERROR(CT675/CQ675,"")</f>
        <v/>
      </c>
      <c r="CV675" s="2">
        <f>IFERROR((CS675-CR675)/ABS(CR675),"")</f>
        <v>-0.48032300292519164</v>
      </c>
      <c r="CW675" s="1" t="s">
        <v>235</v>
      </c>
      <c r="CX675" t="str">
        <f>IF(OR($CW675="prd",$CW675="std",$CW675="cit"),"loc",IF(OR($CW675="eur",$CW675="reg",$CW675="coy"),"reg",$CW675))</f>
        <v>loc</v>
      </c>
      <c r="CY675" t="s">
        <v>281</v>
      </c>
      <c r="DB675">
        <v>100</v>
      </c>
      <c r="DC675" t="str">
        <f>IF(DB675=0,"0",IF(AND(DB675&gt;=1,DB675&lt;=30),"1-30",IF(AND(DB675&gt;30,DB675&lt;=70),"31-70",IF(AND(DB675&gt;70,DB675&lt;=100),"71-100",IF(DB675&gt;100,"+100")))))</f>
        <v>71-100</v>
      </c>
      <c r="DD675">
        <v>0</v>
      </c>
      <c r="DE675">
        <v>0</v>
      </c>
      <c r="DF675">
        <v>0</v>
      </c>
      <c r="DG675">
        <v>1</v>
      </c>
      <c r="DI675">
        <f>SUM(DD675:DG675)</f>
        <v>1</v>
      </c>
      <c r="DJ675" t="str">
        <f>IF(DI675=1,INDEX($DD$7:$DG$7,MATCH(1,$DD675:$DG675,0)),"mixedProduct")</f>
        <v>TimberInput</v>
      </c>
      <c r="DK675">
        <f>IF(DD675=1,DK$7,0)</f>
        <v>0</v>
      </c>
      <c r="DL675">
        <f>IF(DE675=1,DL$7,0)</f>
        <v>0</v>
      </c>
      <c r="DM675">
        <f>IF(DF675=1,DM$7,0)</f>
        <v>0</v>
      </c>
      <c r="DN675" t="str">
        <f>IF(DG675=1,DN$7,0)</f>
        <v>Timber</v>
      </c>
      <c r="DO675">
        <v>0</v>
      </c>
      <c r="DP675">
        <v>1</v>
      </c>
      <c r="DQ675">
        <v>0</v>
      </c>
      <c r="DR675" t="s">
        <v>282</v>
      </c>
      <c r="DS675">
        <v>0</v>
      </c>
      <c r="DT675">
        <f>SUM(DO675:DP675)</f>
        <v>1</v>
      </c>
      <c r="DU675" s="143" t="str">
        <f>IF(DO675=1,"self-calculated DF",IF(DP675=1,"external DF used","explicit C balance"))</f>
        <v>external DF used</v>
      </c>
      <c r="DV675">
        <v>0</v>
      </c>
      <c r="DW675">
        <v>1</v>
      </c>
      <c r="DX675">
        <v>1</v>
      </c>
      <c r="DY675">
        <v>1</v>
      </c>
      <c r="DZ675">
        <v>1</v>
      </c>
      <c r="EA675" s="143">
        <v>0</v>
      </c>
      <c r="EB675">
        <v>1</v>
      </c>
      <c r="EC675">
        <v>1</v>
      </c>
      <c r="ED675">
        <v>0</v>
      </c>
      <c r="EE675">
        <v>1</v>
      </c>
      <c r="EF675">
        <v>1</v>
      </c>
      <c r="EG675">
        <v>1</v>
      </c>
      <c r="EH675">
        <v>0</v>
      </c>
      <c r="EI675" s="2">
        <v>0</v>
      </c>
      <c r="EK675" t="str">
        <f>IF(AND(AND(AND(OR($DX675=1,$DW675=1),OR($EC675=1,$EA675=1)),SUM($DV675:$DZ675,$EF675)&gt;=4),SUM($EA675:$EE675)&gt;=2),"Whole sector","")</f>
        <v>Whole sector</v>
      </c>
      <c r="EL675" t="str">
        <f>IF(AND(AND(OR($DX675=1,$DW675=1),AND($EC675=0,$EA675=0)),SUM($DV675:$DZ675,$EF675)&gt;=4),"Ecosystem approach","")</f>
        <v/>
      </c>
      <c r="EM675" s="2" t="str">
        <f>IF(AND(AND(AND($DX675=0,$DW675=0),OR($EC675=1,$EA675=1)),SUM($EB675:$EE675)&gt;=2),"Technology approach","")</f>
        <v/>
      </c>
      <c r="EP675" t="b">
        <f>IF(ISNUMBER(BU675),IF(ABS(BU675-[2]QC_indicators!$B$2)&gt;3*[2]QC_indicators!$C$2,"C ratio",IF(ISNUMBER(BY675),IF(ABS(BY675-[2]QC_indicators!$B$1)&gt;3*[2]QC_indicators!$C$1,"DF","no"))),IF(ISNUMBER(BY675),IF(ABS(BY675-[2]QC_indicators!$B$1)&gt;3*[2]QC_indicators!$C$1,"DF","no")))</f>
        <v>0</v>
      </c>
      <c r="EQ675" t="s">
        <v>287</v>
      </c>
      <c r="ET675" s="266" t="s">
        <v>3275</v>
      </c>
    </row>
    <row r="676" spans="1:150" ht="15" hidden="1" customHeight="1">
      <c r="A676" s="1" t="s">
        <v>266</v>
      </c>
      <c r="B676" t="s">
        <v>1533</v>
      </c>
      <c r="C676" t="s">
        <v>1534</v>
      </c>
      <c r="D676" t="s">
        <v>1535</v>
      </c>
      <c r="E676" t="s">
        <v>1536</v>
      </c>
      <c r="F676" t="s">
        <v>1537</v>
      </c>
      <c r="G676" t="s">
        <v>272</v>
      </c>
      <c r="H676" t="s">
        <v>255</v>
      </c>
      <c r="I676">
        <v>2019</v>
      </c>
      <c r="J676">
        <v>26</v>
      </c>
      <c r="K676" t="s">
        <v>1538</v>
      </c>
      <c r="M676" t="str">
        <f>LEFT($D676,FIND(",",$D676)-1)&amp;"_"&amp;I676&amp;L676</f>
        <v>Faraca_2019</v>
      </c>
      <c r="N676" t="s">
        <v>223</v>
      </c>
      <c r="O676" s="145" t="s">
        <v>275</v>
      </c>
      <c r="P676" s="180" t="s">
        <v>224</v>
      </c>
      <c r="Q676" t="s">
        <v>257</v>
      </c>
      <c r="R676" s="264" t="s">
        <v>224</v>
      </c>
      <c r="S676" s="265" t="s">
        <v>3122</v>
      </c>
      <c r="T676" t="s">
        <v>1545</v>
      </c>
      <c r="U676" t="s">
        <v>1547</v>
      </c>
      <c r="V676">
        <v>0</v>
      </c>
      <c r="W676">
        <v>0</v>
      </c>
      <c r="X676">
        <v>0</v>
      </c>
      <c r="Y676">
        <v>0</v>
      </c>
      <c r="Z676">
        <v>0</v>
      </c>
      <c r="AA676">
        <v>0</v>
      </c>
      <c r="AB676">
        <v>0</v>
      </c>
      <c r="AC676">
        <v>0</v>
      </c>
      <c r="AD676">
        <v>0</v>
      </c>
      <c r="AE676">
        <v>0</v>
      </c>
      <c r="AF676">
        <v>0</v>
      </c>
      <c r="AG676">
        <v>0</v>
      </c>
      <c r="AH676">
        <v>0</v>
      </c>
      <c r="AI676">
        <v>1</v>
      </c>
      <c r="AJ676">
        <v>0</v>
      </c>
      <c r="AK676">
        <v>0</v>
      </c>
      <c r="AL676">
        <v>0</v>
      </c>
      <c r="AM676">
        <v>0</v>
      </c>
      <c r="AN676">
        <v>0</v>
      </c>
      <c r="AO676">
        <v>0</v>
      </c>
      <c r="AP676">
        <v>0</v>
      </c>
      <c r="AQ676">
        <v>0</v>
      </c>
      <c r="AR676">
        <v>0</v>
      </c>
      <c r="AS676">
        <v>0</v>
      </c>
      <c r="AT676">
        <v>0</v>
      </c>
      <c r="AU676">
        <v>0</v>
      </c>
      <c r="AV676">
        <v>0</v>
      </c>
      <c r="AW676">
        <v>0</v>
      </c>
      <c r="AX676" s="141">
        <f>COUNTIF(V676:AW676,"&lt;&gt;0")</f>
        <v>1</v>
      </c>
      <c r="AY676" s="141">
        <f>COUNTIF(V676:AL676,"&lt;&gt;0")</f>
        <v>1</v>
      </c>
      <c r="AZ676">
        <f>COUNTIF(V676:AC676,"&lt;&gt;0")</f>
        <v>0</v>
      </c>
      <c r="BA676">
        <f>COUNTIF(AD676:AI676,"&lt;&gt;0")</f>
        <v>1</v>
      </c>
      <c r="BB676">
        <f>COUNTIF(AJ676:AL676,"&lt;&gt;0")</f>
        <v>0</v>
      </c>
      <c r="BC676">
        <f>COUNTIF(AS676:AW676,"&lt;&gt;0")</f>
        <v>0</v>
      </c>
      <c r="BD676">
        <f>COUNTIF(AM676:AR676,"&lt;&gt;0")</f>
        <v>0</v>
      </c>
      <c r="BE676" t="str">
        <f t="array" ref="BE676">IF(AY676=1,INDEX($V$7:$AL$7,MATCH(TRUE,INDEX($V676:$AW676&lt;&gt;0,),0)),IF(AY676=0,INDEX($AM$7:$AW$7,MATCH(1,$AM676:$AW676,0)),IF(BF676="Multiple strategies","mixed drivers",IF(BF676="Supply chain","multiple supply","multiple silviculture"))))</f>
        <v>products lifespan</v>
      </c>
      <c r="BF676" s="2" t="str" cm="1">
        <f t="array" ref="BF676">IF(COUNTIF(AZ676:BB676,"&lt;&gt;0")=1,INDEX($V$4:$AW$4,MATCH(TRUE,INDEX($V676:$AW676&lt;&gt;0,),0)),IF(COUNTIF(AZ676:BB676,"&lt;&gt;0")=0,INDEX($AM$4:$AW$4,MATCH(1,$AM676:$AW676,0)),"Multiple strategies"))</f>
        <v>Supply chain</v>
      </c>
      <c r="BG676" s="1" t="s">
        <v>230</v>
      </c>
      <c r="BH676" t="s">
        <v>1550</v>
      </c>
      <c r="BI676" s="266" t="s">
        <v>3123</v>
      </c>
      <c r="BJ676" t="s">
        <v>346</v>
      </c>
      <c r="BK676">
        <v>478</v>
      </c>
      <c r="BL676">
        <v>922</v>
      </c>
      <c r="BM676">
        <f>BK676/BL676</f>
        <v>0.51843817787418656</v>
      </c>
      <c r="BN676">
        <f>BL676-BK676</f>
        <v>444</v>
      </c>
      <c r="BO676">
        <f>BN676*kg_to_m3</f>
        <v>0.90612244897959193</v>
      </c>
      <c r="BP676" t="s">
        <v>396</v>
      </c>
      <c r="BQ676" s="266" t="s">
        <v>427</v>
      </c>
      <c r="BR676" t="s">
        <v>730</v>
      </c>
      <c r="BS676">
        <v>-393.1</v>
      </c>
      <c r="BT676">
        <v>-10.3</v>
      </c>
      <c r="BU676" s="144">
        <f>IFERROR(BS676/BT676,"")</f>
        <v>38.165048543689323</v>
      </c>
      <c r="BV676">
        <f>BT676-BS676</f>
        <v>382.8</v>
      </c>
      <c r="BX676">
        <f>BV676/1000</f>
        <v>0.38280000000000003</v>
      </c>
      <c r="BY676">
        <f>IFERROR(BX676/BO676,"")</f>
        <v>0.42245945945945945</v>
      </c>
      <c r="BZ676">
        <v>0</v>
      </c>
      <c r="CA676">
        <v>0</v>
      </c>
      <c r="CB676">
        <v>0</v>
      </c>
      <c r="CC676">
        <v>0</v>
      </c>
      <c r="CD676">
        <v>0</v>
      </c>
      <c r="CE676">
        <v>0</v>
      </c>
      <c r="CF676">
        <v>0</v>
      </c>
      <c r="CG676">
        <v>0</v>
      </c>
      <c r="CH676">
        <v>0</v>
      </c>
      <c r="CI676">
        <v>0</v>
      </c>
      <c r="CJ676">
        <v>0</v>
      </c>
      <c r="CK676">
        <v>0</v>
      </c>
      <c r="CL676">
        <v>0</v>
      </c>
      <c r="CM676">
        <v>0</v>
      </c>
      <c r="CN676" t="str">
        <f>IF($BL676&lt;$BK676,"refNeedCorrection","refOK")</f>
        <v>refOK</v>
      </c>
      <c r="CO676">
        <f>IF($CN676="refNeedCorrection",BL676,BK676)</f>
        <v>478</v>
      </c>
      <c r="CP676">
        <f>IF($CN676="refNeedCorrection",BK676,BL676)</f>
        <v>922</v>
      </c>
      <c r="CQ676">
        <f>IF($CN676="refOK",$BO676,-$BO676)</f>
        <v>0.90612244897959193</v>
      </c>
      <c r="CR676">
        <f>IF($CN676="refOK",$BS676,$BT676)*IF($BP676="Emissions positive",-1,1)</f>
        <v>393.1</v>
      </c>
      <c r="CS676">
        <f>IF($CN676="refOK",$BT676,$BS676)*IF($BP676="Emissions positive",-1,1)</f>
        <v>10.3</v>
      </c>
      <c r="CT676">
        <f>IF($CN676="refNeedCorrection",-BX676,BX676)*IF($BP676="Emissions positive",-1,1)</f>
        <v>-0.38280000000000003</v>
      </c>
      <c r="CU676">
        <f>IFERROR(CT676/CQ676,"")</f>
        <v>-0.42245945945945945</v>
      </c>
      <c r="CV676" s="2">
        <f>IFERROR((CS676-CR676)/ABS(CR676),"")</f>
        <v>-0.97379801577206815</v>
      </c>
      <c r="CW676" s="1" t="s">
        <v>1201</v>
      </c>
      <c r="CX676" t="str">
        <f>IF(OR($CW676="prd",$CW676="std",$CW676="cit"),"loc",IF(OR($CW676="eur",$CW676="reg",$CW676="coy"),"reg",$CW676))</f>
        <v>reg</v>
      </c>
      <c r="CY676" t="s">
        <v>1542</v>
      </c>
      <c r="DB676">
        <v>100</v>
      </c>
      <c r="DC676" t="str">
        <f>IF(DB676=0,"0",IF(AND(DB676&gt;=1,DB676&lt;=30),"1-30",IF(AND(DB676&gt;30,DB676&lt;=70),"31-70",IF(AND(DB676&gt;70,DB676&lt;=100),"71-100",IF(DB676&gt;100,"+100")))))</f>
        <v>71-100</v>
      </c>
      <c r="DD676">
        <v>0</v>
      </c>
      <c r="DE676">
        <v>0</v>
      </c>
      <c r="DF676">
        <v>0</v>
      </c>
      <c r="DG676">
        <v>1</v>
      </c>
      <c r="DI676">
        <f>SUM(DD676:DG676)</f>
        <v>1</v>
      </c>
      <c r="DJ676" t="str">
        <f>IF(DI676=1,INDEX($DD$7:$DG$7,MATCH(1,$DD676:$DG676,0)),"mixedProduct")</f>
        <v>TimberInput</v>
      </c>
      <c r="DK676">
        <f>IF(DD676=1,DK$7,0)</f>
        <v>0</v>
      </c>
      <c r="DL676">
        <f>IF(DE676=1,DL$7,0)</f>
        <v>0</v>
      </c>
      <c r="DM676">
        <f>IF(DF676=1,DM$7,0)</f>
        <v>0</v>
      </c>
      <c r="DN676" t="str">
        <f>IF(DG676=1,DN$7,0)</f>
        <v>Timber</v>
      </c>
      <c r="DO676">
        <v>0</v>
      </c>
      <c r="DP676">
        <v>1</v>
      </c>
      <c r="DQ676">
        <v>0</v>
      </c>
      <c r="DR676">
        <v>0</v>
      </c>
      <c r="DS676" t="s">
        <v>1543</v>
      </c>
      <c r="DT676">
        <f>SUM(DO676:DP676)</f>
        <v>1</v>
      </c>
      <c r="DU676" s="143" t="str">
        <f>IF(DO676=1,"self-calculated DF",IF(DP676=1,"external DF used","explicit C balance"))</f>
        <v>external DF used</v>
      </c>
      <c r="DV676">
        <v>0</v>
      </c>
      <c r="DW676">
        <v>0</v>
      </c>
      <c r="DX676">
        <v>0</v>
      </c>
      <c r="DY676">
        <v>0</v>
      </c>
      <c r="DZ676">
        <v>1</v>
      </c>
      <c r="EA676" s="143">
        <v>1</v>
      </c>
      <c r="EB676">
        <v>0</v>
      </c>
      <c r="EC676">
        <v>1</v>
      </c>
      <c r="ED676">
        <v>0</v>
      </c>
      <c r="EE676">
        <v>1</v>
      </c>
      <c r="EF676">
        <v>1</v>
      </c>
      <c r="EG676">
        <v>1</v>
      </c>
      <c r="EH676">
        <v>0</v>
      </c>
      <c r="EI676" s="2">
        <v>0</v>
      </c>
      <c r="EK676" t="str">
        <f>IF(AND(AND(AND(OR($DX676=1,$DW676=1),OR($EC676=1,$EA676=1)),SUM($DV676:$DZ676,$EF676)&gt;=4),SUM($EA676:$EE676)&gt;=2),"Whole sector","")</f>
        <v/>
      </c>
      <c r="EL676" t="str">
        <f>IF(AND(AND(OR($DX676=1,$DW676=1),AND($EC676=0,$EA676=0)),SUM($DV676:$DZ676,$EF676)&gt;=4),"Ecosystem approach","")</f>
        <v/>
      </c>
      <c r="EM676" s="2" t="str">
        <f>IF(AND(AND(AND($DX676=0,$DW676=0),OR($EC676=1,$EA676=1)),SUM($EB676:$EE676)&gt;=2),"Technology approach","")</f>
        <v>Technology approach</v>
      </c>
      <c r="EP676" t="str">
        <f>IF(ISNUMBER(BU676),IF(ABS(BU676-[2]QC_indicators!$B$2)&gt;3*[2]QC_indicators!$C$2,"C ratio",IF(ISNUMBER(BY676),IF(ABS(BY676-[2]QC_indicators!$B$1)&gt;3*[2]QC_indicators!$C$1,"DF","no"))),IF(ISNUMBER(BY676),IF(ABS(BY676-[2]QC_indicators!$B$1)&gt;3*[2]QC_indicators!$C$1,"DF","no")))</f>
        <v>C ratio</v>
      </c>
      <c r="ET676" s="266" t="s">
        <v>3275</v>
      </c>
    </row>
    <row r="677" spans="1:150" ht="15" hidden="1" customHeight="1">
      <c r="A677" s="1" t="s">
        <v>266</v>
      </c>
      <c r="B677" t="s">
        <v>1533</v>
      </c>
      <c r="C677" t="s">
        <v>1534</v>
      </c>
      <c r="D677" t="s">
        <v>1535</v>
      </c>
      <c r="E677" t="s">
        <v>1536</v>
      </c>
      <c r="F677" t="s">
        <v>1537</v>
      </c>
      <c r="G677" t="s">
        <v>272</v>
      </c>
      <c r="H677" t="s">
        <v>255</v>
      </c>
      <c r="I677">
        <v>2019</v>
      </c>
      <c r="J677">
        <v>26</v>
      </c>
      <c r="K677" t="s">
        <v>1538</v>
      </c>
      <c r="M677" t="str">
        <f>LEFT($D677,FIND(",",$D677)-1)&amp;"_"&amp;I677&amp;L677</f>
        <v>Faraca_2019</v>
      </c>
      <c r="N677" t="s">
        <v>223</v>
      </c>
      <c r="O677" s="145" t="s">
        <v>275</v>
      </c>
      <c r="P677" s="180" t="s">
        <v>224</v>
      </c>
      <c r="Q677" t="s">
        <v>257</v>
      </c>
      <c r="R677" s="264" t="s">
        <v>224</v>
      </c>
      <c r="S677" s="265" t="s">
        <v>3122</v>
      </c>
      <c r="T677" t="s">
        <v>1545</v>
      </c>
      <c r="U677" t="s">
        <v>1546</v>
      </c>
      <c r="V677">
        <v>0</v>
      </c>
      <c r="W677">
        <v>0</v>
      </c>
      <c r="X677">
        <v>0</v>
      </c>
      <c r="Y677">
        <v>0</v>
      </c>
      <c r="Z677">
        <v>0</v>
      </c>
      <c r="AA677">
        <v>0</v>
      </c>
      <c r="AB677">
        <v>0</v>
      </c>
      <c r="AC677">
        <v>0</v>
      </c>
      <c r="AD677">
        <v>0</v>
      </c>
      <c r="AE677">
        <v>0</v>
      </c>
      <c r="AF677">
        <v>0</v>
      </c>
      <c r="AG677">
        <v>0</v>
      </c>
      <c r="AH677">
        <v>0</v>
      </c>
      <c r="AI677">
        <v>1</v>
      </c>
      <c r="AJ677">
        <v>0</v>
      </c>
      <c r="AK677">
        <v>0</v>
      </c>
      <c r="AL677">
        <v>0</v>
      </c>
      <c r="AM677">
        <v>0</v>
      </c>
      <c r="AN677">
        <v>0</v>
      </c>
      <c r="AO677">
        <v>0</v>
      </c>
      <c r="AP677">
        <v>0</v>
      </c>
      <c r="AQ677">
        <v>0</v>
      </c>
      <c r="AR677">
        <v>0</v>
      </c>
      <c r="AS677">
        <v>0</v>
      </c>
      <c r="AT677">
        <v>0</v>
      </c>
      <c r="AU677">
        <v>0</v>
      </c>
      <c r="AV677">
        <v>0</v>
      </c>
      <c r="AW677">
        <v>0</v>
      </c>
      <c r="AX677" s="141">
        <f>COUNTIF(V677:AW677,"&lt;&gt;0")</f>
        <v>1</v>
      </c>
      <c r="AY677" s="141">
        <f>COUNTIF(V677:AL677,"&lt;&gt;0")</f>
        <v>1</v>
      </c>
      <c r="AZ677">
        <f>COUNTIF(V677:AC677,"&lt;&gt;0")</f>
        <v>0</v>
      </c>
      <c r="BA677">
        <f>COUNTIF(AD677:AI677,"&lt;&gt;0")</f>
        <v>1</v>
      </c>
      <c r="BB677">
        <f>COUNTIF(AJ677:AL677,"&lt;&gt;0")</f>
        <v>0</v>
      </c>
      <c r="BC677">
        <f>COUNTIF(AS677:AW677,"&lt;&gt;0")</f>
        <v>0</v>
      </c>
      <c r="BD677">
        <f>COUNTIF(AM677:AR677,"&lt;&gt;0")</f>
        <v>0</v>
      </c>
      <c r="BE677" t="str">
        <f t="array" ref="BE677">IF(AY677=1,INDEX($V$7:$AL$7,MATCH(TRUE,INDEX($V677:$AW677&lt;&gt;0,),0)),IF(AY677=0,INDEX($AM$7:$AW$7,MATCH(1,$AM677:$AW677,0)),IF(BF677="Multiple strategies","mixed drivers",IF(BF677="Supply chain","multiple supply","multiple silviculture"))))</f>
        <v>products lifespan</v>
      </c>
      <c r="BF677" s="2" t="str" cm="1">
        <f t="array" ref="BF677">IF(COUNTIF(AZ677:BB677,"&lt;&gt;0")=1,INDEX($V$4:$AW$4,MATCH(TRUE,INDEX($V677:$AW677&lt;&gt;0,),0)),IF(COUNTIF(AZ677:BB677,"&lt;&gt;0")=0,INDEX($AM$4:$AW$4,MATCH(1,$AM677:$AW677,0)),"Multiple strategies"))</f>
        <v>Supply chain</v>
      </c>
      <c r="BG677" s="1" t="s">
        <v>230</v>
      </c>
      <c r="BH677" t="s">
        <v>1550</v>
      </c>
      <c r="BI677" s="266" t="s">
        <v>3123</v>
      </c>
      <c r="BJ677" t="s">
        <v>346</v>
      </c>
      <c r="BK677">
        <v>478</v>
      </c>
      <c r="BL677">
        <v>638</v>
      </c>
      <c r="BM677">
        <v>1</v>
      </c>
      <c r="BN677">
        <f>BL677-BK677</f>
        <v>160</v>
      </c>
      <c r="BO677">
        <f>BN677*kg_to_m3</f>
        <v>0.32653061224489799</v>
      </c>
      <c r="BP677" t="s">
        <v>396</v>
      </c>
      <c r="BQ677" s="266" t="s">
        <v>427</v>
      </c>
      <c r="BR677" t="s">
        <v>730</v>
      </c>
      <c r="BS677">
        <v>-393.1</v>
      </c>
      <c r="BT677">
        <v>-89.7</v>
      </c>
      <c r="BU677" s="144">
        <v>-0.63186813186813184</v>
      </c>
      <c r="BV677">
        <f>BT677-BS677</f>
        <v>303.40000000000003</v>
      </c>
      <c r="BX677">
        <f>BV677/1000</f>
        <v>0.30340000000000006</v>
      </c>
      <c r="BY677">
        <f>IFERROR(BX677/BO677,"")</f>
        <v>0.92916250000000011</v>
      </c>
      <c r="BZ677">
        <v>0</v>
      </c>
      <c r="CA677">
        <v>0</v>
      </c>
      <c r="CB677">
        <v>0</v>
      </c>
      <c r="CC677">
        <v>0</v>
      </c>
      <c r="CD677">
        <v>0</v>
      </c>
      <c r="CE677">
        <v>0</v>
      </c>
      <c r="CF677">
        <v>0</v>
      </c>
      <c r="CG677">
        <v>0</v>
      </c>
      <c r="CH677">
        <v>0</v>
      </c>
      <c r="CI677">
        <v>0</v>
      </c>
      <c r="CJ677">
        <v>0</v>
      </c>
      <c r="CK677">
        <v>0</v>
      </c>
      <c r="CL677">
        <v>0</v>
      </c>
      <c r="CM677">
        <v>0</v>
      </c>
      <c r="CN677" t="str">
        <f>IF($BL677&lt;$BK677,"refNeedCorrection","refOK")</f>
        <v>refOK</v>
      </c>
      <c r="CO677">
        <f>IF($CN677="refNeedCorrection",BK677,BL677)</f>
        <v>638</v>
      </c>
      <c r="CP677">
        <f>IF($CN677="refNeedCorrection",BL677,BK677)</f>
        <v>478</v>
      </c>
      <c r="CQ677">
        <f>IF($CN677="refOK",$BO677,-$BO677)</f>
        <v>0.32653061224489799</v>
      </c>
      <c r="CR677">
        <f>IF($CN677="refOK",$BS677,$BT677)*IF($BP677="Emissions positive",-1,1)</f>
        <v>393.1</v>
      </c>
      <c r="CS677">
        <f>IF($CN677="refOK",$BT677,$BS677)*IF($BP677="Emissions positive",-1,1)</f>
        <v>89.7</v>
      </c>
      <c r="CT677">
        <f>IF($CN677="refNeedCorrection",-BX677,BX677)*IF($BP677="Emissions positive",-1,1)</f>
        <v>-0.30340000000000006</v>
      </c>
      <c r="CU677">
        <f>IFERROR(CT677/CQ677,"")</f>
        <v>-0.92916250000000011</v>
      </c>
      <c r="CV677" s="2">
        <f>IFERROR((CS677-CR677)/ABS(CR677),"")</f>
        <v>-0.77181378784024424</v>
      </c>
      <c r="CW677" s="1" t="s">
        <v>1201</v>
      </c>
      <c r="CX677" t="str">
        <f>IF(OR($CW677="prd",$CW677="std",$CW677="cit"),"loc",IF(OR($CW677="eur",$CW677="reg",$CW677="coy"),"reg",$CW677))</f>
        <v>reg</v>
      </c>
      <c r="CY677" t="s">
        <v>1542</v>
      </c>
      <c r="DB677">
        <v>100</v>
      </c>
      <c r="DC677" t="str">
        <f>IF(DB677=0,"0",IF(AND(DB677&gt;=1,DB677&lt;=30),"1-30",IF(AND(DB677&gt;30,DB677&lt;=70),"31-70",IF(AND(DB677&gt;70,DB677&lt;=100),"71-100",IF(DB677&gt;100,"+100")))))</f>
        <v>71-100</v>
      </c>
      <c r="DD677">
        <v>0</v>
      </c>
      <c r="DE677">
        <v>0</v>
      </c>
      <c r="DF677">
        <v>0</v>
      </c>
      <c r="DG677">
        <v>1</v>
      </c>
      <c r="DI677">
        <f>SUM(DD677:DG677)</f>
        <v>1</v>
      </c>
      <c r="DJ677" t="str">
        <f>IF(DI677=1,INDEX($DD$7:$DG$7,MATCH(1,$DD677:$DG677,0)),"mixedProduct")</f>
        <v>TimberInput</v>
      </c>
      <c r="DK677">
        <f>IF(DD677=1,DK$7,0)</f>
        <v>0</v>
      </c>
      <c r="DL677">
        <f>IF(DE677=1,DL$7,0)</f>
        <v>0</v>
      </c>
      <c r="DM677">
        <f>IF(DF677=1,DM$7,0)</f>
        <v>0</v>
      </c>
      <c r="DN677" t="str">
        <f>IF(DG677=1,DN$7,0)</f>
        <v>Timber</v>
      </c>
      <c r="DO677">
        <v>0</v>
      </c>
      <c r="DP677">
        <v>1</v>
      </c>
      <c r="DQ677">
        <v>0</v>
      </c>
      <c r="DR677">
        <v>0</v>
      </c>
      <c r="DS677" t="s">
        <v>1543</v>
      </c>
      <c r="DT677">
        <f>SUM(DO677:DP677)</f>
        <v>1</v>
      </c>
      <c r="DU677" s="143" t="str">
        <f>IF(DO677=1,"self-calculated DF",IF(DP677=1,"external DF used","explicit C balance"))</f>
        <v>external DF used</v>
      </c>
      <c r="DV677">
        <v>0</v>
      </c>
      <c r="DW677">
        <v>0</v>
      </c>
      <c r="DX677">
        <v>0</v>
      </c>
      <c r="DY677">
        <v>0</v>
      </c>
      <c r="DZ677">
        <v>1</v>
      </c>
      <c r="EA677" s="143">
        <v>1</v>
      </c>
      <c r="EB677">
        <v>0</v>
      </c>
      <c r="EC677">
        <v>1</v>
      </c>
      <c r="ED677">
        <v>0</v>
      </c>
      <c r="EE677">
        <v>1</v>
      </c>
      <c r="EF677">
        <v>1</v>
      </c>
      <c r="EG677">
        <v>1</v>
      </c>
      <c r="EH677">
        <v>0</v>
      </c>
      <c r="EI677" s="2">
        <v>0</v>
      </c>
      <c r="EK677" t="str">
        <f>IF(AND(AND(AND(OR($DX677=1,$DW677=1),OR($EC677=1,$EA677=1)),SUM($DV677:$DZ677,$EF677)&gt;=4),SUM($EA677:$EE677)&gt;=2),"Whole sector","")</f>
        <v/>
      </c>
      <c r="EL677" t="str">
        <f>IF(AND(AND(OR($DX677=1,$DW677=1),AND($EC677=0,$EA677=0)),SUM($DV677:$DZ677,$EF677)&gt;=4),"Ecosystem approach","")</f>
        <v/>
      </c>
      <c r="EM677" s="2" t="str">
        <f>IF(AND(AND(AND($DX677=0,$DW677=0),OR($EC677=1,$EA677=1)),SUM($EB677:$EE677)&gt;=2),"Technology approach","")</f>
        <v>Technology approach</v>
      </c>
      <c r="EP677" t="str">
        <f>IF(ISNUMBER(BU677),IF(ABS(BU677-[2]QC_indicators!$B$2)&gt;3*[2]QC_indicators!$C$2,"C ratio",IF(ISNUMBER(BY677),IF(ABS(BY677-[2]QC_indicators!$B$1)&gt;3*[2]QC_indicators!$C$1,"DF","no"))),IF(ISNUMBER(BY677),IF(ABS(BY677-[2]QC_indicators!$B$1)&gt;3*[2]QC_indicators!$C$1,"DF","no")))</f>
        <v>no</v>
      </c>
      <c r="ET677" s="266" t="s">
        <v>3275</v>
      </c>
    </row>
    <row r="678" spans="1:150" ht="15" hidden="1" customHeight="1">
      <c r="A678" s="1" t="s">
        <v>266</v>
      </c>
      <c r="B678" t="s">
        <v>1533</v>
      </c>
      <c r="C678" t="s">
        <v>1534</v>
      </c>
      <c r="D678" t="s">
        <v>1535</v>
      </c>
      <c r="E678" t="s">
        <v>1536</v>
      </c>
      <c r="F678" t="s">
        <v>1537</v>
      </c>
      <c r="G678" t="s">
        <v>272</v>
      </c>
      <c r="H678" t="s">
        <v>255</v>
      </c>
      <c r="I678">
        <v>2019</v>
      </c>
      <c r="J678">
        <v>26</v>
      </c>
      <c r="K678" t="s">
        <v>1538</v>
      </c>
      <c r="M678" t="str">
        <f>LEFT($D678,FIND(",",$D678)-1)&amp;"_"&amp;I678&amp;L678</f>
        <v>Faraca_2019</v>
      </c>
      <c r="N678" t="s">
        <v>223</v>
      </c>
      <c r="O678" s="145" t="s">
        <v>275</v>
      </c>
      <c r="P678" s="180" t="s">
        <v>224</v>
      </c>
      <c r="Q678" t="s">
        <v>257</v>
      </c>
      <c r="R678" s="264" t="s">
        <v>224</v>
      </c>
      <c r="S678" s="1" t="s">
        <v>1544</v>
      </c>
      <c r="T678" t="s">
        <v>1545</v>
      </c>
      <c r="U678" t="s">
        <v>1546</v>
      </c>
      <c r="V678">
        <v>0</v>
      </c>
      <c r="W678">
        <v>0</v>
      </c>
      <c r="X678">
        <v>0</v>
      </c>
      <c r="Y678">
        <v>0</v>
      </c>
      <c r="Z678">
        <v>0</v>
      </c>
      <c r="AA678">
        <v>0</v>
      </c>
      <c r="AB678">
        <v>0</v>
      </c>
      <c r="AC678">
        <v>0</v>
      </c>
      <c r="AD678">
        <v>0</v>
      </c>
      <c r="AE678">
        <v>0</v>
      </c>
      <c r="AF678">
        <v>0</v>
      </c>
      <c r="AG678">
        <v>0</v>
      </c>
      <c r="AH678">
        <v>0</v>
      </c>
      <c r="AI678">
        <v>1</v>
      </c>
      <c r="AJ678">
        <v>0</v>
      </c>
      <c r="AK678">
        <v>0</v>
      </c>
      <c r="AL678">
        <v>0</v>
      </c>
      <c r="AM678">
        <v>0</v>
      </c>
      <c r="AN678">
        <v>0</v>
      </c>
      <c r="AO678">
        <v>0</v>
      </c>
      <c r="AP678">
        <v>0</v>
      </c>
      <c r="AQ678">
        <v>0</v>
      </c>
      <c r="AR678">
        <v>0</v>
      </c>
      <c r="AS678">
        <v>0</v>
      </c>
      <c r="AT678">
        <v>0</v>
      </c>
      <c r="AU678">
        <v>0</v>
      </c>
      <c r="AV678">
        <v>0</v>
      </c>
      <c r="AW678">
        <v>0</v>
      </c>
      <c r="AX678" s="141">
        <f>COUNTIF(V678:AW678,"&lt;&gt;0")</f>
        <v>1</v>
      </c>
      <c r="AY678" s="141">
        <f>COUNTIF(V678:AL678,"&lt;&gt;0")</f>
        <v>1</v>
      </c>
      <c r="AZ678">
        <f>COUNTIF(V678:AC678,"&lt;&gt;0")</f>
        <v>0</v>
      </c>
      <c r="BA678">
        <f>COUNTIF(AD678:AI678,"&lt;&gt;0")</f>
        <v>1</v>
      </c>
      <c r="BB678">
        <f>COUNTIF(AJ678:AL678,"&lt;&gt;0")</f>
        <v>0</v>
      </c>
      <c r="BC678">
        <f>COUNTIF(AS678:AW678,"&lt;&gt;0")</f>
        <v>0</v>
      </c>
      <c r="BD678">
        <f>COUNTIF(AM678:AR678,"&lt;&gt;0")</f>
        <v>0</v>
      </c>
      <c r="BE678" t="str">
        <f t="array" ref="BE678">IF(AY678=1,INDEX($V$7:$AL$7,MATCH(TRUE,INDEX($V678:$AW678&lt;&gt;0,),0)),IF(AY678=0,INDEX($AM$7:$AW$7,MATCH(1,$AM678:$AW678,0)),IF(BF678="Multiple strategies","mixed drivers",IF(BF678="Supply chain","multiple supply","multiple silviculture"))))</f>
        <v>products lifespan</v>
      </c>
      <c r="BF678" s="2" t="str" cm="1">
        <f t="array" ref="BF678">IF(COUNTIF(AZ678:BB678,"&lt;&gt;0")=1,INDEX($V$4:$AW$4,MATCH(TRUE,INDEX($V678:$AW678&lt;&gt;0,),0)),IF(COUNTIF(AZ678:BB678,"&lt;&gt;0")=0,INDEX($AM$4:$AW$4,MATCH(1,$AM678:$AW678,0)),"Multiple strategies"))</f>
        <v>Supply chain</v>
      </c>
      <c r="BG678" s="1" t="s">
        <v>230</v>
      </c>
      <c r="BH678" t="s">
        <v>1550</v>
      </c>
      <c r="BI678" s="266" t="s">
        <v>3123</v>
      </c>
      <c r="BJ678" t="s">
        <v>346</v>
      </c>
      <c r="BK678">
        <v>478</v>
      </c>
      <c r="BL678">
        <v>638</v>
      </c>
      <c r="BM678">
        <v>1</v>
      </c>
      <c r="BN678">
        <f>BL678-BK678</f>
        <v>160</v>
      </c>
      <c r="BO678">
        <f>BN678*kg_to_m3</f>
        <v>0.32653061224489799</v>
      </c>
      <c r="BP678" t="s">
        <v>396</v>
      </c>
      <c r="BQ678" s="266" t="s">
        <v>430</v>
      </c>
      <c r="BR678" t="s">
        <v>730</v>
      </c>
      <c r="BS678">
        <v>-696.6</v>
      </c>
      <c r="BT678">
        <v>-548.29999999999995</v>
      </c>
      <c r="BU678" s="144">
        <v>-0.63186813186813184</v>
      </c>
      <c r="BV678">
        <f>BT678-BS678</f>
        <v>148.30000000000007</v>
      </c>
      <c r="BX678">
        <f>BV678/1000</f>
        <v>0.14830000000000007</v>
      </c>
      <c r="BY678">
        <f>IFERROR(BX678/BO678,"")</f>
        <v>0.45416875000000018</v>
      </c>
      <c r="BZ678">
        <v>0</v>
      </c>
      <c r="CA678">
        <v>0</v>
      </c>
      <c r="CB678">
        <v>0</v>
      </c>
      <c r="CC678">
        <v>0</v>
      </c>
      <c r="CD678">
        <v>0</v>
      </c>
      <c r="CE678">
        <v>0</v>
      </c>
      <c r="CF678">
        <v>0</v>
      </c>
      <c r="CG678">
        <v>0</v>
      </c>
      <c r="CH678">
        <v>0</v>
      </c>
      <c r="CI678">
        <v>0</v>
      </c>
      <c r="CJ678">
        <v>0</v>
      </c>
      <c r="CK678">
        <v>0</v>
      </c>
      <c r="CL678">
        <v>0</v>
      </c>
      <c r="CM678">
        <v>0</v>
      </c>
      <c r="CN678" t="str">
        <f>IF($BL678&lt;$BK678,"refNeedCorrection","refOK")</f>
        <v>refOK</v>
      </c>
      <c r="CO678">
        <f>IF($CN678="refNeedCorrection",BK678,BL678)</f>
        <v>638</v>
      </c>
      <c r="CP678">
        <f>IF($CN678="refNeedCorrection",BL678,BK678)</f>
        <v>478</v>
      </c>
      <c r="CQ678">
        <f>IF($CN678="refOK",$BO678,-$BO678)</f>
        <v>0.32653061224489799</v>
      </c>
      <c r="CR678">
        <f>IF($CN678="refOK",$BS678,$BT678)*IF($BP678="Emissions positive",-1,1)</f>
        <v>696.6</v>
      </c>
      <c r="CS678">
        <f>IF($CN678="refOK",$BT678,$BS678)*IF($BP678="Emissions positive",-1,1)</f>
        <v>548.29999999999995</v>
      </c>
      <c r="CT678">
        <f>IF($CN678="refNeedCorrection",-BX678,BX678)*IF($BP678="Emissions positive",-1,1)</f>
        <v>-0.14830000000000007</v>
      </c>
      <c r="CU678">
        <f>IFERROR(CT678/CQ678,"")</f>
        <v>-0.45416875000000018</v>
      </c>
      <c r="CV678" s="2">
        <f>IFERROR((CS678-CR678)/ABS(CR678),"")</f>
        <v>-0.21289118575940291</v>
      </c>
      <c r="CW678" s="1" t="s">
        <v>1201</v>
      </c>
      <c r="CX678" t="str">
        <f>IF(OR($CW678="prd",$CW678="std",$CW678="cit"),"loc",IF(OR($CW678="eur",$CW678="reg",$CW678="coy"),"reg",$CW678))</f>
        <v>reg</v>
      </c>
      <c r="CY678" t="s">
        <v>1542</v>
      </c>
      <c r="DB678">
        <v>100</v>
      </c>
      <c r="DC678" t="str">
        <f>IF(DB678=0,"0",IF(AND(DB678&gt;=1,DB678&lt;=30),"1-30",IF(AND(DB678&gt;30,DB678&lt;=70),"31-70",IF(AND(DB678&gt;70,DB678&lt;=100),"71-100",IF(DB678&gt;100,"+100")))))</f>
        <v>71-100</v>
      </c>
      <c r="DD678">
        <v>0</v>
      </c>
      <c r="DE678">
        <v>0</v>
      </c>
      <c r="DF678">
        <v>0</v>
      </c>
      <c r="DG678">
        <v>1</v>
      </c>
      <c r="DI678">
        <f>SUM(DD678:DG678)</f>
        <v>1</v>
      </c>
      <c r="DJ678" t="str">
        <f>IF(DI678=1,INDEX($DD$7:$DG$7,MATCH(1,$DD678:$DG678,0)),"mixedProduct")</f>
        <v>TimberInput</v>
      </c>
      <c r="DK678">
        <f>IF(DD678=1,DK$7,0)</f>
        <v>0</v>
      </c>
      <c r="DL678">
        <f>IF(DE678=1,DL$7,0)</f>
        <v>0</v>
      </c>
      <c r="DM678">
        <f>IF(DF678=1,DM$7,0)</f>
        <v>0</v>
      </c>
      <c r="DN678" t="str">
        <f>IF(DG678=1,DN$7,0)</f>
        <v>Timber</v>
      </c>
      <c r="DO678">
        <v>0</v>
      </c>
      <c r="DP678">
        <v>1</v>
      </c>
      <c r="DQ678">
        <v>0</v>
      </c>
      <c r="DR678">
        <v>0</v>
      </c>
      <c r="DS678" t="s">
        <v>1543</v>
      </c>
      <c r="DT678">
        <f>SUM(DO678:DP678)</f>
        <v>1</v>
      </c>
      <c r="DU678" s="143" t="str">
        <f>IF(DO678=1,"self-calculated DF",IF(DP678=1,"external DF used","explicit C balance"))</f>
        <v>external DF used</v>
      </c>
      <c r="DV678">
        <v>0</v>
      </c>
      <c r="DW678">
        <v>0</v>
      </c>
      <c r="DX678">
        <v>0</v>
      </c>
      <c r="DY678">
        <v>0</v>
      </c>
      <c r="DZ678">
        <v>1</v>
      </c>
      <c r="EA678" s="143">
        <v>1</v>
      </c>
      <c r="EB678">
        <v>0</v>
      </c>
      <c r="EC678">
        <v>1</v>
      </c>
      <c r="ED678">
        <v>0</v>
      </c>
      <c r="EE678">
        <v>1</v>
      </c>
      <c r="EF678">
        <v>1</v>
      </c>
      <c r="EG678">
        <v>1</v>
      </c>
      <c r="EH678">
        <v>1</v>
      </c>
      <c r="EI678" s="2">
        <v>0</v>
      </c>
      <c r="EK678" t="str">
        <f>IF(AND(AND(AND(OR($DX678=1,$DW678=1),OR($EC678=1,$EA678=1)),SUM($DV678:$DZ678,$EF678)&gt;=4),SUM($EA678:$EE678)&gt;=2),"Whole sector","")</f>
        <v/>
      </c>
      <c r="EL678" t="str">
        <f>IF(AND(AND(OR($DX678=1,$DW678=1),AND($EC678=0,$EA678=0)),SUM($DV678:$DZ678,$EF678)&gt;=4),"Ecosystem approach","")</f>
        <v/>
      </c>
      <c r="EM678" s="2" t="str">
        <f>IF(AND(AND(AND($DX678=0,$DW678=0),OR($EC678=1,$EA678=1)),SUM($EB678:$EE678)&gt;=2),"Technology approach","")</f>
        <v>Technology approach</v>
      </c>
      <c r="EP678" t="str">
        <f>IF(ISNUMBER(BU678),IF(ABS(BU678-[2]QC_indicators!$B$2)&gt;3*[2]QC_indicators!$C$2,"C ratio",IF(ISNUMBER(BY678),IF(ABS(BY678-[2]QC_indicators!$B$1)&gt;3*[2]QC_indicators!$C$1,"DF","no"))),IF(ISNUMBER(BY678),IF(ABS(BY678-[2]QC_indicators!$B$1)&gt;3*[2]QC_indicators!$C$1,"DF","no")))</f>
        <v>no</v>
      </c>
      <c r="ET678" s="266" t="s">
        <v>3275</v>
      </c>
    </row>
    <row r="679" spans="1:150" ht="15" hidden="1" customHeight="1">
      <c r="A679" s="1" t="s">
        <v>266</v>
      </c>
      <c r="B679" t="s">
        <v>1533</v>
      </c>
      <c r="C679" t="s">
        <v>1534</v>
      </c>
      <c r="D679" t="s">
        <v>1535</v>
      </c>
      <c r="E679" t="s">
        <v>1536</v>
      </c>
      <c r="F679" t="s">
        <v>1537</v>
      </c>
      <c r="G679" t="s">
        <v>272</v>
      </c>
      <c r="H679" t="s">
        <v>255</v>
      </c>
      <c r="I679">
        <v>2019</v>
      </c>
      <c r="J679">
        <v>26</v>
      </c>
      <c r="K679" t="s">
        <v>1538</v>
      </c>
      <c r="M679" t="str">
        <f>LEFT($D679,FIND(",",$D679)-1)&amp;"_"&amp;I679&amp;L679</f>
        <v>Faraca_2019</v>
      </c>
      <c r="N679" t="s">
        <v>223</v>
      </c>
      <c r="O679" s="145" t="s">
        <v>275</v>
      </c>
      <c r="P679" s="180" t="s">
        <v>224</v>
      </c>
      <c r="Q679" t="s">
        <v>257</v>
      </c>
      <c r="R679" s="264" t="s">
        <v>224</v>
      </c>
      <c r="S679" s="265" t="s">
        <v>3125</v>
      </c>
      <c r="T679" s="266" t="s">
        <v>3126</v>
      </c>
      <c r="U679" s="266" t="s">
        <v>3127</v>
      </c>
      <c r="V679">
        <v>0</v>
      </c>
      <c r="W679">
        <v>0</v>
      </c>
      <c r="X679">
        <v>0</v>
      </c>
      <c r="Y679">
        <v>0</v>
      </c>
      <c r="Z679">
        <v>0</v>
      </c>
      <c r="AA679">
        <v>0</v>
      </c>
      <c r="AB679">
        <v>0</v>
      </c>
      <c r="AC679">
        <v>0</v>
      </c>
      <c r="AD679">
        <v>0</v>
      </c>
      <c r="AE679">
        <v>0</v>
      </c>
      <c r="AF679">
        <v>0</v>
      </c>
      <c r="AG679">
        <v>0</v>
      </c>
      <c r="AH679">
        <v>0</v>
      </c>
      <c r="AI679">
        <v>1</v>
      </c>
      <c r="AJ679">
        <v>0</v>
      </c>
      <c r="AK679">
        <v>0</v>
      </c>
      <c r="AL679">
        <v>0</v>
      </c>
      <c r="AM679">
        <v>0</v>
      </c>
      <c r="AN679">
        <v>0</v>
      </c>
      <c r="AO679">
        <v>0</v>
      </c>
      <c r="AP679">
        <v>0</v>
      </c>
      <c r="AQ679">
        <v>0</v>
      </c>
      <c r="AR679">
        <v>0</v>
      </c>
      <c r="AS679">
        <v>0</v>
      </c>
      <c r="AT679">
        <v>0</v>
      </c>
      <c r="AU679">
        <v>0</v>
      </c>
      <c r="AV679">
        <v>0</v>
      </c>
      <c r="AW679">
        <v>0</v>
      </c>
      <c r="AX679" s="141">
        <f>COUNTIF(V679:AW679,"&lt;&gt;0")</f>
        <v>1</v>
      </c>
      <c r="AY679" s="141">
        <f>COUNTIF(V679:AL679,"&lt;&gt;0")</f>
        <v>1</v>
      </c>
      <c r="AZ679">
        <f>COUNTIF(V679:AC679,"&lt;&gt;0")</f>
        <v>0</v>
      </c>
      <c r="BA679">
        <f>COUNTIF(AD679:AI679,"&lt;&gt;0")</f>
        <v>1</v>
      </c>
      <c r="BB679">
        <f>COUNTIF(AJ679:AL679,"&lt;&gt;0")</f>
        <v>0</v>
      </c>
      <c r="BC679">
        <f>COUNTIF(AS679:AW679,"&lt;&gt;0")</f>
        <v>0</v>
      </c>
      <c r="BD679">
        <f>COUNTIF(AM679:AR679,"&lt;&gt;0")</f>
        <v>0</v>
      </c>
      <c r="BE679" t="str">
        <f t="array" ref="BE679">IF(AY679=1,INDEX($V$7:$AL$7,MATCH(TRUE,INDEX($V679:$AW679&lt;&gt;0,),0)),IF(AY679=0,INDEX($AM$7:$AW$7,MATCH(1,$AM679:$AW679,0)),IF(BF679="Multiple strategies","mixed drivers",IF(BF679="Supply chain","multiple supply","multiple silviculture"))))</f>
        <v>products lifespan</v>
      </c>
      <c r="BF679" s="2" t="str" cm="1">
        <f t="array" ref="BF679">IF(COUNTIF(AZ679:BB679,"&lt;&gt;0")=1,INDEX($V$4:$AW$4,MATCH(TRUE,INDEX($V679:$AW679&lt;&gt;0,),0)),IF(COUNTIF(AZ679:BB679,"&lt;&gt;0")=0,INDEX($AM$4:$AW$4,MATCH(1,$AM679:$AW679,0)),"Multiple strategies"))</f>
        <v>Supply chain</v>
      </c>
      <c r="BG679" s="1" t="s">
        <v>230</v>
      </c>
      <c r="BH679" t="s">
        <v>1550</v>
      </c>
      <c r="BI679" s="266" t="s">
        <v>3123</v>
      </c>
      <c r="BJ679" t="s">
        <v>346</v>
      </c>
      <c r="BK679">
        <v>478</v>
      </c>
      <c r="BL679">
        <v>922</v>
      </c>
      <c r="BM679">
        <f>BK679/BL679</f>
        <v>0.51843817787418656</v>
      </c>
      <c r="BN679">
        <f>BL679-BK679</f>
        <v>444</v>
      </c>
      <c r="BO679">
        <f>BN679*kg_to_m3</f>
        <v>0.90612244897959193</v>
      </c>
      <c r="BP679" t="s">
        <v>396</v>
      </c>
      <c r="BQ679" t="s">
        <v>427</v>
      </c>
      <c r="BR679" t="s">
        <v>730</v>
      </c>
      <c r="BS679">
        <v>206.8</v>
      </c>
      <c r="BT679">
        <v>515.29999999999995</v>
      </c>
      <c r="BU679" s="144"/>
      <c r="BV679">
        <f>BT679-BS679</f>
        <v>308.49999999999994</v>
      </c>
      <c r="BX679">
        <f>BV679/1000</f>
        <v>0.30849999999999994</v>
      </c>
      <c r="BY679">
        <f>IFERROR(BX679/BO679,"")</f>
        <v>0.34046171171171163</v>
      </c>
      <c r="BZ679">
        <v>0</v>
      </c>
      <c r="CA679">
        <v>0</v>
      </c>
      <c r="CB679">
        <v>0</v>
      </c>
      <c r="CC679">
        <v>0</v>
      </c>
      <c r="CD679">
        <v>0</v>
      </c>
      <c r="CE679">
        <v>0</v>
      </c>
      <c r="CF679">
        <v>0</v>
      </c>
      <c r="CG679">
        <v>0</v>
      </c>
      <c r="CH679">
        <v>0</v>
      </c>
      <c r="CI679">
        <v>0</v>
      </c>
      <c r="CJ679">
        <v>0</v>
      </c>
      <c r="CK679">
        <v>0</v>
      </c>
      <c r="CL679">
        <v>0</v>
      </c>
      <c r="CM679">
        <v>0</v>
      </c>
      <c r="CN679" t="str">
        <f>IF($BL679&lt;$BK679,"refNeedCorrection","refOK")</f>
        <v>refOK</v>
      </c>
      <c r="CO679">
        <f>IF($CN679="refNeedCorrection",BL679,BK679)</f>
        <v>478</v>
      </c>
      <c r="CP679">
        <f>IF($CN679="refNeedCorrection",BK679,BL679)</f>
        <v>922</v>
      </c>
      <c r="CQ679">
        <f>IF($CN679="refOK",$BO679,-$BO679)</f>
        <v>0.90612244897959193</v>
      </c>
      <c r="CR679">
        <f>IF($CN679="refOK",$BS679,$BT679)*IF($BP679="Emissions positive",-1,1)</f>
        <v>-206.8</v>
      </c>
      <c r="CS679">
        <f>IF($CN679="refOK",$BT679,$BS679)*IF($BP679="Emissions positive",-1,1)</f>
        <v>-515.29999999999995</v>
      </c>
      <c r="CT679">
        <f>IF($CN679="refNeedCorrection",-BX679,BX679)*IF($BP679="Emissions positive",-1,1)</f>
        <v>-0.30849999999999994</v>
      </c>
      <c r="CU679">
        <f>IFERROR(CT679/CQ679,"")</f>
        <v>-0.34046171171171163</v>
      </c>
      <c r="CV679" s="2">
        <f>IFERROR((CS679-CR679)/ABS(CR679),"")</f>
        <v>-1.4917794970986458</v>
      </c>
      <c r="CW679" s="1" t="s">
        <v>1201</v>
      </c>
      <c r="CX679" t="str">
        <f>IF(OR($CW679="prd",$CW679="std",$CW679="cit"),"loc",IF(OR($CW679="eur",$CW679="reg",$CW679="coy"),"reg",$CW679))</f>
        <v>reg</v>
      </c>
      <c r="CY679" t="s">
        <v>1542</v>
      </c>
      <c r="DB679">
        <v>100</v>
      </c>
      <c r="DC679" t="str">
        <f>IF(DB679=0,"0",IF(AND(DB679&gt;=1,DB679&lt;=30),"1-30",IF(AND(DB679&gt;30,DB679&lt;=70),"31-70",IF(AND(DB679&gt;70,DB679&lt;=100),"71-100",IF(DB679&gt;100,"+100")))))</f>
        <v>71-100</v>
      </c>
      <c r="DD679">
        <v>0</v>
      </c>
      <c r="DE679">
        <v>0</v>
      </c>
      <c r="DF679">
        <v>0</v>
      </c>
      <c r="DG679">
        <v>1</v>
      </c>
      <c r="DI679">
        <f>SUM(DD679:DG679)</f>
        <v>1</v>
      </c>
      <c r="DJ679" t="str">
        <f>IF(DI679=1,INDEX($DD$7:$DG$7,MATCH(1,$DD679:$DG679,0)),"mixedProduct")</f>
        <v>TimberInput</v>
      </c>
      <c r="DK679">
        <f>IF(DD679=1,DK$7,0)</f>
        <v>0</v>
      </c>
      <c r="DL679">
        <f>IF(DE679=1,DL$7,0)</f>
        <v>0</v>
      </c>
      <c r="DM679">
        <f>IF(DF679=1,DM$7,0)</f>
        <v>0</v>
      </c>
      <c r="DN679" t="str">
        <f>IF(DG679=1,DN$7,0)</f>
        <v>Timber</v>
      </c>
      <c r="DO679">
        <v>0</v>
      </c>
      <c r="DP679">
        <v>0</v>
      </c>
      <c r="DQ679">
        <v>0</v>
      </c>
      <c r="DR679">
        <v>0</v>
      </c>
      <c r="DS679">
        <v>0</v>
      </c>
      <c r="DT679">
        <f>SUM(DO679:DP679)</f>
        <v>0</v>
      </c>
      <c r="DU679" s="143" t="str">
        <f>IF(DO679=1,"self-calculated DF",IF(DP679=1,"external DF used","explicit C balance"))</f>
        <v>explicit C balance</v>
      </c>
      <c r="DV679">
        <v>0</v>
      </c>
      <c r="DW679">
        <v>0</v>
      </c>
      <c r="DX679">
        <v>0</v>
      </c>
      <c r="DY679">
        <v>0</v>
      </c>
      <c r="DZ679">
        <v>1</v>
      </c>
      <c r="EA679" s="143">
        <v>0</v>
      </c>
      <c r="EB679">
        <v>0</v>
      </c>
      <c r="EC679">
        <v>1</v>
      </c>
      <c r="ED679">
        <v>0</v>
      </c>
      <c r="EE679">
        <v>1</v>
      </c>
      <c r="EF679">
        <v>1</v>
      </c>
      <c r="EG679">
        <v>1</v>
      </c>
      <c r="EH679">
        <v>0</v>
      </c>
      <c r="EI679" s="2">
        <v>0</v>
      </c>
      <c r="EK679" t="str">
        <f>IF(AND(AND(AND(OR($DX679=1,$DW679=1),OR($EC679=1,$EA679=1)),SUM($DV679:$DZ679,$EF679)&gt;=4),SUM($EA679:$EE679)&gt;=2),"Whole sector","")</f>
        <v/>
      </c>
      <c r="EL679" t="str">
        <f>IF(AND(AND(OR($DX679=1,$DW679=1),AND($EC679=0,$EA679=0)),SUM($DV679:$DZ679,$EF679)&gt;=4),"Ecosystem approach","")</f>
        <v/>
      </c>
      <c r="EM679" s="2" t="str">
        <f>IF(AND(AND(AND($DX679=0,$DW679=0),OR($EC679=1,$EA679=1)),SUM($EB679:$EE679)&gt;=2),"Technology approach","")</f>
        <v>Technology approach</v>
      </c>
      <c r="EP679" t="str">
        <f>IF(ISNUMBER(BU679),IF(ABS(BU679-[2]QC_indicators!$B$2)&gt;3*[2]QC_indicators!$C$2,"C ratio",IF(ISNUMBER(BY679),IF(ABS(BY679-[2]QC_indicators!$B$1)&gt;3*[2]QC_indicators!$C$1,"DF","no"))),IF(ISNUMBER(BY679),IF(ABS(BY679-[2]QC_indicators!$B$1)&gt;3*[2]QC_indicators!$C$1,"DF","no")))</f>
        <v>no</v>
      </c>
      <c r="ET679" s="266" t="s">
        <v>3275</v>
      </c>
    </row>
    <row r="680" spans="1:150" ht="15" hidden="1" customHeight="1">
      <c r="A680" s="1" t="s">
        <v>266</v>
      </c>
      <c r="B680" t="s">
        <v>1533</v>
      </c>
      <c r="C680" t="s">
        <v>1534</v>
      </c>
      <c r="D680" t="s">
        <v>1535</v>
      </c>
      <c r="E680" t="s">
        <v>1536</v>
      </c>
      <c r="F680" t="s">
        <v>1537</v>
      </c>
      <c r="G680" t="s">
        <v>272</v>
      </c>
      <c r="H680" t="s">
        <v>255</v>
      </c>
      <c r="I680">
        <v>2019</v>
      </c>
      <c r="J680">
        <v>26</v>
      </c>
      <c r="K680" t="s">
        <v>1538</v>
      </c>
      <c r="M680" t="str">
        <f>LEFT($D680,FIND(",",$D680)-1)&amp;"_"&amp;I680&amp;L680</f>
        <v>Faraca_2019</v>
      </c>
      <c r="N680" t="s">
        <v>223</v>
      </c>
      <c r="O680" s="145" t="s">
        <v>275</v>
      </c>
      <c r="P680" s="180" t="s">
        <v>224</v>
      </c>
      <c r="Q680" t="s">
        <v>257</v>
      </c>
      <c r="R680" s="264" t="s">
        <v>224</v>
      </c>
      <c r="S680" s="265" t="s">
        <v>3125</v>
      </c>
      <c r="T680" s="266" t="s">
        <v>3126</v>
      </c>
      <c r="U680" s="266" t="s">
        <v>3128</v>
      </c>
      <c r="V680">
        <v>0</v>
      </c>
      <c r="W680">
        <v>0</v>
      </c>
      <c r="X680">
        <v>0</v>
      </c>
      <c r="Y680">
        <v>0</v>
      </c>
      <c r="Z680">
        <v>0</v>
      </c>
      <c r="AA680">
        <v>0</v>
      </c>
      <c r="AB680">
        <v>0</v>
      </c>
      <c r="AC680">
        <v>0</v>
      </c>
      <c r="AD680">
        <v>0</v>
      </c>
      <c r="AE680">
        <v>0</v>
      </c>
      <c r="AF680">
        <v>0</v>
      </c>
      <c r="AG680">
        <v>0</v>
      </c>
      <c r="AH680">
        <v>0</v>
      </c>
      <c r="AI680">
        <v>1</v>
      </c>
      <c r="AJ680">
        <v>0</v>
      </c>
      <c r="AK680">
        <v>0</v>
      </c>
      <c r="AL680">
        <v>0</v>
      </c>
      <c r="AM680">
        <v>0</v>
      </c>
      <c r="AN680">
        <v>0</v>
      </c>
      <c r="AO680">
        <v>0</v>
      </c>
      <c r="AP680">
        <v>0</v>
      </c>
      <c r="AQ680">
        <v>0</v>
      </c>
      <c r="AR680">
        <v>0</v>
      </c>
      <c r="AS680">
        <v>0</v>
      </c>
      <c r="AT680">
        <v>0</v>
      </c>
      <c r="AU680">
        <v>0</v>
      </c>
      <c r="AV680">
        <v>0</v>
      </c>
      <c r="AW680">
        <v>0</v>
      </c>
      <c r="AX680" s="141">
        <f>COUNTIF(V680:AW680,"&lt;&gt;0")</f>
        <v>1</v>
      </c>
      <c r="AY680" s="141">
        <f>COUNTIF(V680:AL680,"&lt;&gt;0")</f>
        <v>1</v>
      </c>
      <c r="AZ680">
        <f>COUNTIF(V680:AC680,"&lt;&gt;0")</f>
        <v>0</v>
      </c>
      <c r="BA680">
        <f>COUNTIF(AD680:AI680,"&lt;&gt;0")</f>
        <v>1</v>
      </c>
      <c r="BB680">
        <f>COUNTIF(AJ680:AL680,"&lt;&gt;0")</f>
        <v>0</v>
      </c>
      <c r="BC680">
        <f>COUNTIF(AS680:AW680,"&lt;&gt;0")</f>
        <v>0</v>
      </c>
      <c r="BD680">
        <f>COUNTIF(AM680:AR680,"&lt;&gt;0")</f>
        <v>0</v>
      </c>
      <c r="BE680" t="str">
        <f t="array" ref="BE680">IF(AY680=1,INDEX($V$7:$AL$7,MATCH(TRUE,INDEX($V680:$AW680&lt;&gt;0,),0)),IF(AY680=0,INDEX($AM$7:$AW$7,MATCH(1,$AM680:$AW680,0)),IF(BF680="Multiple strategies","mixed drivers",IF(BF680="Supply chain","multiple supply","multiple silviculture"))))</f>
        <v>products lifespan</v>
      </c>
      <c r="BF680" s="2" t="str" cm="1">
        <f t="array" ref="BF680">IF(COUNTIF(AZ680:BB680,"&lt;&gt;0")=1,INDEX($V$4:$AW$4,MATCH(TRUE,INDEX($V680:$AW680&lt;&gt;0,),0)),IF(COUNTIF(AZ680:BB680,"&lt;&gt;0")=0,INDEX($AM$4:$AW$4,MATCH(1,$AM680:$AW680,0)),"Multiple strategies"))</f>
        <v>Supply chain</v>
      </c>
      <c r="BG680" s="1" t="s">
        <v>230</v>
      </c>
      <c r="BH680" t="s">
        <v>1550</v>
      </c>
      <c r="BI680" s="266" t="s">
        <v>3123</v>
      </c>
      <c r="BJ680" t="s">
        <v>346</v>
      </c>
      <c r="BK680">
        <v>478</v>
      </c>
      <c r="BL680">
        <v>638</v>
      </c>
      <c r="BM680">
        <v>1</v>
      </c>
      <c r="BN680">
        <f>BL680-BK680</f>
        <v>160</v>
      </c>
      <c r="BO680">
        <f>BN680*kg_to_m3</f>
        <v>0.32653061224489799</v>
      </c>
      <c r="BP680" t="s">
        <v>396</v>
      </c>
      <c r="BQ680" t="s">
        <v>427</v>
      </c>
      <c r="BR680" t="s">
        <v>730</v>
      </c>
      <c r="BS680">
        <v>206.8</v>
      </c>
      <c r="BT680">
        <v>474.6</v>
      </c>
      <c r="BU680" s="144"/>
      <c r="BV680">
        <f>BT680-BS680</f>
        <v>267.8</v>
      </c>
      <c r="BX680">
        <f>BV680/1000</f>
        <v>0.26780000000000004</v>
      </c>
      <c r="BY680">
        <f>IFERROR(BX680/BO680,"")</f>
        <v>0.82013750000000007</v>
      </c>
      <c r="BZ680">
        <v>0</v>
      </c>
      <c r="CA680">
        <v>0</v>
      </c>
      <c r="CB680">
        <v>0</v>
      </c>
      <c r="CC680">
        <v>0</v>
      </c>
      <c r="CD680">
        <v>0</v>
      </c>
      <c r="CE680">
        <v>0</v>
      </c>
      <c r="CF680">
        <v>0</v>
      </c>
      <c r="CG680">
        <v>0</v>
      </c>
      <c r="CH680">
        <v>0</v>
      </c>
      <c r="CI680">
        <v>0</v>
      </c>
      <c r="CJ680">
        <v>0</v>
      </c>
      <c r="CK680">
        <v>0</v>
      </c>
      <c r="CL680">
        <v>0</v>
      </c>
      <c r="CM680">
        <v>0</v>
      </c>
      <c r="CN680" t="str">
        <f>IF($BL680&lt;$BK680,"refNeedCorrection","refOK")</f>
        <v>refOK</v>
      </c>
      <c r="CO680">
        <f>IF($CN680="refNeedCorrection",BK680,BL680)</f>
        <v>638</v>
      </c>
      <c r="CP680">
        <f>IF($CN680="refNeedCorrection",BL680,BK680)</f>
        <v>478</v>
      </c>
      <c r="CQ680">
        <f>IF($CN680="refOK",$BO680,-$BO680)</f>
        <v>0.32653061224489799</v>
      </c>
      <c r="CR680">
        <f>IF($CN680="refOK",$BS680,$BT680)*IF($BP680="Emissions positive",-1,1)</f>
        <v>-206.8</v>
      </c>
      <c r="CS680">
        <f>IF($CN680="refOK",$BT680,$BS680)*IF($BP680="Emissions positive",-1,1)</f>
        <v>-474.6</v>
      </c>
      <c r="CT680">
        <f>IF($CN680="refNeedCorrection",-BX680,BX680)*IF($BP680="Emissions positive",-1,1)</f>
        <v>-0.26780000000000004</v>
      </c>
      <c r="CU680">
        <f>IFERROR(CT680/CQ680,"")</f>
        <v>-0.82013750000000007</v>
      </c>
      <c r="CV680" s="2">
        <f>IFERROR((CS680-CR680)/ABS(CR680),"")</f>
        <v>-1.2949709864603483</v>
      </c>
      <c r="CW680" s="1" t="s">
        <v>1201</v>
      </c>
      <c r="CX680" t="str">
        <f>IF(OR($CW680="prd",$CW680="std",$CW680="cit"),"loc",IF(OR($CW680="eur",$CW680="reg",$CW680="coy"),"reg",$CW680))</f>
        <v>reg</v>
      </c>
      <c r="CY680" t="s">
        <v>1542</v>
      </c>
      <c r="DB680">
        <v>100</v>
      </c>
      <c r="DC680" t="str">
        <f>IF(DB680=0,"0",IF(AND(DB680&gt;=1,DB680&lt;=30),"1-30",IF(AND(DB680&gt;30,DB680&lt;=70),"31-70",IF(AND(DB680&gt;70,DB680&lt;=100),"71-100",IF(DB680&gt;100,"+100")))))</f>
        <v>71-100</v>
      </c>
      <c r="DD680">
        <v>0</v>
      </c>
      <c r="DE680">
        <v>0</v>
      </c>
      <c r="DF680">
        <v>0</v>
      </c>
      <c r="DG680">
        <v>1</v>
      </c>
      <c r="DI680">
        <f>SUM(DD680:DG680)</f>
        <v>1</v>
      </c>
      <c r="DJ680" t="str">
        <f>IF(DI680=1,INDEX($DD$7:$DG$7,MATCH(1,$DD680:$DG680,0)),"mixedProduct")</f>
        <v>TimberInput</v>
      </c>
      <c r="DK680">
        <f>IF(DD680=1,DK$7,0)</f>
        <v>0</v>
      </c>
      <c r="DL680">
        <f>IF(DE680=1,DL$7,0)</f>
        <v>0</v>
      </c>
      <c r="DM680">
        <f>IF(DF680=1,DM$7,0)</f>
        <v>0</v>
      </c>
      <c r="DN680" t="str">
        <f>IF(DG680=1,DN$7,0)</f>
        <v>Timber</v>
      </c>
      <c r="DO680">
        <v>0</v>
      </c>
      <c r="DP680">
        <v>0</v>
      </c>
      <c r="DQ680">
        <v>0</v>
      </c>
      <c r="DR680">
        <v>0</v>
      </c>
      <c r="DS680">
        <v>0</v>
      </c>
      <c r="DT680">
        <f>SUM(DO680:DP680)</f>
        <v>0</v>
      </c>
      <c r="DU680" s="143" t="str">
        <f>IF(DO680=1,"self-calculated DF",IF(DP680=1,"external DF used","explicit C balance"))</f>
        <v>explicit C balance</v>
      </c>
      <c r="DV680">
        <v>0</v>
      </c>
      <c r="DW680">
        <v>0</v>
      </c>
      <c r="DX680">
        <v>0</v>
      </c>
      <c r="DY680">
        <v>0</v>
      </c>
      <c r="DZ680">
        <v>1</v>
      </c>
      <c r="EA680" s="143">
        <v>0</v>
      </c>
      <c r="EB680">
        <v>0</v>
      </c>
      <c r="EC680">
        <v>1</v>
      </c>
      <c r="ED680">
        <v>0</v>
      </c>
      <c r="EE680">
        <v>1</v>
      </c>
      <c r="EF680">
        <v>1</v>
      </c>
      <c r="EG680">
        <v>1</v>
      </c>
      <c r="EH680">
        <v>0</v>
      </c>
      <c r="EI680" s="2">
        <v>0</v>
      </c>
      <c r="EK680" t="str">
        <f>IF(AND(AND(AND(OR($DX680=1,$DW680=1),OR($EC680=1,$EA680=1)),SUM($DV680:$DZ680,$EF680)&gt;=4),SUM($EA680:$EE680)&gt;=2),"Whole sector","")</f>
        <v/>
      </c>
      <c r="EL680" t="str">
        <f>IF(AND(AND(OR($DX680=1,$DW680=1),AND($EC680=0,$EA680=0)),SUM($DV680:$DZ680,$EF680)&gt;=4),"Ecosystem approach","")</f>
        <v/>
      </c>
      <c r="EM680" s="2" t="str">
        <f>IF(AND(AND(AND($DX680=0,$DW680=0),OR($EC680=1,$EA680=1)),SUM($EB680:$EE680)&gt;=2),"Technology approach","")</f>
        <v>Technology approach</v>
      </c>
      <c r="EP680" t="str">
        <f>IF(ISNUMBER(BU680),IF(ABS(BU680-[2]QC_indicators!$B$2)&gt;3*[2]QC_indicators!$C$2,"C ratio",IF(ISNUMBER(BY680),IF(ABS(BY680-[2]QC_indicators!$B$1)&gt;3*[2]QC_indicators!$C$1,"DF","no"))),IF(ISNUMBER(BY680),IF(ABS(BY680-[2]QC_indicators!$B$1)&gt;3*[2]QC_indicators!$C$1,"DF","no")))</f>
        <v>no</v>
      </c>
      <c r="ET680" s="266" t="s">
        <v>3275</v>
      </c>
    </row>
    <row r="681" spans="1:150" ht="15" hidden="1" customHeight="1">
      <c r="A681" s="1" t="s">
        <v>266</v>
      </c>
      <c r="B681" t="s">
        <v>1533</v>
      </c>
      <c r="C681" t="s">
        <v>1534</v>
      </c>
      <c r="D681" t="s">
        <v>1535</v>
      </c>
      <c r="E681" t="s">
        <v>1536</v>
      </c>
      <c r="F681" t="s">
        <v>1537</v>
      </c>
      <c r="G681" t="s">
        <v>272</v>
      </c>
      <c r="H681" t="s">
        <v>255</v>
      </c>
      <c r="I681">
        <v>2019</v>
      </c>
      <c r="J681">
        <v>26</v>
      </c>
      <c r="K681" t="s">
        <v>1538</v>
      </c>
      <c r="M681" t="str">
        <f>LEFT($D681,FIND(",",$D681)-1)&amp;"_"&amp;I681&amp;L681</f>
        <v>Faraca_2019</v>
      </c>
      <c r="N681" t="s">
        <v>223</v>
      </c>
      <c r="O681" s="145" t="s">
        <v>275</v>
      </c>
      <c r="P681" s="180" t="s">
        <v>224</v>
      </c>
      <c r="Q681" t="s">
        <v>257</v>
      </c>
      <c r="R681" s="264" t="s">
        <v>224</v>
      </c>
      <c r="S681" s="265" t="s">
        <v>3134</v>
      </c>
      <c r="T681" t="s">
        <v>1554</v>
      </c>
      <c r="U681" t="s">
        <v>1540</v>
      </c>
      <c r="V681">
        <v>0</v>
      </c>
      <c r="W681">
        <v>0</v>
      </c>
      <c r="X681">
        <v>0</v>
      </c>
      <c r="Y681">
        <v>0</v>
      </c>
      <c r="Z681">
        <v>0</v>
      </c>
      <c r="AA681">
        <v>0</v>
      </c>
      <c r="AB681">
        <v>0</v>
      </c>
      <c r="AC681">
        <v>0</v>
      </c>
      <c r="AD681">
        <v>0</v>
      </c>
      <c r="AE681">
        <v>0</v>
      </c>
      <c r="AF681">
        <v>1</v>
      </c>
      <c r="AG681">
        <v>0</v>
      </c>
      <c r="AH681">
        <v>0</v>
      </c>
      <c r="AI681">
        <v>0</v>
      </c>
      <c r="AJ681">
        <v>0</v>
      </c>
      <c r="AK681">
        <v>0</v>
      </c>
      <c r="AL681">
        <v>0</v>
      </c>
      <c r="AM681">
        <v>0</v>
      </c>
      <c r="AN681">
        <v>0</v>
      </c>
      <c r="AO681">
        <v>0</v>
      </c>
      <c r="AP681">
        <v>0</v>
      </c>
      <c r="AQ681">
        <v>0</v>
      </c>
      <c r="AR681">
        <v>0</v>
      </c>
      <c r="AS681">
        <v>0</v>
      </c>
      <c r="AT681">
        <v>0</v>
      </c>
      <c r="AU681">
        <v>0</v>
      </c>
      <c r="AV681">
        <v>0</v>
      </c>
      <c r="AW681">
        <v>0</v>
      </c>
      <c r="AX681" s="141">
        <f>COUNTIF(V681:AW681,"&lt;&gt;0")</f>
        <v>1</v>
      </c>
      <c r="AY681" s="141">
        <f>COUNTIF(V681:AL681,"&lt;&gt;0")</f>
        <v>1</v>
      </c>
      <c r="AZ681">
        <f>COUNTIF(V681:AC681,"&lt;&gt;0")</f>
        <v>0</v>
      </c>
      <c r="BA681">
        <f>COUNTIF(AD681:AI681,"&lt;&gt;0")</f>
        <v>1</v>
      </c>
      <c r="BB681">
        <f>COUNTIF(AJ681:AL681,"&lt;&gt;0")</f>
        <v>0</v>
      </c>
      <c r="BC681">
        <f>COUNTIF(AS681:AW681,"&lt;&gt;0")</f>
        <v>0</v>
      </c>
      <c r="BD681">
        <f>COUNTIF(AM681:AR681,"&lt;&gt;0")</f>
        <v>0</v>
      </c>
      <c r="BE681" t="str">
        <f t="array" ref="BE681">IF(AY681=1,INDEX($V$7:$AL$7,MATCH(TRUE,INDEX($V681:$AW681&lt;&gt;0,),0)),IF(AY681=0,INDEX($AM$7:$AW$7,MATCH(1,$AM681:$AW681,0)),IF(BF681="Multiple strategies","mixed drivers",IF(BF681="Supply chain","multiple supply","multiple silviculture"))))</f>
        <v>supply chain organization</v>
      </c>
      <c r="BF681" s="2" t="str" cm="1">
        <f t="array" ref="BF681">IF(COUNTIF(AZ681:BB681,"&lt;&gt;0")=1,INDEX($V$4:$AW$4,MATCH(TRUE,INDEX($V681:$AW681&lt;&gt;0,),0)),IF(COUNTIF(AZ681:BB681,"&lt;&gt;0")=0,INDEX($AM$4:$AW$4,MATCH(1,$AM681:$AW681,0)),"Multiple strategies"))</f>
        <v>Supply chain</v>
      </c>
      <c r="BG681" s="1" t="s">
        <v>230</v>
      </c>
      <c r="BH681" t="s">
        <v>1550</v>
      </c>
      <c r="BI681" s="266" t="s">
        <v>3123</v>
      </c>
      <c r="BJ681" t="s">
        <v>346</v>
      </c>
      <c r="BK681">
        <v>562</v>
      </c>
      <c r="BL681">
        <v>922</v>
      </c>
      <c r="BM681">
        <v>1.6405693950177935</v>
      </c>
      <c r="BN681">
        <f>BL681-BK681</f>
        <v>360</v>
      </c>
      <c r="BO681">
        <f>BN681*kg_to_m3</f>
        <v>0.73469387755102045</v>
      </c>
      <c r="BP681" s="266" t="s">
        <v>396</v>
      </c>
      <c r="BQ681" t="s">
        <v>427</v>
      </c>
      <c r="BR681" t="s">
        <v>730</v>
      </c>
      <c r="BS681">
        <v>430.5</v>
      </c>
      <c r="BT681">
        <v>515.20000000000005</v>
      </c>
      <c r="BU681" s="144"/>
      <c r="BV681">
        <f>BT681-BS681</f>
        <v>84.700000000000045</v>
      </c>
      <c r="BX681">
        <f>BV681/1000</f>
        <v>8.4700000000000039E-2</v>
      </c>
      <c r="BY681">
        <f>IFERROR(BX681/BO681,"")</f>
        <v>0.11528611111111116</v>
      </c>
      <c r="BZ681">
        <v>0</v>
      </c>
      <c r="CA681">
        <v>0</v>
      </c>
      <c r="CB681">
        <v>0</v>
      </c>
      <c r="CC681">
        <v>0</v>
      </c>
      <c r="CD681">
        <v>0</v>
      </c>
      <c r="CE681">
        <v>0</v>
      </c>
      <c r="CF681">
        <v>0</v>
      </c>
      <c r="CG681">
        <v>0</v>
      </c>
      <c r="CH681">
        <v>0</v>
      </c>
      <c r="CI681">
        <v>0</v>
      </c>
      <c r="CJ681">
        <v>0</v>
      </c>
      <c r="CK681">
        <v>0</v>
      </c>
      <c r="CL681">
        <v>0</v>
      </c>
      <c r="CM681">
        <v>0</v>
      </c>
      <c r="CN681" t="str">
        <f>IF($BL681&lt;$BK681,"refNeedCorrection","refOK")</f>
        <v>refOK</v>
      </c>
      <c r="CO681">
        <f>IF($CN681="refNeedCorrection",BL681,BK681)</f>
        <v>562</v>
      </c>
      <c r="CP681">
        <f>IF($CN681="refNeedCorrection",BK681,BL681)</f>
        <v>922</v>
      </c>
      <c r="CQ681">
        <f>IF($CN681="refOK",$BO681,-$BO681)</f>
        <v>0.73469387755102045</v>
      </c>
      <c r="CR681">
        <f>IF($CN681="refOK",$BS681,$BT681)*IF($BP681="Emissions positive",-1,1)</f>
        <v>-430.5</v>
      </c>
      <c r="CS681">
        <f>IF($CN681="refOK",$BT681,$BS681)*IF($BP681="Emissions positive",-1,1)</f>
        <v>-515.20000000000005</v>
      </c>
      <c r="CT681">
        <f>IF($CN681="refNeedCorrection",-BX681,BX681)*IF($BP681="Emissions positive",-1,1)</f>
        <v>-8.4700000000000039E-2</v>
      </c>
      <c r="CU681">
        <f>IFERROR(CT681/CQ681,"")</f>
        <v>-0.11528611111111116</v>
      </c>
      <c r="CV681" s="2">
        <f>IFERROR((CS681-CR681)/ABS(CR681),"")</f>
        <v>-0.19674796747967491</v>
      </c>
      <c r="CW681" s="1" t="s">
        <v>1201</v>
      </c>
      <c r="CX681" t="str">
        <f>IF(OR($CW681="prd",$CW681="std",$CW681="cit"),"loc",IF(OR($CW681="eur",$CW681="reg",$CW681="coy"),"reg",$CW681))</f>
        <v>reg</v>
      </c>
      <c r="CY681" t="s">
        <v>1542</v>
      </c>
      <c r="DB681">
        <v>100</v>
      </c>
      <c r="DC681" t="str">
        <f>IF(DB681=0,"0",IF(AND(DB681&gt;=1,DB681&lt;=30),"1-30",IF(AND(DB681&gt;30,DB681&lt;=70),"31-70",IF(AND(DB681&gt;70,DB681&lt;=100),"71-100",IF(DB681&gt;100,"+100")))))</f>
        <v>71-100</v>
      </c>
      <c r="DD681">
        <v>0</v>
      </c>
      <c r="DE681">
        <v>0</v>
      </c>
      <c r="DF681">
        <v>0</v>
      </c>
      <c r="DG681">
        <v>1</v>
      </c>
      <c r="DI681">
        <f>SUM(DD681:DG681)</f>
        <v>1</v>
      </c>
      <c r="DJ681" t="str">
        <f>IF(DI681=1,INDEX($DD$7:$DG$7,MATCH(1,$DD681:$DG681,0)),"mixedProduct")</f>
        <v>TimberInput</v>
      </c>
      <c r="DK681">
        <f>IF(DD681=1,DK$7,0)</f>
        <v>0</v>
      </c>
      <c r="DL681">
        <f>IF(DE681=1,DL$7,0)</f>
        <v>0</v>
      </c>
      <c r="DM681">
        <f>IF(DF681=1,DM$7,0)</f>
        <v>0</v>
      </c>
      <c r="DN681" t="str">
        <f>IF(DG681=1,DN$7,0)</f>
        <v>Timber</v>
      </c>
      <c r="DO681">
        <v>0</v>
      </c>
      <c r="DP681">
        <v>0</v>
      </c>
      <c r="DQ681">
        <v>0</v>
      </c>
      <c r="DR681">
        <v>0</v>
      </c>
      <c r="DS681">
        <v>0</v>
      </c>
      <c r="DT681">
        <f>SUM(DO681:DP681)</f>
        <v>0</v>
      </c>
      <c r="DU681" s="143" t="str">
        <f>IF(DO681=1,"self-calculated DF",IF(DP681=1,"external DF used","explicit C balance"))</f>
        <v>explicit C balance</v>
      </c>
      <c r="DV681">
        <v>0</v>
      </c>
      <c r="DW681">
        <v>0</v>
      </c>
      <c r="DX681">
        <v>0</v>
      </c>
      <c r="DY681">
        <v>0</v>
      </c>
      <c r="DZ681">
        <v>1</v>
      </c>
      <c r="EA681" s="143">
        <v>0</v>
      </c>
      <c r="EB681">
        <v>0</v>
      </c>
      <c r="EC681">
        <v>1</v>
      </c>
      <c r="ED681">
        <v>0</v>
      </c>
      <c r="EE681">
        <v>1</v>
      </c>
      <c r="EF681">
        <v>1</v>
      </c>
      <c r="EG681">
        <v>1</v>
      </c>
      <c r="EH681">
        <v>0</v>
      </c>
      <c r="EI681" s="2">
        <v>0</v>
      </c>
      <c r="EK681" t="str">
        <f>IF(AND(AND(AND(OR($DX681=1,$DW681=1),OR($EC681=1,$EA681=1)),SUM($DV681:$DZ681,$EF681)&gt;=4),SUM($EA681:$EE681)&gt;=2),"Whole sector","")</f>
        <v/>
      </c>
      <c r="EL681" t="str">
        <f>IF(AND(AND(OR($DX681=1,$DW681=1),AND($EC681=0,$EA681=0)),SUM($DV681:$DZ681,$EF681)&gt;=4),"Ecosystem approach","")</f>
        <v/>
      </c>
      <c r="EM681" s="2" t="str">
        <f>IF(AND(AND(AND($DX681=0,$DW681=0),OR($EC681=1,$EA681=1)),SUM($EB681:$EE681)&gt;=2),"Technology approach","")</f>
        <v>Technology approach</v>
      </c>
      <c r="EP681" t="str">
        <f>IF(ISNUMBER(BU681),IF(ABS(BU681-[2]QC_indicators!$B$2)&gt;3*[2]QC_indicators!$C$2,"C ratio",IF(ISNUMBER(BY681),IF(ABS(BY681-[2]QC_indicators!$B$1)&gt;3*[2]QC_indicators!$C$1,"DF","no"))),IF(ISNUMBER(BY681),IF(ABS(BY681-[2]QC_indicators!$B$1)&gt;3*[2]QC_indicators!$C$1,"DF","no")))</f>
        <v>no</v>
      </c>
      <c r="ET681" s="266" t="s">
        <v>3275</v>
      </c>
    </row>
    <row r="682" spans="1:150" ht="15" hidden="1" customHeight="1">
      <c r="A682" s="1" t="s">
        <v>266</v>
      </c>
      <c r="B682" t="s">
        <v>1533</v>
      </c>
      <c r="C682" t="s">
        <v>1534</v>
      </c>
      <c r="D682" t="s">
        <v>1535</v>
      </c>
      <c r="E682" t="s">
        <v>1536</v>
      </c>
      <c r="F682" t="s">
        <v>1537</v>
      </c>
      <c r="G682" t="s">
        <v>272</v>
      </c>
      <c r="H682" t="s">
        <v>255</v>
      </c>
      <c r="I682">
        <v>2019</v>
      </c>
      <c r="J682">
        <v>26</v>
      </c>
      <c r="K682" t="s">
        <v>1538</v>
      </c>
      <c r="M682" t="str">
        <f>LEFT($D682,FIND(",",$D682)-1)&amp;"_"&amp;I682&amp;L682</f>
        <v>Faraca_2019</v>
      </c>
      <c r="N682" t="s">
        <v>223</v>
      </c>
      <c r="O682" s="145" t="s">
        <v>275</v>
      </c>
      <c r="P682" s="180" t="s">
        <v>224</v>
      </c>
      <c r="Q682" t="s">
        <v>257</v>
      </c>
      <c r="R682" s="264" t="s">
        <v>224</v>
      </c>
      <c r="S682" s="265" t="s">
        <v>3135</v>
      </c>
      <c r="T682" t="s">
        <v>1554</v>
      </c>
      <c r="U682" t="s">
        <v>1540</v>
      </c>
      <c r="V682">
        <v>0</v>
      </c>
      <c r="W682">
        <v>0</v>
      </c>
      <c r="X682">
        <v>0</v>
      </c>
      <c r="Y682">
        <v>0</v>
      </c>
      <c r="Z682">
        <v>0</v>
      </c>
      <c r="AA682">
        <v>0</v>
      </c>
      <c r="AB682">
        <v>0</v>
      </c>
      <c r="AC682">
        <v>0</v>
      </c>
      <c r="AD682">
        <v>0</v>
      </c>
      <c r="AE682">
        <v>0</v>
      </c>
      <c r="AF682">
        <v>1</v>
      </c>
      <c r="AG682">
        <v>0</v>
      </c>
      <c r="AH682">
        <v>0</v>
      </c>
      <c r="AI682">
        <v>0</v>
      </c>
      <c r="AJ682">
        <v>0</v>
      </c>
      <c r="AK682">
        <v>0</v>
      </c>
      <c r="AL682">
        <v>0</v>
      </c>
      <c r="AM682">
        <v>0</v>
      </c>
      <c r="AN682">
        <v>0</v>
      </c>
      <c r="AO682">
        <v>0</v>
      </c>
      <c r="AP682">
        <v>0</v>
      </c>
      <c r="AQ682">
        <v>0</v>
      </c>
      <c r="AR682">
        <v>0</v>
      </c>
      <c r="AS682">
        <v>0</v>
      </c>
      <c r="AT682">
        <v>0</v>
      </c>
      <c r="AU682">
        <v>0</v>
      </c>
      <c r="AV682">
        <v>0</v>
      </c>
      <c r="AW682">
        <v>0</v>
      </c>
      <c r="AX682" s="141">
        <f>COUNTIF(V682:AW682,"&lt;&gt;0")</f>
        <v>1</v>
      </c>
      <c r="AY682" s="141">
        <f>COUNTIF(V682:AL682,"&lt;&gt;0")</f>
        <v>1</v>
      </c>
      <c r="AZ682">
        <f>COUNTIF(V682:AC682,"&lt;&gt;0")</f>
        <v>0</v>
      </c>
      <c r="BA682">
        <f>COUNTIF(AD682:AI682,"&lt;&gt;0")</f>
        <v>1</v>
      </c>
      <c r="BB682">
        <f>COUNTIF(AJ682:AL682,"&lt;&gt;0")</f>
        <v>0</v>
      </c>
      <c r="BC682">
        <f>COUNTIF(AS682:AW682,"&lt;&gt;0")</f>
        <v>0</v>
      </c>
      <c r="BD682">
        <f>COUNTIF(AM682:AR682,"&lt;&gt;0")</f>
        <v>0</v>
      </c>
      <c r="BE682" t="str">
        <f t="array" ref="BE682">IF(AY682=1,INDEX($V$7:$AL$7,MATCH(TRUE,INDEX($V682:$AW682&lt;&gt;0,),0)),IF(AY682=0,INDEX($AM$7:$AW$7,MATCH(1,$AM682:$AW682,0)),IF(BF682="Multiple strategies","mixed drivers",IF(BF682="Supply chain","multiple supply","multiple silviculture"))))</f>
        <v>supply chain organization</v>
      </c>
      <c r="BF682" s="2" t="str" cm="1">
        <f t="array" ref="BF682">IF(COUNTIF(AZ682:BB682,"&lt;&gt;0")=1,INDEX($V$4:$AW$4,MATCH(TRUE,INDEX($V682:$AW682&lt;&gt;0,),0)),IF(COUNTIF(AZ682:BB682,"&lt;&gt;0")=0,INDEX($AM$4:$AW$4,MATCH(1,$AM682:$AW682,0)),"Multiple strategies"))</f>
        <v>Supply chain</v>
      </c>
      <c r="BG682" s="1" t="s">
        <v>230</v>
      </c>
      <c r="BH682" t="s">
        <v>1550</v>
      </c>
      <c r="BI682" s="266" t="s">
        <v>3123</v>
      </c>
      <c r="BJ682" t="s">
        <v>346</v>
      </c>
      <c r="BK682">
        <v>562</v>
      </c>
      <c r="BL682">
        <v>922</v>
      </c>
      <c r="BM682">
        <v>1.6405693950177935</v>
      </c>
      <c r="BN682">
        <f>BL682-BK682</f>
        <v>360</v>
      </c>
      <c r="BO682">
        <f>BN682*kg_to_m3</f>
        <v>0.73469387755102045</v>
      </c>
      <c r="BP682" s="266" t="s">
        <v>396</v>
      </c>
      <c r="BQ682" t="s">
        <v>427</v>
      </c>
      <c r="BR682" t="s">
        <v>730</v>
      </c>
      <c r="BS682">
        <v>84.7</v>
      </c>
      <c r="BT682">
        <v>33.9</v>
      </c>
      <c r="BU682" s="144">
        <v>-9.5652173913043481E-2</v>
      </c>
      <c r="BV682">
        <f>BT682-BS682</f>
        <v>-50.800000000000004</v>
      </c>
      <c r="BX682">
        <f>BV682/1000</f>
        <v>-5.0800000000000005E-2</v>
      </c>
      <c r="BY682">
        <f>IFERROR(BX682/BO682,"")</f>
        <v>-6.9144444444444453E-2</v>
      </c>
      <c r="BZ682">
        <v>0</v>
      </c>
      <c r="CA682">
        <v>0</v>
      </c>
      <c r="CB682">
        <v>0</v>
      </c>
      <c r="CC682">
        <v>0</v>
      </c>
      <c r="CD682">
        <v>0</v>
      </c>
      <c r="CE682">
        <v>0</v>
      </c>
      <c r="CF682">
        <v>0</v>
      </c>
      <c r="CG682">
        <v>0</v>
      </c>
      <c r="CH682">
        <v>0</v>
      </c>
      <c r="CI682">
        <v>0</v>
      </c>
      <c r="CJ682">
        <v>0</v>
      </c>
      <c r="CK682">
        <v>0</v>
      </c>
      <c r="CL682">
        <v>0</v>
      </c>
      <c r="CM682">
        <v>0</v>
      </c>
      <c r="CN682" t="str">
        <f>IF($BL682&lt;$BK682,"refNeedCorrection","refOK")</f>
        <v>refOK</v>
      </c>
      <c r="CO682">
        <f>IF($CN682="refNeedCorrection",BL682,BK682)</f>
        <v>562</v>
      </c>
      <c r="CP682">
        <f>IF($CN682="refNeedCorrection",BK682,BL682)</f>
        <v>922</v>
      </c>
      <c r="CQ682">
        <f>IF($CN682="refOK",$BO682,-$BO682)</f>
        <v>0.73469387755102045</v>
      </c>
      <c r="CR682">
        <f>IF($CN682="refOK",$BS682,$BT682)*IF($BP682="Emissions positive",-1,1)</f>
        <v>-84.7</v>
      </c>
      <c r="CS682">
        <f>IF($CN682="refOK",$BT682,$BS682)*IF($BP682="Emissions positive",-1,1)</f>
        <v>-33.9</v>
      </c>
      <c r="CT682">
        <f>IF($CN682="refNeedCorrection",-BX682,BX682)*IF($BP682="Emissions positive",-1,1)</f>
        <v>5.0800000000000005E-2</v>
      </c>
      <c r="CU682">
        <f>IFERROR(CT682/CQ682,"")</f>
        <v>6.9144444444444453E-2</v>
      </c>
      <c r="CV682" s="2">
        <f>IFERROR((CS682-CR682)/ABS(CR682),"")</f>
        <v>0.59976387249114527</v>
      </c>
      <c r="CW682" s="1" t="s">
        <v>1201</v>
      </c>
      <c r="CX682" t="str">
        <f>IF(OR($CW682="prd",$CW682="std",$CW682="cit"),"loc",IF(OR($CW682="eur",$CW682="reg",$CW682="coy"),"reg",$CW682))</f>
        <v>reg</v>
      </c>
      <c r="CY682" t="s">
        <v>1542</v>
      </c>
      <c r="DB682">
        <v>100</v>
      </c>
      <c r="DC682" t="str">
        <f>IF(DB682=0,"0",IF(AND(DB682&gt;=1,DB682&lt;=30),"1-30",IF(AND(DB682&gt;30,DB682&lt;=70),"31-70",IF(AND(DB682&gt;70,DB682&lt;=100),"71-100",IF(DB682&gt;100,"+100")))))</f>
        <v>71-100</v>
      </c>
      <c r="DD682">
        <v>0</v>
      </c>
      <c r="DE682">
        <v>0</v>
      </c>
      <c r="DF682">
        <v>0</v>
      </c>
      <c r="DG682">
        <v>1</v>
      </c>
      <c r="DI682">
        <f>SUM(DD682:DG682)</f>
        <v>1</v>
      </c>
      <c r="DJ682" t="str">
        <f>IF(DI682=1,INDEX($DD$7:$DG$7,MATCH(1,$DD682:$DG682,0)),"mixedProduct")</f>
        <v>TimberInput</v>
      </c>
      <c r="DK682">
        <f>IF(DD682=1,DK$7,0)</f>
        <v>0</v>
      </c>
      <c r="DL682">
        <f>IF(DE682=1,DL$7,0)</f>
        <v>0</v>
      </c>
      <c r="DM682">
        <f>IF(DF682=1,DM$7,0)</f>
        <v>0</v>
      </c>
      <c r="DN682" t="str">
        <f>IF(DG682=1,DN$7,0)</f>
        <v>Timber</v>
      </c>
      <c r="DO682">
        <v>0</v>
      </c>
      <c r="DP682">
        <v>1</v>
      </c>
      <c r="DQ682">
        <v>0</v>
      </c>
      <c r="DR682">
        <v>0</v>
      </c>
      <c r="DS682" t="s">
        <v>1543</v>
      </c>
      <c r="DT682">
        <f>SUM(DO682:DP682)</f>
        <v>1</v>
      </c>
      <c r="DU682" s="143" t="str">
        <f>IF(DO682=1,"self-calculated DF",IF(DP682=1,"external DF used","explicit C balance"))</f>
        <v>external DF used</v>
      </c>
      <c r="DV682">
        <v>0</v>
      </c>
      <c r="DW682">
        <v>0</v>
      </c>
      <c r="DX682">
        <v>0</v>
      </c>
      <c r="DY682">
        <v>0</v>
      </c>
      <c r="DZ682">
        <v>1</v>
      </c>
      <c r="EA682" s="143">
        <v>1</v>
      </c>
      <c r="EB682">
        <v>0</v>
      </c>
      <c r="EC682">
        <v>1</v>
      </c>
      <c r="ED682">
        <v>0</v>
      </c>
      <c r="EE682">
        <v>1</v>
      </c>
      <c r="EF682">
        <v>1</v>
      </c>
      <c r="EG682">
        <v>1</v>
      </c>
      <c r="EH682">
        <v>0</v>
      </c>
      <c r="EI682" s="2">
        <v>0</v>
      </c>
      <c r="EK682" t="str">
        <f>IF(AND(AND(AND(OR($DX682=1,$DW682=1),OR($EC682=1,$EA682=1)),SUM($DV682:$DZ682,$EF682)&gt;=4),SUM($EA682:$EE682)&gt;=2),"Whole sector","")</f>
        <v/>
      </c>
      <c r="EL682" t="str">
        <f>IF(AND(AND(OR($DX682=1,$DW682=1),AND($EC682=0,$EA682=0)),SUM($DV682:$DZ682,$EF682)&gt;=4),"Ecosystem approach","")</f>
        <v/>
      </c>
      <c r="EM682" s="2" t="str">
        <f>IF(AND(AND(AND($DX682=0,$DW682=0),OR($EC682=1,$EA682=1)),SUM($EB682:$EE682)&gt;=2),"Technology approach","")</f>
        <v>Technology approach</v>
      </c>
      <c r="EP682" t="str">
        <f>IF(ISNUMBER(BU682),IF(ABS(BU682-[2]QC_indicators!$B$2)&gt;3*[2]QC_indicators!$C$2,"C ratio",IF(ISNUMBER(BY682),IF(ABS(BY682-[2]QC_indicators!$B$1)&gt;3*[2]QC_indicators!$C$1,"DF","no"))),IF(ISNUMBER(BY682),IF(ABS(BY682-[2]QC_indicators!$B$1)&gt;3*[2]QC_indicators!$C$1,"DF","no")))</f>
        <v>no</v>
      </c>
      <c r="ET682" s="266" t="s">
        <v>3275</v>
      </c>
    </row>
    <row r="683" spans="1:150" ht="15" hidden="1" customHeight="1">
      <c r="D683" t="s">
        <v>2233</v>
      </c>
      <c r="E683" t="s">
        <v>2234</v>
      </c>
      <c r="G683" t="s">
        <v>2235</v>
      </c>
      <c r="I683">
        <v>2015</v>
      </c>
      <c r="K683" t="s">
        <v>2236</v>
      </c>
      <c r="M683" t="str">
        <f>LEFT($D683,FIND(",",$D683)-1)&amp;"_"&amp;I683&amp;L683</f>
        <v>Repo_2015</v>
      </c>
      <c r="N683" t="s">
        <v>2585</v>
      </c>
      <c r="O683" s="145" t="s">
        <v>226</v>
      </c>
      <c r="Q683" t="s">
        <v>257</v>
      </c>
      <c r="R683" s="264" t="s">
        <v>224</v>
      </c>
      <c r="S683" s="1" t="s">
        <v>2231</v>
      </c>
      <c r="T683" t="s">
        <v>2237</v>
      </c>
      <c r="U683" t="s">
        <v>2238</v>
      </c>
      <c r="V683" s="143">
        <v>0</v>
      </c>
      <c r="W683" s="143">
        <v>0</v>
      </c>
      <c r="X683" s="143">
        <v>0</v>
      </c>
      <c r="Y683" s="143">
        <v>0</v>
      </c>
      <c r="Z683" s="143">
        <v>0</v>
      </c>
      <c r="AA683" s="143">
        <v>0</v>
      </c>
      <c r="AB683" s="143">
        <v>0</v>
      </c>
      <c r="AC683" s="143">
        <v>0</v>
      </c>
      <c r="AD683" s="143">
        <v>0</v>
      </c>
      <c r="AE683" s="143">
        <v>0</v>
      </c>
      <c r="AF683" s="143">
        <v>1</v>
      </c>
      <c r="AG683" s="143">
        <v>0</v>
      </c>
      <c r="AH683" s="143">
        <v>0</v>
      </c>
      <c r="AI683" s="143">
        <v>0</v>
      </c>
      <c r="AJ683" s="143">
        <v>0</v>
      </c>
      <c r="AK683" s="143">
        <v>0</v>
      </c>
      <c r="AL683" s="143">
        <v>0</v>
      </c>
      <c r="AM683" s="143">
        <v>0</v>
      </c>
      <c r="AN683" s="143">
        <v>0</v>
      </c>
      <c r="AO683" s="143">
        <v>0</v>
      </c>
      <c r="AP683" s="143">
        <v>0</v>
      </c>
      <c r="AQ683" s="143">
        <v>0</v>
      </c>
      <c r="AR683" s="143">
        <v>0</v>
      </c>
      <c r="AS683" s="143">
        <v>0</v>
      </c>
      <c r="AT683" s="143">
        <v>0</v>
      </c>
      <c r="AU683" s="143">
        <v>0</v>
      </c>
      <c r="AV683" s="143">
        <v>0</v>
      </c>
      <c r="AW683" s="143">
        <v>0</v>
      </c>
      <c r="AX683" s="141">
        <f>COUNTIF(V683:AW683,"&lt;&gt;0")</f>
        <v>1</v>
      </c>
      <c r="AY683" s="141">
        <f>COUNTIF(V683:AL683,"&lt;&gt;0")</f>
        <v>1</v>
      </c>
      <c r="AZ683">
        <f>COUNTIF(V683:AC683,"&lt;&gt;0")</f>
        <v>0</v>
      </c>
      <c r="BA683">
        <f>COUNTIF(AD683:AI683,"&lt;&gt;0")</f>
        <v>1</v>
      </c>
      <c r="BB683">
        <f>COUNTIF(AJ683:AL683,"&lt;&gt;0")</f>
        <v>0</v>
      </c>
      <c r="BC683">
        <f>COUNTIF(AS683:AW683,"&lt;&gt;0")</f>
        <v>0</v>
      </c>
      <c r="BD683">
        <f>COUNTIF(AM683:AR683,"&lt;&gt;0")</f>
        <v>0</v>
      </c>
      <c r="BE683" t="str">
        <f t="array" ref="BE683">IF(AY683=1,INDEX($V$7:$AL$7,MATCH(TRUE,INDEX($V683:$AW683&lt;&gt;0,),0)),IF(AY683=0,INDEX($AM$7:$AW$7,MATCH(1,$AM683:$AW683,0)),IF(BF683="Multiple strategies","mixed drivers",IF(BF683="Supply chain","multiple supply","multiple silviculture"))))</f>
        <v>supply chain organization</v>
      </c>
      <c r="BF683" s="2" t="str" cm="1">
        <f t="array" ref="BF683">IF(COUNTIF(AZ683:BB683,"&lt;&gt;0")=1,INDEX($V$4:$AW$4,MATCH(TRUE,INDEX($V683:$AW683&lt;&gt;0,),0)),IF(COUNTIF(AZ683:BB683,"&lt;&gt;0")=0,INDEX($AM$4:$AW$4,MATCH(1,$AM683:$AW683,0)),"Multiple strategies"))</f>
        <v>Supply chain</v>
      </c>
      <c r="BG683" s="1" t="s">
        <v>322</v>
      </c>
      <c r="BH683" t="s">
        <v>2239</v>
      </c>
      <c r="BI683" s="266" t="s">
        <v>425</v>
      </c>
      <c r="BJ683" s="266" t="s">
        <v>3236</v>
      </c>
      <c r="BK683">
        <v>63</v>
      </c>
      <c r="BL683">
        <v>87</v>
      </c>
      <c r="BN683">
        <f>BL683-BK683</f>
        <v>24</v>
      </c>
      <c r="BO683">
        <f>BN683*t_to_m3</f>
        <v>48.979591836734699</v>
      </c>
      <c r="BP683" t="s">
        <v>233</v>
      </c>
      <c r="BR683" t="s">
        <v>2240</v>
      </c>
      <c r="BU683" s="144"/>
      <c r="BV683">
        <v>-1.4999999999999999E-2</v>
      </c>
      <c r="BY683">
        <f>IFERROR(BX683/BO683,"")</f>
        <v>0</v>
      </c>
      <c r="BZ683" s="143">
        <v>0</v>
      </c>
      <c r="CA683" s="143">
        <v>1</v>
      </c>
      <c r="CB683" s="143">
        <v>0</v>
      </c>
      <c r="CC683" s="143">
        <v>1</v>
      </c>
      <c r="CD683" s="143">
        <v>0</v>
      </c>
      <c r="CE683" s="143">
        <v>0</v>
      </c>
      <c r="CF683" s="143">
        <v>0</v>
      </c>
      <c r="CG683" s="143">
        <v>0</v>
      </c>
      <c r="CH683" s="143">
        <v>0</v>
      </c>
      <c r="CI683" s="143">
        <v>0</v>
      </c>
      <c r="CJ683" s="143">
        <v>0</v>
      </c>
      <c r="CK683" s="143">
        <v>0</v>
      </c>
      <c r="CL683" s="143">
        <v>0</v>
      </c>
      <c r="CM683" s="143">
        <v>0</v>
      </c>
      <c r="CN683" t="str">
        <f>IF(BL683&lt;BK683,"refNeedCorrection","refOK")</f>
        <v>refOK</v>
      </c>
      <c r="CO683">
        <f>IF($CN683="refOK",$BK683,$BL683)</f>
        <v>63</v>
      </c>
      <c r="CP683">
        <f>IF($CN683="refOK",$BL683,$BK683)</f>
        <v>87</v>
      </c>
      <c r="CQ683">
        <f>IF($CN683="refOK",$BO683,-$BO683)</f>
        <v>48.979591836734699</v>
      </c>
      <c r="CR683"/>
      <c r="CS683"/>
      <c r="CT683"/>
      <c r="CU683"/>
      <c r="CV683" s="2" t="str">
        <f>IFERROR((CS683-CR683)/ABS(CR683),"")</f>
        <v/>
      </c>
      <c r="CW683" s="1" t="s">
        <v>1205</v>
      </c>
      <c r="CX683" t="str">
        <f>IF(OR($CW683="prd",$CW683="std",$CW683="cit"),"loc",IF(OR($CW683="eur",$CW683="reg",$CW683="coy"),"reg",$CW683))</f>
        <v>reg</v>
      </c>
      <c r="CY683" t="s">
        <v>236</v>
      </c>
      <c r="CZ683">
        <v>2010</v>
      </c>
      <c r="DA683">
        <v>2110</v>
      </c>
      <c r="DB683" s="143">
        <f>DA683-CZ683</f>
        <v>100</v>
      </c>
      <c r="DC683" t="str">
        <f>IF(DB683=0,"0",IF(AND(DB683&gt;=1,DB683&lt;=30),"1-30",IF(AND(DB683&gt;30,DB683&lt;=70),"31-70",IF(AND(DB683&gt;70,DB683&lt;=100),"71-100",IF(DB683&gt;100,"+100")))))</f>
        <v>71-100</v>
      </c>
      <c r="DD683">
        <v>1</v>
      </c>
      <c r="DE683">
        <v>1</v>
      </c>
      <c r="DF683">
        <v>0</v>
      </c>
      <c r="DG683">
        <v>0</v>
      </c>
      <c r="DI683">
        <f>SUM(DD683:DG683)</f>
        <v>2</v>
      </c>
      <c r="DJ683" t="str">
        <f>IF(DI683=1,INDEX($DD$7:$DG$7,MATCH(1,$DD683:$DG683,0)),"mixedProduct")</f>
        <v>mixedProduct</v>
      </c>
      <c r="DK683" t="str">
        <f>IF(DD683=1,DK$7,0)</f>
        <v>Upstream</v>
      </c>
      <c r="DL683" t="str">
        <f>IF(DE683=1,DL$7,0)</f>
        <v>Energy</v>
      </c>
      <c r="DM683">
        <f>IF(DF683=1,DM$7,0)</f>
        <v>0</v>
      </c>
      <c r="DN683">
        <f>IF(DG683=1,DN$7,0)</f>
        <v>0</v>
      </c>
      <c r="DO683">
        <v>0</v>
      </c>
      <c r="DP683" s="143">
        <v>0</v>
      </c>
      <c r="DQ683" t="s">
        <v>2232</v>
      </c>
      <c r="DR683">
        <v>0</v>
      </c>
      <c r="DS683">
        <v>0</v>
      </c>
      <c r="DT683">
        <f>SUM(DO683:DP683)</f>
        <v>0</v>
      </c>
      <c r="DU683" s="143" t="str">
        <f>IF(DO683=1,"self-calculated DF",IF(DP683=1,"external DF used","explicit C balance"))</f>
        <v>explicit C balance</v>
      </c>
      <c r="DV683" s="143">
        <v>1</v>
      </c>
      <c r="DW683" s="143">
        <v>1</v>
      </c>
      <c r="DX683" s="143">
        <v>1</v>
      </c>
      <c r="DY683" s="143">
        <v>0</v>
      </c>
      <c r="DZ683" s="143">
        <v>1</v>
      </c>
      <c r="EA683" s="143">
        <v>0</v>
      </c>
      <c r="EB683" s="143">
        <v>1</v>
      </c>
      <c r="EC683" s="143">
        <v>1</v>
      </c>
      <c r="ED683" s="143">
        <v>0</v>
      </c>
      <c r="EE683" s="143">
        <v>0</v>
      </c>
      <c r="EF683" s="143">
        <v>0</v>
      </c>
      <c r="EG683" s="143">
        <v>0</v>
      </c>
      <c r="EH683" s="143">
        <v>0</v>
      </c>
      <c r="EI683" s="196">
        <v>0</v>
      </c>
      <c r="EK683" t="str">
        <f>IF(AND(AND(AND(OR($DX683=1,$DW683=1),OR($EC683=1,$EA683=1)),SUM($DV683:$DZ683,$EF683)&gt;=4),SUM($EA683:$EE683)&gt;=2),"Whole sector","")</f>
        <v>Whole sector</v>
      </c>
      <c r="EL683" t="str">
        <f>IF(AND(AND(OR($DX683=1,$DW683=1),AND($EC683=0,$EA683=0)),SUM($DV683:$DZ683,$EF683)&gt;=4),"Ecosystem approach","")</f>
        <v/>
      </c>
      <c r="EM683" s="2" t="str">
        <f>IF(AND(AND(AND($DX683=0,$DW683=0),OR($EC683=1,$EA683=1)),SUM($EB683:$EE683)&gt;=2),"Technology approach","")</f>
        <v/>
      </c>
      <c r="EP683" t="str">
        <f>IF(ISNUMBER(BU683),IF(ABS(BU683-[2]QC_indicators!$B$2)&gt;3*[2]QC_indicators!$C$2,"C ratio",IF(ISNUMBER(BY683),IF(ABS(BY683-[2]QC_indicators!$B$1)&gt;3*[2]QC_indicators!$C$1,"DF","no"))),IF(ISNUMBER(BY683),IF(ABS(BY683-[2]QC_indicators!$B$1)&gt;3*[2]QC_indicators!$C$1,"DF","no")))</f>
        <v>no</v>
      </c>
      <c r="ER683" s="149" t="s">
        <v>350</v>
      </c>
      <c r="ET683" s="266" t="s">
        <v>3237</v>
      </c>
    </row>
    <row r="684" spans="1:150" ht="15" hidden="1" customHeight="1">
      <c r="D684" t="s">
        <v>2233</v>
      </c>
      <c r="E684" t="s">
        <v>2234</v>
      </c>
      <c r="G684" t="s">
        <v>2235</v>
      </c>
      <c r="I684">
        <v>2015</v>
      </c>
      <c r="K684" t="s">
        <v>2236</v>
      </c>
      <c r="M684" t="str">
        <f>LEFT($D684,FIND(",",$D684)-1)&amp;"_"&amp;I684&amp;L684</f>
        <v>Repo_2015</v>
      </c>
      <c r="N684" t="s">
        <v>2585</v>
      </c>
      <c r="O684" s="145" t="s">
        <v>226</v>
      </c>
      <c r="Q684" t="s">
        <v>257</v>
      </c>
      <c r="R684" s="264" t="s">
        <v>224</v>
      </c>
      <c r="S684" s="1" t="s">
        <v>2231</v>
      </c>
      <c r="T684" t="s">
        <v>2237</v>
      </c>
      <c r="U684" t="s">
        <v>2241</v>
      </c>
      <c r="V684" s="143">
        <v>0</v>
      </c>
      <c r="W684" s="143">
        <v>0</v>
      </c>
      <c r="X684" s="143">
        <v>0</v>
      </c>
      <c r="Y684" s="143">
        <v>0</v>
      </c>
      <c r="Z684" s="143">
        <v>0</v>
      </c>
      <c r="AA684" s="143">
        <v>0</v>
      </c>
      <c r="AB684" s="143">
        <v>0</v>
      </c>
      <c r="AC684" s="143">
        <v>0</v>
      </c>
      <c r="AD684" s="143">
        <v>0</v>
      </c>
      <c r="AE684" s="143">
        <v>0</v>
      </c>
      <c r="AF684" s="143">
        <v>1</v>
      </c>
      <c r="AG684" s="143">
        <v>0</v>
      </c>
      <c r="AH684" s="143">
        <v>0</v>
      </c>
      <c r="AI684" s="143">
        <v>0</v>
      </c>
      <c r="AJ684" s="143">
        <v>0</v>
      </c>
      <c r="AK684" s="143">
        <v>0</v>
      </c>
      <c r="AL684" s="143">
        <v>0</v>
      </c>
      <c r="AM684" s="143">
        <v>0</v>
      </c>
      <c r="AN684" s="143">
        <v>0</v>
      </c>
      <c r="AO684" s="143">
        <v>0</v>
      </c>
      <c r="AP684" s="143">
        <v>0</v>
      </c>
      <c r="AQ684" s="143">
        <v>0</v>
      </c>
      <c r="AR684" s="143">
        <v>0</v>
      </c>
      <c r="AS684" s="143">
        <v>0</v>
      </c>
      <c r="AT684" s="143">
        <v>0</v>
      </c>
      <c r="AU684" s="143">
        <v>0</v>
      </c>
      <c r="AV684" s="143">
        <v>0</v>
      </c>
      <c r="AW684" s="143">
        <v>0</v>
      </c>
      <c r="AX684" s="141">
        <f>COUNTIF(V684:AW684,"&lt;&gt;0")</f>
        <v>1</v>
      </c>
      <c r="AY684" s="141">
        <f>COUNTIF(V684:AL684,"&lt;&gt;0")</f>
        <v>1</v>
      </c>
      <c r="AZ684">
        <f>COUNTIF(V684:AC684,"&lt;&gt;0")</f>
        <v>0</v>
      </c>
      <c r="BA684">
        <f>COUNTIF(AD684:AI684,"&lt;&gt;0")</f>
        <v>1</v>
      </c>
      <c r="BB684">
        <f>COUNTIF(AJ684:AL684,"&lt;&gt;0")</f>
        <v>0</v>
      </c>
      <c r="BC684">
        <f>COUNTIF(AS684:AW684,"&lt;&gt;0")</f>
        <v>0</v>
      </c>
      <c r="BD684">
        <f>COUNTIF(AM684:AR684,"&lt;&gt;0")</f>
        <v>0</v>
      </c>
      <c r="BE684" t="str">
        <f t="array" ref="BE684">IF(AY684=1,INDEX($V$7:$AL$7,MATCH(TRUE,INDEX($V684:$AW684&lt;&gt;0,),0)),IF(AY684=0,INDEX($AM$7:$AW$7,MATCH(1,$AM684:$AW684,0)),IF(BF684="Multiple strategies","mixed drivers",IF(BF684="Supply chain","multiple supply","multiple silviculture"))))</f>
        <v>supply chain organization</v>
      </c>
      <c r="BF684" s="2" t="str" cm="1">
        <f t="array" ref="BF684">IF(COUNTIF(AZ684:BB684,"&lt;&gt;0")=1,INDEX($V$4:$AW$4,MATCH(TRUE,INDEX($V684:$AW684&lt;&gt;0,),0)),IF(COUNTIF(AZ684:BB684,"&lt;&gt;0")=0,INDEX($AM$4:$AW$4,MATCH(1,$AM684:$AW684,0)),"Multiple strategies"))</f>
        <v>Supply chain</v>
      </c>
      <c r="BG684" s="1" t="s">
        <v>322</v>
      </c>
      <c r="BH684" t="s">
        <v>2239</v>
      </c>
      <c r="BI684" s="266" t="s">
        <v>425</v>
      </c>
      <c r="BJ684" s="266" t="s">
        <v>3236</v>
      </c>
      <c r="BK684">
        <v>63</v>
      </c>
      <c r="BL684">
        <v>69</v>
      </c>
      <c r="BN684">
        <f>BL684-BK684</f>
        <v>6</v>
      </c>
      <c r="BO684">
        <f>BN684*t_to_m3</f>
        <v>12.244897959183675</v>
      </c>
      <c r="BP684" t="s">
        <v>233</v>
      </c>
      <c r="BR684" t="s">
        <v>2240</v>
      </c>
      <c r="BU684" s="144"/>
      <c r="BV684">
        <v>-1.7999999999999999E-2</v>
      </c>
      <c r="BY684">
        <f>IFERROR(BX684/BO684,"")</f>
        <v>0</v>
      </c>
      <c r="BZ684" s="143">
        <v>0</v>
      </c>
      <c r="CA684" s="143">
        <v>1</v>
      </c>
      <c r="CB684" s="143">
        <v>0</v>
      </c>
      <c r="CC684" s="143">
        <v>1</v>
      </c>
      <c r="CD684" s="143">
        <v>0</v>
      </c>
      <c r="CE684" s="143">
        <v>0</v>
      </c>
      <c r="CF684" s="143">
        <v>0</v>
      </c>
      <c r="CG684" s="143">
        <v>0</v>
      </c>
      <c r="CH684" s="143">
        <v>0</v>
      </c>
      <c r="CI684" s="143">
        <v>0</v>
      </c>
      <c r="CJ684" s="143">
        <v>0</v>
      </c>
      <c r="CK684" s="143">
        <v>0</v>
      </c>
      <c r="CL684" s="143">
        <v>0</v>
      </c>
      <c r="CM684" s="143">
        <v>0</v>
      </c>
      <c r="CN684" t="str">
        <f>IF(BL684&lt;BK684,"refNeedCorrection","refOK")</f>
        <v>refOK</v>
      </c>
      <c r="CO684">
        <f>IF($CN684="refOK",$BK684,$BL684)</f>
        <v>63</v>
      </c>
      <c r="CP684">
        <f>IF($CN684="refOK",$BL684,$BK684)</f>
        <v>69</v>
      </c>
      <c r="CQ684">
        <f>IF($CN684="refOK",$BO684,-$BO684)</f>
        <v>12.244897959183675</v>
      </c>
      <c r="CR684"/>
      <c r="CS684"/>
      <c r="CT684"/>
      <c r="CU684"/>
      <c r="CV684" s="2" t="str">
        <f>IFERROR((CS684-CR684)/ABS(CR684),"")</f>
        <v/>
      </c>
      <c r="CW684" s="1" t="s">
        <v>1205</v>
      </c>
      <c r="CX684" t="str">
        <f>IF(OR($CW684="prd",$CW684="std",$CW684="cit"),"loc",IF(OR($CW684="eur",$CW684="reg",$CW684="coy"),"reg",$CW684))</f>
        <v>reg</v>
      </c>
      <c r="CY684" t="s">
        <v>236</v>
      </c>
      <c r="CZ684">
        <v>2010</v>
      </c>
      <c r="DA684">
        <v>2110</v>
      </c>
      <c r="DB684" s="143">
        <f>DA684-CZ684</f>
        <v>100</v>
      </c>
      <c r="DC684" t="str">
        <f>IF(DB684=0,"0",IF(AND(DB684&gt;=1,DB684&lt;=30),"1-30",IF(AND(DB684&gt;30,DB684&lt;=70),"31-70",IF(AND(DB684&gt;70,DB684&lt;=100),"71-100",IF(DB684&gt;100,"+100")))))</f>
        <v>71-100</v>
      </c>
      <c r="DD684">
        <v>1</v>
      </c>
      <c r="DE684">
        <v>1</v>
      </c>
      <c r="DF684">
        <v>0</v>
      </c>
      <c r="DG684">
        <v>0</v>
      </c>
      <c r="DI684">
        <f>SUM(DD684:DG684)</f>
        <v>2</v>
      </c>
      <c r="DJ684" t="str">
        <f>IF(DI684=1,INDEX($DD$7:$DG$7,MATCH(1,$DD684:$DG684,0)),"mixedProduct")</f>
        <v>mixedProduct</v>
      </c>
      <c r="DK684" t="str">
        <f>IF(DD684=1,DK$7,0)</f>
        <v>Upstream</v>
      </c>
      <c r="DL684" t="str">
        <f>IF(DE684=1,DL$7,0)</f>
        <v>Energy</v>
      </c>
      <c r="DM684">
        <f>IF(DF684=1,DM$7,0)</f>
        <v>0</v>
      </c>
      <c r="DN684">
        <f>IF(DG684=1,DN$7,0)</f>
        <v>0</v>
      </c>
      <c r="DO684">
        <v>0</v>
      </c>
      <c r="DP684" s="143">
        <v>0</v>
      </c>
      <c r="DQ684" t="s">
        <v>2232</v>
      </c>
      <c r="DR684">
        <v>0</v>
      </c>
      <c r="DS684">
        <v>0</v>
      </c>
      <c r="DT684">
        <f>SUM(DO684:DP684)</f>
        <v>0</v>
      </c>
      <c r="DU684" s="143" t="str">
        <f>IF(DO684=1,"self-calculated DF",IF(DP684=1,"external DF used","explicit C balance"))</f>
        <v>explicit C balance</v>
      </c>
      <c r="DV684" s="143">
        <v>1</v>
      </c>
      <c r="DW684" s="143">
        <v>1</v>
      </c>
      <c r="DX684" s="143">
        <v>1</v>
      </c>
      <c r="DY684" s="143">
        <v>0</v>
      </c>
      <c r="DZ684" s="143">
        <v>1</v>
      </c>
      <c r="EA684" s="143">
        <v>0</v>
      </c>
      <c r="EB684" s="143">
        <v>1</v>
      </c>
      <c r="EC684" s="143">
        <v>1</v>
      </c>
      <c r="ED684" s="143">
        <v>0</v>
      </c>
      <c r="EE684" s="143">
        <v>0</v>
      </c>
      <c r="EF684" s="143">
        <v>0</v>
      </c>
      <c r="EG684" s="143">
        <v>0</v>
      </c>
      <c r="EH684" s="143">
        <v>0</v>
      </c>
      <c r="EI684" s="196">
        <v>0</v>
      </c>
      <c r="EK684" t="str">
        <f>IF(AND(AND(AND(OR($DX684=1,$DW684=1),OR($EC684=1,$EA684=1)),SUM($DV684:$DZ684,$EF684)&gt;=4),SUM($EA684:$EE684)&gt;=2),"Whole sector","")</f>
        <v>Whole sector</v>
      </c>
      <c r="EL684" t="str">
        <f>IF(AND(AND(OR($DX684=1,$DW684=1),AND($EC684=0,$EA684=0)),SUM($DV684:$DZ684,$EF684)&gt;=4),"Ecosystem approach","")</f>
        <v/>
      </c>
      <c r="EM684" s="2" t="str">
        <f>IF(AND(AND(AND($DX684=0,$DW684=0),OR($EC684=1,$EA684=1)),SUM($EB684:$EE684)&gt;=2),"Technology approach","")</f>
        <v/>
      </c>
      <c r="EP684" t="str">
        <f>IF(ISNUMBER(BU684),IF(ABS(BU684-[2]QC_indicators!$B$2)&gt;3*[2]QC_indicators!$C$2,"C ratio",IF(ISNUMBER(BY684),IF(ABS(BY684-[2]QC_indicators!$B$1)&gt;3*[2]QC_indicators!$C$1,"DF","no"))),IF(ISNUMBER(BY684),IF(ABS(BY684-[2]QC_indicators!$B$1)&gt;3*[2]QC_indicators!$C$1,"DF","no")))</f>
        <v>no</v>
      </c>
      <c r="ER684" s="149" t="s">
        <v>350</v>
      </c>
      <c r="ET684" s="266" t="s">
        <v>3237</v>
      </c>
    </row>
    <row r="685" spans="1:150" ht="15" hidden="1" customHeight="1">
      <c r="D685" t="s">
        <v>2233</v>
      </c>
      <c r="E685" t="s">
        <v>2234</v>
      </c>
      <c r="G685" t="s">
        <v>2235</v>
      </c>
      <c r="I685">
        <v>2015</v>
      </c>
      <c r="K685" t="s">
        <v>2236</v>
      </c>
      <c r="M685" t="str">
        <f>LEFT($D685,FIND(",",$D685)-1)&amp;"_"&amp;I685&amp;L685</f>
        <v>Repo_2015</v>
      </c>
      <c r="N685" t="s">
        <v>2585</v>
      </c>
      <c r="O685" s="145" t="s">
        <v>226</v>
      </c>
      <c r="Q685" t="s">
        <v>257</v>
      </c>
      <c r="R685" s="264" t="s">
        <v>224</v>
      </c>
      <c r="S685" s="1" t="s">
        <v>2231</v>
      </c>
      <c r="T685" t="s">
        <v>2237</v>
      </c>
      <c r="U685" t="s">
        <v>2242</v>
      </c>
      <c r="V685" s="143">
        <v>0</v>
      </c>
      <c r="W685" s="143">
        <v>0</v>
      </c>
      <c r="X685" s="143">
        <v>0</v>
      </c>
      <c r="Y685" s="143">
        <v>0</v>
      </c>
      <c r="Z685" s="143">
        <v>0</v>
      </c>
      <c r="AA685" s="143">
        <v>0</v>
      </c>
      <c r="AB685" s="143">
        <v>0</v>
      </c>
      <c r="AC685" s="143">
        <v>0</v>
      </c>
      <c r="AD685" s="143">
        <v>0</v>
      </c>
      <c r="AE685" s="143">
        <v>0</v>
      </c>
      <c r="AF685" s="143">
        <v>1</v>
      </c>
      <c r="AG685" s="143">
        <v>0</v>
      </c>
      <c r="AH685" s="143">
        <v>0</v>
      </c>
      <c r="AI685" s="143">
        <v>0</v>
      </c>
      <c r="AJ685" s="143">
        <v>0</v>
      </c>
      <c r="AK685" s="143">
        <v>0</v>
      </c>
      <c r="AL685" s="143">
        <v>0</v>
      </c>
      <c r="AM685" s="143">
        <v>0</v>
      </c>
      <c r="AN685" s="143">
        <v>0</v>
      </c>
      <c r="AO685" s="143">
        <v>0</v>
      </c>
      <c r="AP685" s="143">
        <v>0</v>
      </c>
      <c r="AQ685" s="143">
        <v>0</v>
      </c>
      <c r="AR685" s="143">
        <v>0</v>
      </c>
      <c r="AS685" s="143">
        <v>0</v>
      </c>
      <c r="AT685" s="143">
        <v>0</v>
      </c>
      <c r="AU685" s="143">
        <v>0</v>
      </c>
      <c r="AV685" s="143">
        <v>0</v>
      </c>
      <c r="AW685" s="143">
        <v>0</v>
      </c>
      <c r="AX685" s="141">
        <f>COUNTIF(V685:AW685,"&lt;&gt;0")</f>
        <v>1</v>
      </c>
      <c r="AY685" s="141">
        <f>COUNTIF(V685:AL685,"&lt;&gt;0")</f>
        <v>1</v>
      </c>
      <c r="AZ685">
        <f>COUNTIF(V685:AC685,"&lt;&gt;0")</f>
        <v>0</v>
      </c>
      <c r="BA685">
        <f>COUNTIF(AD685:AI685,"&lt;&gt;0")</f>
        <v>1</v>
      </c>
      <c r="BB685">
        <f>COUNTIF(AJ685:AL685,"&lt;&gt;0")</f>
        <v>0</v>
      </c>
      <c r="BC685">
        <f>COUNTIF(AS685:AW685,"&lt;&gt;0")</f>
        <v>0</v>
      </c>
      <c r="BD685">
        <f>COUNTIF(AM685:AR685,"&lt;&gt;0")</f>
        <v>0</v>
      </c>
      <c r="BE685" t="str">
        <f t="array" ref="BE685">IF(AY685=1,INDEX($V$7:$AL$7,MATCH(TRUE,INDEX($V685:$AW685&lt;&gt;0,),0)),IF(AY685=0,INDEX($AM$7:$AW$7,MATCH(1,$AM685:$AW685,0)),IF(BF685="Multiple strategies","mixed drivers",IF(BF685="Supply chain","multiple supply","multiple silviculture"))))</f>
        <v>supply chain organization</v>
      </c>
      <c r="BF685" s="2" t="str" cm="1">
        <f t="array" ref="BF685">IF(COUNTIF(AZ685:BB685,"&lt;&gt;0")=1,INDEX($V$4:$AW$4,MATCH(TRUE,INDEX($V685:$AW685&lt;&gt;0,),0)),IF(COUNTIF(AZ685:BB685,"&lt;&gt;0")=0,INDEX($AM$4:$AW$4,MATCH(1,$AM685:$AW685,0)),"Multiple strategies"))</f>
        <v>Supply chain</v>
      </c>
      <c r="BG685" s="1" t="s">
        <v>322</v>
      </c>
      <c r="BH685" t="s">
        <v>2239</v>
      </c>
      <c r="BI685" s="266" t="s">
        <v>425</v>
      </c>
      <c r="BJ685" s="266" t="s">
        <v>3236</v>
      </c>
      <c r="BK685">
        <v>63</v>
      </c>
      <c r="BL685">
        <v>63</v>
      </c>
      <c r="BN685">
        <f>BL685-BK685</f>
        <v>0</v>
      </c>
      <c r="BO685">
        <f>BN685*t_to_m3</f>
        <v>0</v>
      </c>
      <c r="BP685" t="s">
        <v>233</v>
      </c>
      <c r="BR685" t="s">
        <v>2240</v>
      </c>
      <c r="BU685" s="144"/>
      <c r="BV685">
        <v>-3.4000000000000002E-2</v>
      </c>
      <c r="BY685" t="str">
        <f>IFERROR(BX685/BO685,"")</f>
        <v/>
      </c>
      <c r="BZ685" s="143">
        <v>0</v>
      </c>
      <c r="CA685" s="143">
        <v>1</v>
      </c>
      <c r="CB685" s="143">
        <v>0</v>
      </c>
      <c r="CC685" s="143">
        <v>1</v>
      </c>
      <c r="CD685" s="143">
        <v>0</v>
      </c>
      <c r="CE685" s="143">
        <v>0</v>
      </c>
      <c r="CF685" s="143">
        <v>0</v>
      </c>
      <c r="CG685" s="143">
        <v>0</v>
      </c>
      <c r="CH685" s="143">
        <v>0</v>
      </c>
      <c r="CI685" s="143">
        <v>0</v>
      </c>
      <c r="CJ685" s="143">
        <v>0</v>
      </c>
      <c r="CK685" s="143">
        <v>0</v>
      </c>
      <c r="CL685" s="143">
        <v>0</v>
      </c>
      <c r="CM685" s="143">
        <v>0</v>
      </c>
      <c r="CN685" t="str">
        <f>IF(BL685&lt;BK685,"refNeedCorrection","refOK")</f>
        <v>refOK</v>
      </c>
      <c r="CO685">
        <f>IF($CN685="refOK",$BK685,$BL685)</f>
        <v>63</v>
      </c>
      <c r="CP685">
        <f>IF($CN685="refOK",$BL685,$BK685)</f>
        <v>63</v>
      </c>
      <c r="CQ685">
        <f>IF($CN685="refOK",$BO685,-$BO685)</f>
        <v>0</v>
      </c>
      <c r="CR685"/>
      <c r="CS685"/>
      <c r="CT685"/>
      <c r="CU685" t="str">
        <f>IFERROR(CT685/CQ685,"")</f>
        <v/>
      </c>
      <c r="CV685" s="2" t="str">
        <f>IFERROR((CS685-CR685)/ABS(CR685),"")</f>
        <v/>
      </c>
      <c r="CW685" s="1" t="s">
        <v>1205</v>
      </c>
      <c r="CX685" t="str">
        <f>IF(OR($CW685="prd",$CW685="std",$CW685="cit"),"loc",IF(OR($CW685="eur",$CW685="reg",$CW685="coy"),"reg",$CW685))</f>
        <v>reg</v>
      </c>
      <c r="CY685" t="s">
        <v>236</v>
      </c>
      <c r="CZ685">
        <v>2010</v>
      </c>
      <c r="DA685">
        <v>2110</v>
      </c>
      <c r="DB685" s="143">
        <f>DA685-CZ685</f>
        <v>100</v>
      </c>
      <c r="DC685" t="str">
        <f>IF(DB685=0,"0",IF(AND(DB685&gt;=1,DB685&lt;=30),"1-30",IF(AND(DB685&gt;30,DB685&lt;=70),"31-70",IF(AND(DB685&gt;70,DB685&lt;=100),"71-100",IF(DB685&gt;100,"+100")))))</f>
        <v>71-100</v>
      </c>
      <c r="DD685">
        <v>1</v>
      </c>
      <c r="DE685">
        <v>1</v>
      </c>
      <c r="DF685">
        <v>0</v>
      </c>
      <c r="DG685">
        <v>0</v>
      </c>
      <c r="DI685">
        <f>SUM(DD685:DG685)</f>
        <v>2</v>
      </c>
      <c r="DJ685" t="str">
        <f>IF(DI685=1,INDEX($DD$7:$DG$7,MATCH(1,$DD685:$DG685,0)),"mixedProduct")</f>
        <v>mixedProduct</v>
      </c>
      <c r="DK685" t="str">
        <f>IF(DD685=1,DK$7,0)</f>
        <v>Upstream</v>
      </c>
      <c r="DL685" t="str">
        <f>IF(DE685=1,DL$7,0)</f>
        <v>Energy</v>
      </c>
      <c r="DM685">
        <f>IF(DF685=1,DM$7,0)</f>
        <v>0</v>
      </c>
      <c r="DN685">
        <f>IF(DG685=1,DN$7,0)</f>
        <v>0</v>
      </c>
      <c r="DO685">
        <v>0</v>
      </c>
      <c r="DP685" s="143">
        <v>0</v>
      </c>
      <c r="DQ685" t="s">
        <v>2232</v>
      </c>
      <c r="DR685">
        <v>0</v>
      </c>
      <c r="DS685">
        <v>0</v>
      </c>
      <c r="DT685">
        <f>SUM(DO685:DP685)</f>
        <v>0</v>
      </c>
      <c r="DU685" s="143" t="str">
        <f>IF(DO685=1,"self-calculated DF",IF(DP685=1,"external DF used","explicit C balance"))</f>
        <v>explicit C balance</v>
      </c>
      <c r="DV685" s="143">
        <v>1</v>
      </c>
      <c r="DW685" s="143">
        <v>1</v>
      </c>
      <c r="DX685" s="143">
        <v>1</v>
      </c>
      <c r="DY685" s="143">
        <v>0</v>
      </c>
      <c r="DZ685" s="143">
        <v>1</v>
      </c>
      <c r="EA685" s="143">
        <v>0</v>
      </c>
      <c r="EB685" s="143">
        <v>1</v>
      </c>
      <c r="EC685" s="143">
        <v>1</v>
      </c>
      <c r="ED685" s="143">
        <v>0</v>
      </c>
      <c r="EE685" s="143">
        <v>0</v>
      </c>
      <c r="EF685" s="143">
        <v>0</v>
      </c>
      <c r="EG685" s="143">
        <v>0</v>
      </c>
      <c r="EH685" s="143">
        <v>0</v>
      </c>
      <c r="EI685" s="196">
        <v>0</v>
      </c>
      <c r="EK685" t="str">
        <f>IF(AND(AND(AND(OR($DX685=1,$DW685=1),OR($EC685=1,$EA685=1)),SUM($DV685:$DZ685,$EF685)&gt;=4),SUM($EA685:$EE685)&gt;=2),"Whole sector","")</f>
        <v>Whole sector</v>
      </c>
      <c r="EL685" t="str">
        <f>IF(AND(AND(OR($DX685=1,$DW685=1),AND($EC685=0,$EA685=0)),SUM($DV685:$DZ685,$EF685)&gt;=4),"Ecosystem approach","")</f>
        <v/>
      </c>
      <c r="EM685" s="2" t="str">
        <f>IF(AND(AND(AND($DX685=0,$DW685=0),OR($EC685=1,$EA685=1)),SUM($EB685:$EE685)&gt;=2),"Technology approach","")</f>
        <v/>
      </c>
      <c r="EP685" t="b">
        <f>IF(ISNUMBER(BU685),IF(ABS(BU685-[2]QC_indicators!$B$2)&gt;3*[2]QC_indicators!$C$2,"C ratio",IF(ISNUMBER(BY685),IF(ABS(BY685-[2]QC_indicators!$B$1)&gt;3*[2]QC_indicators!$C$1,"DF","no"))),IF(ISNUMBER(BY685),IF(ABS(BY685-[2]QC_indicators!$B$1)&gt;3*[2]QC_indicators!$C$1,"DF","no")))</f>
        <v>0</v>
      </c>
      <c r="ER685" s="149" t="s">
        <v>350</v>
      </c>
      <c r="ET685" s="266" t="s">
        <v>3237</v>
      </c>
    </row>
    <row r="686" spans="1:150" ht="15" hidden="1" customHeight="1">
      <c r="D686" t="s">
        <v>2233</v>
      </c>
      <c r="E686" t="s">
        <v>2234</v>
      </c>
      <c r="G686" t="s">
        <v>2235</v>
      </c>
      <c r="I686">
        <v>2015</v>
      </c>
      <c r="K686" t="s">
        <v>2236</v>
      </c>
      <c r="M686" t="str">
        <f>LEFT($D686,FIND(",",$D686)-1)&amp;"_"&amp;I686&amp;L686</f>
        <v>Repo_2015</v>
      </c>
      <c r="N686" t="s">
        <v>2585</v>
      </c>
      <c r="O686" s="145" t="s">
        <v>226</v>
      </c>
      <c r="Q686" t="s">
        <v>257</v>
      </c>
      <c r="R686" s="264" t="s">
        <v>224</v>
      </c>
      <c r="S686" s="1" t="s">
        <v>2231</v>
      </c>
      <c r="T686" t="s">
        <v>2237</v>
      </c>
      <c r="U686" t="s">
        <v>2243</v>
      </c>
      <c r="V686" s="143">
        <v>0</v>
      </c>
      <c r="W686" s="143">
        <v>0</v>
      </c>
      <c r="X686" s="143">
        <v>0</v>
      </c>
      <c r="Y686" s="143">
        <v>0</v>
      </c>
      <c r="Z686" s="143">
        <v>0</v>
      </c>
      <c r="AA686" s="143">
        <v>0</v>
      </c>
      <c r="AB686" s="143">
        <v>0</v>
      </c>
      <c r="AC686" s="143">
        <v>0</v>
      </c>
      <c r="AD686" s="143">
        <v>0</v>
      </c>
      <c r="AE686" s="143">
        <v>0</v>
      </c>
      <c r="AF686" s="143">
        <v>1</v>
      </c>
      <c r="AG686" s="143">
        <v>0</v>
      </c>
      <c r="AH686" s="143">
        <v>0</v>
      </c>
      <c r="AI686" s="143">
        <v>0</v>
      </c>
      <c r="AJ686" s="143">
        <v>0</v>
      </c>
      <c r="AK686" s="143">
        <v>0</v>
      </c>
      <c r="AL686" s="143">
        <v>0</v>
      </c>
      <c r="AM686" s="143">
        <v>0</v>
      </c>
      <c r="AN686" s="143">
        <v>0</v>
      </c>
      <c r="AO686" s="143">
        <v>0</v>
      </c>
      <c r="AP686" s="143">
        <v>0</v>
      </c>
      <c r="AQ686" s="143">
        <v>0</v>
      </c>
      <c r="AR686" s="143">
        <v>0</v>
      </c>
      <c r="AS686" s="143">
        <v>0</v>
      </c>
      <c r="AT686" s="143">
        <v>0</v>
      </c>
      <c r="AU686" s="143">
        <v>0</v>
      </c>
      <c r="AV686" s="143">
        <v>0</v>
      </c>
      <c r="AW686" s="143">
        <v>0</v>
      </c>
      <c r="AX686" s="141">
        <f>COUNTIF(V686:AW686,"&lt;&gt;0")</f>
        <v>1</v>
      </c>
      <c r="AY686" s="141">
        <f>COUNTIF(V686:AL686,"&lt;&gt;0")</f>
        <v>1</v>
      </c>
      <c r="AZ686">
        <f>COUNTIF(V686:AC686,"&lt;&gt;0")</f>
        <v>0</v>
      </c>
      <c r="BA686">
        <f>COUNTIF(AD686:AI686,"&lt;&gt;0")</f>
        <v>1</v>
      </c>
      <c r="BB686">
        <f>COUNTIF(AJ686:AL686,"&lt;&gt;0")</f>
        <v>0</v>
      </c>
      <c r="BC686">
        <f>COUNTIF(AS686:AW686,"&lt;&gt;0")</f>
        <v>0</v>
      </c>
      <c r="BD686">
        <f>COUNTIF(AM686:AR686,"&lt;&gt;0")</f>
        <v>0</v>
      </c>
      <c r="BE686" t="str">
        <f t="array" ref="BE686">IF(AY686=1,INDEX($V$7:$AL$7,MATCH(TRUE,INDEX($V686:$AW686&lt;&gt;0,),0)),IF(AY686=0,INDEX($AM$7:$AW$7,MATCH(1,$AM686:$AW686,0)),IF(BF686="Multiple strategies","mixed drivers",IF(BF686="Supply chain","multiple supply","multiple silviculture"))))</f>
        <v>supply chain organization</v>
      </c>
      <c r="BF686" s="2" t="str" cm="1">
        <f t="array" ref="BF686">IF(COUNTIF(AZ686:BB686,"&lt;&gt;0")=1,INDEX($V$4:$AW$4,MATCH(TRUE,INDEX($V686:$AW686&lt;&gt;0,),0)),IF(COUNTIF(AZ686:BB686,"&lt;&gt;0")=0,INDEX($AM$4:$AW$4,MATCH(1,$AM686:$AW686,0)),"Multiple strategies"))</f>
        <v>Supply chain</v>
      </c>
      <c r="BG686" s="1" t="s">
        <v>322</v>
      </c>
      <c r="BH686" t="s">
        <v>2239</v>
      </c>
      <c r="BI686" s="266" t="s">
        <v>425</v>
      </c>
      <c r="BJ686" s="266" t="s">
        <v>3236</v>
      </c>
      <c r="BK686">
        <v>63</v>
      </c>
      <c r="BL686">
        <v>63</v>
      </c>
      <c r="BN686">
        <f>BL686-BK686</f>
        <v>0</v>
      </c>
      <c r="BO686">
        <f>BN686*t_to_m3</f>
        <v>0</v>
      </c>
      <c r="BP686" t="s">
        <v>233</v>
      </c>
      <c r="BR686" t="s">
        <v>2240</v>
      </c>
      <c r="BU686" s="144"/>
      <c r="BV686">
        <v>2.7E-2</v>
      </c>
      <c r="BY686" t="str">
        <f>IFERROR(BX686/BO686,"")</f>
        <v/>
      </c>
      <c r="BZ686" s="143">
        <v>0</v>
      </c>
      <c r="CA686" s="143">
        <v>1</v>
      </c>
      <c r="CB686" s="143">
        <v>0</v>
      </c>
      <c r="CC686" s="143">
        <v>1</v>
      </c>
      <c r="CD686" s="143">
        <v>0</v>
      </c>
      <c r="CE686" s="143">
        <v>0</v>
      </c>
      <c r="CF686" s="143">
        <v>0</v>
      </c>
      <c r="CG686" s="143">
        <v>0</v>
      </c>
      <c r="CH686" s="143">
        <v>0</v>
      </c>
      <c r="CI686" s="143">
        <v>0</v>
      </c>
      <c r="CJ686" s="143">
        <v>0</v>
      </c>
      <c r="CK686" s="143">
        <v>0</v>
      </c>
      <c r="CL686" s="143">
        <v>0</v>
      </c>
      <c r="CM686" s="143">
        <v>0</v>
      </c>
      <c r="CN686" t="str">
        <f>IF(BL686&lt;BK686,"refNeedCorrection","refOK")</f>
        <v>refOK</v>
      </c>
      <c r="CO686">
        <f>IF($CN686="refOK",$BK686,$BL686)</f>
        <v>63</v>
      </c>
      <c r="CP686">
        <f>IF($CN686="refOK",$BL686,$BK686)</f>
        <v>63</v>
      </c>
      <c r="CQ686">
        <f>IF($CN686="refOK",$BO686,-$BO686)</f>
        <v>0</v>
      </c>
      <c r="CR686"/>
      <c r="CS686"/>
      <c r="CT686"/>
      <c r="CU686" t="str">
        <f>IFERROR(CT686/CQ686,"")</f>
        <v/>
      </c>
      <c r="CV686" s="2" t="str">
        <f>IFERROR((CS686-CR686)/ABS(CR686),"")</f>
        <v/>
      </c>
      <c r="CW686" s="1" t="s">
        <v>1205</v>
      </c>
      <c r="CX686" t="str">
        <f>IF(OR($CW686="prd",$CW686="std",$CW686="cit"),"loc",IF(OR($CW686="eur",$CW686="reg",$CW686="coy"),"reg",$CW686))</f>
        <v>reg</v>
      </c>
      <c r="CY686" t="s">
        <v>236</v>
      </c>
      <c r="CZ686">
        <v>2010</v>
      </c>
      <c r="DA686">
        <v>2110</v>
      </c>
      <c r="DB686" s="143">
        <f>DA686-CZ686</f>
        <v>100</v>
      </c>
      <c r="DC686" t="str">
        <f>IF(DB686=0,"0",IF(AND(DB686&gt;=1,DB686&lt;=30),"1-30",IF(AND(DB686&gt;30,DB686&lt;=70),"31-70",IF(AND(DB686&gt;70,DB686&lt;=100),"71-100",IF(DB686&gt;100,"+100")))))</f>
        <v>71-100</v>
      </c>
      <c r="DD686">
        <v>1</v>
      </c>
      <c r="DE686">
        <v>1</v>
      </c>
      <c r="DF686">
        <v>0</v>
      </c>
      <c r="DG686">
        <v>0</v>
      </c>
      <c r="DI686">
        <f>SUM(DD686:DG686)</f>
        <v>2</v>
      </c>
      <c r="DJ686" t="str">
        <f>IF(DI686=1,INDEX($DD$7:$DG$7,MATCH(1,$DD686:$DG686,0)),"mixedProduct")</f>
        <v>mixedProduct</v>
      </c>
      <c r="DK686" t="str">
        <f>IF(DD686=1,DK$7,0)</f>
        <v>Upstream</v>
      </c>
      <c r="DL686" t="str">
        <f>IF(DE686=1,DL$7,0)</f>
        <v>Energy</v>
      </c>
      <c r="DM686">
        <f>IF(DF686=1,DM$7,0)</f>
        <v>0</v>
      </c>
      <c r="DN686">
        <f>IF(DG686=1,DN$7,0)</f>
        <v>0</v>
      </c>
      <c r="DO686">
        <v>0</v>
      </c>
      <c r="DP686" s="143">
        <v>0</v>
      </c>
      <c r="DQ686" t="s">
        <v>2244</v>
      </c>
      <c r="DR686">
        <v>0</v>
      </c>
      <c r="DS686">
        <v>0</v>
      </c>
      <c r="DT686">
        <f>SUM(DO686:DP686)</f>
        <v>0</v>
      </c>
      <c r="DU686" s="143" t="str">
        <f>IF(DO686=1,"self-calculated DF",IF(DP686=1,"external DF used","explicit C balance"))</f>
        <v>explicit C balance</v>
      </c>
      <c r="DV686" s="143">
        <v>1</v>
      </c>
      <c r="DW686" s="143">
        <v>1</v>
      </c>
      <c r="DX686" s="143">
        <v>1</v>
      </c>
      <c r="DY686" s="143">
        <v>0</v>
      </c>
      <c r="DZ686" s="143">
        <v>1</v>
      </c>
      <c r="EA686" s="143">
        <v>0</v>
      </c>
      <c r="EB686" s="143">
        <v>1</v>
      </c>
      <c r="EC686" s="143">
        <v>1</v>
      </c>
      <c r="ED686" s="143">
        <v>0</v>
      </c>
      <c r="EE686" s="143">
        <v>0</v>
      </c>
      <c r="EF686" s="143">
        <v>0</v>
      </c>
      <c r="EG686" s="143">
        <v>0</v>
      </c>
      <c r="EH686" s="143">
        <v>0</v>
      </c>
      <c r="EI686" s="196">
        <v>0</v>
      </c>
      <c r="EK686" t="str">
        <f>IF(AND(AND(AND(OR($DX686=1,$DW686=1),OR($EC686=1,$EA686=1)),SUM($DV686:$DZ686,$EF686)&gt;=4),SUM($EA686:$EE686)&gt;=2),"Whole sector","")</f>
        <v>Whole sector</v>
      </c>
      <c r="EL686" t="str">
        <f>IF(AND(AND(OR($DX686=1,$DW686=1),AND($EC686=0,$EA686=0)),SUM($DV686:$DZ686,$EF686)&gt;=4),"Ecosystem approach","")</f>
        <v/>
      </c>
      <c r="EM686" s="2" t="str">
        <f>IF(AND(AND(AND($DX686=0,$DW686=0),OR($EC686=1,$EA686=1)),SUM($EB686:$EE686)&gt;=2),"Technology approach","")</f>
        <v/>
      </c>
      <c r="EP686" t="b">
        <f>IF(ISNUMBER(BU686),IF(ABS(BU686-[2]QC_indicators!$B$2)&gt;3*[2]QC_indicators!$C$2,"C ratio",IF(ISNUMBER(BY686),IF(ABS(BY686-[2]QC_indicators!$B$1)&gt;3*[2]QC_indicators!$C$1,"DF","no"))),IF(ISNUMBER(BY686),IF(ABS(BY686-[2]QC_indicators!$B$1)&gt;3*[2]QC_indicators!$C$1,"DF","no")))</f>
        <v>0</v>
      </c>
      <c r="ER686" s="149" t="s">
        <v>350</v>
      </c>
      <c r="ET686" s="266" t="s">
        <v>3237</v>
      </c>
    </row>
    <row r="687" spans="1:150" ht="15" hidden="1" customHeight="1">
      <c r="A687" s="1" t="s">
        <v>266</v>
      </c>
      <c r="B687" t="s">
        <v>1533</v>
      </c>
      <c r="C687" t="s">
        <v>1534</v>
      </c>
      <c r="D687" t="s">
        <v>1535</v>
      </c>
      <c r="E687" t="s">
        <v>1536</v>
      </c>
      <c r="F687" t="s">
        <v>1537</v>
      </c>
      <c r="G687" t="s">
        <v>272</v>
      </c>
      <c r="H687" t="s">
        <v>255</v>
      </c>
      <c r="I687">
        <v>2019</v>
      </c>
      <c r="J687">
        <v>26</v>
      </c>
      <c r="K687" t="s">
        <v>1538</v>
      </c>
      <c r="M687" t="str">
        <f>LEFT($D687,FIND(",",$D687)-1)&amp;"_"&amp;I687&amp;L687</f>
        <v>Faraca_2019</v>
      </c>
      <c r="N687" t="s">
        <v>223</v>
      </c>
      <c r="O687" s="145" t="s">
        <v>275</v>
      </c>
      <c r="P687" s="180" t="s">
        <v>224</v>
      </c>
      <c r="Q687" t="s">
        <v>257</v>
      </c>
      <c r="R687" s="264" t="s">
        <v>224</v>
      </c>
      <c r="S687" s="1" t="s">
        <v>1544</v>
      </c>
      <c r="T687" s="266" t="s">
        <v>3129</v>
      </c>
      <c r="U687" s="266" t="s">
        <v>3130</v>
      </c>
      <c r="V687">
        <v>0</v>
      </c>
      <c r="W687">
        <v>0</v>
      </c>
      <c r="X687">
        <v>0</v>
      </c>
      <c r="Y687">
        <v>0</v>
      </c>
      <c r="Z687">
        <v>0</v>
      </c>
      <c r="AA687">
        <v>0</v>
      </c>
      <c r="AB687">
        <v>0</v>
      </c>
      <c r="AC687">
        <v>0</v>
      </c>
      <c r="AD687">
        <v>0</v>
      </c>
      <c r="AE687">
        <v>0</v>
      </c>
      <c r="AF687">
        <v>0</v>
      </c>
      <c r="AG687">
        <v>0</v>
      </c>
      <c r="AH687">
        <v>0</v>
      </c>
      <c r="AI687">
        <v>1</v>
      </c>
      <c r="AJ687">
        <v>0</v>
      </c>
      <c r="AK687">
        <v>0</v>
      </c>
      <c r="AL687">
        <v>0</v>
      </c>
      <c r="AM687">
        <v>0</v>
      </c>
      <c r="AN687">
        <v>0</v>
      </c>
      <c r="AO687">
        <v>0</v>
      </c>
      <c r="AP687">
        <v>0</v>
      </c>
      <c r="AQ687">
        <v>0</v>
      </c>
      <c r="AR687">
        <v>0</v>
      </c>
      <c r="AS687">
        <v>0</v>
      </c>
      <c r="AT687">
        <v>0</v>
      </c>
      <c r="AU687">
        <v>0</v>
      </c>
      <c r="AV687">
        <v>0</v>
      </c>
      <c r="AW687">
        <v>0</v>
      </c>
      <c r="AX687" s="141">
        <f>COUNTIF(V687:AW687,"&lt;&gt;0")</f>
        <v>1</v>
      </c>
      <c r="AY687" s="141">
        <f>COUNTIF(V687:AL687,"&lt;&gt;0")</f>
        <v>1</v>
      </c>
      <c r="AZ687">
        <f>COUNTIF(V687:AC687,"&lt;&gt;0")</f>
        <v>0</v>
      </c>
      <c r="BA687">
        <f>COUNTIF(AD687:AI687,"&lt;&gt;0")</f>
        <v>1</v>
      </c>
      <c r="BB687">
        <f>COUNTIF(AJ687:AL687,"&lt;&gt;0")</f>
        <v>0</v>
      </c>
      <c r="BC687">
        <f>COUNTIF(AS687:AW687,"&lt;&gt;0")</f>
        <v>0</v>
      </c>
      <c r="BD687">
        <f>COUNTIF(AM687:AR687,"&lt;&gt;0")</f>
        <v>0</v>
      </c>
      <c r="BE687" t="str">
        <f t="array" ref="BE687">IF(AY687=1,INDEX($V$7:$AL$7,MATCH(TRUE,INDEX($V687:$AW687&lt;&gt;0,),0)),IF(AY687=0,INDEX($AM$7:$AW$7,MATCH(1,$AM687:$AW687,0)),IF(BF687="Multiple strategies","mixed drivers",IF(BF687="Supply chain","multiple supply","multiple silviculture"))))</f>
        <v>products lifespan</v>
      </c>
      <c r="BF687" s="2" t="str" cm="1">
        <f t="array" ref="BF687">IF(COUNTIF(AZ687:BB687,"&lt;&gt;0")=1,INDEX($V$4:$AW$4,MATCH(TRUE,INDEX($V687:$AW687&lt;&gt;0,),0)),IF(COUNTIF(AZ687:BB687,"&lt;&gt;0")=0,INDEX($AM$4:$AW$4,MATCH(1,$AM687:$AW687,0)),"Multiple strategies"))</f>
        <v>Supply chain</v>
      </c>
      <c r="BG687" s="1" t="s">
        <v>230</v>
      </c>
      <c r="BH687" t="s">
        <v>1550</v>
      </c>
      <c r="BI687" s="266" t="s">
        <v>3123</v>
      </c>
      <c r="BJ687" t="s">
        <v>346</v>
      </c>
      <c r="BK687">
        <v>478</v>
      </c>
      <c r="BL687">
        <v>638</v>
      </c>
      <c r="BM687">
        <v>1</v>
      </c>
      <c r="BN687">
        <f>BL687-BK687</f>
        <v>160</v>
      </c>
      <c r="BO687">
        <f>BN687*kg_to_m3</f>
        <v>0.32653061224489799</v>
      </c>
      <c r="BP687" t="s">
        <v>396</v>
      </c>
      <c r="BQ687" t="s">
        <v>427</v>
      </c>
      <c r="BR687" t="s">
        <v>730</v>
      </c>
      <c r="BS687">
        <v>115.2</v>
      </c>
      <c r="BT687">
        <v>132.19999999999999</v>
      </c>
      <c r="BU687" s="144"/>
      <c r="BV687">
        <f>BT687-BS687</f>
        <v>16.999999999999986</v>
      </c>
      <c r="BX687">
        <f>BV687/1000</f>
        <v>1.6999999999999987E-2</v>
      </c>
      <c r="BY687">
        <f>IFERROR(BX687/BO687,"")</f>
        <v>5.2062499999999956E-2</v>
      </c>
      <c r="BZ687">
        <v>0</v>
      </c>
      <c r="CA687">
        <v>0</v>
      </c>
      <c r="CB687">
        <v>0</v>
      </c>
      <c r="CC687">
        <v>0</v>
      </c>
      <c r="CD687">
        <v>0</v>
      </c>
      <c r="CE687">
        <v>0</v>
      </c>
      <c r="CF687">
        <v>0</v>
      </c>
      <c r="CG687">
        <v>0</v>
      </c>
      <c r="CH687">
        <v>0</v>
      </c>
      <c r="CI687">
        <v>0</v>
      </c>
      <c r="CJ687">
        <v>0</v>
      </c>
      <c r="CK687">
        <v>0</v>
      </c>
      <c r="CL687">
        <v>0</v>
      </c>
      <c r="CM687">
        <v>0</v>
      </c>
      <c r="CN687" t="str">
        <f>IF($BL687&lt;$BK687,"refNeedCorrection","refOK")</f>
        <v>refOK</v>
      </c>
      <c r="CO687">
        <f>IF($CN687="refNeedCorrection",BK687,BL687)</f>
        <v>638</v>
      </c>
      <c r="CP687">
        <f>IF($CN687="refNeedCorrection",BL687,BK687)</f>
        <v>478</v>
      </c>
      <c r="CQ687">
        <f>IF($CN687="refOK",$BO687,-$BO687)</f>
        <v>0.32653061224489799</v>
      </c>
      <c r="CR687">
        <f>IF($CN687="refOK",$BS687,$BT687)*IF($BP687="Emissions positive",-1,1)</f>
        <v>-115.2</v>
      </c>
      <c r="CS687">
        <f>IF($CN687="refOK",$BT687,$BS687)*IF($BP687="Emissions positive",-1,1)</f>
        <v>-132.19999999999999</v>
      </c>
      <c r="CT687">
        <f>IF($CN687="refNeedCorrection",-BX687,BX687)*IF($BP687="Emissions positive",-1,1)</f>
        <v>-1.6999999999999987E-2</v>
      </c>
      <c r="CU687">
        <f>IFERROR(CT687/CQ687,"")</f>
        <v>-5.2062499999999956E-2</v>
      </c>
      <c r="CV687" s="2">
        <f>IFERROR((CS687-CR687)/ABS(CR687),"")</f>
        <v>-0.14756944444444431</v>
      </c>
      <c r="CW687" s="1" t="s">
        <v>1201</v>
      </c>
      <c r="CX687" t="str">
        <f>IF(OR($CW687="prd",$CW687="std",$CW687="cit"),"loc",IF(OR($CW687="eur",$CW687="reg",$CW687="coy"),"reg",$CW687))</f>
        <v>reg</v>
      </c>
      <c r="CY687" t="s">
        <v>1542</v>
      </c>
      <c r="DB687">
        <v>100</v>
      </c>
      <c r="DC687" t="str">
        <f>IF(DB687=0,"0",IF(AND(DB687&gt;=1,DB687&lt;=30),"1-30",IF(AND(DB687&gt;30,DB687&lt;=70),"31-70",IF(AND(DB687&gt;70,DB687&lt;=100),"71-100",IF(DB687&gt;100,"+100")))))</f>
        <v>71-100</v>
      </c>
      <c r="DD687">
        <v>0</v>
      </c>
      <c r="DE687">
        <v>0</v>
      </c>
      <c r="DF687">
        <v>0</v>
      </c>
      <c r="DG687">
        <v>1</v>
      </c>
      <c r="DI687">
        <f>SUM(DD687:DG687)</f>
        <v>1</v>
      </c>
      <c r="DJ687" t="str">
        <f>IF(DI687=1,INDEX($DD$7:$DG$7,MATCH(1,$DD687:$DG687,0)),"mixedProduct")</f>
        <v>TimberInput</v>
      </c>
      <c r="DK687">
        <f>IF(DD687=1,DK$7,0)</f>
        <v>0</v>
      </c>
      <c r="DL687">
        <f>IF(DE687=1,DL$7,0)</f>
        <v>0</v>
      </c>
      <c r="DM687">
        <f>IF(DF687=1,DM$7,0)</f>
        <v>0</v>
      </c>
      <c r="DN687" t="str">
        <f>IF(DG687=1,DN$7,0)</f>
        <v>Timber</v>
      </c>
      <c r="DO687">
        <v>0</v>
      </c>
      <c r="DP687">
        <v>0</v>
      </c>
      <c r="DQ687">
        <v>0</v>
      </c>
      <c r="DR687">
        <v>0</v>
      </c>
      <c r="DS687">
        <v>0</v>
      </c>
      <c r="DT687">
        <f>SUM(DO687:DP687)</f>
        <v>0</v>
      </c>
      <c r="DU687" s="143" t="str">
        <f>IF(DO687=1,"self-calculated DF",IF(DP687=1,"external DF used","explicit C balance"))</f>
        <v>explicit C balance</v>
      </c>
      <c r="DV687">
        <v>0</v>
      </c>
      <c r="DW687">
        <v>0</v>
      </c>
      <c r="DX687">
        <v>0</v>
      </c>
      <c r="DY687">
        <v>0</v>
      </c>
      <c r="DZ687">
        <v>0</v>
      </c>
      <c r="EA687" s="143">
        <v>0</v>
      </c>
      <c r="EB687">
        <v>0</v>
      </c>
      <c r="EC687">
        <v>1</v>
      </c>
      <c r="ED687">
        <v>0</v>
      </c>
      <c r="EE687">
        <v>1</v>
      </c>
      <c r="EF687">
        <v>1</v>
      </c>
      <c r="EG687">
        <v>1</v>
      </c>
      <c r="EH687">
        <v>0</v>
      </c>
      <c r="EI687" s="2">
        <v>0</v>
      </c>
      <c r="EK687" t="str">
        <f>IF(AND(AND(AND(OR($DX687=1,$DW687=1),OR($EC687=1,$EA687=1)),SUM($DV687:$DZ687,$EF687)&gt;=4),SUM($EA687:$EE687)&gt;=2),"Whole sector","")</f>
        <v/>
      </c>
      <c r="EL687" t="str">
        <f>IF(AND(AND(OR($DX687=1,$DW687=1),AND($EC687=0,$EA687=0)),SUM($DV687:$DZ687,$EF687)&gt;=4),"Ecosystem approach","")</f>
        <v/>
      </c>
      <c r="EM687" s="2" t="str">
        <f>IF(AND(AND(AND($DX687=0,$DW687=0),OR($EC687=1,$EA687=1)),SUM($EB687:$EE687)&gt;=2),"Technology approach","")</f>
        <v>Technology approach</v>
      </c>
      <c r="EP687" t="str">
        <f>IF(ISNUMBER(BU687),IF(ABS(BU687-[2]QC_indicators!$B$2)&gt;3*[2]QC_indicators!$C$2,"C ratio",IF(ISNUMBER(BY687),IF(ABS(BY687-[2]QC_indicators!$B$1)&gt;3*[2]QC_indicators!$C$1,"DF","no"))),IF(ISNUMBER(BY687),IF(ABS(BY687-[2]QC_indicators!$B$1)&gt;3*[2]QC_indicators!$C$1,"DF","no")))</f>
        <v>no</v>
      </c>
      <c r="ET687" s="266" t="s">
        <v>3275</v>
      </c>
    </row>
    <row r="688" spans="1:150" ht="15" hidden="1" customHeight="1">
      <c r="A688" s="1" t="s">
        <v>266</v>
      </c>
      <c r="B688" t="s">
        <v>1533</v>
      </c>
      <c r="C688" t="s">
        <v>1534</v>
      </c>
      <c r="D688" t="s">
        <v>1535</v>
      </c>
      <c r="E688" t="s">
        <v>1536</v>
      </c>
      <c r="F688" t="s">
        <v>1537</v>
      </c>
      <c r="G688" t="s">
        <v>272</v>
      </c>
      <c r="H688" t="s">
        <v>255</v>
      </c>
      <c r="I688">
        <v>2019</v>
      </c>
      <c r="J688">
        <v>26</v>
      </c>
      <c r="K688" t="s">
        <v>1538</v>
      </c>
      <c r="M688" t="str">
        <f>LEFT($D688,FIND(",",$D688)-1)&amp;"_"&amp;I688&amp;L688</f>
        <v>Faraca_2019</v>
      </c>
      <c r="N688" t="s">
        <v>223</v>
      </c>
      <c r="O688" s="145" t="s">
        <v>275</v>
      </c>
      <c r="P688" s="180" t="s">
        <v>224</v>
      </c>
      <c r="Q688" t="s">
        <v>257</v>
      </c>
      <c r="R688" s="264" t="s">
        <v>224</v>
      </c>
      <c r="S688" s="1" t="s">
        <v>1544</v>
      </c>
      <c r="T688" s="266" t="s">
        <v>3129</v>
      </c>
      <c r="U688" s="266" t="s">
        <v>3131</v>
      </c>
      <c r="V688">
        <v>0</v>
      </c>
      <c r="W688">
        <v>0</v>
      </c>
      <c r="X688">
        <v>0</v>
      </c>
      <c r="Y688">
        <v>0</v>
      </c>
      <c r="Z688">
        <v>0</v>
      </c>
      <c r="AA688">
        <v>0</v>
      </c>
      <c r="AB688">
        <v>0</v>
      </c>
      <c r="AC688">
        <v>0</v>
      </c>
      <c r="AD688">
        <v>0</v>
      </c>
      <c r="AE688">
        <v>0</v>
      </c>
      <c r="AF688">
        <v>0</v>
      </c>
      <c r="AG688">
        <v>0</v>
      </c>
      <c r="AH688">
        <v>0</v>
      </c>
      <c r="AI688">
        <v>1</v>
      </c>
      <c r="AJ688">
        <v>0</v>
      </c>
      <c r="AK688">
        <v>0</v>
      </c>
      <c r="AL688">
        <v>0</v>
      </c>
      <c r="AM688">
        <v>0</v>
      </c>
      <c r="AN688">
        <v>0</v>
      </c>
      <c r="AO688">
        <v>0</v>
      </c>
      <c r="AP688">
        <v>0</v>
      </c>
      <c r="AQ688">
        <v>0</v>
      </c>
      <c r="AR688">
        <v>0</v>
      </c>
      <c r="AS688">
        <v>0</v>
      </c>
      <c r="AT688">
        <v>0</v>
      </c>
      <c r="AU688">
        <v>0</v>
      </c>
      <c r="AV688">
        <v>0</v>
      </c>
      <c r="AW688">
        <v>0</v>
      </c>
      <c r="AX688" s="141">
        <f>COUNTIF(V688:AW688,"&lt;&gt;0")</f>
        <v>1</v>
      </c>
      <c r="AY688" s="141">
        <f>COUNTIF(V688:AL688,"&lt;&gt;0")</f>
        <v>1</v>
      </c>
      <c r="AZ688">
        <f>COUNTIF(V688:AC688,"&lt;&gt;0")</f>
        <v>0</v>
      </c>
      <c r="BA688">
        <f>COUNTIF(AD688:AI688,"&lt;&gt;0")</f>
        <v>1</v>
      </c>
      <c r="BB688">
        <f>COUNTIF(AJ688:AL688,"&lt;&gt;0")</f>
        <v>0</v>
      </c>
      <c r="BC688">
        <f>COUNTIF(AS688:AW688,"&lt;&gt;0")</f>
        <v>0</v>
      </c>
      <c r="BD688">
        <f>COUNTIF(AM688:AR688,"&lt;&gt;0")</f>
        <v>0</v>
      </c>
      <c r="BE688" t="str">
        <f t="array" ref="BE688">IF(AY688=1,INDEX($V$7:$AL$7,MATCH(TRUE,INDEX($V688:$AW688&lt;&gt;0,),0)),IF(AY688=0,INDEX($AM$7:$AW$7,MATCH(1,$AM688:$AW688,0)),IF(BF688="Multiple strategies","mixed drivers",IF(BF688="Supply chain","multiple supply","multiple silviculture"))))</f>
        <v>products lifespan</v>
      </c>
      <c r="BF688" s="2" t="str" cm="1">
        <f t="array" ref="BF688">IF(COUNTIF(AZ688:BB688,"&lt;&gt;0")=1,INDEX($V$4:$AW$4,MATCH(TRUE,INDEX($V688:$AW688&lt;&gt;0,),0)),IF(COUNTIF(AZ688:BB688,"&lt;&gt;0")=0,INDEX($AM$4:$AW$4,MATCH(1,$AM688:$AW688,0)),"Multiple strategies"))</f>
        <v>Supply chain</v>
      </c>
      <c r="BG688" s="1" t="s">
        <v>230</v>
      </c>
      <c r="BH688" t="s">
        <v>1550</v>
      </c>
      <c r="BI688" s="266" t="s">
        <v>3123</v>
      </c>
      <c r="BJ688" t="s">
        <v>346</v>
      </c>
      <c r="BK688">
        <v>478</v>
      </c>
      <c r="BL688">
        <v>922</v>
      </c>
      <c r="BM688">
        <f>BK688/BL688</f>
        <v>0.51843817787418656</v>
      </c>
      <c r="BN688">
        <f>BL688-BK688</f>
        <v>444</v>
      </c>
      <c r="BO688">
        <f>BN688*kg_to_m3</f>
        <v>0.90612244897959193</v>
      </c>
      <c r="BP688" t="s">
        <v>396</v>
      </c>
      <c r="BQ688" t="s">
        <v>427</v>
      </c>
      <c r="BR688" t="s">
        <v>730</v>
      </c>
      <c r="BS688">
        <v>115.3</v>
      </c>
      <c r="BT688">
        <v>206.8</v>
      </c>
      <c r="BU688" s="144"/>
      <c r="BV688">
        <f>BT688-BS688</f>
        <v>91.500000000000014</v>
      </c>
      <c r="BX688">
        <f>BV688/1000</f>
        <v>9.1500000000000012E-2</v>
      </c>
      <c r="BY688">
        <f>IFERROR(BX688/BO688,"")</f>
        <v>0.10097972972972973</v>
      </c>
      <c r="BZ688">
        <v>0</v>
      </c>
      <c r="CA688">
        <v>0</v>
      </c>
      <c r="CB688">
        <v>0</v>
      </c>
      <c r="CC688">
        <v>0</v>
      </c>
      <c r="CD688">
        <v>0</v>
      </c>
      <c r="CE688">
        <v>0</v>
      </c>
      <c r="CF688">
        <v>0</v>
      </c>
      <c r="CG688">
        <v>0</v>
      </c>
      <c r="CH688">
        <v>0</v>
      </c>
      <c r="CI688">
        <v>0</v>
      </c>
      <c r="CJ688">
        <v>0</v>
      </c>
      <c r="CK688">
        <v>0</v>
      </c>
      <c r="CL688">
        <v>0</v>
      </c>
      <c r="CM688">
        <v>0</v>
      </c>
      <c r="CN688" t="str">
        <f>IF($BL688&lt;$BK688,"refNeedCorrection","refOK")</f>
        <v>refOK</v>
      </c>
      <c r="CO688">
        <f>IF($CN688="refNeedCorrection",BL688,BK688)</f>
        <v>478</v>
      </c>
      <c r="CP688">
        <f>IF($CN688="refNeedCorrection",BK688,BL688)</f>
        <v>922</v>
      </c>
      <c r="CQ688">
        <f>IF($CN688="refOK",$BO688,-$BO688)</f>
        <v>0.90612244897959193</v>
      </c>
      <c r="CR688">
        <f>IF($CN688="refOK",$BS688,$BT688)*IF($BP688="Emissions positive",-1,1)</f>
        <v>-115.3</v>
      </c>
      <c r="CS688">
        <f>IF($CN688="refOK",$BT688,$BS688)*IF($BP688="Emissions positive",-1,1)</f>
        <v>-206.8</v>
      </c>
      <c r="CT688">
        <f>IF($CN688="refNeedCorrection",-BX688,BX688)*IF($BP688="Emissions positive",-1,1)</f>
        <v>-9.1500000000000012E-2</v>
      </c>
      <c r="CU688">
        <f>IFERROR(CT688/CQ688,"")</f>
        <v>-0.10097972972972973</v>
      </c>
      <c r="CV688" s="2">
        <f>IFERROR((CS688-CR688)/ABS(CR688),"")</f>
        <v>-0.79358196010407644</v>
      </c>
      <c r="CW688" s="1" t="s">
        <v>1201</v>
      </c>
      <c r="CX688" t="str">
        <f>IF(OR($CW688="prd",$CW688="std",$CW688="cit"),"loc",IF(OR($CW688="eur",$CW688="reg",$CW688="coy"),"reg",$CW688))</f>
        <v>reg</v>
      </c>
      <c r="CY688" t="s">
        <v>1542</v>
      </c>
      <c r="DB688">
        <v>100</v>
      </c>
      <c r="DC688" t="str">
        <f>IF(DB688=0,"0",IF(AND(DB688&gt;=1,DB688&lt;=30),"1-30",IF(AND(DB688&gt;30,DB688&lt;=70),"31-70",IF(AND(DB688&gt;70,DB688&lt;=100),"71-100",IF(DB688&gt;100,"+100")))))</f>
        <v>71-100</v>
      </c>
      <c r="DD688">
        <v>0</v>
      </c>
      <c r="DE688">
        <v>0</v>
      </c>
      <c r="DF688">
        <v>0</v>
      </c>
      <c r="DG688">
        <v>1</v>
      </c>
      <c r="DI688">
        <f>SUM(DD688:DG688)</f>
        <v>1</v>
      </c>
      <c r="DJ688" t="str">
        <f>IF(DI688=1,INDEX($DD$7:$DG$7,MATCH(1,$DD688:$DG688,0)),"mixedProduct")</f>
        <v>TimberInput</v>
      </c>
      <c r="DK688">
        <f>IF(DD688=1,DK$7,0)</f>
        <v>0</v>
      </c>
      <c r="DL688">
        <f>IF(DE688=1,DL$7,0)</f>
        <v>0</v>
      </c>
      <c r="DM688">
        <f>IF(DF688=1,DM$7,0)</f>
        <v>0</v>
      </c>
      <c r="DN688" t="str">
        <f>IF(DG688=1,DN$7,0)</f>
        <v>Timber</v>
      </c>
      <c r="DO688">
        <v>0</v>
      </c>
      <c r="DP688">
        <v>0</v>
      </c>
      <c r="DQ688">
        <v>0</v>
      </c>
      <c r="DR688">
        <v>0</v>
      </c>
      <c r="DS688">
        <v>0</v>
      </c>
      <c r="DT688">
        <f>SUM(DO688:DP688)</f>
        <v>0</v>
      </c>
      <c r="DU688" s="143" t="str">
        <f>IF(DO688=1,"self-calculated DF",IF(DP688=1,"external DF used","explicit C balance"))</f>
        <v>explicit C balance</v>
      </c>
      <c r="DV688">
        <v>0</v>
      </c>
      <c r="DW688">
        <v>0</v>
      </c>
      <c r="DX688">
        <v>0</v>
      </c>
      <c r="DY688">
        <v>0</v>
      </c>
      <c r="DZ688">
        <v>0</v>
      </c>
      <c r="EA688" s="143">
        <v>0</v>
      </c>
      <c r="EB688">
        <v>0</v>
      </c>
      <c r="EC688">
        <v>1</v>
      </c>
      <c r="ED688">
        <v>0</v>
      </c>
      <c r="EE688">
        <v>1</v>
      </c>
      <c r="EF688">
        <v>1</v>
      </c>
      <c r="EG688">
        <v>1</v>
      </c>
      <c r="EH688">
        <v>0</v>
      </c>
      <c r="EI688" s="2">
        <v>0</v>
      </c>
      <c r="EK688" t="str">
        <f>IF(AND(AND(AND(OR($DX688=1,$DW688=1),OR($EC688=1,$EA688=1)),SUM($DV688:$DZ688,$EF688)&gt;=4),SUM($EA688:$EE688)&gt;=2),"Whole sector","")</f>
        <v/>
      </c>
      <c r="EL688" t="str">
        <f>IF(AND(AND(OR($DX688=1,$DW688=1),AND($EC688=0,$EA688=0)),SUM($DV688:$DZ688,$EF688)&gt;=4),"Ecosystem approach","")</f>
        <v/>
      </c>
      <c r="EM688" s="2" t="str">
        <f>IF(AND(AND(AND($DX688=0,$DW688=0),OR($EC688=1,$EA688=1)),SUM($EB688:$EE688)&gt;=2),"Technology approach","")</f>
        <v>Technology approach</v>
      </c>
      <c r="EP688" t="str">
        <f>IF(ISNUMBER(BU688),IF(ABS(BU688-[2]QC_indicators!$B$2)&gt;3*[2]QC_indicators!$C$2,"C ratio",IF(ISNUMBER(BY688),IF(ABS(BY688-[2]QC_indicators!$B$1)&gt;3*[2]QC_indicators!$C$1,"DF","no"))),IF(ISNUMBER(BY688),IF(ABS(BY688-[2]QC_indicators!$B$1)&gt;3*[2]QC_indicators!$C$1,"DF","no")))</f>
        <v>no</v>
      </c>
      <c r="ET688" s="266" t="s">
        <v>3275</v>
      </c>
    </row>
    <row r="689" spans="1:150" ht="15" hidden="1" customHeight="1">
      <c r="A689" s="1" t="s">
        <v>266</v>
      </c>
      <c r="B689" t="s">
        <v>267</v>
      </c>
      <c r="C689" t="s">
        <v>268</v>
      </c>
      <c r="D689" t="s">
        <v>269</v>
      </c>
      <c r="E689" t="s">
        <v>270</v>
      </c>
      <c r="F689" t="s">
        <v>271</v>
      </c>
      <c r="G689" t="s">
        <v>272</v>
      </c>
      <c r="H689" t="s">
        <v>255</v>
      </c>
      <c r="I689">
        <v>2022</v>
      </c>
      <c r="J689">
        <v>0</v>
      </c>
      <c r="K689" t="s">
        <v>273</v>
      </c>
      <c r="M689" t="str">
        <f>LEFT($D689,FIND(",",$D689)-1)&amp;"_"&amp;I689&amp;L689</f>
        <v>Aryapratama_2022</v>
      </c>
      <c r="N689" t="s">
        <v>223</v>
      </c>
      <c r="O689" s="145" t="s">
        <v>275</v>
      </c>
      <c r="Q689" t="s">
        <v>225</v>
      </c>
      <c r="R689" s="264" t="s">
        <v>224</v>
      </c>
      <c r="S689" s="265" t="s">
        <v>3110</v>
      </c>
      <c r="T689" t="s">
        <v>313</v>
      </c>
      <c r="U689" t="s">
        <v>304</v>
      </c>
      <c r="V689">
        <v>0</v>
      </c>
      <c r="W689">
        <v>0</v>
      </c>
      <c r="X689">
        <v>0</v>
      </c>
      <c r="Y689">
        <v>0</v>
      </c>
      <c r="Z689">
        <v>0</v>
      </c>
      <c r="AA689">
        <v>0</v>
      </c>
      <c r="AB689">
        <v>0</v>
      </c>
      <c r="AC689">
        <v>0</v>
      </c>
      <c r="AD689">
        <v>1</v>
      </c>
      <c r="AE689">
        <v>0</v>
      </c>
      <c r="AF689">
        <v>0</v>
      </c>
      <c r="AG689">
        <v>0</v>
      </c>
      <c r="AH689">
        <v>0</v>
      </c>
      <c r="AI689">
        <v>0</v>
      </c>
      <c r="AJ689">
        <v>0</v>
      </c>
      <c r="AK689">
        <v>0</v>
      </c>
      <c r="AL689">
        <v>0</v>
      </c>
      <c r="AM689">
        <v>0</v>
      </c>
      <c r="AN689">
        <v>0</v>
      </c>
      <c r="AO689">
        <v>0</v>
      </c>
      <c r="AP689">
        <v>0</v>
      </c>
      <c r="AQ689">
        <v>0</v>
      </c>
      <c r="AR689">
        <v>0</v>
      </c>
      <c r="AS689">
        <v>0</v>
      </c>
      <c r="AT689">
        <v>0</v>
      </c>
      <c r="AU689">
        <v>0</v>
      </c>
      <c r="AV689">
        <v>0</v>
      </c>
      <c r="AW689">
        <v>0</v>
      </c>
      <c r="AX689" s="141">
        <f>COUNTIF(V689:AW689,"&lt;&gt;0")</f>
        <v>1</v>
      </c>
      <c r="AY689" s="141">
        <f>COUNTIF(V689:AL689,"&lt;&gt;0")</f>
        <v>1</v>
      </c>
      <c r="AZ689">
        <f>COUNTIF(V689:AC689,"&lt;&gt;0")</f>
        <v>0</v>
      </c>
      <c r="BA689">
        <f>COUNTIF(AD689:AI689,"&lt;&gt;0")</f>
        <v>1</v>
      </c>
      <c r="BB689">
        <f>COUNTIF(AJ689:AL689,"&lt;&gt;0")</f>
        <v>0</v>
      </c>
      <c r="BC689">
        <f>COUNTIF(AS689:AW689,"&lt;&gt;0")</f>
        <v>0</v>
      </c>
      <c r="BD689">
        <f>COUNTIF(AM689:AR689,"&lt;&gt;0")</f>
        <v>0</v>
      </c>
      <c r="BE689" t="str">
        <f t="array" ref="BE689">IF(AY689=1,INDEX($V$7:$AL$7,MATCH(TRUE,INDEX($V689:$AW689&lt;&gt;0,),0)),IF(AY689=0,INDEX($AM$7:$AW$7,MATCH(1,$AM689:$AW689,0)),IF(BF689="Multiple strategies","mixed drivers",IF(BF689="Supply chain","multiple supply","multiple silviculture"))))</f>
        <v>harvesting system</v>
      </c>
      <c r="BF689" s="2" t="str" cm="1">
        <f t="array" ref="BF689">IF(COUNTIF(AZ689:BB689,"&lt;&gt;0")=1,INDEX($V$4:$AW$4,MATCH(TRUE,INDEX($V689:$AW689&lt;&gt;0,),0)),IF(COUNTIF(AZ689:BB689,"&lt;&gt;0")=0,INDEX($AM$4:$AW$4,MATCH(1,$AM689:$AW689,0)),"Multiple strategies"))</f>
        <v>Supply chain</v>
      </c>
      <c r="BG689" s="1" t="s">
        <v>230</v>
      </c>
      <c r="BH689" t="s">
        <v>286</v>
      </c>
      <c r="BJ689" t="s">
        <v>279</v>
      </c>
      <c r="BK689">
        <v>15.419381264639073</v>
      </c>
      <c r="BL689">
        <v>15.419381264639073</v>
      </c>
      <c r="BM689">
        <f>BL689/BK689</f>
        <v>1</v>
      </c>
      <c r="BN689">
        <f>BL689-BK689</f>
        <v>0</v>
      </c>
      <c r="BO689">
        <f>BN689*tC_to_m3</f>
        <v>0</v>
      </c>
      <c r="BP689" t="s">
        <v>233</v>
      </c>
      <c r="BQ689" s="153" t="s">
        <v>3109</v>
      </c>
      <c r="BR689" t="s">
        <v>280</v>
      </c>
      <c r="BS689">
        <v>167.28412809039341</v>
      </c>
      <c r="BT689">
        <v>82.450615050179124</v>
      </c>
      <c r="BU689" s="144">
        <f>IFERROR(BT689/BS689,"")</f>
        <v>0.49287769253055635</v>
      </c>
      <c r="BV689">
        <f>BT689-BS689</f>
        <v>-84.833513040214285</v>
      </c>
      <c r="BX689">
        <f>BV689</f>
        <v>-84.833513040214285</v>
      </c>
      <c r="BY689" t="str">
        <f>IFERROR(BX689/BO689,"")</f>
        <v/>
      </c>
      <c r="BZ689">
        <v>0</v>
      </c>
      <c r="CA689">
        <v>0</v>
      </c>
      <c r="CB689">
        <v>0</v>
      </c>
      <c r="CC689">
        <v>0</v>
      </c>
      <c r="CD689">
        <v>0</v>
      </c>
      <c r="CE689">
        <v>0</v>
      </c>
      <c r="CF689">
        <v>0</v>
      </c>
      <c r="CG689">
        <v>0</v>
      </c>
      <c r="CH689">
        <v>0</v>
      </c>
      <c r="CI689">
        <v>0</v>
      </c>
      <c r="CJ689">
        <v>0</v>
      </c>
      <c r="CK689">
        <v>0</v>
      </c>
      <c r="CL689">
        <v>0</v>
      </c>
      <c r="CM689">
        <v>0</v>
      </c>
      <c r="CN689" t="str">
        <f>IF($BL689&lt;$BK689,"refNeedCorrection","refOK")</f>
        <v>refOK</v>
      </c>
      <c r="CO689">
        <f>IF($CN689="refOK",$BK689,$BL689)</f>
        <v>15.419381264639073</v>
      </c>
      <c r="CP689">
        <f>IF($CN689="refOK",$BL689,$BK689)</f>
        <v>15.419381264639073</v>
      </c>
      <c r="CQ689">
        <f>IF($CN689="refOK",$BO689,-$BO689)</f>
        <v>0</v>
      </c>
      <c r="CR689">
        <f>IF($CN689="refOK",$BS689,$BT689)*IF($BP689="Emissions positive",-1,1)</f>
        <v>167.28412809039341</v>
      </c>
      <c r="CS689">
        <f>IF($CN689="refOK",$BT689,$BS689)*IF($BP689="Emissions positive",-1,1)</f>
        <v>82.450615050179124</v>
      </c>
      <c r="CT689">
        <f>IF($CN689="refNeedCorrection",-BX689,BX689)*IF($BP689="Emissions positive",-1,1)</f>
        <v>-84.833513040214285</v>
      </c>
      <c r="CU689" t="str">
        <f>IFERROR(CT689/CQ689,"")</f>
        <v/>
      </c>
      <c r="CV689" s="2">
        <f>IFERROR((CS689-CR689)/ABS(CR689),"")</f>
        <v>-0.50712230746944365</v>
      </c>
      <c r="CW689" s="1" t="s">
        <v>235</v>
      </c>
      <c r="CX689" t="str">
        <f>IF(OR($CW689="prd",$CW689="std",$CW689="cit"),"loc",IF(OR($CW689="eur",$CW689="reg",$CW689="coy"),"reg",$CW689))</f>
        <v>loc</v>
      </c>
      <c r="CY689" t="s">
        <v>281</v>
      </c>
      <c r="DB689">
        <v>50</v>
      </c>
      <c r="DC689" t="str">
        <f>IF(DB689=0,"0",IF(AND(DB689&gt;=1,DB689&lt;=30),"1-30",IF(AND(DB689&gt;30,DB689&lt;=70),"31-70",IF(AND(DB689&gt;70,DB689&lt;=100),"71-100",IF(DB689&gt;100,"+100")))))</f>
        <v>31-70</v>
      </c>
      <c r="DD689">
        <v>0</v>
      </c>
      <c r="DE689">
        <v>1</v>
      </c>
      <c r="DF689">
        <v>0</v>
      </c>
      <c r="DG689">
        <v>0</v>
      </c>
      <c r="DI689">
        <f>SUM(DD689:DG689)</f>
        <v>1</v>
      </c>
      <c r="DJ689" t="str">
        <f>IF(DI689=1,INDEX($DD$7:$DG$7,MATCH(1,$DD689:$DG689,0)),"mixedProduct")</f>
        <v>EnergyInput</v>
      </c>
      <c r="DK689">
        <f>IF(DD689=1,DK$7,0)</f>
        <v>0</v>
      </c>
      <c r="DL689" t="str">
        <f>IF(DE689=1,DL$7,0)</f>
        <v>Energy</v>
      </c>
      <c r="DM689">
        <f>IF(DF689=1,DM$7,0)</f>
        <v>0</v>
      </c>
      <c r="DN689">
        <f>IF(DG689=1,DN$7,0)</f>
        <v>0</v>
      </c>
      <c r="DO689">
        <v>0</v>
      </c>
      <c r="DP689">
        <v>1</v>
      </c>
      <c r="DQ689" t="s">
        <v>305</v>
      </c>
      <c r="DR689" t="s">
        <v>282</v>
      </c>
      <c r="DS689">
        <v>0</v>
      </c>
      <c r="DT689">
        <f>SUM(DO689:DP689)</f>
        <v>1</v>
      </c>
      <c r="DU689" s="143" t="str">
        <f>IF(DO689=1,"self-calculated DF",IF(DP689=1,"external DF used","explicit C balance"))</f>
        <v>external DF used</v>
      </c>
      <c r="DV689">
        <v>0</v>
      </c>
      <c r="DW689">
        <v>1</v>
      </c>
      <c r="DX689">
        <v>1</v>
      </c>
      <c r="DY689">
        <v>1</v>
      </c>
      <c r="DZ689">
        <v>1</v>
      </c>
      <c r="EA689" s="143">
        <v>0</v>
      </c>
      <c r="EB689">
        <v>1</v>
      </c>
      <c r="EC689">
        <v>1</v>
      </c>
      <c r="ED689">
        <v>0</v>
      </c>
      <c r="EE689">
        <v>1</v>
      </c>
      <c r="EF689">
        <v>1</v>
      </c>
      <c r="EG689">
        <v>1</v>
      </c>
      <c r="EH689">
        <v>0</v>
      </c>
      <c r="EI689" s="2">
        <v>0</v>
      </c>
      <c r="EK689" t="str">
        <f>IF(AND(AND(AND(OR($DX689=1,$DW689=1),OR($EC689=1,$EA689=1)),SUM($DV689:$DZ689,$EF689)&gt;=4),SUM($EA689:$EE689)&gt;=2),"Whole sector","")</f>
        <v>Whole sector</v>
      </c>
      <c r="EL689" t="str">
        <f>IF(AND(AND(OR($DX689=1,$DW689=1),AND($EC689=0,$EA689=0)),SUM($DV689:$DZ689,$EF689)&gt;=4),"Ecosystem approach","")</f>
        <v/>
      </c>
      <c r="EM689" s="2" t="str">
        <f>IF(AND(AND(AND($DX689=0,$DW689=0),OR($EC689=1,$EA689=1)),SUM($EB689:$EE689)&gt;=2),"Technology approach","")</f>
        <v/>
      </c>
      <c r="EP689" t="b">
        <f>IF(ISNUMBER(BU689),IF(ABS(BU689-[2]QC_indicators!$B$2)&gt;3*[2]QC_indicators!$C$2,"C ratio",IF(ISNUMBER(BY689),IF(ABS(BY689-[2]QC_indicators!$B$1)&gt;3*[2]QC_indicators!$C$1,"DF","no"))),IF(ISNUMBER(BY689),IF(ABS(BY689-[2]QC_indicators!$B$1)&gt;3*[2]QC_indicators!$C$1,"DF","no")))</f>
        <v>0</v>
      </c>
      <c r="EQ689" t="s">
        <v>287</v>
      </c>
      <c r="ET689" s="266" t="s">
        <v>3275</v>
      </c>
    </row>
    <row r="690" spans="1:150" ht="15" hidden="1" customHeight="1">
      <c r="A690" s="1" t="s">
        <v>266</v>
      </c>
      <c r="B690" t="s">
        <v>267</v>
      </c>
      <c r="C690" t="s">
        <v>268</v>
      </c>
      <c r="D690" t="s">
        <v>269</v>
      </c>
      <c r="E690" t="s">
        <v>270</v>
      </c>
      <c r="F690" t="s">
        <v>271</v>
      </c>
      <c r="G690" t="s">
        <v>272</v>
      </c>
      <c r="H690" t="s">
        <v>255</v>
      </c>
      <c r="I690">
        <v>2022</v>
      </c>
      <c r="J690">
        <v>0</v>
      </c>
      <c r="K690" t="s">
        <v>273</v>
      </c>
      <c r="M690" t="str">
        <f>LEFT($D690,FIND(",",$D690)-1)&amp;"_"&amp;I690&amp;L690</f>
        <v>Aryapratama_2022</v>
      </c>
      <c r="N690" t="s">
        <v>223</v>
      </c>
      <c r="O690" s="145" t="s">
        <v>275</v>
      </c>
      <c r="Q690" t="s">
        <v>225</v>
      </c>
      <c r="R690" s="264" t="s">
        <v>224</v>
      </c>
      <c r="S690" s="265" t="s">
        <v>320</v>
      </c>
      <c r="T690" t="s">
        <v>321</v>
      </c>
      <c r="U690" t="s">
        <v>276</v>
      </c>
      <c r="V690">
        <v>0</v>
      </c>
      <c r="W690">
        <v>0</v>
      </c>
      <c r="X690">
        <v>0</v>
      </c>
      <c r="Y690">
        <v>0</v>
      </c>
      <c r="Z690">
        <v>0</v>
      </c>
      <c r="AA690">
        <v>0</v>
      </c>
      <c r="AB690">
        <v>0</v>
      </c>
      <c r="AC690">
        <v>0</v>
      </c>
      <c r="AD690">
        <v>0</v>
      </c>
      <c r="AE690">
        <v>0</v>
      </c>
      <c r="AF690">
        <v>1</v>
      </c>
      <c r="AG690">
        <v>0</v>
      </c>
      <c r="AH690">
        <v>0</v>
      </c>
      <c r="AI690">
        <v>0</v>
      </c>
      <c r="AJ690">
        <v>0</v>
      </c>
      <c r="AK690">
        <v>0</v>
      </c>
      <c r="AL690">
        <v>0</v>
      </c>
      <c r="AM690">
        <v>0</v>
      </c>
      <c r="AN690">
        <v>0</v>
      </c>
      <c r="AO690">
        <v>0</v>
      </c>
      <c r="AP690">
        <v>0</v>
      </c>
      <c r="AQ690">
        <v>0</v>
      </c>
      <c r="AR690">
        <v>0</v>
      </c>
      <c r="AS690">
        <v>0</v>
      </c>
      <c r="AT690">
        <v>0</v>
      </c>
      <c r="AU690">
        <v>0</v>
      </c>
      <c r="AV690">
        <v>0</v>
      </c>
      <c r="AW690">
        <v>0</v>
      </c>
      <c r="AX690" s="141">
        <f>COUNTIF(V690:AW690,"&lt;&gt;0")</f>
        <v>1</v>
      </c>
      <c r="AY690" s="141">
        <f>COUNTIF(V690:AL690,"&lt;&gt;0")</f>
        <v>1</v>
      </c>
      <c r="AZ690">
        <f>COUNTIF(V690:AC690,"&lt;&gt;0")</f>
        <v>0</v>
      </c>
      <c r="BA690">
        <f>COUNTIF(AD690:AI690,"&lt;&gt;0")</f>
        <v>1</v>
      </c>
      <c r="BB690">
        <f>COUNTIF(AJ690:AL690,"&lt;&gt;0")</f>
        <v>0</v>
      </c>
      <c r="BC690">
        <f>COUNTIF(AS690:AW690,"&lt;&gt;0")</f>
        <v>0</v>
      </c>
      <c r="BD690">
        <f>COUNTIF(AM690:AR690,"&lt;&gt;0")</f>
        <v>0</v>
      </c>
      <c r="BE690" t="str">
        <f t="array" ref="BE690">IF(AY690=1,INDEX($V$7:$AL$7,MATCH(TRUE,INDEX($V690:$AW690&lt;&gt;0,),0)),IF(AY690=0,INDEX($AM$7:$AW$7,MATCH(1,$AM690:$AW690,0)),IF(BF690="Multiple strategies","mixed drivers",IF(BF690="Supply chain","multiple supply","multiple silviculture"))))</f>
        <v>supply chain organization</v>
      </c>
      <c r="BF690" s="2" t="str" cm="1">
        <f t="array" ref="BF690">IF(COUNTIF(AZ690:BB690,"&lt;&gt;0")=1,INDEX($V$4:$AW$4,MATCH(TRUE,INDEX($V690:$AW690&lt;&gt;0,),0)),IF(COUNTIF(AZ690:BB690,"&lt;&gt;0")=0,INDEX($AM$4:$AW$4,MATCH(1,$AM690:$AW690,0)),"Multiple strategies"))</f>
        <v>Supply chain</v>
      </c>
      <c r="BG690" s="1" t="s">
        <v>322</v>
      </c>
      <c r="BH690" s="146" t="s">
        <v>323</v>
      </c>
      <c r="BI690" t="s">
        <v>324</v>
      </c>
      <c r="BJ690" t="s">
        <v>279</v>
      </c>
      <c r="BK690">
        <v>225.96603773584911</v>
      </c>
      <c r="BL690">
        <v>225.96603773584911</v>
      </c>
      <c r="BM690">
        <f>BL690/BK690</f>
        <v>1</v>
      </c>
      <c r="BN690">
        <f>BL690-BK690</f>
        <v>0</v>
      </c>
      <c r="BO690">
        <f>BN690*tC_to_m3</f>
        <v>0</v>
      </c>
      <c r="BP690" t="s">
        <v>233</v>
      </c>
      <c r="BQ690" s="153" t="s">
        <v>3109</v>
      </c>
      <c r="BR690" t="s">
        <v>280</v>
      </c>
      <c r="BS690">
        <v>-683.46368424028469</v>
      </c>
      <c r="BT690">
        <v>-430.22235574765915</v>
      </c>
      <c r="BU690" s="144">
        <f>IFERROR(BS690/BT690,"")</f>
        <v>1.5886289382906003</v>
      </c>
      <c r="BV690">
        <f>BS690-BT690</f>
        <v>-253.24132849262554</v>
      </c>
      <c r="BX690">
        <f>BV690</f>
        <v>-253.24132849262554</v>
      </c>
      <c r="BY690" t="str">
        <f>IFERROR(BX690/BO690,"")</f>
        <v/>
      </c>
      <c r="BZ690">
        <v>0</v>
      </c>
      <c r="CA690">
        <v>0</v>
      </c>
      <c r="CB690">
        <v>0</v>
      </c>
      <c r="CC690">
        <v>0</v>
      </c>
      <c r="CD690">
        <v>0</v>
      </c>
      <c r="CE690">
        <v>0</v>
      </c>
      <c r="CF690">
        <v>0</v>
      </c>
      <c r="CG690">
        <v>0</v>
      </c>
      <c r="CH690">
        <v>0</v>
      </c>
      <c r="CI690">
        <v>0</v>
      </c>
      <c r="CJ690">
        <v>0</v>
      </c>
      <c r="CK690">
        <v>0</v>
      </c>
      <c r="CL690">
        <v>0</v>
      </c>
      <c r="CM690">
        <v>0</v>
      </c>
      <c r="CN690" t="str">
        <f>IF($BL690&lt;$BK690,"refNeedCorrection","refOK")</f>
        <v>refOK</v>
      </c>
      <c r="CO690">
        <f>IF($CN690="refOK",$BK690,$BL690)</f>
        <v>225.96603773584911</v>
      </c>
      <c r="CP690">
        <f>IF($CN690="refOK",$BL690,$BK690)</f>
        <v>225.96603773584911</v>
      </c>
      <c r="CQ690">
        <f>IF($CN690="refOK",$BO690,-$BO690)</f>
        <v>0</v>
      </c>
      <c r="CR690">
        <f>IF($CN690="refOK",$BT690,$BS690)*IF($BP690="Emissions positive",-1,1)</f>
        <v>-430.22235574765915</v>
      </c>
      <c r="CS690">
        <f>IF($CN690="refOK",$BS690,$BT690)*IF($BP690="Emissions positive",-1,1)</f>
        <v>-683.46368424028469</v>
      </c>
      <c r="CT690">
        <f>IF($CN690="refNeedCorrection",-BX690,BX690)*IF($BP690="Emissions positive",-1,1)</f>
        <v>-253.24132849262554</v>
      </c>
      <c r="CU690" t="str">
        <f>IFERROR(CT690/CQ690,"")</f>
        <v/>
      </c>
      <c r="CV690" s="2">
        <f>IFERROR((CS690-CR690)/ABS(CR690),"")</f>
        <v>-0.58862893829060026</v>
      </c>
      <c r="CW690" s="1" t="s">
        <v>235</v>
      </c>
      <c r="CX690" t="str">
        <f>IF(OR($CW690="prd",$CW690="std",$CW690="cit"),"loc",IF(OR($CW690="eur",$CW690="reg",$CW690="coy"),"reg",$CW690))</f>
        <v>loc</v>
      </c>
      <c r="CY690" t="s">
        <v>281</v>
      </c>
      <c r="DB690">
        <v>50</v>
      </c>
      <c r="DC690" t="str">
        <f>IF(DB690=0,"0",IF(AND(DB690&gt;=1,DB690&lt;=30),"1-30",IF(AND(DB690&gt;30,DB690&lt;=70),"31-70",IF(AND(DB690&gt;70,DB690&lt;=100),"71-100",IF(DB690&gt;100,"+100")))))</f>
        <v>31-70</v>
      </c>
      <c r="DD690">
        <v>0</v>
      </c>
      <c r="DE690">
        <v>1</v>
      </c>
      <c r="DF690">
        <v>0</v>
      </c>
      <c r="DG690">
        <v>1</v>
      </c>
      <c r="DI690">
        <f>SUM(DD690:DG690)</f>
        <v>2</v>
      </c>
      <c r="DJ690" t="str">
        <f>IF(DI690=1,INDEX($DD$7:$DG$7,MATCH(1,$DD690:$DG690,0)),"mixedProduct")</f>
        <v>mixedProduct</v>
      </c>
      <c r="DK690">
        <f>IF(DD690=1,DK$7,0)</f>
        <v>0</v>
      </c>
      <c r="DL690" t="str">
        <f>IF(DE690=1,DL$7,0)</f>
        <v>Energy</v>
      </c>
      <c r="DM690">
        <f>IF(DF690=1,DM$7,0)</f>
        <v>0</v>
      </c>
      <c r="DN690" t="str">
        <f>IF(DG690=1,DN$7,0)</f>
        <v>Timber</v>
      </c>
      <c r="DO690">
        <v>0</v>
      </c>
      <c r="DP690">
        <v>1</v>
      </c>
      <c r="DQ690" t="s">
        <v>305</v>
      </c>
      <c r="DR690" t="s">
        <v>282</v>
      </c>
      <c r="DS690">
        <v>0</v>
      </c>
      <c r="DT690">
        <f>SUM(DO690:DP690)</f>
        <v>1</v>
      </c>
      <c r="DU690" s="143" t="str">
        <f>IF(DO690=1,"self-calculated DF",IF(DP690=1,"external DF used","explicit C balance"))</f>
        <v>external DF used</v>
      </c>
      <c r="DV690">
        <v>0</v>
      </c>
      <c r="DW690">
        <v>1</v>
      </c>
      <c r="DX690">
        <v>1</v>
      </c>
      <c r="DY690">
        <v>1</v>
      </c>
      <c r="DZ690">
        <v>1</v>
      </c>
      <c r="EA690" s="143">
        <v>0</v>
      </c>
      <c r="EB690">
        <v>1</v>
      </c>
      <c r="EC690">
        <v>1</v>
      </c>
      <c r="ED690">
        <v>0</v>
      </c>
      <c r="EE690">
        <v>1</v>
      </c>
      <c r="EF690">
        <v>1</v>
      </c>
      <c r="EG690">
        <v>1</v>
      </c>
      <c r="EH690">
        <v>0</v>
      </c>
      <c r="EI690" s="2">
        <v>0</v>
      </c>
      <c r="EK690" t="str">
        <f>IF(AND(AND(AND(OR($DX690=1,$DW690=1),OR($EC690=1,$EA690=1)),SUM($DV690:$DZ690,$EF690)&gt;=4),SUM($EA690:$EE690)&gt;=2),"Whole sector","")</f>
        <v>Whole sector</v>
      </c>
      <c r="EL690" t="str">
        <f>IF(AND(AND(OR($DX690=1,$DW690=1),AND($EC690=0,$EA690=0)),SUM($DV690:$DZ690,$EF690)&gt;=4),"Ecosystem approach","")</f>
        <v/>
      </c>
      <c r="EM690" s="2" t="str">
        <f>IF(AND(AND(AND($DX690=0,$DW690=0),OR($EC690=1,$EA690=1)),SUM($EB690:$EE690)&gt;=2),"Technology approach","")</f>
        <v/>
      </c>
      <c r="EN690" t="s">
        <v>325</v>
      </c>
      <c r="EP690" t="b">
        <f>IF(ISNUMBER(BU690),IF(ABS(BU690-[2]QC_indicators!$B$2)&gt;3*[2]QC_indicators!$C$2,"C ratio",IF(ISNUMBER(BY690),IF(ABS(BY690-[2]QC_indicators!$B$1)&gt;3*[2]QC_indicators!$C$1,"DF","no"))),IF(ISNUMBER(BY690),IF(ABS(BY690-[2]QC_indicators!$B$1)&gt;3*[2]QC_indicators!$C$1,"DF","no")))</f>
        <v>0</v>
      </c>
      <c r="EQ690" t="s">
        <v>287</v>
      </c>
      <c r="ER690" s="147" t="s">
        <v>326</v>
      </c>
      <c r="ET690" s="266" t="s">
        <v>3275</v>
      </c>
    </row>
    <row r="691" spans="1:150" ht="15" hidden="1" customHeight="1">
      <c r="A691" s="1" t="s">
        <v>266</v>
      </c>
      <c r="B691" t="s">
        <v>267</v>
      </c>
      <c r="C691" t="s">
        <v>268</v>
      </c>
      <c r="D691" t="s">
        <v>269</v>
      </c>
      <c r="E691" t="s">
        <v>270</v>
      </c>
      <c r="F691" t="s">
        <v>271</v>
      </c>
      <c r="G691" t="s">
        <v>272</v>
      </c>
      <c r="H691" t="s">
        <v>255</v>
      </c>
      <c r="I691">
        <v>2022</v>
      </c>
      <c r="J691">
        <v>0</v>
      </c>
      <c r="K691" t="s">
        <v>273</v>
      </c>
      <c r="M691" t="str">
        <f>LEFT($D691,FIND(",",$D691)-1)&amp;"_"&amp;I691&amp;L691</f>
        <v>Aryapratama_2022</v>
      </c>
      <c r="N691" t="s">
        <v>223</v>
      </c>
      <c r="O691" s="145" t="s">
        <v>275</v>
      </c>
      <c r="Q691" t="s">
        <v>225</v>
      </c>
      <c r="R691" s="264" t="s">
        <v>224</v>
      </c>
      <c r="S691" s="1" t="s">
        <v>320</v>
      </c>
      <c r="T691" t="s">
        <v>327</v>
      </c>
      <c r="U691" t="s">
        <v>277</v>
      </c>
      <c r="V691">
        <v>0</v>
      </c>
      <c r="W691">
        <v>0</v>
      </c>
      <c r="X691">
        <v>0</v>
      </c>
      <c r="Y691">
        <v>0</v>
      </c>
      <c r="Z691">
        <v>0</v>
      </c>
      <c r="AA691">
        <v>0</v>
      </c>
      <c r="AB691">
        <v>0</v>
      </c>
      <c r="AC691">
        <v>0</v>
      </c>
      <c r="AD691">
        <v>0</v>
      </c>
      <c r="AE691">
        <v>0</v>
      </c>
      <c r="AF691">
        <v>1</v>
      </c>
      <c r="AG691">
        <v>0</v>
      </c>
      <c r="AH691">
        <v>0</v>
      </c>
      <c r="AI691">
        <v>0</v>
      </c>
      <c r="AJ691">
        <v>0</v>
      </c>
      <c r="AK691">
        <v>0</v>
      </c>
      <c r="AL691">
        <v>0</v>
      </c>
      <c r="AM691">
        <v>0</v>
      </c>
      <c r="AN691">
        <v>0</v>
      </c>
      <c r="AO691">
        <v>0</v>
      </c>
      <c r="AP691">
        <v>0</v>
      </c>
      <c r="AQ691">
        <v>0</v>
      </c>
      <c r="AR691">
        <v>0</v>
      </c>
      <c r="AS691">
        <v>0</v>
      </c>
      <c r="AT691">
        <v>0</v>
      </c>
      <c r="AU691">
        <v>0</v>
      </c>
      <c r="AV691">
        <v>0</v>
      </c>
      <c r="AW691">
        <v>0</v>
      </c>
      <c r="AX691" s="141">
        <f>COUNTIF(V691:AW691,"&lt;&gt;0")</f>
        <v>1</v>
      </c>
      <c r="AY691" s="141">
        <f>COUNTIF(V691:AL691,"&lt;&gt;0")</f>
        <v>1</v>
      </c>
      <c r="AZ691">
        <f>COUNTIF(V691:AC691,"&lt;&gt;0")</f>
        <v>0</v>
      </c>
      <c r="BA691">
        <f>COUNTIF(AD691:AI691,"&lt;&gt;0")</f>
        <v>1</v>
      </c>
      <c r="BB691">
        <f>COUNTIF(AJ691:AL691,"&lt;&gt;0")</f>
        <v>0</v>
      </c>
      <c r="BC691">
        <f>COUNTIF(AS691:AW691,"&lt;&gt;0")</f>
        <v>0</v>
      </c>
      <c r="BD691">
        <f>COUNTIF(AM691:AR691,"&lt;&gt;0")</f>
        <v>0</v>
      </c>
      <c r="BE691" t="str">
        <f t="array" ref="BE691">IF(AY691=1,INDEX($V$7:$AL$7,MATCH(TRUE,INDEX($V691:$AW691&lt;&gt;0,),0)),IF(AY691=0,INDEX($AM$7:$AW$7,MATCH(1,$AM691:$AW691,0)),IF(BF691="Multiple strategies","mixed drivers",IF(BF691="Supply chain","multiple supply","multiple silviculture"))))</f>
        <v>supply chain organization</v>
      </c>
      <c r="BF691" s="2" t="str" cm="1">
        <f t="array" ref="BF691">IF(COUNTIF(AZ691:BB691,"&lt;&gt;0")=1,INDEX($V$4:$AW$4,MATCH(TRUE,INDEX($V691:$AW691&lt;&gt;0,),0)),IF(COUNTIF(AZ691:BB691,"&lt;&gt;0")=0,INDEX($AM$4:$AW$4,MATCH(1,$AM691:$AW691,0)),"Multiple strategies"))</f>
        <v>Supply chain</v>
      </c>
      <c r="BG691" s="1" t="s">
        <v>322</v>
      </c>
      <c r="BH691" s="146" t="s">
        <v>323</v>
      </c>
      <c r="BI691" t="s">
        <v>324</v>
      </c>
      <c r="BJ691" t="s">
        <v>279</v>
      </c>
      <c r="BK691" s="148">
        <v>225.96603773584911</v>
      </c>
      <c r="BL691" s="148">
        <v>225.96603773584911</v>
      </c>
      <c r="BM691">
        <f>BL691/BK691</f>
        <v>1</v>
      </c>
      <c r="BN691">
        <f>BL691-BK691</f>
        <v>0</v>
      </c>
      <c r="BO691">
        <f>BN691*tC_to_m3</f>
        <v>0</v>
      </c>
      <c r="BP691" t="s">
        <v>233</v>
      </c>
      <c r="BQ691" s="153" t="s">
        <v>3109</v>
      </c>
      <c r="BR691" t="s">
        <v>280</v>
      </c>
      <c r="BS691">
        <v>-930.07336759388943</v>
      </c>
      <c r="BT691">
        <v>-654.85817268246092</v>
      </c>
      <c r="BU691" s="144">
        <f>IFERROR(BS691/BT691,"")</f>
        <v>1.42026687058677</v>
      </c>
      <c r="BV691">
        <f>BS691-BT691</f>
        <v>-275.21519491142851</v>
      </c>
      <c r="BX691">
        <f>BV691</f>
        <v>-275.21519491142851</v>
      </c>
      <c r="BY691" t="str">
        <f>IFERROR(BX691/BO691,"")</f>
        <v/>
      </c>
      <c r="BZ691">
        <v>0</v>
      </c>
      <c r="CA691">
        <v>0</v>
      </c>
      <c r="CB691">
        <v>0</v>
      </c>
      <c r="CC691">
        <v>0</v>
      </c>
      <c r="CD691">
        <v>0</v>
      </c>
      <c r="CE691">
        <v>0</v>
      </c>
      <c r="CF691">
        <v>0</v>
      </c>
      <c r="CG691">
        <v>0</v>
      </c>
      <c r="CH691">
        <v>0</v>
      </c>
      <c r="CI691">
        <v>0</v>
      </c>
      <c r="CJ691">
        <v>0</v>
      </c>
      <c r="CK691">
        <v>0</v>
      </c>
      <c r="CL691">
        <v>0</v>
      </c>
      <c r="CM691">
        <v>0</v>
      </c>
      <c r="CN691" t="str">
        <f>IF($BL691&lt;$BK691,"refNeedCorrection","refOK")</f>
        <v>refOK</v>
      </c>
      <c r="CO691">
        <f>IF($CN691="refOK",$BK691,$BL691)</f>
        <v>225.96603773584911</v>
      </c>
      <c r="CP691">
        <f>IF($CN691="refOK",$BL691,$BK691)</f>
        <v>225.96603773584911</v>
      </c>
      <c r="CQ691">
        <f>IF($CN691="refOK",$BO691,-$BO691)</f>
        <v>0</v>
      </c>
      <c r="CR691">
        <f>IF($CN691="refOK",$BT691,$BS691)*IF($BP691="Emissions positive",-1,1)</f>
        <v>-654.85817268246092</v>
      </c>
      <c r="CS691">
        <f>IF($CN691="refOK",$BS691,$BT691)*IF($BP691="Emissions positive",-1,1)</f>
        <v>-930.07336759388943</v>
      </c>
      <c r="CT691">
        <f>IF($CN691="refNeedCorrection",-BX691,BX691)*IF($BP691="Emissions positive",-1,1)</f>
        <v>-275.21519491142851</v>
      </c>
      <c r="CU691" t="str">
        <f>IFERROR(CT691/CQ691,"")</f>
        <v/>
      </c>
      <c r="CV691" s="2">
        <f>IFERROR((CS691-CR691)/ABS(CR691),"")</f>
        <v>-0.42026687058677004</v>
      </c>
      <c r="CW691" s="1" t="s">
        <v>235</v>
      </c>
      <c r="CX691" t="str">
        <f>IF(OR($CW691="prd",$CW691="std",$CW691="cit"),"loc",IF(OR($CW691="eur",$CW691="reg",$CW691="coy"),"reg",$CW691))</f>
        <v>loc</v>
      </c>
      <c r="CY691" t="s">
        <v>281</v>
      </c>
      <c r="DB691">
        <v>50</v>
      </c>
      <c r="DC691" t="str">
        <f>IF(DB691=0,"0",IF(AND(DB691&gt;=1,DB691&lt;=30),"1-30",IF(AND(DB691&gt;30,DB691&lt;=70),"31-70",IF(AND(DB691&gt;70,DB691&lt;=100),"71-100",IF(DB691&gt;100,"+100")))))</f>
        <v>31-70</v>
      </c>
      <c r="DD691">
        <v>0</v>
      </c>
      <c r="DE691">
        <v>1</v>
      </c>
      <c r="DF691">
        <v>0</v>
      </c>
      <c r="DG691">
        <v>1</v>
      </c>
      <c r="DI691">
        <f>SUM(DD691:DG691)</f>
        <v>2</v>
      </c>
      <c r="DJ691" t="str">
        <f>IF(DI691=1,INDEX($DD$7:$DG$7,MATCH(1,$DD691:$DG691,0)),"mixedProduct")</f>
        <v>mixedProduct</v>
      </c>
      <c r="DK691">
        <f>IF(DD691=1,DK$7,0)</f>
        <v>0</v>
      </c>
      <c r="DL691" t="str">
        <f>IF(DE691=1,DL$7,0)</f>
        <v>Energy</v>
      </c>
      <c r="DM691">
        <f>IF(DF691=1,DM$7,0)</f>
        <v>0</v>
      </c>
      <c r="DN691" t="str">
        <f>IF(DG691=1,DN$7,0)</f>
        <v>Timber</v>
      </c>
      <c r="DO691">
        <v>0</v>
      </c>
      <c r="DP691">
        <v>1</v>
      </c>
      <c r="DQ691" t="s">
        <v>305</v>
      </c>
      <c r="DR691" t="s">
        <v>282</v>
      </c>
      <c r="DS691">
        <v>0</v>
      </c>
      <c r="DT691">
        <f>SUM(DO691:DP691)</f>
        <v>1</v>
      </c>
      <c r="DU691" s="143" t="str">
        <f>IF(DO691=1,"self-calculated DF",IF(DP691=1,"external DF used","explicit C balance"))</f>
        <v>external DF used</v>
      </c>
      <c r="DV691">
        <v>0</v>
      </c>
      <c r="DW691">
        <v>1</v>
      </c>
      <c r="DX691">
        <v>1</v>
      </c>
      <c r="DY691">
        <v>1</v>
      </c>
      <c r="DZ691">
        <v>1</v>
      </c>
      <c r="EA691" s="143">
        <v>0</v>
      </c>
      <c r="EB691">
        <v>1</v>
      </c>
      <c r="EC691">
        <v>1</v>
      </c>
      <c r="ED691">
        <v>0</v>
      </c>
      <c r="EE691">
        <v>1</v>
      </c>
      <c r="EF691">
        <v>1</v>
      </c>
      <c r="EG691">
        <v>1</v>
      </c>
      <c r="EH691">
        <v>0</v>
      </c>
      <c r="EI691" s="2">
        <v>0</v>
      </c>
      <c r="EK691" t="str">
        <f>IF(AND(AND(AND(OR($DX691=1,$DW691=1),OR($EC691=1,$EA691=1)),SUM($DV691:$DZ691,$EF691)&gt;=4),SUM($EA691:$EE691)&gt;=2),"Whole sector","")</f>
        <v>Whole sector</v>
      </c>
      <c r="EL691" t="str">
        <f>IF(AND(AND(OR($DX691=1,$DW691=1),AND($EC691=0,$EA691=0)),SUM($DV691:$DZ691,$EF691)&gt;=4),"Ecosystem approach","")</f>
        <v/>
      </c>
      <c r="EM691" s="2" t="str">
        <f>IF(AND(AND(AND($DX691=0,$DW691=0),OR($EC691=1,$EA691=1)),SUM($EB691:$EE691)&gt;=2),"Technology approach","")</f>
        <v/>
      </c>
      <c r="EN691" t="s">
        <v>325</v>
      </c>
      <c r="EP691" t="b">
        <f>IF(ISNUMBER(BU691),IF(ABS(BU691-[2]QC_indicators!$B$2)&gt;3*[2]QC_indicators!$C$2,"C ratio",IF(ISNUMBER(BY691),IF(ABS(BY691-[2]QC_indicators!$B$1)&gt;3*[2]QC_indicators!$C$1,"DF","no"))),IF(ISNUMBER(BY691),IF(ABS(BY691-[2]QC_indicators!$B$1)&gt;3*[2]QC_indicators!$C$1,"DF","no")))</f>
        <v>0</v>
      </c>
      <c r="EQ691" t="s">
        <v>287</v>
      </c>
      <c r="ER691" s="147" t="s">
        <v>326</v>
      </c>
      <c r="ET691" s="266" t="s">
        <v>3275</v>
      </c>
    </row>
    <row r="692" spans="1:150" ht="15" hidden="1" customHeight="1">
      <c r="A692" s="1" t="s">
        <v>266</v>
      </c>
      <c r="B692" t="s">
        <v>267</v>
      </c>
      <c r="C692" t="s">
        <v>268</v>
      </c>
      <c r="D692" t="s">
        <v>269</v>
      </c>
      <c r="E692" t="s">
        <v>270</v>
      </c>
      <c r="F692" t="s">
        <v>271</v>
      </c>
      <c r="G692" t="s">
        <v>272</v>
      </c>
      <c r="H692" t="s">
        <v>255</v>
      </c>
      <c r="I692">
        <v>2022</v>
      </c>
      <c r="J692">
        <v>0</v>
      </c>
      <c r="K692" t="s">
        <v>273</v>
      </c>
      <c r="M692" t="str">
        <f>LEFT($D692,FIND(",",$D692)-1)&amp;"_"&amp;I692&amp;L692</f>
        <v>Aryapratama_2022</v>
      </c>
      <c r="N692" t="s">
        <v>223</v>
      </c>
      <c r="O692" s="145" t="s">
        <v>275</v>
      </c>
      <c r="Q692" t="s">
        <v>225</v>
      </c>
      <c r="R692" s="264" t="s">
        <v>224</v>
      </c>
      <c r="S692" s="1" t="s">
        <v>320</v>
      </c>
      <c r="T692" t="s">
        <v>304</v>
      </c>
      <c r="U692" t="s">
        <v>285</v>
      </c>
      <c r="V692">
        <v>0</v>
      </c>
      <c r="W692">
        <v>0</v>
      </c>
      <c r="X692">
        <v>0</v>
      </c>
      <c r="Y692">
        <v>0</v>
      </c>
      <c r="Z692">
        <v>0</v>
      </c>
      <c r="AA692">
        <v>0</v>
      </c>
      <c r="AB692">
        <v>0</v>
      </c>
      <c r="AC692">
        <v>0</v>
      </c>
      <c r="AD692">
        <v>0</v>
      </c>
      <c r="AE692">
        <v>0</v>
      </c>
      <c r="AF692">
        <v>1</v>
      </c>
      <c r="AG692">
        <v>0</v>
      </c>
      <c r="AH692">
        <v>0</v>
      </c>
      <c r="AI692">
        <v>0</v>
      </c>
      <c r="AJ692">
        <v>0</v>
      </c>
      <c r="AK692">
        <v>0</v>
      </c>
      <c r="AL692">
        <v>0</v>
      </c>
      <c r="AM692">
        <v>0</v>
      </c>
      <c r="AN692">
        <v>0</v>
      </c>
      <c r="AO692">
        <v>0</v>
      </c>
      <c r="AP692">
        <v>0</v>
      </c>
      <c r="AQ692">
        <v>0</v>
      </c>
      <c r="AR692">
        <v>0</v>
      </c>
      <c r="AS692">
        <v>0</v>
      </c>
      <c r="AT692">
        <v>0</v>
      </c>
      <c r="AU692">
        <v>0</v>
      </c>
      <c r="AV692">
        <v>0</v>
      </c>
      <c r="AW692">
        <v>0</v>
      </c>
      <c r="AX692" s="141">
        <f>COUNTIF(V692:AW692,"&lt;&gt;0")</f>
        <v>1</v>
      </c>
      <c r="AY692" s="141">
        <f>COUNTIF(V692:AL692,"&lt;&gt;0")</f>
        <v>1</v>
      </c>
      <c r="AZ692">
        <f>COUNTIF(V692:AC692,"&lt;&gt;0")</f>
        <v>0</v>
      </c>
      <c r="BA692">
        <f>COUNTIF(AD692:AI692,"&lt;&gt;0")</f>
        <v>1</v>
      </c>
      <c r="BB692">
        <f>COUNTIF(AJ692:AL692,"&lt;&gt;0")</f>
        <v>0</v>
      </c>
      <c r="BC692">
        <f>COUNTIF(AS692:AW692,"&lt;&gt;0")</f>
        <v>0</v>
      </c>
      <c r="BD692">
        <f>COUNTIF(AM692:AR692,"&lt;&gt;0")</f>
        <v>0</v>
      </c>
      <c r="BE692" t="str">
        <f t="array" ref="BE692">IF(AY692=1,INDEX($V$7:$AL$7,MATCH(TRUE,INDEX($V692:$AW692&lt;&gt;0,),0)),IF(AY692=0,INDEX($AM$7:$AW$7,MATCH(1,$AM692:$AW692,0)),IF(BF692="Multiple strategies","mixed drivers",IF(BF692="Supply chain","multiple supply","multiple silviculture"))))</f>
        <v>supply chain organization</v>
      </c>
      <c r="BF692" s="2" t="str" cm="1">
        <f t="array" ref="BF692">IF(COUNTIF(AZ692:BB692,"&lt;&gt;0")=1,INDEX($V$4:$AW$4,MATCH(TRUE,INDEX($V692:$AW692&lt;&gt;0,),0)),IF(COUNTIF(AZ692:BB692,"&lt;&gt;0")=0,INDEX($AM$4:$AW$4,MATCH(1,$AM692:$AW692,0)),"Multiple strategies"))</f>
        <v>Supply chain</v>
      </c>
      <c r="BG692" s="1" t="s">
        <v>322</v>
      </c>
      <c r="BH692" s="146" t="s">
        <v>323</v>
      </c>
      <c r="BI692" t="s">
        <v>324</v>
      </c>
      <c r="BJ692" t="s">
        <v>279</v>
      </c>
      <c r="BK692" s="148">
        <v>9.6371132903994159</v>
      </c>
      <c r="BL692" s="148">
        <v>9.6371132903994159</v>
      </c>
      <c r="BM692">
        <f>BL692/BK692</f>
        <v>1</v>
      </c>
      <c r="BN692">
        <f>BL692-BK692</f>
        <v>0</v>
      </c>
      <c r="BO692">
        <f>BN692*tC_to_m3</f>
        <v>0</v>
      </c>
      <c r="BP692" t="s">
        <v>233</v>
      </c>
      <c r="BQ692" s="153" t="s">
        <v>3109</v>
      </c>
      <c r="BR692" t="s">
        <v>280</v>
      </c>
      <c r="BS692">
        <v>82.450615050179124</v>
      </c>
      <c r="BT692">
        <v>100.2569126004381</v>
      </c>
      <c r="BU692" s="144">
        <f>IFERROR(BS692/BT692,"")</f>
        <v>0.82239331844155383</v>
      </c>
      <c r="BV692">
        <f>BS692-BT692</f>
        <v>-17.806297550258975</v>
      </c>
      <c r="BX692">
        <f>BV692</f>
        <v>-17.806297550258975</v>
      </c>
      <c r="BY692" t="str">
        <f>IFERROR(BX692/BO692,"")</f>
        <v/>
      </c>
      <c r="BZ692">
        <v>0</v>
      </c>
      <c r="CA692">
        <v>0</v>
      </c>
      <c r="CB692">
        <v>0</v>
      </c>
      <c r="CC692">
        <v>0</v>
      </c>
      <c r="CD692">
        <v>0</v>
      </c>
      <c r="CE692">
        <v>0</v>
      </c>
      <c r="CF692">
        <v>0</v>
      </c>
      <c r="CG692">
        <v>0</v>
      </c>
      <c r="CH692">
        <v>0</v>
      </c>
      <c r="CI692">
        <v>0</v>
      </c>
      <c r="CJ692">
        <v>0</v>
      </c>
      <c r="CK692">
        <v>0</v>
      </c>
      <c r="CL692">
        <v>0</v>
      </c>
      <c r="CM692">
        <v>0</v>
      </c>
      <c r="CN692" t="str">
        <f>IF($BL692&lt;$BK692,"refNeedCorrection","refOK")</f>
        <v>refOK</v>
      </c>
      <c r="CO692">
        <f>IF($CN692="refOK",$BK692,$BL692)</f>
        <v>9.6371132903994159</v>
      </c>
      <c r="CP692">
        <f>IF($CN692="refOK",$BL692,$BK692)</f>
        <v>9.6371132903994159</v>
      </c>
      <c r="CQ692">
        <f>IF($CN692="refOK",$BO692,-$BO692)</f>
        <v>0</v>
      </c>
      <c r="CR692">
        <f>IF($CN692="refOK",$BT692,$BS692)*IF($BP692="Emissions positive",-1,1)</f>
        <v>100.2569126004381</v>
      </c>
      <c r="CS692">
        <f>IF($CN692="refOK",$BS692,$BT692)*IF($BP692="Emissions positive",-1,1)</f>
        <v>82.450615050179124</v>
      </c>
      <c r="CT692">
        <f>IF($CN692="refNeedCorrection",-BX692,BX692)*IF($BP692="Emissions positive",-1,1)</f>
        <v>-17.806297550258975</v>
      </c>
      <c r="CU692" t="str">
        <f>IFERROR(CT692/CQ692,"")</f>
        <v/>
      </c>
      <c r="CV692" s="2">
        <f>IFERROR((CS692-CR692)/ABS(CR692),"")</f>
        <v>-0.17760668155844614</v>
      </c>
      <c r="CW692" s="1" t="s">
        <v>235</v>
      </c>
      <c r="CX692" t="str">
        <f>IF(OR($CW692="prd",$CW692="std",$CW692="cit"),"loc",IF(OR($CW692="eur",$CW692="reg",$CW692="coy"),"reg",$CW692))</f>
        <v>loc</v>
      </c>
      <c r="CY692" t="s">
        <v>281</v>
      </c>
      <c r="DB692">
        <v>50</v>
      </c>
      <c r="DC692" t="str">
        <f>IF(DB692=0,"0",IF(AND(DB692&gt;=1,DB692&lt;=30),"1-30",IF(AND(DB692&gt;30,DB692&lt;=70),"31-70",IF(AND(DB692&gt;70,DB692&lt;=100),"71-100",IF(DB692&gt;100,"+100")))))</f>
        <v>31-70</v>
      </c>
      <c r="DD692">
        <v>0</v>
      </c>
      <c r="DE692">
        <v>1</v>
      </c>
      <c r="DF692">
        <v>0</v>
      </c>
      <c r="DG692">
        <v>1</v>
      </c>
      <c r="DI692">
        <f>SUM(DD692:DG692)</f>
        <v>2</v>
      </c>
      <c r="DJ692" t="str">
        <f>IF(DI692=1,INDEX($DD$7:$DG$7,MATCH(1,$DD692:$DG692,0)),"mixedProduct")</f>
        <v>mixedProduct</v>
      </c>
      <c r="DK692">
        <f>IF(DD692=1,DK$7,0)</f>
        <v>0</v>
      </c>
      <c r="DL692" t="str">
        <f>IF(DE692=1,DL$7,0)</f>
        <v>Energy</v>
      </c>
      <c r="DM692">
        <f>IF(DF692=1,DM$7,0)</f>
        <v>0</v>
      </c>
      <c r="DN692" t="str">
        <f>IF(DG692=1,DN$7,0)</f>
        <v>Timber</v>
      </c>
      <c r="DO692">
        <v>0</v>
      </c>
      <c r="DP692">
        <v>1</v>
      </c>
      <c r="DQ692" t="s">
        <v>305</v>
      </c>
      <c r="DR692" t="s">
        <v>282</v>
      </c>
      <c r="DS692">
        <v>0</v>
      </c>
      <c r="DT692">
        <f>SUM(DO692:DP692)</f>
        <v>1</v>
      </c>
      <c r="DU692" s="143" t="str">
        <f>IF(DO692=1,"self-calculated DF",IF(DP692=1,"external DF used","explicit C balance"))</f>
        <v>external DF used</v>
      </c>
      <c r="DV692">
        <v>0</v>
      </c>
      <c r="DW692">
        <v>1</v>
      </c>
      <c r="DX692">
        <v>1</v>
      </c>
      <c r="DY692">
        <v>1</v>
      </c>
      <c r="DZ692">
        <v>1</v>
      </c>
      <c r="EA692" s="143">
        <v>0</v>
      </c>
      <c r="EB692">
        <v>1</v>
      </c>
      <c r="EC692">
        <v>1</v>
      </c>
      <c r="ED692">
        <v>0</v>
      </c>
      <c r="EE692">
        <v>1</v>
      </c>
      <c r="EF692">
        <v>1</v>
      </c>
      <c r="EG692">
        <v>1</v>
      </c>
      <c r="EH692">
        <v>0</v>
      </c>
      <c r="EI692" s="2">
        <v>0</v>
      </c>
      <c r="EK692" t="str">
        <f>IF(AND(AND(AND(OR($DX692=1,$DW692=1),OR($EC692=1,$EA692=1)),SUM($DV692:$DZ692,$EF692)&gt;=4),SUM($EA692:$EE692)&gt;=2),"Whole sector","")</f>
        <v>Whole sector</v>
      </c>
      <c r="EL692" t="str">
        <f>IF(AND(AND(OR($DX692=1,$DW692=1),AND($EC692=0,$EA692=0)),SUM($DV692:$DZ692,$EF692)&gt;=4),"Ecosystem approach","")</f>
        <v/>
      </c>
      <c r="EM692" s="2" t="str">
        <f>IF(AND(AND(AND($DX692=0,$DW692=0),OR($EC692=1,$EA692=1)),SUM($EB692:$EE692)&gt;=2),"Technology approach","")</f>
        <v/>
      </c>
      <c r="EN692" t="s">
        <v>325</v>
      </c>
      <c r="EP692" t="b">
        <f>IF(ISNUMBER(BU692),IF(ABS(BU692-[2]QC_indicators!$B$2)&gt;3*[2]QC_indicators!$C$2,"C ratio",IF(ISNUMBER(BY692),IF(ABS(BY692-[2]QC_indicators!$B$1)&gt;3*[2]QC_indicators!$C$1,"DF","no"))),IF(ISNUMBER(BY692),IF(ABS(BY692-[2]QC_indicators!$B$1)&gt;3*[2]QC_indicators!$C$1,"DF","no")))</f>
        <v>0</v>
      </c>
      <c r="EQ692" t="s">
        <v>287</v>
      </c>
      <c r="ER692" s="147" t="s">
        <v>326</v>
      </c>
      <c r="ET692" s="266" t="s">
        <v>3275</v>
      </c>
    </row>
    <row r="693" spans="1:150" ht="15" hidden="1" customHeight="1">
      <c r="A693" s="1" t="s">
        <v>266</v>
      </c>
      <c r="B693" t="s">
        <v>267</v>
      </c>
      <c r="C693" t="s">
        <v>268</v>
      </c>
      <c r="D693" t="s">
        <v>269</v>
      </c>
      <c r="E693" t="s">
        <v>270</v>
      </c>
      <c r="F693" t="s">
        <v>271</v>
      </c>
      <c r="G693" t="s">
        <v>272</v>
      </c>
      <c r="H693" t="s">
        <v>255</v>
      </c>
      <c r="I693">
        <v>2022</v>
      </c>
      <c r="J693">
        <v>0</v>
      </c>
      <c r="K693" t="s">
        <v>273</v>
      </c>
      <c r="M693" t="str">
        <f>LEFT($D693,FIND(",",$D693)-1)&amp;"_"&amp;I693&amp;L693</f>
        <v>Aryapratama_2022</v>
      </c>
      <c r="N693" t="s">
        <v>223</v>
      </c>
      <c r="O693" s="145" t="s">
        <v>275</v>
      </c>
      <c r="Q693" t="s">
        <v>225</v>
      </c>
      <c r="R693" s="264" t="s">
        <v>224</v>
      </c>
      <c r="S693" s="1" t="s">
        <v>320</v>
      </c>
      <c r="T693" t="s">
        <v>313</v>
      </c>
      <c r="U693" t="s">
        <v>284</v>
      </c>
      <c r="V693">
        <v>0</v>
      </c>
      <c r="W693">
        <v>0</v>
      </c>
      <c r="X693">
        <v>0</v>
      </c>
      <c r="Y693">
        <v>0</v>
      </c>
      <c r="Z693">
        <v>0</v>
      </c>
      <c r="AA693">
        <v>0</v>
      </c>
      <c r="AB693">
        <v>0</v>
      </c>
      <c r="AC693">
        <v>0</v>
      </c>
      <c r="AD693">
        <v>0</v>
      </c>
      <c r="AE693">
        <v>0</v>
      </c>
      <c r="AF693">
        <v>1</v>
      </c>
      <c r="AG693">
        <v>0</v>
      </c>
      <c r="AH693">
        <v>0</v>
      </c>
      <c r="AI693">
        <v>0</v>
      </c>
      <c r="AJ693">
        <v>0</v>
      </c>
      <c r="AK693">
        <v>0</v>
      </c>
      <c r="AL693">
        <v>0</v>
      </c>
      <c r="AM693">
        <v>0</v>
      </c>
      <c r="AN693">
        <v>0</v>
      </c>
      <c r="AO693">
        <v>0</v>
      </c>
      <c r="AP693">
        <v>0</v>
      </c>
      <c r="AQ693">
        <v>0</v>
      </c>
      <c r="AR693">
        <v>0</v>
      </c>
      <c r="AS693">
        <v>0</v>
      </c>
      <c r="AT693">
        <v>0</v>
      </c>
      <c r="AU693">
        <v>0</v>
      </c>
      <c r="AV693">
        <v>0</v>
      </c>
      <c r="AW693">
        <v>0</v>
      </c>
      <c r="AX693" s="141">
        <f>COUNTIF(V693:AW693,"&lt;&gt;0")</f>
        <v>1</v>
      </c>
      <c r="AY693" s="141">
        <f>COUNTIF(V693:AL693,"&lt;&gt;0")</f>
        <v>1</v>
      </c>
      <c r="AZ693">
        <f>COUNTIF(V693:AC693,"&lt;&gt;0")</f>
        <v>0</v>
      </c>
      <c r="BA693">
        <f>COUNTIF(AD693:AI693,"&lt;&gt;0")</f>
        <v>1</v>
      </c>
      <c r="BB693">
        <f>COUNTIF(AJ693:AL693,"&lt;&gt;0")</f>
        <v>0</v>
      </c>
      <c r="BC693">
        <f>COUNTIF(AS693:AW693,"&lt;&gt;0")</f>
        <v>0</v>
      </c>
      <c r="BD693">
        <f>COUNTIF(AM693:AR693,"&lt;&gt;0")</f>
        <v>0</v>
      </c>
      <c r="BE693" t="str">
        <f t="array" ref="BE693">IF(AY693=1,INDEX($V$7:$AL$7,MATCH(TRUE,INDEX($V693:$AW693&lt;&gt;0,),0)),IF(AY693=0,INDEX($AM$7:$AW$7,MATCH(1,$AM693:$AW693,0)),IF(BF693="Multiple strategies","mixed drivers",IF(BF693="Supply chain","multiple supply","multiple silviculture"))))</f>
        <v>supply chain organization</v>
      </c>
      <c r="BF693" s="2" t="str" cm="1">
        <f t="array" ref="BF693">IF(COUNTIF(AZ693:BB693,"&lt;&gt;0")=1,INDEX($V$4:$AW$4,MATCH(TRUE,INDEX($V693:$AW693&lt;&gt;0,),0)),IF(COUNTIF(AZ693:BB693,"&lt;&gt;0")=0,INDEX($AM$4:$AW$4,MATCH(1,$AM693:$AW693,0)),"Multiple strategies"))</f>
        <v>Supply chain</v>
      </c>
      <c r="BG693" s="1" t="s">
        <v>322</v>
      </c>
      <c r="BH693" s="146" t="s">
        <v>323</v>
      </c>
      <c r="BI693" t="s">
        <v>324</v>
      </c>
      <c r="BJ693" t="s">
        <v>279</v>
      </c>
      <c r="BK693" s="148">
        <v>9.6371132903994159</v>
      </c>
      <c r="BL693" s="148">
        <v>9.6371132903994159</v>
      </c>
      <c r="BM693">
        <f>BL693/BK693</f>
        <v>1</v>
      </c>
      <c r="BN693">
        <f>BL693-BK693</f>
        <v>0</v>
      </c>
      <c r="BO693">
        <f>BN693*tC_to_m3</f>
        <v>0</v>
      </c>
      <c r="BP693" t="s">
        <v>233</v>
      </c>
      <c r="BQ693" s="153" t="s">
        <v>3109</v>
      </c>
      <c r="BR693" t="s">
        <v>280</v>
      </c>
      <c r="BS693">
        <v>167.28412809039341</v>
      </c>
      <c r="BT693">
        <v>185.09042564065231</v>
      </c>
      <c r="BU693" s="144">
        <f>IFERROR(BS693/BT693,"")</f>
        <v>0.90379676588550661</v>
      </c>
      <c r="BV693">
        <f>BS693-BT693</f>
        <v>-17.806297550258904</v>
      </c>
      <c r="BX693">
        <f>BV693</f>
        <v>-17.806297550258904</v>
      </c>
      <c r="BY693" t="str">
        <f>IFERROR(BX693/BO693,"")</f>
        <v/>
      </c>
      <c r="BZ693">
        <v>0</v>
      </c>
      <c r="CA693">
        <v>0</v>
      </c>
      <c r="CB693">
        <v>0</v>
      </c>
      <c r="CC693">
        <v>0</v>
      </c>
      <c r="CD693">
        <v>0</v>
      </c>
      <c r="CE693">
        <v>0</v>
      </c>
      <c r="CF693">
        <v>0</v>
      </c>
      <c r="CG693">
        <v>0</v>
      </c>
      <c r="CH693">
        <v>0</v>
      </c>
      <c r="CI693">
        <v>0</v>
      </c>
      <c r="CJ693">
        <v>0</v>
      </c>
      <c r="CK693">
        <v>0</v>
      </c>
      <c r="CL693">
        <v>0</v>
      </c>
      <c r="CM693">
        <v>0</v>
      </c>
      <c r="CN693" t="str">
        <f>IF($BL693&lt;$BK693,"refNeedCorrection","refOK")</f>
        <v>refOK</v>
      </c>
      <c r="CO693">
        <f>IF($CN693="refOK",$BK693,$BL693)</f>
        <v>9.6371132903994159</v>
      </c>
      <c r="CP693">
        <f>IF($CN693="refOK",$BL693,$BK693)</f>
        <v>9.6371132903994159</v>
      </c>
      <c r="CQ693">
        <f>IF($CN693="refOK",$BO693,-$BO693)</f>
        <v>0</v>
      </c>
      <c r="CR693">
        <f>IF($CN693="refOK",$BT693,$BS693)*IF($BP693="Emissions positive",-1,1)</f>
        <v>185.09042564065231</v>
      </c>
      <c r="CS693">
        <f>IF($CN693="refOK",$BS693,$BT693)*IF($BP693="Emissions positive",-1,1)</f>
        <v>167.28412809039341</v>
      </c>
      <c r="CT693">
        <f>IF($CN693="refNeedCorrection",-BX693,BX693)*IF($BP693="Emissions positive",-1,1)</f>
        <v>-17.806297550258904</v>
      </c>
      <c r="CU693" t="str">
        <f>IFERROR(CT693/CQ693,"")</f>
        <v/>
      </c>
      <c r="CV693" s="2">
        <f>IFERROR((CS693-CR693)/ABS(CR693),"")</f>
        <v>-9.6203234114493386E-2</v>
      </c>
      <c r="CW693" s="1" t="s">
        <v>235</v>
      </c>
      <c r="CX693" t="str">
        <f>IF(OR($CW693="prd",$CW693="std",$CW693="cit"),"loc",IF(OR($CW693="eur",$CW693="reg",$CW693="coy"),"reg",$CW693))</f>
        <v>loc</v>
      </c>
      <c r="CY693" t="s">
        <v>281</v>
      </c>
      <c r="DB693">
        <v>50</v>
      </c>
      <c r="DC693" t="str">
        <f>IF(DB693=0,"0",IF(AND(DB693&gt;=1,DB693&lt;=30),"1-30",IF(AND(DB693&gt;30,DB693&lt;=70),"31-70",IF(AND(DB693&gt;70,DB693&lt;=100),"71-100",IF(DB693&gt;100,"+100")))))</f>
        <v>31-70</v>
      </c>
      <c r="DD693">
        <v>0</v>
      </c>
      <c r="DE693">
        <v>1</v>
      </c>
      <c r="DF693">
        <v>0</v>
      </c>
      <c r="DG693">
        <v>1</v>
      </c>
      <c r="DI693">
        <f>SUM(DD693:DG693)</f>
        <v>2</v>
      </c>
      <c r="DJ693" t="str">
        <f>IF(DI693=1,INDEX($DD$7:$DG$7,MATCH(1,$DD693:$DG693,0)),"mixedProduct")</f>
        <v>mixedProduct</v>
      </c>
      <c r="DK693">
        <f>IF(DD693=1,DK$7,0)</f>
        <v>0</v>
      </c>
      <c r="DL693" t="str">
        <f>IF(DE693=1,DL$7,0)</f>
        <v>Energy</v>
      </c>
      <c r="DM693">
        <f>IF(DF693=1,DM$7,0)</f>
        <v>0</v>
      </c>
      <c r="DN693" t="str">
        <f>IF(DG693=1,DN$7,0)</f>
        <v>Timber</v>
      </c>
      <c r="DO693">
        <v>0</v>
      </c>
      <c r="DP693">
        <v>1</v>
      </c>
      <c r="DQ693" t="s">
        <v>305</v>
      </c>
      <c r="DR693" t="s">
        <v>282</v>
      </c>
      <c r="DS693">
        <v>0</v>
      </c>
      <c r="DT693">
        <f>SUM(DO693:DP693)</f>
        <v>1</v>
      </c>
      <c r="DU693" s="143" t="str">
        <f>IF(DO693=1,"self-calculated DF",IF(DP693=1,"external DF used","explicit C balance"))</f>
        <v>external DF used</v>
      </c>
      <c r="DV693">
        <v>0</v>
      </c>
      <c r="DW693">
        <v>1</v>
      </c>
      <c r="DX693">
        <v>1</v>
      </c>
      <c r="DY693">
        <v>1</v>
      </c>
      <c r="DZ693">
        <v>1</v>
      </c>
      <c r="EA693" s="143">
        <v>0</v>
      </c>
      <c r="EB693">
        <v>1</v>
      </c>
      <c r="EC693">
        <v>1</v>
      </c>
      <c r="ED693">
        <v>0</v>
      </c>
      <c r="EE693">
        <v>1</v>
      </c>
      <c r="EF693">
        <v>1</v>
      </c>
      <c r="EG693">
        <v>1</v>
      </c>
      <c r="EH693">
        <v>0</v>
      </c>
      <c r="EI693" s="2">
        <v>0</v>
      </c>
      <c r="EK693" t="str">
        <f>IF(AND(AND(AND(OR($DX693=1,$DW693=1),OR($EC693=1,$EA693=1)),SUM($DV693:$DZ693,$EF693)&gt;=4),SUM($EA693:$EE693)&gt;=2),"Whole sector","")</f>
        <v>Whole sector</v>
      </c>
      <c r="EL693" t="str">
        <f>IF(AND(AND(OR($DX693=1,$DW693=1),AND($EC693=0,$EA693=0)),SUM($DV693:$DZ693,$EF693)&gt;=4),"Ecosystem approach","")</f>
        <v/>
      </c>
      <c r="EM693" s="2" t="str">
        <f>IF(AND(AND(AND($DX693=0,$DW693=0),OR($EC693=1,$EA693=1)),SUM($EB693:$EE693)&gt;=2),"Technology approach","")</f>
        <v/>
      </c>
      <c r="EN693" t="s">
        <v>325</v>
      </c>
      <c r="EP693" t="b">
        <f>IF(ISNUMBER(BU693),IF(ABS(BU693-[2]QC_indicators!$B$2)&gt;3*[2]QC_indicators!$C$2,"C ratio",IF(ISNUMBER(BY693),IF(ABS(BY693-[2]QC_indicators!$B$1)&gt;3*[2]QC_indicators!$C$1,"DF","no"))),IF(ISNUMBER(BY693),IF(ABS(BY693-[2]QC_indicators!$B$1)&gt;3*[2]QC_indicators!$C$1,"DF","no")))</f>
        <v>0</v>
      </c>
      <c r="EQ693" t="s">
        <v>287</v>
      </c>
      <c r="ER693" s="147" t="s">
        <v>326</v>
      </c>
      <c r="ET693" s="266" t="s">
        <v>3275</v>
      </c>
    </row>
    <row r="694" spans="1:150" ht="15" hidden="1" customHeight="1">
      <c r="A694" s="1" t="s">
        <v>266</v>
      </c>
      <c r="B694" t="s">
        <v>267</v>
      </c>
      <c r="C694" t="s">
        <v>268</v>
      </c>
      <c r="D694" t="s">
        <v>269</v>
      </c>
      <c r="E694" t="s">
        <v>270</v>
      </c>
      <c r="F694" t="s">
        <v>271</v>
      </c>
      <c r="G694" t="s">
        <v>272</v>
      </c>
      <c r="H694" t="s">
        <v>255</v>
      </c>
      <c r="I694">
        <v>2022</v>
      </c>
      <c r="J694">
        <v>0</v>
      </c>
      <c r="K694" t="s">
        <v>273</v>
      </c>
      <c r="M694" t="str">
        <f>LEFT($D694,FIND(",",$D694)-1)&amp;"_"&amp;I694&amp;L694</f>
        <v>Aryapratama_2022</v>
      </c>
      <c r="N694" t="s">
        <v>223</v>
      </c>
      <c r="O694" s="145" t="s">
        <v>275</v>
      </c>
      <c r="Q694" t="s">
        <v>225</v>
      </c>
      <c r="R694" s="264" t="s">
        <v>224</v>
      </c>
      <c r="S694" s="265" t="s">
        <v>3110</v>
      </c>
      <c r="T694" t="s">
        <v>284</v>
      </c>
      <c r="U694" t="s">
        <v>285</v>
      </c>
      <c r="V694">
        <v>0</v>
      </c>
      <c r="W694">
        <v>0</v>
      </c>
      <c r="X694">
        <v>0</v>
      </c>
      <c r="Y694">
        <v>0</v>
      </c>
      <c r="Z694">
        <v>0</v>
      </c>
      <c r="AA694">
        <v>0</v>
      </c>
      <c r="AB694">
        <v>0</v>
      </c>
      <c r="AC694">
        <v>0</v>
      </c>
      <c r="AD694">
        <v>1</v>
      </c>
      <c r="AE694">
        <v>0</v>
      </c>
      <c r="AF694">
        <v>0</v>
      </c>
      <c r="AG694">
        <v>0</v>
      </c>
      <c r="AH694">
        <v>0</v>
      </c>
      <c r="AI694">
        <v>0</v>
      </c>
      <c r="AJ694">
        <v>0</v>
      </c>
      <c r="AK694">
        <v>0</v>
      </c>
      <c r="AL694">
        <v>0</v>
      </c>
      <c r="AM694">
        <v>0</v>
      </c>
      <c r="AN694">
        <v>0</v>
      </c>
      <c r="AO694">
        <v>0</v>
      </c>
      <c r="AP694">
        <v>0</v>
      </c>
      <c r="AQ694">
        <v>0</v>
      </c>
      <c r="AR694">
        <v>0</v>
      </c>
      <c r="AS694">
        <v>0</v>
      </c>
      <c r="AT694">
        <v>0</v>
      </c>
      <c r="AU694">
        <v>0</v>
      </c>
      <c r="AV694">
        <v>0</v>
      </c>
      <c r="AW694">
        <v>0</v>
      </c>
      <c r="AX694" s="141">
        <f>COUNTIF(V694:AW694,"&lt;&gt;0")</f>
        <v>1</v>
      </c>
      <c r="AY694" s="141">
        <f>COUNTIF(V694:AL694,"&lt;&gt;0")</f>
        <v>1</v>
      </c>
      <c r="AZ694">
        <f>COUNTIF(V694:AC694,"&lt;&gt;0")</f>
        <v>0</v>
      </c>
      <c r="BA694">
        <f>COUNTIF(AD694:AI694,"&lt;&gt;0")</f>
        <v>1</v>
      </c>
      <c r="BB694">
        <f>COUNTIF(AJ694:AL694,"&lt;&gt;0")</f>
        <v>0</v>
      </c>
      <c r="BC694">
        <f>COUNTIF(AS694:AW694,"&lt;&gt;0")</f>
        <v>0</v>
      </c>
      <c r="BD694">
        <f>COUNTIF(AM694:AR694,"&lt;&gt;0")</f>
        <v>0</v>
      </c>
      <c r="BE694" t="str">
        <f t="array" ref="BE694">IF(AY694=1,INDEX($V$7:$AL$7,MATCH(TRUE,INDEX($V694:$AW694&lt;&gt;0,),0)),IF(AY694=0,INDEX($AM$7:$AW$7,MATCH(1,$AM694:$AW694,0)),IF(BF694="Multiple strategies","mixed drivers",IF(BF694="Supply chain","multiple supply","multiple silviculture"))))</f>
        <v>harvesting system</v>
      </c>
      <c r="BF694" s="2" t="str" cm="1">
        <f t="array" ref="BF694">IF(COUNTIF(AZ694:BB694,"&lt;&gt;0")=1,INDEX($V$4:$AW$4,MATCH(TRUE,INDEX($V694:$AW694&lt;&gt;0,),0)),IF(COUNTIF(AZ694:BB694,"&lt;&gt;0")=0,INDEX($AM$4:$AW$4,MATCH(1,$AM694:$AW694,0)),"Multiple strategies"))</f>
        <v>Supply chain</v>
      </c>
      <c r="BG694" s="1" t="s">
        <v>230</v>
      </c>
      <c r="BH694" t="s">
        <v>286</v>
      </c>
      <c r="BJ694" t="s">
        <v>279</v>
      </c>
      <c r="BK694">
        <v>11.564535948479303</v>
      </c>
      <c r="BL694">
        <v>11.564535948479303</v>
      </c>
      <c r="BM694">
        <f>BL694/BK694</f>
        <v>1</v>
      </c>
      <c r="BN694">
        <f>BL694-BK694</f>
        <v>0</v>
      </c>
      <c r="BO694">
        <f>BN694*tC_to_m3</f>
        <v>0</v>
      </c>
      <c r="BP694" t="s">
        <v>233</v>
      </c>
      <c r="BQ694" s="153" t="s">
        <v>3109</v>
      </c>
      <c r="BR694" t="s">
        <v>280</v>
      </c>
      <c r="BS694">
        <v>185.09042564065231</v>
      </c>
      <c r="BT694">
        <v>100.2569126004381</v>
      </c>
      <c r="BU694" s="144">
        <f>IFERROR(BT694/BS694,"")</f>
        <v>0.54166449860072174</v>
      </c>
      <c r="BV694">
        <f>BT694-BS694</f>
        <v>-84.833513040214214</v>
      </c>
      <c r="BX694">
        <f>BV694</f>
        <v>-84.833513040214214</v>
      </c>
      <c r="BY694" t="str">
        <f>IFERROR(BX694/BO694,"")</f>
        <v/>
      </c>
      <c r="BZ694">
        <v>0</v>
      </c>
      <c r="CA694">
        <v>0</v>
      </c>
      <c r="CB694">
        <v>0</v>
      </c>
      <c r="CC694">
        <v>0</v>
      </c>
      <c r="CD694">
        <v>0</v>
      </c>
      <c r="CE694">
        <v>0</v>
      </c>
      <c r="CF694">
        <v>0</v>
      </c>
      <c r="CG694">
        <v>0</v>
      </c>
      <c r="CH694">
        <v>0</v>
      </c>
      <c r="CI694">
        <v>0</v>
      </c>
      <c r="CJ694">
        <v>0</v>
      </c>
      <c r="CK694">
        <v>0</v>
      </c>
      <c r="CL694">
        <v>0</v>
      </c>
      <c r="CM694">
        <v>0</v>
      </c>
      <c r="CN694" t="str">
        <f>IF($BL694&lt;$BK694,"refNeedCorrection","refOK")</f>
        <v>refOK</v>
      </c>
      <c r="CO694">
        <f>IF($CN694="refOK",$BK694,$BL694)</f>
        <v>11.564535948479303</v>
      </c>
      <c r="CP694">
        <f>IF($CN694="refOK",$BL694,$BK694)</f>
        <v>11.564535948479303</v>
      </c>
      <c r="CQ694">
        <f>IF($CN694="refOK",$BO694,-$BO694)</f>
        <v>0</v>
      </c>
      <c r="CR694">
        <f>IF($CN694="refOK",$BS694,$BT694)*IF($BP694="Emissions positive",-1,1)</f>
        <v>185.09042564065231</v>
      </c>
      <c r="CS694">
        <f>IF($CN694="refOK",$BT694,$BS694)*IF($BP694="Emissions positive",-1,1)</f>
        <v>100.2569126004381</v>
      </c>
      <c r="CT694">
        <f>IF($CN694="refNeedCorrection",-BX694,BX694)*IF($BP694="Emissions positive",-1,1)</f>
        <v>-84.833513040214214</v>
      </c>
      <c r="CU694" t="str">
        <f>IFERROR(CT694/CQ694,"")</f>
        <v/>
      </c>
      <c r="CV694" s="2">
        <f>IFERROR((CS694-CR694)/ABS(CR694),"")</f>
        <v>-0.45833550139927831</v>
      </c>
      <c r="CW694" s="1" t="s">
        <v>235</v>
      </c>
      <c r="CX694" t="str">
        <f>IF(OR($CW694="prd",$CW694="std",$CW694="cit"),"loc",IF(OR($CW694="eur",$CW694="reg",$CW694="coy"),"reg",$CW694))</f>
        <v>loc</v>
      </c>
      <c r="CY694" t="s">
        <v>281</v>
      </c>
      <c r="DB694">
        <v>50</v>
      </c>
      <c r="DC694" t="str">
        <f>IF(DB694=0,"0",IF(AND(DB694&gt;=1,DB694&lt;=30),"1-30",IF(AND(DB694&gt;30,DB694&lt;=70),"31-70",IF(AND(DB694&gt;70,DB694&lt;=100),"71-100",IF(DB694&gt;100,"+100")))))</f>
        <v>31-70</v>
      </c>
      <c r="DD694">
        <v>0</v>
      </c>
      <c r="DE694">
        <v>0</v>
      </c>
      <c r="DF694">
        <v>0</v>
      </c>
      <c r="DG694">
        <v>1</v>
      </c>
      <c r="DI694">
        <f>SUM(DD694:DG694)</f>
        <v>1</v>
      </c>
      <c r="DJ694" t="str">
        <f>IF(DI694=1,INDEX($DD$7:$DG$7,MATCH(1,$DD694:$DG694,0)),"mixedProduct")</f>
        <v>TimberInput</v>
      </c>
      <c r="DK694">
        <f>IF(DD694=1,DK$7,0)</f>
        <v>0</v>
      </c>
      <c r="DL694">
        <f>IF(DE694=1,DL$7,0)</f>
        <v>0</v>
      </c>
      <c r="DM694">
        <f>IF(DF694=1,DM$7,0)</f>
        <v>0</v>
      </c>
      <c r="DN694" t="str">
        <f>IF(DG694=1,DN$7,0)</f>
        <v>Timber</v>
      </c>
      <c r="DO694">
        <v>0</v>
      </c>
      <c r="DP694">
        <v>1</v>
      </c>
      <c r="DQ694">
        <v>0</v>
      </c>
      <c r="DR694" t="s">
        <v>282</v>
      </c>
      <c r="DS694">
        <v>0</v>
      </c>
      <c r="DT694">
        <f>SUM(DO694:DP694)</f>
        <v>1</v>
      </c>
      <c r="DU694" s="143" t="str">
        <f>IF(DO694=1,"self-calculated DF",IF(DP694=1,"external DF used","explicit C balance"))</f>
        <v>external DF used</v>
      </c>
      <c r="DV694">
        <v>0</v>
      </c>
      <c r="DW694">
        <v>1</v>
      </c>
      <c r="DX694">
        <v>1</v>
      </c>
      <c r="DY694">
        <v>1</v>
      </c>
      <c r="DZ694">
        <v>1</v>
      </c>
      <c r="EA694" s="143">
        <v>0</v>
      </c>
      <c r="EB694">
        <v>1</v>
      </c>
      <c r="EC694">
        <v>1</v>
      </c>
      <c r="ED694">
        <v>0</v>
      </c>
      <c r="EE694">
        <v>1</v>
      </c>
      <c r="EF694">
        <v>1</v>
      </c>
      <c r="EG694">
        <v>1</v>
      </c>
      <c r="EH694">
        <v>0</v>
      </c>
      <c r="EI694" s="2">
        <v>0</v>
      </c>
      <c r="EK694" t="str">
        <f>IF(AND(AND(AND(OR($DX694=1,$DW694=1),OR($EC694=1,$EA694=1)),SUM($DV694:$DZ694,$EF694)&gt;=4),SUM($EA694:$EE694)&gt;=2),"Whole sector","")</f>
        <v>Whole sector</v>
      </c>
      <c r="EL694" t="str">
        <f>IF(AND(AND(OR($DX694=1,$DW694=1),AND($EC694=0,$EA694=0)),SUM($DV694:$DZ694,$EF694)&gt;=4),"Ecosystem approach","")</f>
        <v/>
      </c>
      <c r="EM694" s="2" t="str">
        <f>IF(AND(AND(AND($DX694=0,$DW694=0),OR($EC694=1,$EA694=1)),SUM($EB694:$EE694)&gt;=2),"Technology approach","")</f>
        <v/>
      </c>
      <c r="EP694" t="b">
        <f>IF(ISNUMBER(BU694),IF(ABS(BU694-[2]QC_indicators!$B$2)&gt;3*[2]QC_indicators!$C$2,"C ratio",IF(ISNUMBER(BY694),IF(ABS(BY694-[2]QC_indicators!$B$1)&gt;3*[2]QC_indicators!$C$1,"DF","no"))),IF(ISNUMBER(BY694),IF(ABS(BY694-[2]QC_indicators!$B$1)&gt;3*[2]QC_indicators!$C$1,"DF","no")))</f>
        <v>0</v>
      </c>
      <c r="EQ694" t="s">
        <v>287</v>
      </c>
      <c r="ET694" s="266" t="s">
        <v>3275</v>
      </c>
    </row>
    <row r="695" spans="1:150" ht="15" hidden="1" customHeight="1">
      <c r="A695" s="1" t="s">
        <v>2116</v>
      </c>
      <c r="B695" t="s">
        <v>545</v>
      </c>
      <c r="C695" t="s">
        <v>2279</v>
      </c>
      <c r="D695" t="s">
        <v>2280</v>
      </c>
      <c r="E695" t="s">
        <v>2281</v>
      </c>
      <c r="F695" t="s">
        <v>2282</v>
      </c>
      <c r="G695" t="s">
        <v>2117</v>
      </c>
      <c r="H695" t="s">
        <v>255</v>
      </c>
      <c r="I695">
        <v>2014</v>
      </c>
      <c r="J695">
        <v>96</v>
      </c>
      <c r="K695" t="s">
        <v>2283</v>
      </c>
      <c r="M695" t="str">
        <f>LEFT($D695,FIND(",",$D695)-1)&amp;"_"&amp;I695&amp;L695</f>
        <v>Smyth_2014</v>
      </c>
      <c r="N695" t="s">
        <v>223</v>
      </c>
      <c r="O695" s="145" t="s">
        <v>342</v>
      </c>
      <c r="Q695" t="s">
        <v>257</v>
      </c>
      <c r="R695" s="264" t="s">
        <v>224</v>
      </c>
      <c r="S695" s="1" t="s">
        <v>2306</v>
      </c>
      <c r="T695" t="s">
        <v>1157</v>
      </c>
      <c r="U695" t="s">
        <v>2307</v>
      </c>
      <c r="V695">
        <v>0</v>
      </c>
      <c r="W695">
        <v>0</v>
      </c>
      <c r="X695">
        <v>0</v>
      </c>
      <c r="Y695">
        <v>0</v>
      </c>
      <c r="Z695">
        <v>0</v>
      </c>
      <c r="AA695">
        <v>0</v>
      </c>
      <c r="AB695">
        <v>0</v>
      </c>
      <c r="AC695">
        <v>0</v>
      </c>
      <c r="AD695">
        <v>0</v>
      </c>
      <c r="AE695">
        <v>0</v>
      </c>
      <c r="AF695">
        <v>1</v>
      </c>
      <c r="AG695">
        <v>0</v>
      </c>
      <c r="AH695">
        <v>0</v>
      </c>
      <c r="AI695">
        <v>0</v>
      </c>
      <c r="AJ695">
        <v>0</v>
      </c>
      <c r="AK695">
        <v>0</v>
      </c>
      <c r="AL695">
        <v>0</v>
      </c>
      <c r="AM695">
        <v>0</v>
      </c>
      <c r="AN695">
        <v>0</v>
      </c>
      <c r="AO695">
        <v>0</v>
      </c>
      <c r="AP695">
        <v>0</v>
      </c>
      <c r="AQ695">
        <v>0</v>
      </c>
      <c r="AR695">
        <v>0</v>
      </c>
      <c r="AS695">
        <v>0</v>
      </c>
      <c r="AT695">
        <v>0</v>
      </c>
      <c r="AU695">
        <v>0</v>
      </c>
      <c r="AV695">
        <v>0</v>
      </c>
      <c r="AW695">
        <v>0</v>
      </c>
      <c r="AX695" s="141">
        <f>COUNTIF(V695:AW695,"&lt;&gt;0")</f>
        <v>1</v>
      </c>
      <c r="AY695" s="141">
        <f>COUNTIF(V695:AL695,"&lt;&gt;0")</f>
        <v>1</v>
      </c>
      <c r="AZ695">
        <f>COUNTIF(V695:AC695,"&lt;&gt;0")</f>
        <v>0</v>
      </c>
      <c r="BA695">
        <f>COUNTIF(AD695:AI695,"&lt;&gt;0")</f>
        <v>1</v>
      </c>
      <c r="BB695">
        <f>COUNTIF(AJ695:AL695,"&lt;&gt;0")</f>
        <v>0</v>
      </c>
      <c r="BC695">
        <f>COUNTIF(AS695:AW695,"&lt;&gt;0")</f>
        <v>0</v>
      </c>
      <c r="BD695">
        <f>COUNTIF(AM695:AR695,"&lt;&gt;0")</f>
        <v>0</v>
      </c>
      <c r="BE695" t="str">
        <f t="array" ref="BE695">IF(AY695=1,INDEX($V$7:$AL$7,MATCH(TRUE,INDEX($V695:$AW695&lt;&gt;0,),0)),IF(AY695=0,INDEX($AM$7:$AW$7,MATCH(1,$AM695:$AW695,0)),IF(BF695="Multiple strategies","mixed drivers",IF(BF695="Supply chain","multiple supply","multiple silviculture"))))</f>
        <v>supply chain organization</v>
      </c>
      <c r="BF695" s="2" t="str" cm="1">
        <f t="array" ref="BF695">IF(COUNTIF(AZ695:BB695,"&lt;&gt;0")=1,INDEX($V$4:$AW$4,MATCH(TRUE,INDEX($V695:$AW695&lt;&gt;0,),0)),IF(COUNTIF(AZ695:BB695,"&lt;&gt;0")=0,INDEX($AM$4:$AW$4,MATCH(1,$AM695:$AW695,0)),"Multiple strategies"))</f>
        <v>Supply chain</v>
      </c>
      <c r="BL695" s="197"/>
      <c r="BP695" t="s">
        <v>233</v>
      </c>
      <c r="BR695" t="s">
        <v>1142</v>
      </c>
      <c r="BS695">
        <v>159.80000000000001</v>
      </c>
      <c r="BT695">
        <f>BV695+BS695</f>
        <v>149.80000000000001</v>
      </c>
      <c r="BU695" s="144">
        <f>IFERROR(BT695/BS695,"")</f>
        <v>0.93742177722152686</v>
      </c>
      <c r="BV695">
        <v>-10</v>
      </c>
      <c r="BX695">
        <f>BV695*10^6</f>
        <v>-10000000</v>
      </c>
      <c r="BY695" t="str">
        <f>IFERROR(BX695/BO695,"")</f>
        <v/>
      </c>
      <c r="BZ695">
        <v>0</v>
      </c>
      <c r="CA695">
        <v>1</v>
      </c>
      <c r="CB695">
        <v>1</v>
      </c>
      <c r="CC695">
        <v>1</v>
      </c>
      <c r="CD695">
        <v>0</v>
      </c>
      <c r="CE695">
        <v>0</v>
      </c>
      <c r="CF695">
        <v>0</v>
      </c>
      <c r="CG695">
        <v>0</v>
      </c>
      <c r="CH695">
        <v>0</v>
      </c>
      <c r="CI695">
        <v>0</v>
      </c>
      <c r="CJ695">
        <v>0</v>
      </c>
      <c r="CK695">
        <v>0</v>
      </c>
      <c r="CL695">
        <v>0</v>
      </c>
      <c r="CM695">
        <v>0</v>
      </c>
      <c r="CN695" t="str">
        <f>IF(BL695&lt;BK695,"refNeedCorrection","refOK")</f>
        <v>refOK</v>
      </c>
      <c r="CO695"/>
      <c r="CP695"/>
      <c r="CQ695"/>
      <c r="CR695">
        <f>IF($CN695="refOK",$BS695,$BT695)*IF($BP695="Emissions positive",-1,1)</f>
        <v>159.80000000000001</v>
      </c>
      <c r="CS695">
        <f>IF($CN695="refOK",$BT695,$BS695)*IF($BP695="Emissions positive",-1,1)</f>
        <v>149.80000000000001</v>
      </c>
      <c r="CT695">
        <f>IF($CN695="refNeedCorrection",-BX695,BX695)*IF($BP695="Emissions positive",-1,1)</f>
        <v>-10000000</v>
      </c>
      <c r="CU695" t="str">
        <f>IFERROR(CT695/CQ695,"")</f>
        <v/>
      </c>
      <c r="CV695" s="2">
        <f>IFERROR((CS695-CR695)/ABS(CR695),"")</f>
        <v>-6.257822277847308E-2</v>
      </c>
      <c r="CW695" s="1" t="s">
        <v>1205</v>
      </c>
      <c r="CX695" t="str">
        <f>IF(OR($CW695="prd",$CW695="std",$CW695="cit"),"loc",IF(OR($CW695="eur",$CW695="reg",$CW695="coy"),"reg",$CW695))</f>
        <v>reg</v>
      </c>
      <c r="CY695" t="s">
        <v>541</v>
      </c>
      <c r="CZ695">
        <v>2015</v>
      </c>
      <c r="DA695">
        <v>2050</v>
      </c>
      <c r="DB695">
        <v>35</v>
      </c>
      <c r="DC695" t="str">
        <f>IF(DB695=0,"0",IF(AND(DB695&gt;=1,DB695&lt;=30),"1-30",IF(AND(DB695&gt;30,DB695&lt;=70),"31-70",IF(AND(DB695&gt;70,DB695&lt;=100),"71-100",IF(DB695&gt;100,"+100")))))</f>
        <v>31-70</v>
      </c>
      <c r="DD695">
        <v>0</v>
      </c>
      <c r="DE695">
        <v>1</v>
      </c>
      <c r="DF695">
        <v>1</v>
      </c>
      <c r="DG695">
        <v>1</v>
      </c>
      <c r="DI695">
        <f>SUM(DD695:DG695)</f>
        <v>3</v>
      </c>
      <c r="DJ695" t="str">
        <f>IF(DI695=1,INDEX($DD$7:$DG$7,MATCH(1,$DD695:$DG695,0)),"mixedProduct")</f>
        <v>mixedProduct</v>
      </c>
      <c r="DK695">
        <f>IF(DD695=1,DK$7,0)</f>
        <v>0</v>
      </c>
      <c r="DL695" t="str">
        <f>IF(DE695=1,DL$7,0)</f>
        <v>Energy</v>
      </c>
      <c r="DM695" t="str">
        <f>IF(DF695=1,DM$7,0)</f>
        <v>Pulp/Paper</v>
      </c>
      <c r="DN695" t="str">
        <f>IF(DG695=1,DN$7,0)</f>
        <v>Timber</v>
      </c>
      <c r="DO695">
        <v>1</v>
      </c>
      <c r="DP695">
        <v>1</v>
      </c>
      <c r="DQ695" t="s">
        <v>2286</v>
      </c>
      <c r="DR695">
        <v>0</v>
      </c>
      <c r="DS695">
        <v>0</v>
      </c>
      <c r="DT695">
        <f>SUM(DO695:DP695)</f>
        <v>2</v>
      </c>
      <c r="DU695" s="143" t="str">
        <f>IF(DO695=1,"self-calculated DF",IF(DP695=1,"external DF used","explicit C balance"))</f>
        <v>self-calculated DF</v>
      </c>
      <c r="DV695">
        <v>1</v>
      </c>
      <c r="DW695">
        <v>1</v>
      </c>
      <c r="DX695">
        <v>1</v>
      </c>
      <c r="DY695">
        <v>1</v>
      </c>
      <c r="DZ695">
        <v>1</v>
      </c>
      <c r="EA695">
        <v>1</v>
      </c>
      <c r="EB695">
        <v>0</v>
      </c>
      <c r="EC695">
        <v>0</v>
      </c>
      <c r="ED695">
        <v>0</v>
      </c>
      <c r="EE695">
        <v>0</v>
      </c>
      <c r="EF695">
        <v>1</v>
      </c>
      <c r="EG695">
        <v>0</v>
      </c>
      <c r="EH695">
        <v>0</v>
      </c>
      <c r="EI695" s="2">
        <v>0</v>
      </c>
      <c r="EK695" t="str">
        <f>IF(AND(AND(AND(OR($DX695=1,$DW695=1),OR($EC695=1,$EA695=1)),SUM($DV695:$DZ695,$EF695)&gt;=4),SUM($EA695:$EE695)&gt;=2),"Whole sector","")</f>
        <v/>
      </c>
      <c r="EL695" t="str">
        <f>IF(AND(AND(OR($DX695=1,$DW695=1),AND($EC695=0,$EA695=0)),SUM($DV695:$DZ695,$EF695)&gt;=4),"Ecosystem approach","")</f>
        <v/>
      </c>
      <c r="EM695" s="2" t="str">
        <f>IF(AND(AND(AND($DX695=0,$DW695=0),OR($EC695=1,$EA695=1)),SUM($EB695:$EE695)&gt;=2),"Technology approach","")</f>
        <v/>
      </c>
      <c r="EP695" t="b">
        <f>IF(ISNUMBER(BU695),IF(ABS(BU695-[2]QC_indicators!$B$2)&gt;3*[2]QC_indicators!$C$2,"C ratio",IF(ISNUMBER(BY695),IF(ABS(BY695-[2]QC_indicators!$B$1)&gt;3*[2]QC_indicators!$C$1,"DF","no"))),IF(ISNUMBER(BY695),IF(ABS(BY695-[2]QC_indicators!$B$1)&gt;3*[2]QC_indicators!$C$1,"DF","no")))</f>
        <v>0</v>
      </c>
      <c r="ET695" s="270" t="s">
        <v>3244</v>
      </c>
    </row>
    <row r="696" spans="1:150" ht="15" hidden="1" customHeight="1">
      <c r="A696" s="1" t="s">
        <v>2116</v>
      </c>
      <c r="B696" t="s">
        <v>545</v>
      </c>
      <c r="C696" t="s">
        <v>2279</v>
      </c>
      <c r="D696" t="s">
        <v>2280</v>
      </c>
      <c r="E696" t="s">
        <v>2281</v>
      </c>
      <c r="F696" t="s">
        <v>2282</v>
      </c>
      <c r="G696" t="s">
        <v>2117</v>
      </c>
      <c r="H696" t="s">
        <v>255</v>
      </c>
      <c r="I696">
        <v>2014</v>
      </c>
      <c r="J696">
        <v>96</v>
      </c>
      <c r="K696" t="s">
        <v>2283</v>
      </c>
      <c r="M696" t="str">
        <f>LEFT($D696,FIND(",",$D696)-1)&amp;"_"&amp;I696&amp;L696</f>
        <v>Smyth_2014</v>
      </c>
      <c r="N696" t="s">
        <v>223</v>
      </c>
      <c r="O696" s="145" t="s">
        <v>342</v>
      </c>
      <c r="Q696" t="s">
        <v>257</v>
      </c>
      <c r="R696" s="264" t="s">
        <v>224</v>
      </c>
      <c r="S696" s="1" t="s">
        <v>2308</v>
      </c>
      <c r="T696" t="s">
        <v>1157</v>
      </c>
      <c r="U696" t="s">
        <v>1401</v>
      </c>
      <c r="V696">
        <v>0</v>
      </c>
      <c r="W696">
        <v>0</v>
      </c>
      <c r="X696">
        <v>0</v>
      </c>
      <c r="Y696">
        <v>0</v>
      </c>
      <c r="Z696">
        <v>0</v>
      </c>
      <c r="AA696">
        <v>0</v>
      </c>
      <c r="AB696">
        <v>0</v>
      </c>
      <c r="AC696">
        <v>0</v>
      </c>
      <c r="AD696">
        <v>0</v>
      </c>
      <c r="AE696">
        <v>0</v>
      </c>
      <c r="AF696">
        <v>1</v>
      </c>
      <c r="AG696">
        <v>0</v>
      </c>
      <c r="AH696">
        <v>0</v>
      </c>
      <c r="AI696">
        <v>0</v>
      </c>
      <c r="AJ696">
        <v>0</v>
      </c>
      <c r="AK696">
        <v>0</v>
      </c>
      <c r="AL696">
        <v>0</v>
      </c>
      <c r="AM696">
        <v>0</v>
      </c>
      <c r="AN696">
        <v>0</v>
      </c>
      <c r="AO696">
        <v>0</v>
      </c>
      <c r="AP696">
        <v>0</v>
      </c>
      <c r="AQ696">
        <v>0</v>
      </c>
      <c r="AR696">
        <v>0</v>
      </c>
      <c r="AS696">
        <v>0</v>
      </c>
      <c r="AT696">
        <v>0</v>
      </c>
      <c r="AU696">
        <v>0</v>
      </c>
      <c r="AV696">
        <v>0</v>
      </c>
      <c r="AW696">
        <v>0</v>
      </c>
      <c r="AX696" s="141">
        <f>COUNTIF(V696:AW696,"&lt;&gt;0")</f>
        <v>1</v>
      </c>
      <c r="AY696" s="141">
        <f>COUNTIF(V696:AL696,"&lt;&gt;0")</f>
        <v>1</v>
      </c>
      <c r="AZ696">
        <f>COUNTIF(V696:AC696,"&lt;&gt;0")</f>
        <v>0</v>
      </c>
      <c r="BA696">
        <f>COUNTIF(AD696:AI696,"&lt;&gt;0")</f>
        <v>1</v>
      </c>
      <c r="BB696">
        <f>COUNTIF(AJ696:AL696,"&lt;&gt;0")</f>
        <v>0</v>
      </c>
      <c r="BC696">
        <f>COUNTIF(AS696:AW696,"&lt;&gt;0")</f>
        <v>0</v>
      </c>
      <c r="BD696">
        <f>COUNTIF(AM696:AR696,"&lt;&gt;0")</f>
        <v>0</v>
      </c>
      <c r="BE696" t="str">
        <f t="array" ref="BE696">IF(AY696=1,INDEX($V$7:$AL$7,MATCH(TRUE,INDEX($V696:$AW696&lt;&gt;0,),0)),IF(AY696=0,INDEX($AM$7:$AW$7,MATCH(1,$AM696:$AW696,0)),IF(BF696="Multiple strategies","mixed drivers",IF(BF696="Supply chain","multiple supply","multiple silviculture"))))</f>
        <v>supply chain organization</v>
      </c>
      <c r="BF696" s="2" t="str" cm="1">
        <f t="array" ref="BF696">IF(COUNTIF(AZ696:BB696,"&lt;&gt;0")=1,INDEX($V$4:$AW$4,MATCH(TRUE,INDEX($V696:$AW696&lt;&gt;0,),0)),IF(COUNTIF(AZ696:BB696,"&lt;&gt;0")=0,INDEX($AM$4:$AW$4,MATCH(1,$AM696:$AW696,0)),"Multiple strategies"))</f>
        <v>Supply chain</v>
      </c>
      <c r="BL696" s="197"/>
      <c r="BP696" t="s">
        <v>233</v>
      </c>
      <c r="BR696" t="s">
        <v>1142</v>
      </c>
      <c r="BS696">
        <v>159.80000000000001</v>
      </c>
      <c r="BT696">
        <f>BV696+BS696</f>
        <v>559.79999999999995</v>
      </c>
      <c r="BU696" s="144">
        <f>IFERROR(BT696/BS696,"")</f>
        <v>3.5031289111389232</v>
      </c>
      <c r="BV696">
        <v>400</v>
      </c>
      <c r="BX696">
        <f>BV696*10^6</f>
        <v>400000000</v>
      </c>
      <c r="BY696" t="str">
        <f>IFERROR(BX696/BO696,"")</f>
        <v/>
      </c>
      <c r="BZ696">
        <v>0</v>
      </c>
      <c r="CA696">
        <v>1</v>
      </c>
      <c r="CB696">
        <v>1</v>
      </c>
      <c r="CC696">
        <v>1</v>
      </c>
      <c r="CD696">
        <v>0</v>
      </c>
      <c r="CE696">
        <v>0</v>
      </c>
      <c r="CF696">
        <v>0</v>
      </c>
      <c r="CG696">
        <v>0</v>
      </c>
      <c r="CH696">
        <v>0</v>
      </c>
      <c r="CI696">
        <v>0</v>
      </c>
      <c r="CJ696">
        <v>0</v>
      </c>
      <c r="CK696">
        <v>0</v>
      </c>
      <c r="CL696">
        <v>0</v>
      </c>
      <c r="CM696">
        <v>0</v>
      </c>
      <c r="CN696" t="str">
        <f>IF(BL696&lt;BK696,"refNeedCorrection","refOK")</f>
        <v>refOK</v>
      </c>
      <c r="CO696"/>
      <c r="CP696"/>
      <c r="CQ696"/>
      <c r="CR696">
        <f>IF($CN696="refOK",$BS696,$BT696)*IF($BP696="Emissions positive",-1,1)</f>
        <v>159.80000000000001</v>
      </c>
      <c r="CS696">
        <f>IF($CN696="refOK",$BT696,$BS696)*IF($BP696="Emissions positive",-1,1)</f>
        <v>559.79999999999995</v>
      </c>
      <c r="CT696">
        <f>IF($CN696="refNeedCorrection",-BX696,BX696)*IF($BP696="Emissions positive",-1,1)</f>
        <v>400000000</v>
      </c>
      <c r="CU696" t="str">
        <f>IFERROR(CT696/CQ696,"")</f>
        <v/>
      </c>
      <c r="CV696" s="2">
        <f>IFERROR((CS696-CR696)/ABS(CR696),"")</f>
        <v>2.5031289111389232</v>
      </c>
      <c r="CW696" s="1" t="s">
        <v>1205</v>
      </c>
      <c r="CX696" t="str">
        <f>IF(OR($CW696="prd",$CW696="std",$CW696="cit"),"loc",IF(OR($CW696="eur",$CW696="reg",$CW696="coy"),"reg",$CW696))</f>
        <v>reg</v>
      </c>
      <c r="CY696" t="s">
        <v>541</v>
      </c>
      <c r="CZ696">
        <v>2015</v>
      </c>
      <c r="DA696">
        <v>2050</v>
      </c>
      <c r="DB696">
        <v>35</v>
      </c>
      <c r="DC696" t="str">
        <f>IF(DB696=0,"0",IF(AND(DB696&gt;=1,DB696&lt;=30),"1-30",IF(AND(DB696&gt;30,DB696&lt;=70),"31-70",IF(AND(DB696&gt;70,DB696&lt;=100),"71-100",IF(DB696&gt;100,"+100")))))</f>
        <v>31-70</v>
      </c>
      <c r="DD696">
        <v>0</v>
      </c>
      <c r="DE696">
        <v>1</v>
      </c>
      <c r="DF696">
        <v>1</v>
      </c>
      <c r="DG696">
        <v>1</v>
      </c>
      <c r="DI696">
        <f>SUM(DD696:DG696)</f>
        <v>3</v>
      </c>
      <c r="DJ696" t="str">
        <f>IF(DI696=1,INDEX($DD$7:$DG$7,MATCH(1,$DD696:$DG696,0)),"mixedProduct")</f>
        <v>mixedProduct</v>
      </c>
      <c r="DK696">
        <f>IF(DD696=1,DK$7,0)</f>
        <v>0</v>
      </c>
      <c r="DL696" t="str">
        <f>IF(DE696=1,DL$7,0)</f>
        <v>Energy</v>
      </c>
      <c r="DM696" t="str">
        <f>IF(DF696=1,DM$7,0)</f>
        <v>Pulp/Paper</v>
      </c>
      <c r="DN696" t="str">
        <f>IF(DG696=1,DN$7,0)</f>
        <v>Timber</v>
      </c>
      <c r="DO696">
        <v>1</v>
      </c>
      <c r="DP696">
        <v>1</v>
      </c>
      <c r="DQ696" t="s">
        <v>2286</v>
      </c>
      <c r="DR696">
        <v>0</v>
      </c>
      <c r="DS696">
        <v>0</v>
      </c>
      <c r="DT696">
        <f>SUM(DO696:DP696)</f>
        <v>2</v>
      </c>
      <c r="DU696" s="143" t="str">
        <f>IF(DO696=1,"self-calculated DF",IF(DP696=1,"external DF used","explicit C balance"))</f>
        <v>self-calculated DF</v>
      </c>
      <c r="DV696">
        <v>1</v>
      </c>
      <c r="DW696">
        <v>1</v>
      </c>
      <c r="DX696">
        <v>1</v>
      </c>
      <c r="DY696">
        <v>1</v>
      </c>
      <c r="DZ696">
        <v>1</v>
      </c>
      <c r="EA696">
        <v>1</v>
      </c>
      <c r="EB696">
        <v>0</v>
      </c>
      <c r="EC696">
        <v>0</v>
      </c>
      <c r="ED696">
        <v>0</v>
      </c>
      <c r="EE696">
        <v>0</v>
      </c>
      <c r="EF696">
        <v>1</v>
      </c>
      <c r="EG696">
        <v>0</v>
      </c>
      <c r="EH696">
        <v>0</v>
      </c>
      <c r="EI696" s="2">
        <v>0</v>
      </c>
      <c r="EK696" t="str">
        <f>IF(AND(AND(AND(OR($DX696=1,$DW696=1),OR($EC696=1,$EA696=1)),SUM($DV696:$DZ696,$EF696)&gt;=4),SUM($EA696:$EE696)&gt;=2),"Whole sector","")</f>
        <v/>
      </c>
      <c r="EL696" t="str">
        <f>IF(AND(AND(OR($DX696=1,$DW696=1),AND($EC696=0,$EA696=0)),SUM($DV696:$DZ696,$EF696)&gt;=4),"Ecosystem approach","")</f>
        <v/>
      </c>
      <c r="EM696" s="2" t="str">
        <f>IF(AND(AND(AND($DX696=0,$DW696=0),OR($EC696=1,$EA696=1)),SUM($EB696:$EE696)&gt;=2),"Technology approach","")</f>
        <v/>
      </c>
      <c r="EP696" t="b">
        <f>IF(ISNUMBER(BU696),IF(ABS(BU696-[2]QC_indicators!$B$2)&gt;3*[2]QC_indicators!$C$2,"C ratio",IF(ISNUMBER(BY696),IF(ABS(BY696-[2]QC_indicators!$B$1)&gt;3*[2]QC_indicators!$C$1,"DF","no"))),IF(ISNUMBER(BY696),IF(ABS(BY696-[2]QC_indicators!$B$1)&gt;3*[2]QC_indicators!$C$1,"DF","no")))</f>
        <v>0</v>
      </c>
      <c r="ET696" s="270" t="s">
        <v>3244</v>
      </c>
    </row>
    <row r="697" spans="1:150" ht="15" hidden="1" customHeight="1">
      <c r="A697" s="1" t="s">
        <v>1425</v>
      </c>
      <c r="B697" t="s">
        <v>2492</v>
      </c>
      <c r="C697" t="s">
        <v>2493</v>
      </c>
      <c r="D697" t="s">
        <v>2494</v>
      </c>
      <c r="E697" t="s">
        <v>2495</v>
      </c>
      <c r="F697" t="s">
        <v>2496</v>
      </c>
      <c r="G697" t="s">
        <v>1431</v>
      </c>
      <c r="H697" t="s">
        <v>255</v>
      </c>
      <c r="I697">
        <v>2016</v>
      </c>
      <c r="J697">
        <v>24</v>
      </c>
      <c r="K697" t="s">
        <v>2497</v>
      </c>
      <c r="M697" t="str">
        <f>LEFT($D697,FIND(",",$D697)-1)&amp;"_"&amp;I697&amp;L697</f>
        <v>Zubizarreta-Gerendiain_2016</v>
      </c>
      <c r="N697" t="s">
        <v>223</v>
      </c>
      <c r="O697" s="145" t="s">
        <v>1156</v>
      </c>
      <c r="Q697" t="s">
        <v>257</v>
      </c>
      <c r="R697" s="264" t="s">
        <v>224</v>
      </c>
      <c r="S697" s="1" t="s">
        <v>2520</v>
      </c>
      <c r="T697" t="s">
        <v>2506</v>
      </c>
      <c r="U697" t="s">
        <v>2522</v>
      </c>
      <c r="V697">
        <v>0</v>
      </c>
      <c r="W697">
        <v>0</v>
      </c>
      <c r="X697">
        <v>0</v>
      </c>
      <c r="Y697">
        <v>0</v>
      </c>
      <c r="Z697">
        <v>0</v>
      </c>
      <c r="AA697">
        <v>0</v>
      </c>
      <c r="AB697">
        <v>0</v>
      </c>
      <c r="AC697">
        <v>0</v>
      </c>
      <c r="AD697">
        <v>0</v>
      </c>
      <c r="AE697">
        <v>0</v>
      </c>
      <c r="AF697">
        <v>1</v>
      </c>
      <c r="AG697">
        <v>0</v>
      </c>
      <c r="AH697">
        <v>0</v>
      </c>
      <c r="AI697">
        <v>0</v>
      </c>
      <c r="AJ697">
        <v>0</v>
      </c>
      <c r="AK697">
        <v>0</v>
      </c>
      <c r="AL697">
        <v>0</v>
      </c>
      <c r="AM697">
        <v>0</v>
      </c>
      <c r="AN697">
        <v>0</v>
      </c>
      <c r="AO697">
        <v>0</v>
      </c>
      <c r="AP697">
        <v>0</v>
      </c>
      <c r="AQ697">
        <v>0</v>
      </c>
      <c r="AR697">
        <v>0</v>
      </c>
      <c r="AS697">
        <v>0</v>
      </c>
      <c r="AT697">
        <v>0</v>
      </c>
      <c r="AU697">
        <v>0</v>
      </c>
      <c r="AV697">
        <v>0</v>
      </c>
      <c r="AW697">
        <v>0</v>
      </c>
      <c r="AX697" s="141">
        <f>COUNTIF(V697:AW697,"&lt;&gt;0")</f>
        <v>1</v>
      </c>
      <c r="AY697" s="141">
        <f>COUNTIF(V697:AL697,"&lt;&gt;0")</f>
        <v>1</v>
      </c>
      <c r="AZ697">
        <f>COUNTIF(V697:AC697,"&lt;&gt;0")</f>
        <v>0</v>
      </c>
      <c r="BA697">
        <f>COUNTIF(AD697:AI697,"&lt;&gt;0")</f>
        <v>1</v>
      </c>
      <c r="BB697">
        <f>COUNTIF(AJ697:AL697,"&lt;&gt;0")</f>
        <v>0</v>
      </c>
      <c r="BC697">
        <f>COUNTIF(AS697:AW697,"&lt;&gt;0")</f>
        <v>0</v>
      </c>
      <c r="BD697">
        <f>COUNTIF(AM697:AR697,"&lt;&gt;0")</f>
        <v>0</v>
      </c>
      <c r="BE697" t="str">
        <f t="array" ref="BE697">IF(AY697=1,INDEX($V$7:$AL$7,MATCH(TRUE,INDEX($V697:$AW697&lt;&gt;0,),0)),IF(AY697=0,INDEX($AM$7:$AW$7,MATCH(1,$AM697:$AW697,0)),IF(BF697="Multiple strategies","mixed drivers",IF(BF697="Supply chain","multiple supply","multiple silviculture"))))</f>
        <v>supply chain organization</v>
      </c>
      <c r="BF697" s="2" t="str" cm="1">
        <f t="array" ref="BF697">IF(COUNTIF(AZ697:BB697,"&lt;&gt;0")=1,INDEX($V$4:$AW$4,MATCH(TRUE,INDEX($V697:$AW697&lt;&gt;0,),0)),IF(COUNTIF(AZ697:BB697,"&lt;&gt;0")=0,INDEX($AM$4:$AW$4,MATCH(1,$AM697:$AW697,0)),"Multiple strategies"))</f>
        <v>Supply chain</v>
      </c>
      <c r="BG697" s="1" t="s">
        <v>322</v>
      </c>
      <c r="BH697" t="s">
        <v>2501</v>
      </c>
      <c r="BI697" s="266" t="s">
        <v>2115</v>
      </c>
      <c r="BJ697" t="s">
        <v>2502</v>
      </c>
      <c r="BK697">
        <v>82.634271099744197</v>
      </c>
      <c r="BL697">
        <v>84.015345268542205</v>
      </c>
      <c r="BM697" s="143">
        <f>BL697/BK697</f>
        <v>1.0167130919220062</v>
      </c>
      <c r="BN697">
        <f>BL697-BK697</f>
        <v>1.3810741687980084</v>
      </c>
      <c r="BO697">
        <f>BN697*1000*t_to_m3</f>
        <v>2818.5187118326703</v>
      </c>
      <c r="BP697" s="143" t="s">
        <v>233</v>
      </c>
      <c r="BQ697" s="143" t="s">
        <v>3258</v>
      </c>
      <c r="BR697" t="s">
        <v>1197</v>
      </c>
      <c r="BS697">
        <v>12625.588954781248</v>
      </c>
      <c r="BT697">
        <v>20883.088954780931</v>
      </c>
      <c r="BU697" s="144">
        <f>IFERROR(BT697/BS697,"")</f>
        <v>1.6540288955686784</v>
      </c>
      <c r="BV697" s="144">
        <f>BT697-BS697</f>
        <v>8257.4999999996835</v>
      </c>
      <c r="BW697" s="144"/>
      <c r="BX697" s="144">
        <f>BV697</f>
        <v>8257.4999999996835</v>
      </c>
      <c r="BY697">
        <f>IFERROR(BX697/BO697,"")</f>
        <v>2.9297304166664389</v>
      </c>
      <c r="BZ697">
        <v>0</v>
      </c>
      <c r="CA697">
        <v>0</v>
      </c>
      <c r="CB697">
        <v>0</v>
      </c>
      <c r="CC697">
        <v>0</v>
      </c>
      <c r="CD697">
        <v>0</v>
      </c>
      <c r="CE697">
        <v>0</v>
      </c>
      <c r="CF697">
        <v>0</v>
      </c>
      <c r="CG697">
        <v>0</v>
      </c>
      <c r="CH697">
        <v>0</v>
      </c>
      <c r="CI697">
        <v>0</v>
      </c>
      <c r="CJ697">
        <v>0</v>
      </c>
      <c r="CK697">
        <v>0</v>
      </c>
      <c r="CL697">
        <v>0</v>
      </c>
      <c r="CM697">
        <v>1</v>
      </c>
      <c r="CN697" t="str">
        <f>IF($BL697&lt;$BK697,"refNeedCorrection","refOK")</f>
        <v>refOK</v>
      </c>
      <c r="CO697">
        <f>IF($CN697="refOK",$BK697,$BL697)</f>
        <v>82.634271099744197</v>
      </c>
      <c r="CP697">
        <f>IF($CN697="refOK",$BL697,$BK697)</f>
        <v>84.015345268542205</v>
      </c>
      <c r="CQ697">
        <f>IF($CN697="refOK",$BO697,-$BO697)</f>
        <v>2818.5187118326703</v>
      </c>
      <c r="CR697">
        <f>IF($CN697="refOK",$BS697,$BT697)*IF($BP697="Emissions positive",-1,1)</f>
        <v>12625.588954781248</v>
      </c>
      <c r="CS697">
        <f>IF($CN697="refOK",$BT697,$BS697)*IF($BP697="Emissions positive",-1,1)</f>
        <v>20883.088954780931</v>
      </c>
      <c r="CT697">
        <f>IF($CN697="refNeedCorrection",-BX697,BX697)*IF($BP697="Emissions positive",-1,1)</f>
        <v>8257.4999999996835</v>
      </c>
      <c r="CU697">
        <f>IFERROR(CT697/CQ697,"")</f>
        <v>2.9297304166664389</v>
      </c>
      <c r="CV697" s="2">
        <f>IFERROR((CS697-CR697)/ABS(CR697),"")</f>
        <v>0.65402889556867838</v>
      </c>
      <c r="CW697" s="1" t="s">
        <v>1201</v>
      </c>
      <c r="CX697" t="str">
        <f>IF(OR($CW697="prd",$CW697="std",$CW697="cit"),"loc",IF(OR($CW697="eur",$CW697="reg",$CW697="coy"),"reg",$CW697))</f>
        <v>reg</v>
      </c>
      <c r="CY697" t="s">
        <v>236</v>
      </c>
      <c r="CZ697">
        <v>2010</v>
      </c>
      <c r="DA697">
        <v>2070</v>
      </c>
      <c r="DB697">
        <f>DA697-CZ697</f>
        <v>60</v>
      </c>
      <c r="DC697" t="str">
        <f>IF(DB697=0,"0",IF(AND(DB697&gt;=1,DB697&lt;=30),"1-30",IF(AND(DB697&gt;30,DB697&lt;=70),"31-70",IF(AND(DB697&gt;70,DB697&lt;=100),"71-100",IF(DB697&gt;100,"+100")))))</f>
        <v>31-70</v>
      </c>
      <c r="DD697">
        <v>1</v>
      </c>
      <c r="DE697">
        <v>1</v>
      </c>
      <c r="DF697">
        <v>1</v>
      </c>
      <c r="DG697">
        <v>1</v>
      </c>
      <c r="DH697">
        <v>0</v>
      </c>
      <c r="DI697">
        <f>SUM(DD697:DG697)</f>
        <v>4</v>
      </c>
      <c r="DJ697" t="str">
        <f>IF(DI697=1,INDEX($DD$7:$DG$7,MATCH(1,$DD697:$DG697,0)),"mixedProduct")</f>
        <v>mixedProduct</v>
      </c>
      <c r="DK697" t="str">
        <f>IF(DD697=1,DK$7,0)</f>
        <v>Upstream</v>
      </c>
      <c r="DL697" t="str">
        <f>IF(DE697=1,DL$7,0)</f>
        <v>Energy</v>
      </c>
      <c r="DM697" t="str">
        <f>IF(DF697=1,DM$7,0)</f>
        <v>Pulp/Paper</v>
      </c>
      <c r="DN697" t="str">
        <f>IF(DG697=1,DN$7,0)</f>
        <v>Timber</v>
      </c>
      <c r="DO697">
        <v>0</v>
      </c>
      <c r="DP697">
        <v>1</v>
      </c>
      <c r="DQ697" t="s">
        <v>2526</v>
      </c>
      <c r="DR697" t="s">
        <v>2527</v>
      </c>
      <c r="DS697">
        <v>0</v>
      </c>
      <c r="DT697">
        <f>SUM(DO697:DP697)</f>
        <v>1</v>
      </c>
      <c r="DU697" s="143" t="str">
        <f>IF(DO697=1,"self-calculated DF",IF(DP697=1,"external DF used","explicit C balance"))</f>
        <v>external DF used</v>
      </c>
      <c r="DV697">
        <v>1</v>
      </c>
      <c r="DW697">
        <v>1</v>
      </c>
      <c r="DX697">
        <v>1</v>
      </c>
      <c r="DY697">
        <v>1</v>
      </c>
      <c r="DZ697">
        <v>0</v>
      </c>
      <c r="EA697" s="143">
        <v>1</v>
      </c>
      <c r="EB697">
        <v>1</v>
      </c>
      <c r="EC697">
        <v>1</v>
      </c>
      <c r="ED697">
        <v>0</v>
      </c>
      <c r="EE697">
        <v>0</v>
      </c>
      <c r="EF697">
        <v>1</v>
      </c>
      <c r="EG697">
        <v>0</v>
      </c>
      <c r="EH697">
        <v>0</v>
      </c>
      <c r="EI697" s="2">
        <v>0</v>
      </c>
      <c r="EK697" t="str">
        <f>IF(AND(AND(AND(OR($DX697=1,$DW697=1),OR($EC697=1,$EA697=1)),SUM($DV697:$DZ697,$EF697)&gt;=4),SUM($EA697:$EE697)&gt;=2),"Whole sector","")</f>
        <v>Whole sector</v>
      </c>
      <c r="EL697" t="str">
        <f>IF(AND(AND(OR($DX697=1,$DW697=1),AND($EC697=0,$EA697=0)),SUM($DV697:$DZ697,$EF697)&gt;=4),"Ecosystem approach","")</f>
        <v/>
      </c>
      <c r="EM697" s="2" t="str">
        <f>IF(AND(AND(AND($DX697=0,$DW697=0),OR($EC697=1,$EA697=1)),SUM($EB697:$EE697)&gt;=2),"Technology approach","")</f>
        <v/>
      </c>
      <c r="EN697" t="s">
        <v>2510</v>
      </c>
      <c r="EP697" t="str">
        <f>IF(ISNUMBER(BU697),IF(ABS(BU697-[2]QC_indicators!$B$2)&gt;3*[2]QC_indicators!$C$2,"C ratio",IF(ISNUMBER(BY697),IF(ABS(BY697-[2]QC_indicators!$B$1)&gt;3*[2]QC_indicators!$C$1,"DF","no"))),IF(ISNUMBER(BY697),IF(ABS(BY697-[2]QC_indicators!$B$1)&gt;3*[2]QC_indicators!$C$1,"DF","no")))</f>
        <v>no</v>
      </c>
      <c r="ET697" s="266" t="s">
        <v>3262</v>
      </c>
    </row>
    <row r="698" spans="1:150" ht="15" hidden="1" customHeight="1">
      <c r="A698" s="1" t="s">
        <v>1425</v>
      </c>
      <c r="B698" t="s">
        <v>2492</v>
      </c>
      <c r="C698" t="s">
        <v>2493</v>
      </c>
      <c r="D698" t="s">
        <v>2494</v>
      </c>
      <c r="E698" t="s">
        <v>2495</v>
      </c>
      <c r="F698" t="s">
        <v>2496</v>
      </c>
      <c r="G698" t="s">
        <v>1431</v>
      </c>
      <c r="H698" t="s">
        <v>255</v>
      </c>
      <c r="I698">
        <v>2016</v>
      </c>
      <c r="J698">
        <v>24</v>
      </c>
      <c r="K698" t="s">
        <v>2497</v>
      </c>
      <c r="M698" t="str">
        <f>LEFT($D698,FIND(",",$D698)-1)&amp;"_"&amp;I698&amp;L698</f>
        <v>Zubizarreta-Gerendiain_2016</v>
      </c>
      <c r="N698" t="s">
        <v>223</v>
      </c>
      <c r="O698" s="145" t="s">
        <v>1156</v>
      </c>
      <c r="Q698" t="s">
        <v>257</v>
      </c>
      <c r="R698" s="264" t="s">
        <v>224</v>
      </c>
      <c r="S698" s="1" t="s">
        <v>2520</v>
      </c>
      <c r="T698" t="s">
        <v>2500</v>
      </c>
      <c r="U698" t="s">
        <v>2521</v>
      </c>
      <c r="V698">
        <v>0</v>
      </c>
      <c r="W698">
        <v>0</v>
      </c>
      <c r="X698">
        <v>0</v>
      </c>
      <c r="Y698">
        <v>0</v>
      </c>
      <c r="Z698">
        <v>0</v>
      </c>
      <c r="AA698">
        <v>0</v>
      </c>
      <c r="AB698">
        <v>0</v>
      </c>
      <c r="AC698">
        <v>0</v>
      </c>
      <c r="AD698">
        <v>0</v>
      </c>
      <c r="AE698">
        <v>0</v>
      </c>
      <c r="AF698">
        <v>1</v>
      </c>
      <c r="AG698">
        <v>0</v>
      </c>
      <c r="AH698">
        <v>0</v>
      </c>
      <c r="AI698">
        <v>0</v>
      </c>
      <c r="AJ698">
        <v>0</v>
      </c>
      <c r="AK698">
        <v>0</v>
      </c>
      <c r="AL698">
        <v>0</v>
      </c>
      <c r="AM698">
        <v>0</v>
      </c>
      <c r="AN698">
        <v>0</v>
      </c>
      <c r="AO698">
        <v>0</v>
      </c>
      <c r="AP698">
        <v>0</v>
      </c>
      <c r="AQ698">
        <v>0</v>
      </c>
      <c r="AR698">
        <v>0</v>
      </c>
      <c r="AS698">
        <v>0</v>
      </c>
      <c r="AT698">
        <v>0</v>
      </c>
      <c r="AU698">
        <v>0</v>
      </c>
      <c r="AV698">
        <v>0</v>
      </c>
      <c r="AW698">
        <v>0</v>
      </c>
      <c r="AX698" s="141">
        <f>COUNTIF(V698:AW698,"&lt;&gt;0")</f>
        <v>1</v>
      </c>
      <c r="AY698" s="141">
        <f>COUNTIF(V698:AL698,"&lt;&gt;0")</f>
        <v>1</v>
      </c>
      <c r="AZ698">
        <f>COUNTIF(V698:AC698,"&lt;&gt;0")</f>
        <v>0</v>
      </c>
      <c r="BA698">
        <f>COUNTIF(AD698:AI698,"&lt;&gt;0")</f>
        <v>1</v>
      </c>
      <c r="BB698">
        <f>COUNTIF(AJ698:AL698,"&lt;&gt;0")</f>
        <v>0</v>
      </c>
      <c r="BC698">
        <f>COUNTIF(AS698:AW698,"&lt;&gt;0")</f>
        <v>0</v>
      </c>
      <c r="BD698">
        <f>COUNTIF(AM698:AR698,"&lt;&gt;0")</f>
        <v>0</v>
      </c>
      <c r="BE698" t="str">
        <f t="array" ref="BE698">IF(AY698=1,INDEX($V$7:$AL$7,MATCH(TRUE,INDEX($V698:$AW698&lt;&gt;0,),0)),IF(AY698=0,INDEX($AM$7:$AW$7,MATCH(1,$AM698:$AW698,0)),IF(BF698="Multiple strategies","mixed drivers",IF(BF698="Supply chain","multiple supply","multiple silviculture"))))</f>
        <v>supply chain organization</v>
      </c>
      <c r="BF698" s="2" t="str" cm="1">
        <f t="array" ref="BF698">IF(COUNTIF(AZ698:BB698,"&lt;&gt;0")=1,INDEX($V$4:$AW$4,MATCH(TRUE,INDEX($V698:$AW698&lt;&gt;0,),0)),IF(COUNTIF(AZ698:BB698,"&lt;&gt;0")=0,INDEX($AM$4:$AW$4,MATCH(1,$AM698:$AW698,0)),"Multiple strategies"))</f>
        <v>Supply chain</v>
      </c>
      <c r="BG698" s="1" t="s">
        <v>322</v>
      </c>
      <c r="BH698" t="s">
        <v>2501</v>
      </c>
      <c r="BI698" s="266" t="s">
        <v>2115</v>
      </c>
      <c r="BJ698" t="s">
        <v>2502</v>
      </c>
      <c r="BK698">
        <v>82.946708463949804</v>
      </c>
      <c r="BL698">
        <v>84.921630094043806</v>
      </c>
      <c r="BM698" s="143">
        <f>BL698/BK698</f>
        <v>1.0238095238095233</v>
      </c>
      <c r="BN698">
        <f>BL698-BK698</f>
        <v>1.974921630094002</v>
      </c>
      <c r="BO698">
        <f>BN698*1000*t_to_m3</f>
        <v>4030.4523063142901</v>
      </c>
      <c r="BP698" s="143" t="s">
        <v>233</v>
      </c>
      <c r="BQ698" s="143" t="s">
        <v>3258</v>
      </c>
      <c r="BR698" t="s">
        <v>1197</v>
      </c>
      <c r="BS698">
        <v>-27756.76357541895</v>
      </c>
      <c r="BT698">
        <v>-15389.888715083767</v>
      </c>
      <c r="BU698" s="144">
        <f>IFERROR(BT698/BS698,"")</f>
        <v>0.55445544554455417</v>
      </c>
      <c r="BV698" s="144">
        <f>BT698-BS698</f>
        <v>12366.874860335183</v>
      </c>
      <c r="BW698" s="144"/>
      <c r="BX698" s="144">
        <f>BV698</f>
        <v>12366.874860335183</v>
      </c>
      <c r="BY698">
        <f>IFERROR(BX698/BO698,"")</f>
        <v>3.0683590625698942</v>
      </c>
      <c r="BZ698">
        <v>0</v>
      </c>
      <c r="CA698">
        <v>0</v>
      </c>
      <c r="CB698">
        <v>0</v>
      </c>
      <c r="CC698">
        <v>0</v>
      </c>
      <c r="CD698">
        <v>0</v>
      </c>
      <c r="CE698">
        <v>0</v>
      </c>
      <c r="CF698">
        <v>0</v>
      </c>
      <c r="CG698">
        <v>0</v>
      </c>
      <c r="CH698">
        <v>0</v>
      </c>
      <c r="CI698">
        <v>0</v>
      </c>
      <c r="CJ698">
        <v>0</v>
      </c>
      <c r="CK698">
        <v>0</v>
      </c>
      <c r="CL698">
        <v>0</v>
      </c>
      <c r="CM698">
        <v>1</v>
      </c>
      <c r="CN698" t="str">
        <f>IF($BL698&lt;$BK698,"refNeedCorrection","refOK")</f>
        <v>refOK</v>
      </c>
      <c r="CO698">
        <f>IF($CN698="refOK",$BK698,$BL698)</f>
        <v>82.946708463949804</v>
      </c>
      <c r="CP698">
        <f>IF($CN698="refOK",$BL698,$BK698)</f>
        <v>84.921630094043806</v>
      </c>
      <c r="CQ698">
        <f>IF($CN698="refOK",$BO698,-$BO698)</f>
        <v>4030.4523063142901</v>
      </c>
      <c r="CR698">
        <f>IF($CN698="refOK",$BS698,$BT698)*IF($BP698="Emissions positive",-1,1)</f>
        <v>-27756.76357541895</v>
      </c>
      <c r="CS698">
        <f>IF($CN698="refOK",$BT698,$BS698)*IF($BP698="Emissions positive",-1,1)</f>
        <v>-15389.888715083767</v>
      </c>
      <c r="CT698">
        <f>IF($CN698="refNeedCorrection",-BX698,BX698)*IF($BP698="Emissions positive",-1,1)</f>
        <v>12366.874860335183</v>
      </c>
      <c r="CU698">
        <f>IFERROR(CT698/CQ698,"")</f>
        <v>3.0683590625698942</v>
      </c>
      <c r="CV698" s="2">
        <f>IFERROR((CS698-CR698)/ABS(CR698),"")</f>
        <v>0.44554455445544583</v>
      </c>
      <c r="CW698" s="1" t="s">
        <v>1201</v>
      </c>
      <c r="CX698" t="str">
        <f>IF(OR($CW698="prd",$CW698="std",$CW698="cit"),"loc",IF(OR($CW698="eur",$CW698="reg",$CW698="coy"),"reg",$CW698))</f>
        <v>reg</v>
      </c>
      <c r="CY698" t="s">
        <v>236</v>
      </c>
      <c r="CZ698">
        <v>2010</v>
      </c>
      <c r="DA698">
        <v>2070</v>
      </c>
      <c r="DB698">
        <f>DA698-CZ698</f>
        <v>60</v>
      </c>
      <c r="DC698" t="str">
        <f>IF(DB698=0,"0",IF(AND(DB698&gt;=1,DB698&lt;=30),"1-30",IF(AND(DB698&gt;30,DB698&lt;=70),"31-70",IF(AND(DB698&gt;70,DB698&lt;=100),"71-100",IF(DB698&gt;100,"+100")))))</f>
        <v>31-70</v>
      </c>
      <c r="DD698">
        <v>1</v>
      </c>
      <c r="DE698">
        <v>1</v>
      </c>
      <c r="DF698">
        <v>1</v>
      </c>
      <c r="DG698">
        <v>1</v>
      </c>
      <c r="DH698">
        <v>0</v>
      </c>
      <c r="DI698">
        <f>SUM(DD698:DG698)</f>
        <v>4</v>
      </c>
      <c r="DJ698" t="str">
        <f>IF(DI698=1,INDEX($DD$7:$DG$7,MATCH(1,$DD698:$DG698,0)),"mixedProduct")</f>
        <v>mixedProduct</v>
      </c>
      <c r="DK698" t="str">
        <f>IF(DD698=1,DK$7,0)</f>
        <v>Upstream</v>
      </c>
      <c r="DL698" t="str">
        <f>IF(DE698=1,DL$7,0)</f>
        <v>Energy</v>
      </c>
      <c r="DM698" t="str">
        <f>IF(DF698=1,DM$7,0)</f>
        <v>Pulp/Paper</v>
      </c>
      <c r="DN698" t="str">
        <f>IF(DG698=1,DN$7,0)</f>
        <v>Timber</v>
      </c>
      <c r="DO698">
        <v>0</v>
      </c>
      <c r="DP698">
        <v>1</v>
      </c>
      <c r="DQ698" t="s">
        <v>2526</v>
      </c>
      <c r="DR698" t="s">
        <v>2527</v>
      </c>
      <c r="DS698">
        <v>0</v>
      </c>
      <c r="DT698">
        <f>SUM(DO698:DP698)</f>
        <v>1</v>
      </c>
      <c r="DU698" s="143" t="str">
        <f>IF(DO698=1,"self-calculated DF",IF(DP698=1,"external DF used","explicit C balance"))</f>
        <v>external DF used</v>
      </c>
      <c r="DV698">
        <v>1</v>
      </c>
      <c r="DW698">
        <v>1</v>
      </c>
      <c r="DX698">
        <v>1</v>
      </c>
      <c r="DY698">
        <v>1</v>
      </c>
      <c r="DZ698">
        <v>0</v>
      </c>
      <c r="EA698" s="143">
        <v>1</v>
      </c>
      <c r="EB698">
        <v>1</v>
      </c>
      <c r="EC698">
        <v>1</v>
      </c>
      <c r="ED698">
        <v>0</v>
      </c>
      <c r="EE698">
        <v>0</v>
      </c>
      <c r="EF698">
        <v>1</v>
      </c>
      <c r="EG698">
        <v>0</v>
      </c>
      <c r="EH698">
        <v>0</v>
      </c>
      <c r="EI698" s="2">
        <v>0</v>
      </c>
      <c r="EK698" t="str">
        <f>IF(AND(AND(AND(OR($DX698=1,$DW698=1),OR($EC698=1,$EA698=1)),SUM($DV698:$DZ698,$EF698)&gt;=4),SUM($EA698:$EE698)&gt;=2),"Whole sector","")</f>
        <v>Whole sector</v>
      </c>
      <c r="EL698" t="str">
        <f>IF(AND(AND(OR($DX698=1,$DW698=1),AND($EC698=0,$EA698=0)),SUM($DV698:$DZ698,$EF698)&gt;=4),"Ecosystem approach","")</f>
        <v/>
      </c>
      <c r="EM698" s="2" t="str">
        <f>IF(AND(AND(AND($DX698=0,$DW698=0),OR($EC698=1,$EA698=1)),SUM($EB698:$EE698)&gt;=2),"Technology approach","")</f>
        <v/>
      </c>
      <c r="EN698" t="s">
        <v>2510</v>
      </c>
      <c r="EP698" t="str">
        <f>IF(ISNUMBER(BU698),IF(ABS(BU698-[2]QC_indicators!$B$2)&gt;3*[2]QC_indicators!$C$2,"C ratio",IF(ISNUMBER(BY698),IF(ABS(BY698-[2]QC_indicators!$B$1)&gt;3*[2]QC_indicators!$C$1,"DF","no"))),IF(ISNUMBER(BY698),IF(ABS(BY698-[2]QC_indicators!$B$1)&gt;3*[2]QC_indicators!$C$1,"DF","no")))</f>
        <v>no</v>
      </c>
      <c r="ET698" s="266" t="s">
        <v>3262</v>
      </c>
    </row>
    <row r="699" spans="1:150" ht="15" customHeight="1">
      <c r="A699" s="1" t="s">
        <v>2069</v>
      </c>
      <c r="B699" t="s">
        <v>2070</v>
      </c>
      <c r="C699" t="s">
        <v>545</v>
      </c>
      <c r="D699" t="s">
        <v>2071</v>
      </c>
      <c r="E699" t="s">
        <v>2072</v>
      </c>
      <c r="F699" t="s">
        <v>2073</v>
      </c>
      <c r="G699" t="s">
        <v>2074</v>
      </c>
      <c r="H699" t="s">
        <v>255</v>
      </c>
      <c r="I699">
        <v>2021</v>
      </c>
      <c r="J699">
        <v>0</v>
      </c>
      <c r="K699" t="s">
        <v>2075</v>
      </c>
      <c r="M699" t="str">
        <f>LEFT($D699,FIND(",",$D699)-1)&amp;"_"&amp;I699&amp;L699</f>
        <v>Paletto_2021</v>
      </c>
      <c r="N699" t="s">
        <v>223</v>
      </c>
      <c r="O699" s="157" t="s">
        <v>275</v>
      </c>
      <c r="P699" t="s">
        <v>514</v>
      </c>
      <c r="Q699" t="s">
        <v>390</v>
      </c>
      <c r="R699" s="264" t="s">
        <v>224</v>
      </c>
      <c r="S699" s="1" t="s">
        <v>2076</v>
      </c>
      <c r="T699" t="s">
        <v>2077</v>
      </c>
      <c r="U699" s="184" t="s">
        <v>2078</v>
      </c>
      <c r="V699">
        <v>0</v>
      </c>
      <c r="W699">
        <v>0</v>
      </c>
      <c r="X699">
        <v>0</v>
      </c>
      <c r="Y699">
        <v>1</v>
      </c>
      <c r="Z699">
        <v>0</v>
      </c>
      <c r="AA699">
        <v>0</v>
      </c>
      <c r="AB699">
        <v>0</v>
      </c>
      <c r="AC699">
        <v>0</v>
      </c>
      <c r="AD699">
        <v>0</v>
      </c>
      <c r="AE699">
        <v>0</v>
      </c>
      <c r="AF699">
        <v>0</v>
      </c>
      <c r="AG699">
        <v>0</v>
      </c>
      <c r="AH699">
        <v>0</v>
      </c>
      <c r="AI699">
        <v>0</v>
      </c>
      <c r="AJ699">
        <v>0</v>
      </c>
      <c r="AK699">
        <v>0</v>
      </c>
      <c r="AL699">
        <v>0</v>
      </c>
      <c r="AM699">
        <v>0</v>
      </c>
      <c r="AN699">
        <v>0</v>
      </c>
      <c r="AO699">
        <v>0</v>
      </c>
      <c r="AP699">
        <v>0</v>
      </c>
      <c r="AQ699">
        <v>0</v>
      </c>
      <c r="AR699">
        <v>0</v>
      </c>
      <c r="AS699">
        <v>0</v>
      </c>
      <c r="AT699">
        <v>0</v>
      </c>
      <c r="AU699">
        <v>0</v>
      </c>
      <c r="AV699">
        <v>0</v>
      </c>
      <c r="AW699">
        <v>0</v>
      </c>
      <c r="AX699" s="141">
        <f>COUNTIF(V699:AW699,"&lt;&gt;0")</f>
        <v>1</v>
      </c>
      <c r="AY699" s="141">
        <f>COUNTIF(V699:AL699,"&lt;&gt;0")</f>
        <v>1</v>
      </c>
      <c r="AZ699">
        <f>COUNTIF(V699:AC699,"&lt;&gt;0")</f>
        <v>1</v>
      </c>
      <c r="BA699">
        <f>COUNTIF(AD699:AI699,"&lt;&gt;0")</f>
        <v>0</v>
      </c>
      <c r="BB699">
        <f>COUNTIF(AJ699:AL699,"&lt;&gt;0")</f>
        <v>0</v>
      </c>
      <c r="BC699">
        <f>COUNTIF(AS699:AW699,"&lt;&gt;0")</f>
        <v>0</v>
      </c>
      <c r="BD699">
        <f>COUNTIF(AM699:AR699,"&lt;&gt;0")</f>
        <v>0</v>
      </c>
      <c r="BE699" t="str">
        <f t="array" ref="BE699">IF(AY699=1,INDEX($V$7:$AL$7,MATCH(TRUE,INDEX($V699:$AW699&lt;&gt;0,),0)),IF(AY699=0,INDEX($AM$7:$AW$7,MATCH(1,$AM699:$AW699,0)),IF(BF699="Multiple strategies","mixed drivers",IF(BF699="Supply chain","multiple supply","multiple silviculture"))))</f>
        <v xml:space="preserve">cutting intensity </v>
      </c>
      <c r="BF699" s="2" t="str" cm="1">
        <f t="array" ref="BF699">IF(COUNTIF(AZ699:BB699,"&lt;&gt;0")=1,INDEX($V$4:$AW$4,MATCH(TRUE,INDEX($V699:$AW699&lt;&gt;0,),0)),IF(COUNTIF(AZ699:BB699,"&lt;&gt;0")=0,INDEX($AM$4:$AW$4,MATCH(1,$AM699:$AW699,0)),"Multiple strategies"))</f>
        <v>SilvicultureRemov</v>
      </c>
      <c r="BG699" s="1" t="s">
        <v>322</v>
      </c>
      <c r="BI699" s="266" t="s">
        <v>425</v>
      </c>
      <c r="BJ699" t="s">
        <v>2079</v>
      </c>
      <c r="BK699">
        <v>0</v>
      </c>
      <c r="BL699">
        <v>220.2</v>
      </c>
      <c r="BM699" t="str">
        <f>IFERROR(BL699/BK699,"")</f>
        <v/>
      </c>
      <c r="BN699">
        <f>BL699-BK699</f>
        <v>220.2</v>
      </c>
      <c r="BO699">
        <f>BN699</f>
        <v>220.2</v>
      </c>
      <c r="BP699" t="s">
        <v>233</v>
      </c>
      <c r="BQ699" s="266" t="s">
        <v>397</v>
      </c>
      <c r="BR699" t="s">
        <v>2080</v>
      </c>
      <c r="BU699" s="144"/>
      <c r="BV699">
        <v>-219.6</v>
      </c>
      <c r="BX699">
        <f>BV699</f>
        <v>-219.6</v>
      </c>
      <c r="BY699">
        <f>IFERROR(BX699/BO699,"")</f>
        <v>-0.9972752043596731</v>
      </c>
      <c r="BZ699">
        <v>0</v>
      </c>
      <c r="CA699">
        <v>0</v>
      </c>
      <c r="CB699">
        <v>0</v>
      </c>
      <c r="CC699">
        <v>0</v>
      </c>
      <c r="CD699">
        <v>0</v>
      </c>
      <c r="CE699">
        <v>0</v>
      </c>
      <c r="CF699">
        <v>0</v>
      </c>
      <c r="CG699">
        <v>0</v>
      </c>
      <c r="CH699">
        <v>0</v>
      </c>
      <c r="CI699">
        <v>0</v>
      </c>
      <c r="CJ699">
        <v>0</v>
      </c>
      <c r="CK699">
        <v>0</v>
      </c>
      <c r="CL699">
        <v>0</v>
      </c>
      <c r="CM699">
        <v>1</v>
      </c>
      <c r="CN699" t="str">
        <f>IF($BL699&lt;$BK699,"refNeedCorrection","refOK")</f>
        <v>refOK</v>
      </c>
      <c r="CO699">
        <f>IF($CN699="refOK",$BK699,$BL699)</f>
        <v>0</v>
      </c>
      <c r="CP699">
        <f>IF($CN699="refOK",$BL699,$BK699)</f>
        <v>220.2</v>
      </c>
      <c r="CQ699">
        <f>IF($CN699="refOK",$BO699,-$BO699)</f>
        <v>220.2</v>
      </c>
      <c r="CR699">
        <f>IF($CN699="refOK",$BS699,$BT699)*IF($BP699="Emissions positive",-1,1)</f>
        <v>0</v>
      </c>
      <c r="CS699">
        <f>IF($CN699="refOK",$BT699,$BS699)*IF($BP699="Emissions positive",-1,1)</f>
        <v>0</v>
      </c>
      <c r="CT699">
        <f>IF($CN699="refNeedCorrection",-BX699,BX699)*IF($BP699="Emissions positive",-1,1)</f>
        <v>-219.6</v>
      </c>
      <c r="CU699">
        <f>IFERROR(CT699/CQ699,"")</f>
        <v>-0.9972752043596731</v>
      </c>
      <c r="CV699" s="2" t="str">
        <f>IFERROR((CS699-CR699)/ABS(CR699),"")</f>
        <v/>
      </c>
      <c r="CW699" s="1" t="s">
        <v>2038</v>
      </c>
      <c r="CX699" t="str">
        <f>IF(OR($CW699="prd",$CW699="std",$CW699="cit"),"loc",IF(OR($CW699="eur",$CW699="reg",$CW699="coy"),"reg",$CW699))</f>
        <v>reg</v>
      </c>
      <c r="CY699" t="s">
        <v>734</v>
      </c>
      <c r="DB699">
        <v>15</v>
      </c>
      <c r="DC699" t="str">
        <f>IF(DB699=0,"0",IF(AND(DB699&gt;=1,DB699&lt;=30),"1-30",IF(AND(DB699&gt;30,DB699&lt;=70),"31-70",IF(AND(DB699&gt;70,DB699&lt;=100),"71-100",IF(DB699&gt;100,"+100")))))</f>
        <v>1-30</v>
      </c>
      <c r="DD699">
        <v>1</v>
      </c>
      <c r="DE699">
        <v>0</v>
      </c>
      <c r="DF699">
        <v>0</v>
      </c>
      <c r="DG699">
        <v>0</v>
      </c>
      <c r="DH699">
        <v>0</v>
      </c>
      <c r="DI699">
        <f>SUM(DD699:DH699)</f>
        <v>1</v>
      </c>
      <c r="DJ699" t="str">
        <f>IF(DI699=1,INDEX($DD$7:$DG$7,MATCH(1,$DD699:$DG699,0)),"mixedProduct")</f>
        <v>UpstreamInput</v>
      </c>
      <c r="DK699" t="str">
        <f>IF(DD699=1,DK$7,0)</f>
        <v>Upstream</v>
      </c>
      <c r="DL699">
        <f>IF(DE699=1,DL$7,0)</f>
        <v>0</v>
      </c>
      <c r="DM699">
        <f>IF(DF699=1,DM$7,0)</f>
        <v>0</v>
      </c>
      <c r="DN699">
        <f>IF(DG699=1,DN$7,0)</f>
        <v>0</v>
      </c>
      <c r="DO699">
        <v>0</v>
      </c>
      <c r="DP699">
        <v>0</v>
      </c>
      <c r="DQ699">
        <v>0</v>
      </c>
      <c r="DR699">
        <v>0</v>
      </c>
      <c r="DS699">
        <v>0</v>
      </c>
      <c r="DT699"/>
      <c r="DU699" s="143" t="str">
        <f>IF(DO699=1,"self-calculated DF",IF(DP699=1,"external DF used","explicit C balance"))</f>
        <v>explicit C balance</v>
      </c>
      <c r="DV699">
        <v>1</v>
      </c>
      <c r="DW699">
        <v>1</v>
      </c>
      <c r="DX699">
        <v>1</v>
      </c>
      <c r="DY699">
        <v>0</v>
      </c>
      <c r="DZ699">
        <v>0</v>
      </c>
      <c r="EA699" s="143">
        <v>0</v>
      </c>
      <c r="EB699">
        <v>0</v>
      </c>
      <c r="EC699">
        <v>0</v>
      </c>
      <c r="ED699">
        <v>0</v>
      </c>
      <c r="EE699">
        <v>0</v>
      </c>
      <c r="EF699">
        <v>1</v>
      </c>
      <c r="EG699">
        <v>0</v>
      </c>
      <c r="EH699">
        <v>0</v>
      </c>
      <c r="EI699" s="2">
        <v>0</v>
      </c>
      <c r="EK699" t="str">
        <f>IF(AND(AND(AND(OR($DX699=1,$DW699=1),OR($EC699=1,$EA699=1)),SUM($DV699:$DZ699,$EF699)&gt;=4),SUM($EA699:$EE699)&gt;=2),"Whole sector","")</f>
        <v/>
      </c>
      <c r="EL699" t="str">
        <f>IF(AND(AND(OR($DX699=1,$DW699=1),AND($EC699=0,$EA699=0)),SUM($DV699:$DZ699,$EF699)&gt;=4),"Ecosystem approach","")</f>
        <v>Ecosystem approach</v>
      </c>
      <c r="EM699" s="2" t="str">
        <f>IF(AND(AND(AND($DX699=0,$DW699=0),OR($EC699=1,$EA699=1)),SUM($EB699:$EE699)&gt;=2),"Technology approach","")</f>
        <v/>
      </c>
      <c r="EP699" t="str">
        <f>IF(ISNUMBER(BU699),IF(ABS(BU699-[2]QC_indicators!$B$2)&gt;3*[2]QC_indicators!$C$2,"C ratio",IF(ISNUMBER(BY699),IF(ABS(BY699-[2]QC_indicators!$B$1)&gt;3*[2]QC_indicators!$C$1,"DF","no"))),IF(ISNUMBER(BY699),IF(ABS(BY699-[2]QC_indicators!$B$1)&gt;3*[2]QC_indicators!$C$1,"DF","no")))</f>
        <v>no</v>
      </c>
      <c r="ET699" s="266" t="s">
        <v>3153</v>
      </c>
    </row>
    <row r="700" spans="1:150" ht="15" hidden="1" customHeight="1">
      <c r="A700" s="1" t="s">
        <v>1425</v>
      </c>
      <c r="B700" t="s">
        <v>2492</v>
      </c>
      <c r="C700" t="s">
        <v>2493</v>
      </c>
      <c r="D700" t="s">
        <v>2494</v>
      </c>
      <c r="E700" t="s">
        <v>2495</v>
      </c>
      <c r="F700" t="s">
        <v>2496</v>
      </c>
      <c r="G700" t="s">
        <v>1431</v>
      </c>
      <c r="H700" t="s">
        <v>255</v>
      </c>
      <c r="I700">
        <v>2016</v>
      </c>
      <c r="J700">
        <v>24</v>
      </c>
      <c r="K700" t="s">
        <v>2497</v>
      </c>
      <c r="M700" t="str">
        <f>LEFT($D700,FIND(",",$D700)-1)&amp;"_"&amp;I700&amp;L700</f>
        <v>Zubizarreta-Gerendiain_2016</v>
      </c>
      <c r="N700" t="s">
        <v>223</v>
      </c>
      <c r="O700" s="145" t="s">
        <v>1156</v>
      </c>
      <c r="Q700" t="s">
        <v>257</v>
      </c>
      <c r="R700" s="264" t="s">
        <v>224</v>
      </c>
      <c r="S700" s="1" t="s">
        <v>2520</v>
      </c>
      <c r="T700" t="s">
        <v>2500</v>
      </c>
      <c r="U700" t="s">
        <v>2521</v>
      </c>
      <c r="V700">
        <v>0</v>
      </c>
      <c r="W700">
        <v>0</v>
      </c>
      <c r="X700">
        <v>0</v>
      </c>
      <c r="Y700">
        <v>0</v>
      </c>
      <c r="Z700">
        <v>0</v>
      </c>
      <c r="AA700">
        <v>0</v>
      </c>
      <c r="AB700">
        <v>0</v>
      </c>
      <c r="AC700">
        <v>0</v>
      </c>
      <c r="AD700">
        <v>0</v>
      </c>
      <c r="AE700">
        <v>0</v>
      </c>
      <c r="AF700">
        <v>1</v>
      </c>
      <c r="AG700">
        <v>0</v>
      </c>
      <c r="AH700">
        <v>0</v>
      </c>
      <c r="AI700">
        <v>0</v>
      </c>
      <c r="AJ700">
        <v>0</v>
      </c>
      <c r="AK700">
        <v>0</v>
      </c>
      <c r="AL700">
        <v>0</v>
      </c>
      <c r="AM700">
        <v>0</v>
      </c>
      <c r="AN700">
        <v>0</v>
      </c>
      <c r="AO700">
        <v>0</v>
      </c>
      <c r="AP700">
        <v>0</v>
      </c>
      <c r="AQ700">
        <v>0</v>
      </c>
      <c r="AR700">
        <v>0</v>
      </c>
      <c r="AS700">
        <v>0</v>
      </c>
      <c r="AT700">
        <v>0</v>
      </c>
      <c r="AU700">
        <v>0</v>
      </c>
      <c r="AV700">
        <v>0</v>
      </c>
      <c r="AW700">
        <v>0</v>
      </c>
      <c r="AX700" s="141">
        <f>COUNTIF(V700:AW700,"&lt;&gt;0")</f>
        <v>1</v>
      </c>
      <c r="AY700" s="141">
        <f>COUNTIF(V700:AL700,"&lt;&gt;0")</f>
        <v>1</v>
      </c>
      <c r="AZ700">
        <f>COUNTIF(V700:AC700,"&lt;&gt;0")</f>
        <v>0</v>
      </c>
      <c r="BA700">
        <f>COUNTIF(AD700:AI700,"&lt;&gt;0")</f>
        <v>1</v>
      </c>
      <c r="BB700">
        <f>COUNTIF(AJ700:AL700,"&lt;&gt;0")</f>
        <v>0</v>
      </c>
      <c r="BC700">
        <f>COUNTIF(AS700:AW700,"&lt;&gt;0")</f>
        <v>0</v>
      </c>
      <c r="BD700">
        <f>COUNTIF(AM700:AR700,"&lt;&gt;0")</f>
        <v>0</v>
      </c>
      <c r="BE700" t="str">
        <f t="array" ref="BE700">IF(AY700=1,INDEX($V$7:$AL$7,MATCH(TRUE,INDEX($V700:$AW700&lt;&gt;0,),0)),IF(AY700=0,INDEX($AM$7:$AW$7,MATCH(1,$AM700:$AW700,0)),IF(BF700="Multiple strategies","mixed drivers",IF(BF700="Supply chain","multiple supply","multiple silviculture"))))</f>
        <v>supply chain organization</v>
      </c>
      <c r="BF700" s="2" t="str" cm="1">
        <f t="array" ref="BF700">IF(COUNTIF(AZ700:BB700,"&lt;&gt;0")=1,INDEX($V$4:$AW$4,MATCH(TRUE,INDEX($V700:$AW700&lt;&gt;0,),0)),IF(COUNTIF(AZ700:BB700,"&lt;&gt;0")=0,INDEX($AM$4:$AW$4,MATCH(1,$AM700:$AW700,0)),"Multiple strategies"))</f>
        <v>Supply chain</v>
      </c>
      <c r="BG700" s="1" t="s">
        <v>322</v>
      </c>
      <c r="BH700" t="s">
        <v>2501</v>
      </c>
      <c r="BI700" s="266" t="s">
        <v>2115</v>
      </c>
      <c r="BJ700" t="s">
        <v>2502</v>
      </c>
      <c r="BK700">
        <v>82.946708463949804</v>
      </c>
      <c r="BL700">
        <v>84.921630094043806</v>
      </c>
      <c r="BM700" s="143">
        <f>BL700/BK700</f>
        <v>1.0238095238095233</v>
      </c>
      <c r="BN700">
        <f>BL700-BK700</f>
        <v>1.974921630094002</v>
      </c>
      <c r="BO700">
        <f>BN700*1000*t_to_m3</f>
        <v>4030.4523063142901</v>
      </c>
      <c r="BP700" s="143" t="s">
        <v>233</v>
      </c>
      <c r="BQ700" s="143" t="s">
        <v>3258</v>
      </c>
      <c r="BR700" t="s">
        <v>1197</v>
      </c>
      <c r="BS700">
        <v>-114599.70703910608</v>
      </c>
      <c r="BT700">
        <v>-112538.56122905009</v>
      </c>
      <c r="BU700" s="144">
        <f>IFERROR(BT700/BS700,"")</f>
        <v>0.98201438848920752</v>
      </c>
      <c r="BV700" s="144">
        <f>BT700-BS700</f>
        <v>2061.1458100559976</v>
      </c>
      <c r="BW700" s="144"/>
      <c r="BX700" s="144">
        <f>BV700</f>
        <v>2061.1458100559976</v>
      </c>
      <c r="BY700">
        <f>IFERROR(BX700/BO700,"")</f>
        <v>0.51139317709501553</v>
      </c>
      <c r="BZ700">
        <v>0</v>
      </c>
      <c r="CA700">
        <v>0</v>
      </c>
      <c r="CB700">
        <v>0</v>
      </c>
      <c r="CC700">
        <v>0</v>
      </c>
      <c r="CD700">
        <v>0</v>
      </c>
      <c r="CE700">
        <v>0</v>
      </c>
      <c r="CF700">
        <v>0</v>
      </c>
      <c r="CG700">
        <v>0</v>
      </c>
      <c r="CH700">
        <v>0</v>
      </c>
      <c r="CI700">
        <v>0</v>
      </c>
      <c r="CJ700">
        <v>0</v>
      </c>
      <c r="CK700">
        <v>0</v>
      </c>
      <c r="CL700">
        <v>0</v>
      </c>
      <c r="CM700">
        <v>1</v>
      </c>
      <c r="CN700" t="str">
        <f>IF($BL700&lt;$BK700,"refNeedCorrection","refOK")</f>
        <v>refOK</v>
      </c>
      <c r="CO700">
        <f>IF($CN700="refOK",$BK700,$BL700)</f>
        <v>82.946708463949804</v>
      </c>
      <c r="CP700">
        <f>IF($CN700="refOK",$BL700,$BK700)</f>
        <v>84.921630094043806</v>
      </c>
      <c r="CQ700">
        <f>IF($CN700="refOK",$BO700,-$BO700)</f>
        <v>4030.4523063142901</v>
      </c>
      <c r="CR700">
        <f>IF($CN700="refOK",$BS700,$BT700)*IF($BP700="Emissions positive",-1,1)</f>
        <v>-114599.70703910608</v>
      </c>
      <c r="CS700">
        <f>IF($CN700="refOK",$BT700,$BS700)*IF($BP700="Emissions positive",-1,1)</f>
        <v>-112538.56122905009</v>
      </c>
      <c r="CT700">
        <f>IF($CN700="refNeedCorrection",-BX700,BX700)*IF($BP700="Emissions positive",-1,1)</f>
        <v>2061.1458100559976</v>
      </c>
      <c r="CU700">
        <f>IFERROR(CT700/CQ700,"")</f>
        <v>0.51139317709501553</v>
      </c>
      <c r="CV700" s="2">
        <f>IFERROR((CS700-CR700)/ABS(CR700),"")</f>
        <v>1.7985611510792525E-2</v>
      </c>
      <c r="CW700" s="1" t="s">
        <v>1201</v>
      </c>
      <c r="CX700" t="str">
        <f>IF(OR($CW700="prd",$CW700="std",$CW700="cit"),"loc",IF(OR($CW700="eur",$CW700="reg",$CW700="coy"),"reg",$CW700))</f>
        <v>reg</v>
      </c>
      <c r="CY700" t="s">
        <v>236</v>
      </c>
      <c r="CZ700">
        <v>2010</v>
      </c>
      <c r="DA700">
        <v>2070</v>
      </c>
      <c r="DB700">
        <f>DA700-CZ700</f>
        <v>60</v>
      </c>
      <c r="DC700" t="str">
        <f>IF(DB700=0,"0",IF(AND(DB700&gt;=1,DB700&lt;=30),"1-30",IF(AND(DB700&gt;30,DB700&lt;=70),"31-70",IF(AND(DB700&gt;70,DB700&lt;=100),"71-100",IF(DB700&gt;100,"+100")))))</f>
        <v>31-70</v>
      </c>
      <c r="DD700">
        <v>1</v>
      </c>
      <c r="DE700">
        <v>1</v>
      </c>
      <c r="DF700">
        <v>1</v>
      </c>
      <c r="DG700">
        <v>1</v>
      </c>
      <c r="DH700">
        <v>0</v>
      </c>
      <c r="DI700">
        <f>SUM(DD700:DG700)</f>
        <v>4</v>
      </c>
      <c r="DJ700" t="str">
        <f>IF(DI700=1,INDEX($DD$7:$DG$7,MATCH(1,$DD700:$DG700,0)),"mixedProduct")</f>
        <v>mixedProduct</v>
      </c>
      <c r="DK700" t="str">
        <f>IF(DD700=1,DK$7,0)</f>
        <v>Upstream</v>
      </c>
      <c r="DL700" t="str">
        <f>IF(DE700=1,DL$7,0)</f>
        <v>Energy</v>
      </c>
      <c r="DM700" t="str">
        <f>IF(DF700=1,DM$7,0)</f>
        <v>Pulp/Paper</v>
      </c>
      <c r="DN700" t="str">
        <f>IF(DG700=1,DN$7,0)</f>
        <v>Timber</v>
      </c>
      <c r="DO700">
        <v>0</v>
      </c>
      <c r="DP700">
        <v>0</v>
      </c>
      <c r="DQ700">
        <v>0</v>
      </c>
      <c r="DR700">
        <v>0</v>
      </c>
      <c r="DS700">
        <v>0</v>
      </c>
      <c r="DT700">
        <f>SUM(DO700:DP700)</f>
        <v>0</v>
      </c>
      <c r="DU700" s="143" t="str">
        <f>IF(DO700=1,"self-calculated DF",IF(DP700=1,"external DF used","explicit C balance"))</f>
        <v>explicit C balance</v>
      </c>
      <c r="DV700">
        <v>1</v>
      </c>
      <c r="DW700">
        <v>1</v>
      </c>
      <c r="DX700">
        <v>1</v>
      </c>
      <c r="DY700">
        <v>0</v>
      </c>
      <c r="DZ700">
        <v>0</v>
      </c>
      <c r="EA700" s="143">
        <v>0</v>
      </c>
      <c r="EB700">
        <v>1</v>
      </c>
      <c r="EC700">
        <v>1</v>
      </c>
      <c r="ED700">
        <v>0</v>
      </c>
      <c r="EE700">
        <v>0</v>
      </c>
      <c r="EF700">
        <v>1</v>
      </c>
      <c r="EG700">
        <v>0</v>
      </c>
      <c r="EH700">
        <v>0</v>
      </c>
      <c r="EI700" s="2">
        <v>0</v>
      </c>
      <c r="EK700" t="str">
        <f>IF(AND(AND(AND(OR($DX700=1,$DW700=1),OR($EC700=1,$EA700=1)),SUM($DV700:$DZ700,$EF700)&gt;=4),SUM($EA700:$EE700)&gt;=2),"Whole sector","")</f>
        <v>Whole sector</v>
      </c>
      <c r="EL700" t="str">
        <f>IF(AND(AND(OR($DX700=1,$DW700=1),AND($EC700=0,$EA700=0)),SUM($DV700:$DZ700,$EF700)&gt;=4),"Ecosystem approach","")</f>
        <v/>
      </c>
      <c r="EM700" s="2" t="str">
        <f>IF(AND(AND(AND($DX700=0,$DW700=0),OR($EC700=1,$EA700=1)),SUM($EB700:$EE700)&gt;=2),"Technology approach","")</f>
        <v/>
      </c>
      <c r="EN700" t="s">
        <v>2510</v>
      </c>
      <c r="EP700" t="str">
        <f>IF(ISNUMBER(BU700),IF(ABS(BU700-[2]QC_indicators!$B$2)&gt;3*[2]QC_indicators!$C$2,"C ratio",IF(ISNUMBER(BY700),IF(ABS(BY700-[2]QC_indicators!$B$1)&gt;3*[2]QC_indicators!$C$1,"DF","no"))),IF(ISNUMBER(BY700),IF(ABS(BY700-[2]QC_indicators!$B$1)&gt;3*[2]QC_indicators!$C$1,"DF","no")))</f>
        <v>no</v>
      </c>
      <c r="ET700" s="266" t="s">
        <v>3259</v>
      </c>
    </row>
    <row r="701" spans="1:150" ht="15" hidden="1" customHeight="1">
      <c r="A701" s="1" t="s">
        <v>1425</v>
      </c>
      <c r="B701" t="s">
        <v>2492</v>
      </c>
      <c r="C701" t="s">
        <v>2493</v>
      </c>
      <c r="D701" t="s">
        <v>2494</v>
      </c>
      <c r="E701" t="s">
        <v>2495</v>
      </c>
      <c r="F701" t="s">
        <v>2496</v>
      </c>
      <c r="G701" t="s">
        <v>1431</v>
      </c>
      <c r="H701" t="s">
        <v>255</v>
      </c>
      <c r="I701">
        <v>2016</v>
      </c>
      <c r="J701">
        <v>24</v>
      </c>
      <c r="K701" t="s">
        <v>2497</v>
      </c>
      <c r="M701" t="str">
        <f>LEFT($D701,FIND(",",$D701)-1)&amp;"_"&amp;I701&amp;L701</f>
        <v>Zubizarreta-Gerendiain_2016</v>
      </c>
      <c r="N701" t="s">
        <v>223</v>
      </c>
      <c r="O701" s="145" t="s">
        <v>1156</v>
      </c>
      <c r="Q701" t="s">
        <v>257</v>
      </c>
      <c r="R701" s="264" t="s">
        <v>224</v>
      </c>
      <c r="S701" s="1" t="s">
        <v>2520</v>
      </c>
      <c r="T701" t="s">
        <v>2506</v>
      </c>
      <c r="U701" t="s">
        <v>2522</v>
      </c>
      <c r="V701">
        <v>0</v>
      </c>
      <c r="W701">
        <v>0</v>
      </c>
      <c r="X701">
        <v>0</v>
      </c>
      <c r="Y701">
        <v>0</v>
      </c>
      <c r="Z701">
        <v>0</v>
      </c>
      <c r="AA701">
        <v>0</v>
      </c>
      <c r="AB701">
        <v>0</v>
      </c>
      <c r="AC701">
        <v>0</v>
      </c>
      <c r="AD701">
        <v>0</v>
      </c>
      <c r="AE701">
        <v>0</v>
      </c>
      <c r="AF701">
        <v>1</v>
      </c>
      <c r="AG701">
        <v>0</v>
      </c>
      <c r="AH701">
        <v>0</v>
      </c>
      <c r="AI701">
        <v>0</v>
      </c>
      <c r="AJ701">
        <v>0</v>
      </c>
      <c r="AK701">
        <v>0</v>
      </c>
      <c r="AL701">
        <v>0</v>
      </c>
      <c r="AM701">
        <v>0</v>
      </c>
      <c r="AN701">
        <v>0</v>
      </c>
      <c r="AO701">
        <v>0</v>
      </c>
      <c r="AP701">
        <v>0</v>
      </c>
      <c r="AQ701">
        <v>0</v>
      </c>
      <c r="AR701">
        <v>0</v>
      </c>
      <c r="AS701">
        <v>0</v>
      </c>
      <c r="AT701">
        <v>0</v>
      </c>
      <c r="AU701">
        <v>0</v>
      </c>
      <c r="AV701">
        <v>0</v>
      </c>
      <c r="AW701">
        <v>0</v>
      </c>
      <c r="AX701" s="141">
        <f>COUNTIF(V701:AW701,"&lt;&gt;0")</f>
        <v>1</v>
      </c>
      <c r="AY701" s="141">
        <f>COUNTIF(V701:AL701,"&lt;&gt;0")</f>
        <v>1</v>
      </c>
      <c r="AZ701">
        <f>COUNTIF(V701:AC701,"&lt;&gt;0")</f>
        <v>0</v>
      </c>
      <c r="BA701">
        <f>COUNTIF(AD701:AI701,"&lt;&gt;0")</f>
        <v>1</v>
      </c>
      <c r="BB701">
        <f>COUNTIF(AJ701:AL701,"&lt;&gt;0")</f>
        <v>0</v>
      </c>
      <c r="BC701">
        <f>COUNTIF(AS701:AW701,"&lt;&gt;0")</f>
        <v>0</v>
      </c>
      <c r="BD701">
        <f>COUNTIF(AM701:AR701,"&lt;&gt;0")</f>
        <v>0</v>
      </c>
      <c r="BE701" t="str">
        <f t="array" ref="BE701">IF(AY701=1,INDEX($V$7:$AL$7,MATCH(TRUE,INDEX($V701:$AW701&lt;&gt;0,),0)),IF(AY701=0,INDEX($AM$7:$AW$7,MATCH(1,$AM701:$AW701,0)),IF(BF701="Multiple strategies","mixed drivers",IF(BF701="Supply chain","multiple supply","multiple silviculture"))))</f>
        <v>supply chain organization</v>
      </c>
      <c r="BF701" s="2" t="str" cm="1">
        <f t="array" ref="BF701">IF(COUNTIF(AZ701:BB701,"&lt;&gt;0")=1,INDEX($V$4:$AW$4,MATCH(TRUE,INDEX($V701:$AW701&lt;&gt;0,),0)),IF(COUNTIF(AZ701:BB701,"&lt;&gt;0")=0,INDEX($AM$4:$AW$4,MATCH(1,$AM701:$AW701,0)),"Multiple strategies"))</f>
        <v>Supply chain</v>
      </c>
      <c r="BG701" s="1" t="s">
        <v>322</v>
      </c>
      <c r="BH701" t="s">
        <v>2501</v>
      </c>
      <c r="BI701" s="266" t="s">
        <v>2115</v>
      </c>
      <c r="BJ701" t="s">
        <v>2502</v>
      </c>
      <c r="BK701">
        <v>82.634271099744197</v>
      </c>
      <c r="BL701">
        <v>84.015345268542205</v>
      </c>
      <c r="BM701" s="143">
        <f>BL701/BK701</f>
        <v>1.0167130919220062</v>
      </c>
      <c r="BN701">
        <f>BL701-BK701</f>
        <v>1.3810741687980084</v>
      </c>
      <c r="BO701">
        <f>BN701*1000*t_to_m3</f>
        <v>2818.5187118326703</v>
      </c>
      <c r="BP701" s="143" t="s">
        <v>233</v>
      </c>
      <c r="BQ701" s="143" t="s">
        <v>3258</v>
      </c>
      <c r="BR701" t="s">
        <v>1197</v>
      </c>
      <c r="BS701">
        <v>-87418.696485623019</v>
      </c>
      <c r="BT701">
        <v>-82406.156549520776</v>
      </c>
      <c r="BU701" s="144">
        <f>IFERROR(BT701/BS701,"")</f>
        <v>0.94266055045871555</v>
      </c>
      <c r="BV701" s="144">
        <f>BT701-BS701</f>
        <v>5012.5399361022428</v>
      </c>
      <c r="BW701" s="144"/>
      <c r="BX701" s="144">
        <f>BV701</f>
        <v>5012.5399361022428</v>
      </c>
      <c r="BY701">
        <f>IFERROR(BX701/BO701,"")</f>
        <v>1.7784306043662792</v>
      </c>
      <c r="BZ701">
        <v>0</v>
      </c>
      <c r="CA701">
        <v>0</v>
      </c>
      <c r="CB701">
        <v>0</v>
      </c>
      <c r="CC701">
        <v>0</v>
      </c>
      <c r="CD701">
        <v>0</v>
      </c>
      <c r="CE701">
        <v>0</v>
      </c>
      <c r="CF701">
        <v>0</v>
      </c>
      <c r="CG701">
        <v>0</v>
      </c>
      <c r="CH701">
        <v>0</v>
      </c>
      <c r="CI701">
        <v>0</v>
      </c>
      <c r="CJ701">
        <v>0</v>
      </c>
      <c r="CK701">
        <v>0</v>
      </c>
      <c r="CL701">
        <v>0</v>
      </c>
      <c r="CM701">
        <v>1</v>
      </c>
      <c r="CN701" t="str">
        <f>IF($BL701&lt;$BK701,"refNeedCorrection","refOK")</f>
        <v>refOK</v>
      </c>
      <c r="CO701">
        <f>IF($CN701="refOK",$BK701,$BL701)</f>
        <v>82.634271099744197</v>
      </c>
      <c r="CP701">
        <f>IF($CN701="refOK",$BL701,$BK701)</f>
        <v>84.015345268542205</v>
      </c>
      <c r="CQ701">
        <f>IF($CN701="refOK",$BO701,-$BO701)</f>
        <v>2818.5187118326703</v>
      </c>
      <c r="CR701">
        <f>IF($CN701="refOK",$BS701,$BT701)*IF($BP701="Emissions positive",-1,1)</f>
        <v>-87418.696485623019</v>
      </c>
      <c r="CS701">
        <f>IF($CN701="refOK",$BT701,$BS701)*IF($BP701="Emissions positive",-1,1)</f>
        <v>-82406.156549520776</v>
      </c>
      <c r="CT701">
        <f>IF($CN701="refNeedCorrection",-BX701,BX701)*IF($BP701="Emissions positive",-1,1)</f>
        <v>5012.5399361022428</v>
      </c>
      <c r="CU701">
        <f>IFERROR(CT701/CQ701,"")</f>
        <v>1.7784306043662792</v>
      </c>
      <c r="CV701" s="2">
        <f>IFERROR((CS701-CR701)/ABS(CR701),"")</f>
        <v>5.7339449541284469E-2</v>
      </c>
      <c r="CW701" s="1" t="s">
        <v>1201</v>
      </c>
      <c r="CX701" t="str">
        <f>IF(OR($CW701="prd",$CW701="std",$CW701="cit"),"loc",IF(OR($CW701="eur",$CW701="reg",$CW701="coy"),"reg",$CW701))</f>
        <v>reg</v>
      </c>
      <c r="CY701" t="s">
        <v>236</v>
      </c>
      <c r="CZ701">
        <v>2010</v>
      </c>
      <c r="DA701">
        <v>2070</v>
      </c>
      <c r="DB701">
        <f>DA701-CZ701</f>
        <v>60</v>
      </c>
      <c r="DC701" t="str">
        <f>IF(DB701=0,"0",IF(AND(DB701&gt;=1,DB701&lt;=30),"1-30",IF(AND(DB701&gt;30,DB701&lt;=70),"31-70",IF(AND(DB701&gt;70,DB701&lt;=100),"71-100",IF(DB701&gt;100,"+100")))))</f>
        <v>31-70</v>
      </c>
      <c r="DD701">
        <v>1</v>
      </c>
      <c r="DE701">
        <v>1</v>
      </c>
      <c r="DF701">
        <v>1</v>
      </c>
      <c r="DG701">
        <v>1</v>
      </c>
      <c r="DH701">
        <v>0</v>
      </c>
      <c r="DI701">
        <f>SUM(DD701:DG701)</f>
        <v>4</v>
      </c>
      <c r="DJ701" t="str">
        <f>IF(DI701=1,INDEX($DD$7:$DG$7,MATCH(1,$DD701:$DG701,0)),"mixedProduct")</f>
        <v>mixedProduct</v>
      </c>
      <c r="DK701" t="str">
        <f>IF(DD701=1,DK$7,0)</f>
        <v>Upstream</v>
      </c>
      <c r="DL701" t="str">
        <f>IF(DE701=1,DL$7,0)</f>
        <v>Energy</v>
      </c>
      <c r="DM701" t="str">
        <f>IF(DF701=1,DM$7,0)</f>
        <v>Pulp/Paper</v>
      </c>
      <c r="DN701" t="str">
        <f>IF(DG701=1,DN$7,0)</f>
        <v>Timber</v>
      </c>
      <c r="DO701">
        <v>0</v>
      </c>
      <c r="DP701">
        <v>0</v>
      </c>
      <c r="DQ701">
        <v>0</v>
      </c>
      <c r="DR701">
        <v>0</v>
      </c>
      <c r="DS701">
        <v>0</v>
      </c>
      <c r="DT701">
        <f>SUM(DO701:DP701)</f>
        <v>0</v>
      </c>
      <c r="DU701" s="143" t="str">
        <f>IF(DO701=1,"self-calculated DF",IF(DP701=1,"external DF used","explicit C balance"))</f>
        <v>explicit C balance</v>
      </c>
      <c r="DV701">
        <v>1</v>
      </c>
      <c r="DW701">
        <v>1</v>
      </c>
      <c r="DX701">
        <v>1</v>
      </c>
      <c r="DY701">
        <v>0</v>
      </c>
      <c r="DZ701">
        <v>0</v>
      </c>
      <c r="EA701" s="143">
        <v>0</v>
      </c>
      <c r="EB701">
        <v>1</v>
      </c>
      <c r="EC701">
        <v>1</v>
      </c>
      <c r="ED701">
        <v>0</v>
      </c>
      <c r="EE701">
        <v>0</v>
      </c>
      <c r="EF701">
        <v>1</v>
      </c>
      <c r="EG701">
        <v>0</v>
      </c>
      <c r="EH701">
        <v>0</v>
      </c>
      <c r="EI701" s="2">
        <v>0</v>
      </c>
      <c r="EK701" t="str">
        <f>IF(AND(AND(AND(OR($DX701=1,$DW701=1),OR($EC701=1,$EA701=1)),SUM($DV701:$DZ701,$EF701)&gt;=4),SUM($EA701:$EE701)&gt;=2),"Whole sector","")</f>
        <v>Whole sector</v>
      </c>
      <c r="EL701" t="str">
        <f>IF(AND(AND(OR($DX701=1,$DW701=1),AND($EC701=0,$EA701=0)),SUM($DV701:$DZ701,$EF701)&gt;=4),"Ecosystem approach","")</f>
        <v/>
      </c>
      <c r="EM701" s="2" t="str">
        <f>IF(AND(AND(AND($DX701=0,$DW701=0),OR($EC701=1,$EA701=1)),SUM($EB701:$EE701)&gt;=2),"Technology approach","")</f>
        <v/>
      </c>
      <c r="EN701" t="s">
        <v>2510</v>
      </c>
      <c r="EP701" t="str">
        <f>IF(ISNUMBER(BU701),IF(ABS(BU701-[2]QC_indicators!$B$2)&gt;3*[2]QC_indicators!$C$2,"C ratio",IF(ISNUMBER(BY701),IF(ABS(BY701-[2]QC_indicators!$B$1)&gt;3*[2]QC_indicators!$C$1,"DF","no"))),IF(ISNUMBER(BY701),IF(ABS(BY701-[2]QC_indicators!$B$1)&gt;3*[2]QC_indicators!$C$1,"DF","no")))</f>
        <v>no</v>
      </c>
      <c r="ET701" s="266" t="s">
        <v>3259</v>
      </c>
    </row>
    <row r="702" spans="1:150" ht="15" customHeight="1">
      <c r="A702" s="1" t="s">
        <v>2069</v>
      </c>
      <c r="B702" t="s">
        <v>2070</v>
      </c>
      <c r="C702" t="s">
        <v>545</v>
      </c>
      <c r="D702" t="s">
        <v>2071</v>
      </c>
      <c r="E702" t="s">
        <v>2072</v>
      </c>
      <c r="F702" t="s">
        <v>2073</v>
      </c>
      <c r="G702" t="s">
        <v>2074</v>
      </c>
      <c r="H702" t="s">
        <v>255</v>
      </c>
      <c r="I702">
        <v>2021</v>
      </c>
      <c r="J702">
        <v>0</v>
      </c>
      <c r="K702" t="s">
        <v>2075</v>
      </c>
      <c r="M702" t="str">
        <f>LEFT($D702,FIND(",",$D702)-1)&amp;"_"&amp;I702&amp;L702</f>
        <v>Paletto_2021</v>
      </c>
      <c r="N702" t="s">
        <v>223</v>
      </c>
      <c r="O702" s="157" t="s">
        <v>275</v>
      </c>
      <c r="P702" t="s">
        <v>514</v>
      </c>
      <c r="Q702" t="s">
        <v>390</v>
      </c>
      <c r="R702" s="264" t="s">
        <v>224</v>
      </c>
      <c r="S702" s="1" t="s">
        <v>2076</v>
      </c>
      <c r="T702" t="s">
        <v>2077</v>
      </c>
      <c r="U702" s="184" t="s">
        <v>2081</v>
      </c>
      <c r="V702">
        <v>0</v>
      </c>
      <c r="W702">
        <v>0</v>
      </c>
      <c r="X702">
        <v>0</v>
      </c>
      <c r="Y702">
        <v>1</v>
      </c>
      <c r="Z702">
        <v>0</v>
      </c>
      <c r="AA702">
        <v>0</v>
      </c>
      <c r="AB702">
        <v>0</v>
      </c>
      <c r="AC702">
        <v>0</v>
      </c>
      <c r="AD702">
        <v>0</v>
      </c>
      <c r="AE702">
        <v>0</v>
      </c>
      <c r="AF702">
        <v>0</v>
      </c>
      <c r="AG702">
        <v>0</v>
      </c>
      <c r="AH702">
        <v>0</v>
      </c>
      <c r="AI702">
        <v>0</v>
      </c>
      <c r="AJ702">
        <v>0</v>
      </c>
      <c r="AK702">
        <v>0</v>
      </c>
      <c r="AL702">
        <v>0</v>
      </c>
      <c r="AM702">
        <v>0</v>
      </c>
      <c r="AN702">
        <v>0</v>
      </c>
      <c r="AO702">
        <v>0</v>
      </c>
      <c r="AP702">
        <v>0</v>
      </c>
      <c r="AQ702">
        <v>0</v>
      </c>
      <c r="AR702">
        <v>0</v>
      </c>
      <c r="AS702">
        <v>0</v>
      </c>
      <c r="AT702">
        <v>0</v>
      </c>
      <c r="AU702">
        <v>0</v>
      </c>
      <c r="AV702">
        <v>0</v>
      </c>
      <c r="AW702">
        <v>0</v>
      </c>
      <c r="AX702" s="141">
        <f>COUNTIF(V702:AW702,"&lt;&gt;0")</f>
        <v>1</v>
      </c>
      <c r="AY702" s="141">
        <f>COUNTIF(V702:AL702,"&lt;&gt;0")</f>
        <v>1</v>
      </c>
      <c r="AZ702">
        <f>COUNTIF(V702:AC702,"&lt;&gt;0")</f>
        <v>1</v>
      </c>
      <c r="BA702">
        <f>COUNTIF(AD702:AI702,"&lt;&gt;0")</f>
        <v>0</v>
      </c>
      <c r="BB702">
        <f>COUNTIF(AJ702:AL702,"&lt;&gt;0")</f>
        <v>0</v>
      </c>
      <c r="BC702">
        <f>COUNTIF(AS702:AW702,"&lt;&gt;0")</f>
        <v>0</v>
      </c>
      <c r="BD702">
        <f>COUNTIF(AM702:AR702,"&lt;&gt;0")</f>
        <v>0</v>
      </c>
      <c r="BE702" t="str">
        <f t="array" ref="BE702">IF(AY702=1,INDEX($V$7:$AL$7,MATCH(TRUE,INDEX($V702:$AW702&lt;&gt;0,),0)),IF(AY702=0,INDEX($AM$7:$AW$7,MATCH(1,$AM702:$AW702,0)),IF(BF702="Multiple strategies","mixed drivers",IF(BF702="Supply chain","multiple supply","multiple silviculture"))))</f>
        <v xml:space="preserve">cutting intensity </v>
      </c>
      <c r="BF702" s="2" t="str" cm="1">
        <f t="array" ref="BF702">IF(COUNTIF(AZ702:BB702,"&lt;&gt;0")=1,INDEX($V$4:$AW$4,MATCH(TRUE,INDEX($V702:$AW702&lt;&gt;0,),0)),IF(COUNTIF(AZ702:BB702,"&lt;&gt;0")=0,INDEX($AM$4:$AW$4,MATCH(1,$AM702:$AW702,0)),"Multiple strategies"))</f>
        <v>SilvicultureRemov</v>
      </c>
      <c r="BG702" s="1" t="s">
        <v>322</v>
      </c>
      <c r="BI702" s="266" t="s">
        <v>425</v>
      </c>
      <c r="BJ702" t="s">
        <v>2079</v>
      </c>
      <c r="BK702">
        <v>0</v>
      </c>
      <c r="BL702">
        <v>144.19999999999999</v>
      </c>
      <c r="BM702" t="str">
        <f>IFERROR(BL702/BK702,"")</f>
        <v/>
      </c>
      <c r="BN702">
        <f>BL702-BK702</f>
        <v>144.19999999999999</v>
      </c>
      <c r="BO702">
        <f>BN702</f>
        <v>144.19999999999999</v>
      </c>
      <c r="BP702" t="s">
        <v>233</v>
      </c>
      <c r="BQ702" s="266" t="s">
        <v>397</v>
      </c>
      <c r="BR702" t="s">
        <v>2080</v>
      </c>
      <c r="BU702" s="144"/>
      <c r="BV702">
        <v>-114.9</v>
      </c>
      <c r="BX702">
        <f>BV702</f>
        <v>-114.9</v>
      </c>
      <c r="BY702">
        <f>IFERROR(BX702/BO702,"")</f>
        <v>-0.79680998613037457</v>
      </c>
      <c r="BZ702">
        <v>0</v>
      </c>
      <c r="CA702">
        <v>0</v>
      </c>
      <c r="CB702">
        <v>0</v>
      </c>
      <c r="CC702">
        <v>0</v>
      </c>
      <c r="CD702">
        <v>0</v>
      </c>
      <c r="CE702">
        <v>0</v>
      </c>
      <c r="CF702">
        <v>0</v>
      </c>
      <c r="CG702">
        <v>0</v>
      </c>
      <c r="CH702">
        <v>0</v>
      </c>
      <c r="CI702">
        <v>0</v>
      </c>
      <c r="CJ702">
        <v>0</v>
      </c>
      <c r="CK702">
        <v>0</v>
      </c>
      <c r="CL702">
        <v>0</v>
      </c>
      <c r="CM702">
        <v>1</v>
      </c>
      <c r="CN702" t="str">
        <f>IF($BL702&lt;$BK702,"refNeedCorrection","refOK")</f>
        <v>refOK</v>
      </c>
      <c r="CO702">
        <f>IF($CN702="refOK",$BK702,$BL702)</f>
        <v>0</v>
      </c>
      <c r="CP702">
        <f>IF($CN702="refOK",$BL702,$BK702)</f>
        <v>144.19999999999999</v>
      </c>
      <c r="CQ702">
        <f>IF($CN702="refOK",$BO702,-$BO702)</f>
        <v>144.19999999999999</v>
      </c>
      <c r="CR702">
        <f>IF($CN702="refOK",$BS702,$BT702)*IF($BP702="Emissions positive",-1,1)</f>
        <v>0</v>
      </c>
      <c r="CS702">
        <f>IF($CN702="refOK",$BT702,$BS702)*IF($BP702="Emissions positive",-1,1)</f>
        <v>0</v>
      </c>
      <c r="CT702">
        <f>IF($CN702="refNeedCorrection",-BX702,BX702)*IF($BP702="Emissions positive",-1,1)</f>
        <v>-114.9</v>
      </c>
      <c r="CU702">
        <f>IFERROR(CT702/CQ702,"")</f>
        <v>-0.79680998613037457</v>
      </c>
      <c r="CV702" s="2" t="str">
        <f>IFERROR((CS702-CR702)/ABS(CR702),"")</f>
        <v/>
      </c>
      <c r="CW702" s="1" t="s">
        <v>2038</v>
      </c>
      <c r="CX702" t="str">
        <f>IF(OR($CW702="prd",$CW702="std",$CW702="cit"),"loc",IF(OR($CW702="eur",$CW702="reg",$CW702="coy"),"reg",$CW702))</f>
        <v>reg</v>
      </c>
      <c r="CY702" t="s">
        <v>734</v>
      </c>
      <c r="DB702">
        <v>15</v>
      </c>
      <c r="DC702" t="str">
        <f>IF(DB702=0,"0",IF(AND(DB702&gt;=1,DB702&lt;=30),"1-30",IF(AND(DB702&gt;30,DB702&lt;=70),"31-70",IF(AND(DB702&gt;70,DB702&lt;=100),"71-100",IF(DB702&gt;100,"+100")))))</f>
        <v>1-30</v>
      </c>
      <c r="DD702">
        <v>1</v>
      </c>
      <c r="DE702">
        <v>0</v>
      </c>
      <c r="DF702">
        <v>0</v>
      </c>
      <c r="DG702">
        <v>0</v>
      </c>
      <c r="DH702">
        <v>0</v>
      </c>
      <c r="DI702">
        <f>SUM(DD702:DH702)</f>
        <v>1</v>
      </c>
      <c r="DJ702" t="str">
        <f>IF(DI702=1,INDEX($DD$7:$DG$7,MATCH(1,$DD702:$DG702,0)),"mixedProduct")</f>
        <v>UpstreamInput</v>
      </c>
      <c r="DK702" t="str">
        <f>IF(DD702=1,DK$7,0)</f>
        <v>Upstream</v>
      </c>
      <c r="DL702">
        <f>IF(DE702=1,DL$7,0)</f>
        <v>0</v>
      </c>
      <c r="DM702">
        <f>IF(DF702=1,DM$7,0)</f>
        <v>0</v>
      </c>
      <c r="DN702">
        <f>IF(DG702=1,DN$7,0)</f>
        <v>0</v>
      </c>
      <c r="DO702">
        <v>0</v>
      </c>
      <c r="DP702">
        <v>0</v>
      </c>
      <c r="DQ702">
        <v>0</v>
      </c>
      <c r="DR702">
        <v>0</v>
      </c>
      <c r="DS702">
        <v>0</v>
      </c>
      <c r="DT702"/>
      <c r="DU702" s="143" t="str">
        <f>IF(DO702=1,"self-calculated DF",IF(DP702=1,"external DF used","explicit C balance"))</f>
        <v>explicit C balance</v>
      </c>
      <c r="DV702">
        <v>1</v>
      </c>
      <c r="DW702">
        <v>1</v>
      </c>
      <c r="DX702">
        <v>1</v>
      </c>
      <c r="DY702">
        <v>0</v>
      </c>
      <c r="DZ702">
        <v>0</v>
      </c>
      <c r="EA702" s="143">
        <v>0</v>
      </c>
      <c r="EB702">
        <v>0</v>
      </c>
      <c r="EC702">
        <v>0</v>
      </c>
      <c r="ED702">
        <v>0</v>
      </c>
      <c r="EE702">
        <v>0</v>
      </c>
      <c r="EF702">
        <v>1</v>
      </c>
      <c r="EG702">
        <v>0</v>
      </c>
      <c r="EH702">
        <v>0</v>
      </c>
      <c r="EI702" s="2">
        <v>0</v>
      </c>
      <c r="EK702" t="str">
        <f>IF(AND(AND(AND(OR($DX702=1,$DW702=1),OR($EC702=1,$EA702=1)),SUM($DV702:$DZ702,$EF702)&gt;=4),SUM($EA702:$EE702)&gt;=2),"Whole sector","")</f>
        <v/>
      </c>
      <c r="EL702" t="str">
        <f>IF(AND(AND(OR($DX702=1,$DW702=1),AND($EC702=0,$EA702=0)),SUM($DV702:$DZ702,$EF702)&gt;=4),"Ecosystem approach","")</f>
        <v>Ecosystem approach</v>
      </c>
      <c r="EM702" s="2" t="str">
        <f>IF(AND(AND(AND($DX702=0,$DW702=0),OR($EC702=1,$EA702=1)),SUM($EB702:$EE702)&gt;=2),"Technology approach","")</f>
        <v/>
      </c>
      <c r="EP702" t="str">
        <f>IF(ISNUMBER(BU702),IF(ABS(BU702-[2]QC_indicators!$B$2)&gt;3*[2]QC_indicators!$C$2,"C ratio",IF(ISNUMBER(BY702),IF(ABS(BY702-[2]QC_indicators!$B$1)&gt;3*[2]QC_indicators!$C$1,"DF","no"))),IF(ISNUMBER(BY702),IF(ABS(BY702-[2]QC_indicators!$B$1)&gt;3*[2]QC_indicators!$C$1,"DF","no")))</f>
        <v>no</v>
      </c>
      <c r="ET702" s="266" t="s">
        <v>3153</v>
      </c>
    </row>
    <row r="703" spans="1:150" ht="15" hidden="1" customHeight="1">
      <c r="A703" s="1" t="s">
        <v>1425</v>
      </c>
      <c r="B703" t="s">
        <v>2492</v>
      </c>
      <c r="C703" t="s">
        <v>2493</v>
      </c>
      <c r="D703" t="s">
        <v>2494</v>
      </c>
      <c r="E703" t="s">
        <v>2495</v>
      </c>
      <c r="F703" t="s">
        <v>2496</v>
      </c>
      <c r="G703" t="s">
        <v>1431</v>
      </c>
      <c r="H703" t="s">
        <v>255</v>
      </c>
      <c r="I703">
        <v>2016</v>
      </c>
      <c r="J703">
        <v>24</v>
      </c>
      <c r="K703" t="s">
        <v>2497</v>
      </c>
      <c r="M703" t="str">
        <f>LEFT($D703,FIND(",",$D703)-1)&amp;"_"&amp;I703&amp;L703</f>
        <v>Zubizarreta-Gerendiain_2016</v>
      </c>
      <c r="N703" t="s">
        <v>223</v>
      </c>
      <c r="O703" s="145" t="s">
        <v>1156</v>
      </c>
      <c r="Q703" t="s">
        <v>257</v>
      </c>
      <c r="R703" s="264" t="s">
        <v>224</v>
      </c>
      <c r="S703" s="1" t="s">
        <v>2523</v>
      </c>
      <c r="T703" t="s">
        <v>2513</v>
      </c>
      <c r="U703" t="s">
        <v>2525</v>
      </c>
      <c r="V703">
        <v>0</v>
      </c>
      <c r="W703">
        <v>0</v>
      </c>
      <c r="X703">
        <v>0</v>
      </c>
      <c r="Y703">
        <v>0</v>
      </c>
      <c r="Z703">
        <v>0</v>
      </c>
      <c r="AA703">
        <v>0</v>
      </c>
      <c r="AB703">
        <v>0</v>
      </c>
      <c r="AC703">
        <v>0</v>
      </c>
      <c r="AD703">
        <v>0</v>
      </c>
      <c r="AE703">
        <v>0</v>
      </c>
      <c r="AF703">
        <v>2</v>
      </c>
      <c r="AG703">
        <v>0</v>
      </c>
      <c r="AH703">
        <v>0</v>
      </c>
      <c r="AI703">
        <v>0</v>
      </c>
      <c r="AJ703">
        <v>0</v>
      </c>
      <c r="AK703">
        <v>0</v>
      </c>
      <c r="AL703">
        <v>0</v>
      </c>
      <c r="AM703">
        <v>0</v>
      </c>
      <c r="AN703">
        <v>1</v>
      </c>
      <c r="AO703">
        <v>2</v>
      </c>
      <c r="AP703">
        <v>0</v>
      </c>
      <c r="AQ703">
        <v>0</v>
      </c>
      <c r="AR703">
        <v>0</v>
      </c>
      <c r="AS703">
        <v>0</v>
      </c>
      <c r="AT703">
        <v>0</v>
      </c>
      <c r="AU703">
        <v>0</v>
      </c>
      <c r="AV703">
        <v>0</v>
      </c>
      <c r="AW703">
        <v>0</v>
      </c>
      <c r="AX703" s="141">
        <f>COUNTIF(V703:AW703,"&lt;&gt;0")</f>
        <v>3</v>
      </c>
      <c r="AY703" s="141">
        <f>COUNTIF(V703:AL703,"&lt;&gt;0")</f>
        <v>1</v>
      </c>
      <c r="AZ703">
        <f>COUNTIF(V703:AC703,"&lt;&gt;0")</f>
        <v>0</v>
      </c>
      <c r="BA703">
        <f>COUNTIF(AD703:AI703,"&lt;&gt;0")</f>
        <v>1</v>
      </c>
      <c r="BB703">
        <f>COUNTIF(AJ703:AL703,"&lt;&gt;0")</f>
        <v>0</v>
      </c>
      <c r="BC703">
        <f>COUNTIF(AS703:AW703,"&lt;&gt;0")</f>
        <v>0</v>
      </c>
      <c r="BD703">
        <f>COUNTIF(AM703:AR703,"&lt;&gt;0")</f>
        <v>2</v>
      </c>
      <c r="BE703" t="str">
        <f t="array" ref="BE703">IF(AY703=1,INDEX($V$7:$AL$7,MATCH(TRUE,INDEX($V703:$AW703&lt;&gt;0,),0)),IF(AY703=0,INDEX($AM$7:$AW$7,MATCH(1,$AM703:$AW703,0)),IF(BF703="Multiple strategies","mixed drivers",IF(BF703="Supply chain","multiple supply","multiple silviculture"))))</f>
        <v>supply chain organization</v>
      </c>
      <c r="BF703" s="2" t="str" cm="1">
        <f t="array" ref="BF703">IF(COUNTIF(AZ703:BB703,"&lt;&gt;0")=1,INDEX($V$4:$AW$4,MATCH(TRUE,INDEX($V703:$AW703&lt;&gt;0,),0)),IF(COUNTIF(AZ703:BB703,"&lt;&gt;0")=0,INDEX($AM$4:$AW$4,MATCH(1,$AM703:$AW703,0)),"Multiple strategies"))</f>
        <v>Supply chain</v>
      </c>
      <c r="BM703" s="143"/>
      <c r="BN703" s="143"/>
      <c r="BP703" s="143" t="s">
        <v>233</v>
      </c>
      <c r="BQ703" s="143"/>
      <c r="BR703" t="s">
        <v>1197</v>
      </c>
      <c r="BS703">
        <v>-70376.060702875271</v>
      </c>
      <c r="BT703">
        <v>-69373.552715654951</v>
      </c>
      <c r="BU703" s="144">
        <f>IFERROR(BT703/BS703,"")</f>
        <v>0.98575498575498754</v>
      </c>
      <c r="BV703" s="144">
        <f>BT703-BS703</f>
        <v>1002.5079872203205</v>
      </c>
      <c r="BW703" s="144"/>
      <c r="BX703" s="144">
        <f>BV703</f>
        <v>1002.5079872203205</v>
      </c>
      <c r="BY703" t="str">
        <f>IFERROR(BX703/BO703,"")</f>
        <v/>
      </c>
      <c r="BZ703">
        <v>0</v>
      </c>
      <c r="CA703">
        <v>0</v>
      </c>
      <c r="CB703">
        <v>0</v>
      </c>
      <c r="CC703">
        <v>0</v>
      </c>
      <c r="CD703">
        <v>0</v>
      </c>
      <c r="CE703">
        <v>0</v>
      </c>
      <c r="CF703">
        <v>0</v>
      </c>
      <c r="CG703">
        <v>0</v>
      </c>
      <c r="CH703">
        <v>0</v>
      </c>
      <c r="CI703">
        <v>0</v>
      </c>
      <c r="CJ703">
        <v>0</v>
      </c>
      <c r="CK703">
        <v>0</v>
      </c>
      <c r="CL703">
        <v>0</v>
      </c>
      <c r="CM703">
        <v>1</v>
      </c>
      <c r="CN703" t="str">
        <f>IF(BL703&lt;BK703,"refNeedCorrection","refOK")</f>
        <v>refOK</v>
      </c>
      <c r="CO703"/>
      <c r="CP703"/>
      <c r="CQ703"/>
      <c r="CR703">
        <f>IF($CN703="refOK",$BS703,$BT703)*IF($BP703="Emissions positive",-1,1)</f>
        <v>-70376.060702875271</v>
      </c>
      <c r="CS703">
        <f>IF($CN703="refOK",$BT703,$BS703)*IF($BP703="Emissions positive",-1,1)</f>
        <v>-69373.552715654951</v>
      </c>
      <c r="CT703">
        <f>IF($CN703="refNeedCorrection",-BX703,BX703)*IF($BP703="Emissions positive",-1,1)</f>
        <v>1002.5079872203205</v>
      </c>
      <c r="CU703" t="str">
        <f>IFERROR(CT703/CQ703,"")</f>
        <v/>
      </c>
      <c r="CV703" s="2">
        <f>IFERROR((CS703-CR703)/ABS(CR703),"")</f>
        <v>1.4245014245012469E-2</v>
      </c>
      <c r="CW703" s="1" t="s">
        <v>1201</v>
      </c>
      <c r="CX703" t="str">
        <f>IF(OR($CW703="prd",$CW703="std",$CW703="cit"),"loc",IF(OR($CW703="eur",$CW703="reg",$CW703="coy"),"reg",$CW703))</f>
        <v>reg</v>
      </c>
      <c r="CY703" t="s">
        <v>236</v>
      </c>
      <c r="CZ703">
        <v>2010</v>
      </c>
      <c r="DA703">
        <v>2070</v>
      </c>
      <c r="DB703">
        <f>DA703-CZ703</f>
        <v>60</v>
      </c>
      <c r="DC703" t="str">
        <f>IF(DB703=0,"0",IF(AND(DB703&gt;=1,DB703&lt;=30),"1-30",IF(AND(DB703&gt;30,DB703&lt;=70),"31-70",IF(AND(DB703&gt;70,DB703&lt;=100),"71-100",IF(DB703&gt;100,"+100")))))</f>
        <v>31-70</v>
      </c>
      <c r="DD703">
        <v>1</v>
      </c>
      <c r="DE703">
        <v>1</v>
      </c>
      <c r="DF703">
        <v>1</v>
      </c>
      <c r="DG703">
        <v>1</v>
      </c>
      <c r="DH703">
        <v>0</v>
      </c>
      <c r="DI703">
        <f>SUM(DD703:DG703)</f>
        <v>4</v>
      </c>
      <c r="DJ703" t="str">
        <f>IF(DI703=1,INDEX($DD$7:$DG$7,MATCH(1,$DD703:$DG703,0)),"mixedProduct")</f>
        <v>mixedProduct</v>
      </c>
      <c r="DK703" t="str">
        <f>IF(DD703=1,DK$7,0)</f>
        <v>Upstream</v>
      </c>
      <c r="DL703" t="str">
        <f>IF(DE703=1,DL$7,0)</f>
        <v>Energy</v>
      </c>
      <c r="DM703" t="str">
        <f>IF(DF703=1,DM$7,0)</f>
        <v>Pulp/Paper</v>
      </c>
      <c r="DN703" t="str">
        <f>IF(DG703=1,DN$7,0)</f>
        <v>Timber</v>
      </c>
      <c r="DO703">
        <v>0</v>
      </c>
      <c r="DP703">
        <v>0</v>
      </c>
      <c r="DQ703">
        <v>0</v>
      </c>
      <c r="DR703">
        <v>0</v>
      </c>
      <c r="DS703">
        <v>0</v>
      </c>
      <c r="DT703">
        <f>SUM(DO703:DP703)</f>
        <v>0</v>
      </c>
      <c r="DU703" s="143" t="str">
        <f>IF(DO703=1,"self-calculated DF",IF(DP703=1,"external DF used","explicit C balance"))</f>
        <v>explicit C balance</v>
      </c>
      <c r="DV703">
        <v>1</v>
      </c>
      <c r="DW703">
        <v>1</v>
      </c>
      <c r="DX703">
        <v>1</v>
      </c>
      <c r="DY703">
        <v>0</v>
      </c>
      <c r="DZ703">
        <v>0</v>
      </c>
      <c r="EA703" s="143">
        <v>0</v>
      </c>
      <c r="EB703">
        <v>1</v>
      </c>
      <c r="EC703">
        <v>1</v>
      </c>
      <c r="ED703">
        <v>0</v>
      </c>
      <c r="EE703">
        <v>0</v>
      </c>
      <c r="EF703">
        <v>1</v>
      </c>
      <c r="EG703">
        <v>0</v>
      </c>
      <c r="EH703">
        <v>0</v>
      </c>
      <c r="EI703" s="2">
        <v>0</v>
      </c>
      <c r="EK703" t="str">
        <f>IF(AND(AND(AND(OR($DX703=1,$DW703=1),OR($EC703=1,$EA703=1)),SUM($DV703:$DZ703,$EF703)&gt;=4),SUM($EA703:$EE703)&gt;=2),"Whole sector","")</f>
        <v>Whole sector</v>
      </c>
      <c r="EL703" t="str">
        <f>IF(AND(AND(OR($DX703=1,$DW703=1),AND($EC703=0,$EA703=0)),SUM($DV703:$DZ703,$EF703)&gt;=4),"Ecosystem approach","")</f>
        <v/>
      </c>
      <c r="EM703" s="2" t="str">
        <f>IF(AND(AND(AND($DX703=0,$DW703=0),OR($EC703=1,$EA703=1)),SUM($EB703:$EE703)&gt;=2),"Technology approach","")</f>
        <v/>
      </c>
      <c r="EN703" t="s">
        <v>2510</v>
      </c>
      <c r="EP703" t="b">
        <f>IF(ISNUMBER(BU703),IF(ABS(BU703-[2]QC_indicators!$B$2)&gt;3*[2]QC_indicators!$C$2,"C ratio",IF(ISNUMBER(BY703),IF(ABS(BY703-[2]QC_indicators!$B$1)&gt;3*[2]QC_indicators!$C$1,"DF","no"))),IF(ISNUMBER(BY703),IF(ABS(BY703-[2]QC_indicators!$B$1)&gt;3*[2]QC_indicators!$C$1,"DF","no")))</f>
        <v>0</v>
      </c>
      <c r="ET703" s="266" t="s">
        <v>3275</v>
      </c>
    </row>
    <row r="704" spans="1:150" ht="15" hidden="1" customHeight="1">
      <c r="A704" s="1" t="s">
        <v>1425</v>
      </c>
      <c r="B704" t="s">
        <v>2492</v>
      </c>
      <c r="C704" t="s">
        <v>2493</v>
      </c>
      <c r="D704" t="s">
        <v>2494</v>
      </c>
      <c r="E704" t="s">
        <v>2495</v>
      </c>
      <c r="F704" t="s">
        <v>2496</v>
      </c>
      <c r="G704" t="s">
        <v>1431</v>
      </c>
      <c r="H704" t="s">
        <v>255</v>
      </c>
      <c r="I704">
        <v>2016</v>
      </c>
      <c r="J704">
        <v>24</v>
      </c>
      <c r="K704" t="s">
        <v>2497</v>
      </c>
      <c r="M704" t="str">
        <f>LEFT($D704,FIND(",",$D704)-1)&amp;"_"&amp;I704&amp;L704</f>
        <v>Zubizarreta-Gerendiain_2016</v>
      </c>
      <c r="N704" t="s">
        <v>223</v>
      </c>
      <c r="O704" s="145" t="s">
        <v>1156</v>
      </c>
      <c r="Q704" t="s">
        <v>257</v>
      </c>
      <c r="R704" s="264" t="s">
        <v>224</v>
      </c>
      <c r="S704" s="1" t="s">
        <v>2523</v>
      </c>
      <c r="T704" t="s">
        <v>2513</v>
      </c>
      <c r="U704" t="s">
        <v>2525</v>
      </c>
      <c r="V704">
        <v>0</v>
      </c>
      <c r="W704">
        <v>0</v>
      </c>
      <c r="X704">
        <v>0</v>
      </c>
      <c r="Y704">
        <v>0</v>
      </c>
      <c r="Z704">
        <v>0</v>
      </c>
      <c r="AA704">
        <v>0</v>
      </c>
      <c r="AB704">
        <v>0</v>
      </c>
      <c r="AC704">
        <v>0</v>
      </c>
      <c r="AD704">
        <v>0</v>
      </c>
      <c r="AE704">
        <v>0</v>
      </c>
      <c r="AF704">
        <v>2</v>
      </c>
      <c r="AG704">
        <v>0</v>
      </c>
      <c r="AH704">
        <v>0</v>
      </c>
      <c r="AI704">
        <v>0</v>
      </c>
      <c r="AJ704">
        <v>0</v>
      </c>
      <c r="AK704">
        <v>0</v>
      </c>
      <c r="AL704">
        <v>0</v>
      </c>
      <c r="AM704">
        <v>0</v>
      </c>
      <c r="AN704">
        <v>1</v>
      </c>
      <c r="AO704">
        <v>2</v>
      </c>
      <c r="AP704">
        <v>0</v>
      </c>
      <c r="AQ704">
        <v>0</v>
      </c>
      <c r="AR704">
        <v>0</v>
      </c>
      <c r="AS704">
        <v>0</v>
      </c>
      <c r="AT704">
        <v>0</v>
      </c>
      <c r="AU704">
        <v>0</v>
      </c>
      <c r="AV704">
        <v>0</v>
      </c>
      <c r="AW704">
        <v>0</v>
      </c>
      <c r="AX704" s="141">
        <f>COUNTIF(V704:AW704,"&lt;&gt;0")</f>
        <v>3</v>
      </c>
      <c r="AY704" s="141">
        <f>COUNTIF(V704:AL704,"&lt;&gt;0")</f>
        <v>1</v>
      </c>
      <c r="AZ704">
        <f>COUNTIF(V704:AC704,"&lt;&gt;0")</f>
        <v>0</v>
      </c>
      <c r="BA704">
        <f>COUNTIF(AD704:AI704,"&lt;&gt;0")</f>
        <v>1</v>
      </c>
      <c r="BB704">
        <f>COUNTIF(AJ704:AL704,"&lt;&gt;0")</f>
        <v>0</v>
      </c>
      <c r="BC704">
        <f>COUNTIF(AS704:AW704,"&lt;&gt;0")</f>
        <v>0</v>
      </c>
      <c r="BD704">
        <f>COUNTIF(AM704:AR704,"&lt;&gt;0")</f>
        <v>2</v>
      </c>
      <c r="BE704" t="str">
        <f t="array" ref="BE704">IF(AY704=1,INDEX($V$7:$AL$7,MATCH(TRUE,INDEX($V704:$AW704&lt;&gt;0,),0)),IF(AY704=0,INDEX($AM$7:$AW$7,MATCH(1,$AM704:$AW704,0)),IF(BF704="Multiple strategies","mixed drivers",IF(BF704="Supply chain","multiple supply","multiple silviculture"))))</f>
        <v>supply chain organization</v>
      </c>
      <c r="BF704" s="2" t="str" cm="1">
        <f t="array" ref="BF704">IF(COUNTIF(AZ704:BB704,"&lt;&gt;0")=1,INDEX($V$4:$AW$4,MATCH(TRUE,INDEX($V704:$AW704&lt;&gt;0,),0)),IF(COUNTIF(AZ704:BB704,"&lt;&gt;0")=0,INDEX($AM$4:$AW$4,MATCH(1,$AM704:$AW704,0)),"Multiple strategies"))</f>
        <v>Supply chain</v>
      </c>
      <c r="BM704" s="143"/>
      <c r="BN704" s="143"/>
      <c r="BP704" s="143" t="s">
        <v>233</v>
      </c>
      <c r="BQ704" s="143"/>
      <c r="BR704" t="s">
        <v>1197</v>
      </c>
      <c r="BS704">
        <v>29471.133802816759</v>
      </c>
      <c r="BT704">
        <v>37149.160118605767</v>
      </c>
      <c r="BU704" s="144">
        <f>IFERROR(BT704/BS704,"")</f>
        <v>1.2605270081280404</v>
      </c>
      <c r="BV704" s="144">
        <f>BT704-BS704</f>
        <v>7678.0263157890076</v>
      </c>
      <c r="BW704" s="144"/>
      <c r="BX704" s="144">
        <f>BV704</f>
        <v>7678.0263157890076</v>
      </c>
      <c r="BY704" t="str">
        <f>IFERROR(BX704/BO704,"")</f>
        <v/>
      </c>
      <c r="BZ704">
        <v>0</v>
      </c>
      <c r="CA704">
        <v>0</v>
      </c>
      <c r="CB704">
        <v>0</v>
      </c>
      <c r="CC704">
        <v>0</v>
      </c>
      <c r="CD704">
        <v>0</v>
      </c>
      <c r="CE704">
        <v>0</v>
      </c>
      <c r="CF704">
        <v>0</v>
      </c>
      <c r="CG704">
        <v>0</v>
      </c>
      <c r="CH704">
        <v>0</v>
      </c>
      <c r="CI704">
        <v>0</v>
      </c>
      <c r="CJ704">
        <v>0</v>
      </c>
      <c r="CK704">
        <v>0</v>
      </c>
      <c r="CL704">
        <v>0</v>
      </c>
      <c r="CM704">
        <v>1</v>
      </c>
      <c r="CN704" t="str">
        <f>IF(BL704&lt;BK704,"refNeedCorrection","refOK")</f>
        <v>refOK</v>
      </c>
      <c r="CO704"/>
      <c r="CP704"/>
      <c r="CQ704"/>
      <c r="CR704">
        <f>IF($CN704="refOK",$BS704,$BT704)*IF($BP704="Emissions positive",-1,1)</f>
        <v>29471.133802816759</v>
      </c>
      <c r="CS704">
        <f>IF($CN704="refOK",$BT704,$BS704)*IF($BP704="Emissions positive",-1,1)</f>
        <v>37149.160118605767</v>
      </c>
      <c r="CT704">
        <f>IF($CN704="refNeedCorrection",-BX704,BX704)*IF($BP704="Emissions positive",-1,1)</f>
        <v>7678.0263157890076</v>
      </c>
      <c r="CU704" t="str">
        <f>IFERROR(CT704/CQ704,"")</f>
        <v/>
      </c>
      <c r="CV704" s="2">
        <f>IFERROR((CS704-CR704)/ABS(CR704),"")</f>
        <v>0.26052700812804036</v>
      </c>
      <c r="CW704" s="1" t="s">
        <v>1201</v>
      </c>
      <c r="CX704" t="str">
        <f>IF(OR($CW704="prd",$CW704="std",$CW704="cit"),"loc",IF(OR($CW704="eur",$CW704="reg",$CW704="coy"),"reg",$CW704))</f>
        <v>reg</v>
      </c>
      <c r="CY704" t="s">
        <v>236</v>
      </c>
      <c r="CZ704">
        <v>2010</v>
      </c>
      <c r="DA704">
        <v>2070</v>
      </c>
      <c r="DB704">
        <f>DA704-CZ704</f>
        <v>60</v>
      </c>
      <c r="DC704" t="str">
        <f>IF(DB704=0,"0",IF(AND(DB704&gt;=1,DB704&lt;=30),"1-30",IF(AND(DB704&gt;30,DB704&lt;=70),"31-70",IF(AND(DB704&gt;70,DB704&lt;=100),"71-100",IF(DB704&gt;100,"+100")))))</f>
        <v>31-70</v>
      </c>
      <c r="DD704">
        <v>1</v>
      </c>
      <c r="DE704">
        <v>1</v>
      </c>
      <c r="DF704">
        <v>1</v>
      </c>
      <c r="DG704">
        <v>1</v>
      </c>
      <c r="DH704">
        <v>0</v>
      </c>
      <c r="DI704">
        <f>SUM(DD704:DG704)</f>
        <v>4</v>
      </c>
      <c r="DJ704" t="str">
        <f>IF(DI704=1,INDEX($DD$7:$DG$7,MATCH(1,$DD704:$DG704,0)),"mixedProduct")</f>
        <v>mixedProduct</v>
      </c>
      <c r="DK704" t="str">
        <f>IF(DD704=1,DK$7,0)</f>
        <v>Upstream</v>
      </c>
      <c r="DL704" t="str">
        <f>IF(DE704=1,DL$7,0)</f>
        <v>Energy</v>
      </c>
      <c r="DM704" t="str">
        <f>IF(DF704=1,DM$7,0)</f>
        <v>Pulp/Paper</v>
      </c>
      <c r="DN704" t="str">
        <f>IF(DG704=1,DN$7,0)</f>
        <v>Timber</v>
      </c>
      <c r="DO704">
        <v>0</v>
      </c>
      <c r="DP704">
        <v>1</v>
      </c>
      <c r="DQ704" t="s">
        <v>2526</v>
      </c>
      <c r="DR704" t="s">
        <v>2527</v>
      </c>
      <c r="DS704">
        <v>0</v>
      </c>
      <c r="DT704">
        <f>SUM(DO704:DP704)</f>
        <v>1</v>
      </c>
      <c r="DU704" s="143" t="str">
        <f>IF(DO704=1,"self-calculated DF",IF(DP704=1,"external DF used","explicit C balance"))</f>
        <v>external DF used</v>
      </c>
      <c r="DV704">
        <v>1</v>
      </c>
      <c r="DW704">
        <v>1</v>
      </c>
      <c r="DX704">
        <v>1</v>
      </c>
      <c r="DY704">
        <v>1</v>
      </c>
      <c r="DZ704">
        <v>0</v>
      </c>
      <c r="EA704" s="143">
        <v>0</v>
      </c>
      <c r="EB704">
        <v>1</v>
      </c>
      <c r="EC704">
        <v>1</v>
      </c>
      <c r="ED704">
        <v>0</v>
      </c>
      <c r="EE704">
        <v>0</v>
      </c>
      <c r="EF704">
        <v>1</v>
      </c>
      <c r="EG704">
        <v>0</v>
      </c>
      <c r="EH704">
        <v>0</v>
      </c>
      <c r="EI704" s="2">
        <v>0</v>
      </c>
      <c r="EK704" t="str">
        <f>IF(AND(AND(AND(OR($DX704=1,$DW704=1),OR($EC704=1,$EA704=1)),SUM($DV704:$DZ704,$EF704)&gt;=4),SUM($EA704:$EE704)&gt;=2),"Whole sector","")</f>
        <v>Whole sector</v>
      </c>
      <c r="EL704" t="str">
        <f>IF(AND(AND(OR($DX704=1,$DW704=1),AND($EC704=0,$EA704=0)),SUM($DV704:$DZ704,$EF704)&gt;=4),"Ecosystem approach","")</f>
        <v/>
      </c>
      <c r="EM704" s="2" t="str">
        <f>IF(AND(AND(AND($DX704=0,$DW704=0),OR($EC704=1,$EA704=1)),SUM($EB704:$EE704)&gt;=2),"Technology approach","")</f>
        <v/>
      </c>
      <c r="EN704" t="s">
        <v>2510</v>
      </c>
      <c r="EP704" t="b">
        <f>IF(ISNUMBER(BU704),IF(ABS(BU704-[2]QC_indicators!$B$2)&gt;3*[2]QC_indicators!$C$2,"C ratio",IF(ISNUMBER(BY704),IF(ABS(BY704-[2]QC_indicators!$B$1)&gt;3*[2]QC_indicators!$C$1,"DF","no"))),IF(ISNUMBER(BY704),IF(ABS(BY704-[2]QC_indicators!$B$1)&gt;3*[2]QC_indicators!$C$1,"DF","no")))</f>
        <v>0</v>
      </c>
      <c r="ET704" s="266" t="s">
        <v>3275</v>
      </c>
    </row>
    <row r="705" spans="1:150" ht="15" hidden="1" customHeight="1">
      <c r="A705" s="1" t="s">
        <v>1425</v>
      </c>
      <c r="B705" t="s">
        <v>2492</v>
      </c>
      <c r="C705" t="s">
        <v>2493</v>
      </c>
      <c r="D705" t="s">
        <v>2494</v>
      </c>
      <c r="E705" t="s">
        <v>2495</v>
      </c>
      <c r="F705" t="s">
        <v>2496</v>
      </c>
      <c r="G705" t="s">
        <v>1431</v>
      </c>
      <c r="H705" t="s">
        <v>255</v>
      </c>
      <c r="I705">
        <v>2016</v>
      </c>
      <c r="J705">
        <v>24</v>
      </c>
      <c r="K705" t="s">
        <v>2497</v>
      </c>
      <c r="M705" t="str">
        <f>LEFT($D705,FIND(",",$D705)-1)&amp;"_"&amp;I705&amp;L705</f>
        <v>Zubizarreta-Gerendiain_2016</v>
      </c>
      <c r="N705" t="s">
        <v>223</v>
      </c>
      <c r="O705" s="145" t="s">
        <v>1156</v>
      </c>
      <c r="Q705" t="s">
        <v>257</v>
      </c>
      <c r="R705" s="264" t="s">
        <v>224</v>
      </c>
      <c r="S705" s="1" t="s">
        <v>2523</v>
      </c>
      <c r="T705" t="s">
        <v>2517</v>
      </c>
      <c r="U705" t="s">
        <v>2524</v>
      </c>
      <c r="V705">
        <v>0</v>
      </c>
      <c r="W705">
        <v>0</v>
      </c>
      <c r="X705">
        <v>0</v>
      </c>
      <c r="Y705">
        <v>0</v>
      </c>
      <c r="Z705">
        <v>0</v>
      </c>
      <c r="AA705">
        <v>0</v>
      </c>
      <c r="AB705">
        <v>0</v>
      </c>
      <c r="AC705">
        <v>0</v>
      </c>
      <c r="AD705">
        <v>0</v>
      </c>
      <c r="AE705">
        <v>0</v>
      </c>
      <c r="AF705">
        <v>2</v>
      </c>
      <c r="AG705">
        <v>0</v>
      </c>
      <c r="AH705">
        <v>0</v>
      </c>
      <c r="AI705">
        <v>0</v>
      </c>
      <c r="AJ705">
        <v>0</v>
      </c>
      <c r="AK705">
        <v>0</v>
      </c>
      <c r="AL705">
        <v>0</v>
      </c>
      <c r="AM705">
        <v>0</v>
      </c>
      <c r="AN705">
        <v>1</v>
      </c>
      <c r="AO705">
        <v>2</v>
      </c>
      <c r="AP705">
        <v>0</v>
      </c>
      <c r="AQ705">
        <v>0</v>
      </c>
      <c r="AR705">
        <v>0</v>
      </c>
      <c r="AS705">
        <v>0</v>
      </c>
      <c r="AT705">
        <v>0</v>
      </c>
      <c r="AU705">
        <v>0</v>
      </c>
      <c r="AV705">
        <v>0</v>
      </c>
      <c r="AW705">
        <v>0</v>
      </c>
      <c r="AX705" s="141">
        <f>COUNTIF(V705:AW705,"&lt;&gt;0")</f>
        <v>3</v>
      </c>
      <c r="AY705" s="141">
        <f>COUNTIF(V705:AL705,"&lt;&gt;0")</f>
        <v>1</v>
      </c>
      <c r="AZ705">
        <f>COUNTIF(V705:AC705,"&lt;&gt;0")</f>
        <v>0</v>
      </c>
      <c r="BA705">
        <f>COUNTIF(AD705:AI705,"&lt;&gt;0")</f>
        <v>1</v>
      </c>
      <c r="BB705">
        <f>COUNTIF(AJ705:AL705,"&lt;&gt;0")</f>
        <v>0</v>
      </c>
      <c r="BC705">
        <f>COUNTIF(AS705:AW705,"&lt;&gt;0")</f>
        <v>0</v>
      </c>
      <c r="BD705">
        <f>COUNTIF(AM705:AR705,"&lt;&gt;0")</f>
        <v>2</v>
      </c>
      <c r="BE705" t="str">
        <f t="array" ref="BE705">IF(AY705=1,INDEX($V$7:$AL$7,MATCH(TRUE,INDEX($V705:$AW705&lt;&gt;0,),0)),IF(AY705=0,INDEX($AM$7:$AW$7,MATCH(1,$AM705:$AW705,0)),IF(BF705="Multiple strategies","mixed drivers",IF(BF705="Supply chain","multiple supply","multiple silviculture"))))</f>
        <v>supply chain organization</v>
      </c>
      <c r="BF705" s="2" t="str" cm="1">
        <f t="array" ref="BF705">IF(COUNTIF(AZ705:BB705,"&lt;&gt;0")=1,INDEX($V$4:$AW$4,MATCH(TRUE,INDEX($V705:$AW705&lt;&gt;0,),0)),IF(COUNTIF(AZ705:BB705,"&lt;&gt;0")=0,INDEX($AM$4:$AW$4,MATCH(1,$AM705:$AW705,0)),"Multiple strategies"))</f>
        <v>Supply chain</v>
      </c>
      <c r="BM705" s="143"/>
      <c r="BN705" s="143"/>
      <c r="BP705" s="143" t="s">
        <v>233</v>
      </c>
      <c r="BQ705" s="143"/>
      <c r="BR705" t="s">
        <v>1197</v>
      </c>
      <c r="BS705">
        <v>-104293.97798882655</v>
      </c>
      <c r="BT705">
        <v>-105324.55089385468</v>
      </c>
      <c r="BU705" s="144">
        <f>IFERROR(BT705/BS705,"")</f>
        <v>1.0098814229249031</v>
      </c>
      <c r="BV705" s="144">
        <f>BT705-BS705</f>
        <v>-1030.572905028137</v>
      </c>
      <c r="BW705" s="144"/>
      <c r="BX705" s="144">
        <f>BV705</f>
        <v>-1030.572905028137</v>
      </c>
      <c r="BY705" t="str">
        <f>IFERROR(BX705/BO705,"")</f>
        <v/>
      </c>
      <c r="BZ705">
        <v>0</v>
      </c>
      <c r="CA705">
        <v>0</v>
      </c>
      <c r="CB705">
        <v>0</v>
      </c>
      <c r="CC705">
        <v>0</v>
      </c>
      <c r="CD705">
        <v>0</v>
      </c>
      <c r="CE705">
        <v>0</v>
      </c>
      <c r="CF705">
        <v>0</v>
      </c>
      <c r="CG705">
        <v>0</v>
      </c>
      <c r="CH705">
        <v>0</v>
      </c>
      <c r="CI705">
        <v>0</v>
      </c>
      <c r="CJ705">
        <v>0</v>
      </c>
      <c r="CK705">
        <v>0</v>
      </c>
      <c r="CL705">
        <v>0</v>
      </c>
      <c r="CM705">
        <v>1</v>
      </c>
      <c r="CN705" t="str">
        <f>IF(BL705&lt;BK705,"refNeedCorrection","refOK")</f>
        <v>refOK</v>
      </c>
      <c r="CO705"/>
      <c r="CP705"/>
      <c r="CQ705"/>
      <c r="CR705">
        <f>IF($CN705="refOK",$BS705,$BT705)*IF($BP705="Emissions positive",-1,1)</f>
        <v>-104293.97798882655</v>
      </c>
      <c r="CS705">
        <f>IF($CN705="refOK",$BT705,$BS705)*IF($BP705="Emissions positive",-1,1)</f>
        <v>-105324.55089385468</v>
      </c>
      <c r="CT705">
        <f>IF($CN705="refNeedCorrection",-BX705,BX705)*IF($BP705="Emissions positive",-1,1)</f>
        <v>-1030.572905028137</v>
      </c>
      <c r="CU705" t="str">
        <f>IFERROR(CT705/CQ705,"")</f>
        <v/>
      </c>
      <c r="CV705" s="2">
        <f>IFERROR((CS705-CR705)/ABS(CR705),"")</f>
        <v>-9.881422924903167E-3</v>
      </c>
      <c r="CW705" s="1" t="s">
        <v>1201</v>
      </c>
      <c r="CX705" t="str">
        <f>IF(OR($CW705="prd",$CW705="std",$CW705="cit"),"loc",IF(OR($CW705="eur",$CW705="reg",$CW705="coy"),"reg",$CW705))</f>
        <v>reg</v>
      </c>
      <c r="CY705" t="s">
        <v>236</v>
      </c>
      <c r="CZ705">
        <v>2010</v>
      </c>
      <c r="DA705">
        <v>2070</v>
      </c>
      <c r="DB705">
        <f>DA705-CZ705</f>
        <v>60</v>
      </c>
      <c r="DC705" t="str">
        <f>IF(DB705=0,"0",IF(AND(DB705&gt;=1,DB705&lt;=30),"1-30",IF(AND(DB705&gt;30,DB705&lt;=70),"31-70",IF(AND(DB705&gt;70,DB705&lt;=100),"71-100",IF(DB705&gt;100,"+100")))))</f>
        <v>31-70</v>
      </c>
      <c r="DD705">
        <v>1</v>
      </c>
      <c r="DE705">
        <v>1</v>
      </c>
      <c r="DF705">
        <v>1</v>
      </c>
      <c r="DG705">
        <v>1</v>
      </c>
      <c r="DH705">
        <v>0</v>
      </c>
      <c r="DI705">
        <f>SUM(DD705:DG705)</f>
        <v>4</v>
      </c>
      <c r="DJ705" t="str">
        <f>IF(DI705=1,INDEX($DD$7:$DG$7,MATCH(1,$DD705:$DG705,0)),"mixedProduct")</f>
        <v>mixedProduct</v>
      </c>
      <c r="DK705" t="str">
        <f>IF(DD705=1,DK$7,0)</f>
        <v>Upstream</v>
      </c>
      <c r="DL705" t="str">
        <f>IF(DE705=1,DL$7,0)</f>
        <v>Energy</v>
      </c>
      <c r="DM705" t="str">
        <f>IF(DF705=1,DM$7,0)</f>
        <v>Pulp/Paper</v>
      </c>
      <c r="DN705" t="str">
        <f>IF(DG705=1,DN$7,0)</f>
        <v>Timber</v>
      </c>
      <c r="DO705">
        <v>0</v>
      </c>
      <c r="DP705">
        <v>0</v>
      </c>
      <c r="DQ705">
        <v>0</v>
      </c>
      <c r="DR705">
        <v>0</v>
      </c>
      <c r="DS705">
        <v>0</v>
      </c>
      <c r="DT705">
        <f>SUM(DO705:DP705)</f>
        <v>0</v>
      </c>
      <c r="DU705" s="143" t="str">
        <f>IF(DO705=1,"self-calculated DF",IF(DP705=1,"external DF used","explicit C balance"))</f>
        <v>explicit C balance</v>
      </c>
      <c r="DV705">
        <v>1</v>
      </c>
      <c r="DW705">
        <v>1</v>
      </c>
      <c r="DX705">
        <v>1</v>
      </c>
      <c r="DY705">
        <v>0</v>
      </c>
      <c r="DZ705">
        <v>0</v>
      </c>
      <c r="EA705" s="143">
        <v>0</v>
      </c>
      <c r="EB705">
        <v>1</v>
      </c>
      <c r="EC705">
        <v>1</v>
      </c>
      <c r="ED705">
        <v>0</v>
      </c>
      <c r="EE705">
        <v>0</v>
      </c>
      <c r="EF705">
        <v>1</v>
      </c>
      <c r="EG705">
        <v>0</v>
      </c>
      <c r="EH705">
        <v>0</v>
      </c>
      <c r="EI705" s="2">
        <v>0</v>
      </c>
      <c r="EK705" t="str">
        <f>IF(AND(AND(AND(OR($DX705=1,$DW705=1),OR($EC705=1,$EA705=1)),SUM($DV705:$DZ705,$EF705)&gt;=4),SUM($EA705:$EE705)&gt;=2),"Whole sector","")</f>
        <v>Whole sector</v>
      </c>
      <c r="EL705" t="str">
        <f>IF(AND(AND(OR($DX705=1,$DW705=1),AND($EC705=0,$EA705=0)),SUM($DV705:$DZ705,$EF705)&gt;=4),"Ecosystem approach","")</f>
        <v/>
      </c>
      <c r="EM705" s="2" t="str">
        <f>IF(AND(AND(AND($DX705=0,$DW705=0),OR($EC705=1,$EA705=1)),SUM($EB705:$EE705)&gt;=2),"Technology approach","")</f>
        <v/>
      </c>
      <c r="EN705" t="s">
        <v>2510</v>
      </c>
      <c r="EP705" t="b">
        <f>IF(ISNUMBER(BU705),IF(ABS(BU705-[2]QC_indicators!$B$2)&gt;3*[2]QC_indicators!$C$2,"C ratio",IF(ISNUMBER(BY705),IF(ABS(BY705-[2]QC_indicators!$B$1)&gt;3*[2]QC_indicators!$C$1,"DF","no"))),IF(ISNUMBER(BY705),IF(ABS(BY705-[2]QC_indicators!$B$1)&gt;3*[2]QC_indicators!$C$1,"DF","no")))</f>
        <v>0</v>
      </c>
      <c r="ET705" s="266" t="s">
        <v>3275</v>
      </c>
    </row>
    <row r="706" spans="1:150" ht="15" hidden="1" customHeight="1">
      <c r="A706" s="1" t="s">
        <v>1425</v>
      </c>
      <c r="B706" t="s">
        <v>2492</v>
      </c>
      <c r="C706" t="s">
        <v>2493</v>
      </c>
      <c r="D706" t="s">
        <v>2494</v>
      </c>
      <c r="E706" t="s">
        <v>2495</v>
      </c>
      <c r="F706" t="s">
        <v>2496</v>
      </c>
      <c r="G706" t="s">
        <v>1431</v>
      </c>
      <c r="H706" t="s">
        <v>255</v>
      </c>
      <c r="I706">
        <v>2016</v>
      </c>
      <c r="J706">
        <v>24</v>
      </c>
      <c r="K706" t="s">
        <v>2497</v>
      </c>
      <c r="M706" t="str">
        <f>LEFT($D706,FIND(",",$D706)-1)&amp;"_"&amp;I706&amp;L706</f>
        <v>Zubizarreta-Gerendiain_2016</v>
      </c>
      <c r="N706" t="s">
        <v>223</v>
      </c>
      <c r="O706" s="145" t="s">
        <v>1156</v>
      </c>
      <c r="Q706" t="s">
        <v>257</v>
      </c>
      <c r="R706" s="264" t="s">
        <v>224</v>
      </c>
      <c r="S706" s="1" t="s">
        <v>2523</v>
      </c>
      <c r="T706" t="s">
        <v>2517</v>
      </c>
      <c r="U706" t="s">
        <v>2524</v>
      </c>
      <c r="V706">
        <v>0</v>
      </c>
      <c r="W706">
        <v>0</v>
      </c>
      <c r="X706">
        <v>0</v>
      </c>
      <c r="Y706">
        <v>0</v>
      </c>
      <c r="Z706">
        <v>0</v>
      </c>
      <c r="AA706">
        <v>0</v>
      </c>
      <c r="AB706">
        <v>0</v>
      </c>
      <c r="AC706">
        <v>0</v>
      </c>
      <c r="AD706">
        <v>0</v>
      </c>
      <c r="AE706">
        <v>0</v>
      </c>
      <c r="AF706">
        <v>2</v>
      </c>
      <c r="AG706">
        <v>0</v>
      </c>
      <c r="AH706">
        <v>0</v>
      </c>
      <c r="AI706">
        <v>0</v>
      </c>
      <c r="AJ706">
        <v>0</v>
      </c>
      <c r="AK706">
        <v>0</v>
      </c>
      <c r="AL706">
        <v>0</v>
      </c>
      <c r="AM706">
        <v>0</v>
      </c>
      <c r="AN706">
        <v>1</v>
      </c>
      <c r="AO706">
        <v>2</v>
      </c>
      <c r="AP706">
        <v>0</v>
      </c>
      <c r="AQ706">
        <v>0</v>
      </c>
      <c r="AR706">
        <v>0</v>
      </c>
      <c r="AS706">
        <v>0</v>
      </c>
      <c r="AT706">
        <v>0</v>
      </c>
      <c r="AU706">
        <v>0</v>
      </c>
      <c r="AV706">
        <v>0</v>
      </c>
      <c r="AW706">
        <v>0</v>
      </c>
      <c r="AX706" s="141">
        <f>COUNTIF(V706:AW706,"&lt;&gt;0")</f>
        <v>3</v>
      </c>
      <c r="AY706" s="141">
        <f>COUNTIF(V706:AL706,"&lt;&gt;0")</f>
        <v>1</v>
      </c>
      <c r="AZ706">
        <f>COUNTIF(V706:AC706,"&lt;&gt;0")</f>
        <v>0</v>
      </c>
      <c r="BA706">
        <f>COUNTIF(AD706:AI706,"&lt;&gt;0")</f>
        <v>1</v>
      </c>
      <c r="BB706">
        <f>COUNTIF(AJ706:AL706,"&lt;&gt;0")</f>
        <v>0</v>
      </c>
      <c r="BC706">
        <f>COUNTIF(AS706:AW706,"&lt;&gt;0")</f>
        <v>0</v>
      </c>
      <c r="BD706">
        <f>COUNTIF(AM706:AR706,"&lt;&gt;0")</f>
        <v>2</v>
      </c>
      <c r="BE706" t="str">
        <f t="array" ref="BE706">IF(AY706=1,INDEX($V$7:$AL$7,MATCH(TRUE,INDEX($V706:$AW706&lt;&gt;0,),0)),IF(AY706=0,INDEX($AM$7:$AW$7,MATCH(1,$AM706:$AW706,0)),IF(BF706="Multiple strategies","mixed drivers",IF(BF706="Supply chain","multiple supply","multiple silviculture"))))</f>
        <v>supply chain organization</v>
      </c>
      <c r="BF706" s="2" t="str" cm="1">
        <f t="array" ref="BF706">IF(COUNTIF(AZ706:BB706,"&lt;&gt;0")=1,INDEX($V$4:$AW$4,MATCH(TRUE,INDEX($V706:$AW706&lt;&gt;0,),0)),IF(COUNTIF(AZ706:BB706,"&lt;&gt;0")=0,INDEX($AM$4:$AW$4,MATCH(1,$AM706:$AW706,0)),"Multiple strategies"))</f>
        <v>Supply chain</v>
      </c>
      <c r="BM706" s="143"/>
      <c r="BN706" s="143"/>
      <c r="BP706" s="143" t="s">
        <v>233</v>
      </c>
      <c r="BQ706" s="143"/>
      <c r="BR706" t="s">
        <v>1197</v>
      </c>
      <c r="BS706">
        <v>-14015.791508379843</v>
      </c>
      <c r="BT706">
        <v>-1648.9166480446902</v>
      </c>
      <c r="BU706" s="144">
        <f>IFERROR(BT706/BS706,"")</f>
        <v>0.1176470588235296</v>
      </c>
      <c r="BV706" s="144">
        <f>BT706-BS706</f>
        <v>12366.874860335152</v>
      </c>
      <c r="BW706" s="144"/>
      <c r="BX706" s="144">
        <f>BV706</f>
        <v>12366.874860335152</v>
      </c>
      <c r="BY706" t="str">
        <f>IFERROR(BX706/BO706,"")</f>
        <v/>
      </c>
      <c r="BZ706">
        <v>0</v>
      </c>
      <c r="CA706">
        <v>0</v>
      </c>
      <c r="CB706">
        <v>0</v>
      </c>
      <c r="CC706">
        <v>0</v>
      </c>
      <c r="CD706">
        <v>0</v>
      </c>
      <c r="CE706">
        <v>0</v>
      </c>
      <c r="CF706">
        <v>0</v>
      </c>
      <c r="CG706">
        <v>0</v>
      </c>
      <c r="CH706">
        <v>0</v>
      </c>
      <c r="CI706">
        <v>0</v>
      </c>
      <c r="CJ706">
        <v>0</v>
      </c>
      <c r="CK706">
        <v>0</v>
      </c>
      <c r="CL706">
        <v>0</v>
      </c>
      <c r="CM706">
        <v>1</v>
      </c>
      <c r="CN706" t="str">
        <f>IF(BL706&lt;BK706,"refNeedCorrection","refOK")</f>
        <v>refOK</v>
      </c>
      <c r="CO706"/>
      <c r="CP706"/>
      <c r="CQ706"/>
      <c r="CR706">
        <f>IF($CN706="refOK",$BS706,$BT706)*IF($BP706="Emissions positive",-1,1)</f>
        <v>-14015.791508379843</v>
      </c>
      <c r="CS706">
        <f>IF($CN706="refOK",$BT706,$BS706)*IF($BP706="Emissions positive",-1,1)</f>
        <v>-1648.9166480446902</v>
      </c>
      <c r="CT706">
        <f>IF($CN706="refNeedCorrection",-BX706,BX706)*IF($BP706="Emissions positive",-1,1)</f>
        <v>12366.874860335152</v>
      </c>
      <c r="CU706" t="str">
        <f>IFERROR(CT706/CQ706,"")</f>
        <v/>
      </c>
      <c r="CV706" s="2">
        <f>IFERROR((CS706-CR706)/ABS(CR706),"")</f>
        <v>0.88235294117647034</v>
      </c>
      <c r="CW706" s="1" t="s">
        <v>1201</v>
      </c>
      <c r="CX706" t="str">
        <f>IF(OR($CW706="prd",$CW706="std",$CW706="cit"),"loc",IF(OR($CW706="eur",$CW706="reg",$CW706="coy"),"reg",$CW706))</f>
        <v>reg</v>
      </c>
      <c r="CY706" t="s">
        <v>236</v>
      </c>
      <c r="CZ706">
        <v>2010</v>
      </c>
      <c r="DA706">
        <v>2070</v>
      </c>
      <c r="DB706">
        <f>DA706-CZ706</f>
        <v>60</v>
      </c>
      <c r="DC706" t="str">
        <f>IF(DB706=0,"0",IF(AND(DB706&gt;=1,DB706&lt;=30),"1-30",IF(AND(DB706&gt;30,DB706&lt;=70),"31-70",IF(AND(DB706&gt;70,DB706&lt;=100),"71-100",IF(DB706&gt;100,"+100")))))</f>
        <v>31-70</v>
      </c>
      <c r="DD706">
        <v>1</v>
      </c>
      <c r="DE706">
        <v>1</v>
      </c>
      <c r="DF706">
        <v>1</v>
      </c>
      <c r="DG706">
        <v>1</v>
      </c>
      <c r="DH706">
        <v>0</v>
      </c>
      <c r="DI706">
        <f>SUM(DD706:DG706)</f>
        <v>4</v>
      </c>
      <c r="DJ706" t="str">
        <f>IF(DI706=1,INDEX($DD$7:$DG$7,MATCH(1,$DD706:$DG706,0)),"mixedProduct")</f>
        <v>mixedProduct</v>
      </c>
      <c r="DK706" t="str">
        <f>IF(DD706=1,DK$7,0)</f>
        <v>Upstream</v>
      </c>
      <c r="DL706" t="str">
        <f>IF(DE706=1,DL$7,0)</f>
        <v>Energy</v>
      </c>
      <c r="DM706" t="str">
        <f>IF(DF706=1,DM$7,0)</f>
        <v>Pulp/Paper</v>
      </c>
      <c r="DN706" t="str">
        <f>IF(DG706=1,DN$7,0)</f>
        <v>Timber</v>
      </c>
      <c r="DO706">
        <v>0</v>
      </c>
      <c r="DP706">
        <v>1</v>
      </c>
      <c r="DQ706" t="s">
        <v>2526</v>
      </c>
      <c r="DR706" t="s">
        <v>2527</v>
      </c>
      <c r="DS706">
        <v>0</v>
      </c>
      <c r="DT706">
        <f>SUM(DO706:DP706)</f>
        <v>1</v>
      </c>
      <c r="DU706" s="143" t="str">
        <f>IF(DO706=1,"self-calculated DF",IF(DP706=1,"external DF used","explicit C balance"))</f>
        <v>external DF used</v>
      </c>
      <c r="DV706">
        <v>1</v>
      </c>
      <c r="DW706">
        <v>1</v>
      </c>
      <c r="DX706">
        <v>1</v>
      </c>
      <c r="DY706">
        <v>1</v>
      </c>
      <c r="DZ706">
        <v>0</v>
      </c>
      <c r="EA706" s="143">
        <v>0</v>
      </c>
      <c r="EB706">
        <v>1</v>
      </c>
      <c r="EC706">
        <v>1</v>
      </c>
      <c r="ED706">
        <v>0</v>
      </c>
      <c r="EE706">
        <v>0</v>
      </c>
      <c r="EF706">
        <v>1</v>
      </c>
      <c r="EG706">
        <v>0</v>
      </c>
      <c r="EH706">
        <v>0</v>
      </c>
      <c r="EI706" s="2">
        <v>0</v>
      </c>
      <c r="EK706" t="str">
        <f>IF(AND(AND(AND(OR($DX706=1,$DW706=1),OR($EC706=1,$EA706=1)),SUM($DV706:$DZ706,$EF706)&gt;=4),SUM($EA706:$EE706)&gt;=2),"Whole sector","")</f>
        <v>Whole sector</v>
      </c>
      <c r="EL706" t="str">
        <f>IF(AND(AND(OR($DX706=1,$DW706=1),AND($EC706=0,$EA706=0)),SUM($DV706:$DZ706,$EF706)&gt;=4),"Ecosystem approach","")</f>
        <v/>
      </c>
      <c r="EM706" s="2" t="str">
        <f>IF(AND(AND(AND($DX706=0,$DW706=0),OR($EC706=1,$EA706=1)),SUM($EB706:$EE706)&gt;=2),"Technology approach","")</f>
        <v/>
      </c>
      <c r="EN706" t="s">
        <v>2510</v>
      </c>
      <c r="EP706" t="b">
        <f>IF(ISNUMBER(BU706),IF(ABS(BU706-[2]QC_indicators!$B$2)&gt;3*[2]QC_indicators!$C$2,"C ratio",IF(ISNUMBER(BY706),IF(ABS(BY706-[2]QC_indicators!$B$1)&gt;3*[2]QC_indicators!$C$1,"DF","no"))),IF(ISNUMBER(BY706),IF(ABS(BY706-[2]QC_indicators!$B$1)&gt;3*[2]QC_indicators!$C$1,"DF","no")))</f>
        <v>0</v>
      </c>
      <c r="ET706" s="266" t="s">
        <v>3275</v>
      </c>
    </row>
    <row r="707" spans="1:150" ht="15" customHeight="1">
      <c r="A707" s="1" t="s">
        <v>1402</v>
      </c>
      <c r="B707" t="s">
        <v>1403</v>
      </c>
      <c r="C707" t="s">
        <v>1404</v>
      </c>
      <c r="D707" t="s">
        <v>1405</v>
      </c>
      <c r="E707" t="s">
        <v>1406</v>
      </c>
      <c r="F707" t="s">
        <v>1407</v>
      </c>
      <c r="G707" t="s">
        <v>1408</v>
      </c>
      <c r="H707" t="s">
        <v>255</v>
      </c>
      <c r="I707">
        <v>2021</v>
      </c>
      <c r="J707">
        <v>0</v>
      </c>
      <c r="K707" t="s">
        <v>1409</v>
      </c>
      <c r="M707" t="str">
        <f>LEFT($D707,FIND(",",$D707)-1)&amp;"_"&amp;I707&amp;L707</f>
        <v>Dugan_2021</v>
      </c>
      <c r="N707" t="s">
        <v>223</v>
      </c>
      <c r="O707" s="145" t="s">
        <v>275</v>
      </c>
      <c r="Q707" t="s">
        <v>257</v>
      </c>
      <c r="R707" s="255" t="s">
        <v>226</v>
      </c>
      <c r="S707" s="1" t="s">
        <v>315</v>
      </c>
      <c r="T707" t="s">
        <v>1415</v>
      </c>
      <c r="U707" t="s">
        <v>1113</v>
      </c>
      <c r="V707">
        <v>0</v>
      </c>
      <c r="W707">
        <v>0</v>
      </c>
      <c r="X707">
        <v>1</v>
      </c>
      <c r="Y707">
        <v>0</v>
      </c>
      <c r="Z707">
        <v>0</v>
      </c>
      <c r="AA707">
        <v>0</v>
      </c>
      <c r="AB707">
        <v>0</v>
      </c>
      <c r="AC707">
        <v>0</v>
      </c>
      <c r="AD707">
        <v>0</v>
      </c>
      <c r="AE707">
        <v>0</v>
      </c>
      <c r="AF707">
        <v>0</v>
      </c>
      <c r="AG707">
        <v>0</v>
      </c>
      <c r="AH707">
        <v>0</v>
      </c>
      <c r="AI707">
        <v>0</v>
      </c>
      <c r="AJ707">
        <v>0</v>
      </c>
      <c r="AK707">
        <v>0</v>
      </c>
      <c r="AL707">
        <v>0</v>
      </c>
      <c r="AM707">
        <v>0</v>
      </c>
      <c r="AN707">
        <v>0</v>
      </c>
      <c r="AO707">
        <v>0</v>
      </c>
      <c r="AP707">
        <v>0</v>
      </c>
      <c r="AQ707">
        <v>0</v>
      </c>
      <c r="AR707">
        <v>0</v>
      </c>
      <c r="AS707">
        <v>0</v>
      </c>
      <c r="AT707">
        <v>0</v>
      </c>
      <c r="AU707">
        <v>0</v>
      </c>
      <c r="AV707">
        <v>0</v>
      </c>
      <c r="AW707">
        <v>0</v>
      </c>
      <c r="AX707" s="141">
        <f>COUNTIF(V707:AW707,"&lt;&gt;0")</f>
        <v>1</v>
      </c>
      <c r="AY707" s="141">
        <f>COUNTIF(V707:AL707,"&lt;&gt;0")</f>
        <v>1</v>
      </c>
      <c r="AZ707">
        <f>COUNTIF(V707:AC707,"&lt;&gt;0")</f>
        <v>1</v>
      </c>
      <c r="BA707">
        <f>COUNTIF(AD707:AI707,"&lt;&gt;0")</f>
        <v>0</v>
      </c>
      <c r="BB707">
        <f>COUNTIF(AJ707:AL707,"&lt;&gt;0")</f>
        <v>0</v>
      </c>
      <c r="BC707">
        <f>COUNTIF(AS707:AW707,"&lt;&gt;0")</f>
        <v>0</v>
      </c>
      <c r="BD707">
        <f>COUNTIF(AM707:AR707,"&lt;&gt;0")</f>
        <v>0</v>
      </c>
      <c r="BE707" t="str">
        <f t="array" ref="BE707">IF(AY707=1,INDEX($V$7:$AL$7,MATCH(TRUE,INDEX($V707:$AW707&lt;&gt;0,),0)),IF(AY707=0,INDEX($AM$7:$AW$7,MATCH(1,$AM707:$AW707,0)),IF(BF707="Multiple strategies","mixed drivers",IF(BF707="Supply chain","multiple supply","multiple silviculture"))))</f>
        <v>rotation length</v>
      </c>
      <c r="BF707" s="2" t="str" cm="1">
        <f t="array" ref="BF707">IF(COUNTIF(AZ707:BB707,"&lt;&gt;0")=1,INDEX($V$4:$AW$4,MATCH(TRUE,INDEX($V707:$AW707&lt;&gt;0,),0)),IF(COUNTIF(AZ707:BB707,"&lt;&gt;0")=0,INDEX($AM$4:$AW$4,MATCH(1,$AM707:$AW707,0)),"Multiple strategies"))</f>
        <v>SilvicultureRemov</v>
      </c>
      <c r="BG707" s="1" t="s">
        <v>322</v>
      </c>
      <c r="BH707" t="s">
        <v>1412</v>
      </c>
      <c r="BI707" s="260" t="s">
        <v>3320</v>
      </c>
      <c r="BJ707" t="s">
        <v>1361</v>
      </c>
      <c r="BK707" s="266">
        <f>0.9*BL707</f>
        <v>13.148999999999999</v>
      </c>
      <c r="BL707" s="266">
        <v>14.61</v>
      </c>
      <c r="BN707" s="227">
        <f>BL707-BK707</f>
        <v>1.4610000000000003</v>
      </c>
      <c r="BO707">
        <f>BN707*10^6*tC_to_m3</f>
        <v>6343899.2618323937</v>
      </c>
      <c r="BP707" t="s">
        <v>233</v>
      </c>
      <c r="BQ707" s="260" t="s">
        <v>3321</v>
      </c>
      <c r="BR707" t="s">
        <v>1302</v>
      </c>
      <c r="BS707" s="152"/>
      <c r="BT707" s="152"/>
      <c r="BU707" s="144"/>
      <c r="BV707" s="286">
        <v>-7.9482690622076007</v>
      </c>
      <c r="BX707">
        <f>BV707*10^6</f>
        <v>-7948269.062207601</v>
      </c>
      <c r="BY707">
        <f>IFERROR(BX707/BO707,"")</f>
        <v>-1.252899633830534</v>
      </c>
      <c r="BZ707">
        <v>0</v>
      </c>
      <c r="CA707">
        <v>0</v>
      </c>
      <c r="CB707">
        <v>0</v>
      </c>
      <c r="CC707">
        <v>0</v>
      </c>
      <c r="CD707">
        <v>0</v>
      </c>
      <c r="CE707">
        <v>0</v>
      </c>
      <c r="CF707">
        <v>0</v>
      </c>
      <c r="CG707">
        <v>0</v>
      </c>
      <c r="CH707">
        <v>0</v>
      </c>
      <c r="CI707">
        <v>0</v>
      </c>
      <c r="CJ707">
        <v>0</v>
      </c>
      <c r="CK707">
        <v>0</v>
      </c>
      <c r="CL707">
        <v>0</v>
      </c>
      <c r="CM707">
        <v>0</v>
      </c>
      <c r="CN707" t="str">
        <f>IF(BL707&lt;BK707,"refNeedCorrection","refOK")</f>
        <v>refOK</v>
      </c>
      <c r="CO707"/>
      <c r="CP707"/>
      <c r="CQ707">
        <f>IF($CN707="refNeedCorrection",-BO707,BO707)</f>
        <v>6343899.2618323937</v>
      </c>
      <c r="CR707">
        <f>IF($CN707="refOK",$BS707,$BT707)*IF($BP707="Emissions positive",-1,1)</f>
        <v>0</v>
      </c>
      <c r="CS707">
        <f>IF($CN707="refOK",$BT707,$BS707)*IF($BP707="Emissions positive",-1,1)</f>
        <v>0</v>
      </c>
      <c r="CT707">
        <f>IF($CN707="refNeedCorrection",-BX707,BX707)*IF($BP707="Emissions positive",-1,1)</f>
        <v>-7948269.062207601</v>
      </c>
      <c r="CU707">
        <f>IFERROR(CT707/CQ707,"")</f>
        <v>-1.252899633830534</v>
      </c>
      <c r="CV707" s="2" t="str">
        <f>IFERROR((CS707-CR707)/ABS(CR707),"")</f>
        <v/>
      </c>
      <c r="CW707" s="1" t="s">
        <v>1201</v>
      </c>
      <c r="CX707" t="str">
        <f>IF(OR($CW707="prd",$CW707="std",$CW707="cit"),"loc",IF(OR($CW707="eur",$CW707="reg",$CW707="coy"),"reg",$CW707))</f>
        <v>reg</v>
      </c>
      <c r="CY707" t="s">
        <v>429</v>
      </c>
      <c r="CZ707">
        <v>2020</v>
      </c>
      <c r="DA707">
        <v>2050</v>
      </c>
      <c r="DB707">
        <v>30</v>
      </c>
      <c r="DC707" t="str">
        <f>IF(DB707=0,"0",IF(AND(DB707&gt;=1,DB707&lt;=30),"1-30",IF(AND(DB707&gt;30,DB707&lt;=70),"31-70",IF(AND(DB707&gt;70,DB707&lt;=100),"71-100",IF(DB707&gt;100,"+100")))))</f>
        <v>1-30</v>
      </c>
      <c r="DD707">
        <v>0</v>
      </c>
      <c r="DE707">
        <v>1</v>
      </c>
      <c r="DF707">
        <v>1</v>
      </c>
      <c r="DG707">
        <v>1</v>
      </c>
      <c r="DI707">
        <f>SUM(DD707:DG707)</f>
        <v>3</v>
      </c>
      <c r="DJ707" t="str">
        <f>IF(DI707=1,INDEX($DD$7:$DG$7,MATCH(1,$DD707:$DG707,0)),"mixedProduct")</f>
        <v>mixedProduct</v>
      </c>
      <c r="DK707">
        <f>IF(DD707=1,DK$7,0)</f>
        <v>0</v>
      </c>
      <c r="DL707" t="str">
        <f>IF(DE707=1,DL$7,0)</f>
        <v>Energy</v>
      </c>
      <c r="DM707" t="str">
        <f>IF(DF707=1,DM$7,0)</f>
        <v>Pulp/Paper</v>
      </c>
      <c r="DN707" t="str">
        <f>IF(DG707=1,DN$7,0)</f>
        <v>Timber</v>
      </c>
      <c r="DO707">
        <v>0</v>
      </c>
      <c r="DP707">
        <v>1</v>
      </c>
      <c r="DQ707" t="s">
        <v>1413</v>
      </c>
      <c r="DR707" t="s">
        <v>1414</v>
      </c>
      <c r="DS707">
        <v>0</v>
      </c>
      <c r="DT707">
        <f>SUM(DO707:DP707)</f>
        <v>1</v>
      </c>
      <c r="DU707" s="143" t="str">
        <f>IF(DO707=1,"self-calculated DF",IF(DP707=1,"external DF used","explicit C balance"))</f>
        <v>external DF used</v>
      </c>
      <c r="DV707">
        <v>1</v>
      </c>
      <c r="DW707">
        <v>1</v>
      </c>
      <c r="DX707">
        <v>1</v>
      </c>
      <c r="DY707">
        <v>1</v>
      </c>
      <c r="DZ707">
        <v>0</v>
      </c>
      <c r="EA707" s="143">
        <v>0</v>
      </c>
      <c r="EB707">
        <v>0</v>
      </c>
      <c r="EC707">
        <v>0</v>
      </c>
      <c r="ED707">
        <v>0</v>
      </c>
      <c r="EE707">
        <v>0</v>
      </c>
      <c r="EF707">
        <v>1</v>
      </c>
      <c r="EG707" s="143">
        <v>0</v>
      </c>
      <c r="EH707" s="143">
        <v>0</v>
      </c>
      <c r="EI707" s="2">
        <v>0</v>
      </c>
      <c r="EK707" t="str">
        <f>IF(AND(AND(AND(OR($DX707=1,$DW707=1),OR($EC707=1,$EA707=1)),SUM($DV707:$DZ707,$EF707)&gt;=4),SUM($EA707:$EE707)&gt;=2),"Whole sector","")</f>
        <v/>
      </c>
      <c r="EL707" t="str">
        <f>IF(AND(AND(OR($DX707=1,$DW707=1),AND($EC707=0,$EA707=0)),SUM($DV707:$DZ707,$EF707)&gt;=4),"Ecosystem approach","")</f>
        <v>Ecosystem approach</v>
      </c>
      <c r="EM707" s="2" t="str">
        <f>IF(AND(AND(AND($DX707=0,$DW707=0),OR($EC707=1,$EA707=1)),SUM($EB707:$EE707)&gt;=2),"Technology approach","")</f>
        <v/>
      </c>
      <c r="EP707" t="str">
        <f>IF(ISNUMBER(BU707),IF(ABS(BU707-[4]QC_indicators!$B$2)&gt;3*[4]QC_indicators!$C$2,"C ratio",IF(ISNUMBER(BY707),IF(ABS(BY707-[4]QC_indicators!$B$1)&gt;3*[4]QC_indicators!$C$1,"DF","no"))),IF(ISNUMBER(BY707),IF(ABS(BY707-[4]QC_indicators!$B$1)&gt;3*[4]QC_indicators!$C$1,"DF","no")))</f>
        <v>no</v>
      </c>
      <c r="EQ707" t="s">
        <v>287</v>
      </c>
      <c r="ER707" s="149" t="s">
        <v>350</v>
      </c>
      <c r="ET707" s="266" t="s">
        <v>3275</v>
      </c>
    </row>
    <row r="708" spans="1:150" ht="15" customHeight="1">
      <c r="A708" s="1" t="s">
        <v>1402</v>
      </c>
      <c r="B708" t="s">
        <v>1403</v>
      </c>
      <c r="C708" t="s">
        <v>1404</v>
      </c>
      <c r="D708" t="s">
        <v>1405</v>
      </c>
      <c r="E708" t="s">
        <v>1406</v>
      </c>
      <c r="F708" t="s">
        <v>1407</v>
      </c>
      <c r="G708" t="s">
        <v>1408</v>
      </c>
      <c r="H708" t="s">
        <v>255</v>
      </c>
      <c r="I708">
        <v>2021</v>
      </c>
      <c r="J708">
        <v>0</v>
      </c>
      <c r="K708" t="s">
        <v>1409</v>
      </c>
      <c r="M708" t="str">
        <f>LEFT($D708,FIND(",",$D708)-1)&amp;"_"&amp;I708&amp;L708</f>
        <v>Dugan_2021</v>
      </c>
      <c r="N708" t="s">
        <v>223</v>
      </c>
      <c r="O708" s="145" t="s">
        <v>275</v>
      </c>
      <c r="Q708" t="s">
        <v>257</v>
      </c>
      <c r="R708" s="255" t="s">
        <v>226</v>
      </c>
      <c r="S708" s="1" t="s">
        <v>315</v>
      </c>
      <c r="T708" t="s">
        <v>1113</v>
      </c>
      <c r="U708" t="s">
        <v>1416</v>
      </c>
      <c r="V708">
        <v>0</v>
      </c>
      <c r="W708">
        <v>0</v>
      </c>
      <c r="X708">
        <v>1</v>
      </c>
      <c r="Y708">
        <v>0</v>
      </c>
      <c r="Z708">
        <v>0</v>
      </c>
      <c r="AA708">
        <v>0</v>
      </c>
      <c r="AB708">
        <v>0</v>
      </c>
      <c r="AC708">
        <v>0</v>
      </c>
      <c r="AD708">
        <v>0</v>
      </c>
      <c r="AE708">
        <v>0</v>
      </c>
      <c r="AF708">
        <v>0</v>
      </c>
      <c r="AG708">
        <v>0</v>
      </c>
      <c r="AH708">
        <v>0</v>
      </c>
      <c r="AI708">
        <v>0</v>
      </c>
      <c r="AJ708">
        <v>0</v>
      </c>
      <c r="AK708">
        <v>0</v>
      </c>
      <c r="AL708">
        <v>0</v>
      </c>
      <c r="AM708">
        <v>0</v>
      </c>
      <c r="AN708">
        <v>0</v>
      </c>
      <c r="AO708">
        <v>0</v>
      </c>
      <c r="AP708">
        <v>0</v>
      </c>
      <c r="AQ708">
        <v>0</v>
      </c>
      <c r="AR708">
        <v>0</v>
      </c>
      <c r="AS708">
        <v>0</v>
      </c>
      <c r="AT708">
        <v>0</v>
      </c>
      <c r="AU708">
        <v>0</v>
      </c>
      <c r="AV708">
        <v>0</v>
      </c>
      <c r="AW708">
        <v>0</v>
      </c>
      <c r="AX708" s="141">
        <f>COUNTIF(V708:AW708,"&lt;&gt;0")</f>
        <v>1</v>
      </c>
      <c r="AY708" s="141">
        <f>COUNTIF(V708:AL708,"&lt;&gt;0")</f>
        <v>1</v>
      </c>
      <c r="AZ708">
        <f>COUNTIF(V708:AC708,"&lt;&gt;0")</f>
        <v>1</v>
      </c>
      <c r="BA708">
        <f>COUNTIF(AD708:AI708,"&lt;&gt;0")</f>
        <v>0</v>
      </c>
      <c r="BB708">
        <f>COUNTIF(AJ708:AL708,"&lt;&gt;0")</f>
        <v>0</v>
      </c>
      <c r="BC708">
        <f>COUNTIF(AS708:AW708,"&lt;&gt;0")</f>
        <v>0</v>
      </c>
      <c r="BD708">
        <f>COUNTIF(AM708:AR708,"&lt;&gt;0")</f>
        <v>0</v>
      </c>
      <c r="BE708" t="str">
        <f t="array" ref="BE708">IF(AY708=1,INDEX($V$7:$AL$7,MATCH(TRUE,INDEX($V708:$AW708&lt;&gt;0,),0)),IF(AY708=0,INDEX($AM$7:$AW$7,MATCH(1,$AM708:$AW708,0)),IF(BF708="Multiple strategies","mixed drivers",IF(BF708="Supply chain","multiple supply","multiple silviculture"))))</f>
        <v>rotation length</v>
      </c>
      <c r="BF708" s="2" t="str" cm="1">
        <f t="array" ref="BF708">IF(COUNTIF(AZ708:BB708,"&lt;&gt;0")=1,INDEX($V$4:$AW$4,MATCH(TRUE,INDEX($V708:$AW708&lt;&gt;0,),0)),IF(COUNTIF(AZ708:BB708,"&lt;&gt;0")=0,INDEX($AM$4:$AW$4,MATCH(1,$AM708:$AW708,0)),"Multiple strategies"))</f>
        <v>SilvicultureRemov</v>
      </c>
      <c r="BG708" s="1" t="s">
        <v>322</v>
      </c>
      <c r="BH708" t="s">
        <v>1412</v>
      </c>
      <c r="BI708" s="260" t="s">
        <v>3320</v>
      </c>
      <c r="BJ708" t="s">
        <v>1361</v>
      </c>
      <c r="BK708" s="266">
        <v>14.61</v>
      </c>
      <c r="BL708">
        <f>BK708*1.1</f>
        <v>16.071000000000002</v>
      </c>
      <c r="BN708" s="227">
        <f>BL708-BK708</f>
        <v>1.4610000000000021</v>
      </c>
      <c r="BO708">
        <f>BN708*10^6*tC_to_m3</f>
        <v>6343899.2618324021</v>
      </c>
      <c r="BP708" t="s">
        <v>233</v>
      </c>
      <c r="BQ708" s="260" t="s">
        <v>3321</v>
      </c>
      <c r="BR708" t="s">
        <v>1302</v>
      </c>
      <c r="BS708" s="152"/>
      <c r="BT708" s="152"/>
      <c r="BU708" s="144"/>
      <c r="BV708" s="286">
        <v>-6.2240870021567396</v>
      </c>
      <c r="BX708">
        <f>BV708*10^6</f>
        <v>-6224087.0021567401</v>
      </c>
      <c r="BY708">
        <f>IFERROR(BX708/BO708,"")</f>
        <v>-0.98111378274927796</v>
      </c>
      <c r="BZ708">
        <v>0</v>
      </c>
      <c r="CA708">
        <v>0</v>
      </c>
      <c r="CB708">
        <v>0</v>
      </c>
      <c r="CC708">
        <v>0</v>
      </c>
      <c r="CD708">
        <v>0</v>
      </c>
      <c r="CE708">
        <v>0</v>
      </c>
      <c r="CF708">
        <v>0</v>
      </c>
      <c r="CG708">
        <v>0</v>
      </c>
      <c r="CH708">
        <v>0</v>
      </c>
      <c r="CI708">
        <v>0</v>
      </c>
      <c r="CJ708">
        <v>0</v>
      </c>
      <c r="CK708">
        <v>0</v>
      </c>
      <c r="CL708">
        <v>0</v>
      </c>
      <c r="CM708">
        <v>0</v>
      </c>
      <c r="CN708" t="str">
        <f>IF(BL708&lt;BK708,"refNeedCorrection","refOK")</f>
        <v>refOK</v>
      </c>
      <c r="CO708"/>
      <c r="CP708"/>
      <c r="CQ708">
        <f>IF($CN708="refNeedCorrection",-BO708,BO708)</f>
        <v>6343899.2618324021</v>
      </c>
      <c r="CR708">
        <f>IF($CN708="refOK",$BS708,$BT708)*IF($BP708="Emissions positive",-1,1)</f>
        <v>0</v>
      </c>
      <c r="CS708">
        <f>IF($CN708="refOK",$BT708,$BS708)*IF($BP708="Emissions positive",-1,1)</f>
        <v>0</v>
      </c>
      <c r="CT708">
        <f>IF($CN708="refNeedCorrection",-BX708,BX708)*IF($BP708="Emissions positive",-1,1)</f>
        <v>-6224087.0021567401</v>
      </c>
      <c r="CU708">
        <f>IFERROR(CT708/CQ708,"")</f>
        <v>-0.98111378274927796</v>
      </c>
      <c r="CV708" s="2" t="str">
        <f>IFERROR((CS708-CR708)/ABS(CR708),"")</f>
        <v/>
      </c>
      <c r="CW708" s="1" t="s">
        <v>1201</v>
      </c>
      <c r="CX708" t="str">
        <f>IF(OR($CW708="prd",$CW708="std",$CW708="cit"),"loc",IF(OR($CW708="eur",$CW708="reg",$CW708="coy"),"reg",$CW708))</f>
        <v>reg</v>
      </c>
      <c r="CY708" t="s">
        <v>429</v>
      </c>
      <c r="CZ708">
        <v>2020</v>
      </c>
      <c r="DA708">
        <v>2050</v>
      </c>
      <c r="DB708">
        <v>30</v>
      </c>
      <c r="DC708" t="str">
        <f>IF(DB708=0,"0",IF(AND(DB708&gt;=1,DB708&lt;=30),"1-30",IF(AND(DB708&gt;30,DB708&lt;=70),"31-70",IF(AND(DB708&gt;70,DB708&lt;=100),"71-100",IF(DB708&gt;100,"+100")))))</f>
        <v>1-30</v>
      </c>
      <c r="DD708">
        <v>0</v>
      </c>
      <c r="DE708">
        <v>1</v>
      </c>
      <c r="DF708">
        <v>1</v>
      </c>
      <c r="DG708">
        <v>1</v>
      </c>
      <c r="DI708">
        <f>SUM(DD708:DG708)</f>
        <v>3</v>
      </c>
      <c r="DJ708" t="str">
        <f>IF(DI708=1,INDEX($DD$7:$DG$7,MATCH(1,$DD708:$DG708,0)),"mixedProduct")</f>
        <v>mixedProduct</v>
      </c>
      <c r="DK708">
        <f>IF(DD708=1,DK$7,0)</f>
        <v>0</v>
      </c>
      <c r="DL708" t="str">
        <f>IF(DE708=1,DL$7,0)</f>
        <v>Energy</v>
      </c>
      <c r="DM708" t="str">
        <f>IF(DF708=1,DM$7,0)</f>
        <v>Pulp/Paper</v>
      </c>
      <c r="DN708" t="str">
        <f>IF(DG708=1,DN$7,0)</f>
        <v>Timber</v>
      </c>
      <c r="DO708">
        <v>0</v>
      </c>
      <c r="DP708">
        <v>1</v>
      </c>
      <c r="DQ708" t="s">
        <v>1413</v>
      </c>
      <c r="DR708" t="s">
        <v>1414</v>
      </c>
      <c r="DS708">
        <v>0</v>
      </c>
      <c r="DT708">
        <f>SUM(DO708:DP708)</f>
        <v>1</v>
      </c>
      <c r="DU708" s="143" t="str">
        <f>IF(DO708=1,"self-calculated DF",IF(DP708=1,"external DF used","explicit C balance"))</f>
        <v>external DF used</v>
      </c>
      <c r="DV708">
        <v>1</v>
      </c>
      <c r="DW708">
        <v>1</v>
      </c>
      <c r="DX708">
        <v>1</v>
      </c>
      <c r="DY708">
        <v>1</v>
      </c>
      <c r="DZ708">
        <v>0</v>
      </c>
      <c r="EA708" s="143">
        <v>0</v>
      </c>
      <c r="EB708">
        <v>0</v>
      </c>
      <c r="EC708">
        <v>0</v>
      </c>
      <c r="ED708">
        <v>0</v>
      </c>
      <c r="EE708">
        <v>0</v>
      </c>
      <c r="EF708">
        <v>1</v>
      </c>
      <c r="EG708" s="143">
        <v>0</v>
      </c>
      <c r="EH708" s="143">
        <v>0</v>
      </c>
      <c r="EI708" s="2">
        <v>0</v>
      </c>
      <c r="EK708" t="str">
        <f>IF(AND(AND(AND(OR($DX708=1,$DW708=1),OR($EC708=1,$EA708=1)),SUM($DV708:$DZ708,$EF708)&gt;=4),SUM($EA708:$EE708)&gt;=2),"Whole sector","")</f>
        <v/>
      </c>
      <c r="EL708" t="str">
        <f>IF(AND(AND(OR($DX708=1,$DW708=1),AND($EC708=0,$EA708=0)),SUM($DV708:$DZ708,$EF708)&gt;=4),"Ecosystem approach","")</f>
        <v>Ecosystem approach</v>
      </c>
      <c r="EM708" s="2" t="str">
        <f>IF(AND(AND(AND($DX708=0,$DW708=0),OR($EC708=1,$EA708=1)),SUM($EB708:$EE708)&gt;=2),"Technology approach","")</f>
        <v/>
      </c>
      <c r="EP708" t="str">
        <f>IF(ISNUMBER(BU708),IF(ABS(BU708-[4]QC_indicators!$B$2)&gt;3*[4]QC_indicators!$C$2,"C ratio",IF(ISNUMBER(BY708),IF(ABS(BY708-[4]QC_indicators!$B$1)&gt;3*[4]QC_indicators!$C$1,"DF","no"))),IF(ISNUMBER(BY708),IF(ABS(BY708-[4]QC_indicators!$B$1)&gt;3*[4]QC_indicators!$C$1,"DF","no")))</f>
        <v>no</v>
      </c>
      <c r="EQ708" t="s">
        <v>287</v>
      </c>
      <c r="ER708" s="149" t="s">
        <v>350</v>
      </c>
      <c r="ET708" s="266" t="s">
        <v>3275</v>
      </c>
    </row>
    <row r="709" spans="1:150" ht="15" hidden="1" customHeight="1">
      <c r="A709" s="1" t="s">
        <v>1425</v>
      </c>
      <c r="B709" t="s">
        <v>2118</v>
      </c>
      <c r="C709" t="s">
        <v>2119</v>
      </c>
      <c r="D709" t="s">
        <v>2120</v>
      </c>
      <c r="E709" t="s">
        <v>2121</v>
      </c>
      <c r="F709" t="s">
        <v>2122</v>
      </c>
      <c r="G709" t="s">
        <v>1431</v>
      </c>
      <c r="H709" t="s">
        <v>255</v>
      </c>
      <c r="I709">
        <v>2014</v>
      </c>
      <c r="J709">
        <v>45</v>
      </c>
      <c r="K709" t="s">
        <v>2123</v>
      </c>
      <c r="M709" t="str">
        <f>LEFT($D709,FIND(",",$D709)-1)&amp;"_"&amp;I709&amp;L709</f>
        <v>Pukkala_2014</v>
      </c>
      <c r="N709" t="s">
        <v>223</v>
      </c>
      <c r="O709" s="171" t="s">
        <v>226</v>
      </c>
      <c r="P709" t="s">
        <v>1156</v>
      </c>
      <c r="R709" s="264" t="s">
        <v>224</v>
      </c>
      <c r="S709" s="1" t="s">
        <v>2124</v>
      </c>
      <c r="T709" t="s">
        <v>2125</v>
      </c>
      <c r="U709" t="s">
        <v>2126</v>
      </c>
      <c r="V709">
        <v>0</v>
      </c>
      <c r="W709">
        <v>0</v>
      </c>
      <c r="X709">
        <v>0</v>
      </c>
      <c r="Y709">
        <v>0</v>
      </c>
      <c r="Z709">
        <v>0</v>
      </c>
      <c r="AA709">
        <v>0</v>
      </c>
      <c r="AB709">
        <v>0</v>
      </c>
      <c r="AC709">
        <v>0</v>
      </c>
      <c r="AD709">
        <v>0</v>
      </c>
      <c r="AE709">
        <v>0</v>
      </c>
      <c r="AF709">
        <v>1</v>
      </c>
      <c r="AG709">
        <v>0</v>
      </c>
      <c r="AH709">
        <v>0</v>
      </c>
      <c r="AI709">
        <v>0</v>
      </c>
      <c r="AJ709">
        <v>0</v>
      </c>
      <c r="AK709">
        <v>0</v>
      </c>
      <c r="AL709">
        <v>0</v>
      </c>
      <c r="AM709">
        <v>0</v>
      </c>
      <c r="AN709">
        <v>0</v>
      </c>
      <c r="AO709">
        <v>0</v>
      </c>
      <c r="AP709">
        <v>0</v>
      </c>
      <c r="AQ709">
        <v>0</v>
      </c>
      <c r="AR709">
        <v>0</v>
      </c>
      <c r="AS709">
        <v>0</v>
      </c>
      <c r="AT709">
        <v>0</v>
      </c>
      <c r="AU709">
        <v>0</v>
      </c>
      <c r="AV709">
        <v>0</v>
      </c>
      <c r="AW709">
        <v>0</v>
      </c>
      <c r="AX709" s="141">
        <f>COUNTIF(V709:AW709,"&lt;&gt;0")</f>
        <v>1</v>
      </c>
      <c r="AY709" s="141">
        <f>COUNTIF(V709:AL709,"&lt;&gt;0")</f>
        <v>1</v>
      </c>
      <c r="AZ709">
        <f>COUNTIF(V709:AC709,"&lt;&gt;0")</f>
        <v>0</v>
      </c>
      <c r="BA709">
        <f>COUNTIF(AD709:AI709,"&lt;&gt;0")</f>
        <v>1</v>
      </c>
      <c r="BB709">
        <f>COUNTIF(AJ709:AL709,"&lt;&gt;0")</f>
        <v>0</v>
      </c>
      <c r="BC709">
        <f>COUNTIF(AS709:AW709,"&lt;&gt;0")</f>
        <v>0</v>
      </c>
      <c r="BD709">
        <f>COUNTIF(AM709:AR709,"&lt;&gt;0")</f>
        <v>0</v>
      </c>
      <c r="BE709" t="str">
        <f t="array" ref="BE709">IF(AY709=1,INDEX($V$7:$AL$7,MATCH(TRUE,INDEX($V709:$AW709&lt;&gt;0,),0)),IF(AY709=0,INDEX($AM$7:$AW$7,MATCH(1,$AM709:$AW709,0)),IF(BF709="Multiple strategies","mixed drivers",IF(BF709="Supply chain","multiple supply","multiple silviculture"))))</f>
        <v>supply chain organization</v>
      </c>
      <c r="BF709" s="2" t="str" cm="1">
        <f t="array" ref="BF709">IF(COUNTIF(AZ709:BB709,"&lt;&gt;0")=1,INDEX($V$4:$AW$4,MATCH(TRUE,INDEX($V709:$AW709&lt;&gt;0,),0)),IF(COUNTIF(AZ709:BB709,"&lt;&gt;0")=0,INDEX($AM$4:$AW$4,MATCH(1,$AM709:$AW709,0)),"Multiple strategies"))</f>
        <v>Supply chain</v>
      </c>
      <c r="BG709" s="1" t="s">
        <v>230</v>
      </c>
      <c r="BH709" t="s">
        <v>2127</v>
      </c>
      <c r="BI709" t="s">
        <v>2128</v>
      </c>
      <c r="BJ709" t="s">
        <v>2129</v>
      </c>
      <c r="BK709">
        <v>1.004</v>
      </c>
      <c r="BL709">
        <v>1.0920000000000001</v>
      </c>
      <c r="BM709">
        <f>IFERROR(BL709/BK709,"")</f>
        <v>1.0876494023904384</v>
      </c>
      <c r="BN709">
        <f>BL709-BK709</f>
        <v>8.8000000000000078E-2</v>
      </c>
      <c r="BO709">
        <f>+BN709*tC_to_m3</f>
        <v>0.38211029092488097</v>
      </c>
      <c r="BP709" t="s">
        <v>233</v>
      </c>
      <c r="BQ709" t="s">
        <v>2130</v>
      </c>
      <c r="BR709" t="s">
        <v>2129</v>
      </c>
      <c r="BS709">
        <v>0.72399999999999998</v>
      </c>
      <c r="BT709">
        <v>0.63800000000000001</v>
      </c>
      <c r="BU709" s="144">
        <f>BT709/BS709</f>
        <v>0.88121546961325969</v>
      </c>
      <c r="BV709">
        <f>BT709-BS709</f>
        <v>-8.5999999999999965E-2</v>
      </c>
      <c r="BX709" s="185">
        <f>BV709*C_to_CO2</f>
        <v>-0.31561999999999985</v>
      </c>
      <c r="BY709">
        <f>IFERROR(BX709/BO709,"")</f>
        <v>-0.82599188636363519</v>
      </c>
      <c r="BZ709">
        <v>0</v>
      </c>
      <c r="CA709">
        <v>0</v>
      </c>
      <c r="CB709">
        <v>0</v>
      </c>
      <c r="CC709">
        <v>0</v>
      </c>
      <c r="CD709">
        <v>0</v>
      </c>
      <c r="CE709">
        <v>0</v>
      </c>
      <c r="CF709">
        <v>0</v>
      </c>
      <c r="CG709">
        <v>0</v>
      </c>
      <c r="CH709">
        <v>0</v>
      </c>
      <c r="CI709">
        <v>0</v>
      </c>
      <c r="CJ709">
        <v>0</v>
      </c>
      <c r="CK709">
        <v>0</v>
      </c>
      <c r="CL709">
        <v>0</v>
      </c>
      <c r="CM709">
        <v>1</v>
      </c>
      <c r="CN709" t="str">
        <f>IF($BL709&lt;$BK709,"refNeedCorrection","refOK")</f>
        <v>refOK</v>
      </c>
      <c r="CO709">
        <f>IF($CN709="refOK",$BK709,$BL709)</f>
        <v>1.004</v>
      </c>
      <c r="CP709">
        <f>IF($CN709="refOK",$BL709,$BK709)</f>
        <v>1.0920000000000001</v>
      </c>
      <c r="CQ709">
        <f>IF($CN709="refOK",$BO709,-$BO709)</f>
        <v>0.38211029092488097</v>
      </c>
      <c r="CR709">
        <f>IF($CN709="refOK",$BS709,$BT709)*IF($BP709="Emissions positive",-1,1)</f>
        <v>0.72399999999999998</v>
      </c>
      <c r="CS709">
        <f>IF($CN709="refOK",$BT709,$BS709)*IF($BP709="Emissions positive",-1,1)</f>
        <v>0.63800000000000001</v>
      </c>
      <c r="CT709">
        <f>IF($CN709="refNeedCorrection",-BX709,BX709)*IF($BP709="Emissions positive",-1,1)</f>
        <v>-0.31561999999999985</v>
      </c>
      <c r="CU709">
        <f>IFERROR(CT709/CQ709,"")</f>
        <v>-0.82599188636363519</v>
      </c>
      <c r="CV709" s="2">
        <f>IFERROR((CS709-CR709)/ABS(CR709),"")</f>
        <v>-0.11878453038674029</v>
      </c>
      <c r="CW709" s="1" t="s">
        <v>2038</v>
      </c>
      <c r="CX709" t="str">
        <f>IF(OR($CW709="prd",$CW709="std",$CW709="cit"),"loc",IF(OR($CW709="eur",$CW709="reg",$CW709="coy"),"reg",$CW709))</f>
        <v>reg</v>
      </c>
      <c r="CY709" t="s">
        <v>236</v>
      </c>
      <c r="DB709">
        <v>30</v>
      </c>
      <c r="DC709" t="str">
        <f>IF(DB709=0,"0",IF(AND(DB709&gt;=1,DB709&lt;=30),"1-30",IF(AND(DB709&gt;30,DB709&lt;=70),"31-70",IF(AND(DB709&gt;70,DB709&lt;=100),"71-100",IF(DB709&gt;100,"+100")))))</f>
        <v>1-30</v>
      </c>
      <c r="DD709">
        <v>1</v>
      </c>
      <c r="DE709">
        <v>1</v>
      </c>
      <c r="DF709">
        <v>1</v>
      </c>
      <c r="DG709">
        <v>1</v>
      </c>
      <c r="DH709">
        <v>0</v>
      </c>
      <c r="DI709">
        <f>SUM(DD709:DG709)</f>
        <v>4</v>
      </c>
      <c r="DJ709" t="str">
        <f>IF(DI709=1,INDEX($DD$7:$DG$7,MATCH(1,$DD709:$DG709,0)),"mixedProduct")</f>
        <v>mixedProduct</v>
      </c>
      <c r="DK709" t="str">
        <f>IF(DD709=1,DK$7,0)</f>
        <v>Upstream</v>
      </c>
      <c r="DL709" t="str">
        <f>IF(DE709=1,DL$7,0)</f>
        <v>Energy</v>
      </c>
      <c r="DM709" t="str">
        <f>IF(DF709=1,DM$7,0)</f>
        <v>Pulp/Paper</v>
      </c>
      <c r="DN709" t="str">
        <f>IF(DG709=1,DN$7,0)</f>
        <v>Timber</v>
      </c>
      <c r="DO709">
        <v>0</v>
      </c>
      <c r="DP709">
        <v>1</v>
      </c>
      <c r="DQ709" s="184" t="s">
        <v>2131</v>
      </c>
      <c r="DR709" s="184" t="s">
        <v>2131</v>
      </c>
      <c r="DS709" s="184">
        <v>0</v>
      </c>
      <c r="DT709"/>
      <c r="DU709" s="143" t="str">
        <f>IF(DO709=1,"self-calculated DF",IF(DP709=1,"external DF used","explicit C balance"))</f>
        <v>external DF used</v>
      </c>
      <c r="DV709">
        <v>1</v>
      </c>
      <c r="DW709">
        <v>1</v>
      </c>
      <c r="DX709">
        <v>1</v>
      </c>
      <c r="DY709">
        <v>1</v>
      </c>
      <c r="DZ709">
        <v>1</v>
      </c>
      <c r="EA709" s="185">
        <v>1</v>
      </c>
      <c r="EB709">
        <v>1</v>
      </c>
      <c r="EC709">
        <v>1</v>
      </c>
      <c r="ED709" s="185">
        <v>0</v>
      </c>
      <c r="EE709">
        <v>0</v>
      </c>
      <c r="EF709">
        <v>1</v>
      </c>
      <c r="EG709">
        <v>0</v>
      </c>
      <c r="EH709">
        <v>0</v>
      </c>
      <c r="EI709" s="2">
        <v>0</v>
      </c>
      <c r="EK709" t="str">
        <f>IF(AND(AND(AND(OR($DX709=1,$DW709=1),OR($EC709=1,$EA709=1)),SUM($DV709:$DZ709,$EF709)&gt;=4),SUM($EA709:$EE709)&gt;=2),"Whole sector","")</f>
        <v>Whole sector</v>
      </c>
      <c r="EL709" t="str">
        <f>IF(AND(AND(OR($DX709=1,$DW709=1),AND($EC709=0,$EA709=0)),SUM($DV709:$DZ709,$EF709)&gt;=4),"Ecosystem approach","")</f>
        <v/>
      </c>
      <c r="EM709" s="2" t="str">
        <f>IF(AND(AND(AND($DX709=0,$DW709=0),OR($EC709=1,$EA709=1)),SUM($EB709:$EE709)&gt;=2),"Technology approach","")</f>
        <v/>
      </c>
      <c r="EP709" t="str">
        <f>IF(ISNUMBER(BU709),IF(ABS(BU709-[2]QC_indicators!$B$2)&gt;3*[2]QC_indicators!$C$2,"C ratio",IF(ISNUMBER(BY709),IF(ABS(BY709-[2]QC_indicators!$B$1)&gt;3*[2]QC_indicators!$C$1,"DF","no"))),IF(ISNUMBER(BY709),IF(ABS(BY709-[2]QC_indicators!$B$1)&gt;3*[2]QC_indicators!$C$1,"DF","no")))</f>
        <v>no</v>
      </c>
      <c r="ET709" s="266" t="s">
        <v>3225</v>
      </c>
    </row>
    <row r="710" spans="1:150" ht="15" customHeight="1">
      <c r="A710" s="1" t="s">
        <v>1402</v>
      </c>
      <c r="B710" t="s">
        <v>1403</v>
      </c>
      <c r="C710" t="s">
        <v>1404</v>
      </c>
      <c r="D710" t="s">
        <v>1405</v>
      </c>
      <c r="E710" t="s">
        <v>1406</v>
      </c>
      <c r="F710" t="s">
        <v>1407</v>
      </c>
      <c r="G710" t="s">
        <v>1408</v>
      </c>
      <c r="H710" t="s">
        <v>255</v>
      </c>
      <c r="I710">
        <v>2021</v>
      </c>
      <c r="J710">
        <v>0</v>
      </c>
      <c r="K710" t="s">
        <v>1409</v>
      </c>
      <c r="M710" t="str">
        <f>LEFT($D710,FIND(",",$D710)-1)&amp;"_"&amp;I710&amp;L710</f>
        <v>Dugan_2021</v>
      </c>
      <c r="N710" t="s">
        <v>223</v>
      </c>
      <c r="O710" s="145" t="s">
        <v>275</v>
      </c>
      <c r="Q710" t="s">
        <v>257</v>
      </c>
      <c r="R710" s="255" t="s">
        <v>226</v>
      </c>
      <c r="S710" s="1" t="s">
        <v>315</v>
      </c>
      <c r="T710" t="s">
        <v>1415</v>
      </c>
      <c r="U710" t="s">
        <v>1113</v>
      </c>
      <c r="V710">
        <v>0</v>
      </c>
      <c r="W710">
        <v>0</v>
      </c>
      <c r="X710">
        <v>1</v>
      </c>
      <c r="Y710">
        <v>0</v>
      </c>
      <c r="Z710">
        <v>0</v>
      </c>
      <c r="AA710">
        <v>0</v>
      </c>
      <c r="AB710">
        <v>0</v>
      </c>
      <c r="AC710">
        <v>0</v>
      </c>
      <c r="AD710">
        <v>0</v>
      </c>
      <c r="AE710">
        <v>0</v>
      </c>
      <c r="AF710">
        <v>0</v>
      </c>
      <c r="AG710">
        <v>0</v>
      </c>
      <c r="AH710">
        <v>0</v>
      </c>
      <c r="AI710">
        <v>0</v>
      </c>
      <c r="AJ710">
        <v>0</v>
      </c>
      <c r="AK710">
        <v>0</v>
      </c>
      <c r="AL710">
        <v>0</v>
      </c>
      <c r="AM710">
        <v>0</v>
      </c>
      <c r="AN710">
        <v>0</v>
      </c>
      <c r="AO710">
        <v>0</v>
      </c>
      <c r="AP710">
        <v>0</v>
      </c>
      <c r="AQ710">
        <v>0</v>
      </c>
      <c r="AR710">
        <v>0</v>
      </c>
      <c r="AS710">
        <v>0</v>
      </c>
      <c r="AT710">
        <v>0</v>
      </c>
      <c r="AU710">
        <v>0</v>
      </c>
      <c r="AV710">
        <v>0</v>
      </c>
      <c r="AW710">
        <v>0</v>
      </c>
      <c r="AX710" s="141">
        <f>COUNTIF(V710:AW710,"&lt;&gt;0")</f>
        <v>1</v>
      </c>
      <c r="AY710" s="141">
        <f>COUNTIF(V710:AL710,"&lt;&gt;0")</f>
        <v>1</v>
      </c>
      <c r="AZ710">
        <f>COUNTIF(V710:AC710,"&lt;&gt;0")</f>
        <v>1</v>
      </c>
      <c r="BA710">
        <f>COUNTIF(AD710:AI710,"&lt;&gt;0")</f>
        <v>0</v>
      </c>
      <c r="BB710">
        <f>COUNTIF(AJ710:AL710,"&lt;&gt;0")</f>
        <v>0</v>
      </c>
      <c r="BC710">
        <f>COUNTIF(AS710:AW710,"&lt;&gt;0")</f>
        <v>0</v>
      </c>
      <c r="BD710">
        <f>COUNTIF(AM710:AR710,"&lt;&gt;0")</f>
        <v>0</v>
      </c>
      <c r="BE710" t="str">
        <f t="array" ref="BE710">IF(AY710=1,INDEX($V$7:$AL$7,MATCH(TRUE,INDEX($V710:$AW710&lt;&gt;0,),0)),IF(AY710=0,INDEX($AM$7:$AW$7,MATCH(1,$AM710:$AW710,0)),IF(BF710="Multiple strategies","mixed drivers",IF(BF710="Supply chain","multiple supply","multiple silviculture"))))</f>
        <v>rotation length</v>
      </c>
      <c r="BF710" s="2" t="str" cm="1">
        <f t="array" ref="BF710">IF(COUNTIF(AZ710:BB710,"&lt;&gt;0")=1,INDEX($V$4:$AW$4,MATCH(TRUE,INDEX($V710:$AW710&lt;&gt;0,),0)),IF(COUNTIF(AZ710:BB710,"&lt;&gt;0")=0,INDEX($AM$4:$AW$4,MATCH(1,$AM710:$AW710,0)),"Multiple strategies"))</f>
        <v>SilvicultureRemov</v>
      </c>
      <c r="BG710" s="1" t="s">
        <v>322</v>
      </c>
      <c r="BH710" t="s">
        <v>1412</v>
      </c>
      <c r="BI710" s="260" t="s">
        <v>3320</v>
      </c>
      <c r="BJ710" t="s">
        <v>1361</v>
      </c>
      <c r="BK710" s="266">
        <f>0.9*BL710</f>
        <v>13.148999999999999</v>
      </c>
      <c r="BL710" s="266">
        <v>14.61</v>
      </c>
      <c r="BN710" s="227">
        <f>BL710-BK710</f>
        <v>1.4610000000000003</v>
      </c>
      <c r="BO710">
        <f>BN710*10^6*tC_to_m3</f>
        <v>6343899.2618323937</v>
      </c>
      <c r="BP710" t="s">
        <v>233</v>
      </c>
      <c r="BQ710" s="260" t="s">
        <v>3323</v>
      </c>
      <c r="BR710" t="s">
        <v>1302</v>
      </c>
      <c r="BS710" s="152"/>
      <c r="BT710" s="152"/>
      <c r="BU710" s="144"/>
      <c r="BV710" s="141">
        <v>-4.6286109425494901</v>
      </c>
      <c r="BX710">
        <f>BV710*10^6</f>
        <v>-4628610.9425494904</v>
      </c>
      <c r="BY710">
        <f>IFERROR(BX710/BO710,"")</f>
        <v>-0.72961608492070329</v>
      </c>
      <c r="BZ710">
        <v>0</v>
      </c>
      <c r="CA710">
        <v>0</v>
      </c>
      <c r="CB710">
        <v>0</v>
      </c>
      <c r="CC710">
        <v>0</v>
      </c>
      <c r="CD710">
        <v>0</v>
      </c>
      <c r="CE710">
        <v>0</v>
      </c>
      <c r="CF710">
        <v>0</v>
      </c>
      <c r="CG710">
        <v>0</v>
      </c>
      <c r="CH710">
        <v>0</v>
      </c>
      <c r="CI710">
        <v>0</v>
      </c>
      <c r="CJ710">
        <v>0</v>
      </c>
      <c r="CK710">
        <v>0</v>
      </c>
      <c r="CL710">
        <v>0</v>
      </c>
      <c r="CM710">
        <v>0</v>
      </c>
      <c r="CN710" t="str">
        <f>IF(BL710&lt;BK710,"refNeedCorrection","refOK")</f>
        <v>refOK</v>
      </c>
      <c r="CO710"/>
      <c r="CP710"/>
      <c r="CQ710">
        <f>IF($CN710="refNeedCorrection",-BO710,BO710)</f>
        <v>6343899.2618323937</v>
      </c>
      <c r="CR710">
        <f>IF($CN710="refOK",$BS710,$BT710)*IF($BP710="Emissions positive",-1,1)</f>
        <v>0</v>
      </c>
      <c r="CS710">
        <f>IF($CN710="refOK",$BT710,$BS710)*IF($BP710="Emissions positive",-1,1)</f>
        <v>0</v>
      </c>
      <c r="CT710">
        <f>IF($CN710="refNeedCorrection",-BX710,BX710)*IF($BP710="Emissions positive",-1,1)</f>
        <v>-4628610.9425494904</v>
      </c>
      <c r="CU710">
        <f>IFERROR(CT710/CQ710,"")</f>
        <v>-0.72961608492070329</v>
      </c>
      <c r="CV710" s="2" t="str">
        <f>IFERROR((CS710-CR710)/ABS(CR710),"")</f>
        <v/>
      </c>
      <c r="CW710" s="1" t="s">
        <v>1201</v>
      </c>
      <c r="CX710" t="str">
        <f>IF(OR($CW710="prd",$CW710="std",$CW710="cit"),"loc",IF(OR($CW710="eur",$CW710="reg",$CW710="coy"),"reg",$CW710))</f>
        <v>reg</v>
      </c>
      <c r="CY710" t="s">
        <v>429</v>
      </c>
      <c r="CZ710">
        <v>2020</v>
      </c>
      <c r="DA710">
        <v>2050</v>
      </c>
      <c r="DB710">
        <v>30</v>
      </c>
      <c r="DC710" t="str">
        <f>IF(DB710=0,"0",IF(AND(DB710&gt;=1,DB710&lt;=30),"1-30",IF(AND(DB710&gt;30,DB710&lt;=70),"31-70",IF(AND(DB710&gt;70,DB710&lt;=100),"71-100",IF(DB710&gt;100,"+100")))))</f>
        <v>1-30</v>
      </c>
      <c r="DD710">
        <v>0</v>
      </c>
      <c r="DE710">
        <v>1</v>
      </c>
      <c r="DF710">
        <v>1</v>
      </c>
      <c r="DG710">
        <v>1</v>
      </c>
      <c r="DI710">
        <f>SUM(DD710:DG710)</f>
        <v>3</v>
      </c>
      <c r="DJ710" t="str">
        <f>IF(DI710=1,INDEX($DD$7:$DG$7,MATCH(1,$DD710:$DG710,0)),"mixedProduct")</f>
        <v>mixedProduct</v>
      </c>
      <c r="DK710">
        <f>IF(DD710=1,DK$7,0)</f>
        <v>0</v>
      </c>
      <c r="DL710" t="str">
        <f>IF(DE710=1,DL$7,0)</f>
        <v>Energy</v>
      </c>
      <c r="DM710" t="str">
        <f>IF(DF710=1,DM$7,0)</f>
        <v>Pulp/Paper</v>
      </c>
      <c r="DN710" t="str">
        <f>IF(DG710=1,DN$7,0)</f>
        <v>Timber</v>
      </c>
      <c r="DO710">
        <v>0</v>
      </c>
      <c r="DP710">
        <v>1</v>
      </c>
      <c r="DQ710" t="s">
        <v>1413</v>
      </c>
      <c r="DR710" t="s">
        <v>1414</v>
      </c>
      <c r="DS710">
        <v>0</v>
      </c>
      <c r="DT710">
        <f>SUM(DO710:DP710)</f>
        <v>1</v>
      </c>
      <c r="DU710" s="143" t="str">
        <f>IF(DO710=1,"self-calculated DF",IF(DP710=1,"external DF used","explicit C balance"))</f>
        <v>external DF used</v>
      </c>
      <c r="DV710">
        <v>1</v>
      </c>
      <c r="DW710">
        <v>1</v>
      </c>
      <c r="DX710">
        <v>1</v>
      </c>
      <c r="DY710">
        <v>0</v>
      </c>
      <c r="DZ710">
        <v>0</v>
      </c>
      <c r="EA710" s="143">
        <v>0</v>
      </c>
      <c r="EB710">
        <v>0</v>
      </c>
      <c r="EC710">
        <v>0</v>
      </c>
      <c r="ED710">
        <v>0</v>
      </c>
      <c r="EE710">
        <v>0</v>
      </c>
      <c r="EF710">
        <v>1</v>
      </c>
      <c r="EG710" s="143">
        <v>0</v>
      </c>
      <c r="EH710" s="143">
        <v>0</v>
      </c>
      <c r="EI710" s="2">
        <v>0</v>
      </c>
      <c r="EK710" t="str">
        <f>IF(AND(AND(AND(OR($DX710=1,$DW710=1),OR($EC710=1,$EA710=1)),SUM($DV710:$DZ710,$EF710)&gt;=4),SUM($EA710:$EE710)&gt;=2),"Whole sector","")</f>
        <v/>
      </c>
      <c r="EL710" t="str">
        <f>IF(AND(AND(OR($DX710=1,$DW710=1),AND($EC710=0,$EA710=0)),SUM($DV710:$DZ710,$EF710)&gt;=4),"Ecosystem approach","")</f>
        <v>Ecosystem approach</v>
      </c>
      <c r="EM710" s="2" t="str">
        <f>IF(AND(AND(AND($DX710=0,$DW710=0),OR($EC710=1,$EA710=1)),SUM($EB710:$EE710)&gt;=2),"Technology approach","")</f>
        <v/>
      </c>
      <c r="EP710" t="str">
        <f>IF(ISNUMBER(BU710),IF(ABS(BU710-[4]QC_indicators!$B$2)&gt;3*[4]QC_indicators!$C$2,"C ratio",IF(ISNUMBER(BY710),IF(ABS(BY710-[4]QC_indicators!$B$1)&gt;3*[4]QC_indicators!$C$1,"DF","no"))),IF(ISNUMBER(BY710),IF(ABS(BY710-[4]QC_indicators!$B$1)&gt;3*[4]QC_indicators!$C$1,"DF","no")))</f>
        <v>no</v>
      </c>
      <c r="EQ710" t="s">
        <v>287</v>
      </c>
      <c r="ER710" s="149" t="s">
        <v>350</v>
      </c>
      <c r="ET710" s="266" t="s">
        <v>3275</v>
      </c>
    </row>
    <row r="711" spans="1:150" ht="15" hidden="1" customHeight="1">
      <c r="A711" s="1" t="s">
        <v>1425</v>
      </c>
      <c r="B711" t="s">
        <v>2118</v>
      </c>
      <c r="C711" t="s">
        <v>2119</v>
      </c>
      <c r="D711" t="s">
        <v>2120</v>
      </c>
      <c r="E711" t="s">
        <v>2121</v>
      </c>
      <c r="F711" t="s">
        <v>2122</v>
      </c>
      <c r="G711" t="s">
        <v>1431</v>
      </c>
      <c r="H711" t="s">
        <v>255</v>
      </c>
      <c r="I711">
        <v>2014</v>
      </c>
      <c r="J711">
        <v>45</v>
      </c>
      <c r="K711" t="s">
        <v>2123</v>
      </c>
      <c r="M711" t="str">
        <f>LEFT($D711,FIND(",",$D711)-1)&amp;"_"&amp;I711&amp;L711</f>
        <v>Pukkala_2014</v>
      </c>
      <c r="N711" t="s">
        <v>223</v>
      </c>
      <c r="O711" s="171" t="s">
        <v>226</v>
      </c>
      <c r="P711" t="s">
        <v>1156</v>
      </c>
      <c r="R711" s="264" t="s">
        <v>224</v>
      </c>
      <c r="S711" s="1" t="s">
        <v>2134</v>
      </c>
      <c r="T711" t="s">
        <v>2135</v>
      </c>
      <c r="U711" t="s">
        <v>2126</v>
      </c>
      <c r="V711">
        <v>0</v>
      </c>
      <c r="W711">
        <v>0</v>
      </c>
      <c r="X711">
        <v>0</v>
      </c>
      <c r="Y711">
        <v>0</v>
      </c>
      <c r="Z711">
        <v>0</v>
      </c>
      <c r="AA711">
        <v>0</v>
      </c>
      <c r="AB711">
        <v>0</v>
      </c>
      <c r="AC711">
        <v>0</v>
      </c>
      <c r="AD711">
        <v>0</v>
      </c>
      <c r="AE711">
        <v>0</v>
      </c>
      <c r="AF711">
        <v>1</v>
      </c>
      <c r="AG711">
        <v>0</v>
      </c>
      <c r="AH711">
        <v>0</v>
      </c>
      <c r="AI711">
        <v>0</v>
      </c>
      <c r="AJ711">
        <v>0</v>
      </c>
      <c r="AK711">
        <v>0</v>
      </c>
      <c r="AL711">
        <v>0</v>
      </c>
      <c r="AM711">
        <v>0</v>
      </c>
      <c r="AN711">
        <v>0</v>
      </c>
      <c r="AO711">
        <v>0</v>
      </c>
      <c r="AP711">
        <v>0</v>
      </c>
      <c r="AQ711">
        <v>0</v>
      </c>
      <c r="AR711">
        <v>0</v>
      </c>
      <c r="AS711">
        <v>0</v>
      </c>
      <c r="AT711">
        <v>0</v>
      </c>
      <c r="AU711">
        <v>0</v>
      </c>
      <c r="AV711">
        <v>0</v>
      </c>
      <c r="AW711">
        <v>0</v>
      </c>
      <c r="AX711" s="141">
        <f>COUNTIF(V711:AW711,"&lt;&gt;0")</f>
        <v>1</v>
      </c>
      <c r="AY711" s="141">
        <f>COUNTIF(V711:AL711,"&lt;&gt;0")</f>
        <v>1</v>
      </c>
      <c r="AZ711">
        <f>COUNTIF(V711:AC711,"&lt;&gt;0")</f>
        <v>0</v>
      </c>
      <c r="BA711">
        <f>COUNTIF(AD711:AI711,"&lt;&gt;0")</f>
        <v>1</v>
      </c>
      <c r="BB711">
        <f>COUNTIF(AJ711:AL711,"&lt;&gt;0")</f>
        <v>0</v>
      </c>
      <c r="BC711">
        <f>COUNTIF(AS711:AW711,"&lt;&gt;0")</f>
        <v>0</v>
      </c>
      <c r="BD711">
        <f>COUNTIF(AM711:AR711,"&lt;&gt;0")</f>
        <v>0</v>
      </c>
      <c r="BE711" t="str">
        <f t="array" ref="BE711">IF(AY711=1,INDEX($V$7:$AL$7,MATCH(TRUE,INDEX($V711:$AW711&lt;&gt;0,),0)),IF(AY711=0,INDEX($AM$7:$AW$7,MATCH(1,$AM711:$AW711,0)),IF(BF711="Multiple strategies","mixed drivers",IF(BF711="Supply chain","multiple supply","multiple silviculture"))))</f>
        <v>supply chain organization</v>
      </c>
      <c r="BF711" s="2" t="str" cm="1">
        <f t="array" ref="BF711">IF(COUNTIF(AZ711:BB711,"&lt;&gt;0")=1,INDEX($V$4:$AW$4,MATCH(TRUE,INDEX($V711:$AW711&lt;&gt;0,),0)),IF(COUNTIF(AZ711:BB711,"&lt;&gt;0")=0,INDEX($AM$4:$AW$4,MATCH(1,$AM711:$AW711,0)),"Multiple strategies"))</f>
        <v>Supply chain</v>
      </c>
      <c r="BG711" s="1" t="s">
        <v>230</v>
      </c>
      <c r="BH711" t="s">
        <v>2127</v>
      </c>
      <c r="BI711" t="s">
        <v>2128</v>
      </c>
      <c r="BJ711" t="s">
        <v>2129</v>
      </c>
      <c r="BK711">
        <v>1.002</v>
      </c>
      <c r="BL711">
        <v>1.0920000000000001</v>
      </c>
      <c r="BM711">
        <f>IFERROR(BL711/BK711,"")</f>
        <v>1.0898203592814373</v>
      </c>
      <c r="BN711">
        <f>BL711-BK711</f>
        <v>9.000000000000008E-2</v>
      </c>
      <c r="BO711">
        <f>+BN711*tC_to_m3</f>
        <v>0.39079461571862822</v>
      </c>
      <c r="BP711" t="s">
        <v>233</v>
      </c>
      <c r="BQ711" t="s">
        <v>2130</v>
      </c>
      <c r="BR711" t="s">
        <v>2129</v>
      </c>
      <c r="BS711">
        <v>0.59099999999999997</v>
      </c>
      <c r="BT711">
        <v>0.63800000000000001</v>
      </c>
      <c r="BU711" s="144">
        <f>BT711/BS711</f>
        <v>1.0795262267343486</v>
      </c>
      <c r="BV711">
        <f>BT711-BS711</f>
        <v>4.7000000000000042E-2</v>
      </c>
      <c r="BX711" s="185">
        <f>BV711*C_to_CO2</f>
        <v>0.17249000000000014</v>
      </c>
      <c r="BY711">
        <f>IFERROR(BX711/BO711,"")</f>
        <v>0.44138274444444442</v>
      </c>
      <c r="BZ711">
        <v>0</v>
      </c>
      <c r="CA711">
        <v>0</v>
      </c>
      <c r="CB711">
        <v>0</v>
      </c>
      <c r="CC711">
        <v>0</v>
      </c>
      <c r="CD711">
        <v>0</v>
      </c>
      <c r="CE711">
        <v>0</v>
      </c>
      <c r="CF711">
        <v>0</v>
      </c>
      <c r="CG711">
        <v>0</v>
      </c>
      <c r="CH711">
        <v>0</v>
      </c>
      <c r="CI711">
        <v>0</v>
      </c>
      <c r="CJ711">
        <v>0</v>
      </c>
      <c r="CK711">
        <v>0</v>
      </c>
      <c r="CL711">
        <v>0</v>
      </c>
      <c r="CM711">
        <v>1</v>
      </c>
      <c r="CN711" t="str">
        <f>IF($BL711&lt;$BK711,"refNeedCorrection","refOK")</f>
        <v>refOK</v>
      </c>
      <c r="CO711">
        <f>IF($CN711="refOK",$BK711,$BL711)</f>
        <v>1.002</v>
      </c>
      <c r="CP711">
        <f>IF($CN711="refOK",$BL711,$BK711)</f>
        <v>1.0920000000000001</v>
      </c>
      <c r="CQ711">
        <f>IF($CN711="refOK",$BO711,-$BO711)</f>
        <v>0.39079461571862822</v>
      </c>
      <c r="CR711">
        <f>IF($CN711="refOK",$BS711,$BT711)*IF($BP711="Emissions positive",-1,1)</f>
        <v>0.59099999999999997</v>
      </c>
      <c r="CS711">
        <f>IF($CN711="refOK",$BT711,$BS711)*IF($BP711="Emissions positive",-1,1)</f>
        <v>0.63800000000000001</v>
      </c>
      <c r="CT711">
        <f>IF($CN711="refNeedCorrection",-BX711,BX711)*IF($BP711="Emissions positive",-1,1)</f>
        <v>0.17249000000000014</v>
      </c>
      <c r="CU711">
        <f>IFERROR(CT711/CQ711,"")</f>
        <v>0.44138274444444442</v>
      </c>
      <c r="CV711" s="2">
        <f>IFERROR((CS711-CR711)/ABS(CR711),"")</f>
        <v>7.9526226734348643E-2</v>
      </c>
      <c r="CW711" s="1" t="s">
        <v>2038</v>
      </c>
      <c r="CX711" t="str">
        <f>IF(OR($CW711="prd",$CW711="std",$CW711="cit"),"loc",IF(OR($CW711="eur",$CW711="reg",$CW711="coy"),"reg",$CW711))</f>
        <v>reg</v>
      </c>
      <c r="CY711" t="s">
        <v>236</v>
      </c>
      <c r="DB711">
        <v>30</v>
      </c>
      <c r="DC711" t="str">
        <f>IF(DB711=0,"0",IF(AND(DB711&gt;=1,DB711&lt;=30),"1-30",IF(AND(DB711&gt;30,DB711&lt;=70),"31-70",IF(AND(DB711&gt;70,DB711&lt;=100),"71-100",IF(DB711&gt;100,"+100")))))</f>
        <v>1-30</v>
      </c>
      <c r="DD711">
        <v>1</v>
      </c>
      <c r="DE711">
        <v>1</v>
      </c>
      <c r="DF711">
        <v>1</v>
      </c>
      <c r="DG711">
        <v>1</v>
      </c>
      <c r="DH711">
        <v>0</v>
      </c>
      <c r="DI711">
        <f>SUM(DD711:DH711)</f>
        <v>4</v>
      </c>
      <c r="DJ711" t="str">
        <f>IF(DI711=1,INDEX($DD$7:$DG$7,MATCH(1,$DD711:$DG711,0)),"mixedProduct")</f>
        <v>mixedProduct</v>
      </c>
      <c r="DK711" t="str">
        <f>IF(DD711=1,DJ$7,0)</f>
        <v>singleProduct</v>
      </c>
      <c r="DL711" t="str">
        <f>IF(DE711=1,DK$7,0)</f>
        <v>Upstream</v>
      </c>
      <c r="DM711" t="str">
        <f>IF(DF711=1,DL$7,0)</f>
        <v>Energy</v>
      </c>
      <c r="DN711" t="str">
        <f>IF(DG711=1,DM$7,0)</f>
        <v>Pulp/Paper</v>
      </c>
      <c r="DO711">
        <v>0</v>
      </c>
      <c r="DP711">
        <v>1</v>
      </c>
      <c r="DQ711" s="184" t="s">
        <v>2131</v>
      </c>
      <c r="DR711" s="184" t="s">
        <v>2131</v>
      </c>
      <c r="DS711" s="184">
        <v>0</v>
      </c>
      <c r="DT711"/>
      <c r="DU711" s="143" t="str">
        <f>IF(DO711=1,"self-calculated DF",IF(DP711=1,"external DF used","explicit C balance"))</f>
        <v>external DF used</v>
      </c>
      <c r="DV711">
        <v>1</v>
      </c>
      <c r="DW711">
        <v>1</v>
      </c>
      <c r="DX711">
        <v>1</v>
      </c>
      <c r="DY711">
        <v>1</v>
      </c>
      <c r="DZ711">
        <v>1</v>
      </c>
      <c r="EA711">
        <v>1</v>
      </c>
      <c r="EB711">
        <v>1</v>
      </c>
      <c r="EC711">
        <v>1</v>
      </c>
      <c r="ED711" s="185">
        <v>0</v>
      </c>
      <c r="EE711">
        <v>0</v>
      </c>
      <c r="EF711">
        <v>1</v>
      </c>
      <c r="EG711">
        <v>0</v>
      </c>
      <c r="EH711">
        <v>0</v>
      </c>
      <c r="EI711" s="2">
        <v>0</v>
      </c>
      <c r="EK711" t="str">
        <f>IF(AND(AND(AND(OR($DX711=1,$DW711=1),OR($EC711=1,$EA711=1)),SUM($DV711:$DZ711,$EF711)&gt;=4),SUM($EA711:$EE711)&gt;=2),"Whole sector","")</f>
        <v>Whole sector</v>
      </c>
      <c r="EL711" t="str">
        <f>IF(AND(AND(OR($DX711=1,$DW711=1),AND($EC711=0,$EA711=0)),SUM($DV711:$DZ711,$EF711)&gt;=4),"Ecosystem approach","")</f>
        <v/>
      </c>
      <c r="EM711" s="2" t="str">
        <f>IF(AND(AND(AND($DX711=0,$DW711=0),OR($EC711=1,$EA711=1)),SUM($EB711:$EE711)&gt;=2),"Technology approach","")</f>
        <v/>
      </c>
      <c r="EP711" t="str">
        <f>IF(ISNUMBER(BU711),IF(ABS(BU711-[2]QC_indicators!$B$2)&gt;3*[2]QC_indicators!$C$2,"C ratio",IF(ISNUMBER(BY711),IF(ABS(BY711-[2]QC_indicators!$B$1)&gt;3*[2]QC_indicators!$C$1,"DF","no"))),IF(ISNUMBER(BY711),IF(ABS(BY711-[2]QC_indicators!$B$1)&gt;3*[2]QC_indicators!$C$1,"DF","no")))</f>
        <v>no</v>
      </c>
      <c r="ET711" s="266" t="s">
        <v>3225</v>
      </c>
    </row>
    <row r="712" spans="1:150" ht="15" customHeight="1">
      <c r="A712" s="1" t="s">
        <v>1402</v>
      </c>
      <c r="B712" t="s">
        <v>1403</v>
      </c>
      <c r="C712" t="s">
        <v>1404</v>
      </c>
      <c r="D712" t="s">
        <v>1405</v>
      </c>
      <c r="E712" t="s">
        <v>1406</v>
      </c>
      <c r="F712" t="s">
        <v>1407</v>
      </c>
      <c r="G712" t="s">
        <v>1408</v>
      </c>
      <c r="H712" t="s">
        <v>255</v>
      </c>
      <c r="I712">
        <v>2021</v>
      </c>
      <c r="J712">
        <v>0</v>
      </c>
      <c r="K712" t="s">
        <v>1409</v>
      </c>
      <c r="M712" t="str">
        <f>LEFT($D712,FIND(",",$D712)-1)&amp;"_"&amp;I712&amp;L712</f>
        <v>Dugan_2021</v>
      </c>
      <c r="N712" t="s">
        <v>223</v>
      </c>
      <c r="O712" s="145" t="s">
        <v>275</v>
      </c>
      <c r="Q712" t="s">
        <v>257</v>
      </c>
      <c r="R712" s="255" t="s">
        <v>226</v>
      </c>
      <c r="S712" s="1" t="s">
        <v>315</v>
      </c>
      <c r="T712" t="s">
        <v>1113</v>
      </c>
      <c r="U712" t="s">
        <v>1416</v>
      </c>
      <c r="V712">
        <v>0</v>
      </c>
      <c r="W712">
        <v>0</v>
      </c>
      <c r="X712">
        <v>1</v>
      </c>
      <c r="Y712">
        <v>0</v>
      </c>
      <c r="Z712">
        <v>0</v>
      </c>
      <c r="AA712">
        <v>0</v>
      </c>
      <c r="AB712">
        <v>0</v>
      </c>
      <c r="AC712">
        <v>0</v>
      </c>
      <c r="AD712">
        <v>0</v>
      </c>
      <c r="AE712">
        <v>0</v>
      </c>
      <c r="AF712">
        <v>0</v>
      </c>
      <c r="AG712">
        <v>0</v>
      </c>
      <c r="AH712">
        <v>0</v>
      </c>
      <c r="AI712">
        <v>0</v>
      </c>
      <c r="AJ712">
        <v>0</v>
      </c>
      <c r="AK712">
        <v>0</v>
      </c>
      <c r="AL712">
        <v>0</v>
      </c>
      <c r="AM712">
        <v>0</v>
      </c>
      <c r="AN712">
        <v>0</v>
      </c>
      <c r="AO712">
        <v>0</v>
      </c>
      <c r="AP712">
        <v>0</v>
      </c>
      <c r="AQ712">
        <v>0</v>
      </c>
      <c r="AR712">
        <v>0</v>
      </c>
      <c r="AS712">
        <v>0</v>
      </c>
      <c r="AT712">
        <v>0</v>
      </c>
      <c r="AU712">
        <v>0</v>
      </c>
      <c r="AV712">
        <v>0</v>
      </c>
      <c r="AW712">
        <v>0</v>
      </c>
      <c r="AX712" s="141">
        <f>COUNTIF(V712:AW712,"&lt;&gt;0")</f>
        <v>1</v>
      </c>
      <c r="AY712" s="141">
        <f>COUNTIF(V712:AL712,"&lt;&gt;0")</f>
        <v>1</v>
      </c>
      <c r="AZ712">
        <f>COUNTIF(V712:AC712,"&lt;&gt;0")</f>
        <v>1</v>
      </c>
      <c r="BA712">
        <f>COUNTIF(AD712:AI712,"&lt;&gt;0")</f>
        <v>0</v>
      </c>
      <c r="BB712">
        <f>COUNTIF(AJ712:AL712,"&lt;&gt;0")</f>
        <v>0</v>
      </c>
      <c r="BC712">
        <f>COUNTIF(AS712:AW712,"&lt;&gt;0")</f>
        <v>0</v>
      </c>
      <c r="BD712">
        <f>COUNTIF(AM712:AR712,"&lt;&gt;0")</f>
        <v>0</v>
      </c>
      <c r="BE712" t="str">
        <f t="array" ref="BE712">IF(AY712=1,INDEX($V$7:$AL$7,MATCH(TRUE,INDEX($V712:$AW712&lt;&gt;0,),0)),IF(AY712=0,INDEX($AM$7:$AW$7,MATCH(1,$AM712:$AW712,0)),IF(BF712="Multiple strategies","mixed drivers",IF(BF712="Supply chain","multiple supply","multiple silviculture"))))</f>
        <v>rotation length</v>
      </c>
      <c r="BF712" s="2" t="str" cm="1">
        <f t="array" ref="BF712">IF(COUNTIF(AZ712:BB712,"&lt;&gt;0")=1,INDEX($V$4:$AW$4,MATCH(TRUE,INDEX($V712:$AW712&lt;&gt;0,),0)),IF(COUNTIF(AZ712:BB712,"&lt;&gt;0")=0,INDEX($AM$4:$AW$4,MATCH(1,$AM712:$AW712,0)),"Multiple strategies"))</f>
        <v>SilvicultureRemov</v>
      </c>
      <c r="BG712" s="1" t="s">
        <v>322</v>
      </c>
      <c r="BH712" t="s">
        <v>1412</v>
      </c>
      <c r="BI712" s="260" t="s">
        <v>3320</v>
      </c>
      <c r="BJ712" t="s">
        <v>1361</v>
      </c>
      <c r="BK712" s="266">
        <v>14.61</v>
      </c>
      <c r="BL712">
        <f>BK712*1.1</f>
        <v>16.071000000000002</v>
      </c>
      <c r="BN712" s="227">
        <f>BL712-BK712</f>
        <v>1.4610000000000021</v>
      </c>
      <c r="BO712">
        <f>BN712*10^6*tC_to_m3</f>
        <v>6343899.2618324021</v>
      </c>
      <c r="BP712" t="s">
        <v>233</v>
      </c>
      <c r="BQ712" s="260" t="s">
        <v>3323</v>
      </c>
      <c r="BR712" t="s">
        <v>1302</v>
      </c>
      <c r="BS712" s="152"/>
      <c r="BT712" s="152"/>
      <c r="BU712" s="144"/>
      <c r="BV712" s="141">
        <v>-2.93861691668666</v>
      </c>
      <c r="BX712">
        <f>BV712*10^6</f>
        <v>-2938616.9166866601</v>
      </c>
      <c r="BY712">
        <f>IFERROR(BX712/BO712,"")</f>
        <v>-0.46321935380762275</v>
      </c>
      <c r="BZ712">
        <v>0</v>
      </c>
      <c r="CA712">
        <v>0</v>
      </c>
      <c r="CB712">
        <v>0</v>
      </c>
      <c r="CC712">
        <v>0</v>
      </c>
      <c r="CD712">
        <v>0</v>
      </c>
      <c r="CE712">
        <v>0</v>
      </c>
      <c r="CF712">
        <v>0</v>
      </c>
      <c r="CG712">
        <v>0</v>
      </c>
      <c r="CH712">
        <v>0</v>
      </c>
      <c r="CI712">
        <v>0</v>
      </c>
      <c r="CJ712">
        <v>0</v>
      </c>
      <c r="CK712">
        <v>0</v>
      </c>
      <c r="CL712">
        <v>0</v>
      </c>
      <c r="CM712">
        <v>0</v>
      </c>
      <c r="CN712" t="str">
        <f>IF(BL712&lt;BK712,"refNeedCorrection","refOK")</f>
        <v>refOK</v>
      </c>
      <c r="CO712"/>
      <c r="CP712"/>
      <c r="CQ712">
        <f>IF($CN712="refNeedCorrection",-BO712,BO712)</f>
        <v>6343899.2618324021</v>
      </c>
      <c r="CR712">
        <f>IF($CN712="refOK",$BS712,$BT712)*IF($BP712="Emissions positive",-1,1)</f>
        <v>0</v>
      </c>
      <c r="CS712">
        <f>IF($CN712="refOK",$BT712,$BS712)*IF($BP712="Emissions positive",-1,1)</f>
        <v>0</v>
      </c>
      <c r="CT712">
        <f>IF($CN712="refNeedCorrection",-BX712,BX712)*IF($BP712="Emissions positive",-1,1)</f>
        <v>-2938616.9166866601</v>
      </c>
      <c r="CU712">
        <f>IFERROR(CT712/CQ712,"")</f>
        <v>-0.46321935380762275</v>
      </c>
      <c r="CV712" s="2" t="str">
        <f>IFERROR((CS712-CR712)/ABS(CR712),"")</f>
        <v/>
      </c>
      <c r="CW712" s="1" t="s">
        <v>1201</v>
      </c>
      <c r="CX712" t="str">
        <f>IF(OR($CW712="prd",$CW712="std",$CW712="cit"),"loc",IF(OR($CW712="eur",$CW712="reg",$CW712="coy"),"reg",$CW712))</f>
        <v>reg</v>
      </c>
      <c r="CY712" t="s">
        <v>429</v>
      </c>
      <c r="CZ712">
        <v>2020</v>
      </c>
      <c r="DA712">
        <v>2050</v>
      </c>
      <c r="DB712">
        <v>30</v>
      </c>
      <c r="DC712" t="str">
        <f>IF(DB712=0,"0",IF(AND(DB712&gt;=1,DB712&lt;=30),"1-30",IF(AND(DB712&gt;30,DB712&lt;=70),"31-70",IF(AND(DB712&gt;70,DB712&lt;=100),"71-100",IF(DB712&gt;100,"+100")))))</f>
        <v>1-30</v>
      </c>
      <c r="DD712">
        <v>0</v>
      </c>
      <c r="DE712">
        <v>1</v>
      </c>
      <c r="DF712">
        <v>1</v>
      </c>
      <c r="DG712">
        <v>1</v>
      </c>
      <c r="DI712">
        <f>SUM(DD712:DG712)</f>
        <v>3</v>
      </c>
      <c r="DJ712" t="str">
        <f>IF(DI712=1,INDEX($DD$7:$DG$7,MATCH(1,$DD712:$DG712,0)),"mixedProduct")</f>
        <v>mixedProduct</v>
      </c>
      <c r="DK712">
        <f>IF(DD712=1,DK$7,0)</f>
        <v>0</v>
      </c>
      <c r="DL712" t="str">
        <f>IF(DE712=1,DL$7,0)</f>
        <v>Energy</v>
      </c>
      <c r="DM712" t="str">
        <f>IF(DF712=1,DM$7,0)</f>
        <v>Pulp/Paper</v>
      </c>
      <c r="DN712" t="str">
        <f>IF(DG712=1,DN$7,0)</f>
        <v>Timber</v>
      </c>
      <c r="DO712">
        <v>0</v>
      </c>
      <c r="DP712">
        <v>1</v>
      </c>
      <c r="DQ712" t="s">
        <v>1413</v>
      </c>
      <c r="DR712" t="s">
        <v>1414</v>
      </c>
      <c r="DS712">
        <v>0</v>
      </c>
      <c r="DT712">
        <f>SUM(DO712:DP712)</f>
        <v>1</v>
      </c>
      <c r="DU712" s="143" t="str">
        <f>IF(DO712=1,"self-calculated DF",IF(DP712=1,"external DF used","explicit C balance"))</f>
        <v>external DF used</v>
      </c>
      <c r="DV712">
        <v>1</v>
      </c>
      <c r="DW712">
        <v>1</v>
      </c>
      <c r="DX712">
        <v>1</v>
      </c>
      <c r="DY712">
        <v>0</v>
      </c>
      <c r="DZ712">
        <v>0</v>
      </c>
      <c r="EA712" s="143">
        <v>0</v>
      </c>
      <c r="EB712">
        <v>0</v>
      </c>
      <c r="EC712">
        <v>0</v>
      </c>
      <c r="ED712">
        <v>0</v>
      </c>
      <c r="EE712">
        <v>0</v>
      </c>
      <c r="EF712">
        <v>1</v>
      </c>
      <c r="EG712" s="143">
        <v>0</v>
      </c>
      <c r="EH712" s="143">
        <v>0</v>
      </c>
      <c r="EI712" s="2">
        <v>0</v>
      </c>
      <c r="EK712" t="str">
        <f>IF(AND(AND(AND(OR($DX712=1,$DW712=1),OR($EC712=1,$EA712=1)),SUM($DV712:$DZ712,$EF712)&gt;=4),SUM($EA712:$EE712)&gt;=2),"Whole sector","")</f>
        <v/>
      </c>
      <c r="EL712" t="str">
        <f>IF(AND(AND(OR($DX712=1,$DW712=1),AND($EC712=0,$EA712=0)),SUM($DV712:$DZ712,$EF712)&gt;=4),"Ecosystem approach","")</f>
        <v>Ecosystem approach</v>
      </c>
      <c r="EM712" s="2" t="str">
        <f>IF(AND(AND(AND($DX712=0,$DW712=0),OR($EC712=1,$EA712=1)),SUM($EB712:$EE712)&gt;=2),"Technology approach","")</f>
        <v/>
      </c>
      <c r="EP712" t="str">
        <f>IF(ISNUMBER(BU712),IF(ABS(BU712-[4]QC_indicators!$B$2)&gt;3*[4]QC_indicators!$C$2,"C ratio",IF(ISNUMBER(BY712),IF(ABS(BY712-[4]QC_indicators!$B$1)&gt;3*[4]QC_indicators!$C$1,"DF","no"))),IF(ISNUMBER(BY712),IF(ABS(BY712-[4]QC_indicators!$B$1)&gt;3*[4]QC_indicators!$C$1,"DF","no")))</f>
        <v>no</v>
      </c>
      <c r="EQ712" t="s">
        <v>287</v>
      </c>
      <c r="ER712" s="149" t="s">
        <v>350</v>
      </c>
      <c r="ET712" s="266" t="s">
        <v>3275</v>
      </c>
    </row>
    <row r="713" spans="1:150" ht="15" hidden="1" customHeight="1">
      <c r="A713" s="1" t="s">
        <v>266</v>
      </c>
      <c r="B713" t="s">
        <v>2015</v>
      </c>
      <c r="C713" t="s">
        <v>2016</v>
      </c>
      <c r="D713" t="s">
        <v>2017</v>
      </c>
      <c r="E713" t="s">
        <v>2018</v>
      </c>
      <c r="F713" t="s">
        <v>2019</v>
      </c>
      <c r="G713" t="s">
        <v>272</v>
      </c>
      <c r="H713" t="s">
        <v>255</v>
      </c>
      <c r="I713">
        <v>2022</v>
      </c>
      <c r="J713">
        <v>0</v>
      </c>
      <c r="K713" t="s">
        <v>2020</v>
      </c>
      <c r="M713" t="str">
        <f>LEFT($D713,FIND(",",$D713)-1)&amp;"_"&amp;I713&amp;L713</f>
        <v>Nandimandalam_2022</v>
      </c>
      <c r="N713" t="s">
        <v>223</v>
      </c>
      <c r="O713" s="157" t="s">
        <v>275</v>
      </c>
      <c r="P713" t="s">
        <v>962</v>
      </c>
      <c r="Q713" t="s">
        <v>390</v>
      </c>
      <c r="R713" s="264" t="s">
        <v>224</v>
      </c>
      <c r="S713" s="1" t="s">
        <v>2021</v>
      </c>
      <c r="T713" t="s">
        <v>2022</v>
      </c>
      <c r="U713" t="s">
        <v>2023</v>
      </c>
      <c r="V713">
        <v>0</v>
      </c>
      <c r="W713">
        <v>0</v>
      </c>
      <c r="X713">
        <v>0</v>
      </c>
      <c r="Y713">
        <v>0</v>
      </c>
      <c r="Z713">
        <v>0</v>
      </c>
      <c r="AA713">
        <v>0</v>
      </c>
      <c r="AB713">
        <v>0</v>
      </c>
      <c r="AC713">
        <v>0</v>
      </c>
      <c r="AD713">
        <v>1</v>
      </c>
      <c r="AE713">
        <v>0</v>
      </c>
      <c r="AF713">
        <v>0</v>
      </c>
      <c r="AG713">
        <v>0</v>
      </c>
      <c r="AH713">
        <v>0</v>
      </c>
      <c r="AI713">
        <v>0</v>
      </c>
      <c r="AJ713">
        <v>0</v>
      </c>
      <c r="AK713">
        <v>0</v>
      </c>
      <c r="AL713">
        <v>0</v>
      </c>
      <c r="AM713">
        <v>0</v>
      </c>
      <c r="AN713">
        <v>0</v>
      </c>
      <c r="AO713">
        <v>0</v>
      </c>
      <c r="AP713">
        <v>0</v>
      </c>
      <c r="AQ713">
        <v>0</v>
      </c>
      <c r="AR713">
        <v>0</v>
      </c>
      <c r="AS713">
        <v>0</v>
      </c>
      <c r="AT713">
        <v>0</v>
      </c>
      <c r="AU713">
        <v>0</v>
      </c>
      <c r="AV713">
        <v>0</v>
      </c>
      <c r="AW713">
        <v>0</v>
      </c>
      <c r="AX713" s="141">
        <f>COUNTIF(V713:AW713,"&lt;&gt;0")</f>
        <v>1</v>
      </c>
      <c r="AY713" s="141">
        <f>COUNTIF(V713:AL713,"&lt;&gt;0")</f>
        <v>1</v>
      </c>
      <c r="AZ713">
        <f>COUNTIF(V713:AC713,"&lt;&gt;0")</f>
        <v>0</v>
      </c>
      <c r="BA713">
        <f>COUNTIF(AD713:AI713,"&lt;&gt;0")</f>
        <v>1</v>
      </c>
      <c r="BB713">
        <f>COUNTIF(AJ713:AL713,"&lt;&gt;0")</f>
        <v>0</v>
      </c>
      <c r="BC713">
        <f>COUNTIF(AS713:AW713,"&lt;&gt;0")</f>
        <v>0</v>
      </c>
      <c r="BD713">
        <f>COUNTIF(AM713:AR713,"&lt;&gt;0")</f>
        <v>0</v>
      </c>
      <c r="BE713" t="str">
        <f t="array" ref="BE713">IF(AY713=1,INDEX($V$7:$AL$7,MATCH(TRUE,INDEX($V713:$AW713&lt;&gt;0,),0)),IF(AY713=0,INDEX($AM$7:$AW$7,MATCH(1,$AM713:$AW713,0)),IF(BF713="Multiple strategies","mixed drivers",IF(BF713="Supply chain","multiple supply","multiple silviculture"))))</f>
        <v>harvesting system</v>
      </c>
      <c r="BF713" s="2" t="str" cm="1">
        <f t="array" ref="BF713">IF(COUNTIF(AZ713:BB713,"&lt;&gt;0")=1,INDEX($V$4:$AW$4,MATCH(TRUE,INDEX($V713:$AW713&lt;&gt;0,),0)),IF(COUNTIF(AZ713:BB713,"&lt;&gt;0")=0,INDEX($AM$4:$AW$4,MATCH(1,$AM713:$AW713,0)),"Multiple strategies"))</f>
        <v>Supply chain</v>
      </c>
      <c r="BG713" s="1" t="s">
        <v>322</v>
      </c>
      <c r="BH713" t="s">
        <v>2024</v>
      </c>
      <c r="BI713" s="266" t="s">
        <v>3186</v>
      </c>
      <c r="BJ713" s="266" t="s">
        <v>3187</v>
      </c>
      <c r="BK713">
        <v>352.14772479999999</v>
      </c>
      <c r="BL713">
        <v>18066.118399999999</v>
      </c>
      <c r="BM713">
        <v>51.302669668703764</v>
      </c>
      <c r="BN713">
        <f>BL713-BK713</f>
        <v>17713.970675199998</v>
      </c>
      <c r="BO713">
        <f>BN713</f>
        <v>17713.970675199998</v>
      </c>
      <c r="BP713" t="s">
        <v>396</v>
      </c>
      <c r="BQ713" s="266" t="s">
        <v>3188</v>
      </c>
      <c r="BR713" t="s">
        <v>2025</v>
      </c>
      <c r="BS713" s="266">
        <f>0.0011646</f>
        <v>1.1646E-3</v>
      </c>
      <c r="BT713" s="266">
        <f>0.0011452</f>
        <v>1.1452000000000001E-3</v>
      </c>
      <c r="BU713" s="144">
        <v>0.98334191997252296</v>
      </c>
      <c r="BV713">
        <f>BT713-BS713</f>
        <v>-1.9399999999999929E-5</v>
      </c>
      <c r="BX713">
        <f>BV713*(11.3+35.4+2.7+4.3)*12*10^6</f>
        <v>-12501.359999999955</v>
      </c>
      <c r="BY713">
        <f>IFERROR(BX713/BO713,"")</f>
        <v>-0.70573448659380311</v>
      </c>
      <c r="BZ713">
        <v>0</v>
      </c>
      <c r="CA713">
        <v>0</v>
      </c>
      <c r="CB713">
        <v>0</v>
      </c>
      <c r="CC713">
        <v>0</v>
      </c>
      <c r="CD713">
        <v>0</v>
      </c>
      <c r="CE713">
        <v>0</v>
      </c>
      <c r="CF713">
        <v>0</v>
      </c>
      <c r="CG713">
        <v>0</v>
      </c>
      <c r="CH713">
        <v>0</v>
      </c>
      <c r="CI713">
        <v>0</v>
      </c>
      <c r="CJ713">
        <v>0</v>
      </c>
      <c r="CK713">
        <v>0</v>
      </c>
      <c r="CL713">
        <v>0</v>
      </c>
      <c r="CM713">
        <v>0</v>
      </c>
      <c r="CN713" t="str">
        <f>IF($BL713&lt;$BK713,"refNeedCorrection","refOK")</f>
        <v>refOK</v>
      </c>
      <c r="CO713">
        <f>IF($CN713="refOK",$BK713,$BL713)</f>
        <v>352.14772479999999</v>
      </c>
      <c r="CP713">
        <f>IF($CN713="refOK",$BL713,$BK713)</f>
        <v>18066.118399999999</v>
      </c>
      <c r="CQ713">
        <f>IF($CN713="refOK",$BO713,-$BO713)</f>
        <v>17713.970675199998</v>
      </c>
      <c r="CR713">
        <f>IF($CN713="refOK",$BS713,$BT713)*IF($BP713="Emissions positive",-1,1)</f>
        <v>-1.1646E-3</v>
      </c>
      <c r="CS713">
        <f>IF($CN713="refOK",$BT713,$BS713)*IF($BP713="Emissions positive",-1,1)</f>
        <v>-1.1452000000000001E-3</v>
      </c>
      <c r="CT713">
        <f>IF($CN713="refNeedCorrection",-BX713,BX713)*IF($BP713="Emissions positive",-1,1)</f>
        <v>12501.359999999955</v>
      </c>
      <c r="CU713">
        <f>IFERROR(CT713/CQ713,"")</f>
        <v>0.70573448659380311</v>
      </c>
      <c r="CV713" s="2">
        <f>IFERROR((CS713-CR713)/ABS(CR713),"")</f>
        <v>1.6658080027477186E-2</v>
      </c>
      <c r="CW713" s="1" t="s">
        <v>1201</v>
      </c>
      <c r="CX713" t="str">
        <f>IF(OR($CW713="prd",$CW713="std",$CW713="cit"),"loc",IF(OR($CW713="eur",$CW713="reg",$CW713="coy"),"reg",$CW713))</f>
        <v>reg</v>
      </c>
      <c r="CY713" t="s">
        <v>429</v>
      </c>
      <c r="CZ713">
        <v>2010</v>
      </c>
      <c r="DA713">
        <v>2018</v>
      </c>
      <c r="DB713">
        <v>1</v>
      </c>
      <c r="DC713" t="str">
        <f>IF(DB713=0,"0",IF(AND(DB713&gt;=1,DB713&lt;=30),"1-30",IF(AND(DB713&gt;30,DB713&lt;=70),"31-70",IF(AND(DB713&gt;70,DB713&lt;=100),"71-100",IF(DB713&gt;100,"+100")))))</f>
        <v>1-30</v>
      </c>
      <c r="DD713">
        <v>0</v>
      </c>
      <c r="DE713">
        <v>1</v>
      </c>
      <c r="DF713">
        <v>0</v>
      </c>
      <c r="DG713">
        <v>0</v>
      </c>
      <c r="DH713">
        <v>0</v>
      </c>
      <c r="DI713">
        <v>1</v>
      </c>
      <c r="DJ713" t="str">
        <f>IF(DI713=1,INDEX($DD$7:$DG$7,MATCH(1,$DD713:$DG713,0)),"mixedProduct")</f>
        <v>EnergyInput</v>
      </c>
      <c r="DK713">
        <f>IF(DD713=1,DK$7,0)</f>
        <v>0</v>
      </c>
      <c r="DL713" t="str">
        <f>IF(DE713=1,DL$7,0)</f>
        <v>Energy</v>
      </c>
      <c r="DM713">
        <f>IF(DF713=1,DM$7,0)</f>
        <v>0</v>
      </c>
      <c r="DN713">
        <f>IF(DG713=1,DN$7,0)</f>
        <v>0</v>
      </c>
      <c r="DO713">
        <v>0</v>
      </c>
      <c r="DP713">
        <v>0</v>
      </c>
      <c r="DQ713">
        <v>0</v>
      </c>
      <c r="DR713">
        <v>0</v>
      </c>
      <c r="DS713">
        <v>0</v>
      </c>
      <c r="DT713">
        <f>SUM(DO713:DP713)</f>
        <v>0</v>
      </c>
      <c r="DU713" s="143" t="s">
        <v>964</v>
      </c>
      <c r="DV713">
        <v>0</v>
      </c>
      <c r="DW713">
        <v>1</v>
      </c>
      <c r="DX713">
        <v>0</v>
      </c>
      <c r="DY713">
        <v>0</v>
      </c>
      <c r="DZ713">
        <v>0</v>
      </c>
      <c r="EA713" s="143">
        <v>0</v>
      </c>
      <c r="EB713">
        <v>1</v>
      </c>
      <c r="EC713">
        <v>1</v>
      </c>
      <c r="ED713">
        <v>0</v>
      </c>
      <c r="EE713">
        <v>0</v>
      </c>
      <c r="EF713">
        <v>0</v>
      </c>
      <c r="EG713">
        <v>0</v>
      </c>
      <c r="EH713">
        <v>0</v>
      </c>
      <c r="EI713" s="2">
        <v>0</v>
      </c>
      <c r="EK713" t="str">
        <f>IF(AND(AND(AND(OR($DX713=1,$DW713=1),OR($EC713=1,$EA713=1)),SUM($DV713:$DZ713,$EF713)&gt;=4),SUM($EA713:$EE713)&gt;=2),"Whole sector","")</f>
        <v/>
      </c>
      <c r="EL713" t="str">
        <f>IF(AND(AND(OR($DX713=1,$DW713=1),AND($EC713=0,$EA713=0)),SUM($DV713:$DZ713,$EF713)&gt;=4),"Ecosystem approach","")</f>
        <v/>
      </c>
      <c r="EM713" s="2" t="str">
        <f>IF(AND(AND(AND($DX713=0,$DW713=0),OR($EC713=1,$EA713=1)),SUM($EB713:$EE713)&gt;=2),"Technology approach","")</f>
        <v/>
      </c>
      <c r="EP713" t="str">
        <f>IF(ISNUMBER(BU713),IF(ABS(BU713-[2]QC_indicators!$B$2)&gt;3*[2]QC_indicators!$C$2,"C ratio",IF(ISNUMBER(BY713),IF(ABS(BY713-[2]QC_indicators!$B$1)&gt;3*[2]QC_indicators!$C$1,"DF","no"))),IF(ISNUMBER(BY713),IF(ABS(BY713-[2]QC_indicators!$B$1)&gt;3*[2]QC_indicators!$C$1,"DF","no")))</f>
        <v>no</v>
      </c>
      <c r="ET713" s="266" t="s">
        <v>3189</v>
      </c>
    </row>
    <row r="714" spans="1:150" ht="15" hidden="1" customHeight="1">
      <c r="A714" s="1" t="s">
        <v>266</v>
      </c>
      <c r="B714" t="s">
        <v>2015</v>
      </c>
      <c r="C714" t="s">
        <v>2016</v>
      </c>
      <c r="D714" t="s">
        <v>2017</v>
      </c>
      <c r="E714" t="s">
        <v>2018</v>
      </c>
      <c r="F714" t="s">
        <v>2019</v>
      </c>
      <c r="G714" t="s">
        <v>272</v>
      </c>
      <c r="H714" t="s">
        <v>255</v>
      </c>
      <c r="I714">
        <v>2022</v>
      </c>
      <c r="J714">
        <v>0</v>
      </c>
      <c r="K714" t="s">
        <v>2020</v>
      </c>
      <c r="M714" t="str">
        <f>LEFT($D714,FIND(",",$D714)-1)&amp;"_"&amp;I714&amp;L714</f>
        <v>Nandimandalam_2022</v>
      </c>
      <c r="N714" t="s">
        <v>223</v>
      </c>
      <c r="O714" s="157" t="s">
        <v>275</v>
      </c>
      <c r="P714" t="s">
        <v>962</v>
      </c>
      <c r="Q714" t="s">
        <v>390</v>
      </c>
      <c r="R714" s="264" t="s">
        <v>224</v>
      </c>
      <c r="S714" s="1" t="s">
        <v>2021</v>
      </c>
      <c r="T714" t="s">
        <v>2022</v>
      </c>
      <c r="U714" t="s">
        <v>2026</v>
      </c>
      <c r="V714">
        <v>0</v>
      </c>
      <c r="W714">
        <v>0</v>
      </c>
      <c r="X714">
        <v>0</v>
      </c>
      <c r="Y714">
        <v>0</v>
      </c>
      <c r="Z714">
        <v>0</v>
      </c>
      <c r="AA714">
        <v>0</v>
      </c>
      <c r="AB714">
        <v>0</v>
      </c>
      <c r="AC714">
        <v>0</v>
      </c>
      <c r="AD714">
        <v>1</v>
      </c>
      <c r="AE714">
        <v>0</v>
      </c>
      <c r="AF714">
        <v>0</v>
      </c>
      <c r="AG714">
        <v>0</v>
      </c>
      <c r="AH714">
        <v>0</v>
      </c>
      <c r="AI714">
        <v>0</v>
      </c>
      <c r="AJ714">
        <v>0</v>
      </c>
      <c r="AK714">
        <v>0</v>
      </c>
      <c r="AL714">
        <v>0</v>
      </c>
      <c r="AM714">
        <v>0</v>
      </c>
      <c r="AN714">
        <v>0</v>
      </c>
      <c r="AO714">
        <v>0</v>
      </c>
      <c r="AP714">
        <v>0</v>
      </c>
      <c r="AQ714">
        <v>0</v>
      </c>
      <c r="AR714">
        <v>0</v>
      </c>
      <c r="AS714">
        <v>0</v>
      </c>
      <c r="AT714">
        <v>0</v>
      </c>
      <c r="AU714">
        <v>0</v>
      </c>
      <c r="AV714">
        <v>0</v>
      </c>
      <c r="AW714">
        <v>0</v>
      </c>
      <c r="AX714" s="141">
        <f>COUNTIF(V714:AW714,"&lt;&gt;0")</f>
        <v>1</v>
      </c>
      <c r="AY714" s="141">
        <f>COUNTIF(V714:AL714,"&lt;&gt;0")</f>
        <v>1</v>
      </c>
      <c r="AZ714">
        <f>COUNTIF(V714:AC714,"&lt;&gt;0")</f>
        <v>0</v>
      </c>
      <c r="BA714">
        <f>COUNTIF(AD714:AI714,"&lt;&gt;0")</f>
        <v>1</v>
      </c>
      <c r="BB714">
        <f>COUNTIF(AJ714:AL714,"&lt;&gt;0")</f>
        <v>0</v>
      </c>
      <c r="BC714">
        <f>COUNTIF(AS714:AW714,"&lt;&gt;0")</f>
        <v>0</v>
      </c>
      <c r="BD714">
        <f>COUNTIF(AM714:AR714,"&lt;&gt;0")</f>
        <v>0</v>
      </c>
      <c r="BE714" t="str">
        <f t="array" ref="BE714">IF(AY714=1,INDEX($V$7:$AL$7,MATCH(TRUE,INDEX($V714:$AW714&lt;&gt;0,),0)),IF(AY714=0,INDEX($AM$7:$AW$7,MATCH(1,$AM714:$AW714,0)),IF(BF714="Multiple strategies","mixed drivers",IF(BF714="Supply chain","multiple supply","multiple silviculture"))))</f>
        <v>harvesting system</v>
      </c>
      <c r="BF714" s="2" t="str" cm="1">
        <f t="array" ref="BF714">IF(COUNTIF(AZ714:BB714,"&lt;&gt;0")=1,INDEX($V$4:$AW$4,MATCH(TRUE,INDEX($V714:$AW714&lt;&gt;0,),0)),IF(COUNTIF(AZ714:BB714,"&lt;&gt;0")=0,INDEX($AM$4:$AW$4,MATCH(1,$AM714:$AW714,0)),"Multiple strategies"))</f>
        <v>Supply chain</v>
      </c>
      <c r="BG714" s="1" t="s">
        <v>322</v>
      </c>
      <c r="BH714" t="s">
        <v>2024</v>
      </c>
      <c r="BI714" s="266" t="s">
        <v>3186</v>
      </c>
      <c r="BJ714" s="266" t="s">
        <v>3187</v>
      </c>
      <c r="BK714">
        <v>352.14772479999999</v>
      </c>
      <c r="BL714">
        <v>18066.118399999999</v>
      </c>
      <c r="BM714">
        <v>51.302669668703764</v>
      </c>
      <c r="BN714">
        <f>BL714-BK714</f>
        <v>17713.970675199998</v>
      </c>
      <c r="BO714">
        <f>BN714</f>
        <v>17713.970675199998</v>
      </c>
      <c r="BP714" t="s">
        <v>396</v>
      </c>
      <c r="BQ714" s="266" t="s">
        <v>3188</v>
      </c>
      <c r="BR714" t="s">
        <v>2025</v>
      </c>
      <c r="BS714">
        <f>0.0011646</f>
        <v>1.1646E-3</v>
      </c>
      <c r="BT714" s="266">
        <f>0.0011461</f>
        <v>1.1460999999999999E-3</v>
      </c>
      <c r="BU714" s="144">
        <v>0.9841147174995708</v>
      </c>
      <c r="BV714">
        <f>BT714-BS714</f>
        <v>-1.850000000000007E-5</v>
      </c>
      <c r="BX714">
        <f>BV714*(11.3+35.4+2.7+4.3)*12*10^6</f>
        <v>-11921.400000000045</v>
      </c>
      <c r="BY714">
        <f>IFERROR(BX714/BO714,"")</f>
        <v>-0.67299422690646671</v>
      </c>
      <c r="BZ714">
        <v>0</v>
      </c>
      <c r="CA714">
        <v>0</v>
      </c>
      <c r="CB714">
        <v>0</v>
      </c>
      <c r="CC714">
        <v>0</v>
      </c>
      <c r="CD714">
        <v>0</v>
      </c>
      <c r="CE714">
        <v>0</v>
      </c>
      <c r="CF714">
        <v>0</v>
      </c>
      <c r="CG714">
        <v>0</v>
      </c>
      <c r="CH714">
        <v>0</v>
      </c>
      <c r="CI714">
        <v>0</v>
      </c>
      <c r="CJ714">
        <v>0</v>
      </c>
      <c r="CK714">
        <v>0</v>
      </c>
      <c r="CL714">
        <v>0</v>
      </c>
      <c r="CM714">
        <v>0</v>
      </c>
      <c r="CN714" t="str">
        <f>IF($BL714&lt;$BK714,"refNeedCorrection","refOK")</f>
        <v>refOK</v>
      </c>
      <c r="CO714">
        <f>IF($CN714="refOK",$BK714,$BL714)</f>
        <v>352.14772479999999</v>
      </c>
      <c r="CP714">
        <f>IF($CN714="refOK",$BL714,$BK714)</f>
        <v>18066.118399999999</v>
      </c>
      <c r="CQ714">
        <f>IF($CN714="refOK",$BO714,-$BO714)</f>
        <v>17713.970675199998</v>
      </c>
      <c r="CR714">
        <f>IF($CN714="refOK",$BS714,$BT714)*IF($BP714="Emissions positive",-1,1)</f>
        <v>-1.1646E-3</v>
      </c>
      <c r="CS714">
        <f>IF($CN714="refOK",$BT714,$BS714)*IF($BP714="Emissions positive",-1,1)</f>
        <v>-1.1460999999999999E-3</v>
      </c>
      <c r="CT714">
        <f>IF($CN714="refNeedCorrection",-BX714,BX714)*IF($BP714="Emissions positive",-1,1)</f>
        <v>11921.400000000045</v>
      </c>
      <c r="CU714">
        <f>IFERROR(CT714/CQ714,"")</f>
        <v>0.67299422690646671</v>
      </c>
      <c r="CV714" s="2">
        <f>IFERROR((CS714-CR714)/ABS(CR714),"")</f>
        <v>1.5885282500429393E-2</v>
      </c>
      <c r="CW714" s="1" t="s">
        <v>1201</v>
      </c>
      <c r="CX714" t="str">
        <f>IF(OR($CW714="prd",$CW714="std",$CW714="cit"),"loc",IF(OR($CW714="eur",$CW714="reg",$CW714="coy"),"reg",$CW714))</f>
        <v>reg</v>
      </c>
      <c r="CY714" t="s">
        <v>429</v>
      </c>
      <c r="CZ714">
        <v>2010</v>
      </c>
      <c r="DA714">
        <v>2018</v>
      </c>
      <c r="DB714">
        <v>1</v>
      </c>
      <c r="DC714" t="str">
        <f>IF(DB714=0,"0",IF(AND(DB714&gt;=1,DB714&lt;=30),"1-30",IF(AND(DB714&gt;30,DB714&lt;=70),"31-70",IF(AND(DB714&gt;70,DB714&lt;=100),"71-100",IF(DB714&gt;100,"+100")))))</f>
        <v>1-30</v>
      </c>
      <c r="DD714">
        <v>0</v>
      </c>
      <c r="DE714">
        <v>1</v>
      </c>
      <c r="DF714">
        <v>0</v>
      </c>
      <c r="DG714">
        <v>0</v>
      </c>
      <c r="DH714">
        <v>0</v>
      </c>
      <c r="DI714">
        <v>1</v>
      </c>
      <c r="DJ714" t="str">
        <f>IF(DI714=1,INDEX($DD$7:$DG$7,MATCH(1,$DD714:$DG714,0)),"mixedProduct")</f>
        <v>EnergyInput</v>
      </c>
      <c r="DK714">
        <f>IF(DD714=1,DK$7,0)</f>
        <v>0</v>
      </c>
      <c r="DL714" t="str">
        <f>IF(DE714=1,DL$7,0)</f>
        <v>Energy</v>
      </c>
      <c r="DM714">
        <f>IF(DF714=1,DM$7,0)</f>
        <v>0</v>
      </c>
      <c r="DN714">
        <f>IF(DG714=1,DN$7,0)</f>
        <v>0</v>
      </c>
      <c r="DO714">
        <v>0</v>
      </c>
      <c r="DP714">
        <v>0</v>
      </c>
      <c r="DQ714">
        <v>0</v>
      </c>
      <c r="DR714">
        <v>0</v>
      </c>
      <c r="DS714">
        <v>0</v>
      </c>
      <c r="DT714">
        <f>SUM(DO714:DP714)</f>
        <v>0</v>
      </c>
      <c r="DU714" s="143" t="s">
        <v>964</v>
      </c>
      <c r="DV714">
        <v>0</v>
      </c>
      <c r="DW714">
        <v>1</v>
      </c>
      <c r="DX714">
        <v>0</v>
      </c>
      <c r="DY714">
        <v>0</v>
      </c>
      <c r="DZ714">
        <v>0</v>
      </c>
      <c r="EA714" s="143">
        <v>0</v>
      </c>
      <c r="EB714">
        <v>1</v>
      </c>
      <c r="EC714">
        <v>1</v>
      </c>
      <c r="ED714">
        <v>0</v>
      </c>
      <c r="EE714">
        <v>0</v>
      </c>
      <c r="EF714">
        <v>0</v>
      </c>
      <c r="EG714">
        <v>0</v>
      </c>
      <c r="EH714">
        <v>0</v>
      </c>
      <c r="EI714" s="2">
        <v>0</v>
      </c>
      <c r="EK714" t="str">
        <f>IF(AND(AND(AND(OR($DX714=1,$DW714=1),OR($EC714=1,$EA714=1)),SUM($DV714:$DZ714,$EF714)&gt;=4),SUM($EA714:$EE714)&gt;=2),"Whole sector","")</f>
        <v/>
      </c>
      <c r="EL714" t="str">
        <f>IF(AND(AND(OR($DX714=1,$DW714=1),AND($EC714=0,$EA714=0)),SUM($DV714:$DZ714,$EF714)&gt;=4),"Ecosystem approach","")</f>
        <v/>
      </c>
      <c r="EM714" s="2" t="str">
        <f>IF(AND(AND(AND($DX714=0,$DW714=0),OR($EC714=1,$EA714=1)),SUM($EB714:$EE714)&gt;=2),"Technology approach","")</f>
        <v/>
      </c>
      <c r="EP714" t="str">
        <f>IF(ISNUMBER(BU714),IF(ABS(BU714-[2]QC_indicators!$B$2)&gt;3*[2]QC_indicators!$C$2,"C ratio",IF(ISNUMBER(BY714),IF(ABS(BY714-[2]QC_indicators!$B$1)&gt;3*[2]QC_indicators!$C$1,"DF","no"))),IF(ISNUMBER(BY714),IF(ABS(BY714-[2]QC_indicators!$B$1)&gt;3*[2]QC_indicators!$C$1,"DF","no")))</f>
        <v>no</v>
      </c>
      <c r="ET714" s="266" t="s">
        <v>3189</v>
      </c>
    </row>
    <row r="715" spans="1:150" ht="15" hidden="1" customHeight="1">
      <c r="A715" s="1" t="s">
        <v>266</v>
      </c>
      <c r="B715" t="s">
        <v>2015</v>
      </c>
      <c r="C715" t="s">
        <v>2016</v>
      </c>
      <c r="D715" t="s">
        <v>2017</v>
      </c>
      <c r="E715" t="s">
        <v>2018</v>
      </c>
      <c r="F715" t="s">
        <v>2019</v>
      </c>
      <c r="G715" t="s">
        <v>272</v>
      </c>
      <c r="H715" t="s">
        <v>255</v>
      </c>
      <c r="I715">
        <v>2022</v>
      </c>
      <c r="J715">
        <v>0</v>
      </c>
      <c r="K715" t="s">
        <v>2020</v>
      </c>
      <c r="M715" t="str">
        <f>LEFT($D715,FIND(",",$D715)-1)&amp;"_"&amp;I715&amp;L715</f>
        <v>Nandimandalam_2022</v>
      </c>
      <c r="N715" t="s">
        <v>223</v>
      </c>
      <c r="O715" s="157" t="s">
        <v>275</v>
      </c>
      <c r="P715" t="s">
        <v>962</v>
      </c>
      <c r="Q715" t="s">
        <v>390</v>
      </c>
      <c r="R715" s="264" t="s">
        <v>224</v>
      </c>
      <c r="S715" s="1" t="s">
        <v>2021</v>
      </c>
      <c r="T715" t="s">
        <v>2027</v>
      </c>
      <c r="U715" t="s">
        <v>2028</v>
      </c>
      <c r="V715">
        <v>0</v>
      </c>
      <c r="W715">
        <v>0</v>
      </c>
      <c r="X715">
        <v>0</v>
      </c>
      <c r="Y715">
        <v>0</v>
      </c>
      <c r="Z715">
        <v>0</v>
      </c>
      <c r="AA715">
        <v>0</v>
      </c>
      <c r="AB715">
        <v>0</v>
      </c>
      <c r="AC715">
        <v>0</v>
      </c>
      <c r="AD715">
        <v>1</v>
      </c>
      <c r="AE715">
        <v>0</v>
      </c>
      <c r="AF715">
        <v>0</v>
      </c>
      <c r="AG715">
        <v>0</v>
      </c>
      <c r="AH715">
        <v>0</v>
      </c>
      <c r="AI715">
        <v>0</v>
      </c>
      <c r="AJ715">
        <v>0</v>
      </c>
      <c r="AK715">
        <v>0</v>
      </c>
      <c r="AL715">
        <v>0</v>
      </c>
      <c r="AM715">
        <v>0</v>
      </c>
      <c r="AN715">
        <v>0</v>
      </c>
      <c r="AO715">
        <v>0</v>
      </c>
      <c r="AP715">
        <v>0</v>
      </c>
      <c r="AQ715">
        <v>0</v>
      </c>
      <c r="AR715">
        <v>0</v>
      </c>
      <c r="AS715">
        <v>0</v>
      </c>
      <c r="AT715">
        <v>0</v>
      </c>
      <c r="AU715">
        <v>0</v>
      </c>
      <c r="AV715">
        <v>0</v>
      </c>
      <c r="AW715">
        <v>0</v>
      </c>
      <c r="AX715" s="141">
        <f>COUNTIF(V715:AW715,"&lt;&gt;0")</f>
        <v>1</v>
      </c>
      <c r="AY715" s="141">
        <f>COUNTIF(V715:AL715,"&lt;&gt;0")</f>
        <v>1</v>
      </c>
      <c r="AZ715">
        <f>COUNTIF(V715:AC715,"&lt;&gt;0")</f>
        <v>0</v>
      </c>
      <c r="BA715">
        <f>COUNTIF(AD715:AI715,"&lt;&gt;0")</f>
        <v>1</v>
      </c>
      <c r="BB715">
        <f>COUNTIF(AJ715:AL715,"&lt;&gt;0")</f>
        <v>0</v>
      </c>
      <c r="BC715">
        <f>COUNTIF(AS715:AW715,"&lt;&gt;0")</f>
        <v>0</v>
      </c>
      <c r="BD715">
        <f>COUNTIF(AM715:AR715,"&lt;&gt;0")</f>
        <v>0</v>
      </c>
      <c r="BE715" t="str">
        <f t="array" ref="BE715">IF(AY715=1,INDEX($V$7:$AL$7,MATCH(TRUE,INDEX($V715:$AW715&lt;&gt;0,),0)),IF(AY715=0,INDEX($AM$7:$AW$7,MATCH(1,$AM715:$AW715,0)),IF(BF715="Multiple strategies","mixed drivers",IF(BF715="Supply chain","multiple supply","multiple silviculture"))))</f>
        <v>harvesting system</v>
      </c>
      <c r="BF715" s="2" t="str" cm="1">
        <f t="array" ref="BF715">IF(COUNTIF(AZ715:BB715,"&lt;&gt;0")=1,INDEX($V$4:$AW$4,MATCH(TRUE,INDEX($V715:$AW715&lt;&gt;0,),0)),IF(COUNTIF(AZ715:BB715,"&lt;&gt;0")=0,INDEX($AM$4:$AW$4,MATCH(1,$AM715:$AW715,0)),"Multiple strategies"))</f>
        <v>Supply chain</v>
      </c>
      <c r="BG715" s="1" t="s">
        <v>322</v>
      </c>
      <c r="BH715" t="s">
        <v>2024</v>
      </c>
      <c r="BI715" s="266" t="s">
        <v>3186</v>
      </c>
      <c r="BJ715" s="266" t="s">
        <v>3187</v>
      </c>
      <c r="BK715">
        <v>18066.118399999999</v>
      </c>
      <c r="BL715">
        <v>18066.118399999999</v>
      </c>
      <c r="BM715">
        <v>1</v>
      </c>
      <c r="BN715">
        <f>BL715-BK715</f>
        <v>0</v>
      </c>
      <c r="BO715">
        <f>BN715</f>
        <v>0</v>
      </c>
      <c r="BP715" t="s">
        <v>396</v>
      </c>
      <c r="BQ715" s="266" t="s">
        <v>3188</v>
      </c>
      <c r="BR715" t="s">
        <v>2025</v>
      </c>
      <c r="BS715">
        <f>0.0011452</f>
        <v>1.1452000000000001E-3</v>
      </c>
      <c r="BT715" s="266">
        <f>0.0011461</f>
        <v>1.1460999999999999E-3</v>
      </c>
      <c r="BU715" s="144">
        <v>1.0007858889276982</v>
      </c>
      <c r="BV715">
        <f>BT715-BS715</f>
        <v>8.9999999999985925E-7</v>
      </c>
      <c r="BX715">
        <f>BV715*(11.3+35.4+2.7+4.3)*12*10^6</f>
        <v>579.95999999990943</v>
      </c>
      <c r="BY715" t="str">
        <f>IFERROR(BX715/BO715,"")</f>
        <v/>
      </c>
      <c r="BZ715">
        <v>0</v>
      </c>
      <c r="CA715">
        <v>0</v>
      </c>
      <c r="CB715">
        <v>0</v>
      </c>
      <c r="CC715">
        <v>0</v>
      </c>
      <c r="CD715">
        <v>0</v>
      </c>
      <c r="CE715">
        <v>0</v>
      </c>
      <c r="CF715">
        <v>0</v>
      </c>
      <c r="CG715">
        <v>0</v>
      </c>
      <c r="CH715">
        <v>0</v>
      </c>
      <c r="CI715">
        <v>0</v>
      </c>
      <c r="CJ715">
        <v>0</v>
      </c>
      <c r="CK715">
        <v>0</v>
      </c>
      <c r="CL715">
        <v>0</v>
      </c>
      <c r="CM715">
        <v>0</v>
      </c>
      <c r="CN715" t="str">
        <f>IF($BL715&lt;$BK715,"refNeedCorrection","refOK")</f>
        <v>refOK</v>
      </c>
      <c r="CO715">
        <f>IF($CN715="refOK",$BK715,$BL715)</f>
        <v>18066.118399999999</v>
      </c>
      <c r="CP715">
        <f>IF($CN715="refOK",$BL715,$BK715)</f>
        <v>18066.118399999999</v>
      </c>
      <c r="CQ715">
        <f>IF($CN715="refOK",$BO715,-$BO715)</f>
        <v>0</v>
      </c>
      <c r="CR715">
        <f>IF($CN715="refOK",$BS715,$BT715)*IF($BP715="Emissions positive",-1,1)</f>
        <v>-1.1452000000000001E-3</v>
      </c>
      <c r="CS715">
        <f>IF($CN715="refOK",$BT715,$BS715)*IF($BP715="Emissions positive",-1,1)</f>
        <v>-1.1460999999999999E-3</v>
      </c>
      <c r="CT715">
        <f>IF($CN715="refNeedCorrection",-BX715,BX715)*IF($BP715="Emissions positive",-1,1)</f>
        <v>-579.95999999990943</v>
      </c>
      <c r="CU715" t="str">
        <f>IFERROR(CT715/CQ715,"")</f>
        <v/>
      </c>
      <c r="CV715" s="2">
        <f>IFERROR((CS715-CR715)/ABS(CR715),"")</f>
        <v>-7.8588892769809564E-4</v>
      </c>
      <c r="CW715" s="1" t="s">
        <v>1201</v>
      </c>
      <c r="CX715" t="str">
        <f>IF(OR($CW715="prd",$CW715="std",$CW715="cit"),"loc",IF(OR($CW715="eur",$CW715="reg",$CW715="coy"),"reg",$CW715))</f>
        <v>reg</v>
      </c>
      <c r="CY715" t="s">
        <v>429</v>
      </c>
      <c r="CZ715">
        <v>2010</v>
      </c>
      <c r="DA715">
        <v>2018</v>
      </c>
      <c r="DB715">
        <v>1</v>
      </c>
      <c r="DC715" t="str">
        <f>IF(DB715=0,"0",IF(AND(DB715&gt;=1,DB715&lt;=30),"1-30",IF(AND(DB715&gt;30,DB715&lt;=70),"31-70",IF(AND(DB715&gt;70,DB715&lt;=100),"71-100",IF(DB715&gt;100,"+100")))))</f>
        <v>1-30</v>
      </c>
      <c r="DD715">
        <v>0</v>
      </c>
      <c r="DE715">
        <v>1</v>
      </c>
      <c r="DF715">
        <v>0</v>
      </c>
      <c r="DG715">
        <v>0</v>
      </c>
      <c r="DH715">
        <v>0</v>
      </c>
      <c r="DI715">
        <v>1</v>
      </c>
      <c r="DJ715" t="str">
        <f>IF(DI715=1,INDEX($DD$7:$DG$7,MATCH(1,$DD715:$DG715,0)),"mixedProduct")</f>
        <v>EnergyInput</v>
      </c>
      <c r="DK715">
        <f>IF(DD715=1,DK$7,0)</f>
        <v>0</v>
      </c>
      <c r="DL715" t="str">
        <f>IF(DE715=1,DL$7,0)</f>
        <v>Energy</v>
      </c>
      <c r="DM715">
        <f>IF(DF715=1,DM$7,0)</f>
        <v>0</v>
      </c>
      <c r="DN715">
        <f>IF(DG715=1,DN$7,0)</f>
        <v>0</v>
      </c>
      <c r="DO715">
        <v>0</v>
      </c>
      <c r="DP715">
        <v>0</v>
      </c>
      <c r="DQ715">
        <v>0</v>
      </c>
      <c r="DR715">
        <v>0</v>
      </c>
      <c r="DS715">
        <v>0</v>
      </c>
      <c r="DT715">
        <f>SUM(DO715:DP715)</f>
        <v>0</v>
      </c>
      <c r="DU715" s="143" t="s">
        <v>964</v>
      </c>
      <c r="DV715">
        <v>0</v>
      </c>
      <c r="DW715">
        <v>1</v>
      </c>
      <c r="DX715">
        <v>0</v>
      </c>
      <c r="DY715">
        <v>0</v>
      </c>
      <c r="DZ715">
        <v>0</v>
      </c>
      <c r="EA715" s="143">
        <v>0</v>
      </c>
      <c r="EB715">
        <v>1</v>
      </c>
      <c r="EC715">
        <v>1</v>
      </c>
      <c r="ED715">
        <v>0</v>
      </c>
      <c r="EE715">
        <v>0</v>
      </c>
      <c r="EF715">
        <v>0</v>
      </c>
      <c r="EG715">
        <v>0</v>
      </c>
      <c r="EH715">
        <v>0</v>
      </c>
      <c r="EI715" s="2">
        <v>0</v>
      </c>
      <c r="EK715" t="str">
        <f>IF(AND(AND(AND(OR($DX715=1,$DW715=1),OR($EC715=1,$EA715=1)),SUM($DV715:$DZ715,$EF715)&gt;=4),SUM($EA715:$EE715)&gt;=2),"Whole sector","")</f>
        <v/>
      </c>
      <c r="EL715" t="str">
        <f>IF(AND(AND(OR($DX715=1,$DW715=1),AND($EC715=0,$EA715=0)),SUM($DV715:$DZ715,$EF715)&gt;=4),"Ecosystem approach","")</f>
        <v/>
      </c>
      <c r="EM715" s="2" t="str">
        <f>IF(AND(AND(AND($DX715=0,$DW715=0),OR($EC715=1,$EA715=1)),SUM($EB715:$EE715)&gt;=2),"Technology approach","")</f>
        <v/>
      </c>
      <c r="EP715" t="b">
        <f>IF(ISNUMBER(BU715),IF(ABS(BU715-[2]QC_indicators!$B$2)&gt;3*[2]QC_indicators!$C$2,"C ratio",IF(ISNUMBER(BY715),IF(ABS(BY715-[2]QC_indicators!$B$1)&gt;3*[2]QC_indicators!$C$1,"DF","no"))),IF(ISNUMBER(BY715),IF(ABS(BY715-[2]QC_indicators!$B$1)&gt;3*[2]QC_indicators!$C$1,"DF","no")))</f>
        <v>0</v>
      </c>
      <c r="ET715" s="266" t="s">
        <v>3189</v>
      </c>
    </row>
    <row r="716" spans="1:150" ht="15" hidden="1" customHeight="1">
      <c r="A716" s="1" t="s">
        <v>1810</v>
      </c>
      <c r="B716" t="s">
        <v>1811</v>
      </c>
      <c r="C716" t="s">
        <v>1812</v>
      </c>
      <c r="D716" t="s">
        <v>1813</v>
      </c>
      <c r="E716" t="s">
        <v>1814</v>
      </c>
      <c r="F716" t="s">
        <v>1815</v>
      </c>
      <c r="G716" t="s">
        <v>1816</v>
      </c>
      <c r="H716" t="s">
        <v>255</v>
      </c>
      <c r="I716">
        <v>2014</v>
      </c>
      <c r="J716">
        <v>15</v>
      </c>
      <c r="K716" t="s">
        <v>1817</v>
      </c>
      <c r="M716" t="str">
        <f>LEFT($D716,FIND(",",$D716)-1)&amp;"_"&amp;I716&amp;L716</f>
        <v>Kayo_2014</v>
      </c>
      <c r="N716" t="s">
        <v>223</v>
      </c>
      <c r="O716" s="171" t="s">
        <v>514</v>
      </c>
      <c r="P716" t="s">
        <v>962</v>
      </c>
      <c r="Q716" t="s">
        <v>390</v>
      </c>
      <c r="R716" s="264" t="s">
        <v>224</v>
      </c>
      <c r="S716" s="1" t="s">
        <v>1818</v>
      </c>
      <c r="T716" t="s">
        <v>1113</v>
      </c>
      <c r="U716" s="266" t="s">
        <v>3146</v>
      </c>
      <c r="V716">
        <v>0</v>
      </c>
      <c r="W716">
        <v>0</v>
      </c>
      <c r="X716">
        <v>0</v>
      </c>
      <c r="Y716">
        <v>0</v>
      </c>
      <c r="Z716">
        <v>0</v>
      </c>
      <c r="AA716">
        <v>0</v>
      </c>
      <c r="AB716">
        <v>0</v>
      </c>
      <c r="AC716">
        <v>0</v>
      </c>
      <c r="AD716">
        <v>0</v>
      </c>
      <c r="AE716">
        <v>0</v>
      </c>
      <c r="AF716">
        <v>1</v>
      </c>
      <c r="AG716">
        <v>0</v>
      </c>
      <c r="AH716">
        <v>0</v>
      </c>
      <c r="AI716">
        <v>0</v>
      </c>
      <c r="AJ716">
        <v>0</v>
      </c>
      <c r="AK716">
        <v>0</v>
      </c>
      <c r="AL716">
        <v>0</v>
      </c>
      <c r="AM716">
        <v>0</v>
      </c>
      <c r="AN716">
        <v>0</v>
      </c>
      <c r="AO716">
        <v>0</v>
      </c>
      <c r="AP716">
        <v>0</v>
      </c>
      <c r="AQ716">
        <v>0</v>
      </c>
      <c r="AR716">
        <v>0</v>
      </c>
      <c r="AS716">
        <v>0</v>
      </c>
      <c r="AT716">
        <v>0</v>
      </c>
      <c r="AU716">
        <v>0</v>
      </c>
      <c r="AV716">
        <v>0</v>
      </c>
      <c r="AW716">
        <v>0</v>
      </c>
      <c r="AX716" s="141">
        <f>COUNTIF(V716:AW716,"&lt;&gt;0")</f>
        <v>1</v>
      </c>
      <c r="AY716" s="141">
        <f>COUNTIF(V716:AL716,"&lt;&gt;0")</f>
        <v>1</v>
      </c>
      <c r="AZ716">
        <f>COUNTIF(V716:AC716,"&lt;&gt;0")</f>
        <v>0</v>
      </c>
      <c r="BA716">
        <f>COUNTIF(AD716:AI716,"&lt;&gt;0")</f>
        <v>1</v>
      </c>
      <c r="BB716">
        <f>COUNTIF(AJ716:AL716,"&lt;&gt;0")</f>
        <v>0</v>
      </c>
      <c r="BC716">
        <f>COUNTIF(AS716:AW716,"&lt;&gt;0")</f>
        <v>0</v>
      </c>
      <c r="BD716">
        <f>COUNTIF(AM716:AR716,"&lt;&gt;0")</f>
        <v>0</v>
      </c>
      <c r="BE716" t="str">
        <f t="array" ref="BE716">IF(AY716=1,INDEX($V$7:$AL$7,MATCH(TRUE,INDEX($V716:$AW716&lt;&gt;0,),0)),IF(AY716=0,INDEX($AM$7:$AW$7,MATCH(1,$AM716:$AW716,0)),IF(BF716="Multiple strategies","mixed drivers",IF(BF716="Supply chain","multiple supply","multiple silviculture"))))</f>
        <v>supply chain organization</v>
      </c>
      <c r="BF716" s="2" t="str" cm="1">
        <f t="array" ref="BF716">IF(COUNTIF(AZ716:BB716,"&lt;&gt;0")=1,INDEX($V$4:$AW$4,MATCH(TRUE,INDEX($V716:$AW716&lt;&gt;0,),0)),IF(COUNTIF(AZ716:BB716,"&lt;&gt;0")=0,INDEX($AM$4:$AW$4,MATCH(1,$AM716:$AW716,0)),"Multiple strategies"))</f>
        <v>Supply chain</v>
      </c>
      <c r="BG716" s="1" t="s">
        <v>230</v>
      </c>
      <c r="BH716" t="s">
        <v>1819</v>
      </c>
      <c r="BI716" s="266" t="s">
        <v>3147</v>
      </c>
      <c r="BJ716" t="s">
        <v>1820</v>
      </c>
      <c r="BK716">
        <v>18260000</v>
      </c>
      <c r="BL716">
        <v>27430000</v>
      </c>
      <c r="BM716" t="s">
        <v>545</v>
      </c>
      <c r="BN716">
        <f>BL716-BK716</f>
        <v>9170000</v>
      </c>
      <c r="BO716">
        <f>BN716</f>
        <v>9170000</v>
      </c>
      <c r="BP716" t="s">
        <v>396</v>
      </c>
      <c r="BQ716" s="266" t="s">
        <v>3148</v>
      </c>
      <c r="BR716" s="266" t="s">
        <v>3149</v>
      </c>
      <c r="BS716">
        <v>122.86</v>
      </c>
      <c r="BT716">
        <v>194.34</v>
      </c>
      <c r="BU716" s="144"/>
      <c r="BV716" s="152">
        <f>BT716-BS716</f>
        <v>71.48</v>
      </c>
      <c r="BX716" s="152">
        <f>BV716*10^3*C_to_CO2</f>
        <v>262331.59999999998</v>
      </c>
      <c r="BY716">
        <f>IFERROR(BX716/BO716,"")</f>
        <v>2.860758996728462E-2</v>
      </c>
      <c r="BZ716">
        <v>0</v>
      </c>
      <c r="CA716">
        <v>0</v>
      </c>
      <c r="CB716">
        <v>0</v>
      </c>
      <c r="CC716">
        <v>0</v>
      </c>
      <c r="CD716">
        <v>0</v>
      </c>
      <c r="CE716">
        <v>0</v>
      </c>
      <c r="CF716">
        <v>0</v>
      </c>
      <c r="CG716">
        <v>0</v>
      </c>
      <c r="CH716">
        <v>0</v>
      </c>
      <c r="CI716">
        <v>0</v>
      </c>
      <c r="CJ716">
        <v>0</v>
      </c>
      <c r="CK716">
        <v>0</v>
      </c>
      <c r="CL716">
        <v>0</v>
      </c>
      <c r="CM716">
        <v>0</v>
      </c>
      <c r="CN716" t="str">
        <f>IF($BL716&lt;$BK716,"refNeedCorrection","refOK")</f>
        <v>refOK</v>
      </c>
      <c r="CO716">
        <f>IF($CN716="refOK",$BK716,$BL716)</f>
        <v>18260000</v>
      </c>
      <c r="CP716">
        <f>IF($CN716="refOK",$BL716,$BK716)</f>
        <v>27430000</v>
      </c>
      <c r="CQ716">
        <f>IF($CN716="refOK",$BO716,-$BO716)</f>
        <v>9170000</v>
      </c>
      <c r="CR716">
        <f>IF($CN716="refOK",$BT716,$BS716)*IF($BP716="Emissions positive",-1,1)</f>
        <v>-194.34</v>
      </c>
      <c r="CS716">
        <f>IF($CN716="refOK",$BS716,$BT716)*IF($BP716="Emissions positive",-1,1)</f>
        <v>-122.86</v>
      </c>
      <c r="CT716">
        <f>IF($CN716="refNeedCorrection",-BX716,BX716)*IF($BP716="Emissions positive",-1,1)</f>
        <v>-262331.59999999998</v>
      </c>
      <c r="CU716">
        <f>IFERROR(CT716/CQ716,"")</f>
        <v>-2.860758996728462E-2</v>
      </c>
      <c r="CV716" s="2">
        <f>IFERROR((CS716-CR716)/ABS(CR716),"")</f>
        <v>0.3678089945456417</v>
      </c>
      <c r="CW716" s="1" t="s">
        <v>1201</v>
      </c>
      <c r="CX716" t="str">
        <f>IF(OR($CW716="prd",$CW716="std",$CW716="cit"),"loc",IF(OR($CW716="eur",$CW716="reg",$CW716="coy"),"reg",$CW716))</f>
        <v>reg</v>
      </c>
      <c r="CY716" t="s">
        <v>963</v>
      </c>
      <c r="CZ716">
        <v>2050</v>
      </c>
      <c r="DA716">
        <v>2050</v>
      </c>
      <c r="DB716">
        <v>1</v>
      </c>
      <c r="DC716" t="str">
        <f>IF(DB716=0,"0",IF(AND(DB716&gt;=1,DB716&lt;=30),"1-30",IF(AND(DB716&gt;30,DB716&lt;=70),"31-70",IF(AND(DB716&gt;70,DB716&lt;=100),"71-100",IF(DB716&gt;100,"+100")))))</f>
        <v>1-30</v>
      </c>
      <c r="DD716">
        <v>0</v>
      </c>
      <c r="DE716">
        <v>1</v>
      </c>
      <c r="DF716">
        <v>1</v>
      </c>
      <c r="DG716">
        <v>1</v>
      </c>
      <c r="DH716">
        <v>0</v>
      </c>
      <c r="DI716">
        <f>SUM(DD716:DH716)</f>
        <v>3</v>
      </c>
      <c r="DJ716" t="str">
        <f>IF(DI716=1,INDEX($DD$7:$DG$7,MATCH(1,$DD716:$DG716,0)),"mixedProduct")</f>
        <v>mixedProduct</v>
      </c>
      <c r="DK716">
        <f>IF(DD716=1,DK$7,0)</f>
        <v>0</v>
      </c>
      <c r="DL716" t="str">
        <f>IF(DE716=1,DL$7,0)</f>
        <v>Energy</v>
      </c>
      <c r="DM716" t="str">
        <f>IF(DF716=1,DM$7,0)</f>
        <v>Pulp/Paper</v>
      </c>
      <c r="DN716" t="str">
        <f>IF(DG716=1,DN$7,0)</f>
        <v>Timber</v>
      </c>
      <c r="DO716">
        <v>0</v>
      </c>
      <c r="DP716">
        <v>0</v>
      </c>
      <c r="DQ716">
        <v>0</v>
      </c>
      <c r="DR716">
        <v>0</v>
      </c>
      <c r="DS716">
        <v>0</v>
      </c>
      <c r="DT716">
        <f>SUM(DO716:DP716)</f>
        <v>0</v>
      </c>
      <c r="DU716" s="143" t="s">
        <v>964</v>
      </c>
      <c r="DV716">
        <v>0</v>
      </c>
      <c r="DW716">
        <v>0</v>
      </c>
      <c r="DX716">
        <v>0</v>
      </c>
      <c r="DY716">
        <v>0</v>
      </c>
      <c r="DZ716">
        <v>0</v>
      </c>
      <c r="EA716" s="143">
        <v>0</v>
      </c>
      <c r="EB716">
        <v>0</v>
      </c>
      <c r="EC716">
        <v>1</v>
      </c>
      <c r="ED716">
        <v>0</v>
      </c>
      <c r="EE716">
        <v>0</v>
      </c>
      <c r="EF716">
        <v>0</v>
      </c>
      <c r="EG716">
        <v>0</v>
      </c>
      <c r="EH716">
        <v>0</v>
      </c>
      <c r="EI716" s="2">
        <v>0</v>
      </c>
      <c r="EK716" t="str">
        <f>IF(AND(AND(AND(OR($DX716=1,$DW716=1),OR($EC716=1,$EA716=1)),SUM($DV716:$DZ716,$EF716)&gt;=4),SUM($EA716:$EE716)&gt;=2),"Whole sector","")</f>
        <v/>
      </c>
      <c r="EL716" t="str">
        <f>IF(AND(AND(OR($DX716=1,$DW716=1),AND($EC716=0,$EA716=0)),SUM($DV716:$DZ716,$EF716)&gt;=4),"Ecosystem approach","")</f>
        <v/>
      </c>
      <c r="EM716" s="2" t="str">
        <f>IF(AND(AND(AND($DX716=0,$DW716=0),OR($EC716=1,$EA716=1)),SUM($EB716:$EE716)&gt;=2),"Technology approach","")</f>
        <v/>
      </c>
      <c r="EP716" t="str">
        <f>IF(ISNUMBER(BU716),IF(ABS(BU716-[2]QC_indicators!$B$2)&gt;3*[2]QC_indicators!$C$2,"C ratio",IF(ISNUMBER(BY716),IF(ABS(BY716-[2]QC_indicators!$B$1)&gt;3*[2]QC_indicators!$C$1,"DF","no"))),IF(ISNUMBER(BY716),IF(ABS(BY716-[2]QC_indicators!$B$1)&gt;3*[2]QC_indicators!$C$1,"DF","no")))</f>
        <v>no</v>
      </c>
      <c r="ET716" s="266" t="s">
        <v>3150</v>
      </c>
    </row>
    <row r="717" spans="1:150" ht="15" hidden="1" customHeight="1">
      <c r="A717" s="1" t="s">
        <v>1810</v>
      </c>
      <c r="B717" t="s">
        <v>1811</v>
      </c>
      <c r="C717" t="s">
        <v>1812</v>
      </c>
      <c r="D717" t="s">
        <v>1813</v>
      </c>
      <c r="E717" t="s">
        <v>1814</v>
      </c>
      <c r="F717" t="s">
        <v>1815</v>
      </c>
      <c r="G717" t="s">
        <v>1816</v>
      </c>
      <c r="H717" t="s">
        <v>255</v>
      </c>
      <c r="I717">
        <v>2014</v>
      </c>
      <c r="J717">
        <v>15</v>
      </c>
      <c r="K717" t="s">
        <v>1817</v>
      </c>
      <c r="M717" t="str">
        <f>LEFT($D717,FIND(",",$D717)-1)&amp;"_"&amp;I717&amp;L717</f>
        <v>Kayo_2014</v>
      </c>
      <c r="N717" t="s">
        <v>223</v>
      </c>
      <c r="O717" s="171" t="s">
        <v>514</v>
      </c>
      <c r="P717" t="s">
        <v>962</v>
      </c>
      <c r="Q717" t="s">
        <v>390</v>
      </c>
      <c r="R717" s="264" t="s">
        <v>224</v>
      </c>
      <c r="S717" s="1" t="s">
        <v>1818</v>
      </c>
      <c r="T717" t="s">
        <v>1113</v>
      </c>
      <c r="U717" s="266" t="s">
        <v>3146</v>
      </c>
      <c r="V717">
        <v>0</v>
      </c>
      <c r="W717">
        <v>0</v>
      </c>
      <c r="X717">
        <v>0</v>
      </c>
      <c r="Y717">
        <v>0</v>
      </c>
      <c r="Z717">
        <v>0</v>
      </c>
      <c r="AA717">
        <v>0</v>
      </c>
      <c r="AB717">
        <v>0</v>
      </c>
      <c r="AC717">
        <v>0</v>
      </c>
      <c r="AD717">
        <v>0</v>
      </c>
      <c r="AE717">
        <v>0</v>
      </c>
      <c r="AF717">
        <v>1</v>
      </c>
      <c r="AG717">
        <v>0</v>
      </c>
      <c r="AH717">
        <v>0</v>
      </c>
      <c r="AI717">
        <v>0</v>
      </c>
      <c r="AJ717">
        <v>0</v>
      </c>
      <c r="AK717">
        <v>0</v>
      </c>
      <c r="AL717">
        <v>0</v>
      </c>
      <c r="AM717">
        <v>0</v>
      </c>
      <c r="AN717">
        <v>0</v>
      </c>
      <c r="AO717">
        <v>0</v>
      </c>
      <c r="AP717">
        <v>0</v>
      </c>
      <c r="AQ717">
        <v>0</v>
      </c>
      <c r="AR717">
        <v>0</v>
      </c>
      <c r="AS717">
        <v>0</v>
      </c>
      <c r="AT717">
        <v>0</v>
      </c>
      <c r="AU717">
        <v>0</v>
      </c>
      <c r="AV717">
        <v>0</v>
      </c>
      <c r="AW717">
        <v>0</v>
      </c>
      <c r="AX717" s="141">
        <f>COUNTIF(V717:AW717,"&lt;&gt;0")</f>
        <v>1</v>
      </c>
      <c r="AY717" s="141">
        <f>COUNTIF(V717:AL717,"&lt;&gt;0")</f>
        <v>1</v>
      </c>
      <c r="AZ717">
        <f>COUNTIF(V717:AC717,"&lt;&gt;0")</f>
        <v>0</v>
      </c>
      <c r="BA717">
        <f>COUNTIF(AD717:AI717,"&lt;&gt;0")</f>
        <v>1</v>
      </c>
      <c r="BB717">
        <f>COUNTIF(AJ717:AL717,"&lt;&gt;0")</f>
        <v>0</v>
      </c>
      <c r="BC717">
        <f>COUNTIF(AS717:AW717,"&lt;&gt;0")</f>
        <v>0</v>
      </c>
      <c r="BD717">
        <f>COUNTIF(AM717:AR717,"&lt;&gt;0")</f>
        <v>0</v>
      </c>
      <c r="BE717" t="str">
        <f t="array" ref="BE717">IF(AY717=1,INDEX($V$7:$AL$7,MATCH(TRUE,INDEX($V717:$AW717&lt;&gt;0,),0)),IF(AY717=0,INDEX($AM$7:$AW$7,MATCH(1,$AM717:$AW717,0)),IF(BF717="Multiple strategies","mixed drivers",IF(BF717="Supply chain","multiple supply","multiple silviculture"))))</f>
        <v>supply chain organization</v>
      </c>
      <c r="BF717" s="2" t="str" cm="1">
        <f t="array" ref="BF717">IF(COUNTIF(AZ717:BB717,"&lt;&gt;0")=1,INDEX($V$4:$AW$4,MATCH(TRUE,INDEX($V717:$AW717&lt;&gt;0,),0)),IF(COUNTIF(AZ717:BB717,"&lt;&gt;0")=0,INDEX($AM$4:$AW$4,MATCH(1,$AM717:$AW717,0)),"Multiple strategies"))</f>
        <v>Supply chain</v>
      </c>
      <c r="BG717" s="1" t="s">
        <v>230</v>
      </c>
      <c r="BH717" t="s">
        <v>1819</v>
      </c>
      <c r="BI717" s="266" t="s">
        <v>3147</v>
      </c>
      <c r="BJ717" t="s">
        <v>1820</v>
      </c>
      <c r="BK717">
        <v>7939999.9999999991</v>
      </c>
      <c r="BL717">
        <v>13270000</v>
      </c>
      <c r="BM717" t="s">
        <v>545</v>
      </c>
      <c r="BN717">
        <f>BL717-BK717</f>
        <v>5330000.0000000009</v>
      </c>
      <c r="BO717">
        <f>BN717</f>
        <v>5330000.0000000009</v>
      </c>
      <c r="BP717" t="s">
        <v>396</v>
      </c>
      <c r="BQ717" s="266" t="s">
        <v>3148</v>
      </c>
      <c r="BR717" s="266" t="s">
        <v>3149</v>
      </c>
      <c r="BS717">
        <v>48.57</v>
      </c>
      <c r="BT717">
        <v>80.19</v>
      </c>
      <c r="BU717" s="144"/>
      <c r="BV717" s="152">
        <f>BT717-BS717</f>
        <v>31.619999999999997</v>
      </c>
      <c r="BX717" s="152">
        <f>BV717*10^3*C_to_CO2</f>
        <v>116045.39999999998</v>
      </c>
      <c r="BY717">
        <f>IFERROR(BX717/BO717,"")</f>
        <v>2.1772120075046898E-2</v>
      </c>
      <c r="BZ717">
        <v>0</v>
      </c>
      <c r="CA717">
        <v>0</v>
      </c>
      <c r="CB717">
        <v>0</v>
      </c>
      <c r="CC717">
        <v>0</v>
      </c>
      <c r="CD717">
        <v>0</v>
      </c>
      <c r="CE717">
        <v>0</v>
      </c>
      <c r="CF717">
        <v>0</v>
      </c>
      <c r="CG717">
        <v>0</v>
      </c>
      <c r="CH717">
        <v>0</v>
      </c>
      <c r="CI717">
        <v>0</v>
      </c>
      <c r="CJ717">
        <v>0</v>
      </c>
      <c r="CK717">
        <v>0</v>
      </c>
      <c r="CL717">
        <v>0</v>
      </c>
      <c r="CM717">
        <v>0</v>
      </c>
      <c r="CN717" t="str">
        <f>IF($BL717&lt;$BK717,"refNeedCorrection","refOK")</f>
        <v>refOK</v>
      </c>
      <c r="CO717">
        <f>IF($CN717="refOK",$BK717,$BL717)</f>
        <v>7939999.9999999991</v>
      </c>
      <c r="CP717">
        <f>IF($CN717="refOK",$BL717,$BK717)</f>
        <v>13270000</v>
      </c>
      <c r="CQ717">
        <f>IF($CN717="refOK",$BO717,-$BO717)</f>
        <v>5330000.0000000009</v>
      </c>
      <c r="CR717">
        <f>IF($CN717="refOK",$BS717,$BT717)*IF($BP717="Emissions positive",-1,1)</f>
        <v>-48.57</v>
      </c>
      <c r="CS717">
        <f>IF($CN717="refOK",$BT717,$BS717)*IF($BP717="Emissions positive",-1,1)</f>
        <v>-80.19</v>
      </c>
      <c r="CT717">
        <f>IF($CN717="refNeedCorrection",-BX717,BX717)*IF($BP717="Emissions positive",-1,1)</f>
        <v>-116045.39999999998</v>
      </c>
      <c r="CU717">
        <f>IFERROR(CT717/CQ717,"")</f>
        <v>-2.1772120075046898E-2</v>
      </c>
      <c r="CV717" s="2">
        <f>IFERROR((CS717-CR717)/ABS(CR717),"")</f>
        <v>-0.65101914762198887</v>
      </c>
      <c r="CW717" s="1" t="s">
        <v>1201</v>
      </c>
      <c r="CX717" t="str">
        <f>IF(OR($CW717="prd",$CW717="std",$CW717="cit"),"loc",IF(OR($CW717="eur",$CW717="reg",$CW717="coy"),"reg",$CW717))</f>
        <v>reg</v>
      </c>
      <c r="CY717" t="s">
        <v>963</v>
      </c>
      <c r="CZ717">
        <v>2050</v>
      </c>
      <c r="DA717">
        <v>2050</v>
      </c>
      <c r="DB717">
        <v>1</v>
      </c>
      <c r="DC717" t="str">
        <f>IF(DB717=0,"0",IF(AND(DB717&gt;=1,DB717&lt;=30),"1-30",IF(AND(DB717&gt;30,DB717&lt;=70),"31-70",IF(AND(DB717&gt;70,DB717&lt;=100),"71-100",IF(DB717&gt;100,"+100")))))</f>
        <v>1-30</v>
      </c>
      <c r="DD717">
        <v>0</v>
      </c>
      <c r="DE717">
        <v>0</v>
      </c>
      <c r="DF717">
        <v>0</v>
      </c>
      <c r="DG717">
        <v>1</v>
      </c>
      <c r="DH717">
        <v>0</v>
      </c>
      <c r="DI717">
        <v>1</v>
      </c>
      <c r="DJ717" t="str">
        <f>IF(DI717=1,INDEX($DD$7:$DG$7,MATCH(1,$DD717:$DG717,0)),"mixedProduct")</f>
        <v>TimberInput</v>
      </c>
      <c r="DK717">
        <f>IF(DD717=1,DK$7,0)</f>
        <v>0</v>
      </c>
      <c r="DL717">
        <f>IF(DE717=1,DL$7,0)</f>
        <v>0</v>
      </c>
      <c r="DM717">
        <f>IF(DF717=1,DM$7,0)</f>
        <v>0</v>
      </c>
      <c r="DN717" t="str">
        <f>IF(DG717=1,DN$7,0)</f>
        <v>Timber</v>
      </c>
      <c r="DO717">
        <v>0</v>
      </c>
      <c r="DP717">
        <v>0</v>
      </c>
      <c r="DQ717">
        <v>0</v>
      </c>
      <c r="DR717">
        <v>0</v>
      </c>
      <c r="DS717">
        <v>0</v>
      </c>
      <c r="DT717">
        <f>SUM(DO717:DP717)</f>
        <v>0</v>
      </c>
      <c r="DU717" s="143" t="s">
        <v>964</v>
      </c>
      <c r="DV717">
        <v>0</v>
      </c>
      <c r="DW717">
        <v>0</v>
      </c>
      <c r="DX717">
        <v>0</v>
      </c>
      <c r="DY717">
        <v>0</v>
      </c>
      <c r="DZ717">
        <v>0</v>
      </c>
      <c r="EA717" s="143">
        <v>0</v>
      </c>
      <c r="EB717">
        <v>0</v>
      </c>
      <c r="EC717">
        <v>1</v>
      </c>
      <c r="ED717">
        <v>0</v>
      </c>
      <c r="EE717">
        <v>0</v>
      </c>
      <c r="EF717">
        <v>0</v>
      </c>
      <c r="EG717">
        <v>0</v>
      </c>
      <c r="EH717">
        <v>0</v>
      </c>
      <c r="EI717" s="2">
        <v>0</v>
      </c>
      <c r="EK717" t="str">
        <f>IF(AND(AND(AND(OR($DX717=1,$DW717=1),OR($EC717=1,$EA717=1)),SUM($DV717:$DZ717,$EF717)&gt;=4),SUM($EA717:$EE717)&gt;=2),"Whole sector","")</f>
        <v/>
      </c>
      <c r="EL717" t="str">
        <f>IF(AND(AND(OR($DX717=1,$DW717=1),AND($EC717=0,$EA717=0)),SUM($DV717:$DZ717,$EF717)&gt;=4),"Ecosystem approach","")</f>
        <v/>
      </c>
      <c r="EM717" s="2" t="str">
        <f>IF(AND(AND(AND($DX717=0,$DW717=0),OR($EC717=1,$EA717=1)),SUM($EB717:$EE717)&gt;=2),"Technology approach","")</f>
        <v/>
      </c>
      <c r="EP717" t="str">
        <f>IF(ISNUMBER(BU717),IF(ABS(BU717-[2]QC_indicators!$B$2)&gt;3*[2]QC_indicators!$C$2,"C ratio",IF(ISNUMBER(BY717),IF(ABS(BY717-[2]QC_indicators!$B$1)&gt;3*[2]QC_indicators!$C$1,"DF","no"))),IF(ISNUMBER(BY717),IF(ABS(BY717-[2]QC_indicators!$B$1)&gt;3*[2]QC_indicators!$C$1,"DF","no")))</f>
        <v>no</v>
      </c>
      <c r="ET717" s="266" t="s">
        <v>3150</v>
      </c>
    </row>
    <row r="718" spans="1:150" ht="15" hidden="1" customHeight="1">
      <c r="A718" s="1" t="s">
        <v>1810</v>
      </c>
      <c r="B718" t="s">
        <v>1811</v>
      </c>
      <c r="C718" t="s">
        <v>1812</v>
      </c>
      <c r="D718" t="s">
        <v>1813</v>
      </c>
      <c r="E718" t="s">
        <v>1814</v>
      </c>
      <c r="F718" t="s">
        <v>1815</v>
      </c>
      <c r="G718" t="s">
        <v>1816</v>
      </c>
      <c r="H718" t="s">
        <v>255</v>
      </c>
      <c r="I718">
        <v>2014</v>
      </c>
      <c r="J718">
        <v>15</v>
      </c>
      <c r="K718" t="s">
        <v>1817</v>
      </c>
      <c r="M718" t="str">
        <f>LEFT($D718,FIND(",",$D718)-1)&amp;"_"&amp;I718&amp;L718</f>
        <v>Kayo_2014</v>
      </c>
      <c r="N718" t="s">
        <v>223</v>
      </c>
      <c r="O718" s="171" t="s">
        <v>514</v>
      </c>
      <c r="P718" t="s">
        <v>962</v>
      </c>
      <c r="Q718" t="s">
        <v>390</v>
      </c>
      <c r="R718" s="264" t="s">
        <v>224</v>
      </c>
      <c r="S718" s="1" t="s">
        <v>1818</v>
      </c>
      <c r="T718" t="s">
        <v>1113</v>
      </c>
      <c r="U718" s="266" t="s">
        <v>3146</v>
      </c>
      <c r="V718">
        <v>0</v>
      </c>
      <c r="W718">
        <v>0</v>
      </c>
      <c r="X718">
        <v>0</v>
      </c>
      <c r="Y718">
        <v>0</v>
      </c>
      <c r="Z718">
        <v>0</v>
      </c>
      <c r="AA718">
        <v>0</v>
      </c>
      <c r="AB718">
        <v>0</v>
      </c>
      <c r="AC718">
        <v>0</v>
      </c>
      <c r="AD718">
        <v>0</v>
      </c>
      <c r="AE718">
        <v>0</v>
      </c>
      <c r="AF718">
        <v>1</v>
      </c>
      <c r="AG718">
        <v>0</v>
      </c>
      <c r="AH718">
        <v>0</v>
      </c>
      <c r="AI718">
        <v>0</v>
      </c>
      <c r="AJ718">
        <v>0</v>
      </c>
      <c r="AK718">
        <v>0</v>
      </c>
      <c r="AL718">
        <v>0</v>
      </c>
      <c r="AM718">
        <v>0</v>
      </c>
      <c r="AN718">
        <v>0</v>
      </c>
      <c r="AO718">
        <v>0</v>
      </c>
      <c r="AP718">
        <v>0</v>
      </c>
      <c r="AQ718">
        <v>0</v>
      </c>
      <c r="AR718">
        <v>0</v>
      </c>
      <c r="AS718">
        <v>0</v>
      </c>
      <c r="AT718">
        <v>0</v>
      </c>
      <c r="AU718">
        <v>0</v>
      </c>
      <c r="AV718">
        <v>0</v>
      </c>
      <c r="AW718">
        <v>0</v>
      </c>
      <c r="AX718" s="141">
        <f>COUNTIF(V718:AW718,"&lt;&gt;0")</f>
        <v>1</v>
      </c>
      <c r="AY718" s="141">
        <f>COUNTIF(V718:AL718,"&lt;&gt;0")</f>
        <v>1</v>
      </c>
      <c r="AZ718">
        <f>COUNTIF(V718:AC718,"&lt;&gt;0")</f>
        <v>0</v>
      </c>
      <c r="BA718">
        <f>COUNTIF(AD718:AI718,"&lt;&gt;0")</f>
        <v>1</v>
      </c>
      <c r="BB718">
        <f>COUNTIF(AJ718:AL718,"&lt;&gt;0")</f>
        <v>0</v>
      </c>
      <c r="BC718">
        <f>COUNTIF(AS718:AW718,"&lt;&gt;0")</f>
        <v>0</v>
      </c>
      <c r="BD718">
        <f>COUNTIF(AM718:AR718,"&lt;&gt;0")</f>
        <v>0</v>
      </c>
      <c r="BE718" t="str">
        <f t="array" ref="BE718">IF(AY718=1,INDEX($V$7:$AL$7,MATCH(TRUE,INDEX($V718:$AW718&lt;&gt;0,),0)),IF(AY718=0,INDEX($AM$7:$AW$7,MATCH(1,$AM718:$AW718,0)),IF(BF718="Multiple strategies","mixed drivers",IF(BF718="Supply chain","multiple supply","multiple silviculture"))))</f>
        <v>supply chain organization</v>
      </c>
      <c r="BF718" s="2" t="str" cm="1">
        <f t="array" ref="BF718">IF(COUNTIF(AZ718:BB718,"&lt;&gt;0")=1,INDEX($V$4:$AW$4,MATCH(TRUE,INDEX($V718:$AW718&lt;&gt;0,),0)),IF(COUNTIF(AZ718:BB718,"&lt;&gt;0")=0,INDEX($AM$4:$AW$4,MATCH(1,$AM718:$AW718,0)),"Multiple strategies"))</f>
        <v>Supply chain</v>
      </c>
      <c r="BG718" s="1" t="s">
        <v>230</v>
      </c>
      <c r="BH718" t="s">
        <v>1819</v>
      </c>
      <c r="BI718" s="266" t="s">
        <v>3147</v>
      </c>
      <c r="BJ718" t="s">
        <v>1820</v>
      </c>
      <c r="BK718">
        <v>1700000.0000000002</v>
      </c>
      <c r="BL718">
        <v>2710000</v>
      </c>
      <c r="BM718" t="s">
        <v>545</v>
      </c>
      <c r="BN718">
        <f>BL718-BK718</f>
        <v>1009999.9999999998</v>
      </c>
      <c r="BO718">
        <f>BN718</f>
        <v>1009999.9999999998</v>
      </c>
      <c r="BP718" t="s">
        <v>396</v>
      </c>
      <c r="BQ718" s="266" t="s">
        <v>3148</v>
      </c>
      <c r="BR718" s="266" t="s">
        <v>3149</v>
      </c>
      <c r="BS718">
        <v>31.43</v>
      </c>
      <c r="BT718">
        <v>52.83</v>
      </c>
      <c r="BU718" s="144"/>
      <c r="BV718" s="152">
        <f>BT718-BS718</f>
        <v>21.4</v>
      </c>
      <c r="BX718" s="152">
        <f>BV718*10^3*C_to_CO2</f>
        <v>78538</v>
      </c>
      <c r="BY718">
        <f>IFERROR(BX718/BO718,"")</f>
        <v>7.7760396039603982E-2</v>
      </c>
      <c r="BZ718">
        <v>0</v>
      </c>
      <c r="CA718">
        <v>0</v>
      </c>
      <c r="CB718">
        <v>0</v>
      </c>
      <c r="CC718">
        <v>0</v>
      </c>
      <c r="CD718">
        <v>0</v>
      </c>
      <c r="CE718">
        <v>0</v>
      </c>
      <c r="CF718">
        <v>0</v>
      </c>
      <c r="CG718">
        <v>0</v>
      </c>
      <c r="CH718">
        <v>0</v>
      </c>
      <c r="CI718">
        <v>0</v>
      </c>
      <c r="CJ718">
        <v>0</v>
      </c>
      <c r="CK718">
        <v>0</v>
      </c>
      <c r="CL718">
        <v>0</v>
      </c>
      <c r="CM718">
        <v>0</v>
      </c>
      <c r="CN718" t="str">
        <f>IF($BL718&lt;$BK718,"refNeedCorrection","refOK")</f>
        <v>refOK</v>
      </c>
      <c r="CO718">
        <f>IF($CN718="refOK",$BK718,$BL718)</f>
        <v>1700000.0000000002</v>
      </c>
      <c r="CP718">
        <f>IF($CN718="refOK",$BL718,$BK718)</f>
        <v>2710000</v>
      </c>
      <c r="CQ718">
        <f>IF($CN718="refOK",$BO718,-$BO718)</f>
        <v>1009999.9999999998</v>
      </c>
      <c r="CR718">
        <f>IF($CN718="refOK",$BS718,$BT718)*IF($BP718="Emissions positive",-1,1)</f>
        <v>-31.43</v>
      </c>
      <c r="CS718">
        <f>IF($CN718="refOK",$BT718,$BS718)*IF($BP718="Emissions positive",-1,1)</f>
        <v>-52.83</v>
      </c>
      <c r="CT718">
        <f>IF($CN718="refNeedCorrection",-BX718,BX718)*IF($BP718="Emissions positive",-1,1)</f>
        <v>-78538</v>
      </c>
      <c r="CU718">
        <f>IFERROR(CT718/CQ718,"")</f>
        <v>-7.7760396039603982E-2</v>
      </c>
      <c r="CV718" s="2">
        <f>IFERROR((CS718-CR718)/ABS(CR718),"")</f>
        <v>-0.68087814190264073</v>
      </c>
      <c r="CW718" s="1" t="s">
        <v>1201</v>
      </c>
      <c r="CX718" t="str">
        <f>IF(OR($CW718="prd",$CW718="std",$CW718="cit"),"loc",IF(OR($CW718="eur",$CW718="reg",$CW718="coy"),"reg",$CW718))</f>
        <v>reg</v>
      </c>
      <c r="CY718" t="s">
        <v>963</v>
      </c>
      <c r="CZ718">
        <v>2050</v>
      </c>
      <c r="DA718">
        <v>2050</v>
      </c>
      <c r="DB718">
        <v>1</v>
      </c>
      <c r="DC718" t="str">
        <f>IF(DB718=0,"0",IF(AND(DB718&gt;=1,DB718&lt;=30),"1-30",IF(AND(DB718&gt;30,DB718&lt;=70),"31-70",IF(AND(DB718&gt;70,DB718&lt;=100),"71-100",IF(DB718&gt;100,"+100")))))</f>
        <v>1-30</v>
      </c>
      <c r="DD718">
        <v>0</v>
      </c>
      <c r="DE718">
        <v>0</v>
      </c>
      <c r="DF718">
        <v>1</v>
      </c>
      <c r="DG718">
        <v>0</v>
      </c>
      <c r="DH718">
        <v>0</v>
      </c>
      <c r="DI718">
        <v>1</v>
      </c>
      <c r="DJ718" t="str">
        <f>IF(DI718=1,INDEX($DD$7:$DG$7,MATCH(1,$DD718:$DG718,0)),"mixedProduct")</f>
        <v>PulpPaperInput</v>
      </c>
      <c r="DK718">
        <f>IF(DD718=1,DK$7,0)</f>
        <v>0</v>
      </c>
      <c r="DL718">
        <f>IF(DE718=1,DL$7,0)</f>
        <v>0</v>
      </c>
      <c r="DM718" t="str">
        <f>IF(DF718=1,DM$7,0)</f>
        <v>Pulp/Paper</v>
      </c>
      <c r="DN718">
        <f>IF(DG718=1,DN$7,0)</f>
        <v>0</v>
      </c>
      <c r="DO718">
        <v>0</v>
      </c>
      <c r="DP718">
        <v>0</v>
      </c>
      <c r="DQ718">
        <v>0</v>
      </c>
      <c r="DR718">
        <v>0</v>
      </c>
      <c r="DS718">
        <v>0</v>
      </c>
      <c r="DT718">
        <f>SUM(DO718:DP718)</f>
        <v>0</v>
      </c>
      <c r="DU718" s="143" t="s">
        <v>964</v>
      </c>
      <c r="DV718">
        <v>0</v>
      </c>
      <c r="DW718">
        <v>0</v>
      </c>
      <c r="DX718">
        <v>0</v>
      </c>
      <c r="DY718">
        <v>0</v>
      </c>
      <c r="DZ718">
        <v>0</v>
      </c>
      <c r="EA718" s="143">
        <v>0</v>
      </c>
      <c r="EB718">
        <v>0</v>
      </c>
      <c r="EC718">
        <v>1</v>
      </c>
      <c r="ED718">
        <v>0</v>
      </c>
      <c r="EE718">
        <v>0</v>
      </c>
      <c r="EF718">
        <v>0</v>
      </c>
      <c r="EG718">
        <v>0</v>
      </c>
      <c r="EH718">
        <v>0</v>
      </c>
      <c r="EI718" s="2">
        <v>0</v>
      </c>
      <c r="EK718" t="str">
        <f>IF(AND(AND(AND(OR($DX718=1,$DW718=1),OR($EC718=1,$EA718=1)),SUM($DV718:$DZ718,$EF718)&gt;=4),SUM($EA718:$EE718)&gt;=2),"Whole sector","")</f>
        <v/>
      </c>
      <c r="EL718" t="str">
        <f>IF(AND(AND(OR($DX718=1,$DW718=1),AND($EC718=0,$EA718=0)),SUM($DV718:$DZ718,$EF718)&gt;=4),"Ecosystem approach","")</f>
        <v/>
      </c>
      <c r="EM718" s="2" t="str">
        <f>IF(AND(AND(AND($DX718=0,$DW718=0),OR($EC718=1,$EA718=1)),SUM($EB718:$EE718)&gt;=2),"Technology approach","")</f>
        <v/>
      </c>
      <c r="EP718" t="str">
        <f>IF(ISNUMBER(BU718),IF(ABS(BU718-[2]QC_indicators!$B$2)&gt;3*[2]QC_indicators!$C$2,"C ratio",IF(ISNUMBER(BY718),IF(ABS(BY718-[2]QC_indicators!$B$1)&gt;3*[2]QC_indicators!$C$1,"DF","no"))),IF(ISNUMBER(BY718),IF(ABS(BY718-[2]QC_indicators!$B$1)&gt;3*[2]QC_indicators!$C$1,"DF","no")))</f>
        <v>no</v>
      </c>
      <c r="ET718" s="266" t="s">
        <v>3150</v>
      </c>
    </row>
    <row r="719" spans="1:150" ht="15" hidden="1" customHeight="1">
      <c r="A719" s="1" t="s">
        <v>1810</v>
      </c>
      <c r="B719" t="s">
        <v>1811</v>
      </c>
      <c r="C719" t="s">
        <v>1812</v>
      </c>
      <c r="D719" t="s">
        <v>1813</v>
      </c>
      <c r="E719" t="s">
        <v>1814</v>
      </c>
      <c r="F719" t="s">
        <v>1815</v>
      </c>
      <c r="G719" t="s">
        <v>1816</v>
      </c>
      <c r="H719" t="s">
        <v>255</v>
      </c>
      <c r="I719">
        <v>2014</v>
      </c>
      <c r="J719">
        <v>15</v>
      </c>
      <c r="K719" t="s">
        <v>1817</v>
      </c>
      <c r="M719" t="str">
        <f>LEFT($D719,FIND(",",$D719)-1)&amp;"_"&amp;I719&amp;L719</f>
        <v>Kayo_2014</v>
      </c>
      <c r="N719" t="s">
        <v>223</v>
      </c>
      <c r="O719" s="171" t="s">
        <v>514</v>
      </c>
      <c r="P719" t="s">
        <v>962</v>
      </c>
      <c r="Q719" t="s">
        <v>390</v>
      </c>
      <c r="R719" s="264" t="s">
        <v>224</v>
      </c>
      <c r="S719" s="1" t="s">
        <v>1818</v>
      </c>
      <c r="T719" t="s">
        <v>1113</v>
      </c>
      <c r="U719" s="266" t="s">
        <v>3146</v>
      </c>
      <c r="V719">
        <v>0</v>
      </c>
      <c r="W719">
        <v>0</v>
      </c>
      <c r="X719">
        <v>0</v>
      </c>
      <c r="Y719">
        <v>0</v>
      </c>
      <c r="Z719">
        <v>0</v>
      </c>
      <c r="AA719">
        <v>0</v>
      </c>
      <c r="AB719">
        <v>0</v>
      </c>
      <c r="AC719">
        <v>0</v>
      </c>
      <c r="AD719">
        <v>0</v>
      </c>
      <c r="AE719">
        <v>0</v>
      </c>
      <c r="AF719">
        <v>1</v>
      </c>
      <c r="AG719">
        <v>0</v>
      </c>
      <c r="AH719">
        <v>0</v>
      </c>
      <c r="AI719">
        <v>0</v>
      </c>
      <c r="AJ719">
        <v>0</v>
      </c>
      <c r="AK719">
        <v>0</v>
      </c>
      <c r="AL719">
        <v>0</v>
      </c>
      <c r="AM719">
        <v>0</v>
      </c>
      <c r="AN719">
        <v>0</v>
      </c>
      <c r="AO719">
        <v>0</v>
      </c>
      <c r="AP719">
        <v>0</v>
      </c>
      <c r="AQ719">
        <v>0</v>
      </c>
      <c r="AR719">
        <v>0</v>
      </c>
      <c r="AS719">
        <v>0</v>
      </c>
      <c r="AT719">
        <v>0</v>
      </c>
      <c r="AU719">
        <v>0</v>
      </c>
      <c r="AV719">
        <v>0</v>
      </c>
      <c r="AW719">
        <v>0</v>
      </c>
      <c r="AX719" s="141">
        <f>COUNTIF(V719:AW719,"&lt;&gt;0")</f>
        <v>1</v>
      </c>
      <c r="AY719" s="141">
        <f>COUNTIF(V719:AL719,"&lt;&gt;0")</f>
        <v>1</v>
      </c>
      <c r="AZ719">
        <f>COUNTIF(V719:AC719,"&lt;&gt;0")</f>
        <v>0</v>
      </c>
      <c r="BA719">
        <f>COUNTIF(AD719:AI719,"&lt;&gt;0")</f>
        <v>1</v>
      </c>
      <c r="BB719">
        <f>COUNTIF(AJ719:AL719,"&lt;&gt;0")</f>
        <v>0</v>
      </c>
      <c r="BC719">
        <f>COUNTIF(AS719:AW719,"&lt;&gt;0")</f>
        <v>0</v>
      </c>
      <c r="BD719">
        <f>COUNTIF(AM719:AR719,"&lt;&gt;0")</f>
        <v>0</v>
      </c>
      <c r="BE719" t="str">
        <f t="array" ref="BE719">IF(AY719=1,INDEX($V$7:$AL$7,MATCH(TRUE,INDEX($V719:$AW719&lt;&gt;0,),0)),IF(AY719=0,INDEX($AM$7:$AW$7,MATCH(1,$AM719:$AW719,0)),IF(BF719="Multiple strategies","mixed drivers",IF(BF719="Supply chain","multiple supply","multiple silviculture"))))</f>
        <v>supply chain organization</v>
      </c>
      <c r="BF719" s="2" t="str" cm="1">
        <f t="array" ref="BF719">IF(COUNTIF(AZ719:BB719,"&lt;&gt;0")=1,INDEX($V$4:$AW$4,MATCH(TRUE,INDEX($V719:$AW719&lt;&gt;0,),0)),IF(COUNTIF(AZ719:BB719,"&lt;&gt;0")=0,INDEX($AM$4:$AW$4,MATCH(1,$AM719:$AW719,0)),"Multiple strategies"))</f>
        <v>Supply chain</v>
      </c>
      <c r="BG719" s="1" t="s">
        <v>230</v>
      </c>
      <c r="BH719" t="s">
        <v>1819</v>
      </c>
      <c r="BI719" s="266" t="s">
        <v>3147</v>
      </c>
      <c r="BJ719" t="s">
        <v>1820</v>
      </c>
      <c r="BK719">
        <v>8620000.0000000019</v>
      </c>
      <c r="BL719">
        <v>11450000.000000002</v>
      </c>
      <c r="BM719" t="s">
        <v>545</v>
      </c>
      <c r="BN719">
        <f>BL719-BK719</f>
        <v>2830000</v>
      </c>
      <c r="BO719">
        <f>BN719</f>
        <v>2830000</v>
      </c>
      <c r="BP719" t="s">
        <v>396</v>
      </c>
      <c r="BQ719" s="266" t="s">
        <v>3148</v>
      </c>
      <c r="BR719" s="266" t="s">
        <v>3149</v>
      </c>
      <c r="BS719">
        <v>21.43</v>
      </c>
      <c r="BT719">
        <v>26.42</v>
      </c>
      <c r="BU719" s="144"/>
      <c r="BV719" s="152">
        <f>BT719-BS719</f>
        <v>4.990000000000002</v>
      </c>
      <c r="BX719" s="152">
        <f>BV719*10^3*C_to_CO2</f>
        <v>18313.300000000007</v>
      </c>
      <c r="BY719">
        <f>IFERROR(BX719/BO719,"")</f>
        <v>6.4711307420494725E-3</v>
      </c>
      <c r="BZ719">
        <v>0</v>
      </c>
      <c r="CA719">
        <v>0</v>
      </c>
      <c r="CB719">
        <v>0</v>
      </c>
      <c r="CC719">
        <v>0</v>
      </c>
      <c r="CD719">
        <v>0</v>
      </c>
      <c r="CE719">
        <v>0</v>
      </c>
      <c r="CF719">
        <v>0</v>
      </c>
      <c r="CG719">
        <v>0</v>
      </c>
      <c r="CH719">
        <v>0</v>
      </c>
      <c r="CI719">
        <v>0</v>
      </c>
      <c r="CJ719">
        <v>0</v>
      </c>
      <c r="CK719">
        <v>0</v>
      </c>
      <c r="CL719">
        <v>0</v>
      </c>
      <c r="CM719">
        <v>0</v>
      </c>
      <c r="CN719" t="str">
        <f>IF($BL719&lt;$BK719,"refNeedCorrection","refOK")</f>
        <v>refOK</v>
      </c>
      <c r="CO719">
        <f>IF($CN719="refOK",$BK719,$BL719)</f>
        <v>8620000.0000000019</v>
      </c>
      <c r="CP719">
        <f>IF($CN719="refOK",$BL719,$BK719)</f>
        <v>11450000.000000002</v>
      </c>
      <c r="CQ719">
        <f>IF($CN719="refOK",$BO719,-$BO719)</f>
        <v>2830000</v>
      </c>
      <c r="CR719">
        <f>IF($CN719="refOK",$BS719,$BT719)*IF($BP719="Emissions positive",-1,1)</f>
        <v>-21.43</v>
      </c>
      <c r="CS719">
        <f>IF($CN719="refOK",$BT719,$BS719)*IF($BP719="Emissions positive",-1,1)</f>
        <v>-26.42</v>
      </c>
      <c r="CT719">
        <f>IF($CN719="refNeedCorrection",-BX719,BX719)*IF($BP719="Emissions positive",-1,1)</f>
        <v>-18313.300000000007</v>
      </c>
      <c r="CU719">
        <f>IFERROR(CT719/CQ719,"")</f>
        <v>-6.4711307420494725E-3</v>
      </c>
      <c r="CV719" s="2">
        <f>IFERROR((CS719-CR719)/ABS(CR719),"")</f>
        <v>-0.23285114325711628</v>
      </c>
      <c r="CW719" s="1" t="s">
        <v>1201</v>
      </c>
      <c r="CX719" t="str">
        <f>IF(OR($CW719="prd",$CW719="std",$CW719="cit"),"loc",IF(OR($CW719="eur",$CW719="reg",$CW719="coy"),"reg",$CW719))</f>
        <v>reg</v>
      </c>
      <c r="CY719" t="s">
        <v>963</v>
      </c>
      <c r="CZ719">
        <v>2050</v>
      </c>
      <c r="DA719">
        <v>2050</v>
      </c>
      <c r="DB719">
        <v>1</v>
      </c>
      <c r="DC719" t="str">
        <f>IF(DB719=0,"0",IF(AND(DB719&gt;=1,DB719&lt;=30),"1-30",IF(AND(DB719&gt;30,DB719&lt;=70),"31-70",IF(AND(DB719&gt;70,DB719&lt;=100),"71-100",IF(DB719&gt;100,"+100")))))</f>
        <v>1-30</v>
      </c>
      <c r="DD719">
        <v>0</v>
      </c>
      <c r="DE719">
        <v>1</v>
      </c>
      <c r="DF719">
        <v>0</v>
      </c>
      <c r="DG719">
        <v>0</v>
      </c>
      <c r="DH719">
        <v>0</v>
      </c>
      <c r="DI719">
        <v>1</v>
      </c>
      <c r="DJ719" t="str">
        <f>IF(DI719=1,INDEX($DD$7:$DG$7,MATCH(1,$DD719:$DG719,0)),"mixedProduct")</f>
        <v>EnergyInput</v>
      </c>
      <c r="DK719">
        <f>IF(DD719=1,DK$7,0)</f>
        <v>0</v>
      </c>
      <c r="DL719" t="str">
        <f>IF(DE719=1,DL$7,0)</f>
        <v>Energy</v>
      </c>
      <c r="DM719">
        <f>IF(DF719=1,DM$7,0)</f>
        <v>0</v>
      </c>
      <c r="DN719">
        <f>IF(DG719=1,DN$7,0)</f>
        <v>0</v>
      </c>
      <c r="DO719">
        <v>0</v>
      </c>
      <c r="DP719">
        <v>0</v>
      </c>
      <c r="DQ719">
        <v>0</v>
      </c>
      <c r="DR719">
        <v>0</v>
      </c>
      <c r="DS719">
        <v>0</v>
      </c>
      <c r="DT719">
        <f>SUM(DO719:DP719)</f>
        <v>0</v>
      </c>
      <c r="DU719" s="143" t="s">
        <v>964</v>
      </c>
      <c r="DV719">
        <v>0</v>
      </c>
      <c r="DW719">
        <v>0</v>
      </c>
      <c r="DX719">
        <v>0</v>
      </c>
      <c r="DY719">
        <v>0</v>
      </c>
      <c r="DZ719">
        <v>0</v>
      </c>
      <c r="EA719" s="143">
        <v>0</v>
      </c>
      <c r="EB719">
        <v>0</v>
      </c>
      <c r="EC719">
        <v>1</v>
      </c>
      <c r="ED719">
        <v>0</v>
      </c>
      <c r="EE719">
        <v>0</v>
      </c>
      <c r="EF719">
        <v>0</v>
      </c>
      <c r="EG719">
        <v>0</v>
      </c>
      <c r="EH719">
        <v>0</v>
      </c>
      <c r="EI719" s="2">
        <v>0</v>
      </c>
      <c r="EK719" t="str">
        <f>IF(AND(AND(AND(OR($DX719=1,$DW719=1),OR($EC719=1,$EA719=1)),SUM($DV719:$DZ719,$EF719)&gt;=4),SUM($EA719:$EE719)&gt;=2),"Whole sector","")</f>
        <v/>
      </c>
      <c r="EL719" t="str">
        <f>IF(AND(AND(OR($DX719=1,$DW719=1),AND($EC719=0,$EA719=0)),SUM($DV719:$DZ719,$EF719)&gt;=4),"Ecosystem approach","")</f>
        <v/>
      </c>
      <c r="EM719" s="2" t="str">
        <f>IF(AND(AND(AND($DX719=0,$DW719=0),OR($EC719=1,$EA719=1)),SUM($EB719:$EE719)&gt;=2),"Technology approach","")</f>
        <v/>
      </c>
      <c r="EP719" t="str">
        <f>IF(ISNUMBER(BU719),IF(ABS(BU719-[2]QC_indicators!$B$2)&gt;3*[2]QC_indicators!$C$2,"C ratio",IF(ISNUMBER(BY719),IF(ABS(BY719-[2]QC_indicators!$B$1)&gt;3*[2]QC_indicators!$C$1,"DF","no"))),IF(ISNUMBER(BY719),IF(ABS(BY719-[2]QC_indicators!$B$1)&gt;3*[2]QC_indicators!$C$1,"DF","no")))</f>
        <v>no</v>
      </c>
      <c r="ET719" s="266" t="s">
        <v>3150</v>
      </c>
    </row>
    <row r="720" spans="1:150" ht="15" customHeight="1">
      <c r="A720" s="1" t="s">
        <v>1402</v>
      </c>
      <c r="B720" t="s">
        <v>1403</v>
      </c>
      <c r="C720" t="s">
        <v>1404</v>
      </c>
      <c r="D720" t="s">
        <v>1405</v>
      </c>
      <c r="E720" t="s">
        <v>1406</v>
      </c>
      <c r="F720" t="s">
        <v>1407</v>
      </c>
      <c r="G720" t="s">
        <v>1408</v>
      </c>
      <c r="H720" t="s">
        <v>255</v>
      </c>
      <c r="I720">
        <v>2021</v>
      </c>
      <c r="J720">
        <v>0</v>
      </c>
      <c r="K720" t="s">
        <v>1409</v>
      </c>
      <c r="M720" t="str">
        <f>LEFT($D720,FIND(",",$D720)-1)&amp;"_"&amp;I720&amp;L720</f>
        <v>Dugan_2021</v>
      </c>
      <c r="N720" t="s">
        <v>223</v>
      </c>
      <c r="O720" s="145" t="s">
        <v>275</v>
      </c>
      <c r="Q720" t="s">
        <v>257</v>
      </c>
      <c r="R720" s="255" t="s">
        <v>226</v>
      </c>
      <c r="S720" s="1" t="s">
        <v>1421</v>
      </c>
      <c r="T720" t="s">
        <v>1113</v>
      </c>
      <c r="U720" t="s">
        <v>1422</v>
      </c>
      <c r="V720">
        <v>0</v>
      </c>
      <c r="W720">
        <v>0</v>
      </c>
      <c r="X720">
        <v>0</v>
      </c>
      <c r="Y720">
        <v>1</v>
      </c>
      <c r="Z720">
        <v>0</v>
      </c>
      <c r="AA720">
        <v>0</v>
      </c>
      <c r="AB720">
        <v>0</v>
      </c>
      <c r="AC720">
        <v>0</v>
      </c>
      <c r="AD720">
        <v>0</v>
      </c>
      <c r="AE720">
        <v>0</v>
      </c>
      <c r="AF720">
        <v>0</v>
      </c>
      <c r="AG720">
        <v>0</v>
      </c>
      <c r="AH720">
        <v>0</v>
      </c>
      <c r="AI720">
        <v>0</v>
      </c>
      <c r="AJ720">
        <v>0</v>
      </c>
      <c r="AK720">
        <v>0</v>
      </c>
      <c r="AL720">
        <v>0</v>
      </c>
      <c r="AM720">
        <v>0</v>
      </c>
      <c r="AN720">
        <v>0</v>
      </c>
      <c r="AO720">
        <v>0</v>
      </c>
      <c r="AP720">
        <v>0</v>
      </c>
      <c r="AQ720">
        <v>0</v>
      </c>
      <c r="AR720">
        <v>0</v>
      </c>
      <c r="AS720">
        <v>0</v>
      </c>
      <c r="AT720">
        <v>0</v>
      </c>
      <c r="AU720">
        <v>0</v>
      </c>
      <c r="AV720">
        <v>0</v>
      </c>
      <c r="AW720">
        <v>0</v>
      </c>
      <c r="AX720" s="141">
        <f>COUNTIF(V720:AW720,"&lt;&gt;0")</f>
        <v>1</v>
      </c>
      <c r="AY720" s="141">
        <f>COUNTIF(V720:AL720,"&lt;&gt;0")</f>
        <v>1</v>
      </c>
      <c r="AZ720">
        <f>COUNTIF(V720:AC720,"&lt;&gt;0")</f>
        <v>1</v>
      </c>
      <c r="BA720">
        <f>COUNTIF(AD720:AI720,"&lt;&gt;0")</f>
        <v>0</v>
      </c>
      <c r="BB720">
        <f>COUNTIF(AJ720:AL720,"&lt;&gt;0")</f>
        <v>0</v>
      </c>
      <c r="BC720">
        <f>COUNTIF(AS720:AW720,"&lt;&gt;0")</f>
        <v>0</v>
      </c>
      <c r="BD720">
        <f>COUNTIF(AM720:AR720,"&lt;&gt;0")</f>
        <v>0</v>
      </c>
      <c r="BE720" t="str">
        <f t="array" ref="BE720">IF(AY720=1,INDEX($V$7:$AL$7,MATCH(TRUE,INDEX($V720:$AW720&lt;&gt;0,),0)),IF(AY720=0,INDEX($AM$7:$AW$7,MATCH(1,$AM720:$AW720,0)),IF(BF720="Multiple strategies","mixed drivers",IF(BF720="Supply chain","multiple supply","multiple silviculture"))))</f>
        <v xml:space="preserve">cutting intensity </v>
      </c>
      <c r="BF720" s="2" t="str" cm="1">
        <f t="array" ref="BF720">IF(COUNTIF(AZ720:BB720,"&lt;&gt;0")=1,INDEX($V$4:$AW$4,MATCH(TRUE,INDEX($V720:$AW720&lt;&gt;0,),0)),IF(COUNTIF(AZ720:BB720,"&lt;&gt;0")=0,INDEX($AM$4:$AW$4,MATCH(1,$AM720:$AW720,0)),"Multiple strategies"))</f>
        <v>SilvicultureRemov</v>
      </c>
      <c r="BG720" s="1" t="s">
        <v>322</v>
      </c>
      <c r="BH720" t="s">
        <v>1412</v>
      </c>
      <c r="BI720" s="260" t="s">
        <v>3320</v>
      </c>
      <c r="BJ720" t="s">
        <v>1361</v>
      </c>
      <c r="BK720" s="266">
        <v>14.61</v>
      </c>
      <c r="BL720" s="266">
        <v>14.61</v>
      </c>
      <c r="BN720" s="227">
        <f>BL720-BK720</f>
        <v>0</v>
      </c>
      <c r="BO720">
        <f>BN720*10^6*tC_to_m3</f>
        <v>0</v>
      </c>
      <c r="BP720" t="s">
        <v>233</v>
      </c>
      <c r="BQ720" s="260" t="s">
        <v>3321</v>
      </c>
      <c r="BR720" t="s">
        <v>1302</v>
      </c>
      <c r="BS720" s="152"/>
      <c r="BT720" s="152"/>
      <c r="BU720" s="144"/>
      <c r="BV720" s="286">
        <v>-2.56567911875627</v>
      </c>
      <c r="BX720">
        <f>BV720*10^6</f>
        <v>-2565679.11875627</v>
      </c>
      <c r="BY720" t="str">
        <f>IFERROR(BX720/BO720,"")</f>
        <v/>
      </c>
      <c r="BZ720">
        <v>0</v>
      </c>
      <c r="CA720">
        <v>0</v>
      </c>
      <c r="CB720">
        <v>0</v>
      </c>
      <c r="CC720">
        <v>0</v>
      </c>
      <c r="CD720">
        <v>0</v>
      </c>
      <c r="CE720">
        <v>0</v>
      </c>
      <c r="CF720">
        <v>0</v>
      </c>
      <c r="CG720">
        <v>0</v>
      </c>
      <c r="CH720">
        <v>0</v>
      </c>
      <c r="CI720">
        <v>0</v>
      </c>
      <c r="CJ720">
        <v>0</v>
      </c>
      <c r="CK720">
        <v>0</v>
      </c>
      <c r="CL720">
        <v>0</v>
      </c>
      <c r="CM720">
        <v>0</v>
      </c>
      <c r="CN720" t="str">
        <f>IF(BL720&lt;BK720,"refNeedCorrection","refOK")</f>
        <v>refOK</v>
      </c>
      <c r="CO720"/>
      <c r="CP720"/>
      <c r="CQ720">
        <f>IF($CN720="refNeedCorrection",-BO720,BO720)</f>
        <v>0</v>
      </c>
      <c r="CR720">
        <f>IF($CN720="refOK",$BS720,$BT720)*IF($BP720="Emissions positive",-1,1)</f>
        <v>0</v>
      </c>
      <c r="CS720">
        <f>IF($CN720="refOK",$BT720,$BS720)*IF($BP720="Emissions positive",-1,1)</f>
        <v>0</v>
      </c>
      <c r="CT720">
        <f>IF($CN720="refNeedCorrection",-BX720,BX720)*IF($BP720="Emissions positive",-1,1)</f>
        <v>-2565679.11875627</v>
      </c>
      <c r="CU720" t="str">
        <f>IFERROR(CT720/CQ720,"")</f>
        <v/>
      </c>
      <c r="CV720" s="2" t="str">
        <f>IFERROR((CS720-CR720)/ABS(CR720),"")</f>
        <v/>
      </c>
      <c r="CW720" s="1" t="s">
        <v>1201</v>
      </c>
      <c r="CX720" t="str">
        <f>IF(OR($CW720="prd",$CW720="std",$CW720="cit"),"loc",IF(OR($CW720="eur",$CW720="reg",$CW720="coy"),"reg",$CW720))</f>
        <v>reg</v>
      </c>
      <c r="CY720" t="s">
        <v>429</v>
      </c>
      <c r="CZ720">
        <v>2020</v>
      </c>
      <c r="DA720">
        <v>2050</v>
      </c>
      <c r="DB720">
        <v>30</v>
      </c>
      <c r="DC720" t="str">
        <f>IF(DB720=0,"0",IF(AND(DB720&gt;=1,DB720&lt;=30),"1-30",IF(AND(DB720&gt;30,DB720&lt;=70),"31-70",IF(AND(DB720&gt;70,DB720&lt;=100),"71-100",IF(DB720&gt;100,"+100")))))</f>
        <v>1-30</v>
      </c>
      <c r="DD720">
        <v>0</v>
      </c>
      <c r="DE720">
        <v>1</v>
      </c>
      <c r="DF720">
        <v>0</v>
      </c>
      <c r="DG720">
        <v>0</v>
      </c>
      <c r="DI720">
        <f>SUM(DD720:DG720)</f>
        <v>1</v>
      </c>
      <c r="DJ720" t="str">
        <f>IF(DI720=1,INDEX($DD$7:$DG$7,MATCH(1,$DD720:$DG720,0)),"mixedProduct")</f>
        <v>EnergyInput</v>
      </c>
      <c r="DK720">
        <f>IF(DD720=1,DK$7,0)</f>
        <v>0</v>
      </c>
      <c r="DL720" t="str">
        <f>IF(DE720=1,DL$7,0)</f>
        <v>Energy</v>
      </c>
      <c r="DM720">
        <f>IF(DF720=1,DM$7,0)</f>
        <v>0</v>
      </c>
      <c r="DN720">
        <f>IF(DG720=1,DN$7,0)</f>
        <v>0</v>
      </c>
      <c r="DO720">
        <v>0</v>
      </c>
      <c r="DP720">
        <v>1</v>
      </c>
      <c r="DQ720" t="s">
        <v>1413</v>
      </c>
      <c r="DR720" t="s">
        <v>1414</v>
      </c>
      <c r="DS720">
        <v>0</v>
      </c>
      <c r="DT720">
        <f>SUM(DO720:DP720)</f>
        <v>1</v>
      </c>
      <c r="DU720" s="143" t="str">
        <f>IF(DO720=1,"self-calculated DF",IF(DP720=1,"external DF used","explicit C balance"))</f>
        <v>external DF used</v>
      </c>
      <c r="DV720">
        <v>1</v>
      </c>
      <c r="DW720">
        <v>1</v>
      </c>
      <c r="DX720">
        <v>1</v>
      </c>
      <c r="DY720">
        <v>1</v>
      </c>
      <c r="DZ720">
        <v>0</v>
      </c>
      <c r="EA720" s="143">
        <v>0</v>
      </c>
      <c r="EB720">
        <v>0</v>
      </c>
      <c r="EC720">
        <v>0</v>
      </c>
      <c r="ED720">
        <v>0</v>
      </c>
      <c r="EE720">
        <v>0</v>
      </c>
      <c r="EF720">
        <v>1</v>
      </c>
      <c r="EG720" s="143">
        <v>0</v>
      </c>
      <c r="EH720" s="143">
        <v>0</v>
      </c>
      <c r="EI720" s="2">
        <v>0</v>
      </c>
      <c r="EK720" t="str">
        <f>IF(AND(AND(AND(OR($DX720=1,$DW720=1),OR($EC720=1,$EA720=1)),SUM($DV720:$DZ720,$EF720)&gt;=4),SUM($EA720:$EE720)&gt;=2),"Whole sector","")</f>
        <v/>
      </c>
      <c r="EL720" t="str">
        <f>IF(AND(AND(OR($DX720=1,$DW720=1),AND($EC720=0,$EA720=0)),SUM($DV720:$DZ720,$EF720)&gt;=4),"Ecosystem approach","")</f>
        <v>Ecosystem approach</v>
      </c>
      <c r="EM720" s="2" t="str">
        <f>IF(AND(AND(AND($DX720=0,$DW720=0),OR($EC720=1,$EA720=1)),SUM($EB720:$EE720)&gt;=2),"Technology approach","")</f>
        <v/>
      </c>
      <c r="EP720" t="b">
        <f>IF(ISNUMBER(BU720),IF(ABS(BU720-[4]QC_indicators!$B$2)&gt;3*[4]QC_indicators!$C$2,"C ratio",IF(ISNUMBER(BY720),IF(ABS(BY720-[4]QC_indicators!$B$1)&gt;3*[4]QC_indicators!$C$1,"DF","no"))),IF(ISNUMBER(BY720),IF(ABS(BY720-[4]QC_indicators!$B$1)&gt;3*[4]QC_indicators!$C$1,"DF","no")))</f>
        <v>0</v>
      </c>
      <c r="EQ720" t="s">
        <v>287</v>
      </c>
      <c r="ER720" s="149" t="s">
        <v>350</v>
      </c>
      <c r="ET720" s="266" t="s">
        <v>3275</v>
      </c>
    </row>
    <row r="721" spans="1:150" ht="15" customHeight="1">
      <c r="A721" s="1" t="s">
        <v>1402</v>
      </c>
      <c r="B721" t="s">
        <v>1403</v>
      </c>
      <c r="C721" t="s">
        <v>1404</v>
      </c>
      <c r="D721" t="s">
        <v>1405</v>
      </c>
      <c r="E721" t="s">
        <v>1406</v>
      </c>
      <c r="F721" t="s">
        <v>1407</v>
      </c>
      <c r="G721" t="s">
        <v>1408</v>
      </c>
      <c r="H721" t="s">
        <v>255</v>
      </c>
      <c r="I721">
        <v>2021</v>
      </c>
      <c r="J721">
        <v>0</v>
      </c>
      <c r="K721" t="s">
        <v>1409</v>
      </c>
      <c r="M721" t="str">
        <f>LEFT($D721,FIND(",",$D721)-1)&amp;"_"&amp;I721&amp;L721</f>
        <v>Dugan_2021</v>
      </c>
      <c r="N721" t="s">
        <v>223</v>
      </c>
      <c r="O721" s="145" t="s">
        <v>275</v>
      </c>
      <c r="Q721" t="s">
        <v>257</v>
      </c>
      <c r="R721" s="255" t="s">
        <v>226</v>
      </c>
      <c r="S721" s="1" t="s">
        <v>1421</v>
      </c>
      <c r="T721" t="s">
        <v>1113</v>
      </c>
      <c r="U721" t="s">
        <v>1422</v>
      </c>
      <c r="V721">
        <v>0</v>
      </c>
      <c r="W721">
        <v>0</v>
      </c>
      <c r="X721">
        <v>0</v>
      </c>
      <c r="Y721">
        <v>1</v>
      </c>
      <c r="Z721">
        <v>0</v>
      </c>
      <c r="AA721">
        <v>0</v>
      </c>
      <c r="AB721">
        <v>0</v>
      </c>
      <c r="AC721">
        <v>0</v>
      </c>
      <c r="AD721">
        <v>0</v>
      </c>
      <c r="AE721">
        <v>0</v>
      </c>
      <c r="AF721">
        <v>0</v>
      </c>
      <c r="AG721">
        <v>0</v>
      </c>
      <c r="AH721">
        <v>0</v>
      </c>
      <c r="AI721">
        <v>0</v>
      </c>
      <c r="AJ721">
        <v>0</v>
      </c>
      <c r="AK721">
        <v>0</v>
      </c>
      <c r="AL721">
        <v>0</v>
      </c>
      <c r="AM721">
        <v>0</v>
      </c>
      <c r="AN721">
        <v>0</v>
      </c>
      <c r="AO721">
        <v>0</v>
      </c>
      <c r="AP721">
        <v>0</v>
      </c>
      <c r="AQ721">
        <v>0</v>
      </c>
      <c r="AR721">
        <v>0</v>
      </c>
      <c r="AS721">
        <v>0</v>
      </c>
      <c r="AT721">
        <v>0</v>
      </c>
      <c r="AU721">
        <v>0</v>
      </c>
      <c r="AV721">
        <v>0</v>
      </c>
      <c r="AW721">
        <v>0</v>
      </c>
      <c r="AX721" s="141">
        <f>COUNTIF(V721:AW721,"&lt;&gt;0")</f>
        <v>1</v>
      </c>
      <c r="AY721" s="141">
        <f>COUNTIF(V721:AL721,"&lt;&gt;0")</f>
        <v>1</v>
      </c>
      <c r="AZ721">
        <f>COUNTIF(V721:AC721,"&lt;&gt;0")</f>
        <v>1</v>
      </c>
      <c r="BA721">
        <f>COUNTIF(AD721:AI721,"&lt;&gt;0")</f>
        <v>0</v>
      </c>
      <c r="BB721">
        <f>COUNTIF(AJ721:AL721,"&lt;&gt;0")</f>
        <v>0</v>
      </c>
      <c r="BC721">
        <f>COUNTIF(AS721:AW721,"&lt;&gt;0")</f>
        <v>0</v>
      </c>
      <c r="BD721">
        <f>COUNTIF(AM721:AR721,"&lt;&gt;0")</f>
        <v>0</v>
      </c>
      <c r="BE721" t="str">
        <f t="array" ref="BE721">IF(AY721=1,INDEX($V$7:$AL$7,MATCH(TRUE,INDEX($V721:$AW721&lt;&gt;0,),0)),IF(AY721=0,INDEX($AM$7:$AW$7,MATCH(1,$AM721:$AW721,0)),IF(BF721="Multiple strategies","mixed drivers",IF(BF721="Supply chain","multiple supply","multiple silviculture"))))</f>
        <v xml:space="preserve">cutting intensity </v>
      </c>
      <c r="BF721" s="2" t="str" cm="1">
        <f t="array" ref="BF721">IF(COUNTIF(AZ721:BB721,"&lt;&gt;0")=1,INDEX($V$4:$AW$4,MATCH(TRUE,INDEX($V721:$AW721&lt;&gt;0,),0)),IF(COUNTIF(AZ721:BB721,"&lt;&gt;0")=0,INDEX($AM$4:$AW$4,MATCH(1,$AM721:$AW721,0)),"Multiple strategies"))</f>
        <v>SilvicultureRemov</v>
      </c>
      <c r="BG721" s="1" t="s">
        <v>322</v>
      </c>
      <c r="BH721" t="s">
        <v>1412</v>
      </c>
      <c r="BI721" s="260" t="s">
        <v>3320</v>
      </c>
      <c r="BJ721" t="s">
        <v>1361</v>
      </c>
      <c r="BK721" s="266">
        <v>14.61</v>
      </c>
      <c r="BL721" s="266">
        <v>14.61</v>
      </c>
      <c r="BN721" s="227">
        <f>BL721-BK721</f>
        <v>0</v>
      </c>
      <c r="BO721">
        <f>BN721*10^6*tC_to_m3</f>
        <v>0</v>
      </c>
      <c r="BP721" t="s">
        <v>233</v>
      </c>
      <c r="BQ721" s="260" t="s">
        <v>3323</v>
      </c>
      <c r="BR721" t="s">
        <v>1302</v>
      </c>
      <c r="BS721" s="152"/>
      <c r="BT721" s="152"/>
      <c r="BU721" s="144"/>
      <c r="BV721" s="141">
        <v>4.7403037872266296</v>
      </c>
      <c r="BX721">
        <f>BV721*10^6</f>
        <v>4740303.7872266294</v>
      </c>
      <c r="BY721" t="str">
        <f>IFERROR(BX721/BO721,"")</f>
        <v/>
      </c>
      <c r="BZ721">
        <v>0</v>
      </c>
      <c r="CA721">
        <v>0</v>
      </c>
      <c r="CB721">
        <v>0</v>
      </c>
      <c r="CC721">
        <v>0</v>
      </c>
      <c r="CD721">
        <v>0</v>
      </c>
      <c r="CE721">
        <v>0</v>
      </c>
      <c r="CF721">
        <v>0</v>
      </c>
      <c r="CG721">
        <v>0</v>
      </c>
      <c r="CH721">
        <v>0</v>
      </c>
      <c r="CI721">
        <v>0</v>
      </c>
      <c r="CJ721">
        <v>0</v>
      </c>
      <c r="CK721">
        <v>0</v>
      </c>
      <c r="CL721">
        <v>0</v>
      </c>
      <c r="CM721">
        <v>0</v>
      </c>
      <c r="CN721" t="str">
        <f>IF(BL721&lt;BK721,"refNeedCorrection","refOK")</f>
        <v>refOK</v>
      </c>
      <c r="CO721"/>
      <c r="CP721"/>
      <c r="CQ721">
        <f>IF($CN721="refNeedCorrection",-BO721,BO721)</f>
        <v>0</v>
      </c>
      <c r="CR721">
        <f>IF($CN721="refOK",$BS721,$BT721)*IF($BP721="Emissions positive",-1,1)</f>
        <v>0</v>
      </c>
      <c r="CS721">
        <f>IF($CN721="refOK",$BT721,$BS721)*IF($BP721="Emissions positive",-1,1)</f>
        <v>0</v>
      </c>
      <c r="CT721">
        <f>IF($CN721="refNeedCorrection",-BX721,BX721)*IF($BP721="Emissions positive",-1,1)</f>
        <v>4740303.7872266294</v>
      </c>
      <c r="CU721" t="str">
        <f>IFERROR(CT721/CQ721,"")</f>
        <v/>
      </c>
      <c r="CV721" s="2" t="str">
        <f>IFERROR((CS721-CR721)/ABS(CR721),"")</f>
        <v/>
      </c>
      <c r="CW721" s="1" t="s">
        <v>1201</v>
      </c>
      <c r="CX721" t="str">
        <f>IF(OR($CW721="prd",$CW721="std",$CW721="cit"),"loc",IF(OR($CW721="eur",$CW721="reg",$CW721="coy"),"reg",$CW721))</f>
        <v>reg</v>
      </c>
      <c r="CY721" t="s">
        <v>429</v>
      </c>
      <c r="CZ721">
        <v>2020</v>
      </c>
      <c r="DA721">
        <v>2050</v>
      </c>
      <c r="DB721">
        <v>30</v>
      </c>
      <c r="DC721" t="str">
        <f>IF(DB721=0,"0",IF(AND(DB721&gt;=1,DB721&lt;=30),"1-30",IF(AND(DB721&gt;30,DB721&lt;=70),"31-70",IF(AND(DB721&gt;70,DB721&lt;=100),"71-100",IF(DB721&gt;100,"+100")))))</f>
        <v>1-30</v>
      </c>
      <c r="DD721">
        <v>0</v>
      </c>
      <c r="DE721">
        <v>1</v>
      </c>
      <c r="DF721">
        <v>0</v>
      </c>
      <c r="DG721">
        <v>0</v>
      </c>
      <c r="DI721">
        <f>SUM(DD721:DG721)</f>
        <v>1</v>
      </c>
      <c r="DJ721" t="str">
        <f>IF(DI721=1,INDEX($DD$7:$DG$7,MATCH(1,$DD721:$DG721,0)),"mixedProduct")</f>
        <v>EnergyInput</v>
      </c>
      <c r="DK721">
        <f>IF(DD721=1,DK$7,0)</f>
        <v>0</v>
      </c>
      <c r="DL721" t="str">
        <f>IF(DE721=1,DL$7,0)</f>
        <v>Energy</v>
      </c>
      <c r="DM721">
        <f>IF(DF721=1,DM$7,0)</f>
        <v>0</v>
      </c>
      <c r="DN721">
        <f>IF(DG721=1,DN$7,0)</f>
        <v>0</v>
      </c>
      <c r="DO721">
        <v>0</v>
      </c>
      <c r="DP721">
        <v>1</v>
      </c>
      <c r="DQ721" t="s">
        <v>1413</v>
      </c>
      <c r="DR721" t="s">
        <v>1414</v>
      </c>
      <c r="DS721">
        <v>0</v>
      </c>
      <c r="DT721">
        <f>SUM(DO721:DP721)</f>
        <v>1</v>
      </c>
      <c r="DU721" s="143" t="str">
        <f>IF(DO721=1,"self-calculated DF",IF(DP721=1,"external DF used","explicit C balance"))</f>
        <v>external DF used</v>
      </c>
      <c r="DV721">
        <v>1</v>
      </c>
      <c r="DW721">
        <v>1</v>
      </c>
      <c r="DX721">
        <v>1</v>
      </c>
      <c r="DY721">
        <v>0</v>
      </c>
      <c r="DZ721">
        <v>0</v>
      </c>
      <c r="EA721" s="143">
        <v>0</v>
      </c>
      <c r="EB721">
        <v>0</v>
      </c>
      <c r="EC721">
        <v>0</v>
      </c>
      <c r="ED721">
        <v>0</v>
      </c>
      <c r="EE721">
        <v>0</v>
      </c>
      <c r="EF721">
        <v>1</v>
      </c>
      <c r="EG721" s="143">
        <v>0</v>
      </c>
      <c r="EH721" s="143">
        <v>0</v>
      </c>
      <c r="EI721" s="2">
        <v>0</v>
      </c>
      <c r="EK721" t="str">
        <f>IF(AND(AND(AND(OR($DX721=1,$DW721=1),OR($EC721=1,$EA721=1)),SUM($DV721:$DZ721,$EF721)&gt;=4),SUM($EA721:$EE721)&gt;=2),"Whole sector","")</f>
        <v/>
      </c>
      <c r="EL721" t="str">
        <f>IF(AND(AND(OR($DX721=1,$DW721=1),AND($EC721=0,$EA721=0)),SUM($DV721:$DZ721,$EF721)&gt;=4),"Ecosystem approach","")</f>
        <v>Ecosystem approach</v>
      </c>
      <c r="EM721" s="2" t="str">
        <f>IF(AND(AND(AND($DX721=0,$DW721=0),OR($EC721=1,$EA721=1)),SUM($EB721:$EE721)&gt;=2),"Technology approach","")</f>
        <v/>
      </c>
      <c r="EP721" t="b">
        <f>IF(ISNUMBER(BU721),IF(ABS(BU721-[4]QC_indicators!$B$2)&gt;3*[4]QC_indicators!$C$2,"C ratio",IF(ISNUMBER(BY721),IF(ABS(BY721-[4]QC_indicators!$B$1)&gt;3*[4]QC_indicators!$C$1,"DF","no"))),IF(ISNUMBER(BY721),IF(ABS(BY721-[4]QC_indicators!$B$1)&gt;3*[4]QC_indicators!$C$1,"DF","no")))</f>
        <v>0</v>
      </c>
      <c r="EQ721" t="s">
        <v>287</v>
      </c>
      <c r="ER721" s="149" t="s">
        <v>350</v>
      </c>
      <c r="ET721" s="266" t="s">
        <v>3275</v>
      </c>
    </row>
    <row r="722" spans="1:150" ht="15" hidden="1" customHeight="1">
      <c r="A722" s="1" t="s">
        <v>928</v>
      </c>
      <c r="B722" t="s">
        <v>1851</v>
      </c>
      <c r="C722" t="s">
        <v>1852</v>
      </c>
      <c r="D722" t="s">
        <v>1853</v>
      </c>
      <c r="E722" t="s">
        <v>1854</v>
      </c>
      <c r="F722" t="s">
        <v>1855</v>
      </c>
      <c r="G722" t="s">
        <v>934</v>
      </c>
      <c r="H722" t="s">
        <v>255</v>
      </c>
      <c r="I722">
        <v>2019</v>
      </c>
      <c r="J722">
        <v>8</v>
      </c>
      <c r="K722" t="s">
        <v>1856</v>
      </c>
      <c r="M722" t="str">
        <f>LEFT($D722,FIND(",",$D722)-1)&amp;"_"&amp;I722&amp;L722</f>
        <v>Kogler_2019</v>
      </c>
      <c r="N722" t="s">
        <v>2584</v>
      </c>
      <c r="O722" s="171" t="s">
        <v>514</v>
      </c>
      <c r="P722" t="s">
        <v>962</v>
      </c>
      <c r="Q722" t="s">
        <v>390</v>
      </c>
      <c r="R722" s="264" t="s">
        <v>224</v>
      </c>
      <c r="S722" s="1" t="s">
        <v>1869</v>
      </c>
      <c r="T722" t="s">
        <v>1858</v>
      </c>
      <c r="U722" t="s">
        <v>1863</v>
      </c>
      <c r="V722">
        <v>0</v>
      </c>
      <c r="W722">
        <v>0</v>
      </c>
      <c r="X722">
        <v>0</v>
      </c>
      <c r="Y722">
        <v>0</v>
      </c>
      <c r="Z722">
        <v>0</v>
      </c>
      <c r="AA722">
        <v>0</v>
      </c>
      <c r="AB722">
        <v>0</v>
      </c>
      <c r="AC722">
        <v>0</v>
      </c>
      <c r="AD722">
        <v>0</v>
      </c>
      <c r="AE722">
        <v>0</v>
      </c>
      <c r="AF722">
        <v>1</v>
      </c>
      <c r="AG722">
        <v>0</v>
      </c>
      <c r="AH722">
        <v>0</v>
      </c>
      <c r="AI722">
        <v>0</v>
      </c>
      <c r="AJ722">
        <v>0</v>
      </c>
      <c r="AK722">
        <v>0</v>
      </c>
      <c r="AL722">
        <v>0</v>
      </c>
      <c r="AM722">
        <v>0</v>
      </c>
      <c r="AN722">
        <v>0</v>
      </c>
      <c r="AO722">
        <v>0</v>
      </c>
      <c r="AP722">
        <v>0</v>
      </c>
      <c r="AQ722">
        <v>0</v>
      </c>
      <c r="AR722">
        <v>0</v>
      </c>
      <c r="AS722">
        <v>0</v>
      </c>
      <c r="AT722">
        <v>0</v>
      </c>
      <c r="AU722">
        <v>0</v>
      </c>
      <c r="AV722">
        <v>0</v>
      </c>
      <c r="AW722">
        <v>0</v>
      </c>
      <c r="AX722" s="141">
        <f>COUNTIF(V722:AW722,"&lt;&gt;0")</f>
        <v>1</v>
      </c>
      <c r="AY722" s="141">
        <f>COUNTIF(V722:AL722,"&lt;&gt;0")</f>
        <v>1</v>
      </c>
      <c r="AZ722">
        <f>COUNTIF(V722:AC722,"&lt;&gt;0")</f>
        <v>0</v>
      </c>
      <c r="BA722">
        <f>COUNTIF(AD722:AI722,"&lt;&gt;0")</f>
        <v>1</v>
      </c>
      <c r="BB722">
        <f>COUNTIF(AJ722:AL722,"&lt;&gt;0")</f>
        <v>0</v>
      </c>
      <c r="BC722">
        <f>COUNTIF(AS722:AW722,"&lt;&gt;0")</f>
        <v>0</v>
      </c>
      <c r="BD722">
        <f>COUNTIF(AM722:AR722,"&lt;&gt;0")</f>
        <v>0</v>
      </c>
      <c r="BE722" t="str">
        <f t="array" ref="BE722">IF(AY722=1,INDEX($V$7:$AL$7,MATCH(TRUE,INDEX($V722:$AW722&lt;&gt;0,),0)),IF(AY722=0,INDEX($AM$7:$AW$7,MATCH(1,$AM722:$AW722,0)),IF(BF722="Multiple strategies","mixed drivers",IF(BF722="Supply chain","multiple supply","multiple silviculture"))))</f>
        <v>supply chain organization</v>
      </c>
      <c r="BF722" s="2" t="str" cm="1">
        <f t="array" ref="BF722">IF(COUNTIF(AZ722:BB722,"&lt;&gt;0")=1,INDEX($V$4:$AW$4,MATCH(TRUE,INDEX($V722:$AW722&lt;&gt;0,),0)),IF(COUNTIF(AZ722:BB722,"&lt;&gt;0")=0,INDEX($AM$4:$AW$4,MATCH(1,$AM722:$AW722,0)),"Multiple strategies"))</f>
        <v>Supply chain</v>
      </c>
      <c r="BG722" s="1" t="s">
        <v>322</v>
      </c>
      <c r="BH722" t="s">
        <v>1860</v>
      </c>
      <c r="BI722" t="s">
        <v>613</v>
      </c>
      <c r="BJ722" t="s">
        <v>499</v>
      </c>
      <c r="BK722">
        <v>35082</v>
      </c>
      <c r="BL722">
        <v>38360</v>
      </c>
      <c r="BM722">
        <v>1.0934382304315604</v>
      </c>
      <c r="BN722">
        <f>BL722-BK722</f>
        <v>3278</v>
      </c>
      <c r="BO722">
        <f>BN722</f>
        <v>3278</v>
      </c>
      <c r="BP722" t="s">
        <v>396</v>
      </c>
      <c r="BQ722" t="s">
        <v>1861</v>
      </c>
      <c r="BR722" s="266" t="s">
        <v>3151</v>
      </c>
      <c r="BS722">
        <v>541</v>
      </c>
      <c r="BT722">
        <v>665</v>
      </c>
      <c r="BU722" s="144">
        <v>1.2292051756007394</v>
      </c>
      <c r="BV722" s="152">
        <f>BT722-BS722</f>
        <v>124</v>
      </c>
      <c r="BX722">
        <f>BV722*10^6</f>
        <v>124000000</v>
      </c>
      <c r="BY722">
        <f>IFERROR(BX722/BO722,"")</f>
        <v>37827.943868212322</v>
      </c>
      <c r="BZ722">
        <v>0</v>
      </c>
      <c r="CA722">
        <v>0</v>
      </c>
      <c r="CB722">
        <v>0</v>
      </c>
      <c r="CC722">
        <v>0</v>
      </c>
      <c r="CD722">
        <v>0</v>
      </c>
      <c r="CE722">
        <v>0</v>
      </c>
      <c r="CF722">
        <v>0</v>
      </c>
      <c r="CG722">
        <v>0</v>
      </c>
      <c r="CH722">
        <v>0</v>
      </c>
      <c r="CI722">
        <v>0</v>
      </c>
      <c r="CJ722">
        <v>0</v>
      </c>
      <c r="CK722">
        <v>0</v>
      </c>
      <c r="CL722">
        <v>0</v>
      </c>
      <c r="CM722">
        <v>0</v>
      </c>
      <c r="CN722" t="str">
        <f>IF($BL722&lt;$BK722,"refNeedCorrection","refOK")</f>
        <v>refOK</v>
      </c>
      <c r="CO722">
        <f>IF($CN722="refOK",$BK722,$BL722)</f>
        <v>35082</v>
      </c>
      <c r="CP722">
        <f>IF($CN722="refOK",$BL722,$BK722)</f>
        <v>38360</v>
      </c>
      <c r="CQ722">
        <f>IF($CN722="refOK",$BO722,-$BO722)</f>
        <v>3278</v>
      </c>
      <c r="CR722">
        <f>IF($CN722="refOK",$BS722,$BT722)*IF($BP722="Emissions positive",-1,1)</f>
        <v>-541</v>
      </c>
      <c r="CS722">
        <f>IF($CN722="refOK",$BT722,$BS722)*IF($BP722="Emissions positive",-1,1)</f>
        <v>-665</v>
      </c>
      <c r="CT722">
        <f>IF($CN722="refNeedCorrection",-BX722,BX722)*IF($BP722="Emissions positive",-1,1)</f>
        <v>-124000000</v>
      </c>
      <c r="CU722">
        <f>IFERROR(CT722/CQ722,"")</f>
        <v>-37827.943868212322</v>
      </c>
      <c r="CV722" s="2">
        <f>IFERROR((CS722-CR722)/ABS(CR722),"")</f>
        <v>-0.22920517560073936</v>
      </c>
      <c r="CW722" s="1" t="s">
        <v>1205</v>
      </c>
      <c r="CX722" t="str">
        <f>IF(OR($CW722="prd",$CW722="std",$CW722="cit"),"loc",IF(OR($CW722="eur",$CW722="reg",$CW722="coy"),"reg",$CW722))</f>
        <v>reg</v>
      </c>
      <c r="CY722" t="s">
        <v>668</v>
      </c>
      <c r="CZ722">
        <v>0</v>
      </c>
      <c r="DA722">
        <v>0</v>
      </c>
      <c r="DB722">
        <v>0</v>
      </c>
      <c r="DC722" t="str">
        <f>IF(DB722=0,"0",IF(AND(DB722&gt;=1,DB722&lt;=30),"1-30",IF(AND(DB722&gt;30,DB722&lt;=70),"31-70",IF(AND(DB722&gt;70,DB722&lt;=100),"71-100",IF(DB722&gt;100,"+100")))))</f>
        <v>0</v>
      </c>
      <c r="DD722">
        <v>1</v>
      </c>
      <c r="DE722">
        <v>0</v>
      </c>
      <c r="DF722">
        <v>0</v>
      </c>
      <c r="DG722">
        <v>0</v>
      </c>
      <c r="DI722">
        <v>1</v>
      </c>
      <c r="DJ722" t="str">
        <f>IF(DI722=1,INDEX($DD$7:$DG$7,MATCH(1,$DD722:$DG722,0)),"mixedProduct")</f>
        <v>UpstreamInput</v>
      </c>
      <c r="DK722" t="str">
        <f>IF(DD722=1,DK$7,0)</f>
        <v>Upstream</v>
      </c>
      <c r="DL722">
        <f>IF(DE722=1,DL$7,0)</f>
        <v>0</v>
      </c>
      <c r="DM722">
        <f>IF(DF722=1,DM$7,0)</f>
        <v>0</v>
      </c>
      <c r="DN722">
        <f>IF(DG722=1,DN$7,0)</f>
        <v>0</v>
      </c>
      <c r="DO722">
        <v>0</v>
      </c>
      <c r="DP722">
        <v>0</v>
      </c>
      <c r="DQ722">
        <v>0</v>
      </c>
      <c r="DR722">
        <v>0</v>
      </c>
      <c r="DS722">
        <v>0</v>
      </c>
      <c r="DT722">
        <f>SUM(DO722:DP722)</f>
        <v>0</v>
      </c>
      <c r="DU722" s="143" t="s">
        <v>964</v>
      </c>
      <c r="DV722">
        <v>0</v>
      </c>
      <c r="DW722">
        <v>0</v>
      </c>
      <c r="DX722">
        <v>0</v>
      </c>
      <c r="DY722">
        <v>0</v>
      </c>
      <c r="DZ722">
        <v>0</v>
      </c>
      <c r="EA722" s="143">
        <v>0</v>
      </c>
      <c r="EB722">
        <v>1</v>
      </c>
      <c r="EC722">
        <v>0</v>
      </c>
      <c r="ED722">
        <v>0</v>
      </c>
      <c r="EE722">
        <v>0</v>
      </c>
      <c r="EF722">
        <v>0</v>
      </c>
      <c r="EG722">
        <v>0</v>
      </c>
      <c r="EH722">
        <v>0</v>
      </c>
      <c r="EI722" s="2">
        <v>0</v>
      </c>
      <c r="EK722" t="str">
        <f>IF(AND(AND(AND(OR($DX722=1,$DW722=1),OR($EC722=1,$EA722=1)),SUM($DV722:$DZ722,$EF722)&gt;=4),SUM($EA722:$EE722)&gt;=2),"Whole sector","")</f>
        <v/>
      </c>
      <c r="EL722" t="str">
        <f>IF(AND(AND(OR($DX722=1,$DW722=1),AND($EC722=0,$EA722=0)),SUM($DV722:$DZ722,$EF722)&gt;=4),"Ecosystem approach","")</f>
        <v/>
      </c>
      <c r="EM722" s="2" t="str">
        <f>IF(AND(AND(AND($DX722=0,$DW722=0),OR($EC722=1,$EA722=1)),SUM($EB722:$EE722)&gt;=2),"Technology approach","")</f>
        <v/>
      </c>
      <c r="EP722" t="str">
        <f>IF(ISNUMBER(BU722),IF(ABS(BU722-[2]QC_indicators!$B$2)&gt;3*[2]QC_indicators!$C$2,"C ratio",IF(ISNUMBER(BY722),IF(ABS(BY722-[2]QC_indicators!$B$1)&gt;3*[2]QC_indicators!$C$1,"DF","no"))),IF(ISNUMBER(BY722),IF(ABS(BY722-[2]QC_indicators!$B$1)&gt;3*[2]QC_indicators!$C$1,"DF","no")))</f>
        <v>DF</v>
      </c>
      <c r="ET722" s="266" t="s">
        <v>3152</v>
      </c>
    </row>
    <row r="723" spans="1:150" ht="15" hidden="1" customHeight="1">
      <c r="A723" s="1" t="s">
        <v>928</v>
      </c>
      <c r="B723" t="s">
        <v>1851</v>
      </c>
      <c r="C723" t="s">
        <v>1852</v>
      </c>
      <c r="D723" t="s">
        <v>1853</v>
      </c>
      <c r="E723" t="s">
        <v>1854</v>
      </c>
      <c r="F723" t="s">
        <v>1855</v>
      </c>
      <c r="G723" t="s">
        <v>934</v>
      </c>
      <c r="H723" t="s">
        <v>255</v>
      </c>
      <c r="I723">
        <v>2019</v>
      </c>
      <c r="J723">
        <v>8</v>
      </c>
      <c r="K723" t="s">
        <v>1856</v>
      </c>
      <c r="M723" t="str">
        <f>LEFT($D723,FIND(",",$D723)-1)&amp;"_"&amp;I723&amp;L723</f>
        <v>Kogler_2019</v>
      </c>
      <c r="N723" t="s">
        <v>2584</v>
      </c>
      <c r="O723" s="171" t="s">
        <v>514</v>
      </c>
      <c r="P723" t="s">
        <v>962</v>
      </c>
      <c r="Q723" t="s">
        <v>390</v>
      </c>
      <c r="R723" s="264" t="s">
        <v>224</v>
      </c>
      <c r="S723" s="1" t="s">
        <v>1869</v>
      </c>
      <c r="T723" t="s">
        <v>1858</v>
      </c>
      <c r="U723" t="s">
        <v>1870</v>
      </c>
      <c r="V723">
        <v>0</v>
      </c>
      <c r="W723">
        <v>0</v>
      </c>
      <c r="X723">
        <v>0</v>
      </c>
      <c r="Y723">
        <v>0</v>
      </c>
      <c r="Z723">
        <v>0</v>
      </c>
      <c r="AA723">
        <v>0</v>
      </c>
      <c r="AB723">
        <v>0</v>
      </c>
      <c r="AC723">
        <v>0</v>
      </c>
      <c r="AD723">
        <v>0</v>
      </c>
      <c r="AE723">
        <v>0</v>
      </c>
      <c r="AF723">
        <v>1</v>
      </c>
      <c r="AG723">
        <v>0</v>
      </c>
      <c r="AH723">
        <v>0</v>
      </c>
      <c r="AI723">
        <v>0</v>
      </c>
      <c r="AJ723">
        <v>0</v>
      </c>
      <c r="AK723">
        <v>0</v>
      </c>
      <c r="AL723">
        <v>0</v>
      </c>
      <c r="AM723">
        <v>0</v>
      </c>
      <c r="AN723">
        <v>0</v>
      </c>
      <c r="AO723">
        <v>0</v>
      </c>
      <c r="AP723">
        <v>0</v>
      </c>
      <c r="AQ723">
        <v>0</v>
      </c>
      <c r="AR723">
        <v>0</v>
      </c>
      <c r="AS723">
        <v>0</v>
      </c>
      <c r="AT723">
        <v>0</v>
      </c>
      <c r="AU723">
        <v>0</v>
      </c>
      <c r="AV723">
        <v>0</v>
      </c>
      <c r="AW723">
        <v>0</v>
      </c>
      <c r="AX723" s="141">
        <f>COUNTIF(V723:AW723,"&lt;&gt;0")</f>
        <v>1</v>
      </c>
      <c r="AY723" s="141">
        <f>COUNTIF(V723:AL723,"&lt;&gt;0")</f>
        <v>1</v>
      </c>
      <c r="AZ723">
        <f>COUNTIF(V723:AC723,"&lt;&gt;0")</f>
        <v>0</v>
      </c>
      <c r="BA723">
        <f>COUNTIF(AD723:AI723,"&lt;&gt;0")</f>
        <v>1</v>
      </c>
      <c r="BB723">
        <f>COUNTIF(AJ723:AL723,"&lt;&gt;0")</f>
        <v>0</v>
      </c>
      <c r="BC723">
        <f>COUNTIF(AS723:AW723,"&lt;&gt;0")</f>
        <v>0</v>
      </c>
      <c r="BD723">
        <f>COUNTIF(AM723:AR723,"&lt;&gt;0")</f>
        <v>0</v>
      </c>
      <c r="BE723" t="str">
        <f t="array" ref="BE723">IF(AY723=1,INDEX($V$7:$AL$7,MATCH(TRUE,INDEX($V723:$AW723&lt;&gt;0,),0)),IF(AY723=0,INDEX($AM$7:$AW$7,MATCH(1,$AM723:$AW723,0)),IF(BF723="Multiple strategies","mixed drivers",IF(BF723="Supply chain","multiple supply","multiple silviculture"))))</f>
        <v>supply chain organization</v>
      </c>
      <c r="BF723" s="2" t="str" cm="1">
        <f t="array" ref="BF723">IF(COUNTIF(AZ723:BB723,"&lt;&gt;0")=1,INDEX($V$4:$AW$4,MATCH(TRUE,INDEX($V723:$AW723&lt;&gt;0,),0)),IF(COUNTIF(AZ723:BB723,"&lt;&gt;0")=0,INDEX($AM$4:$AW$4,MATCH(1,$AM723:$AW723,0)),"Multiple strategies"))</f>
        <v>Supply chain</v>
      </c>
      <c r="BG723" s="1" t="s">
        <v>322</v>
      </c>
      <c r="BH723" t="s">
        <v>1860</v>
      </c>
      <c r="BI723" t="s">
        <v>613</v>
      </c>
      <c r="BJ723" t="s">
        <v>499</v>
      </c>
      <c r="BK723">
        <v>35082</v>
      </c>
      <c r="BL723">
        <v>37628</v>
      </c>
      <c r="BM723">
        <v>1.0725728293711876</v>
      </c>
      <c r="BN723">
        <f>BL723-BK723</f>
        <v>2546</v>
      </c>
      <c r="BO723">
        <f>BN723</f>
        <v>2546</v>
      </c>
      <c r="BP723" t="s">
        <v>396</v>
      </c>
      <c r="BQ723" t="s">
        <v>1861</v>
      </c>
      <c r="BR723" s="266" t="s">
        <v>3151</v>
      </c>
      <c r="BS723">
        <v>541</v>
      </c>
      <c r="BT723">
        <v>721</v>
      </c>
      <c r="BU723" s="144">
        <v>1.33271719038817</v>
      </c>
      <c r="BV723" s="152">
        <f>BT723-BS723</f>
        <v>180</v>
      </c>
      <c r="BX723">
        <f>BV723*10^6</f>
        <v>180000000</v>
      </c>
      <c r="BY723">
        <f>IFERROR(BX723/BO723,"")</f>
        <v>70699.135899450121</v>
      </c>
      <c r="BZ723">
        <v>0</v>
      </c>
      <c r="CA723">
        <v>0</v>
      </c>
      <c r="CB723">
        <v>0</v>
      </c>
      <c r="CC723">
        <v>0</v>
      </c>
      <c r="CD723">
        <v>0</v>
      </c>
      <c r="CE723">
        <v>0</v>
      </c>
      <c r="CF723">
        <v>0</v>
      </c>
      <c r="CG723">
        <v>0</v>
      </c>
      <c r="CH723">
        <v>0</v>
      </c>
      <c r="CI723">
        <v>0</v>
      </c>
      <c r="CJ723">
        <v>0</v>
      </c>
      <c r="CK723">
        <v>0</v>
      </c>
      <c r="CL723">
        <v>0</v>
      </c>
      <c r="CM723">
        <v>0</v>
      </c>
      <c r="CN723" t="str">
        <f>IF($BL723&lt;$BK723,"refNeedCorrection","refOK")</f>
        <v>refOK</v>
      </c>
      <c r="CO723">
        <f>IF($CN723="refOK",$BK723,$BL723)</f>
        <v>35082</v>
      </c>
      <c r="CP723">
        <f>IF($CN723="refOK",$BL723,$BK723)</f>
        <v>37628</v>
      </c>
      <c r="CQ723">
        <f>IF($CN723="refOK",$BO723,-$BO723)</f>
        <v>2546</v>
      </c>
      <c r="CR723">
        <f>IF($CN723="refOK",$BS723,$BT723)*IF($BP723="Emissions positive",-1,1)</f>
        <v>-541</v>
      </c>
      <c r="CS723">
        <f>IF($CN723="refOK",$BT723,$BS723)*IF($BP723="Emissions positive",-1,1)</f>
        <v>-721</v>
      </c>
      <c r="CT723">
        <f>IF($CN723="refNeedCorrection",-BX723,BX723)*IF($BP723="Emissions positive",-1,1)</f>
        <v>-180000000</v>
      </c>
      <c r="CU723">
        <f>IFERROR(CT723/CQ723,"")</f>
        <v>-70699.135899450121</v>
      </c>
      <c r="CV723" s="2">
        <f>IFERROR((CS723-CR723)/ABS(CR723),"")</f>
        <v>-0.33271719038817005</v>
      </c>
      <c r="CW723" s="1" t="s">
        <v>1205</v>
      </c>
      <c r="CX723" t="str">
        <f>IF(OR($CW723="prd",$CW723="std",$CW723="cit"),"loc",IF(OR($CW723="eur",$CW723="reg",$CW723="coy"),"reg",$CW723))</f>
        <v>reg</v>
      </c>
      <c r="CY723" t="s">
        <v>668</v>
      </c>
      <c r="CZ723">
        <v>0</v>
      </c>
      <c r="DA723">
        <v>0</v>
      </c>
      <c r="DB723">
        <v>0</v>
      </c>
      <c r="DC723" t="str">
        <f>IF(DB723=0,"0",IF(AND(DB723&gt;=1,DB723&lt;=30),"1-30",IF(AND(DB723&gt;30,DB723&lt;=70),"31-70",IF(AND(DB723&gt;70,DB723&lt;=100),"71-100",IF(DB723&gt;100,"+100")))))</f>
        <v>0</v>
      </c>
      <c r="DD723">
        <v>1</v>
      </c>
      <c r="DE723">
        <v>0</v>
      </c>
      <c r="DF723">
        <v>0</v>
      </c>
      <c r="DG723">
        <v>0</v>
      </c>
      <c r="DI723">
        <v>1</v>
      </c>
      <c r="DJ723" t="str">
        <f>IF(DI723=1,INDEX($DD$7:$DG$7,MATCH(1,$DD723:$DG723,0)),"mixedProduct")</f>
        <v>UpstreamInput</v>
      </c>
      <c r="DK723" t="str">
        <f>IF(DD723=1,DK$7,0)</f>
        <v>Upstream</v>
      </c>
      <c r="DL723">
        <f>IF(DE723=1,DL$7,0)</f>
        <v>0</v>
      </c>
      <c r="DM723">
        <f>IF(DF723=1,DM$7,0)</f>
        <v>0</v>
      </c>
      <c r="DN723">
        <f>IF(DG723=1,DN$7,0)</f>
        <v>0</v>
      </c>
      <c r="DO723">
        <v>0</v>
      </c>
      <c r="DP723">
        <v>0</v>
      </c>
      <c r="DQ723">
        <v>0</v>
      </c>
      <c r="DR723">
        <v>0</v>
      </c>
      <c r="DS723">
        <v>0</v>
      </c>
      <c r="DT723">
        <f>SUM(DO723:DP723)</f>
        <v>0</v>
      </c>
      <c r="DU723" s="143" t="s">
        <v>964</v>
      </c>
      <c r="DV723">
        <v>0</v>
      </c>
      <c r="DW723">
        <v>0</v>
      </c>
      <c r="DX723">
        <v>0</v>
      </c>
      <c r="DY723">
        <v>0</v>
      </c>
      <c r="DZ723">
        <v>0</v>
      </c>
      <c r="EA723" s="143">
        <v>0</v>
      </c>
      <c r="EB723">
        <v>1</v>
      </c>
      <c r="EC723">
        <v>0</v>
      </c>
      <c r="ED723">
        <v>0</v>
      </c>
      <c r="EE723">
        <v>0</v>
      </c>
      <c r="EF723">
        <v>0</v>
      </c>
      <c r="EG723">
        <v>0</v>
      </c>
      <c r="EH723">
        <v>0</v>
      </c>
      <c r="EI723" s="2">
        <v>0</v>
      </c>
      <c r="EK723" t="str">
        <f>IF(AND(AND(AND(OR($DX723=1,$DW723=1),OR($EC723=1,$EA723=1)),SUM($DV723:$DZ723,$EF723)&gt;=4),SUM($EA723:$EE723)&gt;=2),"Whole sector","")</f>
        <v/>
      </c>
      <c r="EL723" t="str">
        <f>IF(AND(AND(OR($DX723=1,$DW723=1),AND($EC723=0,$EA723=0)),SUM($DV723:$DZ723,$EF723)&gt;=4),"Ecosystem approach","")</f>
        <v/>
      </c>
      <c r="EM723" s="2" t="str">
        <f>IF(AND(AND(AND($DX723=0,$DW723=0),OR($EC723=1,$EA723=1)),SUM($EB723:$EE723)&gt;=2),"Technology approach","")</f>
        <v/>
      </c>
      <c r="EP723" t="str">
        <f>IF(ISNUMBER(BU723),IF(ABS(BU723-[2]QC_indicators!$B$2)&gt;3*[2]QC_indicators!$C$2,"C ratio",IF(ISNUMBER(BY723),IF(ABS(BY723-[2]QC_indicators!$B$1)&gt;3*[2]QC_indicators!$C$1,"DF","no"))),IF(ISNUMBER(BY723),IF(ABS(BY723-[2]QC_indicators!$B$1)&gt;3*[2]QC_indicators!$C$1,"DF","no")))</f>
        <v>DF</v>
      </c>
      <c r="ET723" s="266" t="s">
        <v>3152</v>
      </c>
    </row>
    <row r="724" spans="1:150" ht="15" hidden="1" customHeight="1">
      <c r="A724" s="1" t="s">
        <v>928</v>
      </c>
      <c r="B724" t="s">
        <v>1851</v>
      </c>
      <c r="C724" t="s">
        <v>1852</v>
      </c>
      <c r="D724" t="s">
        <v>1853</v>
      </c>
      <c r="E724" t="s">
        <v>1854</v>
      </c>
      <c r="F724" t="s">
        <v>1855</v>
      </c>
      <c r="G724" t="s">
        <v>934</v>
      </c>
      <c r="H724" t="s">
        <v>255</v>
      </c>
      <c r="I724">
        <v>2019</v>
      </c>
      <c r="J724">
        <v>8</v>
      </c>
      <c r="K724" t="s">
        <v>1856</v>
      </c>
      <c r="M724" t="str">
        <f>LEFT($D724,FIND(",",$D724)-1)&amp;"_"&amp;I724&amp;L724</f>
        <v>Kogler_2019</v>
      </c>
      <c r="N724" t="s">
        <v>2584</v>
      </c>
      <c r="O724" s="171" t="s">
        <v>514</v>
      </c>
      <c r="P724" t="s">
        <v>962</v>
      </c>
      <c r="Q724" t="s">
        <v>390</v>
      </c>
      <c r="R724" s="264" t="s">
        <v>224</v>
      </c>
      <c r="S724" s="1" t="s">
        <v>1869</v>
      </c>
      <c r="T724" t="s">
        <v>1859</v>
      </c>
      <c r="U724" t="s">
        <v>1864</v>
      </c>
      <c r="V724">
        <v>0</v>
      </c>
      <c r="W724">
        <v>0</v>
      </c>
      <c r="X724">
        <v>0</v>
      </c>
      <c r="Y724">
        <v>0</v>
      </c>
      <c r="Z724">
        <v>0</v>
      </c>
      <c r="AA724">
        <v>0</v>
      </c>
      <c r="AB724">
        <v>0</v>
      </c>
      <c r="AC724">
        <v>0</v>
      </c>
      <c r="AD724">
        <v>0</v>
      </c>
      <c r="AE724">
        <v>0</v>
      </c>
      <c r="AF724">
        <v>1</v>
      </c>
      <c r="AG724">
        <v>0</v>
      </c>
      <c r="AH724">
        <v>0</v>
      </c>
      <c r="AI724">
        <v>0</v>
      </c>
      <c r="AJ724">
        <v>0</v>
      </c>
      <c r="AK724">
        <v>0</v>
      </c>
      <c r="AL724">
        <v>0</v>
      </c>
      <c r="AM724">
        <v>0</v>
      </c>
      <c r="AN724">
        <v>0</v>
      </c>
      <c r="AO724">
        <v>0</v>
      </c>
      <c r="AP724">
        <v>0</v>
      </c>
      <c r="AQ724">
        <v>0</v>
      </c>
      <c r="AR724">
        <v>0</v>
      </c>
      <c r="AS724">
        <v>0</v>
      </c>
      <c r="AT724">
        <v>0</v>
      </c>
      <c r="AU724">
        <v>0</v>
      </c>
      <c r="AV724">
        <v>0</v>
      </c>
      <c r="AW724">
        <v>0</v>
      </c>
      <c r="AX724" s="141">
        <f>COUNTIF(V724:AW724,"&lt;&gt;0")</f>
        <v>1</v>
      </c>
      <c r="AY724" s="141">
        <f>COUNTIF(V724:AL724,"&lt;&gt;0")</f>
        <v>1</v>
      </c>
      <c r="AZ724">
        <f>COUNTIF(V724:AC724,"&lt;&gt;0")</f>
        <v>0</v>
      </c>
      <c r="BA724">
        <f>COUNTIF(AD724:AI724,"&lt;&gt;0")</f>
        <v>1</v>
      </c>
      <c r="BB724">
        <f>COUNTIF(AJ724:AL724,"&lt;&gt;0")</f>
        <v>0</v>
      </c>
      <c r="BC724">
        <f>COUNTIF(AS724:AW724,"&lt;&gt;0")</f>
        <v>0</v>
      </c>
      <c r="BD724">
        <f>COUNTIF(AM724:AR724,"&lt;&gt;0")</f>
        <v>0</v>
      </c>
      <c r="BE724" t="str">
        <f t="array" ref="BE724">IF(AY724=1,INDEX($V$7:$AL$7,MATCH(TRUE,INDEX($V724:$AW724&lt;&gt;0,),0)),IF(AY724=0,INDEX($AM$7:$AW$7,MATCH(1,$AM724:$AW724,0)),IF(BF724="Multiple strategies","mixed drivers",IF(BF724="Supply chain","multiple supply","multiple silviculture"))))</f>
        <v>supply chain organization</v>
      </c>
      <c r="BF724" s="2" t="str" cm="1">
        <f t="array" ref="BF724">IF(COUNTIF(AZ724:BB724,"&lt;&gt;0")=1,INDEX($V$4:$AW$4,MATCH(TRUE,INDEX($V724:$AW724&lt;&gt;0,),0)),IF(COUNTIF(AZ724:BB724,"&lt;&gt;0")=0,INDEX($AM$4:$AW$4,MATCH(1,$AM724:$AW724,0)),"Multiple strategies"))</f>
        <v>Supply chain</v>
      </c>
      <c r="BG724" s="1" t="s">
        <v>322</v>
      </c>
      <c r="BH724" t="s">
        <v>1860</v>
      </c>
      <c r="BI724" t="s">
        <v>613</v>
      </c>
      <c r="BJ724" t="s">
        <v>499</v>
      </c>
      <c r="BK724">
        <v>37563</v>
      </c>
      <c r="BL724">
        <v>41581</v>
      </c>
      <c r="BM724">
        <v>1.1069669621702207</v>
      </c>
      <c r="BN724">
        <f>BL724-BK724</f>
        <v>4018</v>
      </c>
      <c r="BO724">
        <f>BN724</f>
        <v>4018</v>
      </c>
      <c r="BP724" t="s">
        <v>396</v>
      </c>
      <c r="BQ724" t="s">
        <v>1861</v>
      </c>
      <c r="BR724" s="266" t="s">
        <v>3151</v>
      </c>
      <c r="BS724">
        <v>579</v>
      </c>
      <c r="BT724">
        <v>719</v>
      </c>
      <c r="BU724" s="144">
        <v>1.241796200345423</v>
      </c>
      <c r="BV724" s="152">
        <f>BT724-BS724</f>
        <v>140</v>
      </c>
      <c r="BX724">
        <f>BV724*10^6</f>
        <v>140000000</v>
      </c>
      <c r="BY724">
        <f>IFERROR(BX724/BO724,"")</f>
        <v>34843.205574912892</v>
      </c>
      <c r="BZ724">
        <v>0</v>
      </c>
      <c r="CA724">
        <v>0</v>
      </c>
      <c r="CB724">
        <v>0</v>
      </c>
      <c r="CC724">
        <v>0</v>
      </c>
      <c r="CD724">
        <v>0</v>
      </c>
      <c r="CE724">
        <v>0</v>
      </c>
      <c r="CF724">
        <v>0</v>
      </c>
      <c r="CG724">
        <v>0</v>
      </c>
      <c r="CH724">
        <v>0</v>
      </c>
      <c r="CI724">
        <v>0</v>
      </c>
      <c r="CJ724">
        <v>0</v>
      </c>
      <c r="CK724">
        <v>0</v>
      </c>
      <c r="CL724">
        <v>0</v>
      </c>
      <c r="CM724">
        <v>0</v>
      </c>
      <c r="CN724" t="str">
        <f>IF($BL724&lt;$BK724,"refNeedCorrection","refOK")</f>
        <v>refOK</v>
      </c>
      <c r="CO724">
        <f>IF($CN724="refOK",$BK724,$BL724)</f>
        <v>37563</v>
      </c>
      <c r="CP724">
        <f>IF($CN724="refOK",$BL724,$BK724)</f>
        <v>41581</v>
      </c>
      <c r="CQ724">
        <f>IF($CN724="refOK",$BO724,-$BO724)</f>
        <v>4018</v>
      </c>
      <c r="CR724">
        <f>IF($CN724="refOK",$BS724,$BT724)*IF($BP724="Emissions positive",-1,1)</f>
        <v>-579</v>
      </c>
      <c r="CS724">
        <f>IF($CN724="refOK",$BT724,$BS724)*IF($BP724="Emissions positive",-1,1)</f>
        <v>-719</v>
      </c>
      <c r="CT724">
        <f>IF($CN724="refNeedCorrection",-BX724,BX724)*IF($BP724="Emissions positive",-1,1)</f>
        <v>-140000000</v>
      </c>
      <c r="CU724">
        <f>IFERROR(CT724/CQ724,"")</f>
        <v>-34843.205574912892</v>
      </c>
      <c r="CV724" s="2">
        <f>IFERROR((CS724-CR724)/ABS(CR724),"")</f>
        <v>-0.24179620034542315</v>
      </c>
      <c r="CW724" s="1" t="s">
        <v>1205</v>
      </c>
      <c r="CX724" t="str">
        <f>IF(OR($CW724="prd",$CW724="std",$CW724="cit"),"loc",IF(OR($CW724="eur",$CW724="reg",$CW724="coy"),"reg",$CW724))</f>
        <v>reg</v>
      </c>
      <c r="CY724" t="s">
        <v>668</v>
      </c>
      <c r="CZ724">
        <v>0</v>
      </c>
      <c r="DA724">
        <v>0</v>
      </c>
      <c r="DB724">
        <v>0</v>
      </c>
      <c r="DC724" t="str">
        <f>IF(DB724=0,"0",IF(AND(DB724&gt;=1,DB724&lt;=30),"1-30",IF(AND(DB724&gt;30,DB724&lt;=70),"31-70",IF(AND(DB724&gt;70,DB724&lt;=100),"71-100",IF(DB724&gt;100,"+100")))))</f>
        <v>0</v>
      </c>
      <c r="DD724">
        <v>1</v>
      </c>
      <c r="DE724">
        <v>0</v>
      </c>
      <c r="DF724">
        <v>0</v>
      </c>
      <c r="DG724">
        <v>0</v>
      </c>
      <c r="DI724">
        <v>1</v>
      </c>
      <c r="DJ724" t="str">
        <f>IF(DI724=1,INDEX($DD$7:$DG$7,MATCH(1,$DD724:$DG724,0)),"mixedProduct")</f>
        <v>UpstreamInput</v>
      </c>
      <c r="DK724" t="str">
        <f>IF(DD724=1,DK$7,0)</f>
        <v>Upstream</v>
      </c>
      <c r="DL724">
        <f>IF(DE724=1,DL$7,0)</f>
        <v>0</v>
      </c>
      <c r="DM724">
        <f>IF(DF724=1,DM$7,0)</f>
        <v>0</v>
      </c>
      <c r="DN724">
        <f>IF(DG724=1,DN$7,0)</f>
        <v>0</v>
      </c>
      <c r="DO724">
        <v>0</v>
      </c>
      <c r="DP724">
        <v>0</v>
      </c>
      <c r="DQ724">
        <v>0</v>
      </c>
      <c r="DR724">
        <v>0</v>
      </c>
      <c r="DS724">
        <v>0</v>
      </c>
      <c r="DT724">
        <f>SUM(DO724:DP724)</f>
        <v>0</v>
      </c>
      <c r="DU724" s="143" t="s">
        <v>964</v>
      </c>
      <c r="DV724">
        <v>0</v>
      </c>
      <c r="DW724">
        <v>0</v>
      </c>
      <c r="DX724">
        <v>0</v>
      </c>
      <c r="DY724">
        <v>0</v>
      </c>
      <c r="DZ724">
        <v>0</v>
      </c>
      <c r="EA724" s="143">
        <v>0</v>
      </c>
      <c r="EB724">
        <v>1</v>
      </c>
      <c r="EC724">
        <v>0</v>
      </c>
      <c r="ED724">
        <v>0</v>
      </c>
      <c r="EE724">
        <v>0</v>
      </c>
      <c r="EF724">
        <v>0</v>
      </c>
      <c r="EG724">
        <v>0</v>
      </c>
      <c r="EH724">
        <v>0</v>
      </c>
      <c r="EI724" s="2">
        <v>0</v>
      </c>
      <c r="EK724" t="str">
        <f>IF(AND(AND(AND(OR($DX724=1,$DW724=1),OR($EC724=1,$EA724=1)),SUM($DV724:$DZ724,$EF724)&gt;=4),SUM($EA724:$EE724)&gt;=2),"Whole sector","")</f>
        <v/>
      </c>
      <c r="EL724" t="str">
        <f>IF(AND(AND(OR($DX724=1,$DW724=1),AND($EC724=0,$EA724=0)),SUM($DV724:$DZ724,$EF724)&gt;=4),"Ecosystem approach","")</f>
        <v/>
      </c>
      <c r="EM724" s="2" t="str">
        <f>IF(AND(AND(AND($DX724=0,$DW724=0),OR($EC724=1,$EA724=1)),SUM($EB724:$EE724)&gt;=2),"Technology approach","")</f>
        <v/>
      </c>
      <c r="EP724" t="str">
        <f>IF(ISNUMBER(BU724),IF(ABS(BU724-[2]QC_indicators!$B$2)&gt;3*[2]QC_indicators!$C$2,"C ratio",IF(ISNUMBER(BY724),IF(ABS(BY724-[2]QC_indicators!$B$1)&gt;3*[2]QC_indicators!$C$1,"DF","no"))),IF(ISNUMBER(BY724),IF(ABS(BY724-[2]QC_indicators!$B$1)&gt;3*[2]QC_indicators!$C$1,"DF","no")))</f>
        <v>DF</v>
      </c>
      <c r="ET724" s="266" t="s">
        <v>3152</v>
      </c>
    </row>
    <row r="725" spans="1:150" ht="15" hidden="1" customHeight="1">
      <c r="A725" s="1" t="s">
        <v>928</v>
      </c>
      <c r="B725" t="s">
        <v>1851</v>
      </c>
      <c r="C725" t="s">
        <v>1852</v>
      </c>
      <c r="D725" t="s">
        <v>1853</v>
      </c>
      <c r="E725" t="s">
        <v>1854</v>
      </c>
      <c r="F725" t="s">
        <v>1855</v>
      </c>
      <c r="G725" t="s">
        <v>934</v>
      </c>
      <c r="H725" t="s">
        <v>255</v>
      </c>
      <c r="I725">
        <v>2019</v>
      </c>
      <c r="J725">
        <v>8</v>
      </c>
      <c r="K725" t="s">
        <v>1856</v>
      </c>
      <c r="M725" t="str">
        <f>LEFT($D725,FIND(",",$D725)-1)&amp;"_"&amp;I725&amp;L725</f>
        <v>Kogler_2019</v>
      </c>
      <c r="N725" t="s">
        <v>2584</v>
      </c>
      <c r="O725" s="171" t="s">
        <v>514</v>
      </c>
      <c r="P725" t="s">
        <v>962</v>
      </c>
      <c r="Q725" t="s">
        <v>390</v>
      </c>
      <c r="R725" s="264" t="s">
        <v>224</v>
      </c>
      <c r="S725" s="1" t="s">
        <v>1869</v>
      </c>
      <c r="T725" t="s">
        <v>1859</v>
      </c>
      <c r="U725" t="s">
        <v>1867</v>
      </c>
      <c r="V725">
        <v>0</v>
      </c>
      <c r="W725">
        <v>0</v>
      </c>
      <c r="X725">
        <v>0</v>
      </c>
      <c r="Y725">
        <v>0</v>
      </c>
      <c r="Z725">
        <v>0</v>
      </c>
      <c r="AA725">
        <v>0</v>
      </c>
      <c r="AB725">
        <v>0</v>
      </c>
      <c r="AC725">
        <v>0</v>
      </c>
      <c r="AD725">
        <v>0</v>
      </c>
      <c r="AE725">
        <v>0</v>
      </c>
      <c r="AF725">
        <v>1</v>
      </c>
      <c r="AG725">
        <v>0</v>
      </c>
      <c r="AH725">
        <v>0</v>
      </c>
      <c r="AI725">
        <v>0</v>
      </c>
      <c r="AJ725">
        <v>0</v>
      </c>
      <c r="AK725">
        <v>0</v>
      </c>
      <c r="AL725">
        <v>0</v>
      </c>
      <c r="AM725">
        <v>0</v>
      </c>
      <c r="AN725">
        <v>0</v>
      </c>
      <c r="AO725">
        <v>0</v>
      </c>
      <c r="AP725">
        <v>0</v>
      </c>
      <c r="AQ725">
        <v>0</v>
      </c>
      <c r="AR725">
        <v>0</v>
      </c>
      <c r="AS725">
        <v>0</v>
      </c>
      <c r="AT725">
        <v>0</v>
      </c>
      <c r="AU725">
        <v>0</v>
      </c>
      <c r="AV725">
        <v>0</v>
      </c>
      <c r="AW725">
        <v>0</v>
      </c>
      <c r="AX725" s="141">
        <f>COUNTIF(V725:AW725,"&lt;&gt;0")</f>
        <v>1</v>
      </c>
      <c r="AY725" s="141">
        <f>COUNTIF(V725:AL725,"&lt;&gt;0")</f>
        <v>1</v>
      </c>
      <c r="AZ725">
        <f>COUNTIF(V725:AC725,"&lt;&gt;0")</f>
        <v>0</v>
      </c>
      <c r="BA725">
        <f>COUNTIF(AD725:AI725,"&lt;&gt;0")</f>
        <v>1</v>
      </c>
      <c r="BB725">
        <f>COUNTIF(AJ725:AL725,"&lt;&gt;0")</f>
        <v>0</v>
      </c>
      <c r="BC725">
        <f>COUNTIF(AS725:AW725,"&lt;&gt;0")</f>
        <v>0</v>
      </c>
      <c r="BD725">
        <f>COUNTIF(AM725:AR725,"&lt;&gt;0")</f>
        <v>0</v>
      </c>
      <c r="BE725" t="str">
        <f t="array" ref="BE725">IF(AY725=1,INDEX($V$7:$AL$7,MATCH(TRUE,INDEX($V725:$AW725&lt;&gt;0,),0)),IF(AY725=0,INDEX($AM$7:$AW$7,MATCH(1,$AM725:$AW725,0)),IF(BF725="Multiple strategies","mixed drivers",IF(BF725="Supply chain","multiple supply","multiple silviculture"))))</f>
        <v>supply chain organization</v>
      </c>
      <c r="BF725" s="2" t="str" cm="1">
        <f t="array" ref="BF725">IF(COUNTIF(AZ725:BB725,"&lt;&gt;0")=1,INDEX($V$4:$AW$4,MATCH(TRUE,INDEX($V725:$AW725&lt;&gt;0,),0)),IF(COUNTIF(AZ725:BB725,"&lt;&gt;0")=0,INDEX($AM$4:$AW$4,MATCH(1,$AM725:$AW725,0)),"Multiple strategies"))</f>
        <v>Supply chain</v>
      </c>
      <c r="BG725" s="1" t="s">
        <v>322</v>
      </c>
      <c r="BH725" t="s">
        <v>1860</v>
      </c>
      <c r="BI725" t="s">
        <v>613</v>
      </c>
      <c r="BJ725" t="s">
        <v>499</v>
      </c>
      <c r="BK725">
        <v>37563</v>
      </c>
      <c r="BL725">
        <v>39771</v>
      </c>
      <c r="BM725">
        <v>1.0587812475041929</v>
      </c>
      <c r="BN725">
        <f>BL725-BK725</f>
        <v>2208</v>
      </c>
      <c r="BO725">
        <f>BN725</f>
        <v>2208</v>
      </c>
      <c r="BP725" t="s">
        <v>396</v>
      </c>
      <c r="BQ725" t="s">
        <v>1861</v>
      </c>
      <c r="BR725" s="266" t="s">
        <v>3151</v>
      </c>
      <c r="BS725">
        <v>579</v>
      </c>
      <c r="BT725">
        <v>762</v>
      </c>
      <c r="BU725" s="144">
        <v>1.3160621761658031</v>
      </c>
      <c r="BV725" s="152">
        <f>BT725-BS725</f>
        <v>183</v>
      </c>
      <c r="BX725">
        <f>BV725*10^6</f>
        <v>183000000</v>
      </c>
      <c r="BY725">
        <f>IFERROR(BX725/BO725,"")</f>
        <v>82880.434782608689</v>
      </c>
      <c r="BZ725">
        <v>0</v>
      </c>
      <c r="CA725">
        <v>0</v>
      </c>
      <c r="CB725">
        <v>0</v>
      </c>
      <c r="CC725">
        <v>0</v>
      </c>
      <c r="CD725">
        <v>0</v>
      </c>
      <c r="CE725">
        <v>0</v>
      </c>
      <c r="CF725">
        <v>0</v>
      </c>
      <c r="CG725">
        <v>0</v>
      </c>
      <c r="CH725">
        <v>0</v>
      </c>
      <c r="CI725">
        <v>0</v>
      </c>
      <c r="CJ725">
        <v>0</v>
      </c>
      <c r="CK725">
        <v>0</v>
      </c>
      <c r="CL725">
        <v>0</v>
      </c>
      <c r="CM725">
        <v>0</v>
      </c>
      <c r="CN725" t="str">
        <f>IF($BL725&lt;$BK725,"refNeedCorrection","refOK")</f>
        <v>refOK</v>
      </c>
      <c r="CO725">
        <f>IF($CN725="refOK",$BK725,$BL725)</f>
        <v>37563</v>
      </c>
      <c r="CP725">
        <f>IF($CN725="refOK",$BL725,$BK725)</f>
        <v>39771</v>
      </c>
      <c r="CQ725">
        <f>IF($CN725="refOK",$BO725,-$BO725)</f>
        <v>2208</v>
      </c>
      <c r="CR725">
        <f>IF($CN725="refOK",$BS725,$BT725)*IF($BP725="Emissions positive",-1,1)</f>
        <v>-579</v>
      </c>
      <c r="CS725">
        <f>IF($CN725="refOK",$BT725,$BS725)*IF($BP725="Emissions positive",-1,1)</f>
        <v>-762</v>
      </c>
      <c r="CT725">
        <f>IF($CN725="refNeedCorrection",-BX725,BX725)*IF($BP725="Emissions positive",-1,1)</f>
        <v>-183000000</v>
      </c>
      <c r="CU725">
        <f>IFERROR(CT725/CQ725,"")</f>
        <v>-82880.434782608689</v>
      </c>
      <c r="CV725" s="2">
        <f>IFERROR((CS725-CR725)/ABS(CR725),"")</f>
        <v>-0.31606217616580312</v>
      </c>
      <c r="CW725" s="1" t="s">
        <v>1205</v>
      </c>
      <c r="CX725" t="str">
        <f>IF(OR($CW725="prd",$CW725="std",$CW725="cit"),"loc",IF(OR($CW725="eur",$CW725="reg",$CW725="coy"),"reg",$CW725))</f>
        <v>reg</v>
      </c>
      <c r="CY725" t="s">
        <v>668</v>
      </c>
      <c r="CZ725">
        <v>0</v>
      </c>
      <c r="DA725">
        <v>0</v>
      </c>
      <c r="DB725">
        <v>0</v>
      </c>
      <c r="DC725" t="str">
        <f>IF(DB725=0,"0",IF(AND(DB725&gt;=1,DB725&lt;=30),"1-30",IF(AND(DB725&gt;30,DB725&lt;=70),"31-70",IF(AND(DB725&gt;70,DB725&lt;=100),"71-100",IF(DB725&gt;100,"+100")))))</f>
        <v>0</v>
      </c>
      <c r="DD725">
        <v>1</v>
      </c>
      <c r="DE725">
        <v>0</v>
      </c>
      <c r="DF725">
        <v>0</v>
      </c>
      <c r="DG725">
        <v>0</v>
      </c>
      <c r="DI725">
        <v>1</v>
      </c>
      <c r="DJ725" t="str">
        <f>IF(DI725=1,INDEX($DD$7:$DG$7,MATCH(1,$DD725:$DG725,0)),"mixedProduct")</f>
        <v>UpstreamInput</v>
      </c>
      <c r="DK725" t="str">
        <f>IF(DD725=1,DK$7,0)</f>
        <v>Upstream</v>
      </c>
      <c r="DL725">
        <f>IF(DE725=1,DL$7,0)</f>
        <v>0</v>
      </c>
      <c r="DM725">
        <f>IF(DF725=1,DM$7,0)</f>
        <v>0</v>
      </c>
      <c r="DN725">
        <f>IF(DG725=1,DN$7,0)</f>
        <v>0</v>
      </c>
      <c r="DO725">
        <v>0</v>
      </c>
      <c r="DP725">
        <v>0</v>
      </c>
      <c r="DQ725">
        <v>0</v>
      </c>
      <c r="DR725">
        <v>0</v>
      </c>
      <c r="DS725">
        <v>0</v>
      </c>
      <c r="DT725">
        <f>SUM(DO725:DP725)</f>
        <v>0</v>
      </c>
      <c r="DU725" s="143" t="s">
        <v>964</v>
      </c>
      <c r="DV725">
        <v>0</v>
      </c>
      <c r="DW725">
        <v>0</v>
      </c>
      <c r="DX725">
        <v>0</v>
      </c>
      <c r="DY725">
        <v>0</v>
      </c>
      <c r="DZ725">
        <v>0</v>
      </c>
      <c r="EA725" s="143">
        <v>0</v>
      </c>
      <c r="EB725">
        <v>1</v>
      </c>
      <c r="EC725">
        <v>0</v>
      </c>
      <c r="ED725">
        <v>0</v>
      </c>
      <c r="EE725">
        <v>0</v>
      </c>
      <c r="EF725">
        <v>0</v>
      </c>
      <c r="EG725">
        <v>0</v>
      </c>
      <c r="EH725">
        <v>0</v>
      </c>
      <c r="EI725" s="2">
        <v>0</v>
      </c>
      <c r="EK725" t="str">
        <f>IF(AND(AND(AND(OR($DX725=1,$DW725=1),OR($EC725=1,$EA725=1)),SUM($DV725:$DZ725,$EF725)&gt;=4),SUM($EA725:$EE725)&gt;=2),"Whole sector","")</f>
        <v/>
      </c>
      <c r="EL725" t="str">
        <f>IF(AND(AND(OR($DX725=1,$DW725=1),AND($EC725=0,$EA725=0)),SUM($DV725:$DZ725,$EF725)&gt;=4),"Ecosystem approach","")</f>
        <v/>
      </c>
      <c r="EM725" s="2" t="str">
        <f>IF(AND(AND(AND($DX725=0,$DW725=0),OR($EC725=1,$EA725=1)),SUM($EB725:$EE725)&gt;=2),"Technology approach","")</f>
        <v/>
      </c>
      <c r="EP725" t="str">
        <f>IF(ISNUMBER(BU725),IF(ABS(BU725-[2]QC_indicators!$B$2)&gt;3*[2]QC_indicators!$C$2,"C ratio",IF(ISNUMBER(BY725),IF(ABS(BY725-[2]QC_indicators!$B$1)&gt;3*[2]QC_indicators!$C$1,"DF","no"))),IF(ISNUMBER(BY725),IF(ABS(BY725-[2]QC_indicators!$B$1)&gt;3*[2]QC_indicators!$C$1,"DF","no")))</f>
        <v>DF</v>
      </c>
      <c r="ET725" s="266" t="s">
        <v>3152</v>
      </c>
    </row>
    <row r="726" spans="1:150" ht="15" hidden="1" customHeight="1">
      <c r="A726" s="1" t="s">
        <v>928</v>
      </c>
      <c r="B726" t="s">
        <v>1851</v>
      </c>
      <c r="C726" t="s">
        <v>1852</v>
      </c>
      <c r="D726" t="s">
        <v>1853</v>
      </c>
      <c r="E726" t="s">
        <v>1854</v>
      </c>
      <c r="F726" t="s">
        <v>1855</v>
      </c>
      <c r="G726" t="s">
        <v>934</v>
      </c>
      <c r="H726" t="s">
        <v>255</v>
      </c>
      <c r="I726">
        <v>2019</v>
      </c>
      <c r="J726">
        <v>8</v>
      </c>
      <c r="K726" t="s">
        <v>1856</v>
      </c>
      <c r="M726" t="str">
        <f>LEFT($D726,FIND(",",$D726)-1)&amp;"_"&amp;I726&amp;L726</f>
        <v>Kogler_2019</v>
      </c>
      <c r="N726" t="s">
        <v>2584</v>
      </c>
      <c r="O726" s="171" t="s">
        <v>514</v>
      </c>
      <c r="P726" t="s">
        <v>962</v>
      </c>
      <c r="Q726" t="s">
        <v>390</v>
      </c>
      <c r="R726" s="264" t="s">
        <v>224</v>
      </c>
      <c r="S726" s="1" t="s">
        <v>1869</v>
      </c>
      <c r="T726" t="s">
        <v>1870</v>
      </c>
      <c r="U726" t="s">
        <v>1863</v>
      </c>
      <c r="V726">
        <v>0</v>
      </c>
      <c r="W726">
        <v>0</v>
      </c>
      <c r="X726">
        <v>0</v>
      </c>
      <c r="Y726">
        <v>0</v>
      </c>
      <c r="Z726">
        <v>0</v>
      </c>
      <c r="AA726">
        <v>0</v>
      </c>
      <c r="AB726">
        <v>0</v>
      </c>
      <c r="AC726">
        <v>0</v>
      </c>
      <c r="AD726">
        <v>0</v>
      </c>
      <c r="AE726">
        <v>0</v>
      </c>
      <c r="AF726">
        <v>1</v>
      </c>
      <c r="AG726">
        <v>0</v>
      </c>
      <c r="AH726">
        <v>0</v>
      </c>
      <c r="AI726">
        <v>0</v>
      </c>
      <c r="AJ726">
        <v>0</v>
      </c>
      <c r="AK726">
        <v>0</v>
      </c>
      <c r="AL726">
        <v>0</v>
      </c>
      <c r="AM726">
        <v>0</v>
      </c>
      <c r="AN726">
        <v>0</v>
      </c>
      <c r="AO726">
        <v>0</v>
      </c>
      <c r="AP726">
        <v>0</v>
      </c>
      <c r="AQ726">
        <v>0</v>
      </c>
      <c r="AR726">
        <v>0</v>
      </c>
      <c r="AS726">
        <v>0</v>
      </c>
      <c r="AT726">
        <v>0</v>
      </c>
      <c r="AU726">
        <v>0</v>
      </c>
      <c r="AV726">
        <v>0</v>
      </c>
      <c r="AW726">
        <v>0</v>
      </c>
      <c r="AX726" s="141">
        <f>COUNTIF(V726:AW726,"&lt;&gt;0")</f>
        <v>1</v>
      </c>
      <c r="AY726" s="141">
        <f>COUNTIF(V726:AL726,"&lt;&gt;0")</f>
        <v>1</v>
      </c>
      <c r="AZ726">
        <f>COUNTIF(V726:AC726,"&lt;&gt;0")</f>
        <v>0</v>
      </c>
      <c r="BA726">
        <f>COUNTIF(AD726:AI726,"&lt;&gt;0")</f>
        <v>1</v>
      </c>
      <c r="BB726">
        <f>COUNTIF(AJ726:AL726,"&lt;&gt;0")</f>
        <v>0</v>
      </c>
      <c r="BC726">
        <f>COUNTIF(AS726:AW726,"&lt;&gt;0")</f>
        <v>0</v>
      </c>
      <c r="BD726">
        <f>COUNTIF(AM726:AR726,"&lt;&gt;0")</f>
        <v>0</v>
      </c>
      <c r="BE726" t="str">
        <f t="array" ref="BE726">IF(AY726=1,INDEX($V$7:$AL$7,MATCH(TRUE,INDEX($V726:$AW726&lt;&gt;0,),0)),IF(AY726=0,INDEX($AM$7:$AW$7,MATCH(1,$AM726:$AW726,0)),IF(BF726="Multiple strategies","mixed drivers",IF(BF726="Supply chain","multiple supply","multiple silviculture"))))</f>
        <v>supply chain organization</v>
      </c>
      <c r="BF726" s="2" t="str" cm="1">
        <f t="array" ref="BF726">IF(COUNTIF(AZ726:BB726,"&lt;&gt;0")=1,INDEX($V$4:$AW$4,MATCH(TRUE,INDEX($V726:$AW726&lt;&gt;0,),0)),IF(COUNTIF(AZ726:BB726,"&lt;&gt;0")=0,INDEX($AM$4:$AW$4,MATCH(1,$AM726:$AW726,0)),"Multiple strategies"))</f>
        <v>Supply chain</v>
      </c>
      <c r="BG726" s="1" t="s">
        <v>322</v>
      </c>
      <c r="BH726" t="s">
        <v>1860</v>
      </c>
      <c r="BI726" t="s">
        <v>613</v>
      </c>
      <c r="BJ726" t="s">
        <v>499</v>
      </c>
      <c r="BK726">
        <v>37628</v>
      </c>
      <c r="BL726">
        <v>38360</v>
      </c>
      <c r="BM726">
        <v>1.0194535983841819</v>
      </c>
      <c r="BN726">
        <f>BL726-BK726</f>
        <v>732</v>
      </c>
      <c r="BO726">
        <f>BN726</f>
        <v>732</v>
      </c>
      <c r="BP726" t="s">
        <v>396</v>
      </c>
      <c r="BQ726" t="s">
        <v>1861</v>
      </c>
      <c r="BR726" s="266" t="s">
        <v>3151</v>
      </c>
      <c r="BS726">
        <v>721</v>
      </c>
      <c r="BT726">
        <v>665</v>
      </c>
      <c r="BU726" s="144">
        <v>0.92233009708737868</v>
      </c>
      <c r="BV726" s="152">
        <f>BT726-BS726</f>
        <v>-56</v>
      </c>
      <c r="BX726">
        <f>BV726*10^6</f>
        <v>-56000000</v>
      </c>
      <c r="BY726">
        <f>IFERROR(BX726/BO726,"")</f>
        <v>-76502.732240437152</v>
      </c>
      <c r="BZ726">
        <v>0</v>
      </c>
      <c r="CA726">
        <v>0</v>
      </c>
      <c r="CB726">
        <v>0</v>
      </c>
      <c r="CC726">
        <v>0</v>
      </c>
      <c r="CD726">
        <v>0</v>
      </c>
      <c r="CE726">
        <v>0</v>
      </c>
      <c r="CF726">
        <v>0</v>
      </c>
      <c r="CG726">
        <v>0</v>
      </c>
      <c r="CH726">
        <v>0</v>
      </c>
      <c r="CI726">
        <v>0</v>
      </c>
      <c r="CJ726">
        <v>0</v>
      </c>
      <c r="CK726">
        <v>0</v>
      </c>
      <c r="CL726">
        <v>0</v>
      </c>
      <c r="CM726">
        <v>0</v>
      </c>
      <c r="CN726" t="str">
        <f>IF($BL726&lt;$BK726,"refNeedCorrection","refOK")</f>
        <v>refOK</v>
      </c>
      <c r="CO726">
        <f>IF($CN726="refOK",$BK726,$BL726)</f>
        <v>37628</v>
      </c>
      <c r="CP726">
        <f>IF($CN726="refOK",$BL726,$BK726)</f>
        <v>38360</v>
      </c>
      <c r="CQ726">
        <f>IF($CN726="refOK",$BO726,-$BO726)</f>
        <v>732</v>
      </c>
      <c r="CR726">
        <f>IF($CN726="refOK",$BS726,$BT726)*IF($BP726="Emissions positive",-1,1)</f>
        <v>-721</v>
      </c>
      <c r="CS726">
        <f>IF($CN726="refOK",$BT726,$BS726)*IF($BP726="Emissions positive",-1,1)</f>
        <v>-665</v>
      </c>
      <c r="CT726">
        <f>IF($CN726="refNeedCorrection",-BX726,BX726)*IF($BP726="Emissions positive",-1,1)</f>
        <v>56000000</v>
      </c>
      <c r="CU726">
        <f>IFERROR(CT726/CQ726,"")</f>
        <v>76502.732240437152</v>
      </c>
      <c r="CV726" s="2">
        <f>IFERROR((CS726-CR726)/ABS(CR726),"")</f>
        <v>7.7669902912621352E-2</v>
      </c>
      <c r="CW726" s="1" t="s">
        <v>1205</v>
      </c>
      <c r="CX726" t="str">
        <f>IF(OR($CW726="prd",$CW726="std",$CW726="cit"),"loc",IF(OR($CW726="eur",$CW726="reg",$CW726="coy"),"reg",$CW726))</f>
        <v>reg</v>
      </c>
      <c r="CY726" t="s">
        <v>668</v>
      </c>
      <c r="CZ726">
        <v>0</v>
      </c>
      <c r="DA726">
        <v>0</v>
      </c>
      <c r="DB726">
        <v>0</v>
      </c>
      <c r="DC726" t="str">
        <f>IF(DB726=0,"0",IF(AND(DB726&gt;=1,DB726&lt;=30),"1-30",IF(AND(DB726&gt;30,DB726&lt;=70),"31-70",IF(AND(DB726&gt;70,DB726&lt;=100),"71-100",IF(DB726&gt;100,"+100")))))</f>
        <v>0</v>
      </c>
      <c r="DD726">
        <v>1</v>
      </c>
      <c r="DE726">
        <v>0</v>
      </c>
      <c r="DF726">
        <v>0</v>
      </c>
      <c r="DG726">
        <v>0</v>
      </c>
      <c r="DI726">
        <v>1</v>
      </c>
      <c r="DJ726" t="str">
        <f>IF(DI726=1,INDEX($DD$7:$DG$7,MATCH(1,$DD726:$DG726,0)),"mixedProduct")</f>
        <v>UpstreamInput</v>
      </c>
      <c r="DK726" t="str">
        <f>IF(DD726=1,DK$7,0)</f>
        <v>Upstream</v>
      </c>
      <c r="DL726">
        <f>IF(DE726=1,DL$7,0)</f>
        <v>0</v>
      </c>
      <c r="DM726">
        <f>IF(DF726=1,DM$7,0)</f>
        <v>0</v>
      </c>
      <c r="DN726">
        <f>IF(DG726=1,DN$7,0)</f>
        <v>0</v>
      </c>
      <c r="DO726">
        <v>0</v>
      </c>
      <c r="DP726">
        <v>0</v>
      </c>
      <c r="DQ726">
        <v>0</v>
      </c>
      <c r="DR726">
        <v>0</v>
      </c>
      <c r="DS726">
        <v>0</v>
      </c>
      <c r="DT726">
        <f>SUM(DO726:DP726)</f>
        <v>0</v>
      </c>
      <c r="DU726" s="143" t="s">
        <v>964</v>
      </c>
      <c r="DV726">
        <v>0</v>
      </c>
      <c r="DW726">
        <v>0</v>
      </c>
      <c r="DX726">
        <v>0</v>
      </c>
      <c r="DY726">
        <v>0</v>
      </c>
      <c r="DZ726">
        <v>0</v>
      </c>
      <c r="EA726" s="143">
        <v>0</v>
      </c>
      <c r="EB726">
        <v>1</v>
      </c>
      <c r="EC726">
        <v>0</v>
      </c>
      <c r="ED726">
        <v>0</v>
      </c>
      <c r="EE726">
        <v>0</v>
      </c>
      <c r="EF726">
        <v>0</v>
      </c>
      <c r="EG726">
        <v>0</v>
      </c>
      <c r="EH726">
        <v>0</v>
      </c>
      <c r="EI726" s="2">
        <v>0</v>
      </c>
      <c r="EK726" t="str">
        <f>IF(AND(AND(AND(OR($DX726=1,$DW726=1),OR($EC726=1,$EA726=1)),SUM($DV726:$DZ726,$EF726)&gt;=4),SUM($EA726:$EE726)&gt;=2),"Whole sector","")</f>
        <v/>
      </c>
      <c r="EL726" t="str">
        <f>IF(AND(AND(OR($DX726=1,$DW726=1),AND($EC726=0,$EA726=0)),SUM($DV726:$DZ726,$EF726)&gt;=4),"Ecosystem approach","")</f>
        <v/>
      </c>
      <c r="EM726" s="2" t="str">
        <f>IF(AND(AND(AND($DX726=0,$DW726=0),OR($EC726=1,$EA726=1)),SUM($EB726:$EE726)&gt;=2),"Technology approach","")</f>
        <v/>
      </c>
      <c r="EP726" t="str">
        <f>IF(ISNUMBER(BU726),IF(ABS(BU726-[2]QC_indicators!$B$2)&gt;3*[2]QC_indicators!$C$2,"C ratio",IF(ISNUMBER(BY726),IF(ABS(BY726-[2]QC_indicators!$B$1)&gt;3*[2]QC_indicators!$C$1,"DF","no"))),IF(ISNUMBER(BY726),IF(ABS(BY726-[2]QC_indicators!$B$1)&gt;3*[2]QC_indicators!$C$1,"DF","no")))</f>
        <v>DF</v>
      </c>
      <c r="ET726" s="266" t="s">
        <v>3152</v>
      </c>
    </row>
    <row r="727" spans="1:150" ht="15" hidden="1" customHeight="1">
      <c r="A727" s="1" t="s">
        <v>928</v>
      </c>
      <c r="B727" t="s">
        <v>1851</v>
      </c>
      <c r="C727" t="s">
        <v>1852</v>
      </c>
      <c r="D727" t="s">
        <v>1853</v>
      </c>
      <c r="E727" t="s">
        <v>1854</v>
      </c>
      <c r="F727" t="s">
        <v>1855</v>
      </c>
      <c r="G727" t="s">
        <v>934</v>
      </c>
      <c r="H727" t="s">
        <v>255</v>
      </c>
      <c r="I727">
        <v>2019</v>
      </c>
      <c r="J727">
        <v>8</v>
      </c>
      <c r="K727" t="s">
        <v>1856</v>
      </c>
      <c r="M727" t="str">
        <f>LEFT($D727,FIND(",",$D727)-1)&amp;"_"&amp;I727&amp;L727</f>
        <v>Kogler_2019</v>
      </c>
      <c r="N727" t="s">
        <v>2584</v>
      </c>
      <c r="O727" s="171" t="s">
        <v>514</v>
      </c>
      <c r="P727" t="s">
        <v>962</v>
      </c>
      <c r="Q727" t="s">
        <v>390</v>
      </c>
      <c r="R727" s="264" t="s">
        <v>224</v>
      </c>
      <c r="S727" s="1" t="s">
        <v>1869</v>
      </c>
      <c r="T727" t="s">
        <v>1867</v>
      </c>
      <c r="U727" t="s">
        <v>1864</v>
      </c>
      <c r="V727">
        <v>0</v>
      </c>
      <c r="W727">
        <v>0</v>
      </c>
      <c r="X727">
        <v>0</v>
      </c>
      <c r="Y727">
        <v>0</v>
      </c>
      <c r="Z727">
        <v>0</v>
      </c>
      <c r="AA727">
        <v>0</v>
      </c>
      <c r="AB727">
        <v>0</v>
      </c>
      <c r="AC727">
        <v>0</v>
      </c>
      <c r="AD727">
        <v>0</v>
      </c>
      <c r="AE727">
        <v>0</v>
      </c>
      <c r="AF727">
        <v>1</v>
      </c>
      <c r="AG727">
        <v>0</v>
      </c>
      <c r="AH727">
        <v>0</v>
      </c>
      <c r="AI727">
        <v>0</v>
      </c>
      <c r="AJ727">
        <v>0</v>
      </c>
      <c r="AK727">
        <v>0</v>
      </c>
      <c r="AL727">
        <v>0</v>
      </c>
      <c r="AM727">
        <v>0</v>
      </c>
      <c r="AN727">
        <v>0</v>
      </c>
      <c r="AO727">
        <v>0</v>
      </c>
      <c r="AP727">
        <v>0</v>
      </c>
      <c r="AQ727">
        <v>0</v>
      </c>
      <c r="AR727">
        <v>0</v>
      </c>
      <c r="AS727">
        <v>0</v>
      </c>
      <c r="AT727">
        <v>0</v>
      </c>
      <c r="AU727">
        <v>0</v>
      </c>
      <c r="AV727">
        <v>0</v>
      </c>
      <c r="AW727">
        <v>0</v>
      </c>
      <c r="AX727" s="141">
        <f>COUNTIF(V727:AW727,"&lt;&gt;0")</f>
        <v>1</v>
      </c>
      <c r="AY727" s="141">
        <f>COUNTIF(V727:AL727,"&lt;&gt;0")</f>
        <v>1</v>
      </c>
      <c r="AZ727">
        <f>COUNTIF(V727:AC727,"&lt;&gt;0")</f>
        <v>0</v>
      </c>
      <c r="BA727">
        <f>COUNTIF(AD727:AI727,"&lt;&gt;0")</f>
        <v>1</v>
      </c>
      <c r="BB727">
        <f>COUNTIF(AJ727:AL727,"&lt;&gt;0")</f>
        <v>0</v>
      </c>
      <c r="BC727">
        <f>COUNTIF(AS727:AW727,"&lt;&gt;0")</f>
        <v>0</v>
      </c>
      <c r="BD727">
        <f>COUNTIF(AM727:AR727,"&lt;&gt;0")</f>
        <v>0</v>
      </c>
      <c r="BE727" t="str">
        <f t="array" ref="BE727">IF(AY727=1,INDEX($V$7:$AL$7,MATCH(TRUE,INDEX($V727:$AW727&lt;&gt;0,),0)),IF(AY727=0,INDEX($AM$7:$AW$7,MATCH(1,$AM727:$AW727,0)),IF(BF727="Multiple strategies","mixed drivers",IF(BF727="Supply chain","multiple supply","multiple silviculture"))))</f>
        <v>supply chain organization</v>
      </c>
      <c r="BF727" s="2" t="str" cm="1">
        <f t="array" ref="BF727">IF(COUNTIF(AZ727:BB727,"&lt;&gt;0")=1,INDEX($V$4:$AW$4,MATCH(TRUE,INDEX($V727:$AW727&lt;&gt;0,),0)),IF(COUNTIF(AZ727:BB727,"&lt;&gt;0")=0,INDEX($AM$4:$AW$4,MATCH(1,$AM727:$AW727,0)),"Multiple strategies"))</f>
        <v>Supply chain</v>
      </c>
      <c r="BG727" s="1" t="s">
        <v>322</v>
      </c>
      <c r="BH727" t="s">
        <v>1860</v>
      </c>
      <c r="BI727" t="s">
        <v>613</v>
      </c>
      <c r="BJ727" t="s">
        <v>499</v>
      </c>
      <c r="BK727">
        <v>39771</v>
      </c>
      <c r="BL727">
        <v>41581</v>
      </c>
      <c r="BM727">
        <v>1.0455105478866511</v>
      </c>
      <c r="BN727">
        <f>BL727-BK727</f>
        <v>1810</v>
      </c>
      <c r="BO727">
        <f>BN727</f>
        <v>1810</v>
      </c>
      <c r="BP727" t="s">
        <v>396</v>
      </c>
      <c r="BQ727" t="s">
        <v>1861</v>
      </c>
      <c r="BR727" s="266" t="s">
        <v>3151</v>
      </c>
      <c r="BS727">
        <v>762</v>
      </c>
      <c r="BT727">
        <v>719</v>
      </c>
      <c r="BU727" s="144">
        <v>0.94356955380577423</v>
      </c>
      <c r="BV727" s="152">
        <f>BT727-BS727</f>
        <v>-43</v>
      </c>
      <c r="BX727">
        <f>BV727*10^6</f>
        <v>-43000000</v>
      </c>
      <c r="BY727">
        <f>IFERROR(BX727/BO727,"")</f>
        <v>-23756.906077348067</v>
      </c>
      <c r="BZ727">
        <v>0</v>
      </c>
      <c r="CA727">
        <v>0</v>
      </c>
      <c r="CB727">
        <v>0</v>
      </c>
      <c r="CC727">
        <v>0</v>
      </c>
      <c r="CD727">
        <v>0</v>
      </c>
      <c r="CE727">
        <v>0</v>
      </c>
      <c r="CF727">
        <v>0</v>
      </c>
      <c r="CG727">
        <v>0</v>
      </c>
      <c r="CH727">
        <v>0</v>
      </c>
      <c r="CI727">
        <v>0</v>
      </c>
      <c r="CJ727">
        <v>0</v>
      </c>
      <c r="CK727">
        <v>0</v>
      </c>
      <c r="CL727">
        <v>0</v>
      </c>
      <c r="CM727">
        <v>0</v>
      </c>
      <c r="CN727" t="str">
        <f>IF($BL727&lt;$BK727,"refNeedCorrection","refOK")</f>
        <v>refOK</v>
      </c>
      <c r="CO727">
        <f>IF($CN727="refOK",$BK727,$BL727)</f>
        <v>39771</v>
      </c>
      <c r="CP727">
        <f>IF($CN727="refOK",$BL727,$BK727)</f>
        <v>41581</v>
      </c>
      <c r="CQ727">
        <f>IF($CN727="refOK",$BO727,-$BO727)</f>
        <v>1810</v>
      </c>
      <c r="CR727">
        <f>IF($CN727="refOK",$BS727,$BT727)*IF($BP727="Emissions positive",-1,1)</f>
        <v>-762</v>
      </c>
      <c r="CS727">
        <f>IF($CN727="refOK",$BT727,$BS727)*IF($BP727="Emissions positive",-1,1)</f>
        <v>-719</v>
      </c>
      <c r="CT727">
        <f>IF($CN727="refNeedCorrection",-BX727,BX727)*IF($BP727="Emissions positive",-1,1)</f>
        <v>43000000</v>
      </c>
      <c r="CU727">
        <f>IFERROR(CT727/CQ727,"")</f>
        <v>23756.906077348067</v>
      </c>
      <c r="CV727" s="2">
        <f>IFERROR((CS727-CR727)/ABS(CR727),"")</f>
        <v>5.6430446194225721E-2</v>
      </c>
      <c r="CW727" s="1" t="s">
        <v>1205</v>
      </c>
      <c r="CX727" t="str">
        <f>IF(OR($CW727="prd",$CW727="std",$CW727="cit"),"loc",IF(OR($CW727="eur",$CW727="reg",$CW727="coy"),"reg",$CW727))</f>
        <v>reg</v>
      </c>
      <c r="CY727" t="s">
        <v>668</v>
      </c>
      <c r="CZ727">
        <v>0</v>
      </c>
      <c r="DA727">
        <v>0</v>
      </c>
      <c r="DB727">
        <v>0</v>
      </c>
      <c r="DC727" t="str">
        <f>IF(DB727=0,"0",IF(AND(DB727&gt;=1,DB727&lt;=30),"1-30",IF(AND(DB727&gt;30,DB727&lt;=70),"31-70",IF(AND(DB727&gt;70,DB727&lt;=100),"71-100",IF(DB727&gt;100,"+100")))))</f>
        <v>0</v>
      </c>
      <c r="DD727">
        <v>1</v>
      </c>
      <c r="DE727">
        <v>0</v>
      </c>
      <c r="DF727">
        <v>0</v>
      </c>
      <c r="DG727">
        <v>0</v>
      </c>
      <c r="DI727">
        <v>1</v>
      </c>
      <c r="DJ727" t="str">
        <f>IF(DI727=1,INDEX($DD$7:$DG$7,MATCH(1,$DD727:$DG727,0)),"mixedProduct")</f>
        <v>UpstreamInput</v>
      </c>
      <c r="DK727" t="str">
        <f>IF(DD727=1,DK$7,0)</f>
        <v>Upstream</v>
      </c>
      <c r="DL727">
        <f>IF(DE727=1,DL$7,0)</f>
        <v>0</v>
      </c>
      <c r="DM727">
        <f>IF(DF727=1,DM$7,0)</f>
        <v>0</v>
      </c>
      <c r="DN727">
        <f>IF(DG727=1,DN$7,0)</f>
        <v>0</v>
      </c>
      <c r="DO727">
        <v>0</v>
      </c>
      <c r="DP727">
        <v>0</v>
      </c>
      <c r="DQ727">
        <v>0</v>
      </c>
      <c r="DR727">
        <v>0</v>
      </c>
      <c r="DS727">
        <v>0</v>
      </c>
      <c r="DT727">
        <f>SUM(DO727:DP727)</f>
        <v>0</v>
      </c>
      <c r="DU727" s="143" t="s">
        <v>964</v>
      </c>
      <c r="DV727">
        <v>0</v>
      </c>
      <c r="DW727">
        <v>0</v>
      </c>
      <c r="DX727">
        <v>0</v>
      </c>
      <c r="DY727">
        <v>0</v>
      </c>
      <c r="DZ727">
        <v>0</v>
      </c>
      <c r="EA727" s="143">
        <v>0</v>
      </c>
      <c r="EB727">
        <v>1</v>
      </c>
      <c r="EC727">
        <v>0</v>
      </c>
      <c r="ED727">
        <v>0</v>
      </c>
      <c r="EE727">
        <v>0</v>
      </c>
      <c r="EF727">
        <v>0</v>
      </c>
      <c r="EG727">
        <v>0</v>
      </c>
      <c r="EH727">
        <v>0</v>
      </c>
      <c r="EI727" s="2">
        <v>0</v>
      </c>
      <c r="EK727" t="str">
        <f>IF(AND(AND(AND(OR($DX727=1,$DW727=1),OR($EC727=1,$EA727=1)),SUM($DV727:$DZ727,$EF727)&gt;=4),SUM($EA727:$EE727)&gt;=2),"Whole sector","")</f>
        <v/>
      </c>
      <c r="EL727" t="str">
        <f>IF(AND(AND(OR($DX727=1,$DW727=1),AND($EC727=0,$EA727=0)),SUM($DV727:$DZ727,$EF727)&gt;=4),"Ecosystem approach","")</f>
        <v/>
      </c>
      <c r="EM727" s="2" t="str">
        <f>IF(AND(AND(AND($DX727=0,$DW727=0),OR($EC727=1,$EA727=1)),SUM($EB727:$EE727)&gt;=2),"Technology approach","")</f>
        <v/>
      </c>
      <c r="EP727" t="str">
        <f>IF(ISNUMBER(BU727),IF(ABS(BU727-[2]QC_indicators!$B$2)&gt;3*[2]QC_indicators!$C$2,"C ratio",IF(ISNUMBER(BY727),IF(ABS(BY727-[2]QC_indicators!$B$1)&gt;3*[2]QC_indicators!$C$1,"DF","no"))),IF(ISNUMBER(BY727),IF(ABS(BY727-[2]QC_indicators!$B$1)&gt;3*[2]QC_indicators!$C$1,"DF","no")))</f>
        <v>DF</v>
      </c>
      <c r="ET727" s="266" t="s">
        <v>3152</v>
      </c>
    </row>
    <row r="728" spans="1:150" ht="15" hidden="1" customHeight="1">
      <c r="A728" s="1" t="s">
        <v>928</v>
      </c>
      <c r="B728" t="s">
        <v>1851</v>
      </c>
      <c r="C728" t="s">
        <v>1852</v>
      </c>
      <c r="D728" t="s">
        <v>1853</v>
      </c>
      <c r="E728" t="s">
        <v>1854</v>
      </c>
      <c r="F728" t="s">
        <v>1855</v>
      </c>
      <c r="G728" t="s">
        <v>934</v>
      </c>
      <c r="H728" t="s">
        <v>255</v>
      </c>
      <c r="I728">
        <v>2019</v>
      </c>
      <c r="J728">
        <v>8</v>
      </c>
      <c r="K728" t="s">
        <v>1856</v>
      </c>
      <c r="M728" t="str">
        <f>LEFT($D728,FIND(",",$D728)-1)&amp;"_"&amp;I728&amp;L728</f>
        <v>Kogler_2019</v>
      </c>
      <c r="N728" t="s">
        <v>2584</v>
      </c>
      <c r="O728" s="171" t="s">
        <v>514</v>
      </c>
      <c r="P728" t="s">
        <v>962</v>
      </c>
      <c r="Q728" t="s">
        <v>390</v>
      </c>
      <c r="R728" s="264" t="s">
        <v>224</v>
      </c>
      <c r="S728" s="1" t="s">
        <v>1869</v>
      </c>
      <c r="T728" t="s">
        <v>1868</v>
      </c>
      <c r="U728" t="s">
        <v>1862</v>
      </c>
      <c r="V728">
        <v>0</v>
      </c>
      <c r="W728">
        <v>0</v>
      </c>
      <c r="X728">
        <v>0</v>
      </c>
      <c r="Y728">
        <v>0</v>
      </c>
      <c r="Z728">
        <v>0</v>
      </c>
      <c r="AA728">
        <v>0</v>
      </c>
      <c r="AB728">
        <v>0</v>
      </c>
      <c r="AC728">
        <v>0</v>
      </c>
      <c r="AD728">
        <v>0</v>
      </c>
      <c r="AE728">
        <v>0</v>
      </c>
      <c r="AF728">
        <v>1</v>
      </c>
      <c r="AG728">
        <v>0</v>
      </c>
      <c r="AH728">
        <v>0</v>
      </c>
      <c r="AI728">
        <v>0</v>
      </c>
      <c r="AJ728">
        <v>0</v>
      </c>
      <c r="AK728">
        <v>0</v>
      </c>
      <c r="AL728">
        <v>0</v>
      </c>
      <c r="AM728">
        <v>0</v>
      </c>
      <c r="AN728">
        <v>0</v>
      </c>
      <c r="AO728">
        <v>0</v>
      </c>
      <c r="AP728">
        <v>0</v>
      </c>
      <c r="AQ728">
        <v>0</v>
      </c>
      <c r="AR728">
        <v>0</v>
      </c>
      <c r="AS728">
        <v>0</v>
      </c>
      <c r="AT728">
        <v>0</v>
      </c>
      <c r="AU728">
        <v>0</v>
      </c>
      <c r="AV728">
        <v>0</v>
      </c>
      <c r="AW728">
        <v>0</v>
      </c>
      <c r="AX728" s="141">
        <f>COUNTIF(V728:AW728,"&lt;&gt;0")</f>
        <v>1</v>
      </c>
      <c r="AY728" s="141">
        <f>COUNTIF(V728:AL728,"&lt;&gt;0")</f>
        <v>1</v>
      </c>
      <c r="AZ728">
        <f>COUNTIF(V728:AC728,"&lt;&gt;0")</f>
        <v>0</v>
      </c>
      <c r="BA728">
        <f>COUNTIF(AD728:AI728,"&lt;&gt;0")</f>
        <v>1</v>
      </c>
      <c r="BB728">
        <f>COUNTIF(AJ728:AL728,"&lt;&gt;0")</f>
        <v>0</v>
      </c>
      <c r="BC728">
        <f>COUNTIF(AS728:AW728,"&lt;&gt;0")</f>
        <v>0</v>
      </c>
      <c r="BD728">
        <f>COUNTIF(AM728:AR728,"&lt;&gt;0")</f>
        <v>0</v>
      </c>
      <c r="BE728" t="str">
        <f t="array" ref="BE728">IF(AY728=1,INDEX($V$7:$AL$7,MATCH(TRUE,INDEX($V728:$AW728&lt;&gt;0,),0)),IF(AY728=0,INDEX($AM$7:$AW$7,MATCH(1,$AM728:$AW728,0)),IF(BF728="Multiple strategies","mixed drivers",IF(BF728="Supply chain","multiple supply","multiple silviculture"))))</f>
        <v>supply chain organization</v>
      </c>
      <c r="BF728" s="2" t="str" cm="1">
        <f t="array" ref="BF728">IF(COUNTIF(AZ728:BB728,"&lt;&gt;0")=1,INDEX($V$4:$AW$4,MATCH(TRUE,INDEX($V728:$AW728&lt;&gt;0,),0)),IF(COUNTIF(AZ728:BB728,"&lt;&gt;0")=0,INDEX($AM$4:$AW$4,MATCH(1,$AM728:$AW728,0)),"Multiple strategies"))</f>
        <v>Supply chain</v>
      </c>
      <c r="BG728" s="1" t="s">
        <v>322</v>
      </c>
      <c r="BH728" t="s">
        <v>1860</v>
      </c>
      <c r="BI728" t="s">
        <v>613</v>
      </c>
      <c r="BJ728" t="s">
        <v>499</v>
      </c>
      <c r="BK728">
        <v>75469</v>
      </c>
      <c r="BL728">
        <v>80258</v>
      </c>
      <c r="BM728">
        <v>1.0634565185705389</v>
      </c>
      <c r="BN728">
        <f>BL728-BK728</f>
        <v>4789</v>
      </c>
      <c r="BO728">
        <f>BN728</f>
        <v>4789</v>
      </c>
      <c r="BP728" t="s">
        <v>396</v>
      </c>
      <c r="BQ728" t="s">
        <v>1861</v>
      </c>
      <c r="BR728" s="266" t="s">
        <v>3151</v>
      </c>
      <c r="BS728">
        <v>1447</v>
      </c>
      <c r="BT728">
        <v>1270</v>
      </c>
      <c r="BU728" s="144">
        <v>0.8776779543883898</v>
      </c>
      <c r="BV728" s="152">
        <f>BT728-BS728</f>
        <v>-177</v>
      </c>
      <c r="BX728">
        <f>BV728*10^6</f>
        <v>-177000000</v>
      </c>
      <c r="BY728">
        <f>IFERROR(BX728/BO728,"")</f>
        <v>-36959.699310920863</v>
      </c>
      <c r="BZ728">
        <v>0</v>
      </c>
      <c r="CA728">
        <v>0</v>
      </c>
      <c r="CB728">
        <v>0</v>
      </c>
      <c r="CC728">
        <v>0</v>
      </c>
      <c r="CD728">
        <v>0</v>
      </c>
      <c r="CE728">
        <v>0</v>
      </c>
      <c r="CF728">
        <v>0</v>
      </c>
      <c r="CG728">
        <v>0</v>
      </c>
      <c r="CH728">
        <v>0</v>
      </c>
      <c r="CI728">
        <v>0</v>
      </c>
      <c r="CJ728">
        <v>0</v>
      </c>
      <c r="CK728">
        <v>0</v>
      </c>
      <c r="CL728">
        <v>0</v>
      </c>
      <c r="CM728">
        <v>0</v>
      </c>
      <c r="CN728" t="str">
        <f>IF($BL728&lt;$BK728,"refNeedCorrection","refOK")</f>
        <v>refOK</v>
      </c>
      <c r="CO728">
        <f>IF($CN728="refOK",$BK728,$BL728)</f>
        <v>75469</v>
      </c>
      <c r="CP728">
        <f>IF($CN728="refOK",$BL728,$BK728)</f>
        <v>80258</v>
      </c>
      <c r="CQ728">
        <f>IF($CN728="refOK",$BO728,-$BO728)</f>
        <v>4789</v>
      </c>
      <c r="CR728">
        <f>IF($CN728="refOK",$BS728,$BT728)*IF($BP728="Emissions positive",-1,1)</f>
        <v>-1447</v>
      </c>
      <c r="CS728">
        <f>IF($CN728="refOK",$BT728,$BS728)*IF($BP728="Emissions positive",-1,1)</f>
        <v>-1270</v>
      </c>
      <c r="CT728">
        <f>IF($CN728="refNeedCorrection",-BX728,BX728)*IF($BP728="Emissions positive",-1,1)</f>
        <v>177000000</v>
      </c>
      <c r="CU728">
        <f>IFERROR(CT728/CQ728,"")</f>
        <v>36959.699310920863</v>
      </c>
      <c r="CV728" s="2">
        <f>IFERROR((CS728-CR728)/ABS(CR728),"")</f>
        <v>0.12232204561161023</v>
      </c>
      <c r="CW728" s="1" t="s">
        <v>1205</v>
      </c>
      <c r="CX728" t="str">
        <f>IF(OR($CW728="prd",$CW728="std",$CW728="cit"),"loc",IF(OR($CW728="eur",$CW728="reg",$CW728="coy"),"reg",$CW728))</f>
        <v>reg</v>
      </c>
      <c r="CY728" t="s">
        <v>668</v>
      </c>
      <c r="CZ728">
        <v>0</v>
      </c>
      <c r="DA728">
        <v>0</v>
      </c>
      <c r="DB728">
        <v>0</v>
      </c>
      <c r="DC728" t="str">
        <f>IF(DB728=0,"0",IF(AND(DB728&gt;=1,DB728&lt;=30),"1-30",IF(AND(DB728&gt;30,DB728&lt;=70),"31-70",IF(AND(DB728&gt;70,DB728&lt;=100),"71-100",IF(DB728&gt;100,"+100")))))</f>
        <v>0</v>
      </c>
      <c r="DD728">
        <v>1</v>
      </c>
      <c r="DE728">
        <v>0</v>
      </c>
      <c r="DF728">
        <v>0</v>
      </c>
      <c r="DG728">
        <v>0</v>
      </c>
      <c r="DI728">
        <v>1</v>
      </c>
      <c r="DJ728" t="str">
        <f>IF(DI728=1,INDEX($DD$7:$DG$7,MATCH(1,$DD728:$DG728,0)),"mixedProduct")</f>
        <v>UpstreamInput</v>
      </c>
      <c r="DK728" t="str">
        <f>IF(DD728=1,DK$7,0)</f>
        <v>Upstream</v>
      </c>
      <c r="DL728">
        <f>IF(DE728=1,DL$7,0)</f>
        <v>0</v>
      </c>
      <c r="DM728">
        <f>IF(DF728=1,DM$7,0)</f>
        <v>0</v>
      </c>
      <c r="DN728">
        <f>IF(DG728=1,DN$7,0)</f>
        <v>0</v>
      </c>
      <c r="DO728">
        <v>0</v>
      </c>
      <c r="DP728">
        <v>0</v>
      </c>
      <c r="DQ728">
        <v>0</v>
      </c>
      <c r="DR728">
        <v>0</v>
      </c>
      <c r="DS728">
        <v>0</v>
      </c>
      <c r="DT728">
        <f>SUM(DO728:DP728)</f>
        <v>0</v>
      </c>
      <c r="DU728" s="143" t="s">
        <v>964</v>
      </c>
      <c r="DV728">
        <v>0</v>
      </c>
      <c r="DW728">
        <v>0</v>
      </c>
      <c r="DX728">
        <v>0</v>
      </c>
      <c r="DY728">
        <v>0</v>
      </c>
      <c r="DZ728">
        <v>0</v>
      </c>
      <c r="EA728" s="143">
        <v>0</v>
      </c>
      <c r="EB728">
        <v>1</v>
      </c>
      <c r="EC728">
        <v>0</v>
      </c>
      <c r="ED728">
        <v>0</v>
      </c>
      <c r="EE728">
        <v>0</v>
      </c>
      <c r="EF728">
        <v>0</v>
      </c>
      <c r="EG728">
        <v>0</v>
      </c>
      <c r="EH728">
        <v>0</v>
      </c>
      <c r="EI728" s="2">
        <v>0</v>
      </c>
      <c r="EK728" t="str">
        <f>IF(AND(AND(AND(OR($DX728=1,$DW728=1),OR($EC728=1,$EA728=1)),SUM($DV728:$DZ728,$EF728)&gt;=4),SUM($EA728:$EE728)&gt;=2),"Whole sector","")</f>
        <v/>
      </c>
      <c r="EL728" t="str">
        <f>IF(AND(AND(OR($DX728=1,$DW728=1),AND($EC728=0,$EA728=0)),SUM($DV728:$DZ728,$EF728)&gt;=4),"Ecosystem approach","")</f>
        <v/>
      </c>
      <c r="EM728" s="2" t="str">
        <f>IF(AND(AND(AND($DX728=0,$DW728=0),OR($EC728=1,$EA728=1)),SUM($EB728:$EE728)&gt;=2),"Technology approach","")</f>
        <v/>
      </c>
      <c r="EP728" t="str">
        <f>IF(ISNUMBER(BU728),IF(ABS(BU728-[2]QC_indicators!$B$2)&gt;3*[2]QC_indicators!$C$2,"C ratio",IF(ISNUMBER(BY728),IF(ABS(BY728-[2]QC_indicators!$B$1)&gt;3*[2]QC_indicators!$C$1,"DF","no"))),IF(ISNUMBER(BY728),IF(ABS(BY728-[2]QC_indicators!$B$1)&gt;3*[2]QC_indicators!$C$1,"DF","no")))</f>
        <v>DF</v>
      </c>
      <c r="ET728" s="266" t="s">
        <v>3152</v>
      </c>
    </row>
    <row r="729" spans="1:150" ht="15" hidden="1" customHeight="1">
      <c r="A729" s="1" t="s">
        <v>928</v>
      </c>
      <c r="B729" t="s">
        <v>1851</v>
      </c>
      <c r="C729" t="s">
        <v>1852</v>
      </c>
      <c r="D729" t="s">
        <v>1853</v>
      </c>
      <c r="E729" t="s">
        <v>1854</v>
      </c>
      <c r="F729" t="s">
        <v>1855</v>
      </c>
      <c r="G729" t="s">
        <v>934</v>
      </c>
      <c r="H729" t="s">
        <v>255</v>
      </c>
      <c r="I729">
        <v>2019</v>
      </c>
      <c r="J729">
        <v>8</v>
      </c>
      <c r="K729" t="s">
        <v>1856</v>
      </c>
      <c r="M729" t="str">
        <f>LEFT($D729,FIND(",",$D729)-1)&amp;"_"&amp;I729&amp;L729</f>
        <v>Kogler_2019</v>
      </c>
      <c r="N729" t="s">
        <v>2584</v>
      </c>
      <c r="O729" s="171" t="s">
        <v>514</v>
      </c>
      <c r="P729" t="s">
        <v>962</v>
      </c>
      <c r="Q729" t="s">
        <v>390</v>
      </c>
      <c r="R729" s="264" t="s">
        <v>224</v>
      </c>
      <c r="S729" s="1" t="s">
        <v>1869</v>
      </c>
      <c r="T729" t="s">
        <v>1868</v>
      </c>
      <c r="U729" t="s">
        <v>1865</v>
      </c>
      <c r="V729">
        <v>0</v>
      </c>
      <c r="W729">
        <v>0</v>
      </c>
      <c r="X729">
        <v>0</v>
      </c>
      <c r="Y729">
        <v>0</v>
      </c>
      <c r="Z729">
        <v>0</v>
      </c>
      <c r="AA729">
        <v>0</v>
      </c>
      <c r="AB729">
        <v>0</v>
      </c>
      <c r="AC729">
        <v>0</v>
      </c>
      <c r="AD729">
        <v>0</v>
      </c>
      <c r="AE729">
        <v>0</v>
      </c>
      <c r="AF729">
        <v>1</v>
      </c>
      <c r="AG729">
        <v>0</v>
      </c>
      <c r="AH729">
        <v>0</v>
      </c>
      <c r="AI729">
        <v>0</v>
      </c>
      <c r="AJ729">
        <v>0</v>
      </c>
      <c r="AK729">
        <v>0</v>
      </c>
      <c r="AL729">
        <v>0</v>
      </c>
      <c r="AM729">
        <v>0</v>
      </c>
      <c r="AN729">
        <v>0</v>
      </c>
      <c r="AO729">
        <v>0</v>
      </c>
      <c r="AP729">
        <v>0</v>
      </c>
      <c r="AQ729">
        <v>0</v>
      </c>
      <c r="AR729">
        <v>0</v>
      </c>
      <c r="AS729">
        <v>0</v>
      </c>
      <c r="AT729">
        <v>0</v>
      </c>
      <c r="AU729">
        <v>0</v>
      </c>
      <c r="AV729">
        <v>0</v>
      </c>
      <c r="AW729">
        <v>0</v>
      </c>
      <c r="AX729" s="141">
        <f>COUNTIF(V729:AW729,"&lt;&gt;0")</f>
        <v>1</v>
      </c>
      <c r="AY729" s="141">
        <f>COUNTIF(V729:AL729,"&lt;&gt;0")</f>
        <v>1</v>
      </c>
      <c r="AZ729">
        <f>COUNTIF(V729:AC729,"&lt;&gt;0")</f>
        <v>0</v>
      </c>
      <c r="BA729">
        <f>COUNTIF(AD729:AI729,"&lt;&gt;0")</f>
        <v>1</v>
      </c>
      <c r="BB729">
        <f>COUNTIF(AJ729:AL729,"&lt;&gt;0")</f>
        <v>0</v>
      </c>
      <c r="BC729">
        <f>COUNTIF(AS729:AW729,"&lt;&gt;0")</f>
        <v>0</v>
      </c>
      <c r="BD729">
        <f>COUNTIF(AM729:AR729,"&lt;&gt;0")</f>
        <v>0</v>
      </c>
      <c r="BE729" t="str">
        <f t="array" ref="BE729">IF(AY729=1,INDEX($V$7:$AL$7,MATCH(TRUE,INDEX($V729:$AW729&lt;&gt;0,),0)),IF(AY729=0,INDEX($AM$7:$AW$7,MATCH(1,$AM729:$AW729,0)),IF(BF729="Multiple strategies","mixed drivers",IF(BF729="Supply chain","multiple supply","multiple silviculture"))))</f>
        <v>supply chain organization</v>
      </c>
      <c r="BF729" s="2" t="str" cm="1">
        <f t="array" ref="BF729">IF(COUNTIF(AZ729:BB729,"&lt;&gt;0")=1,INDEX($V$4:$AW$4,MATCH(TRUE,INDEX($V729:$AW729&lt;&gt;0,),0)),IF(COUNTIF(AZ729:BB729,"&lt;&gt;0")=0,INDEX($AM$4:$AW$4,MATCH(1,$AM729:$AW729,0)),"Multiple strategies"))</f>
        <v>Supply chain</v>
      </c>
      <c r="BG729" s="1" t="s">
        <v>322</v>
      </c>
      <c r="BH729" t="s">
        <v>1860</v>
      </c>
      <c r="BI729" t="s">
        <v>613</v>
      </c>
      <c r="BJ729" t="s">
        <v>499</v>
      </c>
      <c r="BK729">
        <v>75469</v>
      </c>
      <c r="BL729">
        <v>86651</v>
      </c>
      <c r="BM729">
        <v>1.1481667969629914</v>
      </c>
      <c r="BN729">
        <f>BL729-BK729</f>
        <v>11182</v>
      </c>
      <c r="BO729">
        <f>BN729</f>
        <v>11182</v>
      </c>
      <c r="BP729" t="s">
        <v>396</v>
      </c>
      <c r="BQ729" t="s">
        <v>1861</v>
      </c>
      <c r="BR729" s="266" t="s">
        <v>3151</v>
      </c>
      <c r="BS729">
        <v>1447</v>
      </c>
      <c r="BT729">
        <v>1500</v>
      </c>
      <c r="BU729" s="144">
        <v>1.0366275051831375</v>
      </c>
      <c r="BV729" s="152">
        <f>BT729-BS729</f>
        <v>53</v>
      </c>
      <c r="BX729">
        <f>BV729*10^6</f>
        <v>53000000</v>
      </c>
      <c r="BY729">
        <f>IFERROR(BX729/BO729,"")</f>
        <v>4739.7603291003397</v>
      </c>
      <c r="BZ729">
        <v>0</v>
      </c>
      <c r="CA729">
        <v>0</v>
      </c>
      <c r="CB729">
        <v>0</v>
      </c>
      <c r="CC729">
        <v>0</v>
      </c>
      <c r="CD729">
        <v>0</v>
      </c>
      <c r="CE729">
        <v>0</v>
      </c>
      <c r="CF729">
        <v>0</v>
      </c>
      <c r="CG729">
        <v>0</v>
      </c>
      <c r="CH729">
        <v>0</v>
      </c>
      <c r="CI729">
        <v>0</v>
      </c>
      <c r="CJ729">
        <v>0</v>
      </c>
      <c r="CK729">
        <v>0</v>
      </c>
      <c r="CL729">
        <v>0</v>
      </c>
      <c r="CM729">
        <v>0</v>
      </c>
      <c r="CN729" t="str">
        <f>IF($BL729&lt;$BK729,"refNeedCorrection","refOK")</f>
        <v>refOK</v>
      </c>
      <c r="CO729">
        <f>IF($CN729="refOK",$BK729,$BL729)</f>
        <v>75469</v>
      </c>
      <c r="CP729">
        <f>IF($CN729="refOK",$BL729,$BK729)</f>
        <v>86651</v>
      </c>
      <c r="CQ729">
        <f>IF($CN729="refOK",$BO729,-$BO729)</f>
        <v>11182</v>
      </c>
      <c r="CR729">
        <f>IF($CN729="refOK",$BS729,$BT729)*IF($BP729="Emissions positive",-1,1)</f>
        <v>-1447</v>
      </c>
      <c r="CS729">
        <f>IF($CN729="refOK",$BT729,$BS729)*IF($BP729="Emissions positive",-1,1)</f>
        <v>-1500</v>
      </c>
      <c r="CT729">
        <f>IF($CN729="refNeedCorrection",-BX729,BX729)*IF($BP729="Emissions positive",-1,1)</f>
        <v>-53000000</v>
      </c>
      <c r="CU729">
        <f>IFERROR(CT729/CQ729,"")</f>
        <v>-4739.7603291003397</v>
      </c>
      <c r="CV729" s="2">
        <f>IFERROR((CS729-CR729)/ABS(CR729),"")</f>
        <v>-3.6627505183137524E-2</v>
      </c>
      <c r="CW729" s="1" t="s">
        <v>1205</v>
      </c>
      <c r="CX729" t="str">
        <f>IF(OR($CW729="prd",$CW729="std",$CW729="cit"),"loc",IF(OR($CW729="eur",$CW729="reg",$CW729="coy"),"reg",$CW729))</f>
        <v>reg</v>
      </c>
      <c r="CY729" t="s">
        <v>668</v>
      </c>
      <c r="CZ729">
        <v>0</v>
      </c>
      <c r="DA729">
        <v>0</v>
      </c>
      <c r="DB729">
        <v>0</v>
      </c>
      <c r="DC729" t="str">
        <f>IF(DB729=0,"0",IF(AND(DB729&gt;=1,DB729&lt;=30),"1-30",IF(AND(DB729&gt;30,DB729&lt;=70),"31-70",IF(AND(DB729&gt;70,DB729&lt;=100),"71-100",IF(DB729&gt;100,"+100")))))</f>
        <v>0</v>
      </c>
      <c r="DD729">
        <v>1</v>
      </c>
      <c r="DE729">
        <v>0</v>
      </c>
      <c r="DF729">
        <v>0</v>
      </c>
      <c r="DG729">
        <v>0</v>
      </c>
      <c r="DI729">
        <v>1</v>
      </c>
      <c r="DJ729" t="str">
        <f>IF(DI729=1,INDEX($DD$7:$DG$7,MATCH(1,$DD729:$DG729,0)),"mixedProduct")</f>
        <v>UpstreamInput</v>
      </c>
      <c r="DK729" t="str">
        <f>IF(DD729=1,DK$7,0)</f>
        <v>Upstream</v>
      </c>
      <c r="DL729">
        <f>IF(DE729=1,DL$7,0)</f>
        <v>0</v>
      </c>
      <c r="DM729">
        <f>IF(DF729=1,DM$7,0)</f>
        <v>0</v>
      </c>
      <c r="DN729">
        <f>IF(DG729=1,DN$7,0)</f>
        <v>0</v>
      </c>
      <c r="DO729">
        <v>0</v>
      </c>
      <c r="DP729">
        <v>0</v>
      </c>
      <c r="DQ729">
        <v>0</v>
      </c>
      <c r="DR729">
        <v>0</v>
      </c>
      <c r="DS729">
        <v>0</v>
      </c>
      <c r="DT729">
        <f>SUM(DO729:DP729)</f>
        <v>0</v>
      </c>
      <c r="DU729" s="143" t="s">
        <v>964</v>
      </c>
      <c r="DV729">
        <v>0</v>
      </c>
      <c r="DW729">
        <v>0</v>
      </c>
      <c r="DX729">
        <v>0</v>
      </c>
      <c r="DY729">
        <v>0</v>
      </c>
      <c r="DZ729">
        <v>0</v>
      </c>
      <c r="EA729" s="143">
        <v>0</v>
      </c>
      <c r="EB729">
        <v>1</v>
      </c>
      <c r="EC729">
        <v>0</v>
      </c>
      <c r="ED729">
        <v>0</v>
      </c>
      <c r="EE729">
        <v>0</v>
      </c>
      <c r="EF729">
        <v>0</v>
      </c>
      <c r="EG729">
        <v>0</v>
      </c>
      <c r="EH729">
        <v>0</v>
      </c>
      <c r="EI729" s="2">
        <v>0</v>
      </c>
      <c r="EK729" t="str">
        <f>IF(AND(AND(AND(OR($DX729=1,$DW729=1),OR($EC729=1,$EA729=1)),SUM($DV729:$DZ729,$EF729)&gt;=4),SUM($EA729:$EE729)&gt;=2),"Whole sector","")</f>
        <v/>
      </c>
      <c r="EL729" t="str">
        <f>IF(AND(AND(OR($DX729=1,$DW729=1),AND($EC729=0,$EA729=0)),SUM($DV729:$DZ729,$EF729)&gt;=4),"Ecosystem approach","")</f>
        <v/>
      </c>
      <c r="EM729" s="2" t="str">
        <f>IF(AND(AND(AND($DX729=0,$DW729=0),OR($EC729=1,$EA729=1)),SUM($EB729:$EE729)&gt;=2),"Technology approach","")</f>
        <v/>
      </c>
      <c r="EP729" t="str">
        <f>IF(ISNUMBER(BU729),IF(ABS(BU729-[2]QC_indicators!$B$2)&gt;3*[2]QC_indicators!$C$2,"C ratio",IF(ISNUMBER(BY729),IF(ABS(BY729-[2]QC_indicators!$B$1)&gt;3*[2]QC_indicators!$C$1,"DF","no"))),IF(ISNUMBER(BY729),IF(ABS(BY729-[2]QC_indicators!$B$1)&gt;3*[2]QC_indicators!$C$1,"DF","no")))</f>
        <v>no</v>
      </c>
      <c r="ET729" s="266" t="s">
        <v>3152</v>
      </c>
    </row>
    <row r="730" spans="1:150" ht="15" hidden="1" customHeight="1">
      <c r="A730" s="1" t="s">
        <v>928</v>
      </c>
      <c r="B730" t="s">
        <v>1851</v>
      </c>
      <c r="C730" t="s">
        <v>1852</v>
      </c>
      <c r="D730" t="s">
        <v>1853</v>
      </c>
      <c r="E730" t="s">
        <v>1854</v>
      </c>
      <c r="F730" t="s">
        <v>1855</v>
      </c>
      <c r="G730" t="s">
        <v>934</v>
      </c>
      <c r="H730" t="s">
        <v>255</v>
      </c>
      <c r="I730">
        <v>2019</v>
      </c>
      <c r="J730">
        <v>8</v>
      </c>
      <c r="K730" t="s">
        <v>1856</v>
      </c>
      <c r="M730" t="str">
        <f>LEFT($D730,FIND(",",$D730)-1)&amp;"_"&amp;I730&amp;L730</f>
        <v>Kogler_2019</v>
      </c>
      <c r="N730" t="s">
        <v>2584</v>
      </c>
      <c r="O730" s="171" t="s">
        <v>514</v>
      </c>
      <c r="P730" t="s">
        <v>962</v>
      </c>
      <c r="Q730" t="s">
        <v>390</v>
      </c>
      <c r="R730" s="264" t="s">
        <v>224</v>
      </c>
      <c r="S730" s="1" t="s">
        <v>1869</v>
      </c>
      <c r="T730" t="s">
        <v>1862</v>
      </c>
      <c r="U730" t="s">
        <v>1865</v>
      </c>
      <c r="V730">
        <v>0</v>
      </c>
      <c r="W730">
        <v>0</v>
      </c>
      <c r="X730">
        <v>0</v>
      </c>
      <c r="Y730">
        <v>0</v>
      </c>
      <c r="Z730">
        <v>0</v>
      </c>
      <c r="AA730">
        <v>0</v>
      </c>
      <c r="AB730">
        <v>0</v>
      </c>
      <c r="AC730">
        <v>0</v>
      </c>
      <c r="AD730">
        <v>0</v>
      </c>
      <c r="AE730">
        <v>0</v>
      </c>
      <c r="AF730">
        <v>1</v>
      </c>
      <c r="AG730">
        <v>0</v>
      </c>
      <c r="AH730">
        <v>0</v>
      </c>
      <c r="AI730">
        <v>0</v>
      </c>
      <c r="AJ730">
        <v>0</v>
      </c>
      <c r="AK730">
        <v>0</v>
      </c>
      <c r="AL730">
        <v>0</v>
      </c>
      <c r="AM730">
        <v>0</v>
      </c>
      <c r="AN730">
        <v>0</v>
      </c>
      <c r="AO730">
        <v>0</v>
      </c>
      <c r="AP730">
        <v>0</v>
      </c>
      <c r="AQ730">
        <v>0</v>
      </c>
      <c r="AR730">
        <v>0</v>
      </c>
      <c r="AS730">
        <v>0</v>
      </c>
      <c r="AT730">
        <v>0</v>
      </c>
      <c r="AU730">
        <v>0</v>
      </c>
      <c r="AV730">
        <v>0</v>
      </c>
      <c r="AW730">
        <v>0</v>
      </c>
      <c r="AX730" s="141">
        <f>COUNTIF(V730:AW730,"&lt;&gt;0")</f>
        <v>1</v>
      </c>
      <c r="AY730" s="141">
        <f>COUNTIF(V730:AL730,"&lt;&gt;0")</f>
        <v>1</v>
      </c>
      <c r="AZ730">
        <f>COUNTIF(V730:AC730,"&lt;&gt;0")</f>
        <v>0</v>
      </c>
      <c r="BA730">
        <f>COUNTIF(AD730:AI730,"&lt;&gt;0")</f>
        <v>1</v>
      </c>
      <c r="BB730">
        <f>COUNTIF(AJ730:AL730,"&lt;&gt;0")</f>
        <v>0</v>
      </c>
      <c r="BC730">
        <f>COUNTIF(AS730:AW730,"&lt;&gt;0")</f>
        <v>0</v>
      </c>
      <c r="BD730">
        <f>COUNTIF(AM730:AR730,"&lt;&gt;0")</f>
        <v>0</v>
      </c>
      <c r="BE730" t="str">
        <f t="array" ref="BE730">IF(AY730=1,INDEX($V$7:$AL$7,MATCH(TRUE,INDEX($V730:$AW730&lt;&gt;0,),0)),IF(AY730=0,INDEX($AM$7:$AW$7,MATCH(1,$AM730:$AW730,0)),IF(BF730="Multiple strategies","mixed drivers",IF(BF730="Supply chain","multiple supply","multiple silviculture"))))</f>
        <v>supply chain organization</v>
      </c>
      <c r="BF730" s="2" t="str" cm="1">
        <f t="array" ref="BF730">IF(COUNTIF(AZ730:BB730,"&lt;&gt;0")=1,INDEX($V$4:$AW$4,MATCH(TRUE,INDEX($V730:$AW730&lt;&gt;0,),0)),IF(COUNTIF(AZ730:BB730,"&lt;&gt;0")=0,INDEX($AM$4:$AW$4,MATCH(1,$AM730:$AW730,0)),"Multiple strategies"))</f>
        <v>Supply chain</v>
      </c>
      <c r="BG730" s="1" t="s">
        <v>322</v>
      </c>
      <c r="BH730" t="s">
        <v>1860</v>
      </c>
      <c r="BI730" t="s">
        <v>613</v>
      </c>
      <c r="BJ730" t="s">
        <v>499</v>
      </c>
      <c r="BK730">
        <v>80258</v>
      </c>
      <c r="BL730">
        <v>86651</v>
      </c>
      <c r="BM730">
        <v>1.0796556106556356</v>
      </c>
      <c r="BN730">
        <f>BL730-BK730</f>
        <v>6393</v>
      </c>
      <c r="BO730">
        <f>BN730</f>
        <v>6393</v>
      </c>
      <c r="BP730" t="s">
        <v>396</v>
      </c>
      <c r="BQ730" t="s">
        <v>1861</v>
      </c>
      <c r="BR730" s="266" t="s">
        <v>3151</v>
      </c>
      <c r="BS730">
        <v>1270</v>
      </c>
      <c r="BT730">
        <v>1500</v>
      </c>
      <c r="BU730" s="144">
        <v>1.1811023622047243</v>
      </c>
      <c r="BV730" s="152">
        <f>BT730-BS730</f>
        <v>230</v>
      </c>
      <c r="BX730">
        <f>BV730*10^6</f>
        <v>230000000</v>
      </c>
      <c r="BY730">
        <f>IFERROR(BX730/BO730,"")</f>
        <v>35976.849679336774</v>
      </c>
      <c r="BZ730">
        <v>0</v>
      </c>
      <c r="CA730">
        <v>0</v>
      </c>
      <c r="CB730">
        <v>0</v>
      </c>
      <c r="CC730">
        <v>0</v>
      </c>
      <c r="CD730">
        <v>0</v>
      </c>
      <c r="CE730">
        <v>0</v>
      </c>
      <c r="CF730">
        <v>0</v>
      </c>
      <c r="CG730">
        <v>0</v>
      </c>
      <c r="CH730">
        <v>0</v>
      </c>
      <c r="CI730">
        <v>0</v>
      </c>
      <c r="CJ730">
        <v>0</v>
      </c>
      <c r="CK730">
        <v>0</v>
      </c>
      <c r="CL730">
        <v>0</v>
      </c>
      <c r="CM730">
        <v>0</v>
      </c>
      <c r="CN730" t="str">
        <f>IF($BL730&lt;$BK730,"refNeedCorrection","refOK")</f>
        <v>refOK</v>
      </c>
      <c r="CO730">
        <f>IF($CN730="refOK",$BK730,$BL730)</f>
        <v>80258</v>
      </c>
      <c r="CP730">
        <f>IF($CN730="refOK",$BL730,$BK730)</f>
        <v>86651</v>
      </c>
      <c r="CQ730">
        <f>IF($CN730="refOK",$BO730,-$BO730)</f>
        <v>6393</v>
      </c>
      <c r="CR730">
        <f>IF($CN730="refOK",$BS730,$BT730)*IF($BP730="Emissions positive",-1,1)</f>
        <v>-1270</v>
      </c>
      <c r="CS730">
        <f>IF($CN730="refOK",$BT730,$BS730)*IF($BP730="Emissions positive",-1,1)</f>
        <v>-1500</v>
      </c>
      <c r="CT730">
        <f>IF($CN730="refNeedCorrection",-BX730,BX730)*IF($BP730="Emissions positive",-1,1)</f>
        <v>-230000000</v>
      </c>
      <c r="CU730">
        <f>IFERROR(CT730/CQ730,"")</f>
        <v>-35976.849679336774</v>
      </c>
      <c r="CV730" s="2">
        <f>IFERROR((CS730-CR730)/ABS(CR730),"")</f>
        <v>-0.18110236220472442</v>
      </c>
      <c r="CW730" s="1" t="s">
        <v>1205</v>
      </c>
      <c r="CX730" t="str">
        <f>IF(OR($CW730="prd",$CW730="std",$CW730="cit"),"loc",IF(OR($CW730="eur",$CW730="reg",$CW730="coy"),"reg",$CW730))</f>
        <v>reg</v>
      </c>
      <c r="CY730" t="s">
        <v>668</v>
      </c>
      <c r="CZ730">
        <v>0</v>
      </c>
      <c r="DA730">
        <v>0</v>
      </c>
      <c r="DB730">
        <v>0</v>
      </c>
      <c r="DC730" t="str">
        <f>IF(DB730=0,"0",IF(AND(DB730&gt;=1,DB730&lt;=30),"1-30",IF(AND(DB730&gt;30,DB730&lt;=70),"31-70",IF(AND(DB730&gt;70,DB730&lt;=100),"71-100",IF(DB730&gt;100,"+100")))))</f>
        <v>0</v>
      </c>
      <c r="DD730">
        <v>1</v>
      </c>
      <c r="DE730">
        <v>0</v>
      </c>
      <c r="DF730">
        <v>0</v>
      </c>
      <c r="DG730">
        <v>0</v>
      </c>
      <c r="DI730">
        <v>1</v>
      </c>
      <c r="DJ730" t="str">
        <f>IF(DI730=1,INDEX($DD$7:$DG$7,MATCH(1,$DD730:$DG730,0)),"mixedProduct")</f>
        <v>UpstreamInput</v>
      </c>
      <c r="DK730" t="str">
        <f>IF(DD730=1,DK$7,0)</f>
        <v>Upstream</v>
      </c>
      <c r="DL730">
        <f>IF(DE730=1,DL$7,0)</f>
        <v>0</v>
      </c>
      <c r="DM730">
        <f>IF(DF730=1,DM$7,0)</f>
        <v>0</v>
      </c>
      <c r="DN730">
        <f>IF(DG730=1,DN$7,0)</f>
        <v>0</v>
      </c>
      <c r="DO730">
        <v>0</v>
      </c>
      <c r="DP730">
        <v>0</v>
      </c>
      <c r="DQ730">
        <v>0</v>
      </c>
      <c r="DR730">
        <v>0</v>
      </c>
      <c r="DS730">
        <v>0</v>
      </c>
      <c r="DT730">
        <f>SUM(DO730:DP730)</f>
        <v>0</v>
      </c>
      <c r="DU730" s="143" t="s">
        <v>964</v>
      </c>
      <c r="DV730">
        <v>0</v>
      </c>
      <c r="DW730">
        <v>0</v>
      </c>
      <c r="DX730">
        <v>0</v>
      </c>
      <c r="DY730">
        <v>0</v>
      </c>
      <c r="DZ730">
        <v>0</v>
      </c>
      <c r="EA730" s="143">
        <v>0</v>
      </c>
      <c r="EB730">
        <v>1</v>
      </c>
      <c r="EC730">
        <v>0</v>
      </c>
      <c r="ED730">
        <v>0</v>
      </c>
      <c r="EE730">
        <v>0</v>
      </c>
      <c r="EF730">
        <v>0</v>
      </c>
      <c r="EG730">
        <v>0</v>
      </c>
      <c r="EH730">
        <v>0</v>
      </c>
      <c r="EI730" s="2">
        <v>0</v>
      </c>
      <c r="EK730" t="str">
        <f>IF(AND(AND(AND(OR($DX730=1,$DW730=1),OR($EC730=1,$EA730=1)),SUM($DV730:$DZ730,$EF730)&gt;=4),SUM($EA730:$EE730)&gt;=2),"Whole sector","")</f>
        <v/>
      </c>
      <c r="EL730" t="str">
        <f>IF(AND(AND(OR($DX730=1,$DW730=1),AND($EC730=0,$EA730=0)),SUM($DV730:$DZ730,$EF730)&gt;=4),"Ecosystem approach","")</f>
        <v/>
      </c>
      <c r="EM730" s="2" t="str">
        <f>IF(AND(AND(AND($DX730=0,$DW730=0),OR($EC730=1,$EA730=1)),SUM($EB730:$EE730)&gt;=2),"Technology approach","")</f>
        <v/>
      </c>
      <c r="EP730" t="str">
        <f>IF(ISNUMBER(BU730),IF(ABS(BU730-[2]QC_indicators!$B$2)&gt;3*[2]QC_indicators!$C$2,"C ratio",IF(ISNUMBER(BY730),IF(ABS(BY730-[2]QC_indicators!$B$1)&gt;3*[2]QC_indicators!$C$1,"DF","no"))),IF(ISNUMBER(BY730),IF(ABS(BY730-[2]QC_indicators!$B$1)&gt;3*[2]QC_indicators!$C$1,"DF","no")))</f>
        <v>DF</v>
      </c>
      <c r="ET730" s="266" t="s">
        <v>3152</v>
      </c>
    </row>
    <row r="731" spans="1:150" ht="15" hidden="1" customHeight="1">
      <c r="A731" s="1" t="s">
        <v>816</v>
      </c>
      <c r="B731" t="s">
        <v>817</v>
      </c>
      <c r="C731" t="s">
        <v>818</v>
      </c>
      <c r="D731" t="s">
        <v>819</v>
      </c>
      <c r="E731" t="s">
        <v>820</v>
      </c>
      <c r="F731" t="s">
        <v>821</v>
      </c>
      <c r="G731" t="s">
        <v>181</v>
      </c>
      <c r="H731" t="s">
        <v>255</v>
      </c>
      <c r="I731">
        <v>2018</v>
      </c>
      <c r="J731">
        <v>14</v>
      </c>
      <c r="K731" t="s">
        <v>822</v>
      </c>
      <c r="M731" t="str">
        <f>LEFT($D731,FIND(",",$D731)-1)&amp;"_"&amp;I731&amp;L731</f>
        <v>Karlsson_2018</v>
      </c>
      <c r="N731" t="s">
        <v>223</v>
      </c>
      <c r="O731" s="145" t="s">
        <v>514</v>
      </c>
      <c r="Q731" t="s">
        <v>257</v>
      </c>
      <c r="R731" s="264" t="s">
        <v>224</v>
      </c>
      <c r="S731" s="1" t="s">
        <v>823</v>
      </c>
      <c r="T731" t="s">
        <v>824</v>
      </c>
      <c r="U731" t="s">
        <v>825</v>
      </c>
      <c r="V731">
        <v>0</v>
      </c>
      <c r="W731">
        <v>0</v>
      </c>
      <c r="X731">
        <v>0</v>
      </c>
      <c r="Y731">
        <v>0</v>
      </c>
      <c r="Z731">
        <v>0</v>
      </c>
      <c r="AA731">
        <v>0</v>
      </c>
      <c r="AB731">
        <v>0</v>
      </c>
      <c r="AC731">
        <v>0</v>
      </c>
      <c r="AD731">
        <v>0</v>
      </c>
      <c r="AE731">
        <v>0</v>
      </c>
      <c r="AF731">
        <v>1</v>
      </c>
      <c r="AG731">
        <v>0</v>
      </c>
      <c r="AH731">
        <v>0</v>
      </c>
      <c r="AI731">
        <v>0</v>
      </c>
      <c r="AJ731">
        <v>0</v>
      </c>
      <c r="AK731">
        <v>0</v>
      </c>
      <c r="AL731">
        <v>0</v>
      </c>
      <c r="AM731">
        <v>0</v>
      </c>
      <c r="AN731">
        <v>0</v>
      </c>
      <c r="AO731">
        <v>0</v>
      </c>
      <c r="AP731">
        <v>0</v>
      </c>
      <c r="AQ731">
        <v>0</v>
      </c>
      <c r="AR731">
        <v>0</v>
      </c>
      <c r="AS731">
        <v>0</v>
      </c>
      <c r="AT731">
        <v>0</v>
      </c>
      <c r="AU731">
        <v>0</v>
      </c>
      <c r="AV731">
        <v>0</v>
      </c>
      <c r="AW731">
        <v>0</v>
      </c>
      <c r="AX731" s="141">
        <f>COUNTIF(V731:AW731,"&lt;&gt;0")</f>
        <v>1</v>
      </c>
      <c r="AY731" s="141">
        <f>COUNTIF(V731:AL731,"&lt;&gt;0")</f>
        <v>1</v>
      </c>
      <c r="AZ731">
        <f>COUNTIF(V731:AC731,"&lt;&gt;0")</f>
        <v>0</v>
      </c>
      <c r="BA731">
        <f>COUNTIF(AD731:AI731,"&lt;&gt;0")</f>
        <v>1</v>
      </c>
      <c r="BB731">
        <f>COUNTIF(AJ731:AL731,"&lt;&gt;0")</f>
        <v>0</v>
      </c>
      <c r="BC731">
        <f>COUNTIF(AS731:AW731,"&lt;&gt;0")</f>
        <v>0</v>
      </c>
      <c r="BD731">
        <f>COUNTIF(AM731:AR731,"&lt;&gt;0")</f>
        <v>0</v>
      </c>
      <c r="BE731" t="str">
        <f t="array" ref="BE731">IF(AY731=1,INDEX($V$7:$AL$7,MATCH(TRUE,INDEX($V731:$AW731&lt;&gt;0,),0)),IF(AY731=0,INDEX($AM$7:$AW$7,MATCH(1,$AM731:$AW731,0)),IF(BF731="Multiple strategies","mixed drivers",IF(BF731="Supply chain","multiple supply","multiple silviculture"))))</f>
        <v>supply chain organization</v>
      </c>
      <c r="BF731" s="2" t="str" cm="1">
        <f t="array" ref="BF731">IF(COUNTIF(AZ731:BB731,"&lt;&gt;0")=1,INDEX($V$4:$AW$4,MATCH(TRUE,INDEX($V731:$AW731&lt;&gt;0,),0)),IF(COUNTIF(AZ731:BB731,"&lt;&gt;0")=0,INDEX($AM$4:$AW$4,MATCH(1,$AM731:$AW731,0)),"Multiple strategies"))</f>
        <v>Supply chain</v>
      </c>
      <c r="BG731" s="1" t="s">
        <v>230</v>
      </c>
      <c r="BH731" t="s">
        <v>826</v>
      </c>
      <c r="BI731" s="266" t="s">
        <v>3144</v>
      </c>
      <c r="BJ731" t="s">
        <v>653</v>
      </c>
      <c r="BK731">
        <v>0</v>
      </c>
      <c r="BL731">
        <v>15410</v>
      </c>
      <c r="BN731">
        <f>BL731-BK731</f>
        <v>15410</v>
      </c>
      <c r="BO731">
        <f>BN731*t_to_m3</f>
        <v>31448.979591836734</v>
      </c>
      <c r="BP731" t="s">
        <v>233</v>
      </c>
      <c r="BQ731" s="153" t="s">
        <v>789</v>
      </c>
      <c r="BR731" s="266" t="s">
        <v>398</v>
      </c>
      <c r="BS731">
        <v>-58800</v>
      </c>
      <c r="BT731">
        <v>-50300</v>
      </c>
      <c r="BU731" s="144">
        <f>IFERROR(BT731/BS731,"")</f>
        <v>0.85544217687074831</v>
      </c>
      <c r="BV731">
        <f>BT731-BS731</f>
        <v>8500</v>
      </c>
      <c r="BX731">
        <f>BV731/10^3</f>
        <v>8.5</v>
      </c>
      <c r="BY731">
        <f>IFERROR(BX731/BO731,"")</f>
        <v>2.7027903958468525E-4</v>
      </c>
      <c r="BZ731">
        <v>0</v>
      </c>
      <c r="CA731">
        <v>0</v>
      </c>
      <c r="CB731">
        <v>0</v>
      </c>
      <c r="CC731">
        <v>0</v>
      </c>
      <c r="CD731">
        <v>0</v>
      </c>
      <c r="CE731">
        <v>0</v>
      </c>
      <c r="CF731">
        <v>0</v>
      </c>
      <c r="CG731">
        <v>0</v>
      </c>
      <c r="CH731">
        <v>0</v>
      </c>
      <c r="CI731">
        <v>0</v>
      </c>
      <c r="CJ731">
        <v>0</v>
      </c>
      <c r="CK731">
        <v>0</v>
      </c>
      <c r="CL731">
        <v>0</v>
      </c>
      <c r="CM731">
        <v>0</v>
      </c>
      <c r="CN731" t="str">
        <f>IF($BL731&lt;$BK731,"refNeedCorrection","refOK")</f>
        <v>refOK</v>
      </c>
      <c r="CO731">
        <f>IF($CN731="refNeedCorrection",BL731,BK731)</f>
        <v>0</v>
      </c>
      <c r="CP731">
        <f>IF($CN731="refNeedCorrection",BK731,BL731)</f>
        <v>15410</v>
      </c>
      <c r="CQ731">
        <f>IF($CN731="refOK",$BO731,-$BO731)</f>
        <v>31448.979591836734</v>
      </c>
      <c r="CR731">
        <f>IF($CN731="refOK",$BS731,$BT731)*IF($BP731="Emissions positive",-1,1)</f>
        <v>-58800</v>
      </c>
      <c r="CS731">
        <f>IF($CN731="refOK",$BT731,$BS731)*IF($BP731="Emissions positive",-1,1)</f>
        <v>-50300</v>
      </c>
      <c r="CT731">
        <f>IF($CN731="refNeedCorrection",-BX731,BX731)*IF($BP731="Emissions positive",-1,1)</f>
        <v>8.5</v>
      </c>
      <c r="CU731">
        <f>IFERROR(CT731/CQ731,"")</f>
        <v>2.7027903958468525E-4</v>
      </c>
      <c r="CV731" s="2">
        <f>IFERROR((CS731-CR731)/ABS(CR731),"")</f>
        <v>0.14455782312925169</v>
      </c>
      <c r="CW731" s="1" t="s">
        <v>348</v>
      </c>
      <c r="CX731" t="str">
        <f>IF(OR($CW731="prd",$CW731="std",$CW731="cit"),"loc",IF(OR($CW731="eur",$CW731="reg",$CW731="coy"),"reg",$CW731))</f>
        <v>loc</v>
      </c>
      <c r="CY731" t="s">
        <v>445</v>
      </c>
      <c r="DB731">
        <v>0</v>
      </c>
      <c r="DC731" t="str">
        <f>IF(DB731=0,"0",IF(AND(DB731&gt;=1,DB731&lt;=30),"1-30",IF(AND(DB731&gt;30,DB731&lt;=70),"31-70",IF(AND(DB731&gt;70,DB731&lt;=100),"71-100",IF(DB731&gt;100,"+100")))))</f>
        <v>0</v>
      </c>
      <c r="DD731">
        <v>0</v>
      </c>
      <c r="DE731">
        <v>1</v>
      </c>
      <c r="DF731">
        <v>0</v>
      </c>
      <c r="DG731">
        <v>0</v>
      </c>
      <c r="DH731">
        <v>1</v>
      </c>
      <c r="DI731">
        <f>SUM(DD731:DG731)</f>
        <v>1</v>
      </c>
      <c r="DJ731" t="str">
        <f>IF(DI731=1,INDEX($DD$7:$DG$7,MATCH(1,$DD731:$DG731,0)),"mixedProduct")</f>
        <v>EnergyInput</v>
      </c>
      <c r="DK731">
        <f>IF(DD731=1,DK$7,0)</f>
        <v>0</v>
      </c>
      <c r="DL731" t="str">
        <f>IF(DE731=1,DL$7,0)</f>
        <v>Energy</v>
      </c>
      <c r="DM731">
        <f>IF(DF731=1,DM$7,0)</f>
        <v>0</v>
      </c>
      <c r="DN731">
        <f>IF(DG731=1,DN$7,0)</f>
        <v>0</v>
      </c>
      <c r="DO731">
        <v>0</v>
      </c>
      <c r="DP731">
        <v>0</v>
      </c>
      <c r="DQ731">
        <v>0</v>
      </c>
      <c r="DR731">
        <v>0</v>
      </c>
      <c r="DS731">
        <v>0</v>
      </c>
      <c r="DT731">
        <f>SUM(DO731:DP731)</f>
        <v>0</v>
      </c>
      <c r="DU731" s="143" t="str">
        <f>IF(DO731=1,"self-calculated DF",IF(DP731=1,"external DF used","explicit C balance"))</f>
        <v>explicit C balance</v>
      </c>
      <c r="DV731">
        <v>0</v>
      </c>
      <c r="DW731">
        <v>0</v>
      </c>
      <c r="DX731">
        <v>0</v>
      </c>
      <c r="DY731">
        <v>0</v>
      </c>
      <c r="DZ731">
        <v>0</v>
      </c>
      <c r="EA731" s="143">
        <v>0</v>
      </c>
      <c r="EB731">
        <v>0</v>
      </c>
      <c r="EC731">
        <v>1</v>
      </c>
      <c r="ED731">
        <v>0</v>
      </c>
      <c r="EE731">
        <v>1</v>
      </c>
      <c r="EF731">
        <v>0</v>
      </c>
      <c r="EG731">
        <v>0</v>
      </c>
      <c r="EH731">
        <v>0</v>
      </c>
      <c r="EI731" s="2">
        <v>0</v>
      </c>
      <c r="EK731" t="str">
        <f>IF(AND(AND(AND(OR($DX731=1,$DW731=1),OR($EC731=1,$EA731=1)),SUM($DV731:$DZ731,$EF731)&gt;=4),SUM($EA731:$EE731)&gt;=2),"Whole sector","")</f>
        <v/>
      </c>
      <c r="EL731" t="str">
        <f>IF(AND(AND(OR($DX731=1,$DW731=1),AND($EC731=0,$EA731=0)),SUM($DV731:$DZ731,$EF731)&gt;=4),"Ecosystem approach","")</f>
        <v/>
      </c>
      <c r="EM731" s="2" t="str">
        <f>IF(AND(AND(AND($DX731=0,$DW731=0),OR($EC731=1,$EA731=1)),SUM($EB731:$EE731)&gt;=2),"Technology approach","")</f>
        <v>Technology approach</v>
      </c>
      <c r="EP731" t="str">
        <f>IF(ISNUMBER(BU731),IF(ABS(BU731-[2]QC_indicators!$B$2)&gt;3*[2]QC_indicators!$C$2,"C ratio",IF(ISNUMBER(BY731),IF(ABS(BY731-[2]QC_indicators!$B$1)&gt;3*[2]QC_indicators!$C$1,"DF","no"))),IF(ISNUMBER(BY731),IF(ABS(BY731-[2]QC_indicators!$B$1)&gt;3*[2]QC_indicators!$C$1,"DF","no")))</f>
        <v>no</v>
      </c>
      <c r="ET731" s="266" t="s">
        <v>3145</v>
      </c>
    </row>
    <row r="732" spans="1:150" ht="15" hidden="1" customHeight="1">
      <c r="A732" s="1" t="s">
        <v>266</v>
      </c>
      <c r="B732" t="s">
        <v>267</v>
      </c>
      <c r="C732" t="s">
        <v>268</v>
      </c>
      <c r="D732" t="s">
        <v>269</v>
      </c>
      <c r="E732" t="s">
        <v>270</v>
      </c>
      <c r="F732" t="s">
        <v>271</v>
      </c>
      <c r="G732" t="s">
        <v>272</v>
      </c>
      <c r="H732" t="s">
        <v>255</v>
      </c>
      <c r="I732">
        <v>2022</v>
      </c>
      <c r="J732">
        <v>0</v>
      </c>
      <c r="K732" t="s">
        <v>273</v>
      </c>
      <c r="M732" t="str">
        <f>LEFT($D732,FIND(",",$D732)-1)&amp;"_"&amp;I732&amp;L732</f>
        <v>Aryapratama_2022</v>
      </c>
      <c r="N732" t="s">
        <v>223</v>
      </c>
      <c r="O732" s="145" t="s">
        <v>275</v>
      </c>
      <c r="Q732" t="s">
        <v>225</v>
      </c>
      <c r="R732" s="264" t="s">
        <v>224</v>
      </c>
      <c r="S732" s="265" t="s">
        <v>3110</v>
      </c>
      <c r="T732" t="s">
        <v>313</v>
      </c>
      <c r="U732" t="s">
        <v>304</v>
      </c>
      <c r="V732">
        <v>0</v>
      </c>
      <c r="W732">
        <v>0</v>
      </c>
      <c r="X732">
        <v>0</v>
      </c>
      <c r="Y732">
        <v>0</v>
      </c>
      <c r="Z732">
        <v>0</v>
      </c>
      <c r="AA732">
        <v>0</v>
      </c>
      <c r="AB732">
        <v>0</v>
      </c>
      <c r="AC732">
        <v>0</v>
      </c>
      <c r="AD732">
        <v>1</v>
      </c>
      <c r="AE732">
        <v>0</v>
      </c>
      <c r="AF732">
        <v>0</v>
      </c>
      <c r="AG732">
        <v>0</v>
      </c>
      <c r="AH732">
        <v>0</v>
      </c>
      <c r="AI732">
        <v>0</v>
      </c>
      <c r="AJ732">
        <v>0</v>
      </c>
      <c r="AK732">
        <v>0</v>
      </c>
      <c r="AL732">
        <v>0</v>
      </c>
      <c r="AM732">
        <v>0</v>
      </c>
      <c r="AN732">
        <v>0</v>
      </c>
      <c r="AO732">
        <v>0</v>
      </c>
      <c r="AP732">
        <v>0</v>
      </c>
      <c r="AQ732">
        <v>0</v>
      </c>
      <c r="AR732">
        <v>0</v>
      </c>
      <c r="AS732">
        <v>0</v>
      </c>
      <c r="AT732">
        <v>0</v>
      </c>
      <c r="AU732">
        <v>0</v>
      </c>
      <c r="AV732">
        <v>0</v>
      </c>
      <c r="AW732">
        <v>0</v>
      </c>
      <c r="AX732" s="141">
        <f>COUNTIF(V732:AW732,"&lt;&gt;0")</f>
        <v>1</v>
      </c>
      <c r="AY732" s="141">
        <f>COUNTIF(V732:AL732,"&lt;&gt;0")</f>
        <v>1</v>
      </c>
      <c r="AZ732">
        <f>COUNTIF(V732:AC732,"&lt;&gt;0")</f>
        <v>0</v>
      </c>
      <c r="BA732">
        <f>COUNTIF(AD732:AI732,"&lt;&gt;0")</f>
        <v>1</v>
      </c>
      <c r="BB732">
        <f>COUNTIF(AJ732:AL732,"&lt;&gt;0")</f>
        <v>0</v>
      </c>
      <c r="BC732">
        <f>COUNTIF(AS732:AW732,"&lt;&gt;0")</f>
        <v>0</v>
      </c>
      <c r="BD732">
        <f>COUNTIF(AM732:AR732,"&lt;&gt;0")</f>
        <v>0</v>
      </c>
      <c r="BE732" t="str">
        <f t="array" ref="BE732">IF(AY732=1,INDEX($V$7:$AL$7,MATCH(TRUE,INDEX($V732:$AW732&lt;&gt;0,),0)),IF(AY732=0,INDEX($AM$7:$AW$7,MATCH(1,$AM732:$AW732,0)),IF(BF732="Multiple strategies","mixed drivers",IF(BF732="Supply chain","multiple supply","multiple silviculture"))))</f>
        <v>harvesting system</v>
      </c>
      <c r="BF732" s="2" t="str" cm="1">
        <f t="array" ref="BF732">IF(COUNTIF(AZ732:BB732,"&lt;&gt;0")=1,INDEX($V$4:$AW$4,MATCH(TRUE,INDEX($V732:$AW732&lt;&gt;0,),0)),IF(COUNTIF(AZ732:BB732,"&lt;&gt;0")=0,INDEX($AM$4:$AW$4,MATCH(1,$AM732:$AW732,0)),"Multiple strategies"))</f>
        <v>Supply chain</v>
      </c>
      <c r="BG732" s="1" t="s">
        <v>230</v>
      </c>
      <c r="BH732" t="s">
        <v>286</v>
      </c>
      <c r="BJ732" t="s">
        <v>279</v>
      </c>
      <c r="BK732">
        <v>46.25814379391722</v>
      </c>
      <c r="BL732">
        <v>46.25814379391722</v>
      </c>
      <c r="BM732">
        <f>BL732/BK732</f>
        <v>1</v>
      </c>
      <c r="BN732">
        <f>BL732-BK732</f>
        <v>0</v>
      </c>
      <c r="BO732">
        <f>BN732*tC_to_m3</f>
        <v>0</v>
      </c>
      <c r="BP732" t="s">
        <v>233</v>
      </c>
      <c r="BQ732" s="153" t="s">
        <v>3109</v>
      </c>
      <c r="BR732" t="s">
        <v>280</v>
      </c>
      <c r="BS732">
        <v>726.845318289901</v>
      </c>
      <c r="BT732">
        <v>365.10563504552567</v>
      </c>
      <c r="BU732" s="144">
        <f>IFERROR(BT732/BS732,"")</f>
        <v>0.50231545262551158</v>
      </c>
      <c r="BV732">
        <f>BT732-BS732</f>
        <v>-361.73968324437533</v>
      </c>
      <c r="BX732">
        <f>BV732</f>
        <v>-361.73968324437533</v>
      </c>
      <c r="BY732" t="str">
        <f>IFERROR(BX732/BO732,"")</f>
        <v/>
      </c>
      <c r="BZ732">
        <v>0</v>
      </c>
      <c r="CA732">
        <v>0</v>
      </c>
      <c r="CB732">
        <v>0</v>
      </c>
      <c r="CC732">
        <v>0</v>
      </c>
      <c r="CD732">
        <v>0</v>
      </c>
      <c r="CE732">
        <v>0</v>
      </c>
      <c r="CF732">
        <v>0</v>
      </c>
      <c r="CG732">
        <v>0</v>
      </c>
      <c r="CH732">
        <v>0</v>
      </c>
      <c r="CI732">
        <v>0</v>
      </c>
      <c r="CJ732">
        <v>0</v>
      </c>
      <c r="CK732">
        <v>0</v>
      </c>
      <c r="CL732">
        <v>0</v>
      </c>
      <c r="CM732">
        <v>0</v>
      </c>
      <c r="CN732" t="str">
        <f>IF($BL732&lt;$BK732,"refNeedCorrection","refOK")</f>
        <v>refOK</v>
      </c>
      <c r="CO732">
        <f>IF($CN732="refOK",$BK732,$BL732)</f>
        <v>46.25814379391722</v>
      </c>
      <c r="CP732">
        <f>IF($CN732="refOK",$BL732,$BK732)</f>
        <v>46.25814379391722</v>
      </c>
      <c r="CQ732">
        <f>IF($CN732="refOK",$BO732,-$BO732)</f>
        <v>0</v>
      </c>
      <c r="CR732">
        <f>IF($CN732="refOK",$BS732,$BT732)*IF($BP732="Emissions positive",-1,1)</f>
        <v>726.845318289901</v>
      </c>
      <c r="CS732">
        <f>IF($CN732="refOK",$BT732,$BS732)*IF($BP732="Emissions positive",-1,1)</f>
        <v>365.10563504552567</v>
      </c>
      <c r="CT732">
        <f>IF($CN732="refNeedCorrection",-BX732,BX732)*IF($BP732="Emissions positive",-1,1)</f>
        <v>-361.73968324437533</v>
      </c>
      <c r="CU732" t="str">
        <f>IFERROR(CT732/CQ732,"")</f>
        <v/>
      </c>
      <c r="CV732" s="2">
        <f>IFERROR((CS732-CR732)/ABS(CR732),"")</f>
        <v>-0.49768454737448842</v>
      </c>
      <c r="CW732" s="1" t="s">
        <v>235</v>
      </c>
      <c r="CX732" t="str">
        <f>IF(OR($CW732="prd",$CW732="std",$CW732="cit"),"loc",IF(OR($CW732="eur",$CW732="reg",$CW732="coy"),"reg",$CW732))</f>
        <v>loc</v>
      </c>
      <c r="CY732" t="s">
        <v>281</v>
      </c>
      <c r="DB732">
        <v>200</v>
      </c>
      <c r="DC732" t="str">
        <f>IF(DB732=0,"0",IF(AND(DB732&gt;=1,DB732&lt;=30),"1-30",IF(AND(DB732&gt;30,DB732&lt;=70),"31-70",IF(AND(DB732&gt;70,DB732&lt;=100),"71-100",IF(DB732&gt;100,"+100")))))</f>
        <v>+100</v>
      </c>
      <c r="DD732">
        <v>0</v>
      </c>
      <c r="DE732">
        <v>1</v>
      </c>
      <c r="DF732">
        <v>0</v>
      </c>
      <c r="DG732">
        <v>0</v>
      </c>
      <c r="DI732">
        <f>SUM(DD732:DG732)</f>
        <v>1</v>
      </c>
      <c r="DJ732" t="str">
        <f>IF(DI732=1,INDEX($DD$7:$DG$7,MATCH(1,$DD732:$DG732,0)),"mixedProduct")</f>
        <v>EnergyInput</v>
      </c>
      <c r="DK732">
        <f>IF(DD732=1,DK$7,0)</f>
        <v>0</v>
      </c>
      <c r="DL732" t="str">
        <f>IF(DE732=1,DL$7,0)</f>
        <v>Energy</v>
      </c>
      <c r="DM732">
        <f>IF(DF732=1,DM$7,0)</f>
        <v>0</v>
      </c>
      <c r="DN732">
        <f>IF(DG732=1,DN$7,0)</f>
        <v>0</v>
      </c>
      <c r="DO732">
        <v>0</v>
      </c>
      <c r="DP732">
        <v>1</v>
      </c>
      <c r="DQ732" t="s">
        <v>305</v>
      </c>
      <c r="DR732" t="s">
        <v>282</v>
      </c>
      <c r="DS732">
        <v>0</v>
      </c>
      <c r="DT732">
        <f>SUM(DO732:DP732)</f>
        <v>1</v>
      </c>
      <c r="DU732" s="143" t="str">
        <f>IF(DO732=1,"self-calculated DF",IF(DP732=1,"external DF used","explicit C balance"))</f>
        <v>external DF used</v>
      </c>
      <c r="DV732">
        <v>0</v>
      </c>
      <c r="DW732">
        <v>1</v>
      </c>
      <c r="DX732">
        <v>1</v>
      </c>
      <c r="DY732">
        <v>1</v>
      </c>
      <c r="DZ732">
        <v>1</v>
      </c>
      <c r="EA732" s="143">
        <v>0</v>
      </c>
      <c r="EB732">
        <v>1</v>
      </c>
      <c r="EC732">
        <v>1</v>
      </c>
      <c r="ED732">
        <v>0</v>
      </c>
      <c r="EE732">
        <v>1</v>
      </c>
      <c r="EF732">
        <v>1</v>
      </c>
      <c r="EG732">
        <v>1</v>
      </c>
      <c r="EH732">
        <v>0</v>
      </c>
      <c r="EI732" s="2">
        <v>0</v>
      </c>
      <c r="EK732" t="str">
        <f>IF(AND(AND(AND(OR($DX732=1,$DW732=1),OR($EC732=1,$EA732=1)),SUM($DV732:$DZ732,$EF732)&gt;=4),SUM($EA732:$EE732)&gt;=2),"Whole sector","")</f>
        <v>Whole sector</v>
      </c>
      <c r="EL732" t="str">
        <f>IF(AND(AND(OR($DX732=1,$DW732=1),AND($EC732=0,$EA732=0)),SUM($DV732:$DZ732,$EF732)&gt;=4),"Ecosystem approach","")</f>
        <v/>
      </c>
      <c r="EM732" s="2" t="str">
        <f>IF(AND(AND(AND($DX732=0,$DW732=0),OR($EC732=1,$EA732=1)),SUM($EB732:$EE732)&gt;=2),"Technology approach","")</f>
        <v/>
      </c>
      <c r="EP732" t="b">
        <f>IF(ISNUMBER(BU732),IF(ABS(BU732-[2]QC_indicators!$B$2)&gt;3*[2]QC_indicators!$C$2,"C ratio",IF(ISNUMBER(BY732),IF(ABS(BY732-[2]QC_indicators!$B$1)&gt;3*[2]QC_indicators!$C$1,"DF","no"))),IF(ISNUMBER(BY732),IF(ABS(BY732-[2]QC_indicators!$B$1)&gt;3*[2]QC_indicators!$C$1,"DF","no")))</f>
        <v>0</v>
      </c>
      <c r="EQ732" t="s">
        <v>287</v>
      </c>
      <c r="ET732" s="266" t="s">
        <v>3275</v>
      </c>
    </row>
    <row r="733" spans="1:150" ht="15" hidden="1" customHeight="1">
      <c r="A733" s="1" t="s">
        <v>266</v>
      </c>
      <c r="B733" t="s">
        <v>267</v>
      </c>
      <c r="C733" t="s">
        <v>268</v>
      </c>
      <c r="D733" t="s">
        <v>269</v>
      </c>
      <c r="E733" t="s">
        <v>270</v>
      </c>
      <c r="F733" t="s">
        <v>271</v>
      </c>
      <c r="G733" t="s">
        <v>272</v>
      </c>
      <c r="H733" t="s">
        <v>255</v>
      </c>
      <c r="I733">
        <v>2022</v>
      </c>
      <c r="J733">
        <v>0</v>
      </c>
      <c r="K733" t="s">
        <v>273</v>
      </c>
      <c r="M733" t="str">
        <f>LEFT($D733,FIND(",",$D733)-1)&amp;"_"&amp;I733&amp;L733</f>
        <v>Aryapratama_2022</v>
      </c>
      <c r="N733" t="s">
        <v>223</v>
      </c>
      <c r="O733" s="145" t="s">
        <v>275</v>
      </c>
      <c r="Q733" t="s">
        <v>225</v>
      </c>
      <c r="R733" s="264" t="s">
        <v>224</v>
      </c>
      <c r="S733" s="1" t="s">
        <v>320</v>
      </c>
      <c r="T733" t="s">
        <v>327</v>
      </c>
      <c r="U733" t="s">
        <v>277</v>
      </c>
      <c r="V733">
        <v>0</v>
      </c>
      <c r="W733">
        <v>0</v>
      </c>
      <c r="X733">
        <v>0</v>
      </c>
      <c r="Y733">
        <v>0</v>
      </c>
      <c r="Z733">
        <v>0</v>
      </c>
      <c r="AA733">
        <v>0</v>
      </c>
      <c r="AB733">
        <v>0</v>
      </c>
      <c r="AC733">
        <v>0</v>
      </c>
      <c r="AD733">
        <v>0</v>
      </c>
      <c r="AE733">
        <v>0</v>
      </c>
      <c r="AF733">
        <v>1</v>
      </c>
      <c r="AG733">
        <v>0</v>
      </c>
      <c r="AH733">
        <v>0</v>
      </c>
      <c r="AI733">
        <v>0</v>
      </c>
      <c r="AJ733">
        <v>0</v>
      </c>
      <c r="AK733">
        <v>0</v>
      </c>
      <c r="AL733">
        <v>0</v>
      </c>
      <c r="AM733">
        <v>0</v>
      </c>
      <c r="AN733">
        <v>0</v>
      </c>
      <c r="AO733">
        <v>0</v>
      </c>
      <c r="AP733">
        <v>0</v>
      </c>
      <c r="AQ733">
        <v>0</v>
      </c>
      <c r="AR733">
        <v>0</v>
      </c>
      <c r="AS733">
        <v>0</v>
      </c>
      <c r="AT733">
        <v>0</v>
      </c>
      <c r="AU733">
        <v>0</v>
      </c>
      <c r="AV733">
        <v>0</v>
      </c>
      <c r="AW733">
        <v>0</v>
      </c>
      <c r="AX733" s="141">
        <f>COUNTIF(V733:AW733,"&lt;&gt;0")</f>
        <v>1</v>
      </c>
      <c r="AY733" s="141">
        <f>COUNTIF(V733:AL733,"&lt;&gt;0")</f>
        <v>1</v>
      </c>
      <c r="AZ733">
        <f>COUNTIF(V733:AC733,"&lt;&gt;0")</f>
        <v>0</v>
      </c>
      <c r="BA733">
        <f>COUNTIF(AD733:AI733,"&lt;&gt;0")</f>
        <v>1</v>
      </c>
      <c r="BB733">
        <f>COUNTIF(AJ733:AL733,"&lt;&gt;0")</f>
        <v>0</v>
      </c>
      <c r="BC733">
        <f>COUNTIF(AS733:AW733,"&lt;&gt;0")</f>
        <v>0</v>
      </c>
      <c r="BD733">
        <f>COUNTIF(AM733:AR733,"&lt;&gt;0")</f>
        <v>0</v>
      </c>
      <c r="BE733" t="str">
        <f t="array" ref="BE733">IF(AY733=1,INDEX($V$7:$AL$7,MATCH(TRUE,INDEX($V733:$AW733&lt;&gt;0,),0)),IF(AY733=0,INDEX($AM$7:$AW$7,MATCH(1,$AM733:$AW733,0)),IF(BF733="Multiple strategies","mixed drivers",IF(BF733="Supply chain","multiple supply","multiple silviculture"))))</f>
        <v>supply chain organization</v>
      </c>
      <c r="BF733" s="2" t="str" cm="1">
        <f t="array" ref="BF733">IF(COUNTIF(AZ733:BB733,"&lt;&gt;0")=1,INDEX($V$4:$AW$4,MATCH(TRUE,INDEX($V733:$AW733&lt;&gt;0,),0)),IF(COUNTIF(AZ733:BB733,"&lt;&gt;0")=0,INDEX($AM$4:$AW$4,MATCH(1,$AM733:$AW733,0)),"Multiple strategies"))</f>
        <v>Supply chain</v>
      </c>
      <c r="BG733" s="1" t="s">
        <v>322</v>
      </c>
      <c r="BH733" s="146" t="s">
        <v>323</v>
      </c>
      <c r="BI733" t="s">
        <v>324</v>
      </c>
      <c r="BJ733" t="s">
        <v>279</v>
      </c>
      <c r="BK733" s="148">
        <v>225.96603773584911</v>
      </c>
      <c r="BL733" s="148">
        <v>225.96603773584911</v>
      </c>
      <c r="BM733">
        <f>BL733/BK733</f>
        <v>1</v>
      </c>
      <c r="BN733">
        <f>BL733-BK733</f>
        <v>0</v>
      </c>
      <c r="BO733">
        <f>BN733*tC_to_m3</f>
        <v>0</v>
      </c>
      <c r="BP733" t="s">
        <v>233</v>
      </c>
      <c r="BQ733" s="153" t="s">
        <v>3109</v>
      </c>
      <c r="BR733" t="s">
        <v>280</v>
      </c>
      <c r="BS733">
        <v>-1282.169207878547</v>
      </c>
      <c r="BT733">
        <v>-1206.3347109067272</v>
      </c>
      <c r="BU733" s="144">
        <f>IFERROR(BS733/BT733,"")</f>
        <v>1.0628635620663023</v>
      </c>
      <c r="BV733">
        <f>BS733-BT733</f>
        <v>-75.834496971819817</v>
      </c>
      <c r="BX733">
        <f>BV733</f>
        <v>-75.834496971819817</v>
      </c>
      <c r="BY733" t="str">
        <f>IFERROR(BX733/BO733,"")</f>
        <v/>
      </c>
      <c r="BZ733">
        <v>0</v>
      </c>
      <c r="CA733">
        <v>0</v>
      </c>
      <c r="CB733">
        <v>0</v>
      </c>
      <c r="CC733">
        <v>0</v>
      </c>
      <c r="CD733">
        <v>0</v>
      </c>
      <c r="CE733">
        <v>0</v>
      </c>
      <c r="CF733">
        <v>0</v>
      </c>
      <c r="CG733">
        <v>0</v>
      </c>
      <c r="CH733">
        <v>0</v>
      </c>
      <c r="CI733">
        <v>0</v>
      </c>
      <c r="CJ733">
        <v>0</v>
      </c>
      <c r="CK733">
        <v>0</v>
      </c>
      <c r="CL733">
        <v>0</v>
      </c>
      <c r="CM733">
        <v>0</v>
      </c>
      <c r="CN733" t="str">
        <f>IF($BL733&lt;$BK733,"refNeedCorrection","refOK")</f>
        <v>refOK</v>
      </c>
      <c r="CO733">
        <f>IF($CN733="refOK",$BK733,$BL733)</f>
        <v>225.96603773584911</v>
      </c>
      <c r="CP733">
        <f>IF($CN733="refOK",$BL733,$BK733)</f>
        <v>225.96603773584911</v>
      </c>
      <c r="CQ733">
        <f>IF($CN733="refOK",$BO733,-$BO733)</f>
        <v>0</v>
      </c>
      <c r="CR733">
        <f>IF($CN733="refOK",$BT733,$BS733)*IF($BP733="Emissions positive",-1,1)</f>
        <v>-1206.3347109067272</v>
      </c>
      <c r="CS733">
        <f>IF($CN733="refOK",$BS733,$BT733)*IF($BP733="Emissions positive",-1,1)</f>
        <v>-1282.169207878547</v>
      </c>
      <c r="CT733">
        <f>IF($CN733="refNeedCorrection",-BX733,BX733)*IF($BP733="Emissions positive",-1,1)</f>
        <v>-75.834496971819817</v>
      </c>
      <c r="CU733" t="str">
        <f>IFERROR(CT733/CQ733,"")</f>
        <v/>
      </c>
      <c r="CV733" s="2">
        <f>IFERROR((CS733-CR733)/ABS(CR733),"")</f>
        <v>-6.2863562066302239E-2</v>
      </c>
      <c r="CW733" s="1" t="s">
        <v>235</v>
      </c>
      <c r="CX733" t="str">
        <f>IF(OR($CW733="prd",$CW733="std",$CW733="cit"),"loc",IF(OR($CW733="eur",$CW733="reg",$CW733="coy"),"reg",$CW733))</f>
        <v>loc</v>
      </c>
      <c r="CY733" t="s">
        <v>281</v>
      </c>
      <c r="DB733">
        <v>200</v>
      </c>
      <c r="DC733" t="str">
        <f>IF(DB733=0,"0",IF(AND(DB733&gt;=1,DB733&lt;=30),"1-30",IF(AND(DB733&gt;30,DB733&lt;=70),"31-70",IF(AND(DB733&gt;70,DB733&lt;=100),"71-100",IF(DB733&gt;100,"+100")))))</f>
        <v>+100</v>
      </c>
      <c r="DD733">
        <v>0</v>
      </c>
      <c r="DE733">
        <v>1</v>
      </c>
      <c r="DF733">
        <v>0</v>
      </c>
      <c r="DG733">
        <v>1</v>
      </c>
      <c r="DI733">
        <f>SUM(DD733:DG733)</f>
        <v>2</v>
      </c>
      <c r="DJ733" t="str">
        <f>IF(DI733=1,INDEX($DD$7:$DG$7,MATCH(1,$DD733:$DG733,0)),"mixedProduct")</f>
        <v>mixedProduct</v>
      </c>
      <c r="DK733">
        <f>IF(DD733=1,DK$7,0)</f>
        <v>0</v>
      </c>
      <c r="DL733" t="str">
        <f>IF(DE733=1,DL$7,0)</f>
        <v>Energy</v>
      </c>
      <c r="DM733">
        <f>IF(DF733=1,DM$7,0)</f>
        <v>0</v>
      </c>
      <c r="DN733" t="str">
        <f>IF(DG733=1,DN$7,0)</f>
        <v>Timber</v>
      </c>
      <c r="DO733">
        <v>0</v>
      </c>
      <c r="DP733">
        <v>1</v>
      </c>
      <c r="DQ733" t="s">
        <v>305</v>
      </c>
      <c r="DR733" t="s">
        <v>282</v>
      </c>
      <c r="DS733">
        <v>0</v>
      </c>
      <c r="DT733">
        <f>SUM(DO733:DP733)</f>
        <v>1</v>
      </c>
      <c r="DU733" s="143" t="str">
        <f>IF(DO733=1,"self-calculated DF",IF(DP733=1,"external DF used","explicit C balance"))</f>
        <v>external DF used</v>
      </c>
      <c r="DV733">
        <v>0</v>
      </c>
      <c r="DW733">
        <v>1</v>
      </c>
      <c r="DX733">
        <v>1</v>
      </c>
      <c r="DY733">
        <v>1</v>
      </c>
      <c r="DZ733">
        <v>1</v>
      </c>
      <c r="EA733" s="143">
        <v>0</v>
      </c>
      <c r="EB733">
        <v>1</v>
      </c>
      <c r="EC733">
        <v>1</v>
      </c>
      <c r="ED733">
        <v>0</v>
      </c>
      <c r="EE733">
        <v>1</v>
      </c>
      <c r="EF733">
        <v>1</v>
      </c>
      <c r="EG733">
        <v>1</v>
      </c>
      <c r="EH733">
        <v>0</v>
      </c>
      <c r="EI733" s="2">
        <v>0</v>
      </c>
      <c r="EK733" t="str">
        <f>IF(AND(AND(AND(OR($DX733=1,$DW733=1),OR($EC733=1,$EA733=1)),SUM($DV733:$DZ733,$EF733)&gt;=4),SUM($EA733:$EE733)&gt;=2),"Whole sector","")</f>
        <v>Whole sector</v>
      </c>
      <c r="EL733" t="str">
        <f>IF(AND(AND(OR($DX733=1,$DW733=1),AND($EC733=0,$EA733=0)),SUM($DV733:$DZ733,$EF733)&gt;=4),"Ecosystem approach","")</f>
        <v/>
      </c>
      <c r="EM733" s="2" t="str">
        <f>IF(AND(AND(AND($DX733=0,$DW733=0),OR($EC733=1,$EA733=1)),SUM($EB733:$EE733)&gt;=2),"Technology approach","")</f>
        <v/>
      </c>
      <c r="EN733" t="s">
        <v>325</v>
      </c>
      <c r="EP733" t="b">
        <f>IF(ISNUMBER(BU733),IF(ABS(BU733-[2]QC_indicators!$B$2)&gt;3*[2]QC_indicators!$C$2,"C ratio",IF(ISNUMBER(BY733),IF(ABS(BY733-[2]QC_indicators!$B$1)&gt;3*[2]QC_indicators!$C$1,"DF","no"))),IF(ISNUMBER(BY733),IF(ABS(BY733-[2]QC_indicators!$B$1)&gt;3*[2]QC_indicators!$C$1,"DF","no")))</f>
        <v>0</v>
      </c>
      <c r="EQ733" t="s">
        <v>287</v>
      </c>
      <c r="ER733" s="147" t="s">
        <v>326</v>
      </c>
      <c r="ET733" s="266" t="s">
        <v>3275</v>
      </c>
    </row>
    <row r="734" spans="1:150" ht="15" hidden="1" customHeight="1">
      <c r="A734" s="1" t="s">
        <v>266</v>
      </c>
      <c r="B734" t="s">
        <v>267</v>
      </c>
      <c r="C734" t="s">
        <v>268</v>
      </c>
      <c r="D734" t="s">
        <v>269</v>
      </c>
      <c r="E734" t="s">
        <v>270</v>
      </c>
      <c r="F734" t="s">
        <v>271</v>
      </c>
      <c r="G734" t="s">
        <v>272</v>
      </c>
      <c r="H734" t="s">
        <v>255</v>
      </c>
      <c r="I734">
        <v>2022</v>
      </c>
      <c r="J734">
        <v>0</v>
      </c>
      <c r="K734" t="s">
        <v>273</v>
      </c>
      <c r="M734" t="str">
        <f>LEFT($D734,FIND(",",$D734)-1)&amp;"_"&amp;I734&amp;L734</f>
        <v>Aryapratama_2022</v>
      </c>
      <c r="N734" t="s">
        <v>223</v>
      </c>
      <c r="O734" s="145" t="s">
        <v>275</v>
      </c>
      <c r="Q734" t="s">
        <v>225</v>
      </c>
      <c r="R734" s="264" t="s">
        <v>224</v>
      </c>
      <c r="S734" s="1" t="s">
        <v>320</v>
      </c>
      <c r="T734" t="s">
        <v>304</v>
      </c>
      <c r="U734" t="s">
        <v>285</v>
      </c>
      <c r="V734">
        <v>0</v>
      </c>
      <c r="W734">
        <v>0</v>
      </c>
      <c r="X734">
        <v>0</v>
      </c>
      <c r="Y734">
        <v>0</v>
      </c>
      <c r="Z734">
        <v>0</v>
      </c>
      <c r="AA734">
        <v>0</v>
      </c>
      <c r="AB734">
        <v>0</v>
      </c>
      <c r="AC734">
        <v>0</v>
      </c>
      <c r="AD734">
        <v>0</v>
      </c>
      <c r="AE734">
        <v>0</v>
      </c>
      <c r="AF734">
        <v>1</v>
      </c>
      <c r="AG734">
        <v>0</v>
      </c>
      <c r="AH734">
        <v>0</v>
      </c>
      <c r="AI734">
        <v>0</v>
      </c>
      <c r="AJ734">
        <v>0</v>
      </c>
      <c r="AK734">
        <v>0</v>
      </c>
      <c r="AL734">
        <v>0</v>
      </c>
      <c r="AM734">
        <v>0</v>
      </c>
      <c r="AN734">
        <v>0</v>
      </c>
      <c r="AO734">
        <v>0</v>
      </c>
      <c r="AP734">
        <v>0</v>
      </c>
      <c r="AQ734">
        <v>0</v>
      </c>
      <c r="AR734">
        <v>0</v>
      </c>
      <c r="AS734">
        <v>0</v>
      </c>
      <c r="AT734">
        <v>0</v>
      </c>
      <c r="AU734">
        <v>0</v>
      </c>
      <c r="AV734">
        <v>0</v>
      </c>
      <c r="AW734">
        <v>0</v>
      </c>
      <c r="AX734" s="141">
        <f>COUNTIF(V734:AW734,"&lt;&gt;0")</f>
        <v>1</v>
      </c>
      <c r="AY734" s="141">
        <f>COUNTIF(V734:AL734,"&lt;&gt;0")</f>
        <v>1</v>
      </c>
      <c r="AZ734">
        <f>COUNTIF(V734:AC734,"&lt;&gt;0")</f>
        <v>0</v>
      </c>
      <c r="BA734">
        <f>COUNTIF(AD734:AI734,"&lt;&gt;0")</f>
        <v>1</v>
      </c>
      <c r="BB734">
        <f>COUNTIF(AJ734:AL734,"&lt;&gt;0")</f>
        <v>0</v>
      </c>
      <c r="BC734">
        <f>COUNTIF(AS734:AW734,"&lt;&gt;0")</f>
        <v>0</v>
      </c>
      <c r="BD734">
        <f>COUNTIF(AM734:AR734,"&lt;&gt;0")</f>
        <v>0</v>
      </c>
      <c r="BE734" t="str">
        <f t="array" ref="BE734">IF(AY734=1,INDEX($V$7:$AL$7,MATCH(TRUE,INDEX($V734:$AW734&lt;&gt;0,),0)),IF(AY734=0,INDEX($AM$7:$AW$7,MATCH(1,$AM734:$AW734,0)),IF(BF734="Multiple strategies","mixed drivers",IF(BF734="Supply chain","multiple supply","multiple silviculture"))))</f>
        <v>supply chain organization</v>
      </c>
      <c r="BF734" s="2" t="str" cm="1">
        <f t="array" ref="BF734">IF(COUNTIF(AZ734:BB734,"&lt;&gt;0")=1,INDEX($V$4:$AW$4,MATCH(TRUE,INDEX($V734:$AW734&lt;&gt;0,),0)),IF(COUNTIF(AZ734:BB734,"&lt;&gt;0")=0,INDEX($AM$4:$AW$4,MATCH(1,$AM734:$AW734,0)),"Multiple strategies"))</f>
        <v>Supply chain</v>
      </c>
      <c r="BG734" s="1" t="s">
        <v>322</v>
      </c>
      <c r="BH734" s="146" t="s">
        <v>323</v>
      </c>
      <c r="BI734" t="s">
        <v>324</v>
      </c>
      <c r="BJ734" t="s">
        <v>279</v>
      </c>
      <c r="BK734" s="148">
        <v>9.6371132903994159</v>
      </c>
      <c r="BL734" s="148">
        <v>9.6371132903994159</v>
      </c>
      <c r="BM734">
        <f>BL734/BK734</f>
        <v>1</v>
      </c>
      <c r="BN734">
        <f>BL734-BK734</f>
        <v>0</v>
      </c>
      <c r="BO734">
        <f>BN734*tC_to_m3</f>
        <v>0</v>
      </c>
      <c r="BP734" t="s">
        <v>233</v>
      </c>
      <c r="BQ734" s="153" t="s">
        <v>3109</v>
      </c>
      <c r="BR734" t="s">
        <v>280</v>
      </c>
      <c r="BS734">
        <v>365.10563504552567</v>
      </c>
      <c r="BT734">
        <v>377.50107760210591</v>
      </c>
      <c r="BU734" s="144">
        <f>IFERROR(BS734/BT734,"")</f>
        <v>0.96716448431004143</v>
      </c>
      <c r="BV734">
        <f>BS734-BT734</f>
        <v>-12.395442556580235</v>
      </c>
      <c r="BX734">
        <f>BV734</f>
        <v>-12.395442556580235</v>
      </c>
      <c r="BY734" t="str">
        <f>IFERROR(BX734/BO734,"")</f>
        <v/>
      </c>
      <c r="BZ734">
        <v>0</v>
      </c>
      <c r="CA734">
        <v>0</v>
      </c>
      <c r="CB734">
        <v>0</v>
      </c>
      <c r="CC734">
        <v>0</v>
      </c>
      <c r="CD734">
        <v>0</v>
      </c>
      <c r="CE734">
        <v>0</v>
      </c>
      <c r="CF734">
        <v>0</v>
      </c>
      <c r="CG734">
        <v>0</v>
      </c>
      <c r="CH734">
        <v>0</v>
      </c>
      <c r="CI734">
        <v>0</v>
      </c>
      <c r="CJ734">
        <v>0</v>
      </c>
      <c r="CK734">
        <v>0</v>
      </c>
      <c r="CL734">
        <v>0</v>
      </c>
      <c r="CM734">
        <v>0</v>
      </c>
      <c r="CN734" t="str">
        <f>IF($BL734&lt;$BK734,"refNeedCorrection","refOK")</f>
        <v>refOK</v>
      </c>
      <c r="CO734">
        <f>IF($CN734="refOK",$BK734,$BL734)</f>
        <v>9.6371132903994159</v>
      </c>
      <c r="CP734">
        <f>IF($CN734="refOK",$BL734,$BK734)</f>
        <v>9.6371132903994159</v>
      </c>
      <c r="CQ734">
        <f>IF($CN734="refOK",$BO734,-$BO734)</f>
        <v>0</v>
      </c>
      <c r="CR734">
        <f>IF($CN734="refOK",$BT734,$BS734)*IF($BP734="Emissions positive",-1,1)</f>
        <v>377.50107760210591</v>
      </c>
      <c r="CS734">
        <f>IF($CN734="refOK",$BS734,$BT734)*IF($BP734="Emissions positive",-1,1)</f>
        <v>365.10563504552567</v>
      </c>
      <c r="CT734">
        <f>IF($CN734="refNeedCorrection",-BX734,BX734)*IF($BP734="Emissions positive",-1,1)</f>
        <v>-12.395442556580235</v>
      </c>
      <c r="CU734" t="str">
        <f>IFERROR(CT734/CQ734,"")</f>
        <v/>
      </c>
      <c r="CV734" s="2">
        <f>IFERROR((CS734-CR734)/ABS(CR734),"")</f>
        <v>-3.2835515689958621E-2</v>
      </c>
      <c r="CW734" s="1" t="s">
        <v>235</v>
      </c>
      <c r="CX734" t="str">
        <f>IF(OR($CW734="prd",$CW734="std",$CW734="cit"),"loc",IF(OR($CW734="eur",$CW734="reg",$CW734="coy"),"reg",$CW734))</f>
        <v>loc</v>
      </c>
      <c r="CY734" t="s">
        <v>281</v>
      </c>
      <c r="DB734">
        <v>200</v>
      </c>
      <c r="DC734" t="str">
        <f>IF(DB734=0,"0",IF(AND(DB734&gt;=1,DB734&lt;=30),"1-30",IF(AND(DB734&gt;30,DB734&lt;=70),"31-70",IF(AND(DB734&gt;70,DB734&lt;=100),"71-100",IF(DB734&gt;100,"+100")))))</f>
        <v>+100</v>
      </c>
      <c r="DD734">
        <v>0</v>
      </c>
      <c r="DE734">
        <v>1</v>
      </c>
      <c r="DF734">
        <v>0</v>
      </c>
      <c r="DG734">
        <v>1</v>
      </c>
      <c r="DI734">
        <f>SUM(DD734:DG734)</f>
        <v>2</v>
      </c>
      <c r="DJ734" t="str">
        <f>IF(DI734=1,INDEX($DD$7:$DG$7,MATCH(1,$DD734:$DG734,0)),"mixedProduct")</f>
        <v>mixedProduct</v>
      </c>
      <c r="DK734">
        <f>IF(DD734=1,DK$7,0)</f>
        <v>0</v>
      </c>
      <c r="DL734" t="str">
        <f>IF(DE734=1,DL$7,0)</f>
        <v>Energy</v>
      </c>
      <c r="DM734">
        <f>IF(DF734=1,DM$7,0)</f>
        <v>0</v>
      </c>
      <c r="DN734" t="str">
        <f>IF(DG734=1,DN$7,0)</f>
        <v>Timber</v>
      </c>
      <c r="DO734">
        <v>0</v>
      </c>
      <c r="DP734">
        <v>1</v>
      </c>
      <c r="DQ734" t="s">
        <v>305</v>
      </c>
      <c r="DR734" t="s">
        <v>282</v>
      </c>
      <c r="DS734">
        <v>0</v>
      </c>
      <c r="DT734">
        <f>SUM(DO734:DP734)</f>
        <v>1</v>
      </c>
      <c r="DU734" s="143" t="str">
        <f>IF(DO734=1,"self-calculated DF",IF(DP734=1,"external DF used","explicit C balance"))</f>
        <v>external DF used</v>
      </c>
      <c r="DV734">
        <v>0</v>
      </c>
      <c r="DW734">
        <v>1</v>
      </c>
      <c r="DX734">
        <v>1</v>
      </c>
      <c r="DY734">
        <v>1</v>
      </c>
      <c r="DZ734">
        <v>1</v>
      </c>
      <c r="EA734" s="143">
        <v>0</v>
      </c>
      <c r="EB734">
        <v>1</v>
      </c>
      <c r="EC734">
        <v>1</v>
      </c>
      <c r="ED734">
        <v>0</v>
      </c>
      <c r="EE734">
        <v>1</v>
      </c>
      <c r="EF734">
        <v>1</v>
      </c>
      <c r="EG734">
        <v>1</v>
      </c>
      <c r="EH734">
        <v>0</v>
      </c>
      <c r="EI734" s="2">
        <v>0</v>
      </c>
      <c r="EK734" t="str">
        <f>IF(AND(AND(AND(OR($DX734=1,$DW734=1),OR($EC734=1,$EA734=1)),SUM($DV734:$DZ734,$EF734)&gt;=4),SUM($EA734:$EE734)&gt;=2),"Whole sector","")</f>
        <v>Whole sector</v>
      </c>
      <c r="EL734" t="str">
        <f>IF(AND(AND(OR($DX734=1,$DW734=1),AND($EC734=0,$EA734=0)),SUM($DV734:$DZ734,$EF734)&gt;=4),"Ecosystem approach","")</f>
        <v/>
      </c>
      <c r="EM734" s="2" t="str">
        <f>IF(AND(AND(AND($DX734=0,$DW734=0),OR($EC734=1,$EA734=1)),SUM($EB734:$EE734)&gt;=2),"Technology approach","")</f>
        <v/>
      </c>
      <c r="EN734" t="s">
        <v>325</v>
      </c>
      <c r="EP734" t="b">
        <f>IF(ISNUMBER(BU734),IF(ABS(BU734-[2]QC_indicators!$B$2)&gt;3*[2]QC_indicators!$C$2,"C ratio",IF(ISNUMBER(BY734),IF(ABS(BY734-[2]QC_indicators!$B$1)&gt;3*[2]QC_indicators!$C$1,"DF","no"))),IF(ISNUMBER(BY734),IF(ABS(BY734-[2]QC_indicators!$B$1)&gt;3*[2]QC_indicators!$C$1,"DF","no")))</f>
        <v>0</v>
      </c>
      <c r="EQ734" t="s">
        <v>287</v>
      </c>
      <c r="ER734" s="147" t="s">
        <v>326</v>
      </c>
      <c r="ET734" s="266" t="s">
        <v>3275</v>
      </c>
    </row>
    <row r="735" spans="1:150" ht="15" hidden="1" customHeight="1">
      <c r="A735" s="1" t="s">
        <v>266</v>
      </c>
      <c r="B735" t="s">
        <v>267</v>
      </c>
      <c r="C735" t="s">
        <v>268</v>
      </c>
      <c r="D735" t="s">
        <v>269</v>
      </c>
      <c r="E735" t="s">
        <v>270</v>
      </c>
      <c r="F735" t="s">
        <v>271</v>
      </c>
      <c r="G735" t="s">
        <v>272</v>
      </c>
      <c r="H735" t="s">
        <v>255</v>
      </c>
      <c r="I735">
        <v>2022</v>
      </c>
      <c r="J735">
        <v>0</v>
      </c>
      <c r="K735" t="s">
        <v>273</v>
      </c>
      <c r="M735" t="str">
        <f>LEFT($D735,FIND(",",$D735)-1)&amp;"_"&amp;I735&amp;L735</f>
        <v>Aryapratama_2022</v>
      </c>
      <c r="N735" t="s">
        <v>223</v>
      </c>
      <c r="O735" s="145" t="s">
        <v>275</v>
      </c>
      <c r="Q735" t="s">
        <v>225</v>
      </c>
      <c r="R735" s="264" t="s">
        <v>224</v>
      </c>
      <c r="S735" s="1" t="s">
        <v>320</v>
      </c>
      <c r="T735" t="s">
        <v>321</v>
      </c>
      <c r="U735" t="s">
        <v>276</v>
      </c>
      <c r="V735">
        <v>0</v>
      </c>
      <c r="W735">
        <v>0</v>
      </c>
      <c r="X735">
        <v>0</v>
      </c>
      <c r="Y735">
        <v>0</v>
      </c>
      <c r="Z735">
        <v>0</v>
      </c>
      <c r="AA735">
        <v>0</v>
      </c>
      <c r="AB735">
        <v>0</v>
      </c>
      <c r="AC735">
        <v>0</v>
      </c>
      <c r="AD735">
        <v>0</v>
      </c>
      <c r="AE735">
        <v>0</v>
      </c>
      <c r="AF735">
        <v>1</v>
      </c>
      <c r="AG735">
        <v>0</v>
      </c>
      <c r="AH735">
        <v>0</v>
      </c>
      <c r="AI735">
        <v>0</v>
      </c>
      <c r="AJ735">
        <v>0</v>
      </c>
      <c r="AK735">
        <v>0</v>
      </c>
      <c r="AL735">
        <v>0</v>
      </c>
      <c r="AM735">
        <v>0</v>
      </c>
      <c r="AN735">
        <v>0</v>
      </c>
      <c r="AO735">
        <v>0</v>
      </c>
      <c r="AP735">
        <v>0</v>
      </c>
      <c r="AQ735">
        <v>0</v>
      </c>
      <c r="AR735">
        <v>0</v>
      </c>
      <c r="AS735">
        <v>0</v>
      </c>
      <c r="AT735">
        <v>0</v>
      </c>
      <c r="AU735">
        <v>0</v>
      </c>
      <c r="AV735">
        <v>0</v>
      </c>
      <c r="AW735">
        <v>0</v>
      </c>
      <c r="AX735" s="141">
        <f>COUNTIF(V735:AW735,"&lt;&gt;0")</f>
        <v>1</v>
      </c>
      <c r="AY735" s="141">
        <f>COUNTIF(V735:AL735,"&lt;&gt;0")</f>
        <v>1</v>
      </c>
      <c r="AZ735">
        <f>COUNTIF(V735:AC735,"&lt;&gt;0")</f>
        <v>0</v>
      </c>
      <c r="BA735">
        <f>COUNTIF(AD735:AI735,"&lt;&gt;0")</f>
        <v>1</v>
      </c>
      <c r="BB735">
        <f>COUNTIF(AJ735:AL735,"&lt;&gt;0")</f>
        <v>0</v>
      </c>
      <c r="BC735">
        <f>COUNTIF(AS735:AW735,"&lt;&gt;0")</f>
        <v>0</v>
      </c>
      <c r="BD735">
        <f>COUNTIF(AM735:AR735,"&lt;&gt;0")</f>
        <v>0</v>
      </c>
      <c r="BE735" t="str">
        <f t="array" ref="BE735">IF(AY735=1,INDEX($V$7:$AL$7,MATCH(TRUE,INDEX($V735:$AW735&lt;&gt;0,),0)),IF(AY735=0,INDEX($AM$7:$AW$7,MATCH(1,$AM735:$AW735,0)),IF(BF735="Multiple strategies","mixed drivers",IF(BF735="Supply chain","multiple supply","multiple silviculture"))))</f>
        <v>supply chain organization</v>
      </c>
      <c r="BF735" s="2" t="str" cm="1">
        <f t="array" ref="BF735">IF(COUNTIF(AZ735:BB735,"&lt;&gt;0")=1,INDEX($V$4:$AW$4,MATCH(TRUE,INDEX($V735:$AW735&lt;&gt;0,),0)),IF(COUNTIF(AZ735:BB735,"&lt;&gt;0")=0,INDEX($AM$4:$AW$4,MATCH(1,$AM735:$AW735,0)),"Multiple strategies"))</f>
        <v>Supply chain</v>
      </c>
      <c r="BG735" s="1" t="s">
        <v>322</v>
      </c>
      <c r="BH735" s="146" t="s">
        <v>323</v>
      </c>
      <c r="BI735" t="s">
        <v>324</v>
      </c>
      <c r="BJ735" t="s">
        <v>279</v>
      </c>
      <c r="BK735">
        <v>225.96603773584911</v>
      </c>
      <c r="BL735">
        <v>225.96603773584911</v>
      </c>
      <c r="BM735">
        <f>BL735/BK735</f>
        <v>1</v>
      </c>
      <c r="BN735">
        <f>BL735-BK735</f>
        <v>0</v>
      </c>
      <c r="BO735">
        <f>BN735*tC_to_m3</f>
        <v>0</v>
      </c>
      <c r="BP735" t="s">
        <v>233</v>
      </c>
      <c r="BQ735" s="153" t="s">
        <v>3109</v>
      </c>
      <c r="BR735" t="s">
        <v>280</v>
      </c>
      <c r="BS735">
        <v>-448.98121307248744</v>
      </c>
      <c r="BT735">
        <v>-435.66826611219864</v>
      </c>
      <c r="BU735" s="144">
        <f>IFERROR(BS735/BT735,"")</f>
        <v>1.0305575319476226</v>
      </c>
      <c r="BV735">
        <f>BS735-BT735</f>
        <v>-13.312946960288798</v>
      </c>
      <c r="BX735">
        <f>BV735</f>
        <v>-13.312946960288798</v>
      </c>
      <c r="BY735" t="str">
        <f>IFERROR(BX735/BO735,"")</f>
        <v/>
      </c>
      <c r="BZ735">
        <v>0</v>
      </c>
      <c r="CA735">
        <v>0</v>
      </c>
      <c r="CB735">
        <v>0</v>
      </c>
      <c r="CC735">
        <v>0</v>
      </c>
      <c r="CD735">
        <v>0</v>
      </c>
      <c r="CE735">
        <v>0</v>
      </c>
      <c r="CF735">
        <v>0</v>
      </c>
      <c r="CG735">
        <v>0</v>
      </c>
      <c r="CH735">
        <v>0</v>
      </c>
      <c r="CI735">
        <v>0</v>
      </c>
      <c r="CJ735">
        <v>0</v>
      </c>
      <c r="CK735">
        <v>0</v>
      </c>
      <c r="CL735">
        <v>0</v>
      </c>
      <c r="CM735">
        <v>0</v>
      </c>
      <c r="CN735" t="str">
        <f>IF($BL735&lt;$BK735,"refNeedCorrection","refOK")</f>
        <v>refOK</v>
      </c>
      <c r="CO735">
        <f>IF($CN735="refOK",$BK735,$BL735)</f>
        <v>225.96603773584911</v>
      </c>
      <c r="CP735">
        <f>IF($CN735="refOK",$BL735,$BK735)</f>
        <v>225.96603773584911</v>
      </c>
      <c r="CQ735">
        <f>IF($CN735="refOK",$BO735,-$BO735)</f>
        <v>0</v>
      </c>
      <c r="CR735">
        <f>IF($CN735="refOK",$BT735,$BS735)*IF($BP735="Emissions positive",-1,1)</f>
        <v>-435.66826611219864</v>
      </c>
      <c r="CS735">
        <f>IF($CN735="refOK",$BS735,$BT735)*IF($BP735="Emissions positive",-1,1)</f>
        <v>-448.98121307248744</v>
      </c>
      <c r="CT735">
        <f>IF($CN735="refNeedCorrection",-BX735,BX735)*IF($BP735="Emissions positive",-1,1)</f>
        <v>-13.312946960288798</v>
      </c>
      <c r="CU735" t="str">
        <f>IFERROR(CT735/CQ735,"")</f>
        <v/>
      </c>
      <c r="CV735" s="2">
        <f>IFERROR((CS735-CR735)/ABS(CR735),"")</f>
        <v>-3.0557531947622469E-2</v>
      </c>
      <c r="CW735" s="1" t="s">
        <v>235</v>
      </c>
      <c r="CX735" t="str">
        <f>IF(OR($CW735="prd",$CW735="std",$CW735="cit"),"loc",IF(OR($CW735="eur",$CW735="reg",$CW735="coy"),"reg",$CW735))</f>
        <v>loc</v>
      </c>
      <c r="CY735" t="s">
        <v>281</v>
      </c>
      <c r="DB735">
        <v>200</v>
      </c>
      <c r="DC735" t="str">
        <f>IF(DB735=0,"0",IF(AND(DB735&gt;=1,DB735&lt;=30),"1-30",IF(AND(DB735&gt;30,DB735&lt;=70),"31-70",IF(AND(DB735&gt;70,DB735&lt;=100),"71-100",IF(DB735&gt;100,"+100")))))</f>
        <v>+100</v>
      </c>
      <c r="DD735">
        <v>0</v>
      </c>
      <c r="DE735">
        <v>1</v>
      </c>
      <c r="DF735">
        <v>0</v>
      </c>
      <c r="DG735">
        <v>1</v>
      </c>
      <c r="DI735">
        <f>SUM(DD735:DG735)</f>
        <v>2</v>
      </c>
      <c r="DJ735" t="str">
        <f>IF(DI735=1,INDEX($DD$7:$DG$7,MATCH(1,$DD735:$DG735,0)),"mixedProduct")</f>
        <v>mixedProduct</v>
      </c>
      <c r="DK735">
        <f>IF(DD735=1,DK$7,0)</f>
        <v>0</v>
      </c>
      <c r="DL735" t="str">
        <f>IF(DE735=1,DL$7,0)</f>
        <v>Energy</v>
      </c>
      <c r="DM735">
        <f>IF(DF735=1,DM$7,0)</f>
        <v>0</v>
      </c>
      <c r="DN735" t="str">
        <f>IF(DG735=1,DN$7,0)</f>
        <v>Timber</v>
      </c>
      <c r="DO735">
        <v>0</v>
      </c>
      <c r="DP735">
        <v>1</v>
      </c>
      <c r="DQ735" t="s">
        <v>305</v>
      </c>
      <c r="DR735" t="s">
        <v>282</v>
      </c>
      <c r="DS735">
        <v>0</v>
      </c>
      <c r="DT735">
        <f>SUM(DO735:DP735)</f>
        <v>1</v>
      </c>
      <c r="DU735" s="143" t="str">
        <f>IF(DO735=1,"self-calculated DF",IF(DP735=1,"external DF used","explicit C balance"))</f>
        <v>external DF used</v>
      </c>
      <c r="DV735">
        <v>0</v>
      </c>
      <c r="DW735">
        <v>1</v>
      </c>
      <c r="DX735">
        <v>1</v>
      </c>
      <c r="DY735">
        <v>1</v>
      </c>
      <c r="DZ735">
        <v>1</v>
      </c>
      <c r="EA735" s="143">
        <v>0</v>
      </c>
      <c r="EB735">
        <v>1</v>
      </c>
      <c r="EC735">
        <v>1</v>
      </c>
      <c r="ED735">
        <v>0</v>
      </c>
      <c r="EE735">
        <v>1</v>
      </c>
      <c r="EF735">
        <v>1</v>
      </c>
      <c r="EG735">
        <v>1</v>
      </c>
      <c r="EH735">
        <v>0</v>
      </c>
      <c r="EI735" s="2">
        <v>0</v>
      </c>
      <c r="EK735" t="str">
        <f>IF(AND(AND(AND(OR($DX735=1,$DW735=1),OR($EC735=1,$EA735=1)),SUM($DV735:$DZ735,$EF735)&gt;=4),SUM($EA735:$EE735)&gt;=2),"Whole sector","")</f>
        <v>Whole sector</v>
      </c>
      <c r="EL735" t="str">
        <f>IF(AND(AND(OR($DX735=1,$DW735=1),AND($EC735=0,$EA735=0)),SUM($DV735:$DZ735,$EF735)&gt;=4),"Ecosystem approach","")</f>
        <v/>
      </c>
      <c r="EM735" s="2" t="str">
        <f>IF(AND(AND(AND($DX735=0,$DW735=0),OR($EC735=1,$EA735=1)),SUM($EB735:$EE735)&gt;=2),"Technology approach","")</f>
        <v/>
      </c>
      <c r="EN735" t="s">
        <v>325</v>
      </c>
      <c r="EP735" t="b">
        <f>IF(ISNUMBER(BU735),IF(ABS(BU735-[2]QC_indicators!$B$2)&gt;3*[2]QC_indicators!$C$2,"C ratio",IF(ISNUMBER(BY735),IF(ABS(BY735-[2]QC_indicators!$B$1)&gt;3*[2]QC_indicators!$C$1,"DF","no"))),IF(ISNUMBER(BY735),IF(ABS(BY735-[2]QC_indicators!$B$1)&gt;3*[2]QC_indicators!$C$1,"DF","no")))</f>
        <v>0</v>
      </c>
      <c r="EQ735" t="s">
        <v>287</v>
      </c>
      <c r="ER735" s="147" t="s">
        <v>326</v>
      </c>
      <c r="ET735" s="266" t="s">
        <v>3275</v>
      </c>
    </row>
    <row r="736" spans="1:150" ht="15" hidden="1" customHeight="1">
      <c r="A736" s="1" t="s">
        <v>266</v>
      </c>
      <c r="B736" t="s">
        <v>267</v>
      </c>
      <c r="C736" t="s">
        <v>268</v>
      </c>
      <c r="D736" t="s">
        <v>269</v>
      </c>
      <c r="E736" t="s">
        <v>270</v>
      </c>
      <c r="F736" t="s">
        <v>271</v>
      </c>
      <c r="G736" t="s">
        <v>272</v>
      </c>
      <c r="H736" t="s">
        <v>255</v>
      </c>
      <c r="I736">
        <v>2022</v>
      </c>
      <c r="J736">
        <v>0</v>
      </c>
      <c r="K736" t="s">
        <v>273</v>
      </c>
      <c r="M736" t="str">
        <f>LEFT($D736,FIND(",",$D736)-1)&amp;"_"&amp;I736&amp;L736</f>
        <v>Aryapratama_2022</v>
      </c>
      <c r="N736" t="s">
        <v>223</v>
      </c>
      <c r="O736" s="145" t="s">
        <v>275</v>
      </c>
      <c r="Q736" t="s">
        <v>225</v>
      </c>
      <c r="R736" s="264" t="s">
        <v>224</v>
      </c>
      <c r="S736" s="1" t="s">
        <v>320</v>
      </c>
      <c r="T736" t="s">
        <v>313</v>
      </c>
      <c r="U736" t="s">
        <v>284</v>
      </c>
      <c r="V736">
        <v>0</v>
      </c>
      <c r="W736">
        <v>0</v>
      </c>
      <c r="X736">
        <v>0</v>
      </c>
      <c r="Y736">
        <v>0</v>
      </c>
      <c r="Z736">
        <v>0</v>
      </c>
      <c r="AA736">
        <v>0</v>
      </c>
      <c r="AB736">
        <v>0</v>
      </c>
      <c r="AC736">
        <v>0</v>
      </c>
      <c r="AD736">
        <v>0</v>
      </c>
      <c r="AE736">
        <v>0</v>
      </c>
      <c r="AF736">
        <v>1</v>
      </c>
      <c r="AG736">
        <v>0</v>
      </c>
      <c r="AH736">
        <v>0</v>
      </c>
      <c r="AI736">
        <v>0</v>
      </c>
      <c r="AJ736">
        <v>0</v>
      </c>
      <c r="AK736">
        <v>0</v>
      </c>
      <c r="AL736">
        <v>0</v>
      </c>
      <c r="AM736">
        <v>0</v>
      </c>
      <c r="AN736">
        <v>0</v>
      </c>
      <c r="AO736">
        <v>0</v>
      </c>
      <c r="AP736">
        <v>0</v>
      </c>
      <c r="AQ736">
        <v>0</v>
      </c>
      <c r="AR736">
        <v>0</v>
      </c>
      <c r="AS736">
        <v>0</v>
      </c>
      <c r="AT736">
        <v>0</v>
      </c>
      <c r="AU736">
        <v>0</v>
      </c>
      <c r="AV736">
        <v>0</v>
      </c>
      <c r="AW736">
        <v>0</v>
      </c>
      <c r="AX736" s="141">
        <f>COUNTIF(V736:AW736,"&lt;&gt;0")</f>
        <v>1</v>
      </c>
      <c r="AY736" s="141">
        <f>COUNTIF(V736:AL736,"&lt;&gt;0")</f>
        <v>1</v>
      </c>
      <c r="AZ736">
        <f>COUNTIF(V736:AC736,"&lt;&gt;0")</f>
        <v>0</v>
      </c>
      <c r="BA736">
        <f>COUNTIF(AD736:AI736,"&lt;&gt;0")</f>
        <v>1</v>
      </c>
      <c r="BB736">
        <f>COUNTIF(AJ736:AL736,"&lt;&gt;0")</f>
        <v>0</v>
      </c>
      <c r="BC736">
        <f>COUNTIF(AS736:AW736,"&lt;&gt;0")</f>
        <v>0</v>
      </c>
      <c r="BD736">
        <f>COUNTIF(AM736:AR736,"&lt;&gt;0")</f>
        <v>0</v>
      </c>
      <c r="BE736" t="str">
        <f t="array" ref="BE736">IF(AY736=1,INDEX($V$7:$AL$7,MATCH(TRUE,INDEX($V736:$AW736&lt;&gt;0,),0)),IF(AY736=0,INDEX($AM$7:$AW$7,MATCH(1,$AM736:$AW736,0)),IF(BF736="Multiple strategies","mixed drivers",IF(BF736="Supply chain","multiple supply","multiple silviculture"))))</f>
        <v>supply chain organization</v>
      </c>
      <c r="BF736" s="2" t="str" cm="1">
        <f t="array" ref="BF736">IF(COUNTIF(AZ736:BB736,"&lt;&gt;0")=1,INDEX($V$4:$AW$4,MATCH(TRUE,INDEX($V736:$AW736&lt;&gt;0,),0)),IF(COUNTIF(AZ736:BB736,"&lt;&gt;0")=0,INDEX($AM$4:$AW$4,MATCH(1,$AM736:$AW736,0)),"Multiple strategies"))</f>
        <v>Supply chain</v>
      </c>
      <c r="BG736" s="1" t="s">
        <v>322</v>
      </c>
      <c r="BH736" s="146" t="s">
        <v>323</v>
      </c>
      <c r="BI736" t="s">
        <v>324</v>
      </c>
      <c r="BJ736" t="s">
        <v>279</v>
      </c>
      <c r="BK736" s="148">
        <v>9.6371132903994159</v>
      </c>
      <c r="BL736" s="148">
        <v>9.6371132903994159</v>
      </c>
      <c r="BM736">
        <f>BL736/BK736</f>
        <v>1</v>
      </c>
      <c r="BN736">
        <f>BL736-BK736</f>
        <v>0</v>
      </c>
      <c r="BO736">
        <f>BN736*tC_to_m3</f>
        <v>0</v>
      </c>
      <c r="BP736" t="s">
        <v>233</v>
      </c>
      <c r="BQ736" s="153" t="s">
        <v>3109</v>
      </c>
      <c r="BR736" t="s">
        <v>280</v>
      </c>
      <c r="BS736">
        <v>726.845318289901</v>
      </c>
      <c r="BT736">
        <v>739.24076084648095</v>
      </c>
      <c r="BU736" s="144">
        <f>IFERROR(BS736/BT736,"")</f>
        <v>0.98323219820510666</v>
      </c>
      <c r="BV736">
        <f>BS736-BT736</f>
        <v>-12.395442556579951</v>
      </c>
      <c r="BX736">
        <f>BV736</f>
        <v>-12.395442556579951</v>
      </c>
      <c r="BY736" t="str">
        <f>IFERROR(BX736/BO736,"")</f>
        <v/>
      </c>
      <c r="BZ736">
        <v>0</v>
      </c>
      <c r="CA736">
        <v>0</v>
      </c>
      <c r="CB736">
        <v>0</v>
      </c>
      <c r="CC736">
        <v>0</v>
      </c>
      <c r="CD736">
        <v>0</v>
      </c>
      <c r="CE736">
        <v>0</v>
      </c>
      <c r="CF736">
        <v>0</v>
      </c>
      <c r="CG736">
        <v>0</v>
      </c>
      <c r="CH736">
        <v>0</v>
      </c>
      <c r="CI736">
        <v>0</v>
      </c>
      <c r="CJ736">
        <v>0</v>
      </c>
      <c r="CK736">
        <v>0</v>
      </c>
      <c r="CL736">
        <v>0</v>
      </c>
      <c r="CM736">
        <v>0</v>
      </c>
      <c r="CN736" t="str">
        <f>IF($BL736&lt;$BK736,"refNeedCorrection","refOK")</f>
        <v>refOK</v>
      </c>
      <c r="CO736">
        <f>IF($CN736="refOK",$BK736,$BL736)</f>
        <v>9.6371132903994159</v>
      </c>
      <c r="CP736">
        <f>IF($CN736="refOK",$BL736,$BK736)</f>
        <v>9.6371132903994159</v>
      </c>
      <c r="CQ736">
        <f>IF($CN736="refOK",$BO736,-$BO736)</f>
        <v>0</v>
      </c>
      <c r="CR736">
        <f>IF($CN736="refOK",$BT736,$BS736)*IF($BP736="Emissions positive",-1,1)</f>
        <v>739.24076084648095</v>
      </c>
      <c r="CS736">
        <f>IF($CN736="refOK",$BS736,$BT736)*IF($BP736="Emissions positive",-1,1)</f>
        <v>726.845318289901</v>
      </c>
      <c r="CT736">
        <f>IF($CN736="refNeedCorrection",-BX736,BX736)*IF($BP736="Emissions positive",-1,1)</f>
        <v>-12.395442556579951</v>
      </c>
      <c r="CU736" t="str">
        <f>IFERROR(CT736/CQ736,"")</f>
        <v/>
      </c>
      <c r="CV736" s="2">
        <f>IFERROR((CS736-CR736)/ABS(CR736),"")</f>
        <v>-1.6767801794893351E-2</v>
      </c>
      <c r="CW736" s="1" t="s">
        <v>235</v>
      </c>
      <c r="CX736" t="str">
        <f>IF(OR($CW736="prd",$CW736="std",$CW736="cit"),"loc",IF(OR($CW736="eur",$CW736="reg",$CW736="coy"),"reg",$CW736))</f>
        <v>loc</v>
      </c>
      <c r="CY736" t="s">
        <v>281</v>
      </c>
      <c r="DB736">
        <v>200</v>
      </c>
      <c r="DC736" t="str">
        <f>IF(DB736=0,"0",IF(AND(DB736&gt;=1,DB736&lt;=30),"1-30",IF(AND(DB736&gt;30,DB736&lt;=70),"31-70",IF(AND(DB736&gt;70,DB736&lt;=100),"71-100",IF(DB736&gt;100,"+100")))))</f>
        <v>+100</v>
      </c>
      <c r="DD736">
        <v>0</v>
      </c>
      <c r="DE736">
        <v>1</v>
      </c>
      <c r="DF736">
        <v>0</v>
      </c>
      <c r="DG736">
        <v>1</v>
      </c>
      <c r="DI736">
        <f>SUM(DD736:DG736)</f>
        <v>2</v>
      </c>
      <c r="DJ736" t="str">
        <f>IF(DI736=1,INDEX($DD$7:$DG$7,MATCH(1,$DD736:$DG736,0)),"mixedProduct")</f>
        <v>mixedProduct</v>
      </c>
      <c r="DK736">
        <f>IF(DD736=1,DK$7,0)</f>
        <v>0</v>
      </c>
      <c r="DL736" t="str">
        <f>IF(DE736=1,DL$7,0)</f>
        <v>Energy</v>
      </c>
      <c r="DM736">
        <f>IF(DF736=1,DM$7,0)</f>
        <v>0</v>
      </c>
      <c r="DN736" t="str">
        <f>IF(DG736=1,DN$7,0)</f>
        <v>Timber</v>
      </c>
      <c r="DO736">
        <v>0</v>
      </c>
      <c r="DP736">
        <v>1</v>
      </c>
      <c r="DQ736" t="s">
        <v>305</v>
      </c>
      <c r="DR736" t="s">
        <v>282</v>
      </c>
      <c r="DS736">
        <v>0</v>
      </c>
      <c r="DT736">
        <f>SUM(DO736:DP736)</f>
        <v>1</v>
      </c>
      <c r="DU736" s="143" t="str">
        <f>IF(DO736=1,"self-calculated DF",IF(DP736=1,"external DF used","explicit C balance"))</f>
        <v>external DF used</v>
      </c>
      <c r="DV736">
        <v>0</v>
      </c>
      <c r="DW736">
        <v>1</v>
      </c>
      <c r="DX736">
        <v>1</v>
      </c>
      <c r="DY736">
        <v>1</v>
      </c>
      <c r="DZ736">
        <v>1</v>
      </c>
      <c r="EA736" s="143">
        <v>0</v>
      </c>
      <c r="EB736">
        <v>1</v>
      </c>
      <c r="EC736">
        <v>1</v>
      </c>
      <c r="ED736">
        <v>0</v>
      </c>
      <c r="EE736">
        <v>1</v>
      </c>
      <c r="EF736">
        <v>1</v>
      </c>
      <c r="EG736">
        <v>1</v>
      </c>
      <c r="EH736">
        <v>0</v>
      </c>
      <c r="EI736" s="2">
        <v>0</v>
      </c>
      <c r="EK736" t="str">
        <f>IF(AND(AND(AND(OR($DX736=1,$DW736=1),OR($EC736=1,$EA736=1)),SUM($DV736:$DZ736,$EF736)&gt;=4),SUM($EA736:$EE736)&gt;=2),"Whole sector","")</f>
        <v>Whole sector</v>
      </c>
      <c r="EL736" t="str">
        <f>IF(AND(AND(OR($DX736=1,$DW736=1),AND($EC736=0,$EA736=0)),SUM($DV736:$DZ736,$EF736)&gt;=4),"Ecosystem approach","")</f>
        <v/>
      </c>
      <c r="EM736" s="2" t="str">
        <f>IF(AND(AND(AND($DX736=0,$DW736=0),OR($EC736=1,$EA736=1)),SUM($EB736:$EE736)&gt;=2),"Technology approach","")</f>
        <v/>
      </c>
      <c r="EN736" t="s">
        <v>325</v>
      </c>
      <c r="EP736" t="b">
        <f>IF(ISNUMBER(BU736),IF(ABS(BU736-[2]QC_indicators!$B$2)&gt;3*[2]QC_indicators!$C$2,"C ratio",IF(ISNUMBER(BY736),IF(ABS(BY736-[2]QC_indicators!$B$1)&gt;3*[2]QC_indicators!$C$1,"DF","no"))),IF(ISNUMBER(BY736),IF(ABS(BY736-[2]QC_indicators!$B$1)&gt;3*[2]QC_indicators!$C$1,"DF","no")))</f>
        <v>0</v>
      </c>
      <c r="EQ736" t="s">
        <v>287</v>
      </c>
      <c r="ER736" s="147" t="s">
        <v>326</v>
      </c>
      <c r="ET736" s="266" t="s">
        <v>3275</v>
      </c>
    </row>
    <row r="737" spans="1:150" ht="15" hidden="1" customHeight="1">
      <c r="A737" s="1" t="s">
        <v>266</v>
      </c>
      <c r="B737" t="s">
        <v>267</v>
      </c>
      <c r="C737" t="s">
        <v>268</v>
      </c>
      <c r="D737" t="s">
        <v>269</v>
      </c>
      <c r="E737" t="s">
        <v>270</v>
      </c>
      <c r="F737" t="s">
        <v>271</v>
      </c>
      <c r="G737" t="s">
        <v>272</v>
      </c>
      <c r="H737" t="s">
        <v>255</v>
      </c>
      <c r="I737">
        <v>2022</v>
      </c>
      <c r="J737">
        <v>0</v>
      </c>
      <c r="K737" t="s">
        <v>273</v>
      </c>
      <c r="M737" t="str">
        <f>LEFT($D737,FIND(",",$D737)-1)&amp;"_"&amp;I737&amp;L737</f>
        <v>Aryapratama_2022</v>
      </c>
      <c r="N737" t="s">
        <v>223</v>
      </c>
      <c r="O737" s="145" t="s">
        <v>275</v>
      </c>
      <c r="Q737" t="s">
        <v>225</v>
      </c>
      <c r="R737" s="264" t="s">
        <v>224</v>
      </c>
      <c r="S737" s="265" t="s">
        <v>3110</v>
      </c>
      <c r="T737" t="s">
        <v>284</v>
      </c>
      <c r="U737" t="s">
        <v>285</v>
      </c>
      <c r="V737">
        <v>0</v>
      </c>
      <c r="W737">
        <v>0</v>
      </c>
      <c r="X737">
        <v>0</v>
      </c>
      <c r="Y737">
        <v>0</v>
      </c>
      <c r="Z737">
        <v>0</v>
      </c>
      <c r="AA737">
        <v>0</v>
      </c>
      <c r="AB737">
        <v>0</v>
      </c>
      <c r="AC737">
        <v>0</v>
      </c>
      <c r="AD737">
        <v>1</v>
      </c>
      <c r="AE737">
        <v>0</v>
      </c>
      <c r="AF737">
        <v>0</v>
      </c>
      <c r="AG737">
        <v>0</v>
      </c>
      <c r="AH737">
        <v>0</v>
      </c>
      <c r="AI737">
        <v>0</v>
      </c>
      <c r="AJ737">
        <v>0</v>
      </c>
      <c r="AK737">
        <v>0</v>
      </c>
      <c r="AL737">
        <v>0</v>
      </c>
      <c r="AM737">
        <v>0</v>
      </c>
      <c r="AN737">
        <v>0</v>
      </c>
      <c r="AO737">
        <v>0</v>
      </c>
      <c r="AP737">
        <v>0</v>
      </c>
      <c r="AQ737">
        <v>0</v>
      </c>
      <c r="AR737">
        <v>0</v>
      </c>
      <c r="AS737">
        <v>0</v>
      </c>
      <c r="AT737">
        <v>0</v>
      </c>
      <c r="AU737">
        <v>0</v>
      </c>
      <c r="AV737">
        <v>0</v>
      </c>
      <c r="AW737">
        <v>0</v>
      </c>
      <c r="AX737" s="141">
        <f>COUNTIF(V737:AW737,"&lt;&gt;0")</f>
        <v>1</v>
      </c>
      <c r="AY737" s="141">
        <f>COUNTIF(V737:AL737,"&lt;&gt;0")</f>
        <v>1</v>
      </c>
      <c r="AZ737">
        <f>COUNTIF(V737:AC737,"&lt;&gt;0")</f>
        <v>0</v>
      </c>
      <c r="BA737">
        <f>COUNTIF(AD737:AI737,"&lt;&gt;0")</f>
        <v>1</v>
      </c>
      <c r="BB737">
        <f>COUNTIF(AJ737:AL737,"&lt;&gt;0")</f>
        <v>0</v>
      </c>
      <c r="BC737">
        <f>COUNTIF(AS737:AW737,"&lt;&gt;0")</f>
        <v>0</v>
      </c>
      <c r="BD737">
        <f>COUNTIF(AM737:AR737,"&lt;&gt;0")</f>
        <v>0</v>
      </c>
      <c r="BE737" t="str">
        <f t="array" ref="BE737">IF(AY737=1,INDEX($V$7:$AL$7,MATCH(TRUE,INDEX($V737:$AW737&lt;&gt;0,),0)),IF(AY737=0,INDEX($AM$7:$AW$7,MATCH(1,$AM737:$AW737,0)),IF(BF737="Multiple strategies","mixed drivers",IF(BF737="Supply chain","multiple supply","multiple silviculture"))))</f>
        <v>harvesting system</v>
      </c>
      <c r="BF737" s="2" t="str" cm="1">
        <f t="array" ref="BF737">IF(COUNTIF(AZ737:BB737,"&lt;&gt;0")=1,INDEX($V$4:$AW$4,MATCH(TRUE,INDEX($V737:$AW737&lt;&gt;0,),0)),IF(COUNTIF(AZ737:BB737,"&lt;&gt;0")=0,INDEX($AM$4:$AW$4,MATCH(1,$AM737:$AW737,0)),"Multiple strategies"))</f>
        <v>Supply chain</v>
      </c>
      <c r="BG737" s="1" t="s">
        <v>230</v>
      </c>
      <c r="BH737" t="s">
        <v>286</v>
      </c>
      <c r="BJ737" t="s">
        <v>279</v>
      </c>
      <c r="BK737">
        <v>34.69360784543791</v>
      </c>
      <c r="BL737">
        <v>34.69360784543791</v>
      </c>
      <c r="BM737">
        <f>BL737/BK737</f>
        <v>1</v>
      </c>
      <c r="BN737">
        <f>BL737-BK737</f>
        <v>0</v>
      </c>
      <c r="BO737">
        <f>BN737*tC_to_m3</f>
        <v>0</v>
      </c>
      <c r="BP737" t="s">
        <v>233</v>
      </c>
      <c r="BQ737" s="153" t="s">
        <v>3109</v>
      </c>
      <c r="BR737" t="s">
        <v>280</v>
      </c>
      <c r="BS737">
        <v>739.24076084648095</v>
      </c>
      <c r="BT737">
        <v>377.50107760210591</v>
      </c>
      <c r="BU737" s="144">
        <f>IFERROR(BT737/BS737,"")</f>
        <v>0.51066052847226862</v>
      </c>
      <c r="BV737">
        <f>BT737-BS737</f>
        <v>-361.73968324437504</v>
      </c>
      <c r="BX737">
        <f>BV737</f>
        <v>-361.73968324437504</v>
      </c>
      <c r="BY737" t="str">
        <f>IFERROR(BX737/BO737,"")</f>
        <v/>
      </c>
      <c r="BZ737">
        <v>0</v>
      </c>
      <c r="CA737">
        <v>0</v>
      </c>
      <c r="CB737">
        <v>0</v>
      </c>
      <c r="CC737">
        <v>0</v>
      </c>
      <c r="CD737">
        <v>0</v>
      </c>
      <c r="CE737">
        <v>0</v>
      </c>
      <c r="CF737">
        <v>0</v>
      </c>
      <c r="CG737">
        <v>0</v>
      </c>
      <c r="CH737">
        <v>0</v>
      </c>
      <c r="CI737">
        <v>0</v>
      </c>
      <c r="CJ737">
        <v>0</v>
      </c>
      <c r="CK737">
        <v>0</v>
      </c>
      <c r="CL737">
        <v>0</v>
      </c>
      <c r="CM737">
        <v>0</v>
      </c>
      <c r="CN737" t="str">
        <f>IF($BL737&lt;$BK737,"refNeedCorrection","refOK")</f>
        <v>refOK</v>
      </c>
      <c r="CO737">
        <f>IF($CN737="refOK",$BK737,$BL737)</f>
        <v>34.69360784543791</v>
      </c>
      <c r="CP737">
        <f>IF($CN737="refOK",$BL737,$BK737)</f>
        <v>34.69360784543791</v>
      </c>
      <c r="CQ737">
        <f>IF($CN737="refOK",$BO737,-$BO737)</f>
        <v>0</v>
      </c>
      <c r="CR737">
        <f>IF($CN737="refOK",$BS737,$BT737)*IF($BP737="Emissions positive",-1,1)</f>
        <v>739.24076084648095</v>
      </c>
      <c r="CS737">
        <f>IF($CN737="refOK",$BT737,$BS737)*IF($BP737="Emissions positive",-1,1)</f>
        <v>377.50107760210591</v>
      </c>
      <c r="CT737">
        <f>IF($CN737="refNeedCorrection",-BX737,BX737)*IF($BP737="Emissions positive",-1,1)</f>
        <v>-361.73968324437504</v>
      </c>
      <c r="CU737" t="str">
        <f>IFERROR(CT737/CQ737,"")</f>
        <v/>
      </c>
      <c r="CV737" s="2">
        <f>IFERROR((CS737-CR737)/ABS(CR737),"")</f>
        <v>-0.48933947152773138</v>
      </c>
      <c r="CW737" s="1" t="s">
        <v>235</v>
      </c>
      <c r="CX737" t="str">
        <f>IF(OR($CW737="prd",$CW737="std",$CW737="cit"),"loc",IF(OR($CW737="eur",$CW737="reg",$CW737="coy"),"reg",$CW737))</f>
        <v>loc</v>
      </c>
      <c r="CY737" t="s">
        <v>281</v>
      </c>
      <c r="DB737">
        <v>200</v>
      </c>
      <c r="DC737" t="str">
        <f>IF(DB737=0,"0",IF(AND(DB737&gt;=1,DB737&lt;=30),"1-30",IF(AND(DB737&gt;30,DB737&lt;=70),"31-70",IF(AND(DB737&gt;70,DB737&lt;=100),"71-100",IF(DB737&gt;100,"+100")))))</f>
        <v>+100</v>
      </c>
      <c r="DD737">
        <v>0</v>
      </c>
      <c r="DE737">
        <v>0</v>
      </c>
      <c r="DF737">
        <v>0</v>
      </c>
      <c r="DG737">
        <v>1</v>
      </c>
      <c r="DI737">
        <f>SUM(DD737:DG737)</f>
        <v>1</v>
      </c>
      <c r="DJ737" t="str">
        <f>IF(DI737=1,INDEX($DD$7:$DG$7,MATCH(1,$DD737:$DG737,0)),"mixedProduct")</f>
        <v>TimberInput</v>
      </c>
      <c r="DK737">
        <f>IF(DD737=1,DK$7,0)</f>
        <v>0</v>
      </c>
      <c r="DL737">
        <f>IF(DE737=1,DL$7,0)</f>
        <v>0</v>
      </c>
      <c r="DM737">
        <f>IF(DF737=1,DM$7,0)</f>
        <v>0</v>
      </c>
      <c r="DN737" t="str">
        <f>IF(DG737=1,DN$7,0)</f>
        <v>Timber</v>
      </c>
      <c r="DO737">
        <v>0</v>
      </c>
      <c r="DP737">
        <v>1</v>
      </c>
      <c r="DQ737">
        <v>0</v>
      </c>
      <c r="DR737" t="s">
        <v>282</v>
      </c>
      <c r="DS737">
        <v>0</v>
      </c>
      <c r="DT737">
        <f>SUM(DO737:DP737)</f>
        <v>1</v>
      </c>
      <c r="DU737" s="143" t="str">
        <f>IF(DO737=1,"self-calculated DF",IF(DP737=1,"external DF used","explicit C balance"))</f>
        <v>external DF used</v>
      </c>
      <c r="DV737">
        <v>0</v>
      </c>
      <c r="DW737">
        <v>1</v>
      </c>
      <c r="DX737">
        <v>1</v>
      </c>
      <c r="DY737">
        <v>1</v>
      </c>
      <c r="DZ737">
        <v>1</v>
      </c>
      <c r="EA737" s="143">
        <v>0</v>
      </c>
      <c r="EB737">
        <v>1</v>
      </c>
      <c r="EC737">
        <v>1</v>
      </c>
      <c r="ED737">
        <v>0</v>
      </c>
      <c r="EE737">
        <v>1</v>
      </c>
      <c r="EF737">
        <v>1</v>
      </c>
      <c r="EG737">
        <v>1</v>
      </c>
      <c r="EH737">
        <v>0</v>
      </c>
      <c r="EI737" s="2">
        <v>0</v>
      </c>
      <c r="EK737" t="str">
        <f>IF(AND(AND(AND(OR($DX737=1,$DW737=1),OR($EC737=1,$EA737=1)),SUM($DV737:$DZ737,$EF737)&gt;=4),SUM($EA737:$EE737)&gt;=2),"Whole sector","")</f>
        <v>Whole sector</v>
      </c>
      <c r="EL737" t="str">
        <f>IF(AND(AND(OR($DX737=1,$DW737=1),AND($EC737=0,$EA737=0)),SUM($DV737:$DZ737,$EF737)&gt;=4),"Ecosystem approach","")</f>
        <v/>
      </c>
      <c r="EM737" s="2" t="str">
        <f>IF(AND(AND(AND($DX737=0,$DW737=0),OR($EC737=1,$EA737=1)),SUM($EB737:$EE737)&gt;=2),"Technology approach","")</f>
        <v/>
      </c>
      <c r="EP737" t="b">
        <f>IF(ISNUMBER(BU737),IF(ABS(BU737-[2]QC_indicators!$B$2)&gt;3*[2]QC_indicators!$C$2,"C ratio",IF(ISNUMBER(BY737),IF(ABS(BY737-[2]QC_indicators!$B$1)&gt;3*[2]QC_indicators!$C$1,"DF","no"))),IF(ISNUMBER(BY737),IF(ABS(BY737-[2]QC_indicators!$B$1)&gt;3*[2]QC_indicators!$C$1,"DF","no")))</f>
        <v>0</v>
      </c>
      <c r="EQ737" t="s">
        <v>287</v>
      </c>
      <c r="ET737" s="266" t="s">
        <v>3275</v>
      </c>
    </row>
    <row r="738" spans="1:150" ht="15" hidden="1" customHeight="1">
      <c r="A738" s="1" t="s">
        <v>266</v>
      </c>
      <c r="B738" t="s">
        <v>1533</v>
      </c>
      <c r="C738" t="s">
        <v>1534</v>
      </c>
      <c r="D738" t="s">
        <v>1535</v>
      </c>
      <c r="E738" t="s">
        <v>1536</v>
      </c>
      <c r="F738" t="s">
        <v>1537</v>
      </c>
      <c r="G738" t="s">
        <v>272</v>
      </c>
      <c r="H738" t="s">
        <v>255</v>
      </c>
      <c r="I738">
        <v>2019</v>
      </c>
      <c r="J738">
        <v>26</v>
      </c>
      <c r="K738" t="s">
        <v>1538</v>
      </c>
      <c r="M738" t="str">
        <f>LEFT($D738,FIND(",",$D738)-1)&amp;"_"&amp;I738&amp;L738</f>
        <v>Faraca_2019</v>
      </c>
      <c r="N738" t="s">
        <v>223</v>
      </c>
      <c r="O738" s="145" t="s">
        <v>275</v>
      </c>
      <c r="Q738" t="s">
        <v>257</v>
      </c>
      <c r="R738" s="264" t="s">
        <v>224</v>
      </c>
      <c r="S738" s="265" t="s">
        <v>3124</v>
      </c>
      <c r="T738" t="s">
        <v>1545</v>
      </c>
      <c r="U738" t="s">
        <v>1547</v>
      </c>
      <c r="V738">
        <v>0</v>
      </c>
      <c r="W738">
        <v>0</v>
      </c>
      <c r="X738">
        <v>0</v>
      </c>
      <c r="Y738">
        <v>0</v>
      </c>
      <c r="Z738">
        <v>0</v>
      </c>
      <c r="AA738">
        <v>0</v>
      </c>
      <c r="AB738">
        <v>0</v>
      </c>
      <c r="AC738">
        <v>0</v>
      </c>
      <c r="AD738">
        <v>0</v>
      </c>
      <c r="AE738">
        <v>0</v>
      </c>
      <c r="AF738">
        <v>0</v>
      </c>
      <c r="AG738">
        <v>0</v>
      </c>
      <c r="AH738">
        <v>0</v>
      </c>
      <c r="AI738">
        <v>1</v>
      </c>
      <c r="AJ738">
        <v>0</v>
      </c>
      <c r="AK738">
        <v>0</v>
      </c>
      <c r="AL738">
        <v>0</v>
      </c>
      <c r="AM738">
        <v>0</v>
      </c>
      <c r="AN738">
        <v>0</v>
      </c>
      <c r="AO738">
        <v>0</v>
      </c>
      <c r="AP738">
        <v>0</v>
      </c>
      <c r="AQ738">
        <v>0</v>
      </c>
      <c r="AR738">
        <v>0</v>
      </c>
      <c r="AS738">
        <v>0</v>
      </c>
      <c r="AT738">
        <v>0</v>
      </c>
      <c r="AU738">
        <v>0</v>
      </c>
      <c r="AV738">
        <v>0</v>
      </c>
      <c r="AW738">
        <v>0</v>
      </c>
      <c r="AX738" s="141">
        <f>COUNTIF(V738:AW738,"&lt;&gt;0")</f>
        <v>1</v>
      </c>
      <c r="AY738" s="141">
        <f>COUNTIF(V738:AL738,"&lt;&gt;0")</f>
        <v>1</v>
      </c>
      <c r="AZ738">
        <f>COUNTIF(V738:AC738,"&lt;&gt;0")</f>
        <v>0</v>
      </c>
      <c r="BA738">
        <f>COUNTIF(AD738:AI738,"&lt;&gt;0")</f>
        <v>1</v>
      </c>
      <c r="BB738">
        <f>COUNTIF(AJ738:AL738,"&lt;&gt;0")</f>
        <v>0</v>
      </c>
      <c r="BC738">
        <f>COUNTIF(AS738:AW738,"&lt;&gt;0")</f>
        <v>0</v>
      </c>
      <c r="BD738">
        <f>COUNTIF(AM738:AR738,"&lt;&gt;0")</f>
        <v>0</v>
      </c>
      <c r="BE738" t="str">
        <f t="array" ref="BE738">IF(AY738=1,INDEX($V$7:$AL$7,MATCH(TRUE,INDEX($V738:$AW738&lt;&gt;0,),0)),IF(AY738=0,INDEX($AM$7:$AW$7,MATCH(1,$AM738:$AW738,0)),IF(BF738="Multiple strategies","mixed drivers",IF(BF738="Supply chain","multiple supply","multiple silviculture"))))</f>
        <v>products lifespan</v>
      </c>
      <c r="BF738" s="2" t="str" cm="1">
        <f t="array" ref="BF738">IF(COUNTIF(AZ738:BB738,"&lt;&gt;0")=1,INDEX($V$4:$AW$4,MATCH(TRUE,INDEX($V738:$AW738&lt;&gt;0,),0)),IF(COUNTIF(AZ738:BB738,"&lt;&gt;0")=0,INDEX($AM$4:$AW$4,MATCH(1,$AM738:$AW738,0)),"Multiple strategies"))</f>
        <v>Supply chain</v>
      </c>
      <c r="BG738" s="1" t="s">
        <v>230</v>
      </c>
      <c r="BH738" t="s">
        <v>1550</v>
      </c>
      <c r="BI738" s="266" t="s">
        <v>3123</v>
      </c>
      <c r="BJ738" t="s">
        <v>346</v>
      </c>
      <c r="BK738">
        <v>478</v>
      </c>
      <c r="BL738">
        <v>922</v>
      </c>
      <c r="BM738">
        <f>BK738/BL738</f>
        <v>0.51843817787418656</v>
      </c>
      <c r="BN738">
        <f>BL738-BK738</f>
        <v>444</v>
      </c>
      <c r="BO738">
        <f>BN738*kg_to_m3</f>
        <v>0.90612244897959193</v>
      </c>
      <c r="BP738" t="s">
        <v>396</v>
      </c>
      <c r="BQ738" s="266" t="s">
        <v>427</v>
      </c>
      <c r="BR738" t="s">
        <v>730</v>
      </c>
      <c r="BS738">
        <v>-206.9</v>
      </c>
      <c r="BT738">
        <v>-55.2</v>
      </c>
      <c r="BU738" s="144"/>
      <c r="BV738">
        <f>BT738-BS738</f>
        <v>151.69999999999999</v>
      </c>
      <c r="BX738">
        <f>BV738/1000</f>
        <v>0.1517</v>
      </c>
      <c r="BY738">
        <f>IFERROR(BX738/BO738,"")</f>
        <v>0.16741666666666666</v>
      </c>
      <c r="BZ738">
        <v>0</v>
      </c>
      <c r="CA738">
        <v>0</v>
      </c>
      <c r="CB738">
        <v>0</v>
      </c>
      <c r="CC738">
        <v>0</v>
      </c>
      <c r="CD738">
        <v>0</v>
      </c>
      <c r="CE738">
        <v>0</v>
      </c>
      <c r="CF738">
        <v>0</v>
      </c>
      <c r="CG738">
        <v>0</v>
      </c>
      <c r="CH738">
        <v>0</v>
      </c>
      <c r="CI738">
        <v>0</v>
      </c>
      <c r="CJ738">
        <v>0</v>
      </c>
      <c r="CK738">
        <v>0</v>
      </c>
      <c r="CL738">
        <v>0</v>
      </c>
      <c r="CM738">
        <v>0</v>
      </c>
      <c r="CN738" t="str">
        <f>IF($BL738&lt;$BK738,"refNeedCorrection","refOK")</f>
        <v>refOK</v>
      </c>
      <c r="CO738">
        <f>IF($CN738="refNeedCorrection",BL738,BK738)</f>
        <v>478</v>
      </c>
      <c r="CP738">
        <f>IF($CN738="refNeedCorrection",BK738,BL738)</f>
        <v>922</v>
      </c>
      <c r="CQ738">
        <f>IF($CN738="refOK",$BO738,-$BO738)</f>
        <v>0.90612244897959193</v>
      </c>
      <c r="CR738">
        <f>IF($CN738="refOK",$BS738,$BT738)*IF($BP738="Emissions positive",-1,1)</f>
        <v>206.9</v>
      </c>
      <c r="CS738">
        <f>IF($CN738="refOK",$BT738,$BS738)*IF($BP738="Emissions positive",-1,1)</f>
        <v>55.2</v>
      </c>
      <c r="CT738">
        <f>IF($CN738="refNeedCorrection",-BX738,BX738)*IF($BP738="Emissions positive",-1,1)</f>
        <v>-0.1517</v>
      </c>
      <c r="CU738">
        <f>IFERROR(CT738/CQ738,"")</f>
        <v>-0.16741666666666666</v>
      </c>
      <c r="CV738" s="2">
        <f>IFERROR((CS738-CR738)/ABS(CR738),"")</f>
        <v>-0.73320444659255668</v>
      </c>
      <c r="CW738" s="1" t="s">
        <v>1201</v>
      </c>
      <c r="CX738" t="str">
        <f>IF(OR($CW738="prd",$CW738="std",$CW738="cit"),"loc",IF(OR($CW738="eur",$CW738="reg",$CW738="coy"),"reg",$CW738))</f>
        <v>reg</v>
      </c>
      <c r="CY738" t="s">
        <v>1542</v>
      </c>
      <c r="DB738">
        <v>500</v>
      </c>
      <c r="DC738" t="str">
        <f>IF(DB738=0,"0",IF(AND(DB738&gt;=1,DB738&lt;=30),"1-30",IF(AND(DB738&gt;30,DB738&lt;=70),"31-70",IF(AND(DB738&gt;70,DB738&lt;=100),"71-100",IF(DB738&gt;100,"+100")))))</f>
        <v>+100</v>
      </c>
      <c r="DD738">
        <v>0</v>
      </c>
      <c r="DE738">
        <v>0</v>
      </c>
      <c r="DF738">
        <v>0</v>
      </c>
      <c r="DG738">
        <v>1</v>
      </c>
      <c r="DI738">
        <f>SUM(DD738:DG738)</f>
        <v>1</v>
      </c>
      <c r="DJ738" t="str">
        <f>IF(DI738=1,INDEX($DD$7:$DG$7,MATCH(1,$DD738:$DG738,0)),"mixedProduct")</f>
        <v>TimberInput</v>
      </c>
      <c r="DK738">
        <f>IF(DD738=1,DK$7,0)</f>
        <v>0</v>
      </c>
      <c r="DL738">
        <f>IF(DE738=1,DL$7,0)</f>
        <v>0</v>
      </c>
      <c r="DM738">
        <f>IF(DF738=1,DM$7,0)</f>
        <v>0</v>
      </c>
      <c r="DN738" t="str">
        <f>IF(DG738=1,DN$7,0)</f>
        <v>Timber</v>
      </c>
      <c r="DO738">
        <v>0</v>
      </c>
      <c r="DP738">
        <v>1</v>
      </c>
      <c r="DQ738">
        <v>0</v>
      </c>
      <c r="DR738">
        <v>0</v>
      </c>
      <c r="DS738" t="s">
        <v>1543</v>
      </c>
      <c r="DT738">
        <f>SUM(DO738:DP738)</f>
        <v>1</v>
      </c>
      <c r="DU738" s="143" t="str">
        <f>IF(DO738=1,"self-calculated DF",IF(DP738=1,"external DF used","explicit C balance"))</f>
        <v>external DF used</v>
      </c>
      <c r="DV738">
        <v>0</v>
      </c>
      <c r="DW738">
        <v>0</v>
      </c>
      <c r="DX738">
        <v>0</v>
      </c>
      <c r="DY738">
        <v>0</v>
      </c>
      <c r="DZ738">
        <v>1</v>
      </c>
      <c r="EA738" s="143">
        <v>1</v>
      </c>
      <c r="EB738">
        <v>0</v>
      </c>
      <c r="EC738">
        <v>1</v>
      </c>
      <c r="ED738">
        <v>0</v>
      </c>
      <c r="EE738">
        <v>1</v>
      </c>
      <c r="EF738">
        <v>1</v>
      </c>
      <c r="EG738">
        <v>1</v>
      </c>
      <c r="EH738">
        <v>0</v>
      </c>
      <c r="EI738" s="2">
        <v>0</v>
      </c>
      <c r="EK738" t="str">
        <f>IF(AND(AND(AND(OR($DX738=1,$DW738=1),OR($EC738=1,$EA738=1)),SUM($DV738:$DZ738,$EF738)&gt;=4),SUM($EA738:$EE738)&gt;=2),"Whole sector","")</f>
        <v/>
      </c>
      <c r="EL738" t="str">
        <f>IF(AND(AND(OR($DX738=1,$DW738=1),AND($EC738=0,$EA738=0)),SUM($DV738:$DZ738,$EF738)&gt;=4),"Ecosystem approach","")</f>
        <v/>
      </c>
      <c r="EM738" s="2" t="str">
        <f>IF(AND(AND(AND($DX738=0,$DW738=0),OR($EC738=1,$EA738=1)),SUM($EB738:$EE738)&gt;=2),"Technology approach","")</f>
        <v>Technology approach</v>
      </c>
      <c r="EP738" t="str">
        <f>IF(ISNUMBER(BU738),IF(ABS(BU738-[2]QC_indicators!$B$2)&gt;3*[2]QC_indicators!$C$2,"C ratio",IF(ISNUMBER(BY738),IF(ABS(BY738-[2]QC_indicators!$B$1)&gt;3*[2]QC_indicators!$C$1,"DF","no"))),IF(ISNUMBER(BY738),IF(ABS(BY738-[2]QC_indicators!$B$1)&gt;3*[2]QC_indicators!$C$1,"DF","no")))</f>
        <v>no</v>
      </c>
      <c r="ET738" s="266" t="s">
        <v>3275</v>
      </c>
    </row>
    <row r="739" spans="1:150" ht="15" hidden="1" customHeight="1">
      <c r="A739" s="1" t="s">
        <v>266</v>
      </c>
      <c r="B739" t="s">
        <v>1533</v>
      </c>
      <c r="C739" t="s">
        <v>1534</v>
      </c>
      <c r="D739" t="s">
        <v>1535</v>
      </c>
      <c r="E739" t="s">
        <v>1536</v>
      </c>
      <c r="F739" t="s">
        <v>1537</v>
      </c>
      <c r="G739" t="s">
        <v>272</v>
      </c>
      <c r="H739" t="s">
        <v>255</v>
      </c>
      <c r="I739">
        <v>2019</v>
      </c>
      <c r="J739">
        <v>26</v>
      </c>
      <c r="K739" t="s">
        <v>1538</v>
      </c>
      <c r="M739" t="str">
        <f>LEFT($D739,FIND(",",$D739)-1)&amp;"_"&amp;I739&amp;L739</f>
        <v>Faraca_2019</v>
      </c>
      <c r="N739" t="s">
        <v>223</v>
      </c>
      <c r="O739" s="145" t="s">
        <v>275</v>
      </c>
      <c r="Q739" t="s">
        <v>257</v>
      </c>
      <c r="R739" s="264" t="s">
        <v>224</v>
      </c>
      <c r="S739" s="265" t="s">
        <v>3124</v>
      </c>
      <c r="T739" t="s">
        <v>1545</v>
      </c>
      <c r="U739" t="s">
        <v>1546</v>
      </c>
      <c r="V739">
        <v>0</v>
      </c>
      <c r="W739">
        <v>0</v>
      </c>
      <c r="X739">
        <v>0</v>
      </c>
      <c r="Y739">
        <v>0</v>
      </c>
      <c r="Z739">
        <v>0</v>
      </c>
      <c r="AA739">
        <v>0</v>
      </c>
      <c r="AB739">
        <v>0</v>
      </c>
      <c r="AC739">
        <v>0</v>
      </c>
      <c r="AD739">
        <v>0</v>
      </c>
      <c r="AE739">
        <v>0</v>
      </c>
      <c r="AF739">
        <v>0</v>
      </c>
      <c r="AG739">
        <v>0</v>
      </c>
      <c r="AH739">
        <v>0</v>
      </c>
      <c r="AI739">
        <v>1</v>
      </c>
      <c r="AJ739">
        <v>0</v>
      </c>
      <c r="AK739">
        <v>0</v>
      </c>
      <c r="AL739">
        <v>0</v>
      </c>
      <c r="AM739">
        <v>0</v>
      </c>
      <c r="AN739">
        <v>0</v>
      </c>
      <c r="AO739">
        <v>0</v>
      </c>
      <c r="AP739">
        <v>0</v>
      </c>
      <c r="AQ739">
        <v>0</v>
      </c>
      <c r="AR739">
        <v>0</v>
      </c>
      <c r="AS739">
        <v>0</v>
      </c>
      <c r="AT739">
        <v>0</v>
      </c>
      <c r="AU739">
        <v>0</v>
      </c>
      <c r="AV739">
        <v>0</v>
      </c>
      <c r="AW739">
        <v>0</v>
      </c>
      <c r="AX739" s="141">
        <f>COUNTIF(V739:AW739,"&lt;&gt;0")</f>
        <v>1</v>
      </c>
      <c r="AY739" s="141">
        <f>COUNTIF(V739:AL739,"&lt;&gt;0")</f>
        <v>1</v>
      </c>
      <c r="AZ739">
        <f>COUNTIF(V739:AC739,"&lt;&gt;0")</f>
        <v>0</v>
      </c>
      <c r="BA739">
        <f>COUNTIF(AD739:AI739,"&lt;&gt;0")</f>
        <v>1</v>
      </c>
      <c r="BB739">
        <f>COUNTIF(AJ739:AL739,"&lt;&gt;0")</f>
        <v>0</v>
      </c>
      <c r="BC739">
        <f>COUNTIF(AS739:AW739,"&lt;&gt;0")</f>
        <v>0</v>
      </c>
      <c r="BD739">
        <f>COUNTIF(AM739:AR739,"&lt;&gt;0")</f>
        <v>0</v>
      </c>
      <c r="BE739" t="str">
        <f t="array" ref="BE739">IF(AY739=1,INDEX($V$7:$AL$7,MATCH(TRUE,INDEX($V739:$AW739&lt;&gt;0,),0)),IF(AY739=0,INDEX($AM$7:$AW$7,MATCH(1,$AM739:$AW739,0)),IF(BF739="Multiple strategies","mixed drivers",IF(BF739="Supply chain","multiple supply","multiple silviculture"))))</f>
        <v>products lifespan</v>
      </c>
      <c r="BF739" s="2" t="str" cm="1">
        <f t="array" ref="BF739">IF(COUNTIF(AZ739:BB739,"&lt;&gt;0")=1,INDEX($V$4:$AW$4,MATCH(TRUE,INDEX($V739:$AW739&lt;&gt;0,),0)),IF(COUNTIF(AZ739:BB739,"&lt;&gt;0")=0,INDEX($AM$4:$AW$4,MATCH(1,$AM739:$AW739,0)),"Multiple strategies"))</f>
        <v>Supply chain</v>
      </c>
      <c r="BG739" s="1" t="s">
        <v>230</v>
      </c>
      <c r="BH739" t="s">
        <v>1550</v>
      </c>
      <c r="BI739" s="266" t="s">
        <v>3123</v>
      </c>
      <c r="BJ739" t="s">
        <v>346</v>
      </c>
      <c r="BK739">
        <v>478</v>
      </c>
      <c r="BL739">
        <v>638</v>
      </c>
      <c r="BM739">
        <v>1</v>
      </c>
      <c r="BN739">
        <f>BL739-BK739</f>
        <v>160</v>
      </c>
      <c r="BO739">
        <f>BN739*kg_to_m3</f>
        <v>0.32653061224489799</v>
      </c>
      <c r="BP739" t="s">
        <v>396</v>
      </c>
      <c r="BQ739" s="266" t="s">
        <v>427</v>
      </c>
      <c r="BR739" t="s">
        <v>730</v>
      </c>
      <c r="BS739">
        <v>-206.9</v>
      </c>
      <c r="BT739">
        <v>-127.6</v>
      </c>
      <c r="BU739" s="144"/>
      <c r="BV739">
        <f>BT739-BS739</f>
        <v>79.300000000000011</v>
      </c>
      <c r="BX739">
        <f>BV739/1000</f>
        <v>7.9300000000000009E-2</v>
      </c>
      <c r="BY739">
        <f>IFERROR(BX739/BO739,"")</f>
        <v>0.24285625</v>
      </c>
      <c r="BZ739">
        <v>0</v>
      </c>
      <c r="CA739">
        <v>0</v>
      </c>
      <c r="CB739">
        <v>0</v>
      </c>
      <c r="CC739">
        <v>0</v>
      </c>
      <c r="CD739">
        <v>0</v>
      </c>
      <c r="CE739">
        <v>0</v>
      </c>
      <c r="CF739">
        <v>0</v>
      </c>
      <c r="CG739">
        <v>0</v>
      </c>
      <c r="CH739">
        <v>0</v>
      </c>
      <c r="CI739">
        <v>0</v>
      </c>
      <c r="CJ739">
        <v>0</v>
      </c>
      <c r="CK739">
        <v>0</v>
      </c>
      <c r="CL739">
        <v>0</v>
      </c>
      <c r="CM739">
        <v>0</v>
      </c>
      <c r="CN739" t="str">
        <f>IF($BL739&lt;$BK739,"refNeedCorrection","refOK")</f>
        <v>refOK</v>
      </c>
      <c r="CO739">
        <f>IF($CN739="refNeedCorrection",BK739,BL739)</f>
        <v>638</v>
      </c>
      <c r="CP739">
        <f>IF($CN739="refNeedCorrection",BL739,BK739)</f>
        <v>478</v>
      </c>
      <c r="CQ739">
        <f>IF($CN739="refOK",$BO739,-$BO739)</f>
        <v>0.32653061224489799</v>
      </c>
      <c r="CR739">
        <f>IF($CN739="refOK",$BS739,$BT739)*IF($BP739="Emissions positive",-1,1)</f>
        <v>206.9</v>
      </c>
      <c r="CS739">
        <f>IF($CN739="refOK",$BT739,$BS739)*IF($BP739="Emissions positive",-1,1)</f>
        <v>127.6</v>
      </c>
      <c r="CT739">
        <f>IF($CN739="refNeedCorrection",-BX739,BX739)*IF($BP739="Emissions positive",-1,1)</f>
        <v>-7.9300000000000009E-2</v>
      </c>
      <c r="CU739">
        <f>IFERROR(CT739/CQ739,"")</f>
        <v>-0.24285625</v>
      </c>
      <c r="CV739" s="2">
        <f>IFERROR((CS739-CR739)/ABS(CR739),"")</f>
        <v>-0.38327694538424362</v>
      </c>
      <c r="CW739" s="1" t="s">
        <v>1201</v>
      </c>
      <c r="CX739" t="str">
        <f>IF(OR($CW739="prd",$CW739="std",$CW739="cit"),"loc",IF(OR($CW739="eur",$CW739="reg",$CW739="coy"),"reg",$CW739))</f>
        <v>reg</v>
      </c>
      <c r="CY739" t="s">
        <v>1542</v>
      </c>
      <c r="DB739">
        <v>500</v>
      </c>
      <c r="DC739" t="str">
        <f>IF(DB739=0,"0",IF(AND(DB739&gt;=1,DB739&lt;=30),"1-30",IF(AND(DB739&gt;30,DB739&lt;=70),"31-70",IF(AND(DB739&gt;70,DB739&lt;=100),"71-100",IF(DB739&gt;100,"+100")))))</f>
        <v>+100</v>
      </c>
      <c r="DD739">
        <v>0</v>
      </c>
      <c r="DE739">
        <v>0</v>
      </c>
      <c r="DF739">
        <v>0</v>
      </c>
      <c r="DG739">
        <v>1</v>
      </c>
      <c r="DI739">
        <f>SUM(DD739:DG739)</f>
        <v>1</v>
      </c>
      <c r="DJ739" t="str">
        <f>IF(DI739=1,INDEX($DD$7:$DG$7,MATCH(1,$DD739:$DG739,0)),"mixedProduct")</f>
        <v>TimberInput</v>
      </c>
      <c r="DK739">
        <f>IF(DD739=1,DK$7,0)</f>
        <v>0</v>
      </c>
      <c r="DL739">
        <f>IF(DE739=1,DL$7,0)</f>
        <v>0</v>
      </c>
      <c r="DM739">
        <f>IF(DF739=1,DM$7,0)</f>
        <v>0</v>
      </c>
      <c r="DN739" t="str">
        <f>IF(DG739=1,DN$7,0)</f>
        <v>Timber</v>
      </c>
      <c r="DO739">
        <v>0</v>
      </c>
      <c r="DP739">
        <v>1</v>
      </c>
      <c r="DQ739">
        <v>0</v>
      </c>
      <c r="DR739">
        <v>0</v>
      </c>
      <c r="DS739" t="s">
        <v>1543</v>
      </c>
      <c r="DT739">
        <f>SUM(DO739:DP739)</f>
        <v>1</v>
      </c>
      <c r="DU739" s="143" t="str">
        <f>IF(DO739=1,"self-calculated DF",IF(DP739=1,"external DF used","explicit C balance"))</f>
        <v>external DF used</v>
      </c>
      <c r="DV739">
        <v>0</v>
      </c>
      <c r="DW739">
        <v>0</v>
      </c>
      <c r="DX739">
        <v>0</v>
      </c>
      <c r="DY739">
        <v>0</v>
      </c>
      <c r="DZ739">
        <v>1</v>
      </c>
      <c r="EA739" s="143">
        <v>1</v>
      </c>
      <c r="EB739">
        <v>0</v>
      </c>
      <c r="EC739">
        <v>1</v>
      </c>
      <c r="ED739">
        <v>0</v>
      </c>
      <c r="EE739">
        <v>1</v>
      </c>
      <c r="EF739">
        <v>1</v>
      </c>
      <c r="EG739">
        <v>1</v>
      </c>
      <c r="EH739">
        <v>0</v>
      </c>
      <c r="EI739" s="2">
        <v>0</v>
      </c>
      <c r="EK739" t="str">
        <f>IF(AND(AND(AND(OR($DX739=1,$DW739=1),OR($EC739=1,$EA739=1)),SUM($DV739:$DZ739,$EF739)&gt;=4),SUM($EA739:$EE739)&gt;=2),"Whole sector","")</f>
        <v/>
      </c>
      <c r="EL739" t="str">
        <f>IF(AND(AND(OR($DX739=1,$DW739=1),AND($EC739=0,$EA739=0)),SUM($DV739:$DZ739,$EF739)&gt;=4),"Ecosystem approach","")</f>
        <v/>
      </c>
      <c r="EM739" s="2" t="str">
        <f>IF(AND(AND(AND($DX739=0,$DW739=0),OR($EC739=1,$EA739=1)),SUM($EB739:$EE739)&gt;=2),"Technology approach","")</f>
        <v>Technology approach</v>
      </c>
      <c r="EP739" t="str">
        <f>IF(ISNUMBER(BU739),IF(ABS(BU739-[2]QC_indicators!$B$2)&gt;3*[2]QC_indicators!$C$2,"C ratio",IF(ISNUMBER(BY739),IF(ABS(BY739-[2]QC_indicators!$B$1)&gt;3*[2]QC_indicators!$C$1,"DF","no"))),IF(ISNUMBER(BY739),IF(ABS(BY739-[2]QC_indicators!$B$1)&gt;3*[2]QC_indicators!$C$1,"DF","no")))</f>
        <v>no</v>
      </c>
      <c r="ET739" s="266" t="s">
        <v>3275</v>
      </c>
    </row>
    <row r="740" spans="1:150" ht="15" hidden="1" customHeight="1">
      <c r="A740" s="1" t="s">
        <v>266</v>
      </c>
      <c r="B740" t="s">
        <v>1533</v>
      </c>
      <c r="C740" t="s">
        <v>1534</v>
      </c>
      <c r="D740" t="s">
        <v>1535</v>
      </c>
      <c r="E740" t="s">
        <v>1536</v>
      </c>
      <c r="F740" t="s">
        <v>1537</v>
      </c>
      <c r="G740" t="s">
        <v>272</v>
      </c>
      <c r="H740" t="s">
        <v>255</v>
      </c>
      <c r="I740">
        <v>2019</v>
      </c>
      <c r="J740">
        <v>26</v>
      </c>
      <c r="K740" t="s">
        <v>1538</v>
      </c>
      <c r="M740" t="str">
        <f>LEFT($D740,FIND(",",$D740)-1)&amp;"_"&amp;I740&amp;L740</f>
        <v>Faraca_2019</v>
      </c>
      <c r="N740" t="s">
        <v>223</v>
      </c>
      <c r="O740" s="145" t="s">
        <v>275</v>
      </c>
      <c r="P740" s="180" t="s">
        <v>224</v>
      </c>
      <c r="Q740" t="s">
        <v>257</v>
      </c>
      <c r="R740" s="264" t="s">
        <v>224</v>
      </c>
      <c r="S740" s="1" t="s">
        <v>1544</v>
      </c>
      <c r="T740" t="s">
        <v>1545</v>
      </c>
      <c r="U740" t="s">
        <v>1547</v>
      </c>
      <c r="V740">
        <v>0</v>
      </c>
      <c r="W740">
        <v>0</v>
      </c>
      <c r="X740">
        <v>0</v>
      </c>
      <c r="Y740">
        <v>0</v>
      </c>
      <c r="Z740">
        <v>0</v>
      </c>
      <c r="AA740">
        <v>0</v>
      </c>
      <c r="AB740">
        <v>0</v>
      </c>
      <c r="AC740">
        <v>0</v>
      </c>
      <c r="AD740">
        <v>0</v>
      </c>
      <c r="AE740">
        <v>0</v>
      </c>
      <c r="AF740">
        <v>0</v>
      </c>
      <c r="AG740">
        <v>0</v>
      </c>
      <c r="AH740">
        <v>0</v>
      </c>
      <c r="AI740">
        <v>1</v>
      </c>
      <c r="AJ740">
        <v>0</v>
      </c>
      <c r="AK740">
        <v>0</v>
      </c>
      <c r="AL740">
        <v>0</v>
      </c>
      <c r="AM740">
        <v>0</v>
      </c>
      <c r="AN740">
        <v>0</v>
      </c>
      <c r="AO740">
        <v>0</v>
      </c>
      <c r="AP740">
        <v>0</v>
      </c>
      <c r="AQ740">
        <v>0</v>
      </c>
      <c r="AR740">
        <v>0</v>
      </c>
      <c r="AS740">
        <v>0</v>
      </c>
      <c r="AT740">
        <v>0</v>
      </c>
      <c r="AU740">
        <v>0</v>
      </c>
      <c r="AV740">
        <v>0</v>
      </c>
      <c r="AW740">
        <v>0</v>
      </c>
      <c r="AX740" s="141">
        <f>COUNTIF(V740:AW740,"&lt;&gt;0")</f>
        <v>1</v>
      </c>
      <c r="AY740" s="141">
        <f>COUNTIF(V740:AL740,"&lt;&gt;0")</f>
        <v>1</v>
      </c>
      <c r="AZ740">
        <f>COUNTIF(V740:AC740,"&lt;&gt;0")</f>
        <v>0</v>
      </c>
      <c r="BA740">
        <f>COUNTIF(AD740:AI740,"&lt;&gt;0")</f>
        <v>1</v>
      </c>
      <c r="BB740">
        <f>COUNTIF(AJ740:AL740,"&lt;&gt;0")</f>
        <v>0</v>
      </c>
      <c r="BC740">
        <f>COUNTIF(AS740:AW740,"&lt;&gt;0")</f>
        <v>0</v>
      </c>
      <c r="BD740">
        <f>COUNTIF(AM740:AR740,"&lt;&gt;0")</f>
        <v>0</v>
      </c>
      <c r="BE740" t="str">
        <f t="array" ref="BE740">IF(AY740=1,INDEX($V$7:$AL$7,MATCH(TRUE,INDEX($V740:$AW740&lt;&gt;0,),0)),IF(AY740=0,INDEX($AM$7:$AW$7,MATCH(1,$AM740:$AW740,0)),IF(BF740="Multiple strategies","mixed drivers",IF(BF740="Supply chain","multiple supply","multiple silviculture"))))</f>
        <v>products lifespan</v>
      </c>
      <c r="BF740" s="2" t="str" cm="1">
        <f t="array" ref="BF740">IF(COUNTIF(AZ740:BB740,"&lt;&gt;0")=1,INDEX($V$4:$AW$4,MATCH(TRUE,INDEX($V740:$AW740&lt;&gt;0,),0)),IF(COUNTIF(AZ740:BB740,"&lt;&gt;0")=0,INDEX($AM$4:$AW$4,MATCH(1,$AM740:$AW740,0)),"Multiple strategies"))</f>
        <v>Supply chain</v>
      </c>
      <c r="BG740" s="1" t="s">
        <v>230</v>
      </c>
      <c r="BH740" t="s">
        <v>1550</v>
      </c>
      <c r="BI740" s="266" t="s">
        <v>3123</v>
      </c>
      <c r="BJ740" t="s">
        <v>346</v>
      </c>
      <c r="BK740">
        <v>478</v>
      </c>
      <c r="BL740">
        <v>922</v>
      </c>
      <c r="BM740">
        <f>BK740/BL740</f>
        <v>0.51843817787418656</v>
      </c>
      <c r="BN740">
        <f>BL740-BK740</f>
        <v>444</v>
      </c>
      <c r="BO740">
        <f>BN740*kg_to_m3</f>
        <v>0.90612244897959193</v>
      </c>
      <c r="BP740" t="s">
        <v>396</v>
      </c>
      <c r="BQ740" s="266" t="s">
        <v>430</v>
      </c>
      <c r="BR740" t="s">
        <v>730</v>
      </c>
      <c r="BS740">
        <v>-520.70000000000005</v>
      </c>
      <c r="BT740">
        <v>-462.1</v>
      </c>
      <c r="BU740" s="144">
        <f>IFERROR(BS740/BT740,"")</f>
        <v>1.1268123782731012</v>
      </c>
      <c r="BV740">
        <f>BT740-BS740</f>
        <v>58.600000000000023</v>
      </c>
      <c r="BX740">
        <f>BV740/1000</f>
        <v>5.860000000000002E-2</v>
      </c>
      <c r="BY740">
        <f>IFERROR(BX740/BO740,"")</f>
        <v>6.4671171171171188E-2</v>
      </c>
      <c r="BZ740">
        <v>0</v>
      </c>
      <c r="CA740">
        <v>0</v>
      </c>
      <c r="CB740">
        <v>0</v>
      </c>
      <c r="CC740">
        <v>0</v>
      </c>
      <c r="CD740">
        <v>0</v>
      </c>
      <c r="CE740">
        <v>0</v>
      </c>
      <c r="CF740">
        <v>0</v>
      </c>
      <c r="CG740">
        <v>0</v>
      </c>
      <c r="CH740">
        <v>0</v>
      </c>
      <c r="CI740">
        <v>0</v>
      </c>
      <c r="CJ740">
        <v>0</v>
      </c>
      <c r="CK740">
        <v>0</v>
      </c>
      <c r="CL740">
        <v>0</v>
      </c>
      <c r="CM740">
        <v>0</v>
      </c>
      <c r="CN740" t="str">
        <f>IF($BL740&lt;$BK740,"refNeedCorrection","refOK")</f>
        <v>refOK</v>
      </c>
      <c r="CO740">
        <f>IF($CN740="refNeedCorrection",BL740,BK740)</f>
        <v>478</v>
      </c>
      <c r="CP740">
        <f>IF($CN740="refNeedCorrection",BK740,BL740)</f>
        <v>922</v>
      </c>
      <c r="CQ740">
        <f>IF($CN740="refOK",$BO740,-$BO740)</f>
        <v>0.90612244897959193</v>
      </c>
      <c r="CR740">
        <f>IF($CN740="refOK",$BS740,$BT740)*IF($BP740="Emissions positive",-1,1)</f>
        <v>520.70000000000005</v>
      </c>
      <c r="CS740">
        <f>IF($CN740="refOK",$BT740,$BS740)*IF($BP740="Emissions positive",-1,1)</f>
        <v>462.1</v>
      </c>
      <c r="CT740">
        <f>IF($CN740="refNeedCorrection",-BX740,BX740)*IF($BP740="Emissions positive",-1,1)</f>
        <v>-5.860000000000002E-2</v>
      </c>
      <c r="CU740">
        <f>IFERROR(CT740/CQ740,"")</f>
        <v>-6.4671171171171188E-2</v>
      </c>
      <c r="CV740" s="2">
        <f>IFERROR((CS740-CR740)/ABS(CR740),"")</f>
        <v>-0.11254081044747459</v>
      </c>
      <c r="CW740" s="1" t="s">
        <v>1201</v>
      </c>
      <c r="CX740" t="str">
        <f>IF(OR($CW740="prd",$CW740="std",$CW740="cit"),"loc",IF(OR($CW740="eur",$CW740="reg",$CW740="coy"),"reg",$CW740))</f>
        <v>reg</v>
      </c>
      <c r="CY740" t="s">
        <v>1542</v>
      </c>
      <c r="DB740">
        <v>500</v>
      </c>
      <c r="DC740" t="str">
        <f>IF(DB740=0,"0",IF(AND(DB740&gt;=1,DB740&lt;=30),"1-30",IF(AND(DB740&gt;30,DB740&lt;=70),"31-70",IF(AND(DB740&gt;70,DB740&lt;=100),"71-100",IF(DB740&gt;100,"+100")))))</f>
        <v>+100</v>
      </c>
      <c r="DD740">
        <v>0</v>
      </c>
      <c r="DE740">
        <v>0</v>
      </c>
      <c r="DF740">
        <v>0</v>
      </c>
      <c r="DG740">
        <v>1</v>
      </c>
      <c r="DI740">
        <f>SUM(DD740:DG740)</f>
        <v>1</v>
      </c>
      <c r="DJ740" t="str">
        <f>IF(DI740=1,INDEX($DD$7:$DG$7,MATCH(1,$DD740:$DG740,0)),"mixedProduct")</f>
        <v>TimberInput</v>
      </c>
      <c r="DK740">
        <f>IF(DD740=1,DK$7,0)</f>
        <v>0</v>
      </c>
      <c r="DL740">
        <f>IF(DE740=1,DL$7,0)</f>
        <v>0</v>
      </c>
      <c r="DM740">
        <f>IF(DF740=1,DM$7,0)</f>
        <v>0</v>
      </c>
      <c r="DN740" t="str">
        <f>IF(DG740=1,DN$7,0)</f>
        <v>Timber</v>
      </c>
      <c r="DO740">
        <v>0</v>
      </c>
      <c r="DP740">
        <v>1</v>
      </c>
      <c r="DQ740">
        <v>0</v>
      </c>
      <c r="DR740">
        <v>0</v>
      </c>
      <c r="DS740" t="s">
        <v>1543</v>
      </c>
      <c r="DT740">
        <f>SUM(DO740:DP740)</f>
        <v>1</v>
      </c>
      <c r="DU740" s="143" t="str">
        <f>IF(DO740=1,"self-calculated DF",IF(DP740=1,"external DF used","explicit C balance"))</f>
        <v>external DF used</v>
      </c>
      <c r="DV740">
        <v>0</v>
      </c>
      <c r="DW740">
        <v>0</v>
      </c>
      <c r="DX740">
        <v>0</v>
      </c>
      <c r="DY740">
        <v>0</v>
      </c>
      <c r="DZ740">
        <v>1</v>
      </c>
      <c r="EA740" s="143">
        <v>1</v>
      </c>
      <c r="EB740">
        <v>0</v>
      </c>
      <c r="EC740">
        <v>1</v>
      </c>
      <c r="ED740">
        <v>0</v>
      </c>
      <c r="EE740">
        <v>1</v>
      </c>
      <c r="EF740">
        <v>1</v>
      </c>
      <c r="EG740">
        <v>1</v>
      </c>
      <c r="EH740">
        <v>1</v>
      </c>
      <c r="EI740" s="2">
        <v>0</v>
      </c>
      <c r="EK740" t="str">
        <f>IF(AND(AND(AND(OR($DX740=1,$DW740=1),OR($EC740=1,$EA740=1)),SUM($DV740:$DZ740,$EF740)&gt;=4),SUM($EA740:$EE740)&gt;=2),"Whole sector","")</f>
        <v/>
      </c>
      <c r="EL740" t="str">
        <f>IF(AND(AND(OR($DX740=1,$DW740=1),AND($EC740=0,$EA740=0)),SUM($DV740:$DZ740,$EF740)&gt;=4),"Ecosystem approach","")</f>
        <v/>
      </c>
      <c r="EM740" s="2" t="str">
        <f>IF(AND(AND(AND($DX740=0,$DW740=0),OR($EC740=1,$EA740=1)),SUM($EB740:$EE740)&gt;=2),"Technology approach","")</f>
        <v>Technology approach</v>
      </c>
      <c r="EP740" t="str">
        <f>IF(ISNUMBER(BU740),IF(ABS(BU740-[2]QC_indicators!$B$2)&gt;3*[2]QC_indicators!$C$2,"C ratio",IF(ISNUMBER(BY740),IF(ABS(BY740-[2]QC_indicators!$B$1)&gt;3*[2]QC_indicators!$C$1,"DF","no"))),IF(ISNUMBER(BY740),IF(ABS(BY740-[2]QC_indicators!$B$1)&gt;3*[2]QC_indicators!$C$1,"DF","no")))</f>
        <v>no</v>
      </c>
      <c r="ET740" s="266" t="s">
        <v>3275</v>
      </c>
    </row>
    <row r="741" spans="1:150" ht="15" hidden="1" customHeight="1">
      <c r="A741" s="1" t="s">
        <v>266</v>
      </c>
      <c r="B741" t="s">
        <v>1533</v>
      </c>
      <c r="C741" t="s">
        <v>1534</v>
      </c>
      <c r="D741" t="s">
        <v>1535</v>
      </c>
      <c r="E741" t="s">
        <v>1536</v>
      </c>
      <c r="F741" t="s">
        <v>1537</v>
      </c>
      <c r="G741" t="s">
        <v>272</v>
      </c>
      <c r="H741" t="s">
        <v>255</v>
      </c>
      <c r="I741">
        <v>2019</v>
      </c>
      <c r="J741">
        <v>26</v>
      </c>
      <c r="K741" t="s">
        <v>1538</v>
      </c>
      <c r="M741" t="str">
        <f>LEFT($D741,FIND(",",$D741)-1)&amp;"_"&amp;I741&amp;L741</f>
        <v>Faraca_2019</v>
      </c>
      <c r="N741" t="s">
        <v>223</v>
      </c>
      <c r="O741" s="145" t="s">
        <v>275</v>
      </c>
      <c r="P741" s="180" t="s">
        <v>224</v>
      </c>
      <c r="Q741" t="s">
        <v>257</v>
      </c>
      <c r="R741" s="264" t="s">
        <v>224</v>
      </c>
      <c r="S741" s="265" t="s">
        <v>3135</v>
      </c>
      <c r="T741" t="s">
        <v>1554</v>
      </c>
      <c r="U741" t="s">
        <v>1540</v>
      </c>
      <c r="V741">
        <v>0</v>
      </c>
      <c r="W741">
        <v>0</v>
      </c>
      <c r="X741">
        <v>0</v>
      </c>
      <c r="Y741">
        <v>0</v>
      </c>
      <c r="Z741">
        <v>0</v>
      </c>
      <c r="AA741">
        <v>0</v>
      </c>
      <c r="AB741">
        <v>0</v>
      </c>
      <c r="AC741">
        <v>0</v>
      </c>
      <c r="AD741">
        <v>0</v>
      </c>
      <c r="AE741">
        <v>0</v>
      </c>
      <c r="AF741">
        <v>1</v>
      </c>
      <c r="AG741">
        <v>0</v>
      </c>
      <c r="AH741">
        <v>0</v>
      </c>
      <c r="AI741">
        <v>0</v>
      </c>
      <c r="AJ741">
        <v>0</v>
      </c>
      <c r="AK741">
        <v>0</v>
      </c>
      <c r="AL741">
        <v>0</v>
      </c>
      <c r="AM741">
        <v>0</v>
      </c>
      <c r="AN741">
        <v>0</v>
      </c>
      <c r="AO741">
        <v>0</v>
      </c>
      <c r="AP741">
        <v>0</v>
      </c>
      <c r="AQ741">
        <v>0</v>
      </c>
      <c r="AR741">
        <v>0</v>
      </c>
      <c r="AS741">
        <v>0</v>
      </c>
      <c r="AT741">
        <v>0</v>
      </c>
      <c r="AU741">
        <v>0</v>
      </c>
      <c r="AV741">
        <v>0</v>
      </c>
      <c r="AW741">
        <v>0</v>
      </c>
      <c r="AX741" s="141">
        <f>COUNTIF(V741:AW741,"&lt;&gt;0")</f>
        <v>1</v>
      </c>
      <c r="AY741" s="141">
        <f>COUNTIF(V741:AL741,"&lt;&gt;0")</f>
        <v>1</v>
      </c>
      <c r="AZ741">
        <f>COUNTIF(V741:AC741,"&lt;&gt;0")</f>
        <v>0</v>
      </c>
      <c r="BA741">
        <f>COUNTIF(AD741:AI741,"&lt;&gt;0")</f>
        <v>1</v>
      </c>
      <c r="BB741">
        <f>COUNTIF(AJ741:AL741,"&lt;&gt;0")</f>
        <v>0</v>
      </c>
      <c r="BC741">
        <f>COUNTIF(AS741:AW741,"&lt;&gt;0")</f>
        <v>0</v>
      </c>
      <c r="BD741">
        <f>COUNTIF(AM741:AR741,"&lt;&gt;0")</f>
        <v>0</v>
      </c>
      <c r="BE741" t="str">
        <f t="array" ref="BE741">IF(AY741=1,INDEX($V$7:$AL$7,MATCH(TRUE,INDEX($V741:$AW741&lt;&gt;0,),0)),IF(AY741=0,INDEX($AM$7:$AW$7,MATCH(1,$AM741:$AW741,0)),IF(BF741="Multiple strategies","mixed drivers",IF(BF741="Supply chain","multiple supply","multiple silviculture"))))</f>
        <v>supply chain organization</v>
      </c>
      <c r="BF741" s="2" t="str" cm="1">
        <f t="array" ref="BF741">IF(COUNTIF(AZ741:BB741,"&lt;&gt;0")=1,INDEX($V$4:$AW$4,MATCH(TRUE,INDEX($V741:$AW741&lt;&gt;0,),0)),IF(COUNTIF(AZ741:BB741,"&lt;&gt;0")=0,INDEX($AM$4:$AW$4,MATCH(1,$AM741:$AW741,0)),"Multiple strategies"))</f>
        <v>Supply chain</v>
      </c>
      <c r="BG741" s="1" t="s">
        <v>230</v>
      </c>
      <c r="BH741" t="s">
        <v>1550</v>
      </c>
      <c r="BI741" s="266" t="s">
        <v>3123</v>
      </c>
      <c r="BJ741" t="s">
        <v>346</v>
      </c>
      <c r="BK741">
        <v>562</v>
      </c>
      <c r="BL741">
        <v>922</v>
      </c>
      <c r="BM741">
        <v>1.6405693950177935</v>
      </c>
      <c r="BN741">
        <f>BL741-BK741</f>
        <v>360</v>
      </c>
      <c r="BO741">
        <f>BN741*kg_to_m3</f>
        <v>0.73469387755102045</v>
      </c>
      <c r="BP741" s="266" t="s">
        <v>396</v>
      </c>
      <c r="BQ741" t="s">
        <v>427</v>
      </c>
      <c r="BR741" t="s">
        <v>730</v>
      </c>
      <c r="BS741">
        <v>-145.80000000000001</v>
      </c>
      <c r="BT741">
        <v>-16.899999999999999</v>
      </c>
      <c r="BU741" s="144"/>
      <c r="BV741">
        <f>BT741-BS741</f>
        <v>128.9</v>
      </c>
      <c r="BX741">
        <f>BV741/1000</f>
        <v>0.12890000000000001</v>
      </c>
      <c r="BY741">
        <f>IFERROR(BX741/BO741,"")</f>
        <v>0.17544722222222223</v>
      </c>
      <c r="BZ741">
        <v>0</v>
      </c>
      <c r="CA741">
        <v>0</v>
      </c>
      <c r="CB741">
        <v>0</v>
      </c>
      <c r="CC741">
        <v>0</v>
      </c>
      <c r="CD741">
        <v>0</v>
      </c>
      <c r="CE741">
        <v>0</v>
      </c>
      <c r="CF741">
        <v>0</v>
      </c>
      <c r="CG741">
        <v>0</v>
      </c>
      <c r="CH741">
        <v>0</v>
      </c>
      <c r="CI741">
        <v>0</v>
      </c>
      <c r="CJ741">
        <v>0</v>
      </c>
      <c r="CK741">
        <v>0</v>
      </c>
      <c r="CL741">
        <v>0</v>
      </c>
      <c r="CM741">
        <v>0</v>
      </c>
      <c r="CN741" t="str">
        <f>IF($BL741&lt;$BK741,"refNeedCorrection","refOK")</f>
        <v>refOK</v>
      </c>
      <c r="CO741">
        <f>IF($CN741="refNeedCorrection",BL741,BK741)</f>
        <v>562</v>
      </c>
      <c r="CP741">
        <f>IF($CN741="refNeedCorrection",BK741,BL741)</f>
        <v>922</v>
      </c>
      <c r="CQ741">
        <f>IF($CN741="refOK",$BO741,-$BO741)</f>
        <v>0.73469387755102045</v>
      </c>
      <c r="CR741">
        <f>IF($CN741="refOK",$BS741,$BT741)*IF($BP741="Emissions positive",-1,1)</f>
        <v>145.80000000000001</v>
      </c>
      <c r="CS741">
        <f>IF($CN741="refOK",$BT741,$BS741)*IF($BP741="Emissions positive",-1,1)</f>
        <v>16.899999999999999</v>
      </c>
      <c r="CT741">
        <f>IF($CN741="refNeedCorrection",-BX741,BX741)*IF($BP741="Emissions positive",-1,1)</f>
        <v>-0.12890000000000001</v>
      </c>
      <c r="CU741">
        <f>IFERROR(CT741/CQ741,"")</f>
        <v>-0.17544722222222223</v>
      </c>
      <c r="CV741" s="2">
        <f>IFERROR((CS741-CR741)/ABS(CR741),"")</f>
        <v>-0.88408779149519889</v>
      </c>
      <c r="CW741" s="1" t="s">
        <v>1201</v>
      </c>
      <c r="CX741" t="str">
        <f>IF(OR($CW741="prd",$CW741="std",$CW741="cit"),"loc",IF(OR($CW741="eur",$CW741="reg",$CW741="coy"),"reg",$CW741))</f>
        <v>reg</v>
      </c>
      <c r="CY741" t="s">
        <v>1542</v>
      </c>
      <c r="DB741">
        <v>500</v>
      </c>
      <c r="DC741" t="str">
        <f>IF(DB741=0,"0",IF(AND(DB741&gt;=1,DB741&lt;=30),"1-30",IF(AND(DB741&gt;30,DB741&lt;=70),"31-70",IF(AND(DB741&gt;70,DB741&lt;=100),"71-100",IF(DB741&gt;100,"+100")))))</f>
        <v>+100</v>
      </c>
      <c r="DD741">
        <v>0</v>
      </c>
      <c r="DE741">
        <v>0</v>
      </c>
      <c r="DF741">
        <v>0</v>
      </c>
      <c r="DG741">
        <v>1</v>
      </c>
      <c r="DI741">
        <f>SUM(DD741:DG741)</f>
        <v>1</v>
      </c>
      <c r="DJ741" t="str">
        <f>IF(DI741=1,INDEX($DD$7:$DG$7,MATCH(1,$DD741:$DG741,0)),"mixedProduct")</f>
        <v>TimberInput</v>
      </c>
      <c r="DK741">
        <f>IF(DD741=1,DK$7,0)</f>
        <v>0</v>
      </c>
      <c r="DL741">
        <f>IF(DE741=1,DL$7,0)</f>
        <v>0</v>
      </c>
      <c r="DM741">
        <f>IF(DF741=1,DM$7,0)</f>
        <v>0</v>
      </c>
      <c r="DN741" t="str">
        <f>IF(DG741=1,DN$7,0)</f>
        <v>Timber</v>
      </c>
      <c r="DO741">
        <v>0</v>
      </c>
      <c r="DP741">
        <v>0</v>
      </c>
      <c r="DQ741">
        <v>0</v>
      </c>
      <c r="DR741">
        <v>0</v>
      </c>
      <c r="DS741">
        <v>0</v>
      </c>
      <c r="DT741">
        <f>SUM(DO741:DP741)</f>
        <v>0</v>
      </c>
      <c r="DU741" s="143" t="str">
        <f>IF(DO741=1,"self-calculated DF",IF(DP741=1,"external DF used","explicit C balance"))</f>
        <v>explicit C balance</v>
      </c>
      <c r="DV741">
        <v>0</v>
      </c>
      <c r="DW741">
        <v>0</v>
      </c>
      <c r="DX741">
        <v>0</v>
      </c>
      <c r="DY741">
        <v>0</v>
      </c>
      <c r="DZ741">
        <v>1</v>
      </c>
      <c r="EA741" s="143">
        <v>1</v>
      </c>
      <c r="EB741">
        <v>0</v>
      </c>
      <c r="EC741">
        <v>1</v>
      </c>
      <c r="ED741">
        <v>0</v>
      </c>
      <c r="EE741">
        <v>1</v>
      </c>
      <c r="EF741">
        <v>1</v>
      </c>
      <c r="EG741">
        <v>1</v>
      </c>
      <c r="EH741">
        <v>0</v>
      </c>
      <c r="EI741" s="2">
        <v>0</v>
      </c>
      <c r="EK741" t="str">
        <f>IF(AND(AND(AND(OR($DX741=1,$DW741=1),OR($EC741=1,$EA741=1)),SUM($DV741:$DZ741,$EF741)&gt;=4),SUM($EA741:$EE741)&gt;=2),"Whole sector","")</f>
        <v/>
      </c>
      <c r="EL741" t="str">
        <f>IF(AND(AND(OR($DX741=1,$DW741=1),AND($EC741=0,$EA741=0)),SUM($DV741:$DZ741,$EF741)&gt;=4),"Ecosystem approach","")</f>
        <v/>
      </c>
      <c r="EM741" s="2" t="str">
        <f>IF(AND(AND(AND($DX741=0,$DW741=0),OR($EC741=1,$EA741=1)),SUM($EB741:$EE741)&gt;=2),"Technology approach","")</f>
        <v>Technology approach</v>
      </c>
      <c r="EP741" t="str">
        <f>IF(ISNUMBER(BU741),IF(ABS(BU741-[2]QC_indicators!$B$2)&gt;3*[2]QC_indicators!$C$2,"C ratio",IF(ISNUMBER(BY741),IF(ABS(BY741-[2]QC_indicators!$B$1)&gt;3*[2]QC_indicators!$C$1,"DF","no"))),IF(ISNUMBER(BY741),IF(ABS(BY741-[2]QC_indicators!$B$1)&gt;3*[2]QC_indicators!$C$1,"DF","no")))</f>
        <v>no</v>
      </c>
      <c r="ET741" s="266" t="s">
        <v>3275</v>
      </c>
    </row>
    <row r="742" spans="1:150" ht="15" hidden="1" customHeight="1">
      <c r="A742" s="1" t="s">
        <v>266</v>
      </c>
      <c r="B742" t="s">
        <v>1533</v>
      </c>
      <c r="C742" t="s">
        <v>1534</v>
      </c>
      <c r="D742" t="s">
        <v>1535</v>
      </c>
      <c r="E742" t="s">
        <v>1536</v>
      </c>
      <c r="F742" t="s">
        <v>1537</v>
      </c>
      <c r="G742" t="s">
        <v>272</v>
      </c>
      <c r="H742" t="s">
        <v>255</v>
      </c>
      <c r="I742">
        <v>2019</v>
      </c>
      <c r="J742">
        <v>26</v>
      </c>
      <c r="K742" t="s">
        <v>1538</v>
      </c>
      <c r="M742" t="str">
        <f>LEFT($D742,FIND(",",$D742)-1)&amp;"_"&amp;I742&amp;L742</f>
        <v>Faraca_2019</v>
      </c>
      <c r="N742" t="s">
        <v>223</v>
      </c>
      <c r="O742" s="145" t="s">
        <v>275</v>
      </c>
      <c r="P742" s="180" t="s">
        <v>224</v>
      </c>
      <c r="Q742" t="s">
        <v>257</v>
      </c>
      <c r="R742" s="264" t="s">
        <v>224</v>
      </c>
      <c r="S742" s="265" t="s">
        <v>3136</v>
      </c>
      <c r="T742" t="s">
        <v>1554</v>
      </c>
      <c r="U742" t="s">
        <v>1540</v>
      </c>
      <c r="V742">
        <v>0</v>
      </c>
      <c r="W742">
        <v>0</v>
      </c>
      <c r="X742">
        <v>0</v>
      </c>
      <c r="Y742">
        <v>0</v>
      </c>
      <c r="Z742">
        <v>0</v>
      </c>
      <c r="AA742">
        <v>0</v>
      </c>
      <c r="AB742">
        <v>0</v>
      </c>
      <c r="AC742">
        <v>0</v>
      </c>
      <c r="AD742">
        <v>0</v>
      </c>
      <c r="AE742">
        <v>0</v>
      </c>
      <c r="AF742">
        <v>1</v>
      </c>
      <c r="AG742">
        <v>0</v>
      </c>
      <c r="AH742">
        <v>0</v>
      </c>
      <c r="AI742">
        <v>0</v>
      </c>
      <c r="AJ742">
        <v>0</v>
      </c>
      <c r="AK742">
        <v>0</v>
      </c>
      <c r="AL742">
        <v>0</v>
      </c>
      <c r="AM742">
        <v>0</v>
      </c>
      <c r="AN742">
        <v>0</v>
      </c>
      <c r="AO742">
        <v>0</v>
      </c>
      <c r="AP742">
        <v>0</v>
      </c>
      <c r="AQ742">
        <v>0</v>
      </c>
      <c r="AR742">
        <v>0</v>
      </c>
      <c r="AS742">
        <v>0</v>
      </c>
      <c r="AT742">
        <v>0</v>
      </c>
      <c r="AU742">
        <v>0</v>
      </c>
      <c r="AV742">
        <v>0</v>
      </c>
      <c r="AW742">
        <v>0</v>
      </c>
      <c r="AX742" s="141">
        <f>COUNTIF(V742:AW742,"&lt;&gt;0")</f>
        <v>1</v>
      </c>
      <c r="AY742" s="141">
        <f>COUNTIF(V742:AL742,"&lt;&gt;0")</f>
        <v>1</v>
      </c>
      <c r="AZ742">
        <f>COUNTIF(V742:AC742,"&lt;&gt;0")</f>
        <v>0</v>
      </c>
      <c r="BA742">
        <f>COUNTIF(AD742:AI742,"&lt;&gt;0")</f>
        <v>1</v>
      </c>
      <c r="BB742">
        <f>COUNTIF(AJ742:AL742,"&lt;&gt;0")</f>
        <v>0</v>
      </c>
      <c r="BC742">
        <f>COUNTIF(AS742:AW742,"&lt;&gt;0")</f>
        <v>0</v>
      </c>
      <c r="BD742">
        <f>COUNTIF(AM742:AR742,"&lt;&gt;0")</f>
        <v>0</v>
      </c>
      <c r="BE742" t="str">
        <f t="array" ref="BE742">IF(AY742=1,INDEX($V$7:$AL$7,MATCH(TRUE,INDEX($V742:$AW742&lt;&gt;0,),0)),IF(AY742=0,INDEX($AM$7:$AW$7,MATCH(1,$AM742:$AW742,0)),IF(BF742="Multiple strategies","mixed drivers",IF(BF742="Supply chain","multiple supply","multiple silviculture"))))</f>
        <v>supply chain organization</v>
      </c>
      <c r="BF742" s="2" t="str" cm="1">
        <f t="array" ref="BF742">IF(COUNTIF(AZ742:BB742,"&lt;&gt;0")=1,INDEX($V$4:$AW$4,MATCH(TRUE,INDEX($V742:$AW742&lt;&gt;0,),0)),IF(COUNTIF(AZ742:BB742,"&lt;&gt;0")=0,INDEX($AM$4:$AW$4,MATCH(1,$AM742:$AW742,0)),"Multiple strategies"))</f>
        <v>Supply chain</v>
      </c>
      <c r="BG742" s="1" t="s">
        <v>230</v>
      </c>
      <c r="BH742" t="s">
        <v>1550</v>
      </c>
      <c r="BI742" s="266" t="s">
        <v>3123</v>
      </c>
      <c r="BJ742" t="s">
        <v>346</v>
      </c>
      <c r="BK742">
        <v>562</v>
      </c>
      <c r="BL742">
        <v>922</v>
      </c>
      <c r="BM742">
        <v>1.6405693950177935</v>
      </c>
      <c r="BN742">
        <f>BL742-BK742</f>
        <v>360</v>
      </c>
      <c r="BO742">
        <f>BN742*kg_to_m3</f>
        <v>0.73469387755102045</v>
      </c>
      <c r="BP742" s="266" t="s">
        <v>396</v>
      </c>
      <c r="BQ742" s="266" t="s">
        <v>430</v>
      </c>
      <c r="BR742" t="s">
        <v>730</v>
      </c>
      <c r="BS742">
        <f>-251.7</f>
        <v>-251.7</v>
      </c>
      <c r="BT742">
        <v>-462.1</v>
      </c>
      <c r="BU742" s="144">
        <v>-9.5652173913043481E-2</v>
      </c>
      <c r="BV742">
        <f>BT742-BS742</f>
        <v>-210.40000000000003</v>
      </c>
      <c r="BX742">
        <f>BV742/1000</f>
        <v>-0.21040000000000003</v>
      </c>
      <c r="BY742">
        <f>IFERROR(BX742/BO742,"")</f>
        <v>-0.28637777777777779</v>
      </c>
      <c r="BZ742">
        <v>0</v>
      </c>
      <c r="CA742">
        <v>0</v>
      </c>
      <c r="CB742">
        <v>0</v>
      </c>
      <c r="CC742">
        <v>0</v>
      </c>
      <c r="CD742">
        <v>0</v>
      </c>
      <c r="CE742">
        <v>0</v>
      </c>
      <c r="CF742">
        <v>0</v>
      </c>
      <c r="CG742">
        <v>0</v>
      </c>
      <c r="CH742">
        <v>0</v>
      </c>
      <c r="CI742">
        <v>0</v>
      </c>
      <c r="CJ742">
        <v>0</v>
      </c>
      <c r="CK742">
        <v>0</v>
      </c>
      <c r="CL742">
        <v>0</v>
      </c>
      <c r="CM742">
        <v>0</v>
      </c>
      <c r="CN742" t="str">
        <f>IF($BL742&lt;$BK742,"refNeedCorrection","refOK")</f>
        <v>refOK</v>
      </c>
      <c r="CO742">
        <f>IF($CN742="refNeedCorrection",BL742,BK742)</f>
        <v>562</v>
      </c>
      <c r="CP742">
        <f>IF($CN742="refNeedCorrection",BK742,BL742)</f>
        <v>922</v>
      </c>
      <c r="CQ742">
        <f>IF($CN742="refOK",$BO742,-$BO742)</f>
        <v>0.73469387755102045</v>
      </c>
      <c r="CR742">
        <f>IF($CN742="refOK",$BS742,$BT742)*IF($BP742="Emissions positive",-1,1)</f>
        <v>251.7</v>
      </c>
      <c r="CS742">
        <f>IF($CN742="refOK",$BT742,$BS742)*IF($BP742="Emissions positive",-1,1)</f>
        <v>462.1</v>
      </c>
      <c r="CT742">
        <f>IF($CN742="refNeedCorrection",-BX742,BX742)*IF($BP742="Emissions positive",-1,1)</f>
        <v>0.21040000000000003</v>
      </c>
      <c r="CU742">
        <f>IFERROR(CT742/CQ742,"")</f>
        <v>0.28637777777777779</v>
      </c>
      <c r="CV742" s="2">
        <f>IFERROR((CS742-CR742)/ABS(CR742),"")</f>
        <v>0.83591577274533191</v>
      </c>
      <c r="CW742" s="1" t="s">
        <v>1201</v>
      </c>
      <c r="CX742" t="str">
        <f>IF(OR($CW742="prd",$CW742="std",$CW742="cit"),"loc",IF(OR($CW742="eur",$CW742="reg",$CW742="coy"),"reg",$CW742))</f>
        <v>reg</v>
      </c>
      <c r="CY742" t="s">
        <v>1542</v>
      </c>
      <c r="DB742">
        <v>500</v>
      </c>
      <c r="DC742" t="str">
        <f>IF(DB742=0,"0",IF(AND(DB742&gt;=1,DB742&lt;=30),"1-30",IF(AND(DB742&gt;30,DB742&lt;=70),"31-70",IF(AND(DB742&gt;70,DB742&lt;=100),"71-100",IF(DB742&gt;100,"+100")))))</f>
        <v>+100</v>
      </c>
      <c r="DD742">
        <v>0</v>
      </c>
      <c r="DE742">
        <v>0</v>
      </c>
      <c r="DF742">
        <v>0</v>
      </c>
      <c r="DG742">
        <v>1</v>
      </c>
      <c r="DI742">
        <f>SUM(DD742:DG742)</f>
        <v>1</v>
      </c>
      <c r="DJ742" t="str">
        <f>IF(DI742=1,INDEX($DD$7:$DG$7,MATCH(1,$DD742:$DG742,0)),"mixedProduct")</f>
        <v>TimberInput</v>
      </c>
      <c r="DK742">
        <f>IF(DD742=1,DK$7,0)</f>
        <v>0</v>
      </c>
      <c r="DL742">
        <f>IF(DE742=1,DL$7,0)</f>
        <v>0</v>
      </c>
      <c r="DM742">
        <f>IF(DF742=1,DM$7,0)</f>
        <v>0</v>
      </c>
      <c r="DN742" t="str">
        <f>IF(DG742=1,DN$7,0)</f>
        <v>Timber</v>
      </c>
      <c r="DO742">
        <v>0</v>
      </c>
      <c r="DP742">
        <v>1</v>
      </c>
      <c r="DQ742">
        <v>0</v>
      </c>
      <c r="DR742">
        <v>0</v>
      </c>
      <c r="DS742" t="s">
        <v>1543</v>
      </c>
      <c r="DT742">
        <f>SUM(DO742:DP742)</f>
        <v>1</v>
      </c>
      <c r="DU742" s="143" t="str">
        <f>IF(DO742=1,"self-calculated DF",IF(DP742=1,"external DF used","explicit C balance"))</f>
        <v>external DF used</v>
      </c>
      <c r="DV742">
        <v>0</v>
      </c>
      <c r="DW742">
        <v>0</v>
      </c>
      <c r="DX742">
        <v>0</v>
      </c>
      <c r="DY742">
        <v>0</v>
      </c>
      <c r="DZ742">
        <v>1</v>
      </c>
      <c r="EA742" s="143">
        <v>1</v>
      </c>
      <c r="EB742">
        <v>0</v>
      </c>
      <c r="EC742">
        <v>1</v>
      </c>
      <c r="ED742">
        <v>0</v>
      </c>
      <c r="EE742">
        <v>1</v>
      </c>
      <c r="EF742">
        <v>1</v>
      </c>
      <c r="EG742">
        <v>1</v>
      </c>
      <c r="EH742">
        <v>1</v>
      </c>
      <c r="EI742" s="2">
        <v>0</v>
      </c>
      <c r="EK742" t="str">
        <f>IF(AND(AND(AND(OR($DX742=1,$DW742=1),OR($EC742=1,$EA742=1)),SUM($DV742:$DZ742,$EF742)&gt;=4),SUM($EA742:$EE742)&gt;=2),"Whole sector","")</f>
        <v/>
      </c>
      <c r="EL742" t="str">
        <f>IF(AND(AND(OR($DX742=1,$DW742=1),AND($EC742=0,$EA742=0)),SUM($DV742:$DZ742,$EF742)&gt;=4),"Ecosystem approach","")</f>
        <v/>
      </c>
      <c r="EM742" s="2" t="str">
        <f>IF(AND(AND(AND($DX742=0,$DW742=0),OR($EC742=1,$EA742=1)),SUM($EB742:$EE742)&gt;=2),"Technology approach","")</f>
        <v>Technology approach</v>
      </c>
      <c r="EP742" t="str">
        <f>IF(ISNUMBER(BU742),IF(ABS(BU742-[2]QC_indicators!$B$2)&gt;3*[2]QC_indicators!$C$2,"C ratio",IF(ISNUMBER(BY742),IF(ABS(BY742-[2]QC_indicators!$B$1)&gt;3*[2]QC_indicators!$C$1,"DF","no"))),IF(ISNUMBER(BY742),IF(ABS(BY742-[2]QC_indicators!$B$1)&gt;3*[2]QC_indicators!$C$1,"DF","no")))</f>
        <v>no</v>
      </c>
      <c r="ET742" s="266" t="s">
        <v>3275</v>
      </c>
    </row>
    <row r="743" spans="1:150" ht="15" customHeight="1">
      <c r="A743" s="1" t="s">
        <v>1402</v>
      </c>
      <c r="B743" t="s">
        <v>1403</v>
      </c>
      <c r="C743" t="s">
        <v>1404</v>
      </c>
      <c r="D743" t="s">
        <v>1405</v>
      </c>
      <c r="E743" t="s">
        <v>1406</v>
      </c>
      <c r="F743" t="s">
        <v>1407</v>
      </c>
      <c r="G743" t="s">
        <v>1408</v>
      </c>
      <c r="H743" t="s">
        <v>255</v>
      </c>
      <c r="I743">
        <v>2021</v>
      </c>
      <c r="J743">
        <v>0</v>
      </c>
      <c r="K743" t="s">
        <v>1409</v>
      </c>
      <c r="M743" t="str">
        <f>LEFT($D743,FIND(",",$D743)-1)&amp;"_"&amp;I743&amp;L743</f>
        <v>Dugan_2021</v>
      </c>
      <c r="N743" t="s">
        <v>223</v>
      </c>
      <c r="O743" s="145" t="s">
        <v>275</v>
      </c>
      <c r="Q743" t="s">
        <v>257</v>
      </c>
      <c r="R743" s="255" t="s">
        <v>226</v>
      </c>
      <c r="S743" s="1" t="s">
        <v>1419</v>
      </c>
      <c r="T743" t="s">
        <v>1420</v>
      </c>
      <c r="U743" t="s">
        <v>1113</v>
      </c>
      <c r="V743">
        <v>0</v>
      </c>
      <c r="W743">
        <v>0</v>
      </c>
      <c r="X743">
        <v>0</v>
      </c>
      <c r="Y743">
        <v>0</v>
      </c>
      <c r="Z743">
        <v>0</v>
      </c>
      <c r="AA743">
        <v>0</v>
      </c>
      <c r="AB743">
        <v>0</v>
      </c>
      <c r="AC743">
        <v>0</v>
      </c>
      <c r="AD743">
        <v>0</v>
      </c>
      <c r="AE743">
        <v>0</v>
      </c>
      <c r="AF743">
        <v>1</v>
      </c>
      <c r="AG743">
        <v>0</v>
      </c>
      <c r="AH743">
        <v>0</v>
      </c>
      <c r="AI743">
        <v>0</v>
      </c>
      <c r="AJ743">
        <v>0</v>
      </c>
      <c r="AK743">
        <v>0</v>
      </c>
      <c r="AL743">
        <v>0</v>
      </c>
      <c r="AM743">
        <v>0</v>
      </c>
      <c r="AN743">
        <v>0</v>
      </c>
      <c r="AO743">
        <v>0</v>
      </c>
      <c r="AP743">
        <v>0</v>
      </c>
      <c r="AQ743">
        <v>0</v>
      </c>
      <c r="AR743">
        <v>0</v>
      </c>
      <c r="AS743">
        <v>0</v>
      </c>
      <c r="AT743">
        <v>0</v>
      </c>
      <c r="AU743">
        <v>0</v>
      </c>
      <c r="AV743">
        <v>0</v>
      </c>
      <c r="AW743">
        <v>0</v>
      </c>
      <c r="AX743" s="141">
        <f>COUNTIF(V743:AW743,"&lt;&gt;0")</f>
        <v>1</v>
      </c>
      <c r="AY743" s="141">
        <f>COUNTIF(V743:AL743,"&lt;&gt;0")</f>
        <v>1</v>
      </c>
      <c r="AZ743">
        <f>COUNTIF(V743:AC743,"&lt;&gt;0")</f>
        <v>0</v>
      </c>
      <c r="BA743">
        <f>COUNTIF(AD743:AI743,"&lt;&gt;0")</f>
        <v>1</v>
      </c>
      <c r="BB743">
        <f>COUNTIF(AJ743:AL743,"&lt;&gt;0")</f>
        <v>0</v>
      </c>
      <c r="BC743">
        <f>COUNTIF(AS743:AW743,"&lt;&gt;0")</f>
        <v>0</v>
      </c>
      <c r="BD743">
        <f>COUNTIF(AM743:AR743,"&lt;&gt;0")</f>
        <v>0</v>
      </c>
      <c r="BE743" t="str">
        <f t="array" ref="BE743">IF(AY743=1,INDEX($V$7:$AL$7,MATCH(TRUE,INDEX($V743:$AW743&lt;&gt;0,),0)),IF(AY743=0,INDEX($AM$7:$AW$7,MATCH(1,$AM743:$AW743,0)),IF(BF743="Multiple strategies","mixed drivers",IF(BF743="Supply chain","multiple supply","multiple silviculture"))))</f>
        <v>supply chain organization</v>
      </c>
      <c r="BF743" s="2" t="str" cm="1">
        <f t="array" ref="BF743">IF(COUNTIF(AZ743:BB743,"&lt;&gt;0")=1,INDEX($V$4:$AW$4,MATCH(TRUE,INDEX($V743:$AW743&lt;&gt;0,),0)),IF(COUNTIF(AZ743:BB743,"&lt;&gt;0")=0,INDEX($AM$4:$AW$4,MATCH(1,$AM743:$AW743,0)),"Multiple strategies"))</f>
        <v>Supply chain</v>
      </c>
      <c r="BG743" s="1" t="s">
        <v>322</v>
      </c>
      <c r="BH743" t="s">
        <v>1412</v>
      </c>
      <c r="BI743" s="260" t="s">
        <v>3320</v>
      </c>
      <c r="BJ743" t="s">
        <v>1361</v>
      </c>
      <c r="BK743" s="266">
        <v>14.61</v>
      </c>
      <c r="BL743" s="266">
        <v>14.61</v>
      </c>
      <c r="BN743" s="227">
        <f>BL743-BK743</f>
        <v>0</v>
      </c>
      <c r="BO743">
        <f>BN743*10^6*tC_to_m3</f>
        <v>0</v>
      </c>
      <c r="BP743" t="s">
        <v>233</v>
      </c>
      <c r="BQ743" s="260" t="s">
        <v>3321</v>
      </c>
      <c r="BR743" t="s">
        <v>1302</v>
      </c>
      <c r="BS743" s="152"/>
      <c r="BT743" s="152"/>
      <c r="BU743" s="144"/>
      <c r="BV743" s="286">
        <v>0.70085470085469903</v>
      </c>
      <c r="BX743">
        <f>BV743*10^6</f>
        <v>700854.70085469901</v>
      </c>
      <c r="BY743" t="str">
        <f>IFERROR(BX743/BO743,"")</f>
        <v/>
      </c>
      <c r="BZ743">
        <v>0</v>
      </c>
      <c r="CA743">
        <v>0</v>
      </c>
      <c r="CB743">
        <v>0</v>
      </c>
      <c r="CC743">
        <v>0</v>
      </c>
      <c r="CD743">
        <v>0</v>
      </c>
      <c r="CE743">
        <v>0</v>
      </c>
      <c r="CF743">
        <v>0</v>
      </c>
      <c r="CG743">
        <v>0</v>
      </c>
      <c r="CH743">
        <v>0</v>
      </c>
      <c r="CI743">
        <v>0</v>
      </c>
      <c r="CJ743">
        <v>0</v>
      </c>
      <c r="CK743">
        <v>0</v>
      </c>
      <c r="CL743">
        <v>0</v>
      </c>
      <c r="CM743">
        <v>0</v>
      </c>
      <c r="CN743" t="str">
        <f>IF(BL743&lt;BK743,"refNeedCorrection","refOK")</f>
        <v>refOK</v>
      </c>
      <c r="CO743"/>
      <c r="CP743"/>
      <c r="CQ743">
        <f>IF($CN743="refNeedCorrection",-BO743,BO743)</f>
        <v>0</v>
      </c>
      <c r="CR743">
        <f>IF($CN743="refOK",$BS743,$BT743)*IF($BP743="Emissions positive",-1,1)</f>
        <v>0</v>
      </c>
      <c r="CS743">
        <f>IF($CN743="refOK",$BT743,$BS743)*IF($BP743="Emissions positive",-1,1)</f>
        <v>0</v>
      </c>
      <c r="CT743">
        <f>IF($CN743="refNeedCorrection",-BX743,BX743)*IF($BP743="Emissions positive",-1,1)</f>
        <v>700854.70085469901</v>
      </c>
      <c r="CU743" t="str">
        <f>IFERROR(CT743/CQ743,"")</f>
        <v/>
      </c>
      <c r="CV743" s="2" t="str">
        <f>IFERROR((CS743-CR743)/ABS(CR743),"")</f>
        <v/>
      </c>
      <c r="CW743" s="1" t="s">
        <v>1201</v>
      </c>
      <c r="CX743" t="str">
        <f>IF(OR($CW743="prd",$CW743="std",$CW743="cit"),"loc",IF(OR($CW743="eur",$CW743="reg",$CW743="coy"),"reg",$CW743))</f>
        <v>reg</v>
      </c>
      <c r="CY743" t="s">
        <v>429</v>
      </c>
      <c r="CZ743">
        <v>2020</v>
      </c>
      <c r="DA743">
        <v>2050</v>
      </c>
      <c r="DB743">
        <v>30</v>
      </c>
      <c r="DC743" t="str">
        <f>IF(DB743=0,"0",IF(AND(DB743&gt;=1,DB743&lt;=30),"1-30",IF(AND(DB743&gt;30,DB743&lt;=70),"31-70",IF(AND(DB743&gt;70,DB743&lt;=100),"71-100",IF(DB743&gt;100,"+100")))))</f>
        <v>1-30</v>
      </c>
      <c r="DD743">
        <v>0</v>
      </c>
      <c r="DE743">
        <v>1</v>
      </c>
      <c r="DF743">
        <v>1</v>
      </c>
      <c r="DG743">
        <v>0</v>
      </c>
      <c r="DI743">
        <f>SUM(DD743:DG743)</f>
        <v>2</v>
      </c>
      <c r="DJ743" t="str">
        <f>IF(DI743=1,INDEX($DD$7:$DG$7,MATCH(1,$DD743:$DG743,0)),"mixedProduct")</f>
        <v>mixedProduct</v>
      </c>
      <c r="DK743">
        <f>IF(DD743=1,DK$7,0)</f>
        <v>0</v>
      </c>
      <c r="DL743" t="str">
        <f>IF(DE743=1,DL$7,0)</f>
        <v>Energy</v>
      </c>
      <c r="DM743" t="str">
        <f>IF(DF743=1,DM$7,0)</f>
        <v>Pulp/Paper</v>
      </c>
      <c r="DN743">
        <f>IF(DG743=1,DN$7,0)</f>
        <v>0</v>
      </c>
      <c r="DO743">
        <v>0</v>
      </c>
      <c r="DP743">
        <v>1</v>
      </c>
      <c r="DQ743" t="s">
        <v>1413</v>
      </c>
      <c r="DR743" t="s">
        <v>1414</v>
      </c>
      <c r="DS743">
        <v>0</v>
      </c>
      <c r="DT743">
        <f>SUM(DO743:DP743)</f>
        <v>1</v>
      </c>
      <c r="DU743" s="143" t="str">
        <f>IF(DO743=1,"self-calculated DF",IF(DP743=1,"external DF used","explicit C balance"))</f>
        <v>external DF used</v>
      </c>
      <c r="DV743">
        <v>1</v>
      </c>
      <c r="DW743">
        <v>1</v>
      </c>
      <c r="DX743">
        <v>1</v>
      </c>
      <c r="DY743">
        <v>1</v>
      </c>
      <c r="DZ743">
        <v>0</v>
      </c>
      <c r="EA743" s="143">
        <v>0</v>
      </c>
      <c r="EB743">
        <v>0</v>
      </c>
      <c r="EC743">
        <v>0</v>
      </c>
      <c r="ED743">
        <v>0</v>
      </c>
      <c r="EE743">
        <v>0</v>
      </c>
      <c r="EF743">
        <v>1</v>
      </c>
      <c r="EG743" s="143">
        <v>0</v>
      </c>
      <c r="EH743" s="143">
        <v>0</v>
      </c>
      <c r="EI743" s="2">
        <v>0</v>
      </c>
      <c r="EK743" t="str">
        <f>IF(AND(AND(AND(OR($DX743=1,$DW743=1),OR($EC743=1,$EA743=1)),SUM($DV743:$DZ743,$EF743)&gt;=4),SUM($EA743:$EE743)&gt;=2),"Whole sector","")</f>
        <v/>
      </c>
      <c r="EL743" t="str">
        <f>IF(AND(AND(OR($DX743=1,$DW743=1),AND($EC743=0,$EA743=0)),SUM($DV743:$DZ743,$EF743)&gt;=4),"Ecosystem approach","")</f>
        <v>Ecosystem approach</v>
      </c>
      <c r="EM743" s="2" t="str">
        <f>IF(AND(AND(AND($DX743=0,$DW743=0),OR($EC743=1,$EA743=1)),SUM($EB743:$EE743)&gt;=2),"Technology approach","")</f>
        <v/>
      </c>
      <c r="EP743" t="b">
        <f>IF(ISNUMBER(BU743),IF(ABS(BU743-[4]QC_indicators!$B$2)&gt;3*[4]QC_indicators!$C$2,"C ratio",IF(ISNUMBER(BY743),IF(ABS(BY743-[4]QC_indicators!$B$1)&gt;3*[4]QC_indicators!$C$1,"DF","no"))),IF(ISNUMBER(BY743),IF(ABS(BY743-[4]QC_indicators!$B$1)&gt;3*[4]QC_indicators!$C$1,"DF","no")))</f>
        <v>0</v>
      </c>
      <c r="EQ743" t="s">
        <v>287</v>
      </c>
      <c r="ER743" s="149" t="s">
        <v>350</v>
      </c>
      <c r="ET743" s="266" t="s">
        <v>3275</v>
      </c>
    </row>
    <row r="744" spans="1:150" ht="15" hidden="1" customHeight="1">
      <c r="A744" s="1" t="s">
        <v>334</v>
      </c>
      <c r="B744" t="s">
        <v>721</v>
      </c>
      <c r="C744" t="s">
        <v>722</v>
      </c>
      <c r="D744" t="s">
        <v>723</v>
      </c>
      <c r="E744" t="s">
        <v>724</v>
      </c>
      <c r="F744" t="s">
        <v>725</v>
      </c>
      <c r="G744" t="s">
        <v>340</v>
      </c>
      <c r="H744" t="s">
        <v>255</v>
      </c>
      <c r="I744">
        <v>2015</v>
      </c>
      <c r="J744">
        <v>86</v>
      </c>
      <c r="K744" t="s">
        <v>726</v>
      </c>
      <c r="M744" t="str">
        <f>LEFT($D744,FIND(",",$D744)-1)&amp;"_"&amp;I744&amp;L744</f>
        <v>Fouquet_2015</v>
      </c>
      <c r="N744" t="s">
        <v>223</v>
      </c>
      <c r="O744" s="145" t="s">
        <v>275</v>
      </c>
      <c r="Q744" t="s">
        <v>257</v>
      </c>
      <c r="R744" s="255" t="s">
        <v>226</v>
      </c>
      <c r="S744" s="1" t="s">
        <v>727</v>
      </c>
      <c r="T744" s="266" t="s">
        <v>3326</v>
      </c>
      <c r="U744" s="266" t="s">
        <v>3327</v>
      </c>
      <c r="V744">
        <v>0</v>
      </c>
      <c r="W744">
        <v>0</v>
      </c>
      <c r="X744">
        <v>0</v>
      </c>
      <c r="Y744">
        <v>0</v>
      </c>
      <c r="Z744">
        <v>0</v>
      </c>
      <c r="AA744">
        <v>0</v>
      </c>
      <c r="AB744">
        <v>0</v>
      </c>
      <c r="AC744">
        <v>0</v>
      </c>
      <c r="AD744">
        <v>0</v>
      </c>
      <c r="AE744">
        <v>0</v>
      </c>
      <c r="AF744">
        <v>0</v>
      </c>
      <c r="AG744">
        <v>0</v>
      </c>
      <c r="AH744">
        <v>1</v>
      </c>
      <c r="AI744">
        <v>0</v>
      </c>
      <c r="AJ744">
        <v>0</v>
      </c>
      <c r="AK744">
        <v>0</v>
      </c>
      <c r="AL744">
        <v>0</v>
      </c>
      <c r="AM744">
        <v>0</v>
      </c>
      <c r="AN744">
        <v>0</v>
      </c>
      <c r="AO744">
        <v>0</v>
      </c>
      <c r="AP744">
        <v>0</v>
      </c>
      <c r="AQ744">
        <v>0</v>
      </c>
      <c r="AR744">
        <v>0</v>
      </c>
      <c r="AS744">
        <v>0</v>
      </c>
      <c r="AT744">
        <v>0</v>
      </c>
      <c r="AU744">
        <v>0</v>
      </c>
      <c r="AV744">
        <v>0</v>
      </c>
      <c r="AW744">
        <v>0</v>
      </c>
      <c r="AX744" s="141">
        <f>COUNTIF(V744:AW744,"&lt;&gt;0")</f>
        <v>1</v>
      </c>
      <c r="AY744" s="141">
        <f>COUNTIF(V744:AL744,"&lt;&gt;0")</f>
        <v>1</v>
      </c>
      <c r="AZ744">
        <f>COUNTIF(V744:AC744,"&lt;&gt;0")</f>
        <v>0</v>
      </c>
      <c r="BA744">
        <f>COUNTIF(AD744:AI744,"&lt;&gt;0")</f>
        <v>1</v>
      </c>
      <c r="BB744">
        <f>COUNTIF(AJ744:AL744,"&lt;&gt;0")</f>
        <v>0</v>
      </c>
      <c r="BC744">
        <f>COUNTIF(AS744:AW744,"&lt;&gt;0")</f>
        <v>0</v>
      </c>
      <c r="BD744">
        <f>COUNTIF(AM744:AR744,"&lt;&gt;0")</f>
        <v>0</v>
      </c>
      <c r="BE744" t="str">
        <f t="array" ref="BE744">IF(AY744=1,INDEX($V$7:$AL$7,MATCH(TRUE,INDEX($V744:$AW744&lt;&gt;0,),0)),IF(AY744=0,INDEX($AM$7:$AW$7,MATCH(1,$AM744:$AW744,0)),IF(BF744="Multiple strategies","mixed drivers",IF(BF744="Supply chain","multiple supply","multiple silviculture"))))</f>
        <v xml:space="preserve">end of life disposal </v>
      </c>
      <c r="BF744" s="2" t="str" cm="1">
        <f t="array" ref="BF744">IF(COUNTIF(AZ744:BB744,"&lt;&gt;0")=1,INDEX($V$4:$AW$4,MATCH(TRUE,INDEX($V744:$AW744&lt;&gt;0,),0)),IF(COUNTIF(AZ744:BB744,"&lt;&gt;0")=0,INDEX($AM$4:$AW$4,MATCH(1,$AM744:$AW744,0)),"Multiple strategies"))</f>
        <v>Supply chain</v>
      </c>
      <c r="BG744" s="1" t="s">
        <v>230</v>
      </c>
      <c r="BH744" t="s">
        <v>729</v>
      </c>
      <c r="BI744" s="260" t="s">
        <v>3328</v>
      </c>
      <c r="BJ744" s="266" t="s">
        <v>346</v>
      </c>
      <c r="BK744" s="260">
        <f xml:space="preserve"> 5341+3892+7551+1439+923+477</f>
        <v>19623</v>
      </c>
      <c r="BL744" s="260">
        <f xml:space="preserve"> 5341+3892+7551+1439+923+477</f>
        <v>19623</v>
      </c>
      <c r="BM744">
        <v>1</v>
      </c>
      <c r="BN744">
        <f>BL744-BK744</f>
        <v>0</v>
      </c>
      <c r="BO744">
        <v>0</v>
      </c>
      <c r="BP744" s="260" t="s">
        <v>396</v>
      </c>
      <c r="BQ744" s="260" t="s">
        <v>3329</v>
      </c>
      <c r="BR744" t="s">
        <v>398</v>
      </c>
      <c r="BS744" s="260">
        <f>7475</f>
        <v>7475</v>
      </c>
      <c r="BT744" s="260">
        <f>9761</f>
        <v>9761</v>
      </c>
      <c r="BU744" s="144">
        <f>IFERROR(BT744/BS744,"")</f>
        <v>1.305819397993311</v>
      </c>
      <c r="BV744">
        <f>BT744-BS744</f>
        <v>2286</v>
      </c>
      <c r="BX744">
        <f>BV744/1000</f>
        <v>2.286</v>
      </c>
      <c r="BY744" t="str">
        <f>IFERROR(BX744/BO744,"")</f>
        <v/>
      </c>
      <c r="BZ744">
        <v>0</v>
      </c>
      <c r="CA744">
        <v>0</v>
      </c>
      <c r="CB744">
        <v>0</v>
      </c>
      <c r="CC744">
        <v>0</v>
      </c>
      <c r="CD744">
        <v>0</v>
      </c>
      <c r="CE744">
        <v>0</v>
      </c>
      <c r="CF744">
        <v>0</v>
      </c>
      <c r="CG744">
        <v>0</v>
      </c>
      <c r="CH744">
        <v>0</v>
      </c>
      <c r="CI744">
        <v>0</v>
      </c>
      <c r="CJ744">
        <v>0</v>
      </c>
      <c r="CK744">
        <v>0</v>
      </c>
      <c r="CL744">
        <v>0</v>
      </c>
      <c r="CM744">
        <v>0</v>
      </c>
      <c r="CN744" t="str">
        <f>IF($BL744&lt;$BK744,"refNeedCorrection","refOK")</f>
        <v>refOK</v>
      </c>
      <c r="CO744">
        <f>IF($CN744="refNeedCorrection",BL744,BK744)</f>
        <v>19623</v>
      </c>
      <c r="CP744">
        <f>IF($CN744="refNeedCorrection",BK744,BL744)</f>
        <v>19623</v>
      </c>
      <c r="CQ744">
        <f>IF($CN744="refOK",$BO744,-$BO744)</f>
        <v>0</v>
      </c>
      <c r="CR744">
        <f>IF($CN744="refOK",$BS744,$BT744)*IF($BP744="Emissions positive",-1,1)</f>
        <v>-7475</v>
      </c>
      <c r="CS744">
        <f>IF($CN744="refOK",$BT744,$BS744)*IF($BP744="Emissions positive",-1,1)</f>
        <v>-9761</v>
      </c>
      <c r="CT744">
        <f>IF($CN744="refNeedCorrection",-BX744,BX744)*IF($BP744="Emissions positive",-1,1)</f>
        <v>-2.286</v>
      </c>
      <c r="CU744" t="str">
        <f>IFERROR(CT744/CQ744,"")</f>
        <v/>
      </c>
      <c r="CV744" s="2">
        <f>IFERROR((CS744-CR744)/ABS(CR744),"")</f>
        <v>-0.30581939799331104</v>
      </c>
      <c r="CW744" s="1" t="s">
        <v>264</v>
      </c>
      <c r="CX744" t="str">
        <f>IF(OR($CW744="prd",$CW744="std",$CW744="cit"),"loc",IF(OR($CW744="eur",$CW744="reg",$CW744="coy"),"reg",$CW744))</f>
        <v>loc</v>
      </c>
      <c r="CY744" t="s">
        <v>731</v>
      </c>
      <c r="DB744">
        <v>100</v>
      </c>
      <c r="DC744" t="str">
        <f>IF(DB744=0,"0",IF(AND(DB744&gt;=1,DB744&lt;=30),"1-30",IF(AND(DB744&gt;30,DB744&lt;=70),"31-70",IF(AND(DB744&gt;70,DB744&lt;=100),"71-100",IF(DB744&gt;100,"+100")))))</f>
        <v>71-100</v>
      </c>
      <c r="DD744">
        <v>0</v>
      </c>
      <c r="DE744">
        <v>0</v>
      </c>
      <c r="DF744">
        <v>0</v>
      </c>
      <c r="DG744">
        <v>1</v>
      </c>
      <c r="DI744">
        <f>SUM(DD744:DG744)</f>
        <v>1</v>
      </c>
      <c r="DJ744" t="str">
        <f>IF(DI744=1,INDEX($DD$7:$DG$7,MATCH(1,$DD744:$DG744,0)),"mixedProduct")</f>
        <v>TimberInput</v>
      </c>
      <c r="DK744">
        <f>IF(DD744=1,DK$7,0)</f>
        <v>0</v>
      </c>
      <c r="DL744">
        <f>IF(DE744=1,DL$7,0)</f>
        <v>0</v>
      </c>
      <c r="DM744">
        <f>IF(DF744=1,DM$7,0)</f>
        <v>0</v>
      </c>
      <c r="DN744" t="str">
        <f>IF(DG744=1,DN$7,0)</f>
        <v>Timber</v>
      </c>
      <c r="DO744">
        <v>0</v>
      </c>
      <c r="DP744">
        <v>0</v>
      </c>
      <c r="DQ744">
        <v>0</v>
      </c>
      <c r="DR744">
        <v>0</v>
      </c>
      <c r="DS744">
        <v>0</v>
      </c>
      <c r="DT744">
        <f>SUM(DO744:DP744)</f>
        <v>0</v>
      </c>
      <c r="DU744" s="143" t="str">
        <f>IF(DO744=1,"self-calculated DF",IF(DP744=1,"external DF used","explicit C balance"))</f>
        <v>explicit C balance</v>
      </c>
      <c r="DV744">
        <v>0</v>
      </c>
      <c r="DW744">
        <v>0</v>
      </c>
      <c r="DX744">
        <v>0</v>
      </c>
      <c r="DY744">
        <v>1</v>
      </c>
      <c r="DZ744">
        <v>1</v>
      </c>
      <c r="EA744">
        <v>1</v>
      </c>
      <c r="EB744">
        <v>0</v>
      </c>
      <c r="EC744">
        <v>1</v>
      </c>
      <c r="ED744">
        <v>1</v>
      </c>
      <c r="EE744">
        <v>1</v>
      </c>
      <c r="EF744">
        <v>0</v>
      </c>
      <c r="EG744">
        <v>0</v>
      </c>
      <c r="EH744">
        <v>0</v>
      </c>
      <c r="EI744" s="2">
        <v>0</v>
      </c>
      <c r="EK744" t="str">
        <f>IF(AND(AND(AND(OR($DX744=1,$DW744=1),OR($EC744=1,$EA744=1)),SUM($DV744:$DZ744,$EF744)&gt;=4),SUM($EA744:$EE744)&gt;=2),"Whole sector","")</f>
        <v/>
      </c>
      <c r="EL744" t="str">
        <f>IF(AND(AND(OR($DX744=1,$DW744=1),AND($EC744=0,$EA744=0)),SUM($DV744:$DZ744,$EF744)&gt;=4),"Ecosystem approach","")</f>
        <v/>
      </c>
      <c r="EM744" s="2" t="str">
        <f>IF(AND(AND(AND($DX744=0,$DW744=0),OR($EC744=1,$EA744=1)),SUM($EB744:$EE744)&gt;=2),"Technology approach","")</f>
        <v>Technology approach</v>
      </c>
      <c r="EP744" t="b">
        <f>IF(ISNUMBER(BU744),IF(ABS(BU744-[4]QC_indicators!$B$2)&gt;3*[4]QC_indicators!$C$2,"C ratio",IF(ISNUMBER(BY744),IF(ABS(BY744-[4]QC_indicators!$B$1)&gt;3*[4]QC_indicators!$C$1,"DF","no"))),IF(ISNUMBER(BY744),IF(ABS(BY744-[4]QC_indicators!$B$1)&gt;3*[4]QC_indicators!$C$1,"DF","no")))</f>
        <v>0</v>
      </c>
      <c r="ET744" s="266" t="s">
        <v>3275</v>
      </c>
    </row>
    <row r="745" spans="1:150" ht="15" customHeight="1">
      <c r="A745" s="1" t="s">
        <v>1402</v>
      </c>
      <c r="B745" t="s">
        <v>1403</v>
      </c>
      <c r="C745" t="s">
        <v>1404</v>
      </c>
      <c r="D745" t="s">
        <v>1405</v>
      </c>
      <c r="E745" t="s">
        <v>1406</v>
      </c>
      <c r="F745" t="s">
        <v>1407</v>
      </c>
      <c r="G745" t="s">
        <v>1408</v>
      </c>
      <c r="H745" t="s">
        <v>255</v>
      </c>
      <c r="I745">
        <v>2021</v>
      </c>
      <c r="J745">
        <v>0</v>
      </c>
      <c r="K745" t="s">
        <v>1409</v>
      </c>
      <c r="M745" t="str">
        <f>LEFT($D745,FIND(",",$D745)-1)&amp;"_"&amp;I745&amp;L745</f>
        <v>Dugan_2021</v>
      </c>
      <c r="N745" t="s">
        <v>223</v>
      </c>
      <c r="O745" s="145" t="s">
        <v>275</v>
      </c>
      <c r="Q745" t="s">
        <v>257</v>
      </c>
      <c r="R745" s="255" t="s">
        <v>226</v>
      </c>
      <c r="S745" s="1" t="s">
        <v>1419</v>
      </c>
      <c r="T745" t="s">
        <v>1420</v>
      </c>
      <c r="U745" t="s">
        <v>1113</v>
      </c>
      <c r="V745">
        <v>0</v>
      </c>
      <c r="W745">
        <v>0</v>
      </c>
      <c r="X745">
        <v>0</v>
      </c>
      <c r="Y745">
        <v>0</v>
      </c>
      <c r="Z745">
        <v>0</v>
      </c>
      <c r="AA745">
        <v>0</v>
      </c>
      <c r="AB745">
        <v>0</v>
      </c>
      <c r="AC745">
        <v>0</v>
      </c>
      <c r="AD745">
        <v>0</v>
      </c>
      <c r="AE745">
        <v>0</v>
      </c>
      <c r="AF745">
        <v>1</v>
      </c>
      <c r="AG745">
        <v>0</v>
      </c>
      <c r="AH745">
        <v>0</v>
      </c>
      <c r="AI745">
        <v>0</v>
      </c>
      <c r="AJ745">
        <v>0</v>
      </c>
      <c r="AK745">
        <v>0</v>
      </c>
      <c r="AL745">
        <v>0</v>
      </c>
      <c r="AM745">
        <v>0</v>
      </c>
      <c r="AN745">
        <v>0</v>
      </c>
      <c r="AO745">
        <v>0</v>
      </c>
      <c r="AP745">
        <v>0</v>
      </c>
      <c r="AQ745">
        <v>0</v>
      </c>
      <c r="AR745">
        <v>0</v>
      </c>
      <c r="AS745">
        <v>0</v>
      </c>
      <c r="AT745">
        <v>0</v>
      </c>
      <c r="AU745">
        <v>0</v>
      </c>
      <c r="AV745">
        <v>0</v>
      </c>
      <c r="AW745">
        <v>0</v>
      </c>
      <c r="AX745" s="141">
        <f>COUNTIF(V745:AW745,"&lt;&gt;0")</f>
        <v>1</v>
      </c>
      <c r="AY745" s="141">
        <f>COUNTIF(V745:AL745,"&lt;&gt;0")</f>
        <v>1</v>
      </c>
      <c r="AZ745">
        <f>COUNTIF(V745:AC745,"&lt;&gt;0")</f>
        <v>0</v>
      </c>
      <c r="BA745">
        <f>COUNTIF(AD745:AI745,"&lt;&gt;0")</f>
        <v>1</v>
      </c>
      <c r="BB745">
        <f>COUNTIF(AJ745:AL745,"&lt;&gt;0")</f>
        <v>0</v>
      </c>
      <c r="BC745">
        <f>COUNTIF(AS745:AW745,"&lt;&gt;0")</f>
        <v>0</v>
      </c>
      <c r="BD745">
        <f>COUNTIF(AM745:AR745,"&lt;&gt;0")</f>
        <v>0</v>
      </c>
      <c r="BE745" t="str">
        <f t="array" ref="BE745">IF(AY745=1,INDEX($V$7:$AL$7,MATCH(TRUE,INDEX($V745:$AW745&lt;&gt;0,),0)),IF(AY745=0,INDEX($AM$7:$AW$7,MATCH(1,$AM745:$AW745,0)),IF(BF745="Multiple strategies","mixed drivers",IF(BF745="Supply chain","multiple supply","multiple silviculture"))))</f>
        <v>supply chain organization</v>
      </c>
      <c r="BF745" s="2" t="str" cm="1">
        <f t="array" ref="BF745">IF(COUNTIF(AZ745:BB745,"&lt;&gt;0")=1,INDEX($V$4:$AW$4,MATCH(TRUE,INDEX($V745:$AW745&lt;&gt;0,),0)),IF(COUNTIF(AZ745:BB745,"&lt;&gt;0")=0,INDEX($AM$4:$AW$4,MATCH(1,$AM745:$AW745,0)),"Multiple strategies"))</f>
        <v>Supply chain</v>
      </c>
      <c r="BG745" s="1" t="s">
        <v>322</v>
      </c>
      <c r="BH745" t="s">
        <v>1412</v>
      </c>
      <c r="BI745" s="260" t="s">
        <v>3320</v>
      </c>
      <c r="BJ745" t="s">
        <v>1361</v>
      </c>
      <c r="BK745" s="266">
        <v>14.61</v>
      </c>
      <c r="BL745" s="266">
        <v>14.61</v>
      </c>
      <c r="BN745" s="227">
        <f>BL745-BK745</f>
        <v>0</v>
      </c>
      <c r="BO745">
        <f>BN745*10^6*tC_to_m3</f>
        <v>0</v>
      </c>
      <c r="BP745" t="s">
        <v>233</v>
      </c>
      <c r="BQ745" s="260" t="s">
        <v>3323</v>
      </c>
      <c r="BR745" t="s">
        <v>1302</v>
      </c>
      <c r="BS745" s="152"/>
      <c r="BT745" s="152"/>
      <c r="BU745" s="144"/>
      <c r="BV745" s="287">
        <v>0</v>
      </c>
      <c r="BX745">
        <f>BV745*10^6</f>
        <v>0</v>
      </c>
      <c r="BY745" t="str">
        <f>IFERROR(BX745/BO745,"")</f>
        <v/>
      </c>
      <c r="BZ745">
        <v>0</v>
      </c>
      <c r="CA745">
        <v>0</v>
      </c>
      <c r="CB745">
        <v>0</v>
      </c>
      <c r="CC745">
        <v>0</v>
      </c>
      <c r="CD745">
        <v>0</v>
      </c>
      <c r="CE745">
        <v>0</v>
      </c>
      <c r="CF745">
        <v>0</v>
      </c>
      <c r="CG745">
        <v>0</v>
      </c>
      <c r="CH745">
        <v>0</v>
      </c>
      <c r="CI745">
        <v>0</v>
      </c>
      <c r="CJ745">
        <v>0</v>
      </c>
      <c r="CK745">
        <v>0</v>
      </c>
      <c r="CL745">
        <v>0</v>
      </c>
      <c r="CM745">
        <v>0</v>
      </c>
      <c r="CN745" t="str">
        <f>IF(BL745&lt;BK745,"refNeedCorrection","refOK")</f>
        <v>refOK</v>
      </c>
      <c r="CO745"/>
      <c r="CP745"/>
      <c r="CQ745">
        <f>IF($CN745="refNeedCorrection",-BO745,BO745)</f>
        <v>0</v>
      </c>
      <c r="CR745">
        <f>IF($CN745="refOK",$BS745,$BT745)*IF($BP745="Emissions positive",-1,1)</f>
        <v>0</v>
      </c>
      <c r="CS745">
        <f>IF($CN745="refOK",$BT745,$BS745)*IF($BP745="Emissions positive",-1,1)</f>
        <v>0</v>
      </c>
      <c r="CT745">
        <f>IF($CN745="refNeedCorrection",-BX745,BX745)*IF($BP745="Emissions positive",-1,1)</f>
        <v>0</v>
      </c>
      <c r="CU745" t="str">
        <f>IFERROR(CT745/CQ745,"")</f>
        <v/>
      </c>
      <c r="CV745" s="2" t="str">
        <f>IFERROR((CS745-CR745)/ABS(CR745),"")</f>
        <v/>
      </c>
      <c r="CW745" s="1" t="s">
        <v>1201</v>
      </c>
      <c r="CX745" t="str">
        <f>IF(OR($CW745="prd",$CW745="std",$CW745="cit"),"loc",IF(OR($CW745="eur",$CW745="reg",$CW745="coy"),"reg",$CW745))</f>
        <v>reg</v>
      </c>
      <c r="CY745" t="s">
        <v>429</v>
      </c>
      <c r="CZ745">
        <v>2020</v>
      </c>
      <c r="DA745">
        <v>2050</v>
      </c>
      <c r="DB745">
        <v>30</v>
      </c>
      <c r="DC745" t="str">
        <f>IF(DB745=0,"0",IF(AND(DB745&gt;=1,DB745&lt;=30),"1-30",IF(AND(DB745&gt;30,DB745&lt;=70),"31-70",IF(AND(DB745&gt;70,DB745&lt;=100),"71-100",IF(DB745&gt;100,"+100")))))</f>
        <v>1-30</v>
      </c>
      <c r="DD745">
        <v>0</v>
      </c>
      <c r="DE745">
        <v>1</v>
      </c>
      <c r="DF745">
        <v>1</v>
      </c>
      <c r="DG745">
        <v>0</v>
      </c>
      <c r="DI745">
        <f>SUM(DD745:DG745)</f>
        <v>2</v>
      </c>
      <c r="DJ745" t="str">
        <f>IF(DI745=1,INDEX($DD$7:$DG$7,MATCH(1,$DD745:$DG745,0)),"mixedProduct")</f>
        <v>mixedProduct</v>
      </c>
      <c r="DK745">
        <f>IF(DD745=1,DK$7,0)</f>
        <v>0</v>
      </c>
      <c r="DL745" t="str">
        <f>IF(DE745=1,DL$7,0)</f>
        <v>Energy</v>
      </c>
      <c r="DM745" t="str">
        <f>IF(DF745=1,DM$7,0)</f>
        <v>Pulp/Paper</v>
      </c>
      <c r="DN745">
        <f>IF(DG745=1,DN$7,0)</f>
        <v>0</v>
      </c>
      <c r="DO745">
        <v>0</v>
      </c>
      <c r="DP745">
        <v>1</v>
      </c>
      <c r="DQ745" t="s">
        <v>1413</v>
      </c>
      <c r="DR745" t="s">
        <v>1414</v>
      </c>
      <c r="DS745">
        <v>0</v>
      </c>
      <c r="DT745">
        <f>SUM(DO745:DP745)</f>
        <v>1</v>
      </c>
      <c r="DU745" s="143" t="str">
        <f>IF(DO745=1,"self-calculated DF",IF(DP745=1,"external DF used","explicit C balance"))</f>
        <v>external DF used</v>
      </c>
      <c r="DV745">
        <v>1</v>
      </c>
      <c r="DW745">
        <v>1</v>
      </c>
      <c r="DX745">
        <v>1</v>
      </c>
      <c r="DY745">
        <v>0</v>
      </c>
      <c r="DZ745">
        <v>0</v>
      </c>
      <c r="EA745" s="143">
        <v>0</v>
      </c>
      <c r="EB745">
        <v>0</v>
      </c>
      <c r="EC745">
        <v>0</v>
      </c>
      <c r="ED745">
        <v>0</v>
      </c>
      <c r="EE745">
        <v>0</v>
      </c>
      <c r="EF745">
        <v>1</v>
      </c>
      <c r="EG745" s="143">
        <v>0</v>
      </c>
      <c r="EH745" s="143">
        <v>0</v>
      </c>
      <c r="EI745" s="2">
        <v>0</v>
      </c>
      <c r="EK745" t="str">
        <f>IF(AND(AND(AND(OR($DX745=1,$DW745=1),OR($EC745=1,$EA745=1)),SUM($DV745:$DZ745,$EF745)&gt;=4),SUM($EA745:$EE745)&gt;=2),"Whole sector","")</f>
        <v/>
      </c>
      <c r="EL745" t="str">
        <f>IF(AND(AND(OR($DX745=1,$DW745=1),AND($EC745=0,$EA745=0)),SUM($DV745:$DZ745,$EF745)&gt;=4),"Ecosystem approach","")</f>
        <v>Ecosystem approach</v>
      </c>
      <c r="EM745" s="2" t="str">
        <f>IF(AND(AND(AND($DX745=0,$DW745=0),OR($EC745=1,$EA745=1)),SUM($EB745:$EE745)&gt;=2),"Technology approach","")</f>
        <v/>
      </c>
      <c r="EP745" t="b">
        <f>IF(ISNUMBER(BU745),IF(ABS(BU745-[4]QC_indicators!$B$2)&gt;3*[4]QC_indicators!$C$2,"C ratio",IF(ISNUMBER(BY745),IF(ABS(BY745-[4]QC_indicators!$B$1)&gt;3*[4]QC_indicators!$C$1,"DF","no"))),IF(ISNUMBER(BY745),IF(ABS(BY745-[4]QC_indicators!$B$1)&gt;3*[4]QC_indicators!$C$1,"DF","no")))</f>
        <v>0</v>
      </c>
      <c r="EQ745" t="s">
        <v>287</v>
      </c>
      <c r="ER745" s="149" t="s">
        <v>350</v>
      </c>
      <c r="ET745" s="266" t="s">
        <v>3275</v>
      </c>
    </row>
    <row r="746" spans="1:150" ht="15" customHeight="1">
      <c r="A746" s="1" t="s">
        <v>1402</v>
      </c>
      <c r="B746" t="s">
        <v>1403</v>
      </c>
      <c r="C746" t="s">
        <v>1404</v>
      </c>
      <c r="D746" t="s">
        <v>1405</v>
      </c>
      <c r="E746" t="s">
        <v>1406</v>
      </c>
      <c r="F746" t="s">
        <v>1407</v>
      </c>
      <c r="G746" t="s">
        <v>1408</v>
      </c>
      <c r="H746" t="s">
        <v>255</v>
      </c>
      <c r="I746">
        <v>2021</v>
      </c>
      <c r="J746">
        <v>0</v>
      </c>
      <c r="K746" t="s">
        <v>1409</v>
      </c>
      <c r="M746" t="str">
        <f>LEFT($D746,FIND(",",$D746)-1)&amp;"_"&amp;I746&amp;L746</f>
        <v>Dugan_2021</v>
      </c>
      <c r="N746" t="s">
        <v>223</v>
      </c>
      <c r="O746" s="145" t="s">
        <v>275</v>
      </c>
      <c r="Q746" t="s">
        <v>257</v>
      </c>
      <c r="R746" s="255" t="s">
        <v>226</v>
      </c>
      <c r="S746" s="1" t="s">
        <v>1419</v>
      </c>
      <c r="T746" t="s">
        <v>1113</v>
      </c>
      <c r="U746" t="s">
        <v>1401</v>
      </c>
      <c r="V746">
        <v>0</v>
      </c>
      <c r="W746">
        <v>0</v>
      </c>
      <c r="X746">
        <v>0</v>
      </c>
      <c r="Y746">
        <v>0</v>
      </c>
      <c r="Z746">
        <v>0</v>
      </c>
      <c r="AA746">
        <v>0</v>
      </c>
      <c r="AB746">
        <v>0</v>
      </c>
      <c r="AC746">
        <v>0</v>
      </c>
      <c r="AD746">
        <v>0</v>
      </c>
      <c r="AE746">
        <v>0</v>
      </c>
      <c r="AF746">
        <v>1</v>
      </c>
      <c r="AG746">
        <v>0</v>
      </c>
      <c r="AH746">
        <v>0</v>
      </c>
      <c r="AI746">
        <v>0</v>
      </c>
      <c r="AJ746">
        <v>0</v>
      </c>
      <c r="AK746">
        <v>0</v>
      </c>
      <c r="AL746">
        <v>0</v>
      </c>
      <c r="AM746">
        <v>0</v>
      </c>
      <c r="AN746">
        <v>0</v>
      </c>
      <c r="AO746">
        <v>0</v>
      </c>
      <c r="AP746">
        <v>0</v>
      </c>
      <c r="AQ746">
        <v>0</v>
      </c>
      <c r="AR746">
        <v>0</v>
      </c>
      <c r="AS746">
        <v>0</v>
      </c>
      <c r="AT746">
        <v>0</v>
      </c>
      <c r="AU746">
        <v>0</v>
      </c>
      <c r="AV746">
        <v>0</v>
      </c>
      <c r="AW746">
        <v>0</v>
      </c>
      <c r="AX746" s="141">
        <f>COUNTIF(V746:AW746,"&lt;&gt;0")</f>
        <v>1</v>
      </c>
      <c r="AY746" s="141">
        <f>COUNTIF(V746:AL746,"&lt;&gt;0")</f>
        <v>1</v>
      </c>
      <c r="AZ746">
        <f>COUNTIF(V746:AC746,"&lt;&gt;0")</f>
        <v>0</v>
      </c>
      <c r="BA746">
        <f>COUNTIF(AD746:AI746,"&lt;&gt;0")</f>
        <v>1</v>
      </c>
      <c r="BB746">
        <f>COUNTIF(AJ746:AL746,"&lt;&gt;0")</f>
        <v>0</v>
      </c>
      <c r="BC746">
        <f>COUNTIF(AS746:AW746,"&lt;&gt;0")</f>
        <v>0</v>
      </c>
      <c r="BD746">
        <f>COUNTIF(AM746:AR746,"&lt;&gt;0")</f>
        <v>0</v>
      </c>
      <c r="BE746" t="str">
        <f t="array" ref="BE746">IF(AY746=1,INDEX($V$7:$AL$7,MATCH(TRUE,INDEX($V746:$AW746&lt;&gt;0,),0)),IF(AY746=0,INDEX($AM$7:$AW$7,MATCH(1,$AM746:$AW746,0)),IF(BF746="Multiple strategies","mixed drivers",IF(BF746="Supply chain","multiple supply","multiple silviculture"))))</f>
        <v>supply chain organization</v>
      </c>
      <c r="BF746" s="2" t="str" cm="1">
        <f t="array" ref="BF746">IF(COUNTIF(AZ746:BB746,"&lt;&gt;0")=1,INDEX($V$4:$AW$4,MATCH(TRUE,INDEX($V746:$AW746&lt;&gt;0,),0)),IF(COUNTIF(AZ746:BB746,"&lt;&gt;0")=0,INDEX($AM$4:$AW$4,MATCH(1,$AM746:$AW746,0)),"Multiple strategies"))</f>
        <v>Supply chain</v>
      </c>
      <c r="BG746" s="1" t="s">
        <v>322</v>
      </c>
      <c r="BH746" t="s">
        <v>1412</v>
      </c>
      <c r="BI746" s="260" t="s">
        <v>3320</v>
      </c>
      <c r="BJ746" t="s">
        <v>1361</v>
      </c>
      <c r="BK746" s="266">
        <v>14.61</v>
      </c>
      <c r="BL746" s="266">
        <v>14.61</v>
      </c>
      <c r="BN746" s="227">
        <f>BL746-BK746</f>
        <v>0</v>
      </c>
      <c r="BO746">
        <f>BN746*10^6*tC_to_m3</f>
        <v>0</v>
      </c>
      <c r="BP746" t="s">
        <v>233</v>
      </c>
      <c r="BQ746" s="260" t="s">
        <v>3323</v>
      </c>
      <c r="BR746" t="s">
        <v>1302</v>
      </c>
      <c r="BS746" s="152"/>
      <c r="BT746" s="152"/>
      <c r="BU746" s="144"/>
      <c r="BV746" s="287">
        <v>0</v>
      </c>
      <c r="BX746">
        <f>BV746*10^6</f>
        <v>0</v>
      </c>
      <c r="BY746" t="str">
        <f>IFERROR(BX746/BO746,"")</f>
        <v/>
      </c>
      <c r="BZ746">
        <v>0</v>
      </c>
      <c r="CA746">
        <v>0</v>
      </c>
      <c r="CB746">
        <v>0</v>
      </c>
      <c r="CC746">
        <v>0</v>
      </c>
      <c r="CD746">
        <v>0</v>
      </c>
      <c r="CE746">
        <v>0</v>
      </c>
      <c r="CF746">
        <v>0</v>
      </c>
      <c r="CG746">
        <v>0</v>
      </c>
      <c r="CH746">
        <v>0</v>
      </c>
      <c r="CI746">
        <v>0</v>
      </c>
      <c r="CJ746">
        <v>0</v>
      </c>
      <c r="CK746">
        <v>0</v>
      </c>
      <c r="CL746">
        <v>0</v>
      </c>
      <c r="CM746">
        <v>0</v>
      </c>
      <c r="CN746" t="str">
        <f>IF(BL746&lt;BK746,"refNeedCorrection","refOK")</f>
        <v>refOK</v>
      </c>
      <c r="CO746"/>
      <c r="CP746"/>
      <c r="CQ746">
        <f>IF($CN746="refNeedCorrection",-BO746,BO746)</f>
        <v>0</v>
      </c>
      <c r="CR746">
        <f>IF($CN746="refOK",$BS746,$BT746)*IF($BP746="Emissions positive",-1,1)</f>
        <v>0</v>
      </c>
      <c r="CS746">
        <f>IF($CN746="refOK",$BT746,$BS746)*IF($BP746="Emissions positive",-1,1)</f>
        <v>0</v>
      </c>
      <c r="CT746">
        <f>IF($CN746="refNeedCorrection",-BX746,BX746)*IF($BP746="Emissions positive",-1,1)</f>
        <v>0</v>
      </c>
      <c r="CU746" t="str">
        <f>IFERROR(CT746/CQ746,"")</f>
        <v/>
      </c>
      <c r="CV746" s="2" t="str">
        <f>IFERROR((CS746-CR746)/ABS(CR746),"")</f>
        <v/>
      </c>
      <c r="CW746" s="1" t="s">
        <v>1201</v>
      </c>
      <c r="CX746" t="str">
        <f>IF(OR($CW746="prd",$CW746="std",$CW746="cit"),"loc",IF(OR($CW746="eur",$CW746="reg",$CW746="coy"),"reg",$CW746))</f>
        <v>reg</v>
      </c>
      <c r="CY746" t="s">
        <v>429</v>
      </c>
      <c r="CZ746">
        <v>2020</v>
      </c>
      <c r="DA746">
        <v>2050</v>
      </c>
      <c r="DB746">
        <v>30</v>
      </c>
      <c r="DC746" t="str">
        <f>IF(DB746=0,"0",IF(AND(DB746&gt;=1,DB746&lt;=30),"1-30",IF(AND(DB746&gt;30,DB746&lt;=70),"31-70",IF(AND(DB746&gt;70,DB746&lt;=100),"71-100",IF(DB746&gt;100,"+100")))))</f>
        <v>1-30</v>
      </c>
      <c r="DD746">
        <v>0</v>
      </c>
      <c r="DE746">
        <v>0</v>
      </c>
      <c r="DF746">
        <v>1</v>
      </c>
      <c r="DG746">
        <v>1</v>
      </c>
      <c r="DI746">
        <f>SUM(DD746:DG746)</f>
        <v>2</v>
      </c>
      <c r="DJ746" t="str">
        <f>IF(DI746=1,INDEX($DD$7:$DG$7,MATCH(1,$DD746:$DG746,0)),"mixedProduct")</f>
        <v>mixedProduct</v>
      </c>
      <c r="DK746">
        <f>IF(DD746=1,DK$7,0)</f>
        <v>0</v>
      </c>
      <c r="DL746">
        <f>IF(DE746=1,DL$7,0)</f>
        <v>0</v>
      </c>
      <c r="DM746" t="str">
        <f>IF(DF746=1,DM$7,0)</f>
        <v>Pulp/Paper</v>
      </c>
      <c r="DN746" t="str">
        <f>IF(DG746=1,DN$7,0)</f>
        <v>Timber</v>
      </c>
      <c r="DO746">
        <v>0</v>
      </c>
      <c r="DP746">
        <v>1</v>
      </c>
      <c r="DQ746" t="s">
        <v>1413</v>
      </c>
      <c r="DR746" t="s">
        <v>1414</v>
      </c>
      <c r="DS746">
        <v>0</v>
      </c>
      <c r="DT746">
        <f>SUM(DO746:DP746)</f>
        <v>1</v>
      </c>
      <c r="DU746" s="143" t="str">
        <f>IF(DO746=1,"self-calculated DF",IF(DP746=1,"external DF used","explicit C balance"))</f>
        <v>external DF used</v>
      </c>
      <c r="DV746">
        <v>1</v>
      </c>
      <c r="DW746">
        <v>1</v>
      </c>
      <c r="DX746">
        <v>1</v>
      </c>
      <c r="DY746">
        <v>0</v>
      </c>
      <c r="DZ746">
        <v>0</v>
      </c>
      <c r="EA746" s="143">
        <v>0</v>
      </c>
      <c r="EB746">
        <v>0</v>
      </c>
      <c r="EC746">
        <v>0</v>
      </c>
      <c r="ED746">
        <v>0</v>
      </c>
      <c r="EE746">
        <v>0</v>
      </c>
      <c r="EF746">
        <v>1</v>
      </c>
      <c r="EG746" s="143">
        <v>0</v>
      </c>
      <c r="EH746" s="143">
        <v>0</v>
      </c>
      <c r="EI746" s="2">
        <v>0</v>
      </c>
      <c r="EK746" t="str">
        <f>IF(AND(AND(AND(OR($DX746=1,$DW746=1),OR($EC746=1,$EA746=1)),SUM($DV746:$DZ746,$EF746)&gt;=4),SUM($EA746:$EE746)&gt;=2),"Whole sector","")</f>
        <v/>
      </c>
      <c r="EL746" t="str">
        <f>IF(AND(AND(OR($DX746=1,$DW746=1),AND($EC746=0,$EA746=0)),SUM($DV746:$DZ746,$EF746)&gt;=4),"Ecosystem approach","")</f>
        <v>Ecosystem approach</v>
      </c>
      <c r="EM746" s="2" t="str">
        <f>IF(AND(AND(AND($DX746=0,$DW746=0),OR($EC746=1,$EA746=1)),SUM($EB746:$EE746)&gt;=2),"Technology approach","")</f>
        <v/>
      </c>
      <c r="EP746" t="b">
        <f>IF(ISNUMBER(BU746),IF(ABS(BU746-[4]QC_indicators!$B$2)&gt;3*[4]QC_indicators!$C$2,"C ratio",IF(ISNUMBER(BY746),IF(ABS(BY746-[4]QC_indicators!$B$1)&gt;3*[4]QC_indicators!$C$1,"DF","no"))),IF(ISNUMBER(BY746),IF(ABS(BY746-[4]QC_indicators!$B$1)&gt;3*[4]QC_indicators!$C$1,"DF","no")))</f>
        <v>0</v>
      </c>
      <c r="EQ746" t="s">
        <v>287</v>
      </c>
      <c r="ER746" s="149" t="s">
        <v>350</v>
      </c>
      <c r="ET746" s="266" t="s">
        <v>3275</v>
      </c>
    </row>
    <row r="747" spans="1:150" ht="15" hidden="1" customHeight="1">
      <c r="A747" s="1" t="s">
        <v>1288</v>
      </c>
      <c r="B747" t="s">
        <v>1338</v>
      </c>
      <c r="C747" t="s">
        <v>1339</v>
      </c>
      <c r="D747" t="s">
        <v>1340</v>
      </c>
      <c r="E747" t="s">
        <v>1341</v>
      </c>
      <c r="F747" t="s">
        <v>1342</v>
      </c>
      <c r="G747" t="s">
        <v>1294</v>
      </c>
      <c r="H747" t="s">
        <v>255</v>
      </c>
      <c r="I747">
        <v>2016</v>
      </c>
      <c r="J747">
        <v>27</v>
      </c>
      <c r="K747" t="s">
        <v>1343</v>
      </c>
      <c r="M747" t="str">
        <f>LEFT($D747,FIND(",",$D747)-1)&amp;"_"&amp;I747&amp;L747</f>
        <v>Braun_2016</v>
      </c>
      <c r="N747" t="s">
        <v>223</v>
      </c>
      <c r="O747" s="145" t="s">
        <v>224</v>
      </c>
      <c r="Q747" t="s">
        <v>257</v>
      </c>
      <c r="R747" s="255" t="s">
        <v>226</v>
      </c>
      <c r="S747" s="1" t="s">
        <v>1350</v>
      </c>
      <c r="T747" t="s">
        <v>1345</v>
      </c>
      <c r="U747" t="s">
        <v>1352</v>
      </c>
      <c r="V747">
        <v>0</v>
      </c>
      <c r="W747">
        <v>0</v>
      </c>
      <c r="X747">
        <v>0</v>
      </c>
      <c r="Y747">
        <v>0</v>
      </c>
      <c r="Z747">
        <v>0</v>
      </c>
      <c r="AA747">
        <v>0</v>
      </c>
      <c r="AB747">
        <v>0</v>
      </c>
      <c r="AC747">
        <v>0</v>
      </c>
      <c r="AD747">
        <v>0</v>
      </c>
      <c r="AE747">
        <v>0</v>
      </c>
      <c r="AF747">
        <v>1</v>
      </c>
      <c r="AG747">
        <v>0</v>
      </c>
      <c r="AH747">
        <v>0</v>
      </c>
      <c r="AI747">
        <v>0</v>
      </c>
      <c r="AJ747">
        <v>0</v>
      </c>
      <c r="AK747">
        <v>0</v>
      </c>
      <c r="AL747">
        <v>0</v>
      </c>
      <c r="AM747">
        <v>0</v>
      </c>
      <c r="AN747">
        <v>0</v>
      </c>
      <c r="AO747">
        <v>0</v>
      </c>
      <c r="AP747">
        <v>0</v>
      </c>
      <c r="AQ747">
        <v>0</v>
      </c>
      <c r="AR747">
        <v>0</v>
      </c>
      <c r="AS747">
        <v>0</v>
      </c>
      <c r="AT747">
        <v>0</v>
      </c>
      <c r="AU747">
        <v>0</v>
      </c>
      <c r="AV747">
        <v>0</v>
      </c>
      <c r="AW747">
        <v>0</v>
      </c>
      <c r="AX747" s="141">
        <f>COUNTIF(V747:AW747,"&lt;&gt;0")</f>
        <v>1</v>
      </c>
      <c r="AY747" s="141">
        <f>COUNTIF(V747:AL747,"&lt;&gt;0")</f>
        <v>1</v>
      </c>
      <c r="AZ747">
        <f>COUNTIF(V747:AC747,"&lt;&gt;0")</f>
        <v>0</v>
      </c>
      <c r="BA747">
        <f>COUNTIF(AD747:AI747,"&lt;&gt;0")</f>
        <v>1</v>
      </c>
      <c r="BB747">
        <f>COUNTIF(AJ747:AL747,"&lt;&gt;0")</f>
        <v>0</v>
      </c>
      <c r="BC747">
        <f>COUNTIF(AS747:AW747,"&lt;&gt;0")</f>
        <v>0</v>
      </c>
      <c r="BD747">
        <f>COUNTIF(AM747:AR747,"&lt;&gt;0")</f>
        <v>0</v>
      </c>
      <c r="BE747" t="str">
        <f t="array" ref="BE747">IF(AY747=1,INDEX($V$7:$AL$7,MATCH(TRUE,INDEX($V747:$AW747&lt;&gt;0,),0)),IF(AY747=0,INDEX($AM$7:$AW$7,MATCH(1,$AM747:$AW747,0)),IF(BF747="Multiple strategies","mixed drivers",IF(BF747="Supply chain","multiple supply","multiple silviculture"))))</f>
        <v>supply chain organization</v>
      </c>
      <c r="BF747" s="2" t="str" cm="1">
        <f t="array" ref="BF747">IF(COUNTIF(AZ747:BB747,"&lt;&gt;0")=1,INDEX($V$4:$AW$4,MATCH(TRUE,INDEX($V747:$AW747&lt;&gt;0,),0)),IF(COUNTIF(AZ747:BB747,"&lt;&gt;0")=0,INDEX($AM$4:$AW$4,MATCH(1,$AM747:$AW747,0)),"Multiple strategies"))</f>
        <v>Supply chain</v>
      </c>
      <c r="BG747" s="1" t="s">
        <v>230</v>
      </c>
      <c r="BH747" t="s">
        <v>1346</v>
      </c>
      <c r="BI747" s="260" t="s">
        <v>3279</v>
      </c>
      <c r="BJ747" t="s">
        <v>1347</v>
      </c>
      <c r="BK747">
        <v>1.1674521913429727</v>
      </c>
      <c r="BL747">
        <v>1.8344709897610794</v>
      </c>
      <c r="BM747">
        <f>BL747/BK747</f>
        <v>1.5713457076566064</v>
      </c>
      <c r="BN747">
        <f>BL747-BK747</f>
        <v>0.66701879841810663</v>
      </c>
      <c r="BO747">
        <f>BN747*10^9</f>
        <v>667018798.41810668</v>
      </c>
      <c r="BP747" t="s">
        <v>233</v>
      </c>
      <c r="BQ747" s="260" t="s">
        <v>3280</v>
      </c>
      <c r="BR747" t="s">
        <v>1348</v>
      </c>
      <c r="BS747" s="266">
        <v>1.93686006825938</v>
      </c>
      <c r="BT747" s="266">
        <v>1.26109215017064</v>
      </c>
      <c r="BU747" s="144">
        <f>IFERROR(BT747/BS747,"")</f>
        <v>0.65110132158590062</v>
      </c>
      <c r="BV747">
        <f>BT747-BS747</f>
        <v>-0.67576791808873993</v>
      </c>
      <c r="BX747">
        <f>BV747*10^9</f>
        <v>-675767918.08873987</v>
      </c>
      <c r="BY747">
        <f>IFERROR(BX747/BO747,"")</f>
        <v>-1.0131167512690535</v>
      </c>
      <c r="BZ747" s="143">
        <v>0</v>
      </c>
      <c r="CA747" s="143">
        <v>0</v>
      </c>
      <c r="CB747" s="143">
        <v>0</v>
      </c>
      <c r="CC747" s="143">
        <v>0</v>
      </c>
      <c r="CD747" s="143">
        <v>0</v>
      </c>
      <c r="CE747" s="143">
        <v>0</v>
      </c>
      <c r="CF747" s="143">
        <v>0</v>
      </c>
      <c r="CG747" s="143">
        <v>0</v>
      </c>
      <c r="CH747" s="143">
        <v>0</v>
      </c>
      <c r="CI747" s="143">
        <v>0</v>
      </c>
      <c r="CJ747" s="143">
        <v>0</v>
      </c>
      <c r="CK747" s="143">
        <v>0</v>
      </c>
      <c r="CL747" s="143">
        <v>0</v>
      </c>
      <c r="CM747">
        <v>0</v>
      </c>
      <c r="CN747" t="str">
        <f>IF($BL747&lt;$BK747,"refNeedCorrection","refOK")</f>
        <v>refOK</v>
      </c>
      <c r="CO747">
        <f>IF($CN747="refOK",$BK747,$BL747)</f>
        <v>1.1674521913429727</v>
      </c>
      <c r="CP747">
        <f>IF($CN747="refOK",$BL747,$BK747)</f>
        <v>1.8344709897610794</v>
      </c>
      <c r="CQ747">
        <f>IF($CN747="refOK",$BO747,-$BO747)</f>
        <v>667018798.41810668</v>
      </c>
      <c r="CR747">
        <f>IF($CN747="refOK",$BS747,$BT747)*IF($BP747="Emissions positive",-1,1)</f>
        <v>1.93686006825938</v>
      </c>
      <c r="CS747">
        <f>IF($CN747="refOK",$BT747,$BS747)*IF($BP747="Emissions positive",-1,1)</f>
        <v>1.26109215017064</v>
      </c>
      <c r="CT747">
        <f>IF($CN747="refNeedCorrection",-BX747,BX747)*IF($BP747="Emissions positive",-1,1)</f>
        <v>-675767918.08873987</v>
      </c>
      <c r="CU747">
        <f>IFERROR(CT747/CQ747,"")</f>
        <v>-1.0131167512690535</v>
      </c>
      <c r="CV747" s="2">
        <f>IFERROR((CS747-CR747)/ABS(CR747),"")</f>
        <v>-0.34889867841409933</v>
      </c>
      <c r="CW747" s="1" t="s">
        <v>1205</v>
      </c>
      <c r="CX747" t="str">
        <f>IF(OR($CW747="prd",$CW747="std",$CW747="cit"),"loc",IF(OR($CW747="eur",$CW747="reg",$CW747="coy"),"reg",$CW747))</f>
        <v>reg</v>
      </c>
      <c r="CY747" t="s">
        <v>668</v>
      </c>
      <c r="CZ747">
        <v>2010</v>
      </c>
      <c r="DA747">
        <v>2100</v>
      </c>
      <c r="DB747">
        <f>DA747-CZ747</f>
        <v>90</v>
      </c>
      <c r="DC747" t="str">
        <f>IF(DB747=0,"0",IF(AND(DB747&gt;=1,DB747&lt;=30),"1-30",IF(AND(DB747&gt;30,DB747&lt;=70),"31-70",IF(AND(DB747&gt;70,DB747&lt;=100),"71-100",IF(DB747&gt;100,"+100")))))</f>
        <v>71-100</v>
      </c>
      <c r="DD747">
        <v>0</v>
      </c>
      <c r="DE747">
        <v>1</v>
      </c>
      <c r="DF747">
        <v>1</v>
      </c>
      <c r="DG747">
        <v>1</v>
      </c>
      <c r="DI747">
        <f>SUM(DD747:DG747)</f>
        <v>3</v>
      </c>
      <c r="DJ747" t="str">
        <f>IF(DI747=1,INDEX($DD$7:$DG$7,MATCH(1,$DD747:$DG747,0)),"mixedProduct")</f>
        <v>mixedProduct</v>
      </c>
      <c r="DK747">
        <f>IF(DD747=1,DK$7,0)</f>
        <v>0</v>
      </c>
      <c r="DL747" t="str">
        <f>IF(DE747=1,DL$7,0)</f>
        <v>Energy</v>
      </c>
      <c r="DM747" t="str">
        <f>IF(DF747=1,DM$7,0)</f>
        <v>Pulp/Paper</v>
      </c>
      <c r="DN747" t="str">
        <f>IF(DG747=1,DN$7,0)</f>
        <v>Timber</v>
      </c>
      <c r="DO747">
        <v>1</v>
      </c>
      <c r="DP747" s="143">
        <v>0</v>
      </c>
      <c r="DQ747" s="143">
        <v>0</v>
      </c>
      <c r="DR747" s="143">
        <v>0</v>
      </c>
      <c r="DS747">
        <v>0</v>
      </c>
      <c r="DT747">
        <f>SUM(DO747:DP747)</f>
        <v>1</v>
      </c>
      <c r="DU747" s="143" t="str">
        <f>IF(DO747=1,"self-calculated DF",IF(DP747=1,"external DF used","explicit C balance"))</f>
        <v>self-calculated DF</v>
      </c>
      <c r="DV747">
        <v>1</v>
      </c>
      <c r="DW747" s="143">
        <v>1</v>
      </c>
      <c r="DX747" s="143">
        <v>1</v>
      </c>
      <c r="DY747" s="143">
        <v>1</v>
      </c>
      <c r="DZ747">
        <v>1</v>
      </c>
      <c r="EA747" s="141">
        <v>1</v>
      </c>
      <c r="EB747">
        <v>0</v>
      </c>
      <c r="EC747" s="143">
        <v>1</v>
      </c>
      <c r="ED747" s="143">
        <v>1</v>
      </c>
      <c r="EE747">
        <v>0</v>
      </c>
      <c r="EF747">
        <v>1</v>
      </c>
      <c r="EG747" s="143">
        <v>0</v>
      </c>
      <c r="EH747" s="143">
        <v>0</v>
      </c>
      <c r="EI747" s="2">
        <v>0</v>
      </c>
      <c r="EK747" t="str">
        <f>IF(AND(AND(AND(OR($DX747=1,$DW747=1),OR($EC747=1,$EA747=1)),SUM($DV747:$DZ747,$EF747)&gt;=4),SUM($EA747:$EE747)&gt;=2),"Whole sector","")</f>
        <v>Whole sector</v>
      </c>
      <c r="EL747" t="str">
        <f>IF(AND(AND(OR($DX747=1,$DW747=1),AND($EC747=0,$EA747=0)),SUM($DV747:$DZ747,$EF747)&gt;=4),"Ecosystem approach","")</f>
        <v/>
      </c>
      <c r="EM747" s="2" t="str">
        <f>IF(AND(AND(AND($DX747=0,$DW747=0),OR($EC747=1,$EA747=1)),SUM($EB747:$EE747)&gt;=2),"Technology approach","")</f>
        <v/>
      </c>
      <c r="EN747" t="s">
        <v>3285</v>
      </c>
      <c r="EP747" t="str">
        <f>IF(ISNUMBER(BU747),IF(ABS(BU747-[4]QC_indicators!$B$2)&gt;3*[4]QC_indicators!$C$2,"C ratio",IF(ISNUMBER(BY747),IF(ABS(BY747-[4]QC_indicators!$B$1)&gt;3*[4]QC_indicators!$C$1,"DF","no"))),IF(ISNUMBER(BY747),IF(ABS(BY747-[4]QC_indicators!$B$1)&gt;3*[4]QC_indicators!$C$1,"DF","no")))</f>
        <v>no</v>
      </c>
      <c r="ET747" s="266" t="s">
        <v>3275</v>
      </c>
    </row>
    <row r="748" spans="1:150" ht="15" hidden="1" customHeight="1">
      <c r="A748" s="1" t="s">
        <v>1288</v>
      </c>
      <c r="B748" t="s">
        <v>1338</v>
      </c>
      <c r="C748" t="s">
        <v>1339</v>
      </c>
      <c r="D748" t="s">
        <v>1340</v>
      </c>
      <c r="E748" t="s">
        <v>1341</v>
      </c>
      <c r="F748" t="s">
        <v>1342</v>
      </c>
      <c r="G748" t="s">
        <v>1294</v>
      </c>
      <c r="H748" t="s">
        <v>255</v>
      </c>
      <c r="I748">
        <v>2016</v>
      </c>
      <c r="J748">
        <v>27</v>
      </c>
      <c r="K748" t="s">
        <v>1343</v>
      </c>
      <c r="M748" t="str">
        <f>LEFT($D748,FIND(",",$D748)-1)&amp;"_"&amp;I748&amp;L748</f>
        <v>Braun_2016</v>
      </c>
      <c r="N748" t="s">
        <v>223</v>
      </c>
      <c r="O748" s="145" t="s">
        <v>224</v>
      </c>
      <c r="Q748" t="s">
        <v>257</v>
      </c>
      <c r="R748" s="255" t="s">
        <v>226</v>
      </c>
      <c r="S748" s="1" t="s">
        <v>1350</v>
      </c>
      <c r="T748" t="s">
        <v>1345</v>
      </c>
      <c r="U748" t="s">
        <v>1353</v>
      </c>
      <c r="V748">
        <v>0</v>
      </c>
      <c r="W748">
        <v>0</v>
      </c>
      <c r="X748">
        <v>0</v>
      </c>
      <c r="Y748">
        <v>0</v>
      </c>
      <c r="Z748">
        <v>0</v>
      </c>
      <c r="AA748">
        <v>0</v>
      </c>
      <c r="AB748">
        <v>0</v>
      </c>
      <c r="AC748">
        <v>0</v>
      </c>
      <c r="AD748">
        <v>0</v>
      </c>
      <c r="AE748">
        <v>0</v>
      </c>
      <c r="AF748">
        <v>1</v>
      </c>
      <c r="AG748">
        <v>0</v>
      </c>
      <c r="AH748">
        <v>0</v>
      </c>
      <c r="AI748">
        <v>0</v>
      </c>
      <c r="AJ748">
        <v>0</v>
      </c>
      <c r="AK748">
        <v>0</v>
      </c>
      <c r="AL748">
        <v>0</v>
      </c>
      <c r="AM748">
        <v>0</v>
      </c>
      <c r="AN748">
        <v>0</v>
      </c>
      <c r="AO748">
        <v>0</v>
      </c>
      <c r="AP748">
        <v>0</v>
      </c>
      <c r="AQ748">
        <v>0</v>
      </c>
      <c r="AR748">
        <v>0</v>
      </c>
      <c r="AS748">
        <v>0</v>
      </c>
      <c r="AT748">
        <v>0</v>
      </c>
      <c r="AU748">
        <v>0</v>
      </c>
      <c r="AV748">
        <v>0</v>
      </c>
      <c r="AW748">
        <v>0</v>
      </c>
      <c r="AX748" s="141">
        <f>COUNTIF(V748:AW748,"&lt;&gt;0")</f>
        <v>1</v>
      </c>
      <c r="AY748" s="141">
        <f>COUNTIF(V748:AL748,"&lt;&gt;0")</f>
        <v>1</v>
      </c>
      <c r="AZ748">
        <f>COUNTIF(V748:AC748,"&lt;&gt;0")</f>
        <v>0</v>
      </c>
      <c r="BA748">
        <f>COUNTIF(AD748:AI748,"&lt;&gt;0")</f>
        <v>1</v>
      </c>
      <c r="BB748">
        <f>COUNTIF(AJ748:AL748,"&lt;&gt;0")</f>
        <v>0</v>
      </c>
      <c r="BC748">
        <f>COUNTIF(AS748:AW748,"&lt;&gt;0")</f>
        <v>0</v>
      </c>
      <c r="BD748">
        <f>COUNTIF(AM748:AR748,"&lt;&gt;0")</f>
        <v>0</v>
      </c>
      <c r="BE748" t="str">
        <f t="array" ref="BE748">IF(AY748=1,INDEX($V$7:$AL$7,MATCH(TRUE,INDEX($V748:$AW748&lt;&gt;0,),0)),IF(AY748=0,INDEX($AM$7:$AW$7,MATCH(1,$AM748:$AW748,0)),IF(BF748="Multiple strategies","mixed drivers",IF(BF748="Supply chain","multiple supply","multiple silviculture"))))</f>
        <v>supply chain organization</v>
      </c>
      <c r="BF748" s="2" t="str" cm="1">
        <f t="array" ref="BF748">IF(COUNTIF(AZ748:BB748,"&lt;&gt;0")=1,INDEX($V$4:$AW$4,MATCH(TRUE,INDEX($V748:$AW748&lt;&gt;0,),0)),IF(COUNTIF(AZ748:BB748,"&lt;&gt;0")=0,INDEX($AM$4:$AW$4,MATCH(1,$AM748:$AW748,0)),"Multiple strategies"))</f>
        <v>Supply chain</v>
      </c>
      <c r="BG748" s="1" t="s">
        <v>230</v>
      </c>
      <c r="BH748" t="s">
        <v>1346</v>
      </c>
      <c r="BI748" s="260" t="s">
        <v>3279</v>
      </c>
      <c r="BJ748" t="s">
        <v>1347</v>
      </c>
      <c r="BK748">
        <v>1.1674521913429727</v>
      </c>
      <c r="BL748">
        <v>1.8900610197538394</v>
      </c>
      <c r="BM748">
        <f>BL748/BK748</f>
        <v>1.6189622442522613</v>
      </c>
      <c r="BN748">
        <f>BL748-BK748</f>
        <v>0.72260882841086671</v>
      </c>
      <c r="BO748">
        <f>BN748*10^9</f>
        <v>722608828.41086674</v>
      </c>
      <c r="BP748" t="s">
        <v>233</v>
      </c>
      <c r="BQ748" s="260" t="s">
        <v>3280</v>
      </c>
      <c r="BR748" t="s">
        <v>1348</v>
      </c>
      <c r="BS748" s="266">
        <v>1.93686006825938</v>
      </c>
      <c r="BT748" s="266">
        <v>1.27133105802047</v>
      </c>
      <c r="BU748" s="144">
        <f>IFERROR(BT748/BS748,"")</f>
        <v>0.65638766519823577</v>
      </c>
      <c r="BV748">
        <f>BT748-BS748</f>
        <v>-0.66552901023890998</v>
      </c>
      <c r="BX748">
        <f>BV748*10^9</f>
        <v>-665529010.23890996</v>
      </c>
      <c r="BY748">
        <f>IFERROR(BX748/BO748,"")</f>
        <v>-0.92100868972569228</v>
      </c>
      <c r="BZ748" s="143">
        <v>0</v>
      </c>
      <c r="CA748" s="143">
        <v>0</v>
      </c>
      <c r="CB748" s="143">
        <v>0</v>
      </c>
      <c r="CC748" s="143">
        <v>0</v>
      </c>
      <c r="CD748" s="143">
        <v>0</v>
      </c>
      <c r="CE748" s="143">
        <v>0</v>
      </c>
      <c r="CF748" s="143">
        <v>0</v>
      </c>
      <c r="CG748" s="143">
        <v>0</v>
      </c>
      <c r="CH748" s="143">
        <v>0</v>
      </c>
      <c r="CI748" s="143">
        <v>0</v>
      </c>
      <c r="CJ748" s="143">
        <v>0</v>
      </c>
      <c r="CK748" s="143">
        <v>0</v>
      </c>
      <c r="CL748" s="143">
        <v>0</v>
      </c>
      <c r="CM748">
        <v>0</v>
      </c>
      <c r="CN748" t="str">
        <f>IF($BL748&lt;$BK748,"refNeedCorrection","refOK")</f>
        <v>refOK</v>
      </c>
      <c r="CO748">
        <f>IF($CN748="refOK",$BK748,$BL748)</f>
        <v>1.1674521913429727</v>
      </c>
      <c r="CP748">
        <f>IF($CN748="refOK",$BL748,$BK748)</f>
        <v>1.8900610197538394</v>
      </c>
      <c r="CQ748">
        <f>IF($CN748="refOK",$BO748,-$BO748)</f>
        <v>722608828.41086674</v>
      </c>
      <c r="CR748">
        <f>IF($CN748="refOK",$BS748,$BT748)*IF($BP748="Emissions positive",-1,1)</f>
        <v>1.93686006825938</v>
      </c>
      <c r="CS748">
        <f>IF($CN748="refOK",$BT748,$BS748)*IF($BP748="Emissions positive",-1,1)</f>
        <v>1.27133105802047</v>
      </c>
      <c r="CT748">
        <f>IF($CN748="refNeedCorrection",-BX748,BX748)*IF($BP748="Emissions positive",-1,1)</f>
        <v>-665529010.23890996</v>
      </c>
      <c r="CU748">
        <f>IFERROR(CT748/CQ748,"")</f>
        <v>-0.92100868972569228</v>
      </c>
      <c r="CV748" s="2">
        <f>IFERROR((CS748-CR748)/ABS(CR748),"")</f>
        <v>-0.34361233480176423</v>
      </c>
      <c r="CW748" s="1" t="s">
        <v>1205</v>
      </c>
      <c r="CX748" t="str">
        <f>IF(OR($CW748="prd",$CW748="std",$CW748="cit"),"loc",IF(OR($CW748="eur",$CW748="reg",$CW748="coy"),"reg",$CW748))</f>
        <v>reg</v>
      </c>
      <c r="CY748" t="s">
        <v>668</v>
      </c>
      <c r="CZ748">
        <v>2010</v>
      </c>
      <c r="DA748">
        <v>2100</v>
      </c>
      <c r="DB748">
        <f>DA748-CZ748</f>
        <v>90</v>
      </c>
      <c r="DC748" t="str">
        <f>IF(DB748=0,"0",IF(AND(DB748&gt;=1,DB748&lt;=30),"1-30",IF(AND(DB748&gt;30,DB748&lt;=70),"31-70",IF(AND(DB748&gt;70,DB748&lt;=100),"71-100",IF(DB748&gt;100,"+100")))))</f>
        <v>71-100</v>
      </c>
      <c r="DD748">
        <v>0</v>
      </c>
      <c r="DE748">
        <v>1</v>
      </c>
      <c r="DF748">
        <v>1</v>
      </c>
      <c r="DG748">
        <v>1</v>
      </c>
      <c r="DI748">
        <f>SUM(DD748:DG748)</f>
        <v>3</v>
      </c>
      <c r="DJ748" t="str">
        <f>IF(DI748=1,INDEX($DD$7:$DG$7,MATCH(1,$DD748:$DG748,0)),"mixedProduct")</f>
        <v>mixedProduct</v>
      </c>
      <c r="DK748">
        <f>IF(DD748=1,DK$7,0)</f>
        <v>0</v>
      </c>
      <c r="DL748" t="str">
        <f>IF(DE748=1,DL$7,0)</f>
        <v>Energy</v>
      </c>
      <c r="DM748" t="str">
        <f>IF(DF748=1,DM$7,0)</f>
        <v>Pulp/Paper</v>
      </c>
      <c r="DN748" t="str">
        <f>IF(DG748=1,DN$7,0)</f>
        <v>Timber</v>
      </c>
      <c r="DO748">
        <v>1</v>
      </c>
      <c r="DP748" s="143">
        <v>0</v>
      </c>
      <c r="DQ748" s="143">
        <v>0</v>
      </c>
      <c r="DR748" s="143">
        <v>0</v>
      </c>
      <c r="DS748">
        <v>0</v>
      </c>
      <c r="DT748">
        <f>SUM(DO748:DP748)</f>
        <v>1</v>
      </c>
      <c r="DU748" s="143" t="str">
        <f>IF(DO748=1,"self-calculated DF",IF(DP748=1,"external DF used","explicit C balance"))</f>
        <v>self-calculated DF</v>
      </c>
      <c r="DV748">
        <v>1</v>
      </c>
      <c r="DW748" s="143">
        <v>1</v>
      </c>
      <c r="DX748" s="143">
        <v>1</v>
      </c>
      <c r="DY748" s="143">
        <v>1</v>
      </c>
      <c r="DZ748">
        <v>1</v>
      </c>
      <c r="EA748" s="141">
        <v>1</v>
      </c>
      <c r="EB748">
        <v>0</v>
      </c>
      <c r="EC748" s="143">
        <v>1</v>
      </c>
      <c r="ED748" s="143">
        <v>1</v>
      </c>
      <c r="EE748">
        <v>0</v>
      </c>
      <c r="EF748">
        <v>1</v>
      </c>
      <c r="EG748" s="143">
        <v>0</v>
      </c>
      <c r="EH748" s="143">
        <v>0</v>
      </c>
      <c r="EI748" s="2">
        <v>0</v>
      </c>
      <c r="EK748" t="str">
        <f>IF(AND(AND(AND(OR($DX748=1,$DW748=1),OR($EC748=1,$EA748=1)),SUM($DV748:$DZ748,$EF748)&gt;=4),SUM($EA748:$EE748)&gt;=2),"Whole sector","")</f>
        <v>Whole sector</v>
      </c>
      <c r="EL748" t="str">
        <f>IF(AND(AND(OR($DX748=1,$DW748=1),AND($EC748=0,$EA748=0)),SUM($DV748:$DZ748,$EF748)&gt;=4),"Ecosystem approach","")</f>
        <v/>
      </c>
      <c r="EM748" s="2" t="str">
        <f>IF(AND(AND(AND($DX748=0,$DW748=0),OR($EC748=1,$EA748=1)),SUM($EB748:$EE748)&gt;=2),"Technology approach","")</f>
        <v/>
      </c>
      <c r="EN748" t="s">
        <v>3285</v>
      </c>
      <c r="EP748" t="str">
        <f>IF(ISNUMBER(BU748),IF(ABS(BU748-[4]QC_indicators!$B$2)&gt;3*[4]QC_indicators!$C$2,"C ratio",IF(ISNUMBER(BY748),IF(ABS(BY748-[4]QC_indicators!$B$1)&gt;3*[4]QC_indicators!$C$1,"DF","no"))),IF(ISNUMBER(BY748),IF(ABS(BY748-[4]QC_indicators!$B$1)&gt;3*[4]QC_indicators!$C$1,"DF","no")))</f>
        <v>no</v>
      </c>
      <c r="ET748" s="266" t="s">
        <v>3275</v>
      </c>
    </row>
    <row r="749" spans="1:150" ht="15" hidden="1" customHeight="1">
      <c r="A749" s="1" t="s">
        <v>1104</v>
      </c>
      <c r="B749" t="s">
        <v>1821</v>
      </c>
      <c r="C749" t="s">
        <v>1822</v>
      </c>
      <c r="D749" t="s">
        <v>1823</v>
      </c>
      <c r="E749" t="s">
        <v>1824</v>
      </c>
      <c r="F749" t="s">
        <v>1825</v>
      </c>
      <c r="G749" t="s">
        <v>1110</v>
      </c>
      <c r="H749" t="s">
        <v>255</v>
      </c>
      <c r="I749">
        <v>2011</v>
      </c>
      <c r="J749">
        <v>49</v>
      </c>
      <c r="K749" t="s">
        <v>1826</v>
      </c>
      <c r="M749" t="str">
        <f>LEFT($D749,FIND(",",$D749)-1)&amp;"_"&amp;I749&amp;L749</f>
        <v>Kilpelainen_2011</v>
      </c>
      <c r="N749" t="s">
        <v>223</v>
      </c>
      <c r="O749" s="145" t="s">
        <v>514</v>
      </c>
      <c r="Q749" t="s">
        <v>257</v>
      </c>
      <c r="R749" s="264" t="s">
        <v>226</v>
      </c>
      <c r="S749" s="1" t="s">
        <v>1827</v>
      </c>
      <c r="T749" t="s">
        <v>1828</v>
      </c>
      <c r="U749" t="s">
        <v>1829</v>
      </c>
      <c r="V749">
        <v>0</v>
      </c>
      <c r="W749">
        <v>0</v>
      </c>
      <c r="X749">
        <v>0</v>
      </c>
      <c r="Y749">
        <v>0</v>
      </c>
      <c r="Z749">
        <v>0</v>
      </c>
      <c r="AA749">
        <v>0</v>
      </c>
      <c r="AB749">
        <v>0</v>
      </c>
      <c r="AC749">
        <v>0</v>
      </c>
      <c r="AD749">
        <v>0</v>
      </c>
      <c r="AE749">
        <v>0</v>
      </c>
      <c r="AF749">
        <v>1</v>
      </c>
      <c r="AG749">
        <v>0</v>
      </c>
      <c r="AH749">
        <v>0</v>
      </c>
      <c r="AI749">
        <v>0</v>
      </c>
      <c r="AJ749">
        <v>0</v>
      </c>
      <c r="AK749">
        <v>0</v>
      </c>
      <c r="AL749">
        <v>0</v>
      </c>
      <c r="AM749">
        <v>0</v>
      </c>
      <c r="AN749">
        <v>0</v>
      </c>
      <c r="AO749">
        <v>0</v>
      </c>
      <c r="AP749">
        <v>0</v>
      </c>
      <c r="AQ749">
        <v>0</v>
      </c>
      <c r="AR749">
        <v>0</v>
      </c>
      <c r="AS749">
        <v>0</v>
      </c>
      <c r="AT749">
        <v>0</v>
      </c>
      <c r="AU749">
        <v>0</v>
      </c>
      <c r="AV749">
        <v>0</v>
      </c>
      <c r="AW749">
        <v>0</v>
      </c>
      <c r="AX749" s="141">
        <f>COUNTIF(V749:AW749,"&lt;&gt;0")</f>
        <v>1</v>
      </c>
      <c r="AY749" s="141">
        <f>COUNTIF(V749:AL749,"&lt;&gt;0")</f>
        <v>1</v>
      </c>
      <c r="AZ749">
        <f>COUNTIF(V749:AC749,"&lt;&gt;0")</f>
        <v>0</v>
      </c>
      <c r="BA749">
        <f>COUNTIF(AD749:AI749,"&lt;&gt;0")</f>
        <v>1</v>
      </c>
      <c r="BB749">
        <f>COUNTIF(AJ749:AL749,"&lt;&gt;0")</f>
        <v>0</v>
      </c>
      <c r="BC749">
        <f>COUNTIF(AS749:AW749,"&lt;&gt;0")</f>
        <v>0</v>
      </c>
      <c r="BD749">
        <f>COUNTIF(AM749:AR749,"&lt;&gt;0")</f>
        <v>0</v>
      </c>
      <c r="BE749" t="str">
        <f t="array" ref="BE749">IF(AY749=1,INDEX($V$7:$AL$7,MATCH(TRUE,INDEX($V749:$AW749&lt;&gt;0,),0)),IF(AY749=0,INDEX($AM$7:$AW$7,MATCH(1,$AM749:$AW749,0)),IF(BF749="Multiple strategies","mixed drivers",IF(BF749="Supply chain","multiple supply","multiple silviculture"))))</f>
        <v>supply chain organization</v>
      </c>
      <c r="BF749" s="2" t="str" cm="1">
        <f t="array" ref="BF749">IF(COUNTIF(AZ749:BB749,"&lt;&gt;0")=1,INDEX($V$4:$AW$4,MATCH(TRUE,INDEX($V749:$AW749&lt;&gt;0,),0)),IF(COUNTIF(AZ749:BB749,"&lt;&gt;0")=0,INDEX($AM$4:$AW$4,MATCH(1,$AM749:$AW749,0)),"Multiple strategies"))</f>
        <v>Supply chain</v>
      </c>
      <c r="BG749" s="1" t="s">
        <v>322</v>
      </c>
      <c r="BH749" t="s">
        <v>1830</v>
      </c>
      <c r="BI749" s="260" t="s">
        <v>3367</v>
      </c>
      <c r="BJ749" t="s">
        <v>1831</v>
      </c>
      <c r="BK749">
        <f>70+15</f>
        <v>85</v>
      </c>
      <c r="BL749">
        <v>222</v>
      </c>
      <c r="BM749">
        <f>BL749/BK749</f>
        <v>2.611764705882353</v>
      </c>
      <c r="BN749">
        <f>BL749-BK749</f>
        <v>137</v>
      </c>
      <c r="BO749">
        <f>BN749*(1/10^6)*(1/C_to_CO2)*tC_to_m3</f>
        <v>1.6209162080972457E-4</v>
      </c>
      <c r="BP749" s="260" t="s">
        <v>396</v>
      </c>
      <c r="BQ749" s="260" t="s">
        <v>3367</v>
      </c>
      <c r="BR749" t="s">
        <v>1831</v>
      </c>
      <c r="BS749" s="260">
        <v>-319</v>
      </c>
      <c r="BT749" s="260">
        <v>-110</v>
      </c>
      <c r="BU749" s="144">
        <f>IFERROR(BT749/BS749,"")</f>
        <v>0.34482758620689657</v>
      </c>
      <c r="BV749">
        <f>BT749-BS749</f>
        <v>209</v>
      </c>
      <c r="BX749">
        <f>BV749/10^6</f>
        <v>2.0900000000000001E-4</v>
      </c>
      <c r="BY749">
        <f>IFERROR(BX749/BO749,"")</f>
        <v>1.2893942262773721</v>
      </c>
      <c r="BZ749">
        <v>0</v>
      </c>
      <c r="CA749">
        <v>0</v>
      </c>
      <c r="CB749">
        <v>0</v>
      </c>
      <c r="CC749">
        <v>0</v>
      </c>
      <c r="CD749">
        <v>0</v>
      </c>
      <c r="CE749">
        <v>0</v>
      </c>
      <c r="CF749">
        <v>0</v>
      </c>
      <c r="CG749">
        <v>0</v>
      </c>
      <c r="CH749">
        <v>0</v>
      </c>
      <c r="CI749">
        <v>0</v>
      </c>
      <c r="CJ749">
        <v>0</v>
      </c>
      <c r="CK749">
        <v>0</v>
      </c>
      <c r="CL749">
        <v>0</v>
      </c>
      <c r="CM749">
        <v>0</v>
      </c>
      <c r="CN749" t="str">
        <f>IF($BL749&lt;$BK749,"refNeedCorrection","refOK")</f>
        <v>refOK</v>
      </c>
      <c r="CO749">
        <f>IF($CN749="refOK",$BK749,$BL749)</f>
        <v>85</v>
      </c>
      <c r="CP749">
        <f>IF($CN749="refOK",$BL749,$BK749)</f>
        <v>222</v>
      </c>
      <c r="CQ749">
        <f>IF($CN749="refOK",$BO749,-$BO749)</f>
        <v>1.6209162080972457E-4</v>
      </c>
      <c r="CR749">
        <f>IF($CN749="refOK",$BS749,$BT749)*IF($BP749="Emissions positive",-1,1)</f>
        <v>319</v>
      </c>
      <c r="CS749">
        <f>IF($CN749="refOK",$BT749,$BS749)*IF($BP749="Emissions positive",-1,1)</f>
        <v>110</v>
      </c>
      <c r="CT749">
        <f>IF($CN749="refNeedCorrection",-BX749,BX749)*IF($BP749="Emissions positive",-1,1)</f>
        <v>-2.0900000000000001E-4</v>
      </c>
      <c r="CU749">
        <f>IFERROR(CT749/CQ749,"")</f>
        <v>-1.2893942262773721</v>
      </c>
      <c r="CV749" s="2">
        <f>IFERROR((CS749-CR749)/ABS(CR749),"")</f>
        <v>-0.65517241379310343</v>
      </c>
      <c r="CW749" s="1" t="s">
        <v>1201</v>
      </c>
      <c r="CX749" t="str">
        <f>IF(OR($CW749="prd",$CW749="std",$CW749="cit"),"loc",IF(OR($CW749="eur",$CW749="reg",$CW749="coy"),"reg",$CW749))</f>
        <v>reg</v>
      </c>
      <c r="CY749" t="s">
        <v>236</v>
      </c>
      <c r="DB749">
        <v>80</v>
      </c>
      <c r="DC749" t="str">
        <f>IF(DB749=0,"0",IF(AND(DB749&gt;=1,DB749&lt;=30),"1-30",IF(AND(DB749&gt;30,DB749&lt;=70),"31-70",IF(AND(DB749&gt;70,DB749&lt;=100),"71-100",IF(DB749&gt;100,"+100")))))</f>
        <v>71-100</v>
      </c>
      <c r="DD749">
        <v>0</v>
      </c>
      <c r="DE749">
        <v>1</v>
      </c>
      <c r="DF749">
        <v>1</v>
      </c>
      <c r="DG749">
        <v>1</v>
      </c>
      <c r="DI749">
        <f>SUM(DD749:DG749)</f>
        <v>3</v>
      </c>
      <c r="DJ749" t="str">
        <f>IF(DI749=1,INDEX($DD$7:$DG$7,MATCH(1,$DD749:$DG749,0)),"mixedProduct")</f>
        <v>mixedProduct</v>
      </c>
      <c r="DK749">
        <f>IF(DD749=1,DK$7,0)</f>
        <v>0</v>
      </c>
      <c r="DL749" t="str">
        <f>IF(DE749=1,DL$7,0)</f>
        <v>Energy</v>
      </c>
      <c r="DM749" t="str">
        <f>IF(DF749=1,DM$7,0)</f>
        <v>Pulp/Paper</v>
      </c>
      <c r="DN749" t="str">
        <f>IF(DG749=1,DN$7,0)</f>
        <v>Timber</v>
      </c>
      <c r="DO749">
        <v>0</v>
      </c>
      <c r="DP749">
        <v>0</v>
      </c>
      <c r="DQ749">
        <v>0</v>
      </c>
      <c r="DR749">
        <v>0</v>
      </c>
      <c r="DS749">
        <v>0</v>
      </c>
      <c r="DT749">
        <f>SUM(DO749:DP749)</f>
        <v>0</v>
      </c>
      <c r="DU749" s="143" t="str">
        <f>IF(DO749=1,"self-calculated DF",IF(DP749=1,"external DF used","explicit C balance"))</f>
        <v>explicit C balance</v>
      </c>
      <c r="DV749">
        <v>1</v>
      </c>
      <c r="DW749">
        <v>1</v>
      </c>
      <c r="DX749">
        <v>1</v>
      </c>
      <c r="DY749">
        <v>0</v>
      </c>
      <c r="DZ749">
        <v>1</v>
      </c>
      <c r="EA749">
        <v>0</v>
      </c>
      <c r="EB749">
        <v>1</v>
      </c>
      <c r="EC749">
        <v>1</v>
      </c>
      <c r="ED749">
        <v>0</v>
      </c>
      <c r="EE749">
        <v>1</v>
      </c>
      <c r="EF749">
        <v>1</v>
      </c>
      <c r="EG749">
        <v>1</v>
      </c>
      <c r="EH749">
        <v>0</v>
      </c>
      <c r="EI749" s="2">
        <v>0</v>
      </c>
      <c r="EK749" t="str">
        <f>IF(AND(AND(AND(OR($DX749=1,$DW749=1),OR($EC749=1,$EA749=1)),SUM($DV749:$DZ749,$EF749)&gt;=4),SUM($EA749:$EE749)&gt;=2),"Whole sector","")</f>
        <v>Whole sector</v>
      </c>
      <c r="EL749" t="str">
        <f>IF(AND(AND(OR($DX749=1,$DW749=1),AND($EC749=0,$EA749=0)),SUM($DV749:$DZ749,$EF749)&gt;=4),"Ecosystem approach","")</f>
        <v/>
      </c>
      <c r="EM749" s="2" t="str">
        <f>IF(AND(AND(AND($DX749=0,$DW749=0),OR($EC749=1,$EA749=1)),SUM($EB749:$EE749)&gt;=2),"Technology approach","")</f>
        <v/>
      </c>
      <c r="EP749" t="str">
        <f>IF(ISNUMBER(BU749),IF(ABS(BU749-[4]QC_indicators!$B$2)&gt;3*[4]QC_indicators!$C$2,"C ratio",IF(ISNUMBER(BY749),IF(ABS(BY749-[4]QC_indicators!$B$1)&gt;3*[4]QC_indicators!$C$1,"DF","no"))),IF(ISNUMBER(BY749),IF(ABS(BY749-[4]QC_indicators!$B$1)&gt;3*[4]QC_indicators!$C$1,"DF","no")))</f>
        <v>no</v>
      </c>
      <c r="ET749" s="266" t="s">
        <v>3275</v>
      </c>
    </row>
    <row r="750" spans="1:150" ht="15" hidden="1" customHeight="1">
      <c r="A750" s="1" t="s">
        <v>1104</v>
      </c>
      <c r="B750" t="s">
        <v>1821</v>
      </c>
      <c r="C750" t="s">
        <v>1822</v>
      </c>
      <c r="D750" t="s">
        <v>1823</v>
      </c>
      <c r="E750" t="s">
        <v>1824</v>
      </c>
      <c r="F750" t="s">
        <v>1825</v>
      </c>
      <c r="G750" t="s">
        <v>1110</v>
      </c>
      <c r="H750" t="s">
        <v>255</v>
      </c>
      <c r="I750">
        <v>2011</v>
      </c>
      <c r="J750">
        <v>49</v>
      </c>
      <c r="K750" t="s">
        <v>1826</v>
      </c>
      <c r="M750" t="str">
        <f>LEFT($D750,FIND(",",$D750)-1)&amp;"_"&amp;I750&amp;L750</f>
        <v>Kilpelainen_2011</v>
      </c>
      <c r="N750" t="s">
        <v>223</v>
      </c>
      <c r="O750" s="145" t="s">
        <v>514</v>
      </c>
      <c r="Q750" t="s">
        <v>257</v>
      </c>
      <c r="R750" s="264" t="s">
        <v>226</v>
      </c>
      <c r="S750" s="1" t="s">
        <v>1827</v>
      </c>
      <c r="T750" t="s">
        <v>1832</v>
      </c>
      <c r="U750" t="s">
        <v>1833</v>
      </c>
      <c r="V750">
        <v>0</v>
      </c>
      <c r="W750">
        <v>0</v>
      </c>
      <c r="X750">
        <v>0</v>
      </c>
      <c r="Y750">
        <v>0</v>
      </c>
      <c r="Z750">
        <v>0</v>
      </c>
      <c r="AA750">
        <v>0</v>
      </c>
      <c r="AB750">
        <v>0</v>
      </c>
      <c r="AC750">
        <v>0</v>
      </c>
      <c r="AD750">
        <v>0</v>
      </c>
      <c r="AE750">
        <v>0</v>
      </c>
      <c r="AF750">
        <v>1</v>
      </c>
      <c r="AG750">
        <v>0</v>
      </c>
      <c r="AH750">
        <v>0</v>
      </c>
      <c r="AI750">
        <v>0</v>
      </c>
      <c r="AJ750">
        <v>0</v>
      </c>
      <c r="AK750">
        <v>0</v>
      </c>
      <c r="AL750">
        <v>0</v>
      </c>
      <c r="AM750">
        <v>0</v>
      </c>
      <c r="AN750">
        <v>0</v>
      </c>
      <c r="AO750">
        <v>0</v>
      </c>
      <c r="AP750">
        <v>0</v>
      </c>
      <c r="AQ750">
        <v>0</v>
      </c>
      <c r="AR750">
        <v>0</v>
      </c>
      <c r="AS750">
        <v>0</v>
      </c>
      <c r="AT750">
        <v>0</v>
      </c>
      <c r="AU750">
        <v>0</v>
      </c>
      <c r="AV750">
        <v>0</v>
      </c>
      <c r="AW750">
        <v>0</v>
      </c>
      <c r="AX750" s="141">
        <f>COUNTIF(V750:AW750,"&lt;&gt;0")</f>
        <v>1</v>
      </c>
      <c r="AY750" s="141">
        <f>COUNTIF(V750:AL750,"&lt;&gt;0")</f>
        <v>1</v>
      </c>
      <c r="AZ750">
        <f>COUNTIF(V750:AC750,"&lt;&gt;0")</f>
        <v>0</v>
      </c>
      <c r="BA750">
        <f>COUNTIF(AD750:AI750,"&lt;&gt;0")</f>
        <v>1</v>
      </c>
      <c r="BB750">
        <f>COUNTIF(AJ750:AL750,"&lt;&gt;0")</f>
        <v>0</v>
      </c>
      <c r="BC750">
        <f>COUNTIF(AS750:AW750,"&lt;&gt;0")</f>
        <v>0</v>
      </c>
      <c r="BD750">
        <f>COUNTIF(AM750:AR750,"&lt;&gt;0")</f>
        <v>0</v>
      </c>
      <c r="BE750" t="str">
        <f t="array" ref="BE750">IF(AY750=1,INDEX($V$7:$AL$7,MATCH(TRUE,INDEX($V750:$AW750&lt;&gt;0,),0)),IF(AY750=0,INDEX($AM$7:$AW$7,MATCH(1,$AM750:$AW750,0)),IF(BF750="Multiple strategies","mixed drivers",IF(BF750="Supply chain","multiple supply","multiple silviculture"))))</f>
        <v>supply chain organization</v>
      </c>
      <c r="BF750" s="2" t="str" cm="1">
        <f t="array" ref="BF750">IF(COUNTIF(AZ750:BB750,"&lt;&gt;0")=1,INDEX($V$4:$AW$4,MATCH(TRUE,INDEX($V750:$AW750&lt;&gt;0,),0)),IF(COUNTIF(AZ750:BB750,"&lt;&gt;0")=0,INDEX($AM$4:$AW$4,MATCH(1,$AM750:$AW750,0)),"Multiple strategies"))</f>
        <v>Supply chain</v>
      </c>
      <c r="BG750" s="1" t="s">
        <v>322</v>
      </c>
      <c r="BH750" t="s">
        <v>1830</v>
      </c>
      <c r="BI750" s="260" t="s">
        <v>3367</v>
      </c>
      <c r="BJ750" t="s">
        <v>1831</v>
      </c>
      <c r="BK750">
        <f>71+13</f>
        <v>84</v>
      </c>
      <c r="BL750" s="260">
        <v>228</v>
      </c>
      <c r="BM750">
        <f>BL750/BK750</f>
        <v>2.7142857142857144</v>
      </c>
      <c r="BN750">
        <f>BL750-BK750</f>
        <v>144</v>
      </c>
      <c r="BO750">
        <f>BN750*(1/10^6)*(1/C_to_CO2)*tC_to_m3</f>
        <v>1.7037367442773971E-4</v>
      </c>
      <c r="BP750" s="260" t="s">
        <v>396</v>
      </c>
      <c r="BQ750" s="260" t="s">
        <v>3367</v>
      </c>
      <c r="BR750" t="s">
        <v>1831</v>
      </c>
      <c r="BS750" s="260">
        <v>-214</v>
      </c>
      <c r="BT750" s="260">
        <v>-51</v>
      </c>
      <c r="BU750" s="144">
        <f>IFERROR(BT750/BS750,"")</f>
        <v>0.23831775700934579</v>
      </c>
      <c r="BV750">
        <f>BT750-BS750</f>
        <v>163</v>
      </c>
      <c r="BX750">
        <f>BV750/10^6</f>
        <v>1.63E-4</v>
      </c>
      <c r="BY750">
        <f>IFERROR(BX750/BO750,"")</f>
        <v>0.95672057638888874</v>
      </c>
      <c r="BZ750">
        <v>0</v>
      </c>
      <c r="CA750">
        <v>0</v>
      </c>
      <c r="CB750">
        <v>0</v>
      </c>
      <c r="CC750">
        <v>0</v>
      </c>
      <c r="CD750">
        <v>0</v>
      </c>
      <c r="CE750">
        <v>0</v>
      </c>
      <c r="CF750">
        <v>0</v>
      </c>
      <c r="CG750">
        <v>0</v>
      </c>
      <c r="CH750">
        <v>0</v>
      </c>
      <c r="CI750">
        <v>0</v>
      </c>
      <c r="CJ750">
        <v>0</v>
      </c>
      <c r="CK750">
        <v>0</v>
      </c>
      <c r="CL750">
        <v>0</v>
      </c>
      <c r="CM750">
        <v>0</v>
      </c>
      <c r="CN750" t="str">
        <f>IF($BL750&lt;$BK750,"refNeedCorrection","refOK")</f>
        <v>refOK</v>
      </c>
      <c r="CO750">
        <f>IF($CN750="refOK",$BK750,$BL750)</f>
        <v>84</v>
      </c>
      <c r="CP750">
        <f>IF($CN750="refOK",$BL750,$BK750)</f>
        <v>228</v>
      </c>
      <c r="CQ750">
        <f>IF($CN750="refOK",$BO750,-$BO750)</f>
        <v>1.7037367442773971E-4</v>
      </c>
      <c r="CR750">
        <f>IF($CN750="refOK",$BS750,$BT750)*IF($BP750="Emissions positive",-1,1)</f>
        <v>214</v>
      </c>
      <c r="CS750">
        <f>IF($CN750="refOK",$BT750,$BS750)*IF($BP750="Emissions positive",-1,1)</f>
        <v>51</v>
      </c>
      <c r="CT750">
        <f>IF($CN750="refNeedCorrection",-BX750,BX750)*IF($BP750="Emissions positive",-1,1)</f>
        <v>-1.63E-4</v>
      </c>
      <c r="CU750">
        <f>IFERROR(CT750/CQ750,"")</f>
        <v>-0.95672057638888874</v>
      </c>
      <c r="CV750" s="2">
        <f>IFERROR((CS750-CR750)/ABS(CR750),"")</f>
        <v>-0.76168224299065423</v>
      </c>
      <c r="CW750" s="1" t="s">
        <v>1201</v>
      </c>
      <c r="CX750" t="str">
        <f>IF(OR($CW750="prd",$CW750="std",$CW750="cit"),"loc",IF(OR($CW750="eur",$CW750="reg",$CW750="coy"),"reg",$CW750))</f>
        <v>reg</v>
      </c>
      <c r="CY750" t="s">
        <v>236</v>
      </c>
      <c r="DB750">
        <v>80</v>
      </c>
      <c r="DC750" t="str">
        <f>IF(DB750=0,"0",IF(AND(DB750&gt;=1,DB750&lt;=30),"1-30",IF(AND(DB750&gt;30,DB750&lt;=70),"31-70",IF(AND(DB750&gt;70,DB750&lt;=100),"71-100",IF(DB750&gt;100,"+100")))))</f>
        <v>71-100</v>
      </c>
      <c r="DD750">
        <v>0</v>
      </c>
      <c r="DE750">
        <v>1</v>
      </c>
      <c r="DF750">
        <v>1</v>
      </c>
      <c r="DG750">
        <v>1</v>
      </c>
      <c r="DI750">
        <f>SUM(DD750:DG750)</f>
        <v>3</v>
      </c>
      <c r="DJ750" t="str">
        <f>IF(DI750=1,INDEX($DD$7:$DG$7,MATCH(1,$DD750:$DG750,0)),"mixedProduct")</f>
        <v>mixedProduct</v>
      </c>
      <c r="DK750">
        <f>IF(DD750=1,DK$7,0)</f>
        <v>0</v>
      </c>
      <c r="DL750" t="str">
        <f>IF(DE750=1,DL$7,0)</f>
        <v>Energy</v>
      </c>
      <c r="DM750" t="str">
        <f>IF(DF750=1,DM$7,0)</f>
        <v>Pulp/Paper</v>
      </c>
      <c r="DN750" t="str">
        <f>IF(DG750=1,DN$7,0)</f>
        <v>Timber</v>
      </c>
      <c r="DO750">
        <v>0</v>
      </c>
      <c r="DP750">
        <v>0</v>
      </c>
      <c r="DQ750">
        <v>0</v>
      </c>
      <c r="DR750">
        <v>0</v>
      </c>
      <c r="DS750">
        <v>0</v>
      </c>
      <c r="DT750">
        <f>SUM(DO750:DP750)</f>
        <v>0</v>
      </c>
      <c r="DU750" s="143" t="str">
        <f>IF(DO750=1,"self-calculated DF",IF(DP750=1,"external DF used","explicit C balance"))</f>
        <v>explicit C balance</v>
      </c>
      <c r="DV750">
        <v>1</v>
      </c>
      <c r="DW750">
        <v>1</v>
      </c>
      <c r="DX750">
        <v>1</v>
      </c>
      <c r="DY750">
        <v>0</v>
      </c>
      <c r="DZ750">
        <v>1</v>
      </c>
      <c r="EA750">
        <v>0</v>
      </c>
      <c r="EB750">
        <v>1</v>
      </c>
      <c r="EC750">
        <v>1</v>
      </c>
      <c r="ED750">
        <v>0</v>
      </c>
      <c r="EE750">
        <v>1</v>
      </c>
      <c r="EF750">
        <v>1</v>
      </c>
      <c r="EG750">
        <v>1</v>
      </c>
      <c r="EH750">
        <v>0</v>
      </c>
      <c r="EI750" s="2">
        <v>0</v>
      </c>
      <c r="EK750" t="str">
        <f>IF(AND(AND(AND(OR($DX750=1,$DW750=1),OR($EC750=1,$EA750=1)),SUM($DV750:$DZ750,$EF750)&gt;=4),SUM($EA750:$EE750)&gt;=2),"Whole sector","")</f>
        <v>Whole sector</v>
      </c>
      <c r="EL750" t="str">
        <f>IF(AND(AND(OR($DX750=1,$DW750=1),AND($EC750=0,$EA750=0)),SUM($DV750:$DZ750,$EF750)&gt;=4),"Ecosystem approach","")</f>
        <v/>
      </c>
      <c r="EM750" s="2" t="str">
        <f>IF(AND(AND(AND($DX750=0,$DW750=0),OR($EC750=1,$EA750=1)),SUM($EB750:$EE750)&gt;=2),"Technology approach","")</f>
        <v/>
      </c>
      <c r="EP750" t="str">
        <f>IF(ISNUMBER(BU750),IF(ABS(BU750-[4]QC_indicators!$B$2)&gt;3*[4]QC_indicators!$C$2,"C ratio",IF(ISNUMBER(BY750),IF(ABS(BY750-[4]QC_indicators!$B$1)&gt;3*[4]QC_indicators!$C$1,"DF","no"))),IF(ISNUMBER(BY750),IF(ABS(BY750-[4]QC_indicators!$B$1)&gt;3*[4]QC_indicators!$C$1,"DF","no")))</f>
        <v>no</v>
      </c>
      <c r="ET750" s="266" t="s">
        <v>3275</v>
      </c>
    </row>
    <row r="751" spans="1:150" ht="15" hidden="1" customHeight="1">
      <c r="A751" s="1" t="s">
        <v>334</v>
      </c>
      <c r="B751" t="s">
        <v>721</v>
      </c>
      <c r="C751" t="s">
        <v>722</v>
      </c>
      <c r="D751" t="s">
        <v>723</v>
      </c>
      <c r="E751" t="s">
        <v>724</v>
      </c>
      <c r="F751" t="s">
        <v>725</v>
      </c>
      <c r="G751" t="s">
        <v>340</v>
      </c>
      <c r="H751" t="s">
        <v>255</v>
      </c>
      <c r="I751">
        <v>2015</v>
      </c>
      <c r="J751">
        <v>86</v>
      </c>
      <c r="K751" t="s">
        <v>726</v>
      </c>
      <c r="M751" t="str">
        <f>LEFT($D751,FIND(",",$D751)-1)&amp;"_"&amp;I751&amp;L751</f>
        <v>Fouquet_2015</v>
      </c>
      <c r="N751" t="s">
        <v>223</v>
      </c>
      <c r="O751" s="145" t="s">
        <v>275</v>
      </c>
      <c r="Q751" t="s">
        <v>257</v>
      </c>
      <c r="R751" s="255" t="s">
        <v>226</v>
      </c>
      <c r="S751" s="1" t="s">
        <v>727</v>
      </c>
      <c r="T751" s="266" t="s">
        <v>3330</v>
      </c>
      <c r="U751" s="266" t="s">
        <v>3327</v>
      </c>
      <c r="V751">
        <v>0</v>
      </c>
      <c r="W751">
        <v>0</v>
      </c>
      <c r="X751">
        <v>0</v>
      </c>
      <c r="Y751">
        <v>0</v>
      </c>
      <c r="Z751">
        <v>0</v>
      </c>
      <c r="AA751">
        <v>0</v>
      </c>
      <c r="AB751">
        <v>0</v>
      </c>
      <c r="AC751">
        <v>0</v>
      </c>
      <c r="AD751">
        <v>0</v>
      </c>
      <c r="AE751">
        <v>0</v>
      </c>
      <c r="AF751">
        <v>0</v>
      </c>
      <c r="AG751">
        <v>0</v>
      </c>
      <c r="AH751">
        <v>1</v>
      </c>
      <c r="AI751">
        <v>0</v>
      </c>
      <c r="AJ751">
        <v>0</v>
      </c>
      <c r="AK751">
        <v>0</v>
      </c>
      <c r="AL751">
        <v>0</v>
      </c>
      <c r="AM751">
        <v>0</v>
      </c>
      <c r="AN751">
        <v>0</v>
      </c>
      <c r="AO751">
        <v>0</v>
      </c>
      <c r="AP751">
        <v>0</v>
      </c>
      <c r="AQ751">
        <v>0</v>
      </c>
      <c r="AR751">
        <v>0</v>
      </c>
      <c r="AS751">
        <v>0</v>
      </c>
      <c r="AT751">
        <v>0</v>
      </c>
      <c r="AU751">
        <v>0</v>
      </c>
      <c r="AV751">
        <v>0</v>
      </c>
      <c r="AW751">
        <v>0</v>
      </c>
      <c r="AX751" s="141">
        <f>COUNTIF(V751:AW751,"&lt;&gt;0")</f>
        <v>1</v>
      </c>
      <c r="AY751" s="141">
        <f>COUNTIF(V751:AL751,"&lt;&gt;0")</f>
        <v>1</v>
      </c>
      <c r="AZ751">
        <f>COUNTIF(V751:AC751,"&lt;&gt;0")</f>
        <v>0</v>
      </c>
      <c r="BA751">
        <f>COUNTIF(AD751:AI751,"&lt;&gt;0")</f>
        <v>1</v>
      </c>
      <c r="BB751">
        <f>COUNTIF(AJ751:AL751,"&lt;&gt;0")</f>
        <v>0</v>
      </c>
      <c r="BC751">
        <f>COUNTIF(AS751:AW751,"&lt;&gt;0")</f>
        <v>0</v>
      </c>
      <c r="BD751">
        <f>COUNTIF(AM751:AR751,"&lt;&gt;0")</f>
        <v>0</v>
      </c>
      <c r="BE751" t="str">
        <f t="array" ref="BE751">IF(AY751=1,INDEX($V$7:$AL$7,MATCH(TRUE,INDEX($V751:$AW751&lt;&gt;0,),0)),IF(AY751=0,INDEX($AM$7:$AW$7,MATCH(1,$AM751:$AW751,0)),IF(BF751="Multiple strategies","mixed drivers",IF(BF751="Supply chain","multiple supply","multiple silviculture"))))</f>
        <v xml:space="preserve">end of life disposal </v>
      </c>
      <c r="BF751" s="2" t="str" cm="1">
        <f t="array" ref="BF751">IF(COUNTIF(AZ751:BB751,"&lt;&gt;0")=1,INDEX($V$4:$AW$4,MATCH(TRUE,INDEX($V751:$AW751&lt;&gt;0,),0)),IF(COUNTIF(AZ751:BB751,"&lt;&gt;0")=0,INDEX($AM$4:$AW$4,MATCH(1,$AM751:$AW751,0)),"Multiple strategies"))</f>
        <v>Supply chain</v>
      </c>
      <c r="BG751" s="1" t="s">
        <v>230</v>
      </c>
      <c r="BH751" t="s">
        <v>729</v>
      </c>
      <c r="BI751" s="260" t="s">
        <v>3328</v>
      </c>
      <c r="BJ751" s="260" t="s">
        <v>346</v>
      </c>
      <c r="BK751" s="260">
        <f xml:space="preserve"> 5341+3892+7551+1439+923+477</f>
        <v>19623</v>
      </c>
      <c r="BL751" s="260">
        <f xml:space="preserve"> 5341+3892+7551+1439+923+477</f>
        <v>19623</v>
      </c>
      <c r="BM751">
        <v>1</v>
      </c>
      <c r="BN751">
        <f>BL751-BK751</f>
        <v>0</v>
      </c>
      <c r="BO751">
        <v>0</v>
      </c>
      <c r="BP751" s="260" t="s">
        <v>396</v>
      </c>
      <c r="BQ751" s="260" t="s">
        <v>3329</v>
      </c>
      <c r="BR751" t="s">
        <v>398</v>
      </c>
      <c r="BS751" s="260">
        <v>13395</v>
      </c>
      <c r="BT751" s="260">
        <v>17696</v>
      </c>
      <c r="BU751" s="144">
        <f>IFERROR(BT751/BS751,"")</f>
        <v>1.321089958939903</v>
      </c>
      <c r="BV751">
        <f>BT751-BS751</f>
        <v>4301</v>
      </c>
      <c r="BX751">
        <f>BV751/1000</f>
        <v>4.3010000000000002</v>
      </c>
      <c r="BY751" t="str">
        <f>IFERROR(BX751/BO751,"")</f>
        <v/>
      </c>
      <c r="BZ751">
        <v>0</v>
      </c>
      <c r="CA751">
        <v>0</v>
      </c>
      <c r="CB751">
        <v>0</v>
      </c>
      <c r="CC751">
        <v>0</v>
      </c>
      <c r="CD751">
        <v>0</v>
      </c>
      <c r="CE751">
        <v>0</v>
      </c>
      <c r="CF751">
        <v>0</v>
      </c>
      <c r="CG751">
        <v>0</v>
      </c>
      <c r="CH751">
        <v>0</v>
      </c>
      <c r="CI751">
        <v>0</v>
      </c>
      <c r="CJ751">
        <v>0</v>
      </c>
      <c r="CK751">
        <v>0</v>
      </c>
      <c r="CL751">
        <v>0</v>
      </c>
      <c r="CM751">
        <v>0</v>
      </c>
      <c r="CN751" t="str">
        <f>IF($BL751&lt;$BK751,"refNeedCorrection","refOK")</f>
        <v>refOK</v>
      </c>
      <c r="CO751">
        <f>IF($CN751="refNeedCorrection",BL751,BK751)</f>
        <v>19623</v>
      </c>
      <c r="CP751">
        <f>IF($CN751="refNeedCorrection",BK751,BL751)</f>
        <v>19623</v>
      </c>
      <c r="CQ751">
        <f>IF($CN751="refOK",$BO751,-$BO751)</f>
        <v>0</v>
      </c>
      <c r="CR751">
        <f>IF($CN751="refOK",$BS751,$BT751)*IF($BP751="Emissions positive",-1,1)</f>
        <v>-13395</v>
      </c>
      <c r="CS751">
        <f>IF($CN751="refOK",$BT751,$BS751)*IF($BP751="Emissions positive",-1,1)</f>
        <v>-17696</v>
      </c>
      <c r="CT751">
        <f>IF($CN751="refNeedCorrection",-BX751,BX751)*IF($BP751="Emissions positive",-1,1)</f>
        <v>-4.3010000000000002</v>
      </c>
      <c r="CU751" t="str">
        <f>IFERROR(CT751/CQ751,"")</f>
        <v/>
      </c>
      <c r="CV751" s="2">
        <f>IFERROR((CS751-CR751)/ABS(CR751),"")</f>
        <v>-0.32108995893990294</v>
      </c>
      <c r="CW751" s="1" t="s">
        <v>264</v>
      </c>
      <c r="CX751" t="str">
        <f>IF(OR($CW751="prd",$CW751="std",$CW751="cit"),"loc",IF(OR($CW751="eur",$CW751="reg",$CW751="coy"),"reg",$CW751))</f>
        <v>loc</v>
      </c>
      <c r="CY751" t="s">
        <v>731</v>
      </c>
      <c r="DB751">
        <v>100</v>
      </c>
      <c r="DC751" t="str">
        <f>IF(DB751=0,"0",IF(AND(DB751&gt;=1,DB751&lt;=30),"1-30",IF(AND(DB751&gt;30,DB751&lt;=70),"31-70",IF(AND(DB751&gt;70,DB751&lt;=100),"71-100",IF(DB751&gt;100,"+100")))))</f>
        <v>71-100</v>
      </c>
      <c r="DD751">
        <v>0</v>
      </c>
      <c r="DE751">
        <v>0</v>
      </c>
      <c r="DF751">
        <v>0</v>
      </c>
      <c r="DG751">
        <v>1</v>
      </c>
      <c r="DI751">
        <f>SUM(DD751:DG751)</f>
        <v>1</v>
      </c>
      <c r="DJ751" t="str">
        <f>IF(DI751=1,INDEX($DD$7:$DG$7,MATCH(1,$DD751:$DG751,0)),"mixedProduct")</f>
        <v>TimberInput</v>
      </c>
      <c r="DK751">
        <f>IF(DD751=1,DK$7,0)</f>
        <v>0</v>
      </c>
      <c r="DL751">
        <f>IF(DE751=1,DL$7,0)</f>
        <v>0</v>
      </c>
      <c r="DM751">
        <f>IF(DF751=1,DM$7,0)</f>
        <v>0</v>
      </c>
      <c r="DN751" t="str">
        <f>IF(DG751=1,DN$7,0)</f>
        <v>Timber</v>
      </c>
      <c r="DO751">
        <v>0</v>
      </c>
      <c r="DP751">
        <v>0</v>
      </c>
      <c r="DQ751">
        <v>0</v>
      </c>
      <c r="DR751">
        <v>0</v>
      </c>
      <c r="DS751">
        <v>0</v>
      </c>
      <c r="DT751">
        <f>SUM(DO751:DP751)</f>
        <v>0</v>
      </c>
      <c r="DU751" s="143" t="str">
        <f>IF(DO751=1,"self-calculated DF",IF(DP751=1,"external DF used","explicit C balance"))</f>
        <v>explicit C balance</v>
      </c>
      <c r="DV751">
        <v>0</v>
      </c>
      <c r="DW751">
        <v>0</v>
      </c>
      <c r="DX751">
        <v>0</v>
      </c>
      <c r="DY751">
        <v>0</v>
      </c>
      <c r="DZ751">
        <v>0</v>
      </c>
      <c r="EA751" s="143">
        <v>0</v>
      </c>
      <c r="EB751">
        <v>0</v>
      </c>
      <c r="EC751">
        <v>1</v>
      </c>
      <c r="ED751">
        <v>1</v>
      </c>
      <c r="EE751">
        <v>1</v>
      </c>
      <c r="EF751">
        <v>0</v>
      </c>
      <c r="EG751">
        <v>0</v>
      </c>
      <c r="EH751">
        <v>0</v>
      </c>
      <c r="EI751" s="2">
        <v>0</v>
      </c>
      <c r="EK751" t="str">
        <f>IF(AND(AND(AND(OR($DX751=1,$DW751=1),OR($EC751=1,$EA751=1)),SUM($DV751:$DZ751,$EF751)&gt;=4),SUM($EA751:$EE751)&gt;=2),"Whole sector","")</f>
        <v/>
      </c>
      <c r="EL751" t="str">
        <f>IF(AND(AND(OR($DX751=1,$DW751=1),AND($EC751=0,$EA751=0)),SUM($DV751:$DZ751,$EF751)&gt;=4),"Ecosystem approach","")</f>
        <v/>
      </c>
      <c r="EM751" s="2" t="str">
        <f>IF(AND(AND(AND($DX751=0,$DW751=0),OR($EC751=1,$EA751=1)),SUM($EB751:$EE751)&gt;=2),"Technology approach","")</f>
        <v>Technology approach</v>
      </c>
      <c r="EP751" t="b">
        <f>IF(ISNUMBER(BU751),IF(ABS(BU751-[4]QC_indicators!$B$2)&gt;3*[4]QC_indicators!$C$2,"C ratio",IF(ISNUMBER(BY751),IF(ABS(BY751-[4]QC_indicators!$B$1)&gt;3*[4]QC_indicators!$C$1,"DF","no"))),IF(ISNUMBER(BY751),IF(ABS(BY751-[4]QC_indicators!$B$1)&gt;3*[4]QC_indicators!$C$1,"DF","no")))</f>
        <v>0</v>
      </c>
      <c r="ET751" s="266" t="s">
        <v>3275</v>
      </c>
    </row>
    <row r="752" spans="1:150" ht="15" customHeight="1">
      <c r="A752" s="1" t="s">
        <v>1402</v>
      </c>
      <c r="B752" t="s">
        <v>1403</v>
      </c>
      <c r="C752" t="s">
        <v>1404</v>
      </c>
      <c r="D752" t="s">
        <v>1405</v>
      </c>
      <c r="E752" t="s">
        <v>1406</v>
      </c>
      <c r="F752" t="s">
        <v>1407</v>
      </c>
      <c r="G752" t="s">
        <v>1408</v>
      </c>
      <c r="H752" t="s">
        <v>255</v>
      </c>
      <c r="I752">
        <v>2021</v>
      </c>
      <c r="J752">
        <v>0</v>
      </c>
      <c r="K752" t="s">
        <v>1409</v>
      </c>
      <c r="M752" t="str">
        <f>LEFT($D752,FIND(",",$D752)-1)&amp;"_"&amp;I752&amp;L752</f>
        <v>Dugan_2021</v>
      </c>
      <c r="N752" t="s">
        <v>223</v>
      </c>
      <c r="O752" s="145" t="s">
        <v>275</v>
      </c>
      <c r="Q752" t="s">
        <v>257</v>
      </c>
      <c r="R752" s="255" t="s">
        <v>226</v>
      </c>
      <c r="S752" s="1" t="s">
        <v>1419</v>
      </c>
      <c r="T752" t="s">
        <v>1113</v>
      </c>
      <c r="U752" t="s">
        <v>1401</v>
      </c>
      <c r="V752">
        <v>0</v>
      </c>
      <c r="W752">
        <v>0</v>
      </c>
      <c r="X752">
        <v>0</v>
      </c>
      <c r="Y752">
        <v>0</v>
      </c>
      <c r="Z752">
        <v>0</v>
      </c>
      <c r="AA752">
        <v>0</v>
      </c>
      <c r="AB752">
        <v>0</v>
      </c>
      <c r="AC752">
        <v>0</v>
      </c>
      <c r="AD752">
        <v>0</v>
      </c>
      <c r="AE752">
        <v>0</v>
      </c>
      <c r="AF752">
        <v>1</v>
      </c>
      <c r="AG752">
        <v>0</v>
      </c>
      <c r="AH752">
        <v>0</v>
      </c>
      <c r="AI752">
        <v>0</v>
      </c>
      <c r="AJ752">
        <v>0</v>
      </c>
      <c r="AK752">
        <v>0</v>
      </c>
      <c r="AL752">
        <v>0</v>
      </c>
      <c r="AM752">
        <v>0</v>
      </c>
      <c r="AN752">
        <v>0</v>
      </c>
      <c r="AO752">
        <v>0</v>
      </c>
      <c r="AP752">
        <v>0</v>
      </c>
      <c r="AQ752">
        <v>0</v>
      </c>
      <c r="AR752">
        <v>0</v>
      </c>
      <c r="AS752">
        <v>0</v>
      </c>
      <c r="AT752">
        <v>0</v>
      </c>
      <c r="AU752">
        <v>0</v>
      </c>
      <c r="AV752">
        <v>0</v>
      </c>
      <c r="AW752">
        <v>0</v>
      </c>
      <c r="AX752" s="141">
        <f>COUNTIF(V752:AW752,"&lt;&gt;0")</f>
        <v>1</v>
      </c>
      <c r="AY752" s="141">
        <f>COUNTIF(V752:AL752,"&lt;&gt;0")</f>
        <v>1</v>
      </c>
      <c r="AZ752">
        <f>COUNTIF(V752:AC752,"&lt;&gt;0")</f>
        <v>0</v>
      </c>
      <c r="BA752">
        <f>COUNTIF(AD752:AI752,"&lt;&gt;0")</f>
        <v>1</v>
      </c>
      <c r="BB752">
        <f>COUNTIF(AJ752:AL752,"&lt;&gt;0")</f>
        <v>0</v>
      </c>
      <c r="BC752">
        <f>COUNTIF(AS752:AW752,"&lt;&gt;0")</f>
        <v>0</v>
      </c>
      <c r="BD752">
        <f>COUNTIF(AM752:AR752,"&lt;&gt;0")</f>
        <v>0</v>
      </c>
      <c r="BE752" t="str">
        <f t="array" ref="BE752">IF(AY752=1,INDEX($V$7:$AL$7,MATCH(TRUE,INDEX($V752:$AW752&lt;&gt;0,),0)),IF(AY752=0,INDEX($AM$7:$AW$7,MATCH(1,$AM752:$AW752,0)),IF(BF752="Multiple strategies","mixed drivers",IF(BF752="Supply chain","multiple supply","multiple silviculture"))))</f>
        <v>supply chain organization</v>
      </c>
      <c r="BF752" s="2" t="str" cm="1">
        <f t="array" ref="BF752">IF(COUNTIF(AZ752:BB752,"&lt;&gt;0")=1,INDEX($V$4:$AW$4,MATCH(TRUE,INDEX($V752:$AW752&lt;&gt;0,),0)),IF(COUNTIF(AZ752:BB752,"&lt;&gt;0")=0,INDEX($AM$4:$AW$4,MATCH(1,$AM752:$AW752,0)),"Multiple strategies"))</f>
        <v>Supply chain</v>
      </c>
      <c r="BG752" s="1" t="s">
        <v>322</v>
      </c>
      <c r="BH752" t="s">
        <v>1412</v>
      </c>
      <c r="BI752" s="260" t="s">
        <v>3320</v>
      </c>
      <c r="BJ752" t="s">
        <v>1361</v>
      </c>
      <c r="BK752" s="266">
        <v>14.61</v>
      </c>
      <c r="BL752" s="266">
        <v>14.61</v>
      </c>
      <c r="BN752" s="227">
        <f>BL752-BK752</f>
        <v>0</v>
      </c>
      <c r="BO752">
        <f>BN752*10^6*tC_to_m3</f>
        <v>0</v>
      </c>
      <c r="BP752" t="s">
        <v>233</v>
      </c>
      <c r="BQ752" s="260" t="s">
        <v>3321</v>
      </c>
      <c r="BR752" t="s">
        <v>1302</v>
      </c>
      <c r="BS752" s="152"/>
      <c r="BT752" s="152"/>
      <c r="BU752" s="144"/>
      <c r="BV752" s="286">
        <v>4.3247863247863201</v>
      </c>
      <c r="BX752">
        <f>BV752*10^6</f>
        <v>4324786.3247863203</v>
      </c>
      <c r="BY752" t="str">
        <f>IFERROR(BX752/BO752,"")</f>
        <v/>
      </c>
      <c r="BZ752">
        <v>0</v>
      </c>
      <c r="CA752">
        <v>0</v>
      </c>
      <c r="CB752">
        <v>0</v>
      </c>
      <c r="CC752">
        <v>0</v>
      </c>
      <c r="CD752">
        <v>0</v>
      </c>
      <c r="CE752">
        <v>0</v>
      </c>
      <c r="CF752">
        <v>0</v>
      </c>
      <c r="CG752">
        <v>0</v>
      </c>
      <c r="CH752">
        <v>0</v>
      </c>
      <c r="CI752">
        <v>0</v>
      </c>
      <c r="CJ752">
        <v>0</v>
      </c>
      <c r="CK752">
        <v>0</v>
      </c>
      <c r="CL752">
        <v>0</v>
      </c>
      <c r="CM752">
        <v>0</v>
      </c>
      <c r="CN752" t="str">
        <f>IF(BL752&lt;BK752,"refNeedCorrection","refOK")</f>
        <v>refOK</v>
      </c>
      <c r="CO752"/>
      <c r="CP752"/>
      <c r="CQ752">
        <f>IF($CN752="refNeedCorrection",-BO752,BO752)</f>
        <v>0</v>
      </c>
      <c r="CR752">
        <f>IF($CN752="refOK",$BS752,$BT752)*IF($BP752="Emissions positive",-1,1)</f>
        <v>0</v>
      </c>
      <c r="CS752">
        <f>IF($CN752="refOK",$BT752,$BS752)*IF($BP752="Emissions positive",-1,1)</f>
        <v>0</v>
      </c>
      <c r="CT752">
        <f>IF($CN752="refNeedCorrection",-BX752,BX752)*IF($BP752="Emissions positive",-1,1)</f>
        <v>4324786.3247863203</v>
      </c>
      <c r="CU752" t="str">
        <f>IFERROR(CT752/CQ752,"")</f>
        <v/>
      </c>
      <c r="CV752" s="2" t="str">
        <f>IFERROR((CS752-CR752)/ABS(CR752),"")</f>
        <v/>
      </c>
      <c r="CW752" s="1" t="s">
        <v>1201</v>
      </c>
      <c r="CX752" t="str">
        <f>IF(OR($CW752="prd",$CW752="std",$CW752="cit"),"loc",IF(OR($CW752="eur",$CW752="reg",$CW752="coy"),"reg",$CW752))</f>
        <v>reg</v>
      </c>
      <c r="CY752" t="s">
        <v>429</v>
      </c>
      <c r="CZ752">
        <v>2020</v>
      </c>
      <c r="DA752">
        <v>2050</v>
      </c>
      <c r="DB752">
        <v>30</v>
      </c>
      <c r="DC752" t="str">
        <f>IF(DB752=0,"0",IF(AND(DB752&gt;=1,DB752&lt;=30),"1-30",IF(AND(DB752&gt;30,DB752&lt;=70),"31-70",IF(AND(DB752&gt;70,DB752&lt;=100),"71-100",IF(DB752&gt;100,"+100")))))</f>
        <v>1-30</v>
      </c>
      <c r="DD752">
        <v>0</v>
      </c>
      <c r="DE752">
        <v>0</v>
      </c>
      <c r="DF752">
        <v>1</v>
      </c>
      <c r="DG752">
        <v>1</v>
      </c>
      <c r="DI752">
        <f>SUM(DD752:DG752)</f>
        <v>2</v>
      </c>
      <c r="DJ752" t="str">
        <f>IF(DI752=1,INDEX($DD$7:$DG$7,MATCH(1,$DD752:$DG752,0)),"mixedProduct")</f>
        <v>mixedProduct</v>
      </c>
      <c r="DK752">
        <f>IF(DD752=1,DK$7,0)</f>
        <v>0</v>
      </c>
      <c r="DL752">
        <f>IF(DE752=1,DL$7,0)</f>
        <v>0</v>
      </c>
      <c r="DM752" t="str">
        <f>IF(DF752=1,DM$7,0)</f>
        <v>Pulp/Paper</v>
      </c>
      <c r="DN752" t="str">
        <f>IF(DG752=1,DN$7,0)</f>
        <v>Timber</v>
      </c>
      <c r="DO752">
        <v>0</v>
      </c>
      <c r="DP752">
        <v>1</v>
      </c>
      <c r="DQ752" t="s">
        <v>1413</v>
      </c>
      <c r="DR752" t="s">
        <v>1414</v>
      </c>
      <c r="DS752">
        <v>0</v>
      </c>
      <c r="DT752">
        <f>SUM(DO752:DP752)</f>
        <v>1</v>
      </c>
      <c r="DU752" s="143" t="str">
        <f>IF(DO752=1,"self-calculated DF",IF(DP752=1,"external DF used","explicit C balance"))</f>
        <v>external DF used</v>
      </c>
      <c r="DV752">
        <v>1</v>
      </c>
      <c r="DW752">
        <v>1</v>
      </c>
      <c r="DX752">
        <v>1</v>
      </c>
      <c r="DY752">
        <v>1</v>
      </c>
      <c r="DZ752">
        <v>0</v>
      </c>
      <c r="EA752" s="143">
        <v>0</v>
      </c>
      <c r="EB752">
        <v>0</v>
      </c>
      <c r="EC752">
        <v>0</v>
      </c>
      <c r="ED752">
        <v>0</v>
      </c>
      <c r="EE752">
        <v>0</v>
      </c>
      <c r="EF752">
        <v>1</v>
      </c>
      <c r="EG752" s="143">
        <v>0</v>
      </c>
      <c r="EH752" s="143">
        <v>0</v>
      </c>
      <c r="EI752" s="2">
        <v>0</v>
      </c>
      <c r="EK752" t="str">
        <f>IF(AND(AND(AND(OR($DX752=1,$DW752=1),OR($EC752=1,$EA752=1)),SUM($DV752:$DZ752,$EF752)&gt;=4),SUM($EA752:$EE752)&gt;=2),"Whole sector","")</f>
        <v/>
      </c>
      <c r="EL752" t="str">
        <f>IF(AND(AND(OR($DX752=1,$DW752=1),AND($EC752=0,$EA752=0)),SUM($DV752:$DZ752,$EF752)&gt;=4),"Ecosystem approach","")</f>
        <v>Ecosystem approach</v>
      </c>
      <c r="EM752" s="2" t="str">
        <f>IF(AND(AND(AND($DX752=0,$DW752=0),OR($EC752=1,$EA752=1)),SUM($EB752:$EE752)&gt;=2),"Technology approach","")</f>
        <v/>
      </c>
      <c r="EP752" t="b">
        <f>IF(ISNUMBER(BU752),IF(ABS(BU752-[4]QC_indicators!$B$2)&gt;3*[4]QC_indicators!$C$2,"C ratio",IF(ISNUMBER(BY752),IF(ABS(BY752-[4]QC_indicators!$B$1)&gt;3*[4]QC_indicators!$C$1,"DF","no"))),IF(ISNUMBER(BY752),IF(ABS(BY752-[4]QC_indicators!$B$1)&gt;3*[4]QC_indicators!$C$1,"DF","no")))</f>
        <v>0</v>
      </c>
      <c r="EQ752" t="s">
        <v>287</v>
      </c>
      <c r="ER752" s="149" t="s">
        <v>350</v>
      </c>
      <c r="ET752" s="266" t="s">
        <v>3275</v>
      </c>
    </row>
    <row r="753" spans="1:150" ht="15" customHeight="1">
      <c r="A753" s="1" t="s">
        <v>1402</v>
      </c>
      <c r="B753" t="s">
        <v>1403</v>
      </c>
      <c r="C753" t="s">
        <v>1404</v>
      </c>
      <c r="D753" t="s">
        <v>1405</v>
      </c>
      <c r="E753" t="s">
        <v>1406</v>
      </c>
      <c r="F753" t="s">
        <v>1407</v>
      </c>
      <c r="G753" t="s">
        <v>1408</v>
      </c>
      <c r="H753" t="s">
        <v>255</v>
      </c>
      <c r="I753">
        <v>2021</v>
      </c>
      <c r="J753">
        <v>0</v>
      </c>
      <c r="K753" t="s">
        <v>1409</v>
      </c>
      <c r="M753" t="str">
        <f>LEFT($D753,FIND(",",$D753)-1)&amp;"_"&amp;I753&amp;L753</f>
        <v>Dugan_2021</v>
      </c>
      <c r="N753" t="s">
        <v>223</v>
      </c>
      <c r="O753" s="145" t="s">
        <v>275</v>
      </c>
      <c r="Q753" t="s">
        <v>257</v>
      </c>
      <c r="R753" s="255" t="s">
        <v>226</v>
      </c>
      <c r="S753" s="1" t="s">
        <v>1423</v>
      </c>
      <c r="T753" t="s">
        <v>1424</v>
      </c>
      <c r="U753" t="s">
        <v>1416</v>
      </c>
      <c r="V753">
        <v>0</v>
      </c>
      <c r="W753">
        <v>0</v>
      </c>
      <c r="X753">
        <v>0</v>
      </c>
      <c r="Y753">
        <v>0</v>
      </c>
      <c r="Z753">
        <v>0</v>
      </c>
      <c r="AA753">
        <v>0</v>
      </c>
      <c r="AB753">
        <v>0</v>
      </c>
      <c r="AC753">
        <v>0</v>
      </c>
      <c r="AD753">
        <v>0</v>
      </c>
      <c r="AE753">
        <v>0</v>
      </c>
      <c r="AF753">
        <v>1</v>
      </c>
      <c r="AG753">
        <v>0</v>
      </c>
      <c r="AH753">
        <v>0</v>
      </c>
      <c r="AI753">
        <v>0</v>
      </c>
      <c r="AJ753">
        <v>0</v>
      </c>
      <c r="AK753">
        <v>0</v>
      </c>
      <c r="AL753">
        <v>0</v>
      </c>
      <c r="AM753">
        <v>0</v>
      </c>
      <c r="AN753">
        <v>0</v>
      </c>
      <c r="AO753">
        <v>0</v>
      </c>
      <c r="AP753">
        <v>0</v>
      </c>
      <c r="AQ753">
        <v>0</v>
      </c>
      <c r="AR753">
        <v>0</v>
      </c>
      <c r="AS753">
        <v>0</v>
      </c>
      <c r="AT753">
        <v>0</v>
      </c>
      <c r="AU753">
        <v>0</v>
      </c>
      <c r="AV753">
        <v>0</v>
      </c>
      <c r="AW753">
        <v>0</v>
      </c>
      <c r="AX753" s="141">
        <f>COUNTIF(V753:AW753,"&lt;&gt;0")</f>
        <v>1</v>
      </c>
      <c r="AY753" s="141">
        <f>COUNTIF(V753:AL753,"&lt;&gt;0")</f>
        <v>1</v>
      </c>
      <c r="AZ753">
        <f>COUNTIF(V753:AC753,"&lt;&gt;0")</f>
        <v>0</v>
      </c>
      <c r="BA753">
        <f>COUNTIF(AD753:AI753,"&lt;&gt;0")</f>
        <v>1</v>
      </c>
      <c r="BB753">
        <f>COUNTIF(AJ753:AL753,"&lt;&gt;0")</f>
        <v>0</v>
      </c>
      <c r="BC753">
        <f>COUNTIF(AS753:AW753,"&lt;&gt;0")</f>
        <v>0</v>
      </c>
      <c r="BD753">
        <f>COUNTIF(AM753:AR753,"&lt;&gt;0")</f>
        <v>0</v>
      </c>
      <c r="BE753" t="str">
        <f t="array" ref="BE753">IF(AY753=1,INDEX($V$7:$AL$7,MATCH(TRUE,INDEX($V753:$AW753&lt;&gt;0,),0)),IF(AY753=0,INDEX($AM$7:$AW$7,MATCH(1,$AM753:$AW753,0)),IF(BF753="Multiple strategies","mixed drivers",IF(BF753="Supply chain","multiple supply","multiple silviculture"))))</f>
        <v>supply chain organization</v>
      </c>
      <c r="BF753" s="2" t="str" cm="1">
        <f t="array" ref="BF753">IF(COUNTIF(AZ753:BB753,"&lt;&gt;0")=1,INDEX($V$4:$AW$4,MATCH(TRUE,INDEX($V753:$AW753&lt;&gt;0,),0)),IF(COUNTIF(AZ753:BB753,"&lt;&gt;0")=0,INDEX($AM$4:$AW$4,MATCH(1,$AM753:$AW753,0)),"Multiple strategies"))</f>
        <v>Supply chain</v>
      </c>
      <c r="BG753" s="1" t="s">
        <v>322</v>
      </c>
      <c r="BH753" t="s">
        <v>1412</v>
      </c>
      <c r="BI753" s="260" t="s">
        <v>3320</v>
      </c>
      <c r="BJ753" t="s">
        <v>1361</v>
      </c>
      <c r="BK753" s="266">
        <f>14.61*1.1</f>
        <v>16.071000000000002</v>
      </c>
      <c r="BL753" s="266">
        <f>14.61*1.1</f>
        <v>16.071000000000002</v>
      </c>
      <c r="BN753" s="227">
        <f>BL753-BK753</f>
        <v>0</v>
      </c>
      <c r="BO753">
        <f>BN753*10^6*tC_to_m3</f>
        <v>0</v>
      </c>
      <c r="BP753" t="s">
        <v>233</v>
      </c>
      <c r="BQ753" s="260" t="s">
        <v>3321</v>
      </c>
      <c r="BR753" t="s">
        <v>1302</v>
      </c>
      <c r="BS753" s="152"/>
      <c r="BT753" s="152"/>
      <c r="BU753" s="144"/>
      <c r="BV753" s="286">
        <v>3.54188034188034</v>
      </c>
      <c r="BX753">
        <f>BV753*10^6</f>
        <v>3541880.3418803401</v>
      </c>
      <c r="BY753" t="str">
        <f>IFERROR(BX753/BO753,"")</f>
        <v/>
      </c>
      <c r="BZ753">
        <v>0</v>
      </c>
      <c r="CA753">
        <v>0</v>
      </c>
      <c r="CB753">
        <v>0</v>
      </c>
      <c r="CC753">
        <v>0</v>
      </c>
      <c r="CD753">
        <v>0</v>
      </c>
      <c r="CE753">
        <v>0</v>
      </c>
      <c r="CF753">
        <v>0</v>
      </c>
      <c r="CG753">
        <v>0</v>
      </c>
      <c r="CH753">
        <v>0</v>
      </c>
      <c r="CI753">
        <v>0</v>
      </c>
      <c r="CJ753">
        <v>0</v>
      </c>
      <c r="CK753">
        <v>0</v>
      </c>
      <c r="CL753">
        <v>0</v>
      </c>
      <c r="CM753">
        <v>0</v>
      </c>
      <c r="CN753" t="str">
        <f>IF(BL753&lt;BK753,"refNeedCorrection","refOK")</f>
        <v>refOK</v>
      </c>
      <c r="CO753"/>
      <c r="CP753"/>
      <c r="CQ753">
        <f>IF($CN753="refNeedCorrection",-BO753,BO753)</f>
        <v>0</v>
      </c>
      <c r="CR753">
        <f>IF($CN753="refOK",$BS753,$BT753)*IF($BP753="Emissions positive",-1,1)</f>
        <v>0</v>
      </c>
      <c r="CS753">
        <f>IF($CN753="refOK",$BT753,$BS753)*IF($BP753="Emissions positive",-1,1)</f>
        <v>0</v>
      </c>
      <c r="CT753">
        <f>IF($CN753="refNeedCorrection",-BX753,BX753)*IF($BP753="Emissions positive",-1,1)</f>
        <v>3541880.3418803401</v>
      </c>
      <c r="CU753" t="str">
        <f>IFERROR(CT753/CQ753,"")</f>
        <v/>
      </c>
      <c r="CV753" s="2" t="str">
        <f>IFERROR((CS753-CR753)/ABS(CR753),"")</f>
        <v/>
      </c>
      <c r="CW753" s="1" t="s">
        <v>1201</v>
      </c>
      <c r="CX753" t="str">
        <f>IF(OR($CW753="prd",$CW753="std",$CW753="cit"),"loc",IF(OR($CW753="eur",$CW753="reg",$CW753="coy"),"reg",$CW753))</f>
        <v>reg</v>
      </c>
      <c r="CY753" t="s">
        <v>429</v>
      </c>
      <c r="CZ753">
        <v>2020</v>
      </c>
      <c r="DA753">
        <v>2050</v>
      </c>
      <c r="DB753">
        <v>30</v>
      </c>
      <c r="DC753" t="str">
        <f>IF(DB753=0,"0",IF(AND(DB753&gt;=1,DB753&lt;=30),"1-30",IF(AND(DB753&gt;30,DB753&lt;=70),"31-70",IF(AND(DB753&gt;70,DB753&lt;=100),"71-100",IF(DB753&gt;100,"+100")))))</f>
        <v>1-30</v>
      </c>
      <c r="DD753">
        <v>0</v>
      </c>
      <c r="DE753">
        <v>1</v>
      </c>
      <c r="DF753">
        <v>0</v>
      </c>
      <c r="DG753">
        <v>0</v>
      </c>
      <c r="DI753">
        <f>SUM(DD753:DG753)</f>
        <v>1</v>
      </c>
      <c r="DJ753" t="str">
        <f>IF(DI753=1,INDEX($DD$7:$DG$7,MATCH(1,$DD753:$DG753,0)),"mixedProduct")</f>
        <v>EnergyInput</v>
      </c>
      <c r="DK753">
        <f>IF(DD753=1,DK$7,0)</f>
        <v>0</v>
      </c>
      <c r="DL753" t="str">
        <f>IF(DE753=1,DL$7,0)</f>
        <v>Energy</v>
      </c>
      <c r="DM753">
        <f>IF(DF753=1,DM$7,0)</f>
        <v>0</v>
      </c>
      <c r="DN753">
        <f>IF(DG753=1,DN$7,0)</f>
        <v>0</v>
      </c>
      <c r="DO753">
        <v>0</v>
      </c>
      <c r="DP753">
        <v>1</v>
      </c>
      <c r="DQ753" t="s">
        <v>1413</v>
      </c>
      <c r="DR753" t="s">
        <v>1414</v>
      </c>
      <c r="DS753">
        <v>0</v>
      </c>
      <c r="DT753">
        <f>SUM(DO753:DP753)</f>
        <v>1</v>
      </c>
      <c r="DU753" s="143" t="str">
        <f>IF(DO753=1,"self-calculated DF",IF(DP753=1,"external DF used","explicit C balance"))</f>
        <v>external DF used</v>
      </c>
      <c r="DV753">
        <v>1</v>
      </c>
      <c r="DW753">
        <v>1</v>
      </c>
      <c r="DX753">
        <v>1</v>
      </c>
      <c r="DY753">
        <v>1</v>
      </c>
      <c r="DZ753">
        <v>0</v>
      </c>
      <c r="EA753" s="143">
        <v>0</v>
      </c>
      <c r="EB753">
        <v>0</v>
      </c>
      <c r="EC753">
        <v>0</v>
      </c>
      <c r="ED753">
        <v>0</v>
      </c>
      <c r="EE753">
        <v>0</v>
      </c>
      <c r="EF753">
        <v>1</v>
      </c>
      <c r="EG753" s="143">
        <v>0</v>
      </c>
      <c r="EH753" s="143">
        <v>0</v>
      </c>
      <c r="EI753" s="2">
        <v>0</v>
      </c>
      <c r="EK753" t="str">
        <f>IF(AND(AND(AND(OR($DX753=1,$DW753=1),OR($EC753=1,$EA753=1)),SUM($DV753:$DZ753,$EF753)&gt;=4),SUM($EA753:$EE753)&gt;=2),"Whole sector","")</f>
        <v/>
      </c>
      <c r="EL753" t="str">
        <f>IF(AND(AND(OR($DX753=1,$DW753=1),AND($EC753=0,$EA753=0)),SUM($DV753:$DZ753,$EF753)&gt;=4),"Ecosystem approach","")</f>
        <v>Ecosystem approach</v>
      </c>
      <c r="EM753" s="2" t="str">
        <f>IF(AND(AND(AND($DX753=0,$DW753=0),OR($EC753=1,$EA753=1)),SUM($EB753:$EE753)&gt;=2),"Technology approach","")</f>
        <v/>
      </c>
      <c r="EP753" t="b">
        <f>IF(ISNUMBER(BU753),IF(ABS(BU753-[4]QC_indicators!$B$2)&gt;3*[4]QC_indicators!$C$2,"C ratio",IF(ISNUMBER(BY753),IF(ABS(BY753-[4]QC_indicators!$B$1)&gt;3*[4]QC_indicators!$C$1,"DF","no"))),IF(ISNUMBER(BY753),IF(ABS(BY753-[4]QC_indicators!$B$1)&gt;3*[4]QC_indicators!$C$1,"DF","no")))</f>
        <v>0</v>
      </c>
      <c r="EQ753" t="s">
        <v>287</v>
      </c>
      <c r="ER753" s="149" t="s">
        <v>350</v>
      </c>
      <c r="ET753" s="266" t="s">
        <v>3275</v>
      </c>
    </row>
    <row r="754" spans="1:150" ht="15" hidden="1" customHeight="1">
      <c r="A754" s="1" t="s">
        <v>1974</v>
      </c>
      <c r="B754" t="s">
        <v>2318</v>
      </c>
      <c r="C754" t="s">
        <v>2319</v>
      </c>
      <c r="D754" t="s">
        <v>2320</v>
      </c>
      <c r="E754" t="s">
        <v>2321</v>
      </c>
      <c r="F754" t="s">
        <v>2322</v>
      </c>
      <c r="G754" t="s">
        <v>1980</v>
      </c>
      <c r="H754" t="s">
        <v>255</v>
      </c>
      <c r="I754">
        <v>2020</v>
      </c>
      <c r="J754">
        <v>7</v>
      </c>
      <c r="K754" t="s">
        <v>2323</v>
      </c>
      <c r="M754" t="str">
        <f>LEFT($D754,FIND(",",$D754)-1)&amp;"_"&amp;I754&amp;L754</f>
        <v>Smyth_2020</v>
      </c>
      <c r="N754" t="s">
        <v>223</v>
      </c>
      <c r="O754" s="145" t="s">
        <v>342</v>
      </c>
      <c r="Q754" t="s">
        <v>257</v>
      </c>
      <c r="R754" s="292" t="s">
        <v>226</v>
      </c>
      <c r="S754" s="1" t="s">
        <v>2335</v>
      </c>
      <c r="T754" t="s">
        <v>1157</v>
      </c>
      <c r="U754" t="s">
        <v>2336</v>
      </c>
      <c r="V754">
        <v>0</v>
      </c>
      <c r="W754">
        <v>0</v>
      </c>
      <c r="X754">
        <v>0</v>
      </c>
      <c r="Y754">
        <v>0</v>
      </c>
      <c r="Z754">
        <v>0</v>
      </c>
      <c r="AA754">
        <v>0</v>
      </c>
      <c r="AB754">
        <v>0</v>
      </c>
      <c r="AC754">
        <v>0</v>
      </c>
      <c r="AD754">
        <v>0</v>
      </c>
      <c r="AE754">
        <v>0</v>
      </c>
      <c r="AF754">
        <v>1</v>
      </c>
      <c r="AG754">
        <v>0</v>
      </c>
      <c r="AH754">
        <v>0</v>
      </c>
      <c r="AI754">
        <v>0</v>
      </c>
      <c r="AJ754">
        <v>0</v>
      </c>
      <c r="AK754">
        <v>0</v>
      </c>
      <c r="AL754">
        <v>0</v>
      </c>
      <c r="AM754">
        <v>0</v>
      </c>
      <c r="AN754">
        <v>0</v>
      </c>
      <c r="AO754">
        <v>0</v>
      </c>
      <c r="AP754">
        <v>0</v>
      </c>
      <c r="AQ754">
        <v>0</v>
      </c>
      <c r="AR754">
        <v>0</v>
      </c>
      <c r="AS754">
        <v>0</v>
      </c>
      <c r="AT754">
        <v>0</v>
      </c>
      <c r="AU754">
        <v>0</v>
      </c>
      <c r="AV754">
        <v>0</v>
      </c>
      <c r="AW754">
        <v>0</v>
      </c>
      <c r="AX754" s="141">
        <f>COUNTIF(V754:AW754,"&lt;&gt;0")</f>
        <v>1</v>
      </c>
      <c r="AY754" s="141">
        <f>COUNTIF(V754:AL754,"&lt;&gt;0")</f>
        <v>1</v>
      </c>
      <c r="AZ754">
        <f>COUNTIF(V754:AC754,"&lt;&gt;0")</f>
        <v>0</v>
      </c>
      <c r="BA754">
        <f>COUNTIF(AD754:AI754,"&lt;&gt;0")</f>
        <v>1</v>
      </c>
      <c r="BB754">
        <f>COUNTIF(AJ754:AL754,"&lt;&gt;0")</f>
        <v>0</v>
      </c>
      <c r="BC754">
        <f>COUNTIF(AS754:AW754,"&lt;&gt;0")</f>
        <v>0</v>
      </c>
      <c r="BD754">
        <f>COUNTIF(AM754:AR754,"&lt;&gt;0")</f>
        <v>0</v>
      </c>
      <c r="BE754" t="str">
        <f t="array" ref="BE754">IF(AY754=1,INDEX($V$7:$AL$7,MATCH(TRUE,INDEX($V754:$AW754&lt;&gt;0,),0)),IF(AY754=0,INDEX($AM$7:$AW$7,MATCH(1,$AM754:$AW754,0)),IF(BF754="Multiple strategies","mixed drivers",IF(BF754="Supply chain","multiple supply","multiple silviculture"))))</f>
        <v>supply chain organization</v>
      </c>
      <c r="BF754" s="2" t="str" cm="1">
        <f t="array" ref="BF754">IF(COUNTIF(AZ754:BB754,"&lt;&gt;0")=1,INDEX($V$4:$AW$4,MATCH(TRUE,INDEX($V754:$AW754&lt;&gt;0,),0)),IF(COUNTIF(AZ754:BB754,"&lt;&gt;0")=0,INDEX($AM$4:$AW$4,MATCH(1,$AM754:$AW754,0)),"Multiple strategies"))</f>
        <v>Supply chain</v>
      </c>
      <c r="BG754" s="1" t="s">
        <v>322</v>
      </c>
      <c r="BH754" t="s">
        <v>2326</v>
      </c>
      <c r="BI754" s="260" t="s">
        <v>3392</v>
      </c>
      <c r="BJ754" t="s">
        <v>1361</v>
      </c>
      <c r="BK754">
        <v>457</v>
      </c>
      <c r="BL754">
        <v>488</v>
      </c>
      <c r="BM754">
        <f>BL754/BK754</f>
        <v>1.0678336980306347</v>
      </c>
      <c r="BN754">
        <f>BL754-BK754</f>
        <v>31</v>
      </c>
      <c r="BO754">
        <f>BN754*10^6*tC_to_m3</f>
        <v>134607034.30308294</v>
      </c>
      <c r="BP754" t="s">
        <v>233</v>
      </c>
      <c r="BQ754" s="260" t="s">
        <v>3393</v>
      </c>
      <c r="BR754" t="s">
        <v>2327</v>
      </c>
      <c r="BU754" s="144"/>
      <c r="BV754">
        <v>123</v>
      </c>
      <c r="BX754">
        <f>BV754*10^6</f>
        <v>123000000</v>
      </c>
      <c r="BY754">
        <f>IFERROR(BX754/BO754,"")</f>
        <v>0.91377096774193545</v>
      </c>
      <c r="BZ754">
        <v>0</v>
      </c>
      <c r="CA754">
        <v>1</v>
      </c>
      <c r="CB754">
        <v>1</v>
      </c>
      <c r="CC754">
        <v>1</v>
      </c>
      <c r="CD754">
        <v>0</v>
      </c>
      <c r="CE754">
        <v>0</v>
      </c>
      <c r="CF754">
        <v>0</v>
      </c>
      <c r="CG754">
        <v>0</v>
      </c>
      <c r="CH754">
        <v>0</v>
      </c>
      <c r="CI754">
        <v>0</v>
      </c>
      <c r="CJ754">
        <v>0</v>
      </c>
      <c r="CK754">
        <v>0</v>
      </c>
      <c r="CL754">
        <v>0</v>
      </c>
      <c r="CM754">
        <v>0</v>
      </c>
      <c r="CN754" t="str">
        <f>IF(BL754&lt;BK754,"refNeedCorrection","refOK")</f>
        <v>refOK</v>
      </c>
      <c r="CO754"/>
      <c r="CP754"/>
      <c r="CQ754">
        <f>IF($CN754="refOK",$BO754,-$BO754)</f>
        <v>134607034.30308294</v>
      </c>
      <c r="CR754">
        <f>IF($CN754="refOK",$BS754,$BT754)*IF($BP754="Emissions positive",-1,1)</f>
        <v>0</v>
      </c>
      <c r="CS754">
        <f>IF($CN754="refOK",$BT754,$BS754)*IF($BP754="Emissions positive",-1,1)</f>
        <v>0</v>
      </c>
      <c r="CT754">
        <f>IF($CN754="refNeedCorrection",-BX754,BX754)*IF($BP754="Emissions positive",-1,1)</f>
        <v>123000000</v>
      </c>
      <c r="CU754">
        <f>IFERROR(CT754/CQ754,"")</f>
        <v>0.91377096774193545</v>
      </c>
      <c r="CV754" s="2" t="str">
        <f>IFERROR((CS754-CR754)/ABS(CR754),"")</f>
        <v/>
      </c>
      <c r="CW754" s="1" t="s">
        <v>1201</v>
      </c>
      <c r="CX754" t="str">
        <f>IF(OR($CW754="prd",$CW754="std",$CW754="cit"),"loc",IF(OR($CW754="eur",$CW754="reg",$CW754="coy"),"reg",$CW754))</f>
        <v>reg</v>
      </c>
      <c r="CY754" t="s">
        <v>541</v>
      </c>
      <c r="CZ754">
        <v>2015</v>
      </c>
      <c r="DA754">
        <v>2070</v>
      </c>
      <c r="DB754">
        <v>45</v>
      </c>
      <c r="DC754" t="str">
        <f>IF(DB754=0,"0",IF(AND(DB754&gt;=1,DB754&lt;=30),"1-30",IF(AND(DB754&gt;30,DB754&lt;=70),"31-70",IF(AND(DB754&gt;70,DB754&lt;=100),"71-100",IF(DB754&gt;100,"+100")))))</f>
        <v>31-70</v>
      </c>
      <c r="DD754">
        <v>0</v>
      </c>
      <c r="DE754">
        <v>1</v>
      </c>
      <c r="DF754">
        <v>1</v>
      </c>
      <c r="DG754">
        <v>1</v>
      </c>
      <c r="DI754">
        <f>SUM(DD754:DG754)</f>
        <v>3</v>
      </c>
      <c r="DJ754" t="str">
        <f>IF(DI754=1,INDEX($DD$7:$DG$7,MATCH(1,$DD754:$DG754,0)),"mixedProduct")</f>
        <v>mixedProduct</v>
      </c>
      <c r="DK754">
        <f>IF(DD754=1,DK$7,0)</f>
        <v>0</v>
      </c>
      <c r="DL754" t="str">
        <f>IF(DE754=1,DL$7,0)</f>
        <v>Energy</v>
      </c>
      <c r="DM754" t="str">
        <f>IF(DF754=1,DM$7,0)</f>
        <v>Pulp/Paper</v>
      </c>
      <c r="DN754" t="str">
        <f>IF(DG754=1,DN$7,0)</f>
        <v>Timber</v>
      </c>
      <c r="DO754">
        <v>1</v>
      </c>
      <c r="DP754">
        <v>1</v>
      </c>
      <c r="DQ754" t="s">
        <v>2317</v>
      </c>
      <c r="DR754">
        <v>0</v>
      </c>
      <c r="DS754">
        <v>0</v>
      </c>
      <c r="DT754">
        <f>SUM(DO754:DP754)</f>
        <v>2</v>
      </c>
      <c r="DU754" s="143" t="str">
        <f>IF(DO754=1,"self-calculated DF",IF(DP754=1,"external DF used","explicit C balance"))</f>
        <v>self-calculated DF</v>
      </c>
      <c r="DV754">
        <v>1</v>
      </c>
      <c r="DW754">
        <v>1</v>
      </c>
      <c r="DX754">
        <v>1</v>
      </c>
      <c r="DY754">
        <v>1</v>
      </c>
      <c r="DZ754">
        <v>1</v>
      </c>
      <c r="EA754" s="143">
        <v>1</v>
      </c>
      <c r="EB754">
        <v>1</v>
      </c>
      <c r="EC754">
        <v>1</v>
      </c>
      <c r="ED754">
        <v>1</v>
      </c>
      <c r="EE754">
        <v>1</v>
      </c>
      <c r="EF754">
        <v>1</v>
      </c>
      <c r="EG754">
        <v>1</v>
      </c>
      <c r="EH754">
        <v>0</v>
      </c>
      <c r="EI754" s="2">
        <v>0</v>
      </c>
      <c r="EK754" t="str">
        <f>IF(AND(AND(AND(OR($DX754=1,$DW754=1),OR($EC754=1,$EA754=1)),SUM($DV754:$DZ754,$EF754)&gt;=4),SUM($EA754:$EE754)&gt;=2),"Whole sector","")</f>
        <v>Whole sector</v>
      </c>
      <c r="EL754" t="str">
        <f>IF(AND(AND(OR($DX754=1,$DW754=1),AND($EC754=0,$EA754=0)),SUM($DV754:$DZ754,$EF754)&gt;=4),"Ecosystem approach","")</f>
        <v/>
      </c>
      <c r="EM754" s="2" t="str">
        <f>IF(AND(AND(AND($DX754=0,$DW754=0),OR($EC754=1,$EA754=1)),SUM($EB754:$EE754)&gt;=2),"Technology approach","")</f>
        <v/>
      </c>
      <c r="EP754" t="str">
        <f>IF(ISNUMBER(BU754),IF(ABS(BU754-[4]QC_indicators!$B$2)&gt;3*[4]QC_indicators!$C$2,"C ratio",IF(ISNUMBER(BY754),IF(ABS(BY754-[4]QC_indicators!$B$1)&gt;3*[4]QC_indicators!$C$1,"DF","no"))),IF(ISNUMBER(BY754),IF(ABS(BY754-[4]QC_indicators!$B$1)&gt;3*[4]QC_indicators!$C$1,"DF","no")))</f>
        <v>no</v>
      </c>
      <c r="ER754" s="149" t="s">
        <v>2328</v>
      </c>
      <c r="ET754" s="266" t="s">
        <v>3275</v>
      </c>
    </row>
    <row r="755" spans="1:150" ht="15" hidden="1" customHeight="1">
      <c r="A755" s="1" t="s">
        <v>1974</v>
      </c>
      <c r="B755" t="s">
        <v>2318</v>
      </c>
      <c r="C755" t="s">
        <v>2319</v>
      </c>
      <c r="D755" t="s">
        <v>2320</v>
      </c>
      <c r="E755" t="s">
        <v>2321</v>
      </c>
      <c r="F755" t="s">
        <v>2322</v>
      </c>
      <c r="G755" t="s">
        <v>1980</v>
      </c>
      <c r="H755" t="s">
        <v>255</v>
      </c>
      <c r="I755">
        <v>2020</v>
      </c>
      <c r="J755">
        <v>7</v>
      </c>
      <c r="K755" t="s">
        <v>2323</v>
      </c>
      <c r="M755" t="str">
        <f>LEFT($D755,FIND(",",$D755)-1)&amp;"_"&amp;I755&amp;L755</f>
        <v>Smyth_2020</v>
      </c>
      <c r="N755" t="s">
        <v>223</v>
      </c>
      <c r="O755" s="145" t="s">
        <v>342</v>
      </c>
      <c r="Q755" t="s">
        <v>257</v>
      </c>
      <c r="R755" s="292" t="s">
        <v>226</v>
      </c>
      <c r="S755" s="1" t="s">
        <v>2341</v>
      </c>
      <c r="T755" t="s">
        <v>1157</v>
      </c>
      <c r="U755" t="s">
        <v>2342</v>
      </c>
      <c r="V755">
        <v>0</v>
      </c>
      <c r="W755">
        <v>0</v>
      </c>
      <c r="X755">
        <v>0</v>
      </c>
      <c r="Y755">
        <v>0</v>
      </c>
      <c r="Z755">
        <v>0</v>
      </c>
      <c r="AA755">
        <v>0</v>
      </c>
      <c r="AB755">
        <v>0</v>
      </c>
      <c r="AC755">
        <v>0</v>
      </c>
      <c r="AD755">
        <v>0</v>
      </c>
      <c r="AE755">
        <v>0</v>
      </c>
      <c r="AF755">
        <v>1</v>
      </c>
      <c r="AG755">
        <v>0</v>
      </c>
      <c r="AH755">
        <v>0</v>
      </c>
      <c r="AI755">
        <v>1</v>
      </c>
      <c r="AJ755">
        <v>0</v>
      </c>
      <c r="AK755">
        <v>0</v>
      </c>
      <c r="AL755">
        <v>0</v>
      </c>
      <c r="AM755">
        <v>0</v>
      </c>
      <c r="AN755">
        <v>0</v>
      </c>
      <c r="AO755">
        <v>0</v>
      </c>
      <c r="AP755">
        <v>0</v>
      </c>
      <c r="AQ755">
        <v>0</v>
      </c>
      <c r="AR755">
        <v>0</v>
      </c>
      <c r="AS755">
        <v>0</v>
      </c>
      <c r="AT755">
        <v>0</v>
      </c>
      <c r="AU755">
        <v>0</v>
      </c>
      <c r="AV755">
        <v>0</v>
      </c>
      <c r="AW755">
        <v>0</v>
      </c>
      <c r="AX755" s="141">
        <f>COUNTIF(V755:AW755,"&lt;&gt;0")</f>
        <v>2</v>
      </c>
      <c r="AY755" s="141">
        <f>COUNTIF(V755:AL755,"&lt;&gt;0")</f>
        <v>2</v>
      </c>
      <c r="AZ755">
        <f>COUNTIF(V755:AC755,"&lt;&gt;0")</f>
        <v>0</v>
      </c>
      <c r="BA755">
        <f>COUNTIF(AD755:AI755,"&lt;&gt;0")</f>
        <v>2</v>
      </c>
      <c r="BB755">
        <f>COUNTIF(AJ755:AL755,"&lt;&gt;0")</f>
        <v>0</v>
      </c>
      <c r="BC755">
        <f>COUNTIF(AS755:AW755,"&lt;&gt;0")</f>
        <v>0</v>
      </c>
      <c r="BD755">
        <f>COUNTIF(AM755:AR755,"&lt;&gt;0")</f>
        <v>0</v>
      </c>
      <c r="BE755" t="str">
        <f t="array" ref="BE755">IF(AY755=1,INDEX($V$7:$AL$7,MATCH(TRUE,INDEX($V755:$AW755&lt;&gt;0,),0)),IF(AY755=0,INDEX($AM$7:$AW$7,MATCH(1,$AM755:$AW755,0)),IF(BF755="Multiple strategies","mixed drivers",IF(BF755="Supply chain","multiple supply","multiple silviculture"))))</f>
        <v>multiple supply</v>
      </c>
      <c r="BF755" s="2" t="str" cm="1">
        <f t="array" ref="BF755">IF(COUNTIF(AZ755:BB755,"&lt;&gt;0")=1,INDEX($V$4:$AW$4,MATCH(TRUE,INDEX($V755:$AW755&lt;&gt;0,),0)),IF(COUNTIF(AZ755:BB755,"&lt;&gt;0")=0,INDEX($AM$4:$AW$4,MATCH(1,$AM755:$AW755,0)),"Multiple strategies"))</f>
        <v>Supply chain</v>
      </c>
      <c r="BG755" s="1" t="s">
        <v>322</v>
      </c>
      <c r="BH755" t="s">
        <v>2326</v>
      </c>
      <c r="BI755" s="260" t="s">
        <v>3392</v>
      </c>
      <c r="BJ755" t="s">
        <v>1361</v>
      </c>
      <c r="BK755">
        <v>457</v>
      </c>
      <c r="BL755">
        <v>457</v>
      </c>
      <c r="BM755">
        <f>BL755/BK755</f>
        <v>1</v>
      </c>
      <c r="BN755">
        <f>BL755-BK755</f>
        <v>0</v>
      </c>
      <c r="BO755">
        <f>BN755*10^6*tC_to_m3</f>
        <v>0</v>
      </c>
      <c r="BP755" t="s">
        <v>233</v>
      </c>
      <c r="BQ755" s="260" t="s">
        <v>3393</v>
      </c>
      <c r="BR755" t="s">
        <v>1142</v>
      </c>
      <c r="BU755" s="144"/>
      <c r="BV755">
        <v>71</v>
      </c>
      <c r="BX755">
        <f>BV755*10^6</f>
        <v>71000000</v>
      </c>
      <c r="BY755" t="str">
        <f>IFERROR(BX755/BO755,"")</f>
        <v/>
      </c>
      <c r="BZ755">
        <v>0</v>
      </c>
      <c r="CA755">
        <v>1</v>
      </c>
      <c r="CB755">
        <v>1</v>
      </c>
      <c r="CC755">
        <v>1</v>
      </c>
      <c r="CD755">
        <v>0</v>
      </c>
      <c r="CE755">
        <v>0</v>
      </c>
      <c r="CF755">
        <v>0</v>
      </c>
      <c r="CG755">
        <v>0</v>
      </c>
      <c r="CH755">
        <v>0</v>
      </c>
      <c r="CI755">
        <v>0</v>
      </c>
      <c r="CJ755">
        <v>0</v>
      </c>
      <c r="CK755">
        <v>0</v>
      </c>
      <c r="CL755">
        <v>0</v>
      </c>
      <c r="CM755">
        <v>0</v>
      </c>
      <c r="CN755" t="str">
        <f>IF(BL755&lt;BK755,"refNeedCorrection","refOK")</f>
        <v>refOK</v>
      </c>
      <c r="CO755"/>
      <c r="CP755"/>
      <c r="CQ755">
        <f>IF($CN755="refOK",$BO755,-$BO755)</f>
        <v>0</v>
      </c>
      <c r="CR755">
        <f>IF($CN755="refOK",$BS755,$BT755)*IF($BP755="Emissions positive",-1,1)</f>
        <v>0</v>
      </c>
      <c r="CS755">
        <f>IF($CN755="refOK",$BT755,$BS755)*IF($BP755="Emissions positive",-1,1)</f>
        <v>0</v>
      </c>
      <c r="CT755">
        <f>IF($CN755="refNeedCorrection",-BX755,BX755)*IF($BP755="Emissions positive",-1,1)</f>
        <v>71000000</v>
      </c>
      <c r="CU755" t="str">
        <f>IFERROR(CT755/CQ755,"")</f>
        <v/>
      </c>
      <c r="CV755" s="2" t="str">
        <f>IFERROR((CS755-CR755)/ABS(CR755),"")</f>
        <v/>
      </c>
      <c r="CW755" s="1" t="s">
        <v>1201</v>
      </c>
      <c r="CX755" t="str">
        <f>IF(OR($CW755="prd",$CW755="std",$CW755="cit"),"loc",IF(OR($CW755="eur",$CW755="reg",$CW755="coy"),"reg",$CW755))</f>
        <v>reg</v>
      </c>
      <c r="CY755" t="s">
        <v>541</v>
      </c>
      <c r="CZ755">
        <v>2015</v>
      </c>
      <c r="DA755">
        <v>2070</v>
      </c>
      <c r="DB755">
        <v>45</v>
      </c>
      <c r="DC755" t="str">
        <f>IF(DB755=0,"0",IF(AND(DB755&gt;=1,DB755&lt;=30),"1-30",IF(AND(DB755&gt;30,DB755&lt;=70),"31-70",IF(AND(DB755&gt;70,DB755&lt;=100),"71-100",IF(DB755&gt;100,"+100")))))</f>
        <v>31-70</v>
      </c>
      <c r="DD755">
        <v>0</v>
      </c>
      <c r="DE755">
        <v>1</v>
      </c>
      <c r="DF755">
        <v>1</v>
      </c>
      <c r="DG755">
        <v>1</v>
      </c>
      <c r="DI755">
        <f>SUM(DD755:DG755)</f>
        <v>3</v>
      </c>
      <c r="DJ755" t="str">
        <f>IF(DI755=1,INDEX($DD$7:$DG$7,MATCH(1,$DD755:$DG755,0)),"mixedProduct")</f>
        <v>mixedProduct</v>
      </c>
      <c r="DK755">
        <f>IF(DD755=1,DK$7,0)</f>
        <v>0</v>
      </c>
      <c r="DL755" t="str">
        <f>IF(DE755=1,DL$7,0)</f>
        <v>Energy</v>
      </c>
      <c r="DM755" t="str">
        <f>IF(DF755=1,DM$7,0)</f>
        <v>Pulp/Paper</v>
      </c>
      <c r="DN755" t="str">
        <f>IF(DG755=1,DN$7,0)</f>
        <v>Timber</v>
      </c>
      <c r="DO755">
        <v>1</v>
      </c>
      <c r="DP755">
        <v>1</v>
      </c>
      <c r="DQ755" t="s">
        <v>2317</v>
      </c>
      <c r="DR755">
        <v>0</v>
      </c>
      <c r="DS755">
        <v>0</v>
      </c>
      <c r="DT755">
        <f>SUM(DO755:DP755)</f>
        <v>2</v>
      </c>
      <c r="DU755" s="143" t="str">
        <f>IF(DO755=1,"self-calculated DF",IF(DP755=1,"external DF used","explicit C balance"))</f>
        <v>self-calculated DF</v>
      </c>
      <c r="DV755">
        <v>1</v>
      </c>
      <c r="DW755">
        <v>1</v>
      </c>
      <c r="DX755">
        <v>1</v>
      </c>
      <c r="DY755">
        <v>1</v>
      </c>
      <c r="DZ755">
        <v>1</v>
      </c>
      <c r="EA755">
        <v>1</v>
      </c>
      <c r="EB755">
        <v>1</v>
      </c>
      <c r="EC755">
        <v>1</v>
      </c>
      <c r="ED755">
        <v>1</v>
      </c>
      <c r="EE755">
        <v>1</v>
      </c>
      <c r="EF755">
        <v>1</v>
      </c>
      <c r="EG755">
        <v>1</v>
      </c>
      <c r="EH755">
        <v>0</v>
      </c>
      <c r="EI755" s="2">
        <v>0</v>
      </c>
      <c r="EK755" t="str">
        <f>IF(AND(AND(AND(OR($DX755=1,$DW755=1),OR($EC755=1,$EA755=1)),SUM($DV755:$DZ755,$EF755)&gt;=4),SUM($EA755:$EE755)&gt;=2),"Whole sector","")</f>
        <v>Whole sector</v>
      </c>
      <c r="EL755" t="str">
        <f>IF(AND(AND(OR($DX755=1,$DW755=1),AND($EC755=0,$EA755=0)),SUM($DV755:$DZ755,$EF755)&gt;=4),"Ecosystem approach","")</f>
        <v/>
      </c>
      <c r="EM755" s="2" t="str">
        <f>IF(AND(AND(AND($DX755=0,$DW755=0),OR($EC755=1,$EA755=1)),SUM($EB755:$EE755)&gt;=2),"Technology approach","")</f>
        <v/>
      </c>
      <c r="EP755" t="b">
        <f>IF(ISNUMBER(BU755),IF(ABS(BU755-[4]QC_indicators!$B$2)&gt;3*[4]QC_indicators!$C$2,"C ratio",IF(ISNUMBER(BY755),IF(ABS(BY755-[4]QC_indicators!$B$1)&gt;3*[4]QC_indicators!$C$1,"DF","no"))),IF(ISNUMBER(BY755),IF(ABS(BY755-[4]QC_indicators!$B$1)&gt;3*[4]QC_indicators!$C$1,"DF","no")))</f>
        <v>0</v>
      </c>
      <c r="ER755" s="149" t="s">
        <v>350</v>
      </c>
      <c r="ET755" s="266" t="s">
        <v>3275</v>
      </c>
    </row>
    <row r="756" spans="1:150" ht="15" hidden="1" customHeight="1">
      <c r="A756" s="1" t="s">
        <v>1974</v>
      </c>
      <c r="B756" t="s">
        <v>2318</v>
      </c>
      <c r="C756" t="s">
        <v>2319</v>
      </c>
      <c r="D756" t="s">
        <v>2320</v>
      </c>
      <c r="E756" t="s">
        <v>2321</v>
      </c>
      <c r="F756" t="s">
        <v>2322</v>
      </c>
      <c r="G756" t="s">
        <v>1980</v>
      </c>
      <c r="H756" t="s">
        <v>255</v>
      </c>
      <c r="I756">
        <v>2020</v>
      </c>
      <c r="J756">
        <v>7</v>
      </c>
      <c r="K756" t="s">
        <v>2323</v>
      </c>
      <c r="M756" t="str">
        <f>LEFT($D756,FIND(",",$D756)-1)&amp;"_"&amp;I756&amp;L756</f>
        <v>Smyth_2020</v>
      </c>
      <c r="N756" t="s">
        <v>223</v>
      </c>
      <c r="O756" s="145" t="s">
        <v>342</v>
      </c>
      <c r="Q756" t="s">
        <v>257</v>
      </c>
      <c r="R756" s="292" t="s">
        <v>226</v>
      </c>
      <c r="S756" s="1" t="s">
        <v>2343</v>
      </c>
      <c r="T756" t="s">
        <v>1157</v>
      </c>
      <c r="U756" t="s">
        <v>2344</v>
      </c>
      <c r="V756">
        <v>0</v>
      </c>
      <c r="W756">
        <v>0</v>
      </c>
      <c r="X756">
        <v>0</v>
      </c>
      <c r="Y756">
        <v>0</v>
      </c>
      <c r="Z756">
        <v>0</v>
      </c>
      <c r="AA756">
        <v>0</v>
      </c>
      <c r="AB756">
        <v>0</v>
      </c>
      <c r="AC756">
        <v>0</v>
      </c>
      <c r="AD756">
        <v>0</v>
      </c>
      <c r="AE756">
        <v>0</v>
      </c>
      <c r="AF756">
        <v>1</v>
      </c>
      <c r="AG756">
        <v>0</v>
      </c>
      <c r="AH756">
        <v>0</v>
      </c>
      <c r="AI756">
        <v>1</v>
      </c>
      <c r="AJ756">
        <v>0</v>
      </c>
      <c r="AK756">
        <v>0</v>
      </c>
      <c r="AL756">
        <v>0</v>
      </c>
      <c r="AM756">
        <v>0</v>
      </c>
      <c r="AN756">
        <v>0</v>
      </c>
      <c r="AO756">
        <v>0</v>
      </c>
      <c r="AP756">
        <v>0</v>
      </c>
      <c r="AQ756">
        <v>0</v>
      </c>
      <c r="AR756">
        <v>0</v>
      </c>
      <c r="AS756">
        <v>0</v>
      </c>
      <c r="AT756">
        <v>0</v>
      </c>
      <c r="AU756">
        <v>0</v>
      </c>
      <c r="AV756">
        <v>0</v>
      </c>
      <c r="AW756">
        <v>0</v>
      </c>
      <c r="AX756" s="141">
        <f>COUNTIF(V756:AW756,"&lt;&gt;0")</f>
        <v>2</v>
      </c>
      <c r="AY756" s="141">
        <f>COUNTIF(V756:AL756,"&lt;&gt;0")</f>
        <v>2</v>
      </c>
      <c r="AZ756">
        <f>COUNTIF(V756:AC756,"&lt;&gt;0")</f>
        <v>0</v>
      </c>
      <c r="BA756">
        <f>COUNTIF(AD756:AI756,"&lt;&gt;0")</f>
        <v>2</v>
      </c>
      <c r="BB756">
        <f>COUNTIF(AJ756:AL756,"&lt;&gt;0")</f>
        <v>0</v>
      </c>
      <c r="BC756">
        <f>COUNTIF(AS756:AW756,"&lt;&gt;0")</f>
        <v>0</v>
      </c>
      <c r="BD756">
        <f>COUNTIF(AM756:AR756,"&lt;&gt;0")</f>
        <v>0</v>
      </c>
      <c r="BE756" t="str">
        <f t="array" ref="BE756">IF(AY756=1,INDEX($V$7:$AL$7,MATCH(TRUE,INDEX($V756:$AW756&lt;&gt;0,),0)),IF(AY756=0,INDEX($AM$7:$AW$7,MATCH(1,$AM756:$AW756,0)),IF(BF756="Multiple strategies","mixed drivers",IF(BF756="Supply chain","multiple supply","multiple silviculture"))))</f>
        <v>multiple supply</v>
      </c>
      <c r="BF756" s="2" t="str" cm="1">
        <f t="array" ref="BF756">IF(COUNTIF(AZ756:BB756,"&lt;&gt;0")=1,INDEX($V$4:$AW$4,MATCH(TRUE,INDEX($V756:$AW756&lt;&gt;0,),0)),IF(COUNTIF(AZ756:BB756,"&lt;&gt;0")=0,INDEX($AM$4:$AW$4,MATCH(1,$AM756:$AW756,0)),"Multiple strategies"))</f>
        <v>Supply chain</v>
      </c>
      <c r="BG756" s="1" t="s">
        <v>322</v>
      </c>
      <c r="BH756" t="s">
        <v>2326</v>
      </c>
      <c r="BI756" s="260" t="s">
        <v>3392</v>
      </c>
      <c r="BJ756" t="s">
        <v>1361</v>
      </c>
      <c r="BK756">
        <v>457</v>
      </c>
      <c r="BL756">
        <v>457</v>
      </c>
      <c r="BM756">
        <f>BL756/BK756</f>
        <v>1</v>
      </c>
      <c r="BN756">
        <f>BL756-BK756</f>
        <v>0</v>
      </c>
      <c r="BO756">
        <f>BN756*10^6*tC_to_m3</f>
        <v>0</v>
      </c>
      <c r="BP756" t="s">
        <v>233</v>
      </c>
      <c r="BQ756" s="260" t="s">
        <v>3394</v>
      </c>
      <c r="BR756" t="s">
        <v>2327</v>
      </c>
      <c r="BU756" s="144"/>
      <c r="BV756">
        <v>191</v>
      </c>
      <c r="BX756">
        <f>BV756*10^6</f>
        <v>191000000</v>
      </c>
      <c r="BY756" t="str">
        <f>IFERROR(BX756/BO756,"")</f>
        <v/>
      </c>
      <c r="BZ756">
        <v>0</v>
      </c>
      <c r="CA756">
        <v>1</v>
      </c>
      <c r="CB756">
        <v>1</v>
      </c>
      <c r="CC756">
        <v>1</v>
      </c>
      <c r="CD756">
        <v>0</v>
      </c>
      <c r="CE756">
        <v>0</v>
      </c>
      <c r="CF756">
        <v>0</v>
      </c>
      <c r="CG756">
        <v>0</v>
      </c>
      <c r="CH756">
        <v>0</v>
      </c>
      <c r="CI756">
        <v>0</v>
      </c>
      <c r="CJ756">
        <v>0</v>
      </c>
      <c r="CK756">
        <v>0</v>
      </c>
      <c r="CL756">
        <v>0</v>
      </c>
      <c r="CM756">
        <v>0</v>
      </c>
      <c r="CN756" t="str">
        <f>IF(BL756&lt;BK756,"refNeedCorrection","refOK")</f>
        <v>refOK</v>
      </c>
      <c r="CO756"/>
      <c r="CP756"/>
      <c r="CQ756">
        <f>IF($CN756="refOK",$BO756,-$BO756)</f>
        <v>0</v>
      </c>
      <c r="CR756">
        <f>IF($CN756="refOK",$BS756,$BT756)*IF($BP756="Emissions positive",-1,1)</f>
        <v>0</v>
      </c>
      <c r="CS756">
        <f>IF($CN756="refOK",$BT756,$BS756)*IF($BP756="Emissions positive",-1,1)</f>
        <v>0</v>
      </c>
      <c r="CT756">
        <f>IF($CN756="refNeedCorrection",-BX756,BX756)*IF($BP756="Emissions positive",-1,1)</f>
        <v>191000000</v>
      </c>
      <c r="CU756" t="str">
        <f>IFERROR(CT756/CQ756,"")</f>
        <v/>
      </c>
      <c r="CV756" s="2" t="str">
        <f>IFERROR((CS756-CR756)/ABS(CR756),"")</f>
        <v/>
      </c>
      <c r="CW756" s="1" t="s">
        <v>1201</v>
      </c>
      <c r="CX756" t="str">
        <f>IF(OR($CW756="prd",$CW756="std",$CW756="cit"),"loc",IF(OR($CW756="eur",$CW756="reg",$CW756="coy"),"reg",$CW756))</f>
        <v>reg</v>
      </c>
      <c r="CY756" t="s">
        <v>541</v>
      </c>
      <c r="CZ756">
        <v>2015</v>
      </c>
      <c r="DA756">
        <v>2070</v>
      </c>
      <c r="DB756">
        <v>45</v>
      </c>
      <c r="DC756" t="str">
        <f>IF(DB756=0,"0",IF(AND(DB756&gt;=1,DB756&lt;=30),"1-30",IF(AND(DB756&gt;30,DB756&lt;=70),"31-70",IF(AND(DB756&gt;70,DB756&lt;=100),"71-100",IF(DB756&gt;100,"+100")))))</f>
        <v>31-70</v>
      </c>
      <c r="DD756">
        <v>0</v>
      </c>
      <c r="DE756">
        <v>1</v>
      </c>
      <c r="DF756">
        <v>1</v>
      </c>
      <c r="DG756">
        <v>1</v>
      </c>
      <c r="DI756">
        <f>SUM(DD756:DG756)</f>
        <v>3</v>
      </c>
      <c r="DJ756" t="str">
        <f>IF(DI756=1,INDEX($DD$7:$DG$7,MATCH(1,$DD756:$DG756,0)),"mixedProduct")</f>
        <v>mixedProduct</v>
      </c>
      <c r="DK756">
        <f>IF(DD756=1,DK$7,0)</f>
        <v>0</v>
      </c>
      <c r="DL756" t="str">
        <f>IF(DE756=1,DL$7,0)</f>
        <v>Energy</v>
      </c>
      <c r="DM756" t="str">
        <f>IF(DF756=1,DM$7,0)</f>
        <v>Pulp/Paper</v>
      </c>
      <c r="DN756" t="str">
        <f>IF(DG756=1,DN$7,0)</f>
        <v>Timber</v>
      </c>
      <c r="DO756">
        <v>1</v>
      </c>
      <c r="DP756">
        <v>1</v>
      </c>
      <c r="DQ756" t="s">
        <v>2317</v>
      </c>
      <c r="DR756">
        <v>0</v>
      </c>
      <c r="DS756">
        <v>0</v>
      </c>
      <c r="DT756">
        <f>SUM(DO756:DP756)</f>
        <v>2</v>
      </c>
      <c r="DU756" s="143" t="str">
        <f>IF(DO756=1,"self-calculated DF",IF(DP756=1,"external DF used","explicit C balance"))</f>
        <v>self-calculated DF</v>
      </c>
      <c r="DV756">
        <v>1</v>
      </c>
      <c r="DW756">
        <v>1</v>
      </c>
      <c r="DX756">
        <v>1</v>
      </c>
      <c r="DY756">
        <v>1</v>
      </c>
      <c r="DZ756">
        <v>1</v>
      </c>
      <c r="EA756">
        <v>1</v>
      </c>
      <c r="EB756">
        <v>1</v>
      </c>
      <c r="EC756">
        <v>1</v>
      </c>
      <c r="ED756">
        <v>1</v>
      </c>
      <c r="EE756">
        <v>1</v>
      </c>
      <c r="EF756">
        <v>1</v>
      </c>
      <c r="EG756">
        <v>1</v>
      </c>
      <c r="EH756">
        <v>0</v>
      </c>
      <c r="EI756" s="2">
        <v>0</v>
      </c>
      <c r="EK756" t="str">
        <f>IF(AND(AND(AND(OR($DX756=1,$DW756=1),OR($EC756=1,$EA756=1)),SUM($DV756:$DZ756,$EF756)&gt;=4),SUM($EA756:$EE756)&gt;=2),"Whole sector","")</f>
        <v>Whole sector</v>
      </c>
      <c r="EL756" t="str">
        <f>IF(AND(AND(OR($DX756=1,$DW756=1),AND($EC756=0,$EA756=0)),SUM($DV756:$DZ756,$EF756)&gt;=4),"Ecosystem approach","")</f>
        <v/>
      </c>
      <c r="EM756" s="2" t="str">
        <f>IF(AND(AND(AND($DX756=0,$DW756=0),OR($EC756=1,$EA756=1)),SUM($EB756:$EE756)&gt;=2),"Technology approach","")</f>
        <v/>
      </c>
      <c r="EP756" t="b">
        <f>IF(ISNUMBER(BU756),IF(ABS(BU756-[4]QC_indicators!$B$2)&gt;3*[4]QC_indicators!$C$2,"C ratio",IF(ISNUMBER(BY756),IF(ABS(BY756-[4]QC_indicators!$B$1)&gt;3*[4]QC_indicators!$C$1,"DF","no"))),IF(ISNUMBER(BY756),IF(ABS(BY756-[4]QC_indicators!$B$1)&gt;3*[4]QC_indicators!$C$1,"DF","no")))</f>
        <v>0</v>
      </c>
      <c r="ER756" s="149" t="s">
        <v>2328</v>
      </c>
      <c r="ET756" s="266" t="s">
        <v>3275</v>
      </c>
    </row>
    <row r="757" spans="1:150" ht="15" hidden="1" customHeight="1">
      <c r="A757" s="1" t="s">
        <v>1974</v>
      </c>
      <c r="B757" t="s">
        <v>2318</v>
      </c>
      <c r="C757" t="s">
        <v>2319</v>
      </c>
      <c r="D757" t="s">
        <v>2320</v>
      </c>
      <c r="E757" t="s">
        <v>2321</v>
      </c>
      <c r="F757" t="s">
        <v>2322</v>
      </c>
      <c r="G757" t="s">
        <v>1980</v>
      </c>
      <c r="H757" t="s">
        <v>255</v>
      </c>
      <c r="I757">
        <v>2020</v>
      </c>
      <c r="J757">
        <v>7</v>
      </c>
      <c r="K757" t="s">
        <v>2323</v>
      </c>
      <c r="M757" t="str">
        <f>LEFT($D757,FIND(",",$D757)-1)&amp;"_"&amp;I757&amp;L757</f>
        <v>Smyth_2020</v>
      </c>
      <c r="N757" t="s">
        <v>223</v>
      </c>
      <c r="O757" s="145" t="s">
        <v>342</v>
      </c>
      <c r="Q757" t="s">
        <v>257</v>
      </c>
      <c r="R757" s="292" t="s">
        <v>226</v>
      </c>
      <c r="S757" s="1" t="s">
        <v>2345</v>
      </c>
      <c r="T757" t="s">
        <v>1157</v>
      </c>
      <c r="U757" t="s">
        <v>2336</v>
      </c>
      <c r="V757">
        <v>0</v>
      </c>
      <c r="W757">
        <v>0</v>
      </c>
      <c r="X757">
        <v>0</v>
      </c>
      <c r="Y757">
        <v>0</v>
      </c>
      <c r="Z757">
        <v>0</v>
      </c>
      <c r="AA757">
        <v>0</v>
      </c>
      <c r="AB757">
        <v>0</v>
      </c>
      <c r="AC757">
        <v>0</v>
      </c>
      <c r="AD757">
        <v>0</v>
      </c>
      <c r="AE757">
        <v>0</v>
      </c>
      <c r="AF757">
        <v>1</v>
      </c>
      <c r="AG757">
        <v>0</v>
      </c>
      <c r="AH757">
        <v>0</v>
      </c>
      <c r="AI757">
        <v>0</v>
      </c>
      <c r="AJ757">
        <v>0</v>
      </c>
      <c r="AK757">
        <v>0</v>
      </c>
      <c r="AL757">
        <v>0</v>
      </c>
      <c r="AM757">
        <v>0</v>
      </c>
      <c r="AN757">
        <v>0</v>
      </c>
      <c r="AO757">
        <v>0</v>
      </c>
      <c r="AP757">
        <v>0</v>
      </c>
      <c r="AQ757">
        <v>0</v>
      </c>
      <c r="AR757">
        <v>0</v>
      </c>
      <c r="AS757">
        <v>0</v>
      </c>
      <c r="AT757">
        <v>0</v>
      </c>
      <c r="AU757">
        <v>0</v>
      </c>
      <c r="AV757">
        <v>0</v>
      </c>
      <c r="AW757">
        <v>0</v>
      </c>
      <c r="AX757" s="141">
        <f>COUNTIF(V757:AW757,"&lt;&gt;0")</f>
        <v>1</v>
      </c>
      <c r="AY757" s="141">
        <f>COUNTIF(V757:AL757,"&lt;&gt;0")</f>
        <v>1</v>
      </c>
      <c r="AZ757">
        <f>COUNTIF(V757:AC757,"&lt;&gt;0")</f>
        <v>0</v>
      </c>
      <c r="BA757">
        <f>COUNTIF(AD757:AI757,"&lt;&gt;0")</f>
        <v>1</v>
      </c>
      <c r="BB757">
        <f>COUNTIF(AJ757:AL757,"&lt;&gt;0")</f>
        <v>0</v>
      </c>
      <c r="BC757">
        <f>COUNTIF(AS757:AW757,"&lt;&gt;0")</f>
        <v>0</v>
      </c>
      <c r="BD757">
        <f>COUNTIF(AM757:AR757,"&lt;&gt;0")</f>
        <v>0</v>
      </c>
      <c r="BE757" t="str">
        <f t="array" ref="BE757">IF(AY757=1,INDEX($V$7:$AL$7,MATCH(TRUE,INDEX($V757:$AW757&lt;&gt;0,),0)),IF(AY757=0,INDEX($AM$7:$AW$7,MATCH(1,$AM757:$AW757,0)),IF(BF757="Multiple strategies","mixed drivers",IF(BF757="Supply chain","multiple supply","multiple silviculture"))))</f>
        <v>supply chain organization</v>
      </c>
      <c r="BF757" s="2" t="str" cm="1">
        <f t="array" ref="BF757">IF(COUNTIF(AZ757:BB757,"&lt;&gt;0")=1,INDEX($V$4:$AW$4,MATCH(TRUE,INDEX($V757:$AW757&lt;&gt;0,),0)),IF(COUNTIF(AZ757:BB757,"&lt;&gt;0")=0,INDEX($AM$4:$AW$4,MATCH(1,$AM757:$AW757,0)),"Multiple strategies"))</f>
        <v>Supply chain</v>
      </c>
      <c r="BG757" s="1" t="s">
        <v>322</v>
      </c>
      <c r="BH757" t="s">
        <v>2326</v>
      </c>
      <c r="BI757" s="260" t="s">
        <v>3392</v>
      </c>
      <c r="BJ757" t="s">
        <v>1361</v>
      </c>
      <c r="BK757">
        <v>457</v>
      </c>
      <c r="BL757">
        <v>488</v>
      </c>
      <c r="BM757">
        <f>BL757/BK757</f>
        <v>1.0678336980306347</v>
      </c>
      <c r="BN757">
        <f>BL757-BK757</f>
        <v>31</v>
      </c>
      <c r="BO757">
        <f>BN757*10^6*tC_to_m3</f>
        <v>134607034.30308294</v>
      </c>
      <c r="BP757" t="s">
        <v>233</v>
      </c>
      <c r="BQ757" s="260" t="s">
        <v>3393</v>
      </c>
      <c r="BR757" t="s">
        <v>1142</v>
      </c>
      <c r="BU757" s="144"/>
      <c r="BV757">
        <v>25</v>
      </c>
      <c r="BX757">
        <f>BV757*10^6</f>
        <v>25000000</v>
      </c>
      <c r="BY757">
        <f>IFERROR(BX757/BO757,"")</f>
        <v>0.18572580645161288</v>
      </c>
      <c r="BZ757">
        <v>0</v>
      </c>
      <c r="CA757">
        <v>1</v>
      </c>
      <c r="CB757">
        <v>1</v>
      </c>
      <c r="CC757">
        <v>1</v>
      </c>
      <c r="CD757">
        <v>0</v>
      </c>
      <c r="CE757">
        <v>0</v>
      </c>
      <c r="CF757">
        <v>0</v>
      </c>
      <c r="CG757">
        <v>0</v>
      </c>
      <c r="CH757">
        <v>0</v>
      </c>
      <c r="CI757">
        <v>0</v>
      </c>
      <c r="CJ757">
        <v>0</v>
      </c>
      <c r="CK757">
        <v>0</v>
      </c>
      <c r="CL757">
        <v>0</v>
      </c>
      <c r="CM757">
        <v>0</v>
      </c>
      <c r="CN757" t="str">
        <f>IF(BL757&lt;BK757,"refNeedCorrection","refOK")</f>
        <v>refOK</v>
      </c>
      <c r="CO757"/>
      <c r="CP757"/>
      <c r="CQ757">
        <f>IF($CN757="refOK",$BO757,-$BO757)</f>
        <v>134607034.30308294</v>
      </c>
      <c r="CR757">
        <f>IF($CN757="refOK",$BS757,$BT757)*IF($BP757="Emissions positive",-1,1)</f>
        <v>0</v>
      </c>
      <c r="CS757">
        <f>IF($CN757="refOK",$BT757,$BS757)*IF($BP757="Emissions positive",-1,1)</f>
        <v>0</v>
      </c>
      <c r="CT757">
        <f>IF($CN757="refNeedCorrection",-BX757,BX757)*IF($BP757="Emissions positive",-1,1)</f>
        <v>25000000</v>
      </c>
      <c r="CU757">
        <f>IFERROR(CT757/CQ757,"")</f>
        <v>0.18572580645161288</v>
      </c>
      <c r="CV757" s="2" t="str">
        <f>IFERROR((CS757-CR757)/ABS(CR757),"")</f>
        <v/>
      </c>
      <c r="CW757" s="1" t="s">
        <v>1201</v>
      </c>
      <c r="CX757" t="str">
        <f>IF(OR($CW757="prd",$CW757="std",$CW757="cit"),"loc",IF(OR($CW757="eur",$CW757="reg",$CW757="coy"),"reg",$CW757))</f>
        <v>reg</v>
      </c>
      <c r="CY757" t="s">
        <v>541</v>
      </c>
      <c r="CZ757">
        <v>2015</v>
      </c>
      <c r="DA757">
        <v>2070</v>
      </c>
      <c r="DB757">
        <v>45</v>
      </c>
      <c r="DC757" t="str">
        <f>IF(DB757=0,"0",IF(AND(DB757&gt;=1,DB757&lt;=30),"1-30",IF(AND(DB757&gt;30,DB757&lt;=70),"31-70",IF(AND(DB757&gt;70,DB757&lt;=100),"71-100",IF(DB757&gt;100,"+100")))))</f>
        <v>31-70</v>
      </c>
      <c r="DD757">
        <v>0</v>
      </c>
      <c r="DE757">
        <v>1</v>
      </c>
      <c r="DF757">
        <v>1</v>
      </c>
      <c r="DG757">
        <v>1</v>
      </c>
      <c r="DI757">
        <f>SUM(DD757:DG757)</f>
        <v>3</v>
      </c>
      <c r="DJ757" t="str">
        <f>IF(DI757=1,INDEX($DD$7:$DG$7,MATCH(1,$DD757:$DG757,0)),"mixedProduct")</f>
        <v>mixedProduct</v>
      </c>
      <c r="DK757">
        <f>IF(DD757=1,DK$7,0)</f>
        <v>0</v>
      </c>
      <c r="DL757" t="str">
        <f>IF(DE757=1,DL$7,0)</f>
        <v>Energy</v>
      </c>
      <c r="DM757" t="str">
        <f>IF(DF757=1,DM$7,0)</f>
        <v>Pulp/Paper</v>
      </c>
      <c r="DN757" t="str">
        <f>IF(DG757=1,DN$7,0)</f>
        <v>Timber</v>
      </c>
      <c r="DO757">
        <v>1</v>
      </c>
      <c r="DP757">
        <v>1</v>
      </c>
      <c r="DQ757" t="s">
        <v>2317</v>
      </c>
      <c r="DR757">
        <v>0</v>
      </c>
      <c r="DS757">
        <v>0</v>
      </c>
      <c r="DT757">
        <f>SUM(DO757:DP757)</f>
        <v>2</v>
      </c>
      <c r="DU757" s="143" t="str">
        <f>IF(DO757=1,"self-calculated DF",IF(DP757=1,"external DF used","explicit C balance"))</f>
        <v>self-calculated DF</v>
      </c>
      <c r="DV757">
        <v>1</v>
      </c>
      <c r="DW757">
        <v>1</v>
      </c>
      <c r="DX757">
        <v>1</v>
      </c>
      <c r="DY757">
        <v>1</v>
      </c>
      <c r="DZ757">
        <v>1</v>
      </c>
      <c r="EA757" s="143">
        <v>1</v>
      </c>
      <c r="EB757">
        <v>1</v>
      </c>
      <c r="EC757">
        <v>1</v>
      </c>
      <c r="ED757">
        <v>1</v>
      </c>
      <c r="EE757">
        <v>1</v>
      </c>
      <c r="EF757">
        <v>1</v>
      </c>
      <c r="EG757">
        <v>1</v>
      </c>
      <c r="EH757">
        <v>0</v>
      </c>
      <c r="EI757" s="2">
        <v>0</v>
      </c>
      <c r="EK757" t="str">
        <f>IF(AND(AND(AND(OR($DX757=1,$DW757=1),OR($EC757=1,$EA757=1)),SUM($DV757:$DZ757,$EF757)&gt;=4),SUM($EA757:$EE757)&gt;=2),"Whole sector","")</f>
        <v>Whole sector</v>
      </c>
      <c r="EL757" t="str">
        <f>IF(AND(AND(OR($DX757=1,$DW757=1),AND($EC757=0,$EA757=0)),SUM($DV757:$DZ757,$EF757)&gt;=4),"Ecosystem approach","")</f>
        <v/>
      </c>
      <c r="EM757" s="2" t="str">
        <f>IF(AND(AND(AND($DX757=0,$DW757=0),OR($EC757=1,$EA757=1)),SUM($EB757:$EE757)&gt;=2),"Technology approach","")</f>
        <v/>
      </c>
      <c r="EP757" t="str">
        <f>IF(ISNUMBER(BU757),IF(ABS(BU757-[4]QC_indicators!$B$2)&gt;3*[4]QC_indicators!$C$2,"C ratio",IF(ISNUMBER(BY757),IF(ABS(BY757-[4]QC_indicators!$B$1)&gt;3*[4]QC_indicators!$C$1,"DF","no"))),IF(ISNUMBER(BY757),IF(ABS(BY757-[4]QC_indicators!$B$1)&gt;3*[4]QC_indicators!$C$1,"DF","no")))</f>
        <v>no</v>
      </c>
      <c r="ER757" s="149" t="s">
        <v>350</v>
      </c>
      <c r="ET757" s="266" t="s">
        <v>3275</v>
      </c>
    </row>
    <row r="758" spans="1:150" ht="15" hidden="1" customHeight="1">
      <c r="A758" s="1" t="s">
        <v>1974</v>
      </c>
      <c r="B758" t="s">
        <v>2318</v>
      </c>
      <c r="C758" t="s">
        <v>2319</v>
      </c>
      <c r="D758" t="s">
        <v>2320</v>
      </c>
      <c r="E758" t="s">
        <v>2321</v>
      </c>
      <c r="F758" t="s">
        <v>2322</v>
      </c>
      <c r="G758" t="s">
        <v>1980</v>
      </c>
      <c r="H758" t="s">
        <v>255</v>
      </c>
      <c r="I758">
        <v>2020</v>
      </c>
      <c r="J758">
        <v>7</v>
      </c>
      <c r="K758" t="s">
        <v>2323</v>
      </c>
      <c r="M758" t="str">
        <f>LEFT($D758,FIND(",",$D758)-1)&amp;"_"&amp;I758&amp;L758</f>
        <v>Smyth_2020</v>
      </c>
      <c r="N758" t="s">
        <v>223</v>
      </c>
      <c r="O758" s="145" t="s">
        <v>342</v>
      </c>
      <c r="Q758" t="s">
        <v>257</v>
      </c>
      <c r="R758" s="292" t="s">
        <v>226</v>
      </c>
      <c r="S758" s="1" t="s">
        <v>2346</v>
      </c>
      <c r="T758" t="s">
        <v>1157</v>
      </c>
      <c r="U758" t="s">
        <v>2347</v>
      </c>
      <c r="V758">
        <v>0</v>
      </c>
      <c r="W758">
        <v>0</v>
      </c>
      <c r="X758">
        <v>0</v>
      </c>
      <c r="Y758">
        <v>0</v>
      </c>
      <c r="Z758">
        <v>0</v>
      </c>
      <c r="AA758">
        <v>0</v>
      </c>
      <c r="AB758">
        <v>0</v>
      </c>
      <c r="AC758">
        <v>0</v>
      </c>
      <c r="AD758">
        <v>0</v>
      </c>
      <c r="AE758">
        <v>0</v>
      </c>
      <c r="AF758">
        <v>1</v>
      </c>
      <c r="AG758">
        <v>0</v>
      </c>
      <c r="AH758">
        <v>0</v>
      </c>
      <c r="AI758">
        <v>0</v>
      </c>
      <c r="AJ758">
        <v>0</v>
      </c>
      <c r="AK758">
        <v>0</v>
      </c>
      <c r="AL758">
        <v>0</v>
      </c>
      <c r="AM758">
        <v>0</v>
      </c>
      <c r="AN758">
        <v>0</v>
      </c>
      <c r="AO758">
        <v>0</v>
      </c>
      <c r="AP758">
        <v>0</v>
      </c>
      <c r="AQ758">
        <v>0</v>
      </c>
      <c r="AR758">
        <v>0</v>
      </c>
      <c r="AS758">
        <v>0</v>
      </c>
      <c r="AT758">
        <v>0</v>
      </c>
      <c r="AU758">
        <v>0</v>
      </c>
      <c r="AV758">
        <v>0</v>
      </c>
      <c r="AW758">
        <v>0</v>
      </c>
      <c r="AX758" s="141">
        <f>COUNTIF(V758:AW758,"&lt;&gt;0")</f>
        <v>1</v>
      </c>
      <c r="AY758" s="141">
        <f>COUNTIF(V758:AL758,"&lt;&gt;0")</f>
        <v>1</v>
      </c>
      <c r="AZ758">
        <f>COUNTIF(V758:AC758,"&lt;&gt;0")</f>
        <v>0</v>
      </c>
      <c r="BA758">
        <f>COUNTIF(AD758:AI758,"&lt;&gt;0")</f>
        <v>1</v>
      </c>
      <c r="BB758">
        <f>COUNTIF(AJ758:AL758,"&lt;&gt;0")</f>
        <v>0</v>
      </c>
      <c r="BC758">
        <f>COUNTIF(AS758:AW758,"&lt;&gt;0")</f>
        <v>0</v>
      </c>
      <c r="BD758">
        <f>COUNTIF(AM758:AR758,"&lt;&gt;0")</f>
        <v>0</v>
      </c>
      <c r="BE758" t="str">
        <f t="array" ref="BE758">IF(AY758=1,INDEX($V$7:$AL$7,MATCH(TRUE,INDEX($V758:$AW758&lt;&gt;0,),0)),IF(AY758=0,INDEX($AM$7:$AW$7,MATCH(1,$AM758:$AW758,0)),IF(BF758="Multiple strategies","mixed drivers",IF(BF758="Supply chain","multiple supply","multiple silviculture"))))</f>
        <v>supply chain organization</v>
      </c>
      <c r="BF758" s="2" t="str" cm="1">
        <f t="array" ref="BF758">IF(COUNTIF(AZ758:BB758,"&lt;&gt;0")=1,INDEX($V$4:$AW$4,MATCH(TRUE,INDEX($V758:$AW758&lt;&gt;0,),0)),IF(COUNTIF(AZ758:BB758,"&lt;&gt;0")=0,INDEX($AM$4:$AW$4,MATCH(1,$AM758:$AW758,0)),"Multiple strategies"))</f>
        <v>Supply chain</v>
      </c>
      <c r="BG758" s="1" t="s">
        <v>322</v>
      </c>
      <c r="BH758" t="s">
        <v>2326</v>
      </c>
      <c r="BI758" s="260" t="s">
        <v>3396</v>
      </c>
      <c r="BJ758" t="s">
        <v>1361</v>
      </c>
      <c r="BK758">
        <v>457</v>
      </c>
      <c r="BL758" s="293">
        <f>BK758+(4.2/tC_to_m3*55)</f>
        <v>510.19929999999999</v>
      </c>
      <c r="BM758">
        <f>BL758/BK758</f>
        <v>1.1164098468271335</v>
      </c>
      <c r="BN758">
        <f>BL758-BK758</f>
        <v>53.199299999999994</v>
      </c>
      <c r="BO758">
        <f>BN758*10^6*tC_to_m3</f>
        <v>230999999.99999997</v>
      </c>
      <c r="BP758" t="s">
        <v>233</v>
      </c>
      <c r="BQ758" s="260" t="s">
        <v>3393</v>
      </c>
      <c r="BR758" t="s">
        <v>2327</v>
      </c>
      <c r="BU758" s="144"/>
      <c r="BV758">
        <v>156</v>
      </c>
      <c r="BX758">
        <f>BV758*10^6</f>
        <v>156000000</v>
      </c>
      <c r="BY758">
        <f>IFERROR(BX758/BO758,"")</f>
        <v>0.67532467532467544</v>
      </c>
      <c r="BZ758">
        <v>0</v>
      </c>
      <c r="CA758">
        <v>1</v>
      </c>
      <c r="CB758">
        <v>1</v>
      </c>
      <c r="CC758">
        <v>1</v>
      </c>
      <c r="CD758">
        <v>0</v>
      </c>
      <c r="CE758">
        <v>0</v>
      </c>
      <c r="CF758">
        <v>0</v>
      </c>
      <c r="CG758">
        <v>0</v>
      </c>
      <c r="CH758">
        <v>0</v>
      </c>
      <c r="CI758">
        <v>0</v>
      </c>
      <c r="CJ758">
        <v>0</v>
      </c>
      <c r="CK758">
        <v>0</v>
      </c>
      <c r="CL758">
        <v>0</v>
      </c>
      <c r="CM758">
        <v>0</v>
      </c>
      <c r="CN758" t="str">
        <f>IF(BL758&lt;BK758,"refNeedCorrection","refOK")</f>
        <v>refOK</v>
      </c>
      <c r="CO758"/>
      <c r="CP758"/>
      <c r="CQ758">
        <f>IF($CN758="refOK",$BO758,-$BO758)</f>
        <v>230999999.99999997</v>
      </c>
      <c r="CR758">
        <f>IF($CN758="refOK",$BS758,$BT758)*IF($BP758="Emissions positive",-1,1)</f>
        <v>0</v>
      </c>
      <c r="CS758">
        <f>IF($CN758="refOK",$BT758,$BS758)*IF($BP758="Emissions positive",-1,1)</f>
        <v>0</v>
      </c>
      <c r="CT758">
        <f>IF($CN758="refNeedCorrection",-BX758,BX758)*IF($BP758="Emissions positive",-1,1)</f>
        <v>156000000</v>
      </c>
      <c r="CU758">
        <f>IFERROR(CT758/CQ758,"")</f>
        <v>0.67532467532467544</v>
      </c>
      <c r="CV758" s="2" t="str">
        <f>IFERROR((CS758-CR758)/ABS(CR758),"")</f>
        <v/>
      </c>
      <c r="CW758" s="1" t="s">
        <v>1201</v>
      </c>
      <c r="CX758" t="str">
        <f>IF(OR($CW758="prd",$CW758="std",$CW758="cit"),"loc",IF(OR($CW758="eur",$CW758="reg",$CW758="coy"),"reg",$CW758))</f>
        <v>reg</v>
      </c>
      <c r="CY758" t="s">
        <v>541</v>
      </c>
      <c r="CZ758">
        <v>2015</v>
      </c>
      <c r="DA758">
        <v>2070</v>
      </c>
      <c r="DB758">
        <v>45</v>
      </c>
      <c r="DC758" t="str">
        <f>IF(DB758=0,"0",IF(AND(DB758&gt;=1,DB758&lt;=30),"1-30",IF(AND(DB758&gt;30,DB758&lt;=70),"31-70",IF(AND(DB758&gt;70,DB758&lt;=100),"71-100",IF(DB758&gt;100,"+100")))))</f>
        <v>31-70</v>
      </c>
      <c r="DD758">
        <v>0</v>
      </c>
      <c r="DE758">
        <v>1</v>
      </c>
      <c r="DF758">
        <v>1</v>
      </c>
      <c r="DG758">
        <v>1</v>
      </c>
      <c r="DI758">
        <f>SUM(DD758:DG758)</f>
        <v>3</v>
      </c>
      <c r="DJ758" t="str">
        <f>IF(DI758=1,INDEX($DD$7:$DG$7,MATCH(1,$DD758:$DG758,0)),"mixedProduct")</f>
        <v>mixedProduct</v>
      </c>
      <c r="DK758">
        <f>IF(DD758=1,DK$7,0)</f>
        <v>0</v>
      </c>
      <c r="DL758" t="str">
        <f>IF(DE758=1,DL$7,0)</f>
        <v>Energy</v>
      </c>
      <c r="DM758" t="str">
        <f>IF(DF758=1,DM$7,0)</f>
        <v>Pulp/Paper</v>
      </c>
      <c r="DN758" t="str">
        <f>IF(DG758=1,DN$7,0)</f>
        <v>Timber</v>
      </c>
      <c r="DO758">
        <v>1</v>
      </c>
      <c r="DP758">
        <v>1</v>
      </c>
      <c r="DQ758" t="s">
        <v>2317</v>
      </c>
      <c r="DR758">
        <v>0</v>
      </c>
      <c r="DS758">
        <v>0</v>
      </c>
      <c r="DT758">
        <f>SUM(DO758:DP758)</f>
        <v>2</v>
      </c>
      <c r="DU758" s="143" t="str">
        <f>IF(DO758=1,"self-calculated DF",IF(DP758=1,"external DF used","explicit C balance"))</f>
        <v>self-calculated DF</v>
      </c>
      <c r="DV758">
        <v>1</v>
      </c>
      <c r="DW758">
        <v>1</v>
      </c>
      <c r="DX758">
        <v>1</v>
      </c>
      <c r="DY758">
        <v>1</v>
      </c>
      <c r="DZ758">
        <v>1</v>
      </c>
      <c r="EA758" s="143">
        <v>1</v>
      </c>
      <c r="EB758">
        <v>1</v>
      </c>
      <c r="EC758">
        <v>1</v>
      </c>
      <c r="ED758">
        <v>1</v>
      </c>
      <c r="EE758">
        <v>1</v>
      </c>
      <c r="EF758">
        <v>1</v>
      </c>
      <c r="EG758">
        <v>1</v>
      </c>
      <c r="EH758">
        <v>0</v>
      </c>
      <c r="EI758" s="2">
        <v>0</v>
      </c>
      <c r="EK758" t="str">
        <f>IF(AND(AND(AND(OR($DX758=1,$DW758=1),OR($EC758=1,$EA758=1)),SUM($DV758:$DZ758,$EF758)&gt;=4),SUM($EA758:$EE758)&gt;=2),"Whole sector","")</f>
        <v>Whole sector</v>
      </c>
      <c r="EL758" t="str">
        <f>IF(AND(AND(OR($DX758=1,$DW758=1),AND($EC758=0,$EA758=0)),SUM($DV758:$DZ758,$EF758)&gt;=4),"Ecosystem approach","")</f>
        <v/>
      </c>
      <c r="EM758" s="2" t="str">
        <f>IF(AND(AND(AND($DX758=0,$DW758=0),OR($EC758=1,$EA758=1)),SUM($EB758:$EE758)&gt;=2),"Technology approach","")</f>
        <v/>
      </c>
      <c r="EP758" t="str">
        <f>IF(ISNUMBER(BU758),IF(ABS(BU758-[4]QC_indicators!$B$2)&gt;3*[4]QC_indicators!$C$2,"C ratio",IF(ISNUMBER(BY758),IF(ABS(BY758-[4]QC_indicators!$B$1)&gt;3*[4]QC_indicators!$C$1,"DF","no"))),IF(ISNUMBER(BY758),IF(ABS(BY758-[4]QC_indicators!$B$1)&gt;3*[4]QC_indicators!$C$1,"DF","no")))</f>
        <v>no</v>
      </c>
      <c r="ER758" s="149" t="s">
        <v>2328</v>
      </c>
      <c r="ET758" s="266" t="s">
        <v>3275</v>
      </c>
    </row>
    <row r="759" spans="1:150" ht="15" hidden="1" customHeight="1">
      <c r="A759" s="1" t="s">
        <v>1974</v>
      </c>
      <c r="B759" t="s">
        <v>2318</v>
      </c>
      <c r="C759" t="s">
        <v>2319</v>
      </c>
      <c r="D759" t="s">
        <v>2320</v>
      </c>
      <c r="E759" t="s">
        <v>2321</v>
      </c>
      <c r="F759" t="s">
        <v>2322</v>
      </c>
      <c r="G759" t="s">
        <v>1980</v>
      </c>
      <c r="H759" t="s">
        <v>255</v>
      </c>
      <c r="I759">
        <v>2020</v>
      </c>
      <c r="J759">
        <v>7</v>
      </c>
      <c r="K759" t="s">
        <v>2323</v>
      </c>
      <c r="M759" t="str">
        <f>LEFT($D759,FIND(",",$D759)-1)&amp;"_"&amp;I759&amp;L759</f>
        <v>Smyth_2020</v>
      </c>
      <c r="N759" t="s">
        <v>223</v>
      </c>
      <c r="O759" s="145" t="s">
        <v>342</v>
      </c>
      <c r="Q759" t="s">
        <v>257</v>
      </c>
      <c r="R759" s="292" t="s">
        <v>226</v>
      </c>
      <c r="S759" s="1" t="s">
        <v>2348</v>
      </c>
      <c r="T759" t="s">
        <v>1157</v>
      </c>
      <c r="U759" t="s">
        <v>2349</v>
      </c>
      <c r="V759">
        <v>0</v>
      </c>
      <c r="W759">
        <v>0</v>
      </c>
      <c r="X759">
        <v>0</v>
      </c>
      <c r="Y759">
        <v>0</v>
      </c>
      <c r="Z759">
        <v>0</v>
      </c>
      <c r="AA759">
        <v>0</v>
      </c>
      <c r="AB759">
        <v>0</v>
      </c>
      <c r="AC759">
        <v>0</v>
      </c>
      <c r="AD759">
        <v>0</v>
      </c>
      <c r="AE759">
        <v>0</v>
      </c>
      <c r="AF759">
        <v>1</v>
      </c>
      <c r="AG759">
        <v>0</v>
      </c>
      <c r="AH759">
        <v>0</v>
      </c>
      <c r="AI759">
        <v>0</v>
      </c>
      <c r="AJ759">
        <v>0</v>
      </c>
      <c r="AK759">
        <v>0</v>
      </c>
      <c r="AL759">
        <v>0</v>
      </c>
      <c r="AM759">
        <v>0</v>
      </c>
      <c r="AN759">
        <v>0</v>
      </c>
      <c r="AO759">
        <v>0</v>
      </c>
      <c r="AP759">
        <v>0</v>
      </c>
      <c r="AQ759">
        <v>0</v>
      </c>
      <c r="AR759">
        <v>0</v>
      </c>
      <c r="AS759">
        <v>0</v>
      </c>
      <c r="AT759">
        <v>0</v>
      </c>
      <c r="AU759">
        <v>0</v>
      </c>
      <c r="AV759">
        <v>0</v>
      </c>
      <c r="AW759">
        <v>0</v>
      </c>
      <c r="AX759" s="141">
        <f>COUNTIF(V759:AW759,"&lt;&gt;0")</f>
        <v>1</v>
      </c>
      <c r="AY759" s="141">
        <f>COUNTIF(V759:AL759,"&lt;&gt;0")</f>
        <v>1</v>
      </c>
      <c r="AZ759">
        <f>COUNTIF(V759:AC759,"&lt;&gt;0")</f>
        <v>0</v>
      </c>
      <c r="BA759">
        <f>COUNTIF(AD759:AI759,"&lt;&gt;0")</f>
        <v>1</v>
      </c>
      <c r="BB759">
        <f>COUNTIF(AJ759:AL759,"&lt;&gt;0")</f>
        <v>0</v>
      </c>
      <c r="BC759">
        <f>COUNTIF(AS759:AW759,"&lt;&gt;0")</f>
        <v>0</v>
      </c>
      <c r="BD759">
        <f>COUNTIF(AM759:AR759,"&lt;&gt;0")</f>
        <v>0</v>
      </c>
      <c r="BE759" t="str">
        <f t="array" ref="BE759">IF(AY759=1,INDEX($V$7:$AL$7,MATCH(TRUE,INDEX($V759:$AW759&lt;&gt;0,),0)),IF(AY759=0,INDEX($AM$7:$AW$7,MATCH(1,$AM759:$AW759,0)),IF(BF759="Multiple strategies","mixed drivers",IF(BF759="Supply chain","multiple supply","multiple silviculture"))))</f>
        <v>supply chain organization</v>
      </c>
      <c r="BF759" s="2" t="str" cm="1">
        <f t="array" ref="BF759">IF(COUNTIF(AZ759:BB759,"&lt;&gt;0")=1,INDEX($V$4:$AW$4,MATCH(TRUE,INDEX($V759:$AW759&lt;&gt;0,),0)),IF(COUNTIF(AZ759:BB759,"&lt;&gt;0")=0,INDEX($AM$4:$AW$4,MATCH(1,$AM759:$AW759,0)),"Multiple strategies"))</f>
        <v>Supply chain</v>
      </c>
      <c r="BG759" s="1" t="s">
        <v>322</v>
      </c>
      <c r="BH759" t="s">
        <v>2326</v>
      </c>
      <c r="BI759" s="260" t="s">
        <v>3396</v>
      </c>
      <c r="BJ759" t="s">
        <v>1361</v>
      </c>
      <c r="BK759">
        <v>457</v>
      </c>
      <c r="BL759" s="293">
        <f>BK759+(4.2/tC_to_m3*55)</f>
        <v>510.19929999999999</v>
      </c>
      <c r="BM759">
        <f>BL759/BK759</f>
        <v>1.1164098468271335</v>
      </c>
      <c r="BN759">
        <f>BL759-BK759</f>
        <v>53.199299999999994</v>
      </c>
      <c r="BO759">
        <f>BN759*10^6*tC_to_m3</f>
        <v>230999999.99999997</v>
      </c>
      <c r="BP759" t="s">
        <v>233</v>
      </c>
      <c r="BQ759" s="260" t="s">
        <v>3394</v>
      </c>
      <c r="BR759" t="s">
        <v>2327</v>
      </c>
      <c r="BU759" s="144"/>
      <c r="BV759">
        <v>191</v>
      </c>
      <c r="BX759">
        <f>BV759*10^6</f>
        <v>191000000</v>
      </c>
      <c r="BY759">
        <f>IFERROR(BX759/BO759,"")</f>
        <v>0.82683982683982693</v>
      </c>
      <c r="BZ759">
        <v>0</v>
      </c>
      <c r="CA759">
        <v>1</v>
      </c>
      <c r="CB759">
        <v>1</v>
      </c>
      <c r="CC759">
        <v>1</v>
      </c>
      <c r="CD759">
        <v>0</v>
      </c>
      <c r="CE759">
        <v>0</v>
      </c>
      <c r="CF759">
        <v>0</v>
      </c>
      <c r="CG759">
        <v>0</v>
      </c>
      <c r="CH759">
        <v>0</v>
      </c>
      <c r="CI759">
        <v>0</v>
      </c>
      <c r="CJ759">
        <v>0</v>
      </c>
      <c r="CK759">
        <v>0</v>
      </c>
      <c r="CL759">
        <v>0</v>
      </c>
      <c r="CM759">
        <v>0</v>
      </c>
      <c r="CN759" t="str">
        <f>IF(BL759&lt;BK759,"refNeedCorrection","refOK")</f>
        <v>refOK</v>
      </c>
      <c r="CO759"/>
      <c r="CP759"/>
      <c r="CQ759">
        <f>IF($CN759="refOK",$BO759,-$BO759)</f>
        <v>230999999.99999997</v>
      </c>
      <c r="CR759">
        <f>IF($CN759="refOK",$BS759,$BT759)*IF($BP759="Emissions positive",-1,1)</f>
        <v>0</v>
      </c>
      <c r="CS759">
        <f>IF($CN759="refOK",$BT759,$BS759)*IF($BP759="Emissions positive",-1,1)</f>
        <v>0</v>
      </c>
      <c r="CT759">
        <f>IF($CN759="refNeedCorrection",-BX759,BX759)*IF($BP759="Emissions positive",-1,1)</f>
        <v>191000000</v>
      </c>
      <c r="CU759">
        <f>IFERROR(CT759/CQ759,"")</f>
        <v>0.82683982683982693</v>
      </c>
      <c r="CV759" s="2" t="str">
        <f>IFERROR((CS759-CR759)/ABS(CR759),"")</f>
        <v/>
      </c>
      <c r="CW759" s="1" t="s">
        <v>1201</v>
      </c>
      <c r="CX759" t="str">
        <f>IF(OR($CW759="prd",$CW759="std",$CW759="cit"),"loc",IF(OR($CW759="eur",$CW759="reg",$CW759="coy"),"reg",$CW759))</f>
        <v>reg</v>
      </c>
      <c r="CY759" t="s">
        <v>541</v>
      </c>
      <c r="CZ759">
        <v>2015</v>
      </c>
      <c r="DA759">
        <v>2070</v>
      </c>
      <c r="DB759">
        <v>45</v>
      </c>
      <c r="DC759" t="str">
        <f>IF(DB759=0,"0",IF(AND(DB759&gt;=1,DB759&lt;=30),"1-30",IF(AND(DB759&gt;30,DB759&lt;=70),"31-70",IF(AND(DB759&gt;70,DB759&lt;=100),"71-100",IF(DB759&gt;100,"+100")))))</f>
        <v>31-70</v>
      </c>
      <c r="DD759">
        <v>0</v>
      </c>
      <c r="DE759">
        <v>1</v>
      </c>
      <c r="DF759">
        <v>1</v>
      </c>
      <c r="DG759">
        <v>1</v>
      </c>
      <c r="DI759">
        <f>SUM(DD759:DG759)</f>
        <v>3</v>
      </c>
      <c r="DJ759" t="str">
        <f>IF(DI759=1,INDEX($DD$7:$DG$7,MATCH(1,$DD759:$DG759,0)),"mixedProduct")</f>
        <v>mixedProduct</v>
      </c>
      <c r="DK759">
        <f>IF(DD759=1,DK$7,0)</f>
        <v>0</v>
      </c>
      <c r="DL759" t="str">
        <f>IF(DE759=1,DL$7,0)</f>
        <v>Energy</v>
      </c>
      <c r="DM759" t="str">
        <f>IF(DF759=1,DM$7,0)</f>
        <v>Pulp/Paper</v>
      </c>
      <c r="DN759" t="str">
        <f>IF(DG759=1,DN$7,0)</f>
        <v>Timber</v>
      </c>
      <c r="DO759">
        <v>1</v>
      </c>
      <c r="DP759">
        <v>1</v>
      </c>
      <c r="DQ759" t="s">
        <v>2317</v>
      </c>
      <c r="DR759">
        <v>0</v>
      </c>
      <c r="DS759">
        <v>0</v>
      </c>
      <c r="DT759">
        <f>SUM(DO759:DP759)</f>
        <v>2</v>
      </c>
      <c r="DU759" s="143" t="str">
        <f>IF(DO759=1,"self-calculated DF",IF(DP759=1,"external DF used","explicit C balance"))</f>
        <v>self-calculated DF</v>
      </c>
      <c r="DV759">
        <v>1</v>
      </c>
      <c r="DW759">
        <v>1</v>
      </c>
      <c r="DX759">
        <v>1</v>
      </c>
      <c r="DY759">
        <v>1</v>
      </c>
      <c r="DZ759">
        <v>1</v>
      </c>
      <c r="EA759" s="143">
        <v>1</v>
      </c>
      <c r="EB759">
        <v>1</v>
      </c>
      <c r="EC759">
        <v>1</v>
      </c>
      <c r="ED759">
        <v>1</v>
      </c>
      <c r="EE759">
        <v>1</v>
      </c>
      <c r="EF759">
        <v>1</v>
      </c>
      <c r="EG759">
        <v>1</v>
      </c>
      <c r="EH759">
        <v>0</v>
      </c>
      <c r="EI759" s="2">
        <v>0</v>
      </c>
      <c r="EK759" t="str">
        <f>IF(AND(AND(AND(OR($DX759=1,$DW759=1),OR($EC759=1,$EA759=1)),SUM($DV759:$DZ759,$EF759)&gt;=4),SUM($EA759:$EE759)&gt;=2),"Whole sector","")</f>
        <v>Whole sector</v>
      </c>
      <c r="EL759" t="str">
        <f>IF(AND(AND(OR($DX759=1,$DW759=1),AND($EC759=0,$EA759=0)),SUM($DV759:$DZ759,$EF759)&gt;=4),"Ecosystem approach","")</f>
        <v/>
      </c>
      <c r="EM759" s="2" t="str">
        <f>IF(AND(AND(AND($DX759=0,$DW759=0),OR($EC759=1,$EA759=1)),SUM($EB759:$EE759)&gt;=2),"Technology approach","")</f>
        <v/>
      </c>
      <c r="EP759" t="str">
        <f>IF(ISNUMBER(BU759),IF(ABS(BU759-[4]QC_indicators!$B$2)&gt;3*[4]QC_indicators!$C$2,"C ratio",IF(ISNUMBER(BY759),IF(ABS(BY759-[4]QC_indicators!$B$1)&gt;3*[4]QC_indicators!$C$1,"DF","no"))),IF(ISNUMBER(BY759),IF(ABS(BY759-[4]QC_indicators!$B$1)&gt;3*[4]QC_indicators!$C$1,"DF","no")))</f>
        <v>no</v>
      </c>
      <c r="ER759" s="149" t="s">
        <v>2328</v>
      </c>
      <c r="ET759" s="266" t="s">
        <v>3275</v>
      </c>
    </row>
    <row r="760" spans="1:150" ht="15" hidden="1" customHeight="1">
      <c r="A760" s="1" t="s">
        <v>658</v>
      </c>
      <c r="B760" t="s">
        <v>2082</v>
      </c>
      <c r="C760" t="s">
        <v>2083</v>
      </c>
      <c r="D760" t="s">
        <v>2084</v>
      </c>
      <c r="E760" t="s">
        <v>2085</v>
      </c>
      <c r="F760" t="s">
        <v>2086</v>
      </c>
      <c r="G760" t="s">
        <v>664</v>
      </c>
      <c r="H760" t="s">
        <v>255</v>
      </c>
      <c r="I760">
        <v>2020</v>
      </c>
      <c r="J760">
        <v>4</v>
      </c>
      <c r="K760" t="s">
        <v>2087</v>
      </c>
      <c r="M760" t="str">
        <f>LEFT($D760,FIND(",",$D760)-1)&amp;"_"&amp;I760&amp;L760</f>
        <v>Palus_2020</v>
      </c>
      <c r="N760" t="s">
        <v>223</v>
      </c>
      <c r="O760" s="157" t="s">
        <v>514</v>
      </c>
      <c r="P760" t="s">
        <v>224</v>
      </c>
      <c r="Q760" t="s">
        <v>390</v>
      </c>
      <c r="R760" s="255" t="s">
        <v>226</v>
      </c>
      <c r="T760" t="s">
        <v>1185</v>
      </c>
      <c r="U760" t="s">
        <v>1203</v>
      </c>
      <c r="V760">
        <v>0</v>
      </c>
      <c r="W760">
        <v>0</v>
      </c>
      <c r="X760">
        <v>0</v>
      </c>
      <c r="Y760">
        <v>0</v>
      </c>
      <c r="Z760">
        <v>0</v>
      </c>
      <c r="AA760">
        <v>0</v>
      </c>
      <c r="AB760">
        <v>0</v>
      </c>
      <c r="AC760">
        <v>0</v>
      </c>
      <c r="AD760">
        <v>0</v>
      </c>
      <c r="AE760">
        <v>0</v>
      </c>
      <c r="AF760">
        <v>1</v>
      </c>
      <c r="AG760">
        <v>0</v>
      </c>
      <c r="AH760">
        <v>0</v>
      </c>
      <c r="AI760">
        <v>0</v>
      </c>
      <c r="AJ760">
        <v>0</v>
      </c>
      <c r="AK760">
        <v>0</v>
      </c>
      <c r="AL760">
        <v>0</v>
      </c>
      <c r="AM760">
        <v>0</v>
      </c>
      <c r="AN760">
        <v>0</v>
      </c>
      <c r="AO760">
        <v>0</v>
      </c>
      <c r="AP760">
        <v>0</v>
      </c>
      <c r="AQ760">
        <v>0</v>
      </c>
      <c r="AR760">
        <v>0</v>
      </c>
      <c r="AS760">
        <v>1</v>
      </c>
      <c r="AT760">
        <v>0</v>
      </c>
      <c r="AU760">
        <v>0</v>
      </c>
      <c r="AV760">
        <v>0</v>
      </c>
      <c r="AW760">
        <v>0</v>
      </c>
      <c r="AX760" s="141">
        <f>COUNTIF(V760:AW760,"&lt;&gt;0")</f>
        <v>2</v>
      </c>
      <c r="AY760" s="141">
        <f>COUNTIF(V760:AL760,"&lt;&gt;0")</f>
        <v>1</v>
      </c>
      <c r="AZ760">
        <f>COUNTIF(V760:AC760,"&lt;&gt;0")</f>
        <v>0</v>
      </c>
      <c r="BA760">
        <f>COUNTIF(AD760:AI760,"&lt;&gt;0")</f>
        <v>1</v>
      </c>
      <c r="BB760">
        <f>COUNTIF(AJ760:AL760,"&lt;&gt;0")</f>
        <v>0</v>
      </c>
      <c r="BC760">
        <f>COUNTIF(AS760:AW760,"&lt;&gt;0")</f>
        <v>1</v>
      </c>
      <c r="BD760">
        <f>COUNTIF(AM760:AR760,"&lt;&gt;0")</f>
        <v>0</v>
      </c>
      <c r="BE760" t="str">
        <f t="array" ref="BE760">IF(AY760=1,INDEX($V$7:$AL$7,MATCH(TRUE,INDEX($V760:$AW760&lt;&gt;0,),0)),IF(AY760=0,INDEX($AM$7:$AW$7,MATCH(1,$AM760:$AW760,0)),IF(BF760="Multiple strategies","mixed drivers",IF(BF760="Supply chain","multiple supply","multiple silviculture"))))</f>
        <v>supply chain organization</v>
      </c>
      <c r="BF760" s="2" t="str" cm="1">
        <f t="array" ref="BF760">IF(COUNTIF(AZ760:BB760,"&lt;&gt;0")=1,INDEX($V$4:$AW$4,MATCH(TRUE,INDEX($V760:$AW760&lt;&gt;0,),0)),IF(COUNTIF(AZ760:BB760,"&lt;&gt;0")=0,INDEX($AM$4:$AW$4,MATCH(1,$AM760:$AW760,0)),"Multiple strategies"))</f>
        <v>Supply chain</v>
      </c>
      <c r="BG760" s="1" t="s">
        <v>322</v>
      </c>
      <c r="BH760" t="s">
        <v>834</v>
      </c>
      <c r="BI760" t="s">
        <v>701</v>
      </c>
      <c r="BJ760" t="s">
        <v>2088</v>
      </c>
      <c r="BK760">
        <v>7579.5</v>
      </c>
      <c r="BL760">
        <v>7771.2</v>
      </c>
      <c r="BM760">
        <f>IFERROR(BK760/BL760,"")</f>
        <v>0.97533199505867818</v>
      </c>
      <c r="BN760" s="260">
        <f>BL760-BK760</f>
        <v>191.69999999999982</v>
      </c>
      <c r="BO760" s="260">
        <f>BN760*1000</f>
        <v>191699.99999999983</v>
      </c>
      <c r="BP760" t="s">
        <v>396</v>
      </c>
      <c r="BQ760" s="260" t="s">
        <v>3391</v>
      </c>
      <c r="BR760" t="s">
        <v>2089</v>
      </c>
      <c r="BS760">
        <v>-1153.1500000000001</v>
      </c>
      <c r="BT760">
        <v>-547.41</v>
      </c>
      <c r="BV760">
        <f>BT760-BS760</f>
        <v>605.74000000000012</v>
      </c>
      <c r="BX760">
        <f>BV760*1000</f>
        <v>605740.00000000012</v>
      </c>
      <c r="BY760">
        <f>IFERROR(BX760/BO760,"")</f>
        <v>3.1598330725091324</v>
      </c>
      <c r="BZ760">
        <v>0</v>
      </c>
      <c r="CA760">
        <v>0</v>
      </c>
      <c r="CB760">
        <v>0</v>
      </c>
      <c r="CC760">
        <v>0</v>
      </c>
      <c r="CD760">
        <v>0</v>
      </c>
      <c r="CE760">
        <v>0</v>
      </c>
      <c r="CF760">
        <v>0</v>
      </c>
      <c r="CG760">
        <v>0</v>
      </c>
      <c r="CH760">
        <v>0</v>
      </c>
      <c r="CI760">
        <v>0</v>
      </c>
      <c r="CJ760">
        <v>0</v>
      </c>
      <c r="CK760">
        <v>0</v>
      </c>
      <c r="CL760">
        <v>0</v>
      </c>
      <c r="CM760">
        <v>0</v>
      </c>
      <c r="CN760" t="str">
        <f>IF($BL760&lt;$BK760,"refNeedCorrection","refOK")</f>
        <v>refOK</v>
      </c>
      <c r="CO760">
        <f>IF($CN760="refOK",$BL760,$BK760)</f>
        <v>7771.2</v>
      </c>
      <c r="CP760">
        <f>IF($CN760="refOK",$BK760,$BL760)</f>
        <v>7579.5</v>
      </c>
      <c r="CQ760">
        <f>IF($CN760="refOK",$BO760,-$BO760)</f>
        <v>191699.99999999983</v>
      </c>
      <c r="CR760">
        <f>IF($CN760="refOK",$BU760,$BT760)*IF($BP760="Emissions positive",-1,1)</f>
        <v>0</v>
      </c>
      <c r="CS760">
        <f>IF($CN760="refOK",$BT760,$BU760)*IF($BP760="Emissions positive",-1,1)</f>
        <v>547.41</v>
      </c>
      <c r="CT760">
        <f>IF($CN760="refNeedCorrection",-BX760,BX760)*IF($BP760="Emissions positive",-1,1)</f>
        <v>-605740.00000000012</v>
      </c>
      <c r="CU760">
        <f>IFERROR(CT760/CQ760,"")</f>
        <v>-3.1598330725091324</v>
      </c>
      <c r="CV760" s="2" t="str">
        <f>IFERROR((CS760-CR760)/ABS(CR760),"")</f>
        <v/>
      </c>
      <c r="CW760" s="1" t="s">
        <v>1205</v>
      </c>
      <c r="CX760" t="str">
        <f>IF(OR($CW760="prd",$CW760="std",$CW760="cit"),"loc",IF(OR($CW760="eur",$CW760="reg",$CW760="coy"),"reg",$CW760))</f>
        <v>reg</v>
      </c>
      <c r="CY760" t="s">
        <v>2090</v>
      </c>
      <c r="CZ760">
        <v>2017</v>
      </c>
      <c r="DA760">
        <v>2035</v>
      </c>
      <c r="DB760">
        <f>DA760-CZ760</f>
        <v>18</v>
      </c>
      <c r="DC760" t="str">
        <f>IF(DB760=0,"0",IF(AND(DB760&gt;=1,DB760&lt;=30),"1-30",IF(AND(DB760&gt;30,DB760&lt;=70),"31-70",IF(AND(DB760&gt;70,DB760&lt;=100),"71-100",IF(DB760&gt;100,"+100")))))</f>
        <v>1-30</v>
      </c>
      <c r="DD760">
        <v>0</v>
      </c>
      <c r="DE760">
        <v>0</v>
      </c>
      <c r="DF760">
        <v>1</v>
      </c>
      <c r="DG760">
        <v>1</v>
      </c>
      <c r="DH760">
        <v>0</v>
      </c>
      <c r="DI760">
        <f>SUM(DD760:DH760)</f>
        <v>2</v>
      </c>
      <c r="DJ760" t="str">
        <f>IF(DI760=1,INDEX($DD$7:$DG$7,MATCH(1,$DD760:$DG760,0)),"mixedProduct")</f>
        <v>mixedProduct</v>
      </c>
      <c r="DK760">
        <f>IF(DD760=1,DK$7,0)</f>
        <v>0</v>
      </c>
      <c r="DL760">
        <f>IF(DE760=1,DL$7,0)</f>
        <v>0</v>
      </c>
      <c r="DM760" t="str">
        <f>IF(DF760=1,DM$7,0)</f>
        <v>Pulp/Paper</v>
      </c>
      <c r="DN760" t="str">
        <f>IF(DG760=1,DN$7,0)</f>
        <v>Timber</v>
      </c>
      <c r="DO760">
        <v>0</v>
      </c>
      <c r="DP760">
        <v>0</v>
      </c>
      <c r="DQ760">
        <v>0</v>
      </c>
      <c r="DR760">
        <v>0</v>
      </c>
      <c r="DS760">
        <v>0</v>
      </c>
      <c r="DT760"/>
      <c r="DU760" s="143" t="str">
        <f>IF(DO760=1,"self-calculated DF",IF(DP760=1,"external DF used","explicit C balance"))</f>
        <v>explicit C balance</v>
      </c>
      <c r="DV760">
        <v>0</v>
      </c>
      <c r="DW760">
        <v>0</v>
      </c>
      <c r="DX760">
        <v>0</v>
      </c>
      <c r="DY760">
        <v>1</v>
      </c>
      <c r="DZ760">
        <v>1</v>
      </c>
      <c r="EA760">
        <v>0</v>
      </c>
      <c r="EB760">
        <v>0</v>
      </c>
      <c r="EC760">
        <v>0</v>
      </c>
      <c r="ED760">
        <v>0</v>
      </c>
      <c r="EE760">
        <v>0</v>
      </c>
      <c r="EF760">
        <v>1</v>
      </c>
      <c r="EG760">
        <v>0</v>
      </c>
      <c r="EH760">
        <v>0</v>
      </c>
      <c r="EI760" s="2">
        <v>0</v>
      </c>
      <c r="EK760" t="str">
        <f>IF(AND(AND(AND(OR($DX760=1,$DW760=1),OR($EC760=1,$EA760=1)),SUM($DV760:$DZ760,$EF760)&gt;=4),SUM($EA760:$EE760)&gt;=2),"Whole sector","")</f>
        <v/>
      </c>
      <c r="EL760" t="str">
        <f>IF(AND(AND(OR($DX760=1,$DW760=1),AND($EC760=0,$EA760=0)),SUM($DV760:$DZ760,$EF760)&gt;=4),"Ecosystem approach","")</f>
        <v/>
      </c>
      <c r="EM760" s="2" t="str">
        <f>IF(AND(AND(AND($DX760=0,$DW760=0),OR($EC760=1,$EA760=1)),SUM($EB760:$EE760)&gt;=2),"Technology approach","")</f>
        <v/>
      </c>
      <c r="EP760" t="str">
        <f>IF(ISNUMBER(BU760),IF(ABS(BU760-[4]QC_indicators!$B$2)&gt;3*[4]QC_indicators!$C$2,"C ratio",IF(ISNUMBER(BY760),IF(ABS(BY760-[4]QC_indicators!$B$1)&gt;3*[4]QC_indicators!$C$1,"DF","no"))),IF(ISNUMBER(BY760),IF(ABS(BY760-[4]QC_indicators!$B$1)&gt;3*[4]QC_indicators!$C$1,"DF","no")))</f>
        <v>no</v>
      </c>
      <c r="ET760" s="266" t="s">
        <v>3275</v>
      </c>
    </row>
    <row r="761" spans="1:150" ht="15" hidden="1" customHeight="1">
      <c r="A761" s="1" t="s">
        <v>658</v>
      </c>
      <c r="B761" t="s">
        <v>2082</v>
      </c>
      <c r="C761" t="s">
        <v>2083</v>
      </c>
      <c r="D761" t="s">
        <v>2084</v>
      </c>
      <c r="E761" t="s">
        <v>2085</v>
      </c>
      <c r="F761" t="s">
        <v>2086</v>
      </c>
      <c r="G761" t="s">
        <v>664</v>
      </c>
      <c r="H761" t="s">
        <v>255</v>
      </c>
      <c r="I761">
        <v>2020</v>
      </c>
      <c r="J761">
        <v>4</v>
      </c>
      <c r="K761" t="s">
        <v>2087</v>
      </c>
      <c r="M761" t="str">
        <f>LEFT($D761,FIND(",",$D761)-1)&amp;"_"&amp;I761&amp;L761</f>
        <v>Palus_2020</v>
      </c>
      <c r="N761" t="s">
        <v>223</v>
      </c>
      <c r="O761" s="157" t="s">
        <v>514</v>
      </c>
      <c r="P761" t="s">
        <v>224</v>
      </c>
      <c r="Q761" t="s">
        <v>390</v>
      </c>
      <c r="R761" s="255" t="s">
        <v>226</v>
      </c>
      <c r="T761" t="s">
        <v>1203</v>
      </c>
      <c r="U761" t="s">
        <v>1204</v>
      </c>
      <c r="V761">
        <v>0</v>
      </c>
      <c r="W761">
        <v>0</v>
      </c>
      <c r="X761">
        <v>0</v>
      </c>
      <c r="Y761">
        <v>0</v>
      </c>
      <c r="Z761">
        <v>0</v>
      </c>
      <c r="AA761">
        <v>0</v>
      </c>
      <c r="AB761">
        <v>0</v>
      </c>
      <c r="AC761">
        <v>0</v>
      </c>
      <c r="AD761">
        <v>0</v>
      </c>
      <c r="AE761">
        <v>0</v>
      </c>
      <c r="AF761">
        <v>1</v>
      </c>
      <c r="AG761">
        <v>0</v>
      </c>
      <c r="AH761">
        <v>0</v>
      </c>
      <c r="AI761">
        <v>0</v>
      </c>
      <c r="AJ761">
        <v>0</v>
      </c>
      <c r="AK761">
        <v>0</v>
      </c>
      <c r="AL761">
        <v>0</v>
      </c>
      <c r="AM761">
        <v>0</v>
      </c>
      <c r="AN761">
        <v>0</v>
      </c>
      <c r="AO761">
        <v>0</v>
      </c>
      <c r="AP761">
        <v>0</v>
      </c>
      <c r="AQ761">
        <v>0</v>
      </c>
      <c r="AR761">
        <v>0</v>
      </c>
      <c r="AS761">
        <v>1</v>
      </c>
      <c r="AT761">
        <v>0</v>
      </c>
      <c r="AU761">
        <v>0</v>
      </c>
      <c r="AV761">
        <v>0</v>
      </c>
      <c r="AW761">
        <v>0</v>
      </c>
      <c r="AX761" s="141">
        <f>COUNTIF(V761:AW761,"&lt;&gt;0")</f>
        <v>2</v>
      </c>
      <c r="AY761" s="141">
        <f>COUNTIF(V761:AL761,"&lt;&gt;0")</f>
        <v>1</v>
      </c>
      <c r="AZ761">
        <f>COUNTIF(V761:AC761,"&lt;&gt;0")</f>
        <v>0</v>
      </c>
      <c r="BA761">
        <f>COUNTIF(AD761:AI761,"&lt;&gt;0")</f>
        <v>1</v>
      </c>
      <c r="BB761">
        <f>COUNTIF(AJ761:AL761,"&lt;&gt;0")</f>
        <v>0</v>
      </c>
      <c r="BC761">
        <f>COUNTIF(AS761:AW761,"&lt;&gt;0")</f>
        <v>1</v>
      </c>
      <c r="BD761">
        <f>COUNTIF(AM761:AR761,"&lt;&gt;0")</f>
        <v>0</v>
      </c>
      <c r="BE761" t="str">
        <f t="array" ref="BE761">IF(AY761=1,INDEX($V$7:$AL$7,MATCH(TRUE,INDEX($V761:$AW761&lt;&gt;0,),0)),IF(AY761=0,INDEX($AM$7:$AW$7,MATCH(1,$AM761:$AW761,0)),IF(BF761="Multiple strategies","mixed drivers",IF(BF761="Supply chain","multiple supply","multiple silviculture"))))</f>
        <v>supply chain organization</v>
      </c>
      <c r="BF761" s="2" t="str" cm="1">
        <f t="array" ref="BF761">IF(COUNTIF(AZ761:BB761,"&lt;&gt;0")=1,INDEX($V$4:$AW$4,MATCH(TRUE,INDEX($V761:$AW761&lt;&gt;0,),0)),IF(COUNTIF(AZ761:BB761,"&lt;&gt;0")=0,INDEX($AM$4:$AW$4,MATCH(1,$AM761:$AW761,0)),"Multiple strategies"))</f>
        <v>Supply chain</v>
      </c>
      <c r="BG761" s="1" t="s">
        <v>322</v>
      </c>
      <c r="BH761" t="s">
        <v>834</v>
      </c>
      <c r="BI761" t="s">
        <v>701</v>
      </c>
      <c r="BJ761" t="s">
        <v>2088</v>
      </c>
      <c r="BK761">
        <v>7771.2</v>
      </c>
      <c r="BL761">
        <v>8988.9</v>
      </c>
      <c r="BM761">
        <f>IFERROR(BL761/BK761,"")</f>
        <v>1.1566939468807906</v>
      </c>
      <c r="BN761">
        <f>BL761-BK761</f>
        <v>1217.6999999999998</v>
      </c>
      <c r="BO761">
        <f>BN761*1000</f>
        <v>1217699.9999999998</v>
      </c>
      <c r="BP761" t="s">
        <v>396</v>
      </c>
      <c r="BQ761" s="260" t="s">
        <v>3391</v>
      </c>
      <c r="BR761" t="s">
        <v>2089</v>
      </c>
      <c r="BS761">
        <v>-547.41</v>
      </c>
      <c r="BT761">
        <v>-1864.96</v>
      </c>
      <c r="BU761" s="144"/>
      <c r="BV761">
        <f>BT761-BS761</f>
        <v>-1317.5500000000002</v>
      </c>
      <c r="BX761">
        <f>BV761*1000</f>
        <v>-1317550.0000000002</v>
      </c>
      <c r="BY761">
        <f>IFERROR(BX761/BO761,"")</f>
        <v>-1.0819988502915336</v>
      </c>
      <c r="BZ761">
        <v>0</v>
      </c>
      <c r="CA761">
        <v>0</v>
      </c>
      <c r="CB761">
        <v>0</v>
      </c>
      <c r="CC761">
        <v>0</v>
      </c>
      <c r="CD761">
        <v>0</v>
      </c>
      <c r="CE761">
        <v>0</v>
      </c>
      <c r="CF761">
        <v>0</v>
      </c>
      <c r="CG761">
        <v>0</v>
      </c>
      <c r="CH761">
        <v>0</v>
      </c>
      <c r="CI761">
        <v>0</v>
      </c>
      <c r="CJ761">
        <v>0</v>
      </c>
      <c r="CK761">
        <v>0</v>
      </c>
      <c r="CL761">
        <v>0</v>
      </c>
      <c r="CM761">
        <v>0</v>
      </c>
      <c r="CN761" t="str">
        <f>IF($BL761&lt;$BK761,"refNeedCorrection","refOK")</f>
        <v>refOK</v>
      </c>
      <c r="CO761">
        <f>IF($CN761="refOK",$BK761,$BL761)</f>
        <v>7771.2</v>
      </c>
      <c r="CP761">
        <f>IF($CN761="refOK",$BL761,$BK761)</f>
        <v>8988.9</v>
      </c>
      <c r="CQ761">
        <f>IF($CN761="refOK",$BO761,-$BO761)</f>
        <v>1217699.9999999998</v>
      </c>
      <c r="CR761">
        <f>IF($CN761="refOK",$BS761,$BT761)*IF($BP761="Emissions positive",-1,1)</f>
        <v>547.41</v>
      </c>
      <c r="CS761">
        <f>IF($CN761="refOK",$BT761,$BS761)*IF($BP761="Emissions positive",-1,1)</f>
        <v>1864.96</v>
      </c>
      <c r="CT761">
        <f>IF($CN761="refNeedCorrection",-BX761,BX761)*IF($BP761="Emissions positive",-1,1)</f>
        <v>1317550.0000000002</v>
      </c>
      <c r="CU761">
        <f>IFERROR(CT761/CQ761,"")</f>
        <v>1.0819988502915336</v>
      </c>
      <c r="CV761" s="2">
        <f>IFERROR((CS761-CR761)/ABS(CR761),"")</f>
        <v>2.4068796697173971</v>
      </c>
      <c r="CW761" s="1" t="s">
        <v>1205</v>
      </c>
      <c r="CX761" t="str">
        <f>IF(OR($CW761="prd",$CW761="std",$CW761="cit"),"loc",IF(OR($CW761="eur",$CW761="reg",$CW761="coy"),"reg",$CW761))</f>
        <v>reg</v>
      </c>
      <c r="CY761" t="s">
        <v>2090</v>
      </c>
      <c r="CZ761">
        <v>2017</v>
      </c>
      <c r="DA761">
        <v>2035</v>
      </c>
      <c r="DB761">
        <f>DA761-CZ761</f>
        <v>18</v>
      </c>
      <c r="DC761" t="str">
        <f>IF(DB761=0,"0",IF(AND(DB761&gt;=1,DB761&lt;=30),"1-30",IF(AND(DB761&gt;30,DB761&lt;=70),"31-70",IF(AND(DB761&gt;70,DB761&lt;=100),"71-100",IF(DB761&gt;100,"+100")))))</f>
        <v>1-30</v>
      </c>
      <c r="DD761">
        <v>0</v>
      </c>
      <c r="DE761">
        <v>0</v>
      </c>
      <c r="DF761">
        <v>1</v>
      </c>
      <c r="DG761">
        <v>1</v>
      </c>
      <c r="DH761">
        <v>0</v>
      </c>
      <c r="DI761">
        <f>SUM(DD761:DH761)</f>
        <v>2</v>
      </c>
      <c r="DJ761" t="str">
        <f>IF(DI761=1,INDEX($DD$7:$DG$7,MATCH(1,$DD761:$DG761,0)),"mixedProduct")</f>
        <v>mixedProduct</v>
      </c>
      <c r="DK761">
        <f>IF(DD761=1,DK$7,0)</f>
        <v>0</v>
      </c>
      <c r="DL761">
        <f>IF(DE761=1,DL$7,0)</f>
        <v>0</v>
      </c>
      <c r="DM761" t="str">
        <f>IF(DF761=1,DM$7,0)</f>
        <v>Pulp/Paper</v>
      </c>
      <c r="DN761" t="str">
        <f>IF(DG761=1,DN$7,0)</f>
        <v>Timber</v>
      </c>
      <c r="DO761">
        <v>0</v>
      </c>
      <c r="DP761">
        <v>0</v>
      </c>
      <c r="DQ761">
        <v>0</v>
      </c>
      <c r="DR761">
        <v>0</v>
      </c>
      <c r="DS761">
        <v>0</v>
      </c>
      <c r="DT761"/>
      <c r="DU761" s="143" t="str">
        <f>IF(DO761=1,"self-calculated DF",IF(DP761=1,"external DF used","explicit C balance"))</f>
        <v>explicit C balance</v>
      </c>
      <c r="DV761">
        <v>0</v>
      </c>
      <c r="DW761">
        <v>0</v>
      </c>
      <c r="DX761">
        <v>0</v>
      </c>
      <c r="DY761">
        <v>1</v>
      </c>
      <c r="DZ761">
        <v>1</v>
      </c>
      <c r="EA761">
        <v>0</v>
      </c>
      <c r="EB761">
        <v>0</v>
      </c>
      <c r="EC761">
        <v>0</v>
      </c>
      <c r="ED761">
        <v>0</v>
      </c>
      <c r="EE761">
        <v>0</v>
      </c>
      <c r="EF761">
        <v>1</v>
      </c>
      <c r="EG761">
        <v>0</v>
      </c>
      <c r="EH761">
        <v>0</v>
      </c>
      <c r="EI761" s="2">
        <v>0</v>
      </c>
      <c r="EK761" t="str">
        <f>IF(AND(AND(AND(OR($DX761=1,$DW761=1),OR($EC761=1,$EA761=1)),SUM($DV761:$DZ761,$EF761)&gt;=4),SUM($EA761:$EE761)&gt;=2),"Whole sector","")</f>
        <v/>
      </c>
      <c r="EL761" t="str">
        <f>IF(AND(AND(OR($DX761=1,$DW761=1),AND($EC761=0,$EA761=0)),SUM($DV761:$DZ761,$EF761)&gt;=4),"Ecosystem approach","")</f>
        <v/>
      </c>
      <c r="EM761" s="2" t="str">
        <f>IF(AND(AND(AND($DX761=0,$DW761=0),OR($EC761=1,$EA761=1)),SUM($EB761:$EE761)&gt;=2),"Technology approach","")</f>
        <v/>
      </c>
      <c r="EP761" t="str">
        <f>IF(ISNUMBER(BU761),IF(ABS(BU761-[4]QC_indicators!$B$2)&gt;3*[4]QC_indicators!$C$2,"C ratio",IF(ISNUMBER(BY761),IF(ABS(BY761-[4]QC_indicators!$B$1)&gt;3*[4]QC_indicators!$C$1,"DF","no"))),IF(ISNUMBER(BY761),IF(ABS(BY761-[4]QC_indicators!$B$1)&gt;3*[4]QC_indicators!$C$1,"DF","no")))</f>
        <v>no</v>
      </c>
      <c r="ET761" s="266" t="s">
        <v>3275</v>
      </c>
    </row>
    <row r="762" spans="1:150" ht="15" hidden="1" customHeight="1">
      <c r="A762" s="1" t="s">
        <v>658</v>
      </c>
      <c r="B762" t="s">
        <v>2082</v>
      </c>
      <c r="C762" t="s">
        <v>2083</v>
      </c>
      <c r="D762" t="s">
        <v>2084</v>
      </c>
      <c r="E762" t="s">
        <v>2085</v>
      </c>
      <c r="F762" t="s">
        <v>2086</v>
      </c>
      <c r="G762" t="s">
        <v>664</v>
      </c>
      <c r="H762" t="s">
        <v>255</v>
      </c>
      <c r="I762">
        <v>2020</v>
      </c>
      <c r="J762">
        <v>4</v>
      </c>
      <c r="K762" t="s">
        <v>2087</v>
      </c>
      <c r="M762" t="str">
        <f>LEFT($D762,FIND(",",$D762)-1)&amp;"_"&amp;I762&amp;L762</f>
        <v>Palus_2020</v>
      </c>
      <c r="N762" t="s">
        <v>223</v>
      </c>
      <c r="O762" s="157" t="s">
        <v>514</v>
      </c>
      <c r="P762" t="s">
        <v>224</v>
      </c>
      <c r="Q762" t="s">
        <v>390</v>
      </c>
      <c r="R762" s="255" t="s">
        <v>226</v>
      </c>
      <c r="T762" t="s">
        <v>1203</v>
      </c>
      <c r="U762" t="s">
        <v>1202</v>
      </c>
      <c r="V762">
        <v>0</v>
      </c>
      <c r="W762">
        <v>0</v>
      </c>
      <c r="X762">
        <v>0</v>
      </c>
      <c r="Y762">
        <v>0</v>
      </c>
      <c r="Z762">
        <v>0</v>
      </c>
      <c r="AA762">
        <v>0</v>
      </c>
      <c r="AB762">
        <v>0</v>
      </c>
      <c r="AC762">
        <v>0</v>
      </c>
      <c r="AD762">
        <v>0</v>
      </c>
      <c r="AE762">
        <v>0</v>
      </c>
      <c r="AF762">
        <v>1</v>
      </c>
      <c r="AG762">
        <v>0</v>
      </c>
      <c r="AH762">
        <v>0</v>
      </c>
      <c r="AI762">
        <v>0</v>
      </c>
      <c r="AJ762">
        <v>0</v>
      </c>
      <c r="AK762">
        <v>0</v>
      </c>
      <c r="AL762">
        <v>0</v>
      </c>
      <c r="AM762">
        <v>0</v>
      </c>
      <c r="AN762">
        <v>0</v>
      </c>
      <c r="AO762">
        <v>0</v>
      </c>
      <c r="AP762">
        <v>0</v>
      </c>
      <c r="AQ762">
        <v>0</v>
      </c>
      <c r="AR762">
        <v>0</v>
      </c>
      <c r="AS762">
        <v>1</v>
      </c>
      <c r="AT762">
        <v>0</v>
      </c>
      <c r="AU762">
        <v>0</v>
      </c>
      <c r="AV762">
        <v>0</v>
      </c>
      <c r="AW762">
        <v>0</v>
      </c>
      <c r="AX762" s="141">
        <f>COUNTIF(V762:AW762,"&lt;&gt;0")</f>
        <v>2</v>
      </c>
      <c r="AY762" s="141">
        <f>COUNTIF(V762:AL762,"&lt;&gt;0")</f>
        <v>1</v>
      </c>
      <c r="AZ762">
        <f>COUNTIF(V762:AC762,"&lt;&gt;0")</f>
        <v>0</v>
      </c>
      <c r="BA762">
        <f>COUNTIF(AD762:AI762,"&lt;&gt;0")</f>
        <v>1</v>
      </c>
      <c r="BB762">
        <f>COUNTIF(AJ762:AL762,"&lt;&gt;0")</f>
        <v>0</v>
      </c>
      <c r="BC762">
        <f>COUNTIF(AS762:AW762,"&lt;&gt;0")</f>
        <v>1</v>
      </c>
      <c r="BD762">
        <f>COUNTIF(AM762:AR762,"&lt;&gt;0")</f>
        <v>0</v>
      </c>
      <c r="BE762" t="str">
        <f t="array" ref="BE762">IF(AY762=1,INDEX($V$7:$AL$7,MATCH(TRUE,INDEX($V762:$AW762&lt;&gt;0,),0)),IF(AY762=0,INDEX($AM$7:$AW$7,MATCH(1,$AM762:$AW762,0)),IF(BF762="Multiple strategies","mixed drivers",IF(BF762="Supply chain","multiple supply","multiple silviculture"))))</f>
        <v>supply chain organization</v>
      </c>
      <c r="BF762" s="2" t="str" cm="1">
        <f t="array" ref="BF762">IF(COUNTIF(AZ762:BB762,"&lt;&gt;0")=1,INDEX($V$4:$AW$4,MATCH(TRUE,INDEX($V762:$AW762&lt;&gt;0,),0)),IF(COUNTIF(AZ762:BB762,"&lt;&gt;0")=0,INDEX($AM$4:$AW$4,MATCH(1,$AM762:$AW762,0)),"Multiple strategies"))</f>
        <v>Supply chain</v>
      </c>
      <c r="BG762" s="1" t="s">
        <v>322</v>
      </c>
      <c r="BH762" t="s">
        <v>834</v>
      </c>
      <c r="BI762" t="s">
        <v>701</v>
      </c>
      <c r="BJ762" t="s">
        <v>2088</v>
      </c>
      <c r="BK762">
        <v>7771.2</v>
      </c>
      <c r="BL762">
        <v>8988.9</v>
      </c>
      <c r="BM762">
        <f>IFERROR(BL762/BK762,"")</f>
        <v>1.1566939468807906</v>
      </c>
      <c r="BN762">
        <f>BL762-BK762</f>
        <v>1217.6999999999998</v>
      </c>
      <c r="BO762">
        <f>BN762*1000</f>
        <v>1217699.9999999998</v>
      </c>
      <c r="BP762" t="s">
        <v>396</v>
      </c>
      <c r="BQ762" s="260" t="s">
        <v>3391</v>
      </c>
      <c r="BR762" t="s">
        <v>2089</v>
      </c>
      <c r="BS762">
        <v>-547.41</v>
      </c>
      <c r="BT762">
        <v>-1154.32</v>
      </c>
      <c r="BU762" s="144"/>
      <c r="BV762">
        <f>BT762-BS762</f>
        <v>-606.91</v>
      </c>
      <c r="BX762">
        <f>BV762*1000</f>
        <v>-606910</v>
      </c>
      <c r="BY762">
        <f>IFERROR(BX762/BO762,"")</f>
        <v>-0.49840683255317414</v>
      </c>
      <c r="BZ762">
        <v>0</v>
      </c>
      <c r="CA762">
        <v>0</v>
      </c>
      <c r="CB762">
        <v>0</v>
      </c>
      <c r="CC762">
        <v>0</v>
      </c>
      <c r="CD762">
        <v>0</v>
      </c>
      <c r="CE762">
        <v>0</v>
      </c>
      <c r="CF762">
        <v>0</v>
      </c>
      <c r="CG762">
        <v>0</v>
      </c>
      <c r="CH762">
        <v>0</v>
      </c>
      <c r="CI762">
        <v>0</v>
      </c>
      <c r="CJ762">
        <v>0</v>
      </c>
      <c r="CK762">
        <v>0</v>
      </c>
      <c r="CL762">
        <v>0</v>
      </c>
      <c r="CM762">
        <v>0</v>
      </c>
      <c r="CN762" t="str">
        <f>IF($BL762&lt;$BK762,"refNeedCorrection","refOK")</f>
        <v>refOK</v>
      </c>
      <c r="CO762">
        <f>IF($CN762="refOK",$BK762,$BL762)</f>
        <v>7771.2</v>
      </c>
      <c r="CP762">
        <f>IF($CN762="refOK",$BL762,$BK762)</f>
        <v>8988.9</v>
      </c>
      <c r="CQ762">
        <f>IF($CN762="refOK",$BO762,-$BO762)</f>
        <v>1217699.9999999998</v>
      </c>
      <c r="CR762">
        <f>IF($CN762="refOK",$BS762,$BT762)*IF($BP762="Emissions positive",-1,1)</f>
        <v>547.41</v>
      </c>
      <c r="CS762">
        <f>IF($CN762="refOK",$BT762,$BS762)*IF($BP762="Emissions positive",-1,1)</f>
        <v>1154.32</v>
      </c>
      <c r="CT762">
        <f>IF($CN762="refNeedCorrection",-BX762,BX762)*IF($BP762="Emissions positive",-1,1)</f>
        <v>606910</v>
      </c>
      <c r="CU762">
        <f>IFERROR(CT762/CQ762,"")</f>
        <v>0.49840683255317414</v>
      </c>
      <c r="CV762" s="2">
        <f>IFERROR((CS762-CR762)/ABS(CR762),"")</f>
        <v>1.1086936665387919</v>
      </c>
      <c r="CW762" s="1" t="s">
        <v>1205</v>
      </c>
      <c r="CX762" t="str">
        <f>IF(OR($CW762="prd",$CW762="std",$CW762="cit"),"loc",IF(OR($CW762="eur",$CW762="reg",$CW762="coy"),"reg",$CW762))</f>
        <v>reg</v>
      </c>
      <c r="CY762" t="s">
        <v>2090</v>
      </c>
      <c r="CZ762">
        <v>2017</v>
      </c>
      <c r="DA762">
        <v>2035</v>
      </c>
      <c r="DB762">
        <f>DA762-CZ762</f>
        <v>18</v>
      </c>
      <c r="DC762" t="str">
        <f>IF(DB762=0,"0",IF(AND(DB762&gt;=1,DB762&lt;=30),"1-30",IF(AND(DB762&gt;30,DB762&lt;=70),"31-70",IF(AND(DB762&gt;70,DB762&lt;=100),"71-100",IF(DB762&gt;100,"+100")))))</f>
        <v>1-30</v>
      </c>
      <c r="DD762">
        <v>0</v>
      </c>
      <c r="DE762">
        <v>0</v>
      </c>
      <c r="DF762">
        <v>1</v>
      </c>
      <c r="DG762">
        <v>1</v>
      </c>
      <c r="DH762">
        <v>0</v>
      </c>
      <c r="DI762">
        <f>SUM(DD762:DH762)</f>
        <v>2</v>
      </c>
      <c r="DJ762" t="str">
        <f>IF(DI762=1,INDEX($DD$7:$DG$7,MATCH(1,$DD762:$DG762,0)),"mixedProduct")</f>
        <v>mixedProduct</v>
      </c>
      <c r="DK762">
        <f>IF(DD762=1,DK$7,0)</f>
        <v>0</v>
      </c>
      <c r="DL762">
        <f>IF(DE762=1,DL$7,0)</f>
        <v>0</v>
      </c>
      <c r="DM762" t="str">
        <f>IF(DF762=1,DM$7,0)</f>
        <v>Pulp/Paper</v>
      </c>
      <c r="DN762" t="str">
        <f>IF(DG762=1,DN$7,0)</f>
        <v>Timber</v>
      </c>
      <c r="DO762">
        <v>0</v>
      </c>
      <c r="DP762">
        <v>0</v>
      </c>
      <c r="DQ762">
        <v>0</v>
      </c>
      <c r="DR762">
        <v>0</v>
      </c>
      <c r="DS762">
        <v>0</v>
      </c>
      <c r="DT762"/>
      <c r="DU762" s="143" t="str">
        <f>IF(DO762=1,"self-calculated DF",IF(DP762=1,"external DF used","explicit C balance"))</f>
        <v>explicit C balance</v>
      </c>
      <c r="DV762">
        <v>0</v>
      </c>
      <c r="DW762">
        <v>0</v>
      </c>
      <c r="DX762">
        <v>0</v>
      </c>
      <c r="DY762">
        <v>1</v>
      </c>
      <c r="DZ762">
        <v>1</v>
      </c>
      <c r="EA762">
        <v>0</v>
      </c>
      <c r="EB762">
        <v>0</v>
      </c>
      <c r="EC762">
        <v>0</v>
      </c>
      <c r="ED762">
        <v>0</v>
      </c>
      <c r="EE762">
        <v>0</v>
      </c>
      <c r="EF762">
        <v>1</v>
      </c>
      <c r="EG762">
        <v>0</v>
      </c>
      <c r="EH762">
        <v>0</v>
      </c>
      <c r="EI762" s="2">
        <v>0</v>
      </c>
      <c r="EK762" t="str">
        <f>IF(AND(AND(AND(OR($DX762=1,$DW762=1),OR($EC762=1,$EA762=1)),SUM($DV762:$DZ762,$EF762)&gt;=4),SUM($EA762:$EE762)&gt;=2),"Whole sector","")</f>
        <v/>
      </c>
      <c r="EL762" t="str">
        <f>IF(AND(AND(OR($DX762=1,$DW762=1),AND($EC762=0,$EA762=0)),SUM($DV762:$DZ762,$EF762)&gt;=4),"Ecosystem approach","")</f>
        <v/>
      </c>
      <c r="EM762" s="2" t="str">
        <f>IF(AND(AND(AND($DX762=0,$DW762=0),OR($EC762=1,$EA762=1)),SUM($EB762:$EE762)&gt;=2),"Technology approach","")</f>
        <v/>
      </c>
      <c r="EP762" t="str">
        <f>IF(ISNUMBER(BU762),IF(ABS(BU762-[4]QC_indicators!$B$2)&gt;3*[4]QC_indicators!$C$2,"C ratio",IF(ISNUMBER(BY762),IF(ABS(BY762-[4]QC_indicators!$B$1)&gt;3*[4]QC_indicators!$C$1,"DF","no"))),IF(ISNUMBER(BY762),IF(ABS(BY762-[4]QC_indicators!$B$1)&gt;3*[4]QC_indicators!$C$1,"DF","no")))</f>
        <v>no</v>
      </c>
      <c r="ET762" s="266" t="s">
        <v>3275</v>
      </c>
    </row>
    <row r="763" spans="1:150" ht="15" hidden="1" customHeight="1">
      <c r="A763" s="1" t="s">
        <v>1402</v>
      </c>
      <c r="B763" t="s">
        <v>1403</v>
      </c>
      <c r="C763" t="s">
        <v>1404</v>
      </c>
      <c r="D763" t="s">
        <v>1405</v>
      </c>
      <c r="E763" t="s">
        <v>1406</v>
      </c>
      <c r="F763" t="s">
        <v>1407</v>
      </c>
      <c r="G763" t="s">
        <v>1408</v>
      </c>
      <c r="H763" t="s">
        <v>255</v>
      </c>
      <c r="I763">
        <v>2021</v>
      </c>
      <c r="J763">
        <v>0</v>
      </c>
      <c r="K763" t="s">
        <v>1409</v>
      </c>
      <c r="M763" t="str">
        <f>LEFT($D763,FIND(",",$D763)-1)&amp;"_"&amp;I763&amp;L763</f>
        <v>Dugan_2021</v>
      </c>
      <c r="N763" t="s">
        <v>223</v>
      </c>
      <c r="O763" s="145" t="s">
        <v>275</v>
      </c>
      <c r="Q763" t="s">
        <v>257</v>
      </c>
      <c r="R763" s="255" t="s">
        <v>226</v>
      </c>
      <c r="S763" s="1" t="s">
        <v>1419</v>
      </c>
      <c r="T763" t="s">
        <v>1420</v>
      </c>
      <c r="U763" t="s">
        <v>1113</v>
      </c>
      <c r="V763">
        <v>0</v>
      </c>
      <c r="W763">
        <v>0</v>
      </c>
      <c r="X763">
        <v>0</v>
      </c>
      <c r="Y763">
        <v>0</v>
      </c>
      <c r="Z763">
        <v>0</v>
      </c>
      <c r="AA763">
        <v>0</v>
      </c>
      <c r="AB763">
        <v>0</v>
      </c>
      <c r="AC763">
        <v>0</v>
      </c>
      <c r="AD763">
        <v>0</v>
      </c>
      <c r="AE763">
        <v>0</v>
      </c>
      <c r="AF763">
        <v>1</v>
      </c>
      <c r="AG763">
        <v>0</v>
      </c>
      <c r="AH763">
        <v>0</v>
      </c>
      <c r="AI763">
        <v>0</v>
      </c>
      <c r="AJ763">
        <v>0</v>
      </c>
      <c r="AK763">
        <v>0</v>
      </c>
      <c r="AL763">
        <v>0</v>
      </c>
      <c r="AM763">
        <v>0</v>
      </c>
      <c r="AN763">
        <v>0</v>
      </c>
      <c r="AO763">
        <v>0</v>
      </c>
      <c r="AP763">
        <v>0</v>
      </c>
      <c r="AQ763">
        <v>0</v>
      </c>
      <c r="AR763">
        <v>0</v>
      </c>
      <c r="AS763">
        <v>0</v>
      </c>
      <c r="AT763">
        <v>0</v>
      </c>
      <c r="AU763">
        <v>0</v>
      </c>
      <c r="AV763">
        <v>0</v>
      </c>
      <c r="AW763">
        <v>0</v>
      </c>
      <c r="AX763" s="141">
        <f>COUNTIF(V763:AW763,"&lt;&gt;0")</f>
        <v>1</v>
      </c>
      <c r="AY763" s="141">
        <f>COUNTIF(V763:AL763,"&lt;&gt;0")</f>
        <v>1</v>
      </c>
      <c r="AZ763">
        <f>COUNTIF(V763:AC763,"&lt;&gt;0")</f>
        <v>0</v>
      </c>
      <c r="BA763">
        <f>COUNTIF(AD763:AI763,"&lt;&gt;0")</f>
        <v>1</v>
      </c>
      <c r="BB763">
        <f>COUNTIF(AJ763:AL763,"&lt;&gt;0")</f>
        <v>0</v>
      </c>
      <c r="BC763">
        <f>COUNTIF(AS763:AW763,"&lt;&gt;0")</f>
        <v>0</v>
      </c>
      <c r="BD763">
        <f>COUNTIF(AM763:AR763,"&lt;&gt;0")</f>
        <v>0</v>
      </c>
      <c r="BE763" t="str">
        <f t="array" ref="BE763">IF(AY763=1,INDEX($V$7:$AL$7,MATCH(TRUE,INDEX($V763:$AW763&lt;&gt;0,),0)),IF(AY763=0,INDEX($AM$7:$AW$7,MATCH(1,$AM763:$AW763,0)),IF(BF763="Multiple strategies","mixed drivers",IF(BF763="Supply chain","multiple supply","multiple silviculture"))))</f>
        <v>supply chain organization</v>
      </c>
      <c r="BF763" s="2" t="str" cm="1">
        <f t="array" ref="BF763">IF(COUNTIF(AZ763:BB763,"&lt;&gt;0")=1,INDEX($V$4:$AW$4,MATCH(TRUE,INDEX($V763:$AW763&lt;&gt;0,),0)),IF(COUNTIF(AZ763:BB763,"&lt;&gt;0")=0,INDEX($AM$4:$AW$4,MATCH(1,$AM763:$AW763,0)),"Multiple strategies"))</f>
        <v>Supply chain</v>
      </c>
      <c r="BG763" s="1" t="s">
        <v>322</v>
      </c>
      <c r="BH763" t="s">
        <v>1412</v>
      </c>
      <c r="BI763" s="260" t="s">
        <v>3320</v>
      </c>
      <c r="BJ763" t="s">
        <v>1361</v>
      </c>
      <c r="BK763" s="266">
        <v>14.61</v>
      </c>
      <c r="BL763" s="266">
        <v>14.61</v>
      </c>
      <c r="BN763" s="227">
        <f>BL763-BK763</f>
        <v>0</v>
      </c>
      <c r="BO763">
        <f>BN763*10^6*tC_to_m3</f>
        <v>0</v>
      </c>
      <c r="BP763" t="s">
        <v>233</v>
      </c>
      <c r="BQ763" s="260" t="s">
        <v>3322</v>
      </c>
      <c r="BR763" t="s">
        <v>1302</v>
      </c>
      <c r="BS763" s="152"/>
      <c r="BT763" s="152"/>
      <c r="BU763" s="144"/>
      <c r="BV763" s="286">
        <v>4.8799013128910005</v>
      </c>
      <c r="BX763">
        <f>BV763*10^6</f>
        <v>4879901.3128910009</v>
      </c>
      <c r="BY763" t="str">
        <f>IFERROR(BX763/BO763,"")</f>
        <v/>
      </c>
      <c r="BZ763">
        <v>0</v>
      </c>
      <c r="CA763">
        <v>0</v>
      </c>
      <c r="CB763">
        <v>0</v>
      </c>
      <c r="CC763">
        <v>0</v>
      </c>
      <c r="CD763">
        <v>0</v>
      </c>
      <c r="CE763">
        <v>0</v>
      </c>
      <c r="CF763">
        <v>0</v>
      </c>
      <c r="CG763">
        <v>0</v>
      </c>
      <c r="CH763">
        <v>0</v>
      </c>
      <c r="CI763">
        <v>0</v>
      </c>
      <c r="CJ763">
        <v>0</v>
      </c>
      <c r="CK763">
        <v>0</v>
      </c>
      <c r="CL763">
        <v>0</v>
      </c>
      <c r="CM763">
        <v>0</v>
      </c>
      <c r="CN763" t="str">
        <f>IF($BL763&lt;$BK763,"refNeedCorrection","refOK")</f>
        <v>refOK</v>
      </c>
      <c r="CO763"/>
      <c r="CP763"/>
      <c r="CQ763">
        <f>IF($CN763="refNeedCorrection",-BO763,BO763)</f>
        <v>0</v>
      </c>
      <c r="CR763">
        <f>IF($CN763="refOK",$BS763,$BT763)*IF($BP763="Emissions positive",-1,1)</f>
        <v>0</v>
      </c>
      <c r="CS763">
        <f>IF($CN763="refOK",$BT763,$BS763)*IF($BP763="Emissions positive",-1,1)</f>
        <v>0</v>
      </c>
      <c r="CT763">
        <f>IF($CN763="refNeedCorrection",-BX763,BX763)*IF($BP763="Emissions positive",-1,1)</f>
        <v>4879901.3128910009</v>
      </c>
      <c r="CU763" t="str">
        <f>IFERROR(CT763/CQ763,"")</f>
        <v/>
      </c>
      <c r="CV763" s="2" t="str">
        <f>IFERROR((CS763-CR763)/ABS(CR763),"")</f>
        <v/>
      </c>
      <c r="CW763" s="1" t="s">
        <v>1201</v>
      </c>
      <c r="CX763" t="str">
        <f>IF(OR($CW763="prd",$CW763="std",$CW763="cit"),"loc",IF(OR($CW763="eur",$CW763="reg",$CW763="coy"),"reg",$CW763))</f>
        <v>reg</v>
      </c>
      <c r="CY763" t="s">
        <v>429</v>
      </c>
      <c r="CZ763">
        <v>2020</v>
      </c>
      <c r="DA763">
        <v>2050</v>
      </c>
      <c r="DB763">
        <v>30</v>
      </c>
      <c r="DC763" t="str">
        <f>IF(DB763=0,"0",IF(AND(DB763&gt;=1,DB763&lt;=30),"1-30",IF(AND(DB763&gt;30,DB763&lt;=70),"31-70",IF(AND(DB763&gt;70,DB763&lt;=100),"71-100",IF(DB763&gt;100,"+100")))))</f>
        <v>1-30</v>
      </c>
      <c r="DD763">
        <v>0</v>
      </c>
      <c r="DE763">
        <v>1</v>
      </c>
      <c r="DF763">
        <v>1</v>
      </c>
      <c r="DG763">
        <v>0</v>
      </c>
      <c r="DI763">
        <f>SUM(DD763:DG763)</f>
        <v>2</v>
      </c>
      <c r="DJ763" t="str">
        <f>IF(DI763=1,INDEX($DD$7:$DG$7,MATCH(1,$DD763:$DG763,0)),"mixedProduct")</f>
        <v>mixedProduct</v>
      </c>
      <c r="DK763">
        <f>IF(DD763=1,DK$7,0)</f>
        <v>0</v>
      </c>
      <c r="DL763" t="str">
        <f>IF(DE763=1,DL$7,0)</f>
        <v>Energy</v>
      </c>
      <c r="DM763" t="str">
        <f>IF(DF763=1,DM$7,0)</f>
        <v>Pulp/Paper</v>
      </c>
      <c r="DN763">
        <f>IF(DG763=1,DN$7,0)</f>
        <v>0</v>
      </c>
      <c r="DO763">
        <v>0</v>
      </c>
      <c r="DP763">
        <v>1</v>
      </c>
      <c r="DQ763" t="s">
        <v>1413</v>
      </c>
      <c r="DR763" t="s">
        <v>1414</v>
      </c>
      <c r="DS763">
        <v>0</v>
      </c>
      <c r="DT763">
        <f>SUM(DO763:DP763)</f>
        <v>1</v>
      </c>
      <c r="DU763" s="143" t="str">
        <f>IF(DO763=1,"self-calculated DF",IF(DP763=1,"external DF used","explicit C balance"))</f>
        <v>external DF used</v>
      </c>
      <c r="DV763">
        <v>1</v>
      </c>
      <c r="DW763">
        <v>1</v>
      </c>
      <c r="DX763">
        <v>1</v>
      </c>
      <c r="DY763">
        <v>1</v>
      </c>
      <c r="DZ763">
        <v>0</v>
      </c>
      <c r="EA763" s="143">
        <v>1</v>
      </c>
      <c r="EB763">
        <v>0</v>
      </c>
      <c r="EC763">
        <v>1</v>
      </c>
      <c r="ED763">
        <v>0</v>
      </c>
      <c r="EE763">
        <v>0</v>
      </c>
      <c r="EF763">
        <v>1</v>
      </c>
      <c r="EG763" s="143">
        <v>0</v>
      </c>
      <c r="EH763" s="143">
        <v>0</v>
      </c>
      <c r="EI763" s="2">
        <v>0</v>
      </c>
      <c r="EK763" t="str">
        <f>IF(AND(AND(AND(OR($DX763=1,$DW763=1),OR($EC763=1,$EA763=1)),SUM($DV763:$DZ763,$EF763)&gt;=4),SUM($EA763:$EE763)&gt;=2),"Whole sector","")</f>
        <v>Whole sector</v>
      </c>
      <c r="EL763" t="str">
        <f>IF(AND(AND(OR($DX763=1,$DW763=1),AND($EC763=0,$EA763=0)),SUM($DV763:$DZ763,$EF763)&gt;=4),"Ecosystem approach","")</f>
        <v/>
      </c>
      <c r="EM763" s="2" t="str">
        <f>IF(AND(AND(AND($DX763=0,$DW763=0),OR($EC763=1,$EA763=1)),SUM($EB763:$EE763)&gt;=2),"Technology approach","")</f>
        <v/>
      </c>
      <c r="EP763" t="b">
        <f>IF(ISNUMBER(BU763),IF(ABS(BU763-[4]QC_indicators!$B$2)&gt;3*[4]QC_indicators!$C$2,"C ratio",IF(ISNUMBER(BY763),IF(ABS(BY763-[4]QC_indicators!$B$1)&gt;3*[4]QC_indicators!$C$1,"DF","no"))),IF(ISNUMBER(BY763),IF(ABS(BY763-[4]QC_indicators!$B$1)&gt;3*[4]QC_indicators!$C$1,"DF","no")))</f>
        <v>0</v>
      </c>
      <c r="EQ763" t="s">
        <v>287</v>
      </c>
      <c r="ER763" s="149" t="s">
        <v>350</v>
      </c>
      <c r="ET763" s="266" t="s">
        <v>3275</v>
      </c>
    </row>
    <row r="764" spans="1:150" ht="15" customHeight="1">
      <c r="A764" s="1" t="s">
        <v>1402</v>
      </c>
      <c r="B764" t="s">
        <v>1403</v>
      </c>
      <c r="C764" t="s">
        <v>1404</v>
      </c>
      <c r="D764" t="s">
        <v>1405</v>
      </c>
      <c r="E764" t="s">
        <v>1406</v>
      </c>
      <c r="F764" t="s">
        <v>1407</v>
      </c>
      <c r="G764" t="s">
        <v>1408</v>
      </c>
      <c r="H764" t="s">
        <v>255</v>
      </c>
      <c r="I764">
        <v>2021</v>
      </c>
      <c r="J764">
        <v>0</v>
      </c>
      <c r="K764" t="s">
        <v>1409</v>
      </c>
      <c r="M764" t="str">
        <f>LEFT($D764,FIND(",",$D764)-1)&amp;"_"&amp;I764&amp;L764</f>
        <v>Dugan_2021</v>
      </c>
      <c r="N764" t="s">
        <v>223</v>
      </c>
      <c r="O764" s="145" t="s">
        <v>275</v>
      </c>
      <c r="Q764" t="s">
        <v>257</v>
      </c>
      <c r="R764" s="255" t="s">
        <v>226</v>
      </c>
      <c r="S764" s="1" t="s">
        <v>1423</v>
      </c>
      <c r="T764" t="s">
        <v>1424</v>
      </c>
      <c r="U764" t="s">
        <v>1416</v>
      </c>
      <c r="V764">
        <v>0</v>
      </c>
      <c r="W764">
        <v>0</v>
      </c>
      <c r="X764">
        <v>0</v>
      </c>
      <c r="Y764">
        <v>0</v>
      </c>
      <c r="Z764">
        <v>0</v>
      </c>
      <c r="AA764">
        <v>0</v>
      </c>
      <c r="AB764">
        <v>0</v>
      </c>
      <c r="AC764">
        <v>0</v>
      </c>
      <c r="AD764">
        <v>0</v>
      </c>
      <c r="AE764">
        <v>0</v>
      </c>
      <c r="AF764">
        <v>1</v>
      </c>
      <c r="AG764">
        <v>0</v>
      </c>
      <c r="AH764">
        <v>0</v>
      </c>
      <c r="AI764">
        <v>0</v>
      </c>
      <c r="AJ764">
        <v>0</v>
      </c>
      <c r="AK764">
        <v>0</v>
      </c>
      <c r="AL764">
        <v>0</v>
      </c>
      <c r="AM764">
        <v>0</v>
      </c>
      <c r="AN764">
        <v>0</v>
      </c>
      <c r="AO764">
        <v>0</v>
      </c>
      <c r="AP764">
        <v>0</v>
      </c>
      <c r="AQ764">
        <v>0</v>
      </c>
      <c r="AR764">
        <v>0</v>
      </c>
      <c r="AS764">
        <v>0</v>
      </c>
      <c r="AT764">
        <v>0</v>
      </c>
      <c r="AU764">
        <v>0</v>
      </c>
      <c r="AV764">
        <v>0</v>
      </c>
      <c r="AW764">
        <v>0</v>
      </c>
      <c r="AX764" s="141">
        <f>COUNTIF(V764:AW764,"&lt;&gt;0")</f>
        <v>1</v>
      </c>
      <c r="AY764" s="141">
        <f>COUNTIF(V764:AL764,"&lt;&gt;0")</f>
        <v>1</v>
      </c>
      <c r="AZ764">
        <f>COUNTIF(V764:AC764,"&lt;&gt;0")</f>
        <v>0</v>
      </c>
      <c r="BA764">
        <f>COUNTIF(AD764:AI764,"&lt;&gt;0")</f>
        <v>1</v>
      </c>
      <c r="BB764">
        <f>COUNTIF(AJ764:AL764,"&lt;&gt;0")</f>
        <v>0</v>
      </c>
      <c r="BC764">
        <f>COUNTIF(AS764:AW764,"&lt;&gt;0")</f>
        <v>0</v>
      </c>
      <c r="BD764">
        <f>COUNTIF(AM764:AR764,"&lt;&gt;0")</f>
        <v>0</v>
      </c>
      <c r="BE764" t="str">
        <f t="array" ref="BE764">IF(AY764=1,INDEX($V$7:$AL$7,MATCH(TRUE,INDEX($V764:$AW764&lt;&gt;0,),0)),IF(AY764=0,INDEX($AM$7:$AW$7,MATCH(1,$AM764:$AW764,0)),IF(BF764="Multiple strategies","mixed drivers",IF(BF764="Supply chain","multiple supply","multiple silviculture"))))</f>
        <v>supply chain organization</v>
      </c>
      <c r="BF764" s="2" t="str" cm="1">
        <f t="array" ref="BF764">IF(COUNTIF(AZ764:BB764,"&lt;&gt;0")=1,INDEX($V$4:$AW$4,MATCH(TRUE,INDEX($V764:$AW764&lt;&gt;0,),0)),IF(COUNTIF(AZ764:BB764,"&lt;&gt;0")=0,INDEX($AM$4:$AW$4,MATCH(1,$AM764:$AW764,0)),"Multiple strategies"))</f>
        <v>Supply chain</v>
      </c>
      <c r="BG764" s="1" t="s">
        <v>322</v>
      </c>
      <c r="BH764" t="s">
        <v>1412</v>
      </c>
      <c r="BI764" s="260" t="s">
        <v>3320</v>
      </c>
      <c r="BJ764" t="s">
        <v>1361</v>
      </c>
      <c r="BK764" s="266">
        <f>14.61*1.1</f>
        <v>16.071000000000002</v>
      </c>
      <c r="BL764" s="266">
        <f>14.61*1.1</f>
        <v>16.071000000000002</v>
      </c>
      <c r="BN764" s="227">
        <f>BL764-BK764</f>
        <v>0</v>
      </c>
      <c r="BO764">
        <f>BN764*10^6*tC_to_m3</f>
        <v>0</v>
      </c>
      <c r="BP764" t="s">
        <v>233</v>
      </c>
      <c r="BQ764" s="260" t="s">
        <v>3323</v>
      </c>
      <c r="BR764" t="s">
        <v>1302</v>
      </c>
      <c r="BS764" s="152"/>
      <c r="BT764" s="152"/>
      <c r="BU764" s="144"/>
      <c r="BV764" s="287">
        <v>0</v>
      </c>
      <c r="BX764">
        <f>BV764*10^6</f>
        <v>0</v>
      </c>
      <c r="BY764" t="str">
        <f>IFERROR(BX764/BO764,"")</f>
        <v/>
      </c>
      <c r="BZ764">
        <v>0</v>
      </c>
      <c r="CA764">
        <v>0</v>
      </c>
      <c r="CB764">
        <v>0</v>
      </c>
      <c r="CC764">
        <v>0</v>
      </c>
      <c r="CD764">
        <v>0</v>
      </c>
      <c r="CE764">
        <v>0</v>
      </c>
      <c r="CF764">
        <v>0</v>
      </c>
      <c r="CG764">
        <v>0</v>
      </c>
      <c r="CH764">
        <v>0</v>
      </c>
      <c r="CI764">
        <v>0</v>
      </c>
      <c r="CJ764">
        <v>0</v>
      </c>
      <c r="CK764">
        <v>0</v>
      </c>
      <c r="CL764">
        <v>0</v>
      </c>
      <c r="CM764">
        <v>0</v>
      </c>
      <c r="CN764" t="str">
        <f>IF(BL764&lt;BK764,"refNeedCorrection","refOK")</f>
        <v>refOK</v>
      </c>
      <c r="CO764"/>
      <c r="CP764"/>
      <c r="CQ764">
        <f>IF($CN764="refNeedCorrection",-BO764,BO764)</f>
        <v>0</v>
      </c>
      <c r="CR764">
        <f>IF($CN764="refOK",$BS764,$BT764)*IF($BP764="Emissions positive",-1,1)</f>
        <v>0</v>
      </c>
      <c r="CS764">
        <f>IF($CN764="refOK",$BT764,$BS764)*IF($BP764="Emissions positive",-1,1)</f>
        <v>0</v>
      </c>
      <c r="CT764">
        <f>IF($CN764="refNeedCorrection",-BX764,BX764)*IF($BP764="Emissions positive",-1,1)</f>
        <v>0</v>
      </c>
      <c r="CU764" t="str">
        <f>IFERROR(CT764/CQ764,"")</f>
        <v/>
      </c>
      <c r="CV764" s="2" t="str">
        <f>IFERROR((CS764-CR764)/ABS(CR764),"")</f>
        <v/>
      </c>
      <c r="CW764" s="1" t="s">
        <v>1201</v>
      </c>
      <c r="CX764" t="str">
        <f>IF(OR($CW764="prd",$CW764="std",$CW764="cit"),"loc",IF(OR($CW764="eur",$CW764="reg",$CW764="coy"),"reg",$CW764))</f>
        <v>reg</v>
      </c>
      <c r="CY764" t="s">
        <v>429</v>
      </c>
      <c r="CZ764">
        <v>2020</v>
      </c>
      <c r="DA764">
        <v>2050</v>
      </c>
      <c r="DB764">
        <v>30</v>
      </c>
      <c r="DC764" t="str">
        <f>IF(DB764=0,"0",IF(AND(DB764&gt;=1,DB764&lt;=30),"1-30",IF(AND(DB764&gt;30,DB764&lt;=70),"31-70",IF(AND(DB764&gt;70,DB764&lt;=100),"71-100",IF(DB764&gt;100,"+100")))))</f>
        <v>1-30</v>
      </c>
      <c r="DD764">
        <v>0</v>
      </c>
      <c r="DE764">
        <v>1</v>
      </c>
      <c r="DF764">
        <v>0</v>
      </c>
      <c r="DG764">
        <v>0</v>
      </c>
      <c r="DI764">
        <f>SUM(DD764:DG764)</f>
        <v>1</v>
      </c>
      <c r="DJ764" t="str">
        <f>IF(DI764=1,INDEX($DD$7:$DG$7,MATCH(1,$DD764:$DG764,0)),"mixedProduct")</f>
        <v>EnergyInput</v>
      </c>
      <c r="DK764">
        <f>IF(DD764=1,DK$7,0)</f>
        <v>0</v>
      </c>
      <c r="DL764" t="str">
        <f>IF(DE764=1,DL$7,0)</f>
        <v>Energy</v>
      </c>
      <c r="DM764">
        <f>IF(DF764=1,DM$7,0)</f>
        <v>0</v>
      </c>
      <c r="DN764">
        <f>IF(DG764=1,DN$7,0)</f>
        <v>0</v>
      </c>
      <c r="DO764">
        <v>0</v>
      </c>
      <c r="DP764">
        <v>1</v>
      </c>
      <c r="DQ764" t="s">
        <v>1413</v>
      </c>
      <c r="DR764" t="s">
        <v>1414</v>
      </c>
      <c r="DS764">
        <v>0</v>
      </c>
      <c r="DT764">
        <f>SUM(DO764:DP764)</f>
        <v>1</v>
      </c>
      <c r="DU764" s="143" t="str">
        <f>IF(DO764=1,"self-calculated DF",IF(DP764=1,"external DF used","explicit C balance"))</f>
        <v>external DF used</v>
      </c>
      <c r="DV764">
        <v>1</v>
      </c>
      <c r="DW764">
        <v>1</v>
      </c>
      <c r="DX764">
        <v>1</v>
      </c>
      <c r="DY764">
        <v>0</v>
      </c>
      <c r="DZ764">
        <v>0</v>
      </c>
      <c r="EA764" s="143">
        <v>0</v>
      </c>
      <c r="EB764">
        <v>0</v>
      </c>
      <c r="EC764">
        <v>0</v>
      </c>
      <c r="ED764">
        <v>0</v>
      </c>
      <c r="EE764">
        <v>0</v>
      </c>
      <c r="EF764">
        <v>1</v>
      </c>
      <c r="EG764" s="143">
        <v>0</v>
      </c>
      <c r="EH764" s="143">
        <v>0</v>
      </c>
      <c r="EI764" s="2">
        <v>0</v>
      </c>
      <c r="EK764" t="str">
        <f>IF(AND(AND(AND(OR($DX764=1,$DW764=1),OR($EC764=1,$EA764=1)),SUM($DV764:$DZ764,$EF764)&gt;=4),SUM($EA764:$EE764)&gt;=2),"Whole sector","")</f>
        <v/>
      </c>
      <c r="EL764" t="str">
        <f>IF(AND(AND(OR($DX764=1,$DW764=1),AND($EC764=0,$EA764=0)),SUM($DV764:$DZ764,$EF764)&gt;=4),"Ecosystem approach","")</f>
        <v>Ecosystem approach</v>
      </c>
      <c r="EM764" s="2" t="str">
        <f>IF(AND(AND(AND($DX764=0,$DW764=0),OR($EC764=1,$EA764=1)),SUM($EB764:$EE764)&gt;=2),"Technology approach","")</f>
        <v/>
      </c>
      <c r="EP764" t="b">
        <f>IF(ISNUMBER(BU764),IF(ABS(BU764-[4]QC_indicators!$B$2)&gt;3*[4]QC_indicators!$C$2,"C ratio",IF(ISNUMBER(BY764),IF(ABS(BY764-[4]QC_indicators!$B$1)&gt;3*[4]QC_indicators!$C$1,"DF","no"))),IF(ISNUMBER(BY764),IF(ABS(BY764-[4]QC_indicators!$B$1)&gt;3*[4]QC_indicators!$C$1,"DF","no")))</f>
        <v>0</v>
      </c>
      <c r="EQ764" t="s">
        <v>287</v>
      </c>
      <c r="ER764" s="149" t="s">
        <v>350</v>
      </c>
      <c r="ET764" s="266" t="s">
        <v>3275</v>
      </c>
    </row>
    <row r="765" spans="1:150" ht="15" customHeight="1">
      <c r="A765" s="1" t="s">
        <v>1638</v>
      </c>
      <c r="B765" t="s">
        <v>1639</v>
      </c>
      <c r="C765" t="s">
        <v>1640</v>
      </c>
      <c r="D765" t="s">
        <v>1641</v>
      </c>
      <c r="E765" t="s">
        <v>1642</v>
      </c>
      <c r="F765" t="s">
        <v>1643</v>
      </c>
      <c r="G765" t="s">
        <v>1644</v>
      </c>
      <c r="H765" t="s">
        <v>255</v>
      </c>
      <c r="I765">
        <v>2022</v>
      </c>
      <c r="J765">
        <v>0</v>
      </c>
      <c r="K765" t="s">
        <v>1645</v>
      </c>
      <c r="M765" t="str">
        <f>LEFT($D765,FIND(",",$D765)-1)&amp;"_"&amp;I765&amp;L765</f>
        <v>Gregor_2022</v>
      </c>
      <c r="N765" t="s">
        <v>223</v>
      </c>
      <c r="O765" s="161" t="s">
        <v>224</v>
      </c>
      <c r="Q765" s="266" t="s">
        <v>390</v>
      </c>
      <c r="R765" s="271" t="s">
        <v>1156</v>
      </c>
      <c r="S765" s="154" t="s">
        <v>1646</v>
      </c>
      <c r="T765" s="296" t="s">
        <v>1657</v>
      </c>
      <c r="U765" s="266" t="s">
        <v>1658</v>
      </c>
      <c r="V765">
        <v>0</v>
      </c>
      <c r="W765">
        <v>0</v>
      </c>
      <c r="X765">
        <v>0</v>
      </c>
      <c r="Y765">
        <v>0</v>
      </c>
      <c r="Z765">
        <v>0</v>
      </c>
      <c r="AA765">
        <v>0</v>
      </c>
      <c r="AB765">
        <v>0</v>
      </c>
      <c r="AC765">
        <v>0</v>
      </c>
      <c r="AD765">
        <v>0</v>
      </c>
      <c r="AE765">
        <v>0</v>
      </c>
      <c r="AF765">
        <v>0</v>
      </c>
      <c r="AG765">
        <v>0</v>
      </c>
      <c r="AH765">
        <v>0</v>
      </c>
      <c r="AI765">
        <v>0</v>
      </c>
      <c r="AJ765">
        <v>0</v>
      </c>
      <c r="AK765">
        <v>0</v>
      </c>
      <c r="AL765">
        <v>0</v>
      </c>
      <c r="AM765">
        <v>0</v>
      </c>
      <c r="AN765">
        <v>1</v>
      </c>
      <c r="AO765">
        <v>2</v>
      </c>
      <c r="AP765">
        <v>2</v>
      </c>
      <c r="AQ765">
        <v>2</v>
      </c>
      <c r="AR765">
        <v>0</v>
      </c>
      <c r="AS765">
        <v>0</v>
      </c>
      <c r="AT765">
        <v>0</v>
      </c>
      <c r="AU765">
        <v>0</v>
      </c>
      <c r="AV765">
        <v>0</v>
      </c>
      <c r="AW765">
        <v>0</v>
      </c>
      <c r="AX765" s="141">
        <f>COUNTIF(V765:AW765,"&lt;&gt;0")</f>
        <v>4</v>
      </c>
      <c r="AY765">
        <f>COUNTIF(V765:AL765,"&lt;&gt;0")</f>
        <v>0</v>
      </c>
      <c r="AZ765">
        <f>COUNTIF(V765:AC765,"&lt;&gt;0")</f>
        <v>0</v>
      </c>
      <c r="BA765">
        <f>COUNTIF(AD765:AI765,"&lt;&gt;0")</f>
        <v>0</v>
      </c>
      <c r="BB765">
        <f>COUNTIF(AJ765:AL765,"&lt;&gt;0")</f>
        <v>0</v>
      </c>
      <c r="BC765">
        <f>COUNTIF(AS765:AW765,"&lt;&gt;0")</f>
        <v>0</v>
      </c>
      <c r="BD765">
        <f>COUNTIF(AM765:AR765,"&lt;&gt;0")</f>
        <v>4</v>
      </c>
      <c r="BE765" t="str" cm="1">
        <f t="array" ref="BE765">IF(AY765=1,INDEX($V$7:$AL$7,MATCH(TRUE,INDEX($V765:$AW765&lt;&gt;0,),0)),IF(AY765=0,INDEX($AM$7:$AW$7,MATCH(1,$AM765:$AW765,0)),IF(BF765="Multiple strategies","mixed drivers",IF(BF765="Supply chain","multiple supply","multiple silviculture"))))</f>
        <v>Temperature</v>
      </c>
      <c r="BF765" s="2" t="str" cm="1">
        <f t="array" ref="BF765">IF(COUNTIF(AZ765:BB765,"&lt;&gt;0")=1,INDEX($V$4:$AW$4,MATCH(TRUE,INDEX($V765:$AW765&lt;&gt;0,),0)),IF(COUNTIF(AZ765:BB765,"&lt;&gt;0")=0,INDEX($AM$4:$AW$4,MATCH(1,$AM765:$AW765,0)),"Multiple strategies"))</f>
        <v>Environmental change</v>
      </c>
      <c r="BG765" s="1" t="s">
        <v>322</v>
      </c>
      <c r="BH765" s="266" t="s">
        <v>1649</v>
      </c>
      <c r="BI765" s="266" t="s">
        <v>1659</v>
      </c>
      <c r="BJ765" s="266" t="s">
        <v>1650</v>
      </c>
      <c r="BK765">
        <f>2.84*(2115-2020)</f>
        <v>269.8</v>
      </c>
      <c r="BL765">
        <f>3.25*(2115-2020)</f>
        <v>308.75</v>
      </c>
      <c r="BN765">
        <f>BL765-BK765</f>
        <v>38.949999999999989</v>
      </c>
      <c r="BO765">
        <f>BL765-BK765</f>
        <v>38.949999999999989</v>
      </c>
      <c r="BP765" s="266" t="s">
        <v>233</v>
      </c>
      <c r="BQ765" s="266" t="s">
        <v>1654</v>
      </c>
      <c r="BR765" s="266" t="s">
        <v>1652</v>
      </c>
      <c r="BS765" s="266">
        <f>9.8*10000</f>
        <v>98000</v>
      </c>
      <c r="BT765" s="266">
        <f>9.9*10000</f>
        <v>99000</v>
      </c>
      <c r="BV765">
        <f>BT765-BS765</f>
        <v>1000</v>
      </c>
      <c r="BX765">
        <f>BV765/1000*C_to_CO2</f>
        <v>3.67</v>
      </c>
      <c r="BY765">
        <f>IFERROR(BX765/BO765,"")</f>
        <v>9.4223363286264461E-2</v>
      </c>
      <c r="BZ765">
        <v>0</v>
      </c>
      <c r="CA765">
        <v>0</v>
      </c>
      <c r="CB765">
        <v>0</v>
      </c>
      <c r="CC765">
        <v>0</v>
      </c>
      <c r="CD765">
        <v>0</v>
      </c>
      <c r="CE765">
        <v>0</v>
      </c>
      <c r="CF765">
        <v>0</v>
      </c>
      <c r="CG765">
        <v>0</v>
      </c>
      <c r="CH765">
        <v>0</v>
      </c>
      <c r="CI765">
        <v>0</v>
      </c>
      <c r="CJ765">
        <v>0</v>
      </c>
      <c r="CK765">
        <v>0</v>
      </c>
      <c r="CL765">
        <v>0</v>
      </c>
      <c r="CM765">
        <v>0</v>
      </c>
      <c r="CN765" t="str">
        <f>IF($BL765&lt;$BK765,"refNeedCorrection","refOK")</f>
        <v>refOK</v>
      </c>
      <c r="CO765">
        <f>IF($CN765="refOK",$BK765,$BL765)</f>
        <v>269.8</v>
      </c>
      <c r="CP765">
        <f>IF($CN765="refOK",$BL765,$BK765)</f>
        <v>308.75</v>
      </c>
      <c r="CQ765">
        <f>IF($CN765="refOK",$BO765,-$BO765)</f>
        <v>38.949999999999989</v>
      </c>
      <c r="CR765">
        <f>IF($CN765="refOK",$BS765,$BT765)*IF($BP765="Emissions positive",-1,1)</f>
        <v>98000</v>
      </c>
      <c r="CS765">
        <f>IF($CN765="refOK",$BT765,$BS765)*IF($BP765="Emissions positive",-1,1)</f>
        <v>99000</v>
      </c>
      <c r="CT765">
        <f>IF($CN765="refNeedCorrection",-BX765,BX765)*IF($BP765="Emissions positive",-1,1)</f>
        <v>3.67</v>
      </c>
      <c r="CU765">
        <f>IFERROR(CT765/CQ765,"")</f>
        <v>9.4223363286264461E-2</v>
      </c>
      <c r="CV765" s="2">
        <f>IFERROR((CS765-CR765)/ABS(CR765),"")</f>
        <v>1.020408163265306E-2</v>
      </c>
      <c r="CW765" s="162" t="s">
        <v>1464</v>
      </c>
      <c r="CX765" s="266" t="str">
        <f>IF(OR($CW765="prd",$CW765="std",$CW765="cit"),"loc",IF(OR($CW765="eur",$CW765="reg",$CW765="coy"),"reg",$CW765))</f>
        <v>reg</v>
      </c>
      <c r="CY765" s="155" t="s">
        <v>745</v>
      </c>
      <c r="CZ765">
        <v>2010</v>
      </c>
      <c r="DA765">
        <v>2115</v>
      </c>
      <c r="DB765">
        <f>DA765-CZ765</f>
        <v>105</v>
      </c>
      <c r="DC765" t="str">
        <f>IF(DB765=0,"0",IF(AND(DB765&gt;=1,DB765&lt;=30),"1-30",IF(AND(DB765&gt;30,DB765&lt;=70),"31-70",IF(AND(DB765&gt;70,DB765&lt;=100),"71-100",IF(DB765&gt;100,"+100")))))</f>
        <v>+100</v>
      </c>
      <c r="DD765">
        <v>0</v>
      </c>
      <c r="DE765">
        <v>1</v>
      </c>
      <c r="DF765">
        <v>1</v>
      </c>
      <c r="DG765">
        <v>1</v>
      </c>
      <c r="DH765">
        <v>0</v>
      </c>
      <c r="DI765">
        <f>SUM(DD765:DG765)</f>
        <v>3</v>
      </c>
      <c r="DJ765" t="str">
        <f>IF(DI765=1,INDEX($DD$7:$DG$7,MATCH(1,$DD765:$DG765,0)),"mixedProduct")</f>
        <v>mixedProduct</v>
      </c>
      <c r="DK765">
        <f>IF(DD765=1,DK$7,0)</f>
        <v>0</v>
      </c>
      <c r="DL765" t="str">
        <f>IF(DE765=1,DL$7,0)</f>
        <v>Energy</v>
      </c>
      <c r="DM765" t="str">
        <f>IF(DF765=1,DM$7,0)</f>
        <v>Pulp/Paper</v>
      </c>
      <c r="DN765" t="str">
        <f>IF(DG765=1,DN$7,0)</f>
        <v>Timber</v>
      </c>
      <c r="DO765">
        <v>0</v>
      </c>
      <c r="DP765">
        <v>1</v>
      </c>
      <c r="DQ765" s="266" t="s">
        <v>1653</v>
      </c>
      <c r="DR765" s="266" t="s">
        <v>1653</v>
      </c>
      <c r="DS765" s="266" t="s">
        <v>1653</v>
      </c>
      <c r="DT765">
        <f>SUM(DO765:DP765)</f>
        <v>1</v>
      </c>
      <c r="DU765" s="143" t="str">
        <f>IF(DO765=1,"self-calculated DF",IF(DP765=1,"external DF used","explicit C balance"))</f>
        <v>external DF used</v>
      </c>
      <c r="DV765">
        <v>1</v>
      </c>
      <c r="DW765">
        <v>1</v>
      </c>
      <c r="DX765">
        <v>1</v>
      </c>
      <c r="DY765">
        <v>1</v>
      </c>
      <c r="DZ765">
        <v>0</v>
      </c>
      <c r="EA765">
        <v>0</v>
      </c>
      <c r="EB765">
        <v>0</v>
      </c>
      <c r="EC765">
        <v>0</v>
      </c>
      <c r="ED765">
        <v>0</v>
      </c>
      <c r="EE765">
        <v>0</v>
      </c>
      <c r="EF765">
        <v>1</v>
      </c>
      <c r="EG765">
        <v>0</v>
      </c>
      <c r="EH765">
        <v>1</v>
      </c>
      <c r="EI765" s="2">
        <v>0</v>
      </c>
      <c r="EK765" t="str">
        <f>IF(AND(AND(AND(OR($DX765=1,$DW765=1),OR($EC765=1,$EA765=1)),SUM($DV765:$DZ765,$EF765)&gt;=4),SUM($EA765:$EE765)&gt;=2),"Whole sector","")</f>
        <v/>
      </c>
      <c r="EL765" t="str">
        <f>IF(AND(AND(OR($DX765=1,$DW765=1),AND($EC765=0,$EA765=0)),SUM($DV765:$DZ765,$EF765)&gt;=4),"Ecosystem approach","")</f>
        <v>Ecosystem approach</v>
      </c>
      <c r="EM765" s="2" t="str">
        <f>IF(AND(AND(AND($DX765=0,$DW765=0),OR($EC765=1,$EA765=1)),SUM($EB765:$EE765)&gt;=2),"Technology approach","")</f>
        <v/>
      </c>
      <c r="EP765" t="str">
        <f>IF(ISNUMBER(BU765),IF(ABS(BU765-[1]QC_indicators!$B$2)&gt;3*[1]QC_indicators!$C$2,"C ratio",IF(ISNUMBER(BY765),IF(ABS(BY765-[1]QC_indicators!$B$1)&gt;3*[1]QC_indicators!$C$1,"DF","no"))),IF(ISNUMBER(BY765),IF(ABS(BY765-[1]QC_indicators!$B$1)&gt;3*[1]QC_indicators!$C$1,"DF","no")))</f>
        <v>no</v>
      </c>
      <c r="ET765" s="266" t="s">
        <v>3409</v>
      </c>
    </row>
    <row r="766" spans="1:150" ht="15" customHeight="1">
      <c r="A766" s="1" t="s">
        <v>1638</v>
      </c>
      <c r="B766" t="s">
        <v>1639</v>
      </c>
      <c r="C766" t="s">
        <v>1640</v>
      </c>
      <c r="D766" t="s">
        <v>1641</v>
      </c>
      <c r="E766" t="s">
        <v>1642</v>
      </c>
      <c r="F766" t="s">
        <v>1643</v>
      </c>
      <c r="G766" t="s">
        <v>1644</v>
      </c>
      <c r="H766" t="s">
        <v>255</v>
      </c>
      <c r="I766">
        <v>2022</v>
      </c>
      <c r="J766">
        <v>0</v>
      </c>
      <c r="K766" t="s">
        <v>1645</v>
      </c>
      <c r="M766" t="str">
        <f>LEFT($D766,FIND(",",$D766)-1)&amp;"_"&amp;I766&amp;L766</f>
        <v>Gregor_2022</v>
      </c>
      <c r="N766" t="s">
        <v>223</v>
      </c>
      <c r="O766" s="161" t="s">
        <v>224</v>
      </c>
      <c r="Q766" s="266" t="s">
        <v>390</v>
      </c>
      <c r="R766" s="271" t="s">
        <v>1156</v>
      </c>
      <c r="S766" s="154" t="s">
        <v>1646</v>
      </c>
      <c r="T766" s="296" t="s">
        <v>1661</v>
      </c>
      <c r="U766" s="266" t="s">
        <v>1662</v>
      </c>
      <c r="V766">
        <v>0</v>
      </c>
      <c r="W766">
        <v>0</v>
      </c>
      <c r="X766">
        <v>0</v>
      </c>
      <c r="Y766">
        <v>0</v>
      </c>
      <c r="Z766">
        <v>0</v>
      </c>
      <c r="AA766">
        <v>0</v>
      </c>
      <c r="AB766">
        <v>0</v>
      </c>
      <c r="AC766">
        <v>0</v>
      </c>
      <c r="AD766">
        <v>0</v>
      </c>
      <c r="AE766">
        <v>0</v>
      </c>
      <c r="AF766">
        <v>0</v>
      </c>
      <c r="AG766">
        <v>0</v>
      </c>
      <c r="AH766">
        <v>0</v>
      </c>
      <c r="AI766">
        <v>0</v>
      </c>
      <c r="AJ766">
        <v>0</v>
      </c>
      <c r="AK766">
        <v>0</v>
      </c>
      <c r="AL766">
        <v>0</v>
      </c>
      <c r="AM766">
        <v>0</v>
      </c>
      <c r="AN766">
        <v>1</v>
      </c>
      <c r="AO766">
        <v>2</v>
      </c>
      <c r="AP766">
        <v>2</v>
      </c>
      <c r="AQ766">
        <v>2</v>
      </c>
      <c r="AR766">
        <v>0</v>
      </c>
      <c r="AS766">
        <v>0</v>
      </c>
      <c r="AT766">
        <v>0</v>
      </c>
      <c r="AU766">
        <v>0</v>
      </c>
      <c r="AV766">
        <v>0</v>
      </c>
      <c r="AW766">
        <v>0</v>
      </c>
      <c r="AX766" s="141">
        <f>COUNTIF(V766:AW766,"&lt;&gt;0")</f>
        <v>4</v>
      </c>
      <c r="AY766">
        <f>COUNTIF(V766:AL766,"&lt;&gt;0")</f>
        <v>0</v>
      </c>
      <c r="AZ766">
        <f>COUNTIF(V766:AC766,"&lt;&gt;0")</f>
        <v>0</v>
      </c>
      <c r="BA766">
        <f>COUNTIF(AD766:AI766,"&lt;&gt;0")</f>
        <v>0</v>
      </c>
      <c r="BB766">
        <f>COUNTIF(AJ766:AL766,"&lt;&gt;0")</f>
        <v>0</v>
      </c>
      <c r="BC766">
        <f>COUNTIF(AS766:AW766,"&lt;&gt;0")</f>
        <v>0</v>
      </c>
      <c r="BD766">
        <f>COUNTIF(AM766:AR766,"&lt;&gt;0")</f>
        <v>4</v>
      </c>
      <c r="BE766" t="str" cm="1">
        <f t="array" ref="BE766">IF(AY766=1,INDEX($V$7:$AL$7,MATCH(TRUE,INDEX($V766:$AW766&lt;&gt;0,),0)),IF(AY766=0,INDEX($AM$7:$AW$7,MATCH(1,$AM766:$AW766,0)),IF(BF766="Multiple strategies","mixed drivers",IF(BF766="Supply chain","multiple supply","multiple silviculture"))))</f>
        <v>Temperature</v>
      </c>
      <c r="BF766" s="2" t="str" cm="1">
        <f t="array" ref="BF766">IF(COUNTIF(AZ766:BB766,"&lt;&gt;0")=1,INDEX($V$4:$AW$4,MATCH(TRUE,INDEX($V766:$AW766&lt;&gt;0,),0)),IF(COUNTIF(AZ766:BB766,"&lt;&gt;0")=0,INDEX($AM$4:$AW$4,MATCH(1,$AM766:$AW766,0)),"Multiple strategies"))</f>
        <v>Environmental change</v>
      </c>
      <c r="BG766" s="1" t="s">
        <v>322</v>
      </c>
      <c r="BH766" s="266" t="s">
        <v>1649</v>
      </c>
      <c r="BI766" s="266" t="s">
        <v>1659</v>
      </c>
      <c r="BJ766" s="266" t="s">
        <v>1650</v>
      </c>
      <c r="BK766">
        <f>0.07*(2115-2020)</f>
        <v>6.65</v>
      </c>
      <c r="BL766">
        <f>0.08*(2115-2020)</f>
        <v>7.6000000000000005</v>
      </c>
      <c r="BN766">
        <f>BL766-BK766</f>
        <v>0.95000000000000018</v>
      </c>
      <c r="BO766">
        <f>BL766-BK766</f>
        <v>0.95000000000000018</v>
      </c>
      <c r="BP766" s="266" t="s">
        <v>233</v>
      </c>
      <c r="BQ766" s="266" t="s">
        <v>1654</v>
      </c>
      <c r="BR766" s="266" t="s">
        <v>1652</v>
      </c>
      <c r="BS766" s="266">
        <f>12.1*10000</f>
        <v>121000</v>
      </c>
      <c r="BT766" s="266">
        <f>12.4*10000</f>
        <v>124000</v>
      </c>
      <c r="BV766">
        <f>BT766-BS766</f>
        <v>3000</v>
      </c>
      <c r="BX766">
        <f>BV766/1000*C_to_CO2</f>
        <v>11.01</v>
      </c>
      <c r="BY766">
        <f>IFERROR(BX766/BO766,"")</f>
        <v>11.589473684210525</v>
      </c>
      <c r="BZ766">
        <v>0</v>
      </c>
      <c r="CA766">
        <v>0</v>
      </c>
      <c r="CB766">
        <v>0</v>
      </c>
      <c r="CC766">
        <v>0</v>
      </c>
      <c r="CD766">
        <v>0</v>
      </c>
      <c r="CE766">
        <v>0</v>
      </c>
      <c r="CF766">
        <v>0</v>
      </c>
      <c r="CG766">
        <v>0</v>
      </c>
      <c r="CH766">
        <v>0</v>
      </c>
      <c r="CI766">
        <v>0</v>
      </c>
      <c r="CJ766">
        <v>0</v>
      </c>
      <c r="CK766">
        <v>0</v>
      </c>
      <c r="CL766">
        <v>0</v>
      </c>
      <c r="CM766">
        <v>0</v>
      </c>
      <c r="CN766" t="str">
        <f>IF($BL766&lt;$BK766,"refNeedCorrection","refOK")</f>
        <v>refOK</v>
      </c>
      <c r="CO766">
        <f>IF($CN766="refOK",$BK766,$BL766)</f>
        <v>6.65</v>
      </c>
      <c r="CP766">
        <f>IF($CN766="refOK",$BL766,$BK766)</f>
        <v>7.6000000000000005</v>
      </c>
      <c r="CQ766">
        <f>IF($CN766="refOK",$BO766,-$BO766)</f>
        <v>0.95000000000000018</v>
      </c>
      <c r="CR766">
        <f>IF($CN766="refOK",$BS766,$BT766)*IF($BP766="Emissions positive",-1,1)</f>
        <v>121000</v>
      </c>
      <c r="CS766">
        <f>IF($CN766="refOK",$BT766,$BS766)*IF($BP766="Emissions positive",-1,1)</f>
        <v>124000</v>
      </c>
      <c r="CT766">
        <f>IF($CN766="refNeedCorrection",-BX766,BX766)*IF($BP766="Emissions positive",-1,1)</f>
        <v>11.01</v>
      </c>
      <c r="CU766">
        <f>IFERROR(CT766/CQ766,"")</f>
        <v>11.589473684210525</v>
      </c>
      <c r="CV766" s="2">
        <f>IFERROR((CS766-CR766)/ABS(CR766),"")</f>
        <v>2.4793388429752067E-2</v>
      </c>
      <c r="CW766" s="162" t="s">
        <v>1464</v>
      </c>
      <c r="CX766" s="266" t="str">
        <f>IF(OR($CW766="prd",$CW766="std",$CW766="cit"),"loc",IF(OR($CW766="eur",$CW766="reg",$CW766="coy"),"reg",$CW766))</f>
        <v>reg</v>
      </c>
      <c r="CY766" s="155" t="s">
        <v>745</v>
      </c>
      <c r="CZ766">
        <v>2010</v>
      </c>
      <c r="DA766">
        <v>2115</v>
      </c>
      <c r="DB766">
        <f>DA766-CZ766</f>
        <v>105</v>
      </c>
      <c r="DC766" t="str">
        <f>IF(DB766=0,"0",IF(AND(DB766&gt;=1,DB766&lt;=30),"1-30",IF(AND(DB766&gt;30,DB766&lt;=70),"31-70",IF(AND(DB766&gt;70,DB766&lt;=100),"71-100",IF(DB766&gt;100,"+100")))))</f>
        <v>+100</v>
      </c>
      <c r="DD766">
        <v>0</v>
      </c>
      <c r="DE766">
        <v>1</v>
      </c>
      <c r="DF766">
        <v>1</v>
      </c>
      <c r="DG766">
        <v>1</v>
      </c>
      <c r="DH766">
        <v>0</v>
      </c>
      <c r="DI766">
        <f>SUM(DD766:DG766)</f>
        <v>3</v>
      </c>
      <c r="DJ766" t="str">
        <f>IF(DI766=1,INDEX($DD$7:$DG$7,MATCH(1,$DD766:$DG766,0)),"mixedProduct")</f>
        <v>mixedProduct</v>
      </c>
      <c r="DK766">
        <f>IF(DD766=1,DK$7,0)</f>
        <v>0</v>
      </c>
      <c r="DL766" t="str">
        <f>IF(DE766=1,DL$7,0)</f>
        <v>Energy</v>
      </c>
      <c r="DM766" t="str">
        <f>IF(DF766=1,DM$7,0)</f>
        <v>Pulp/Paper</v>
      </c>
      <c r="DN766" t="str">
        <f>IF(DG766=1,DN$7,0)</f>
        <v>Timber</v>
      </c>
      <c r="DO766">
        <v>0</v>
      </c>
      <c r="DP766">
        <v>1</v>
      </c>
      <c r="DQ766" s="266" t="s">
        <v>1653</v>
      </c>
      <c r="DR766" s="266" t="s">
        <v>1653</v>
      </c>
      <c r="DS766" s="266" t="s">
        <v>1653</v>
      </c>
      <c r="DT766">
        <f>SUM(DO766:DP766)</f>
        <v>1</v>
      </c>
      <c r="DU766" s="143" t="str">
        <f>IF(DO766=1,"self-calculated DF",IF(DP766=1,"external DF used","explicit C balance"))</f>
        <v>external DF used</v>
      </c>
      <c r="DV766">
        <v>1</v>
      </c>
      <c r="DW766">
        <v>1</v>
      </c>
      <c r="DX766">
        <v>1</v>
      </c>
      <c r="DY766">
        <v>1</v>
      </c>
      <c r="DZ766">
        <v>0</v>
      </c>
      <c r="EA766">
        <v>0</v>
      </c>
      <c r="EB766">
        <v>0</v>
      </c>
      <c r="EC766">
        <v>0</v>
      </c>
      <c r="ED766">
        <v>0</v>
      </c>
      <c r="EE766">
        <v>0</v>
      </c>
      <c r="EF766">
        <v>1</v>
      </c>
      <c r="EG766">
        <v>0</v>
      </c>
      <c r="EH766">
        <v>1</v>
      </c>
      <c r="EI766" s="2">
        <v>0</v>
      </c>
      <c r="EK766" t="str">
        <f>IF(AND(AND(AND(OR($DX766=1,$DW766=1),OR($EC766=1,$EA766=1)),SUM($DV766:$DZ766,$EF766)&gt;=4),SUM($EA766:$EE766)&gt;=2),"Whole sector","")</f>
        <v/>
      </c>
      <c r="EL766" t="str">
        <f>IF(AND(AND(OR($DX766=1,$DW766=1),AND($EC766=0,$EA766=0)),SUM($DV766:$DZ766,$EF766)&gt;=4),"Ecosystem approach","")</f>
        <v>Ecosystem approach</v>
      </c>
      <c r="EM766" s="2" t="str">
        <f>IF(AND(AND(AND($DX766=0,$DW766=0),OR($EC766=1,$EA766=1)),SUM($EB766:$EE766)&gt;=2),"Technology approach","")</f>
        <v/>
      </c>
      <c r="EP766" t="str">
        <f>IF(ISNUMBER(BU766),IF(ABS(BU766-[1]QC_indicators!$B$2)&gt;3*[1]QC_indicators!$C$2,"C ratio",IF(ISNUMBER(BY766),IF(ABS(BY766-[1]QC_indicators!$B$1)&gt;3*[1]QC_indicators!$C$1,"DF","no"))),IF(ISNUMBER(BY766),IF(ABS(BY766-[1]QC_indicators!$B$1)&gt;3*[1]QC_indicators!$C$1,"DF","no")))</f>
        <v>DF</v>
      </c>
      <c r="ET766" s="266" t="s">
        <v>3409</v>
      </c>
    </row>
    <row r="767" spans="1:150" ht="15" customHeight="1">
      <c r="A767" s="1" t="s">
        <v>1638</v>
      </c>
      <c r="B767" t="s">
        <v>1639</v>
      </c>
      <c r="C767" t="s">
        <v>1640</v>
      </c>
      <c r="D767" t="s">
        <v>1641</v>
      </c>
      <c r="E767" t="s">
        <v>1642</v>
      </c>
      <c r="F767" t="s">
        <v>1643</v>
      </c>
      <c r="G767" t="s">
        <v>1644</v>
      </c>
      <c r="H767" t="s">
        <v>255</v>
      </c>
      <c r="I767">
        <v>2022</v>
      </c>
      <c r="J767">
        <v>0</v>
      </c>
      <c r="K767" t="s">
        <v>1645</v>
      </c>
      <c r="M767" t="str">
        <f>LEFT($D767,FIND(",",$D767)-1)&amp;"_"&amp;I767&amp;L767</f>
        <v>Gregor_2022</v>
      </c>
      <c r="N767" t="s">
        <v>223</v>
      </c>
      <c r="O767" s="161" t="s">
        <v>224</v>
      </c>
      <c r="Q767" s="266" t="s">
        <v>390</v>
      </c>
      <c r="R767" s="271" t="s">
        <v>1156</v>
      </c>
      <c r="S767" s="154" t="s">
        <v>1646</v>
      </c>
      <c r="T767" s="296" t="s">
        <v>1648</v>
      </c>
      <c r="U767" s="266" t="s">
        <v>1655</v>
      </c>
      <c r="V767">
        <v>0</v>
      </c>
      <c r="W767">
        <v>0</v>
      </c>
      <c r="X767">
        <v>0</v>
      </c>
      <c r="Y767">
        <v>0</v>
      </c>
      <c r="Z767">
        <v>1</v>
      </c>
      <c r="AA767">
        <v>0</v>
      </c>
      <c r="AB767">
        <v>0</v>
      </c>
      <c r="AC767">
        <v>0</v>
      </c>
      <c r="AD767">
        <v>0</v>
      </c>
      <c r="AE767">
        <v>0</v>
      </c>
      <c r="AF767">
        <v>2</v>
      </c>
      <c r="AG767">
        <v>0</v>
      </c>
      <c r="AH767">
        <v>0</v>
      </c>
      <c r="AI767">
        <v>0</v>
      </c>
      <c r="AJ767">
        <v>0</v>
      </c>
      <c r="AK767">
        <v>0</v>
      </c>
      <c r="AL767">
        <v>0</v>
      </c>
      <c r="AM767">
        <v>0</v>
      </c>
      <c r="AN767">
        <v>2</v>
      </c>
      <c r="AO767">
        <v>2</v>
      </c>
      <c r="AP767">
        <v>2</v>
      </c>
      <c r="AQ767">
        <v>2</v>
      </c>
      <c r="AR767">
        <v>0</v>
      </c>
      <c r="AS767">
        <v>0</v>
      </c>
      <c r="AT767">
        <v>0</v>
      </c>
      <c r="AU767">
        <v>0</v>
      </c>
      <c r="AV767">
        <v>0</v>
      </c>
      <c r="AW767">
        <v>0</v>
      </c>
      <c r="AX767" s="141">
        <f>COUNTIF(V767:AW767,"&lt;&gt;0")</f>
        <v>6</v>
      </c>
      <c r="AY767" s="141">
        <f>COUNTIF(V767:AL767,"&lt;&gt;0")</f>
        <v>2</v>
      </c>
      <c r="AZ767">
        <f>COUNTIF(V767:AC767,"&lt;&gt;0")</f>
        <v>1</v>
      </c>
      <c r="BA767">
        <f>COUNTIF(AD767:AI767,"&lt;&gt;0")</f>
        <v>1</v>
      </c>
      <c r="BB767">
        <f>COUNTIF(AJ767:AL767,"&lt;&gt;0")</f>
        <v>0</v>
      </c>
      <c r="BC767">
        <f>COUNTIF(AS767:AW767,"&lt;&gt;0")</f>
        <v>0</v>
      </c>
      <c r="BD767">
        <f>COUNTIF(AM767:AR767,"&lt;&gt;0")</f>
        <v>4</v>
      </c>
      <c r="BE767" t="str" cm="1">
        <f t="array" ref="BE767">IF(AY767=1,INDEX($V$7:$AL$7,MATCH(TRUE,INDEX($V767:$AW767&lt;&gt;0,),0)),IF(AY767=0,INDEX($AM$7:$AW$7,MATCH(1,$AM767:$AW767,0)),IF(BF767="Multiple strategies","mixed drivers",IF(BF767="Supply chain","multiple supply","multiple silviculture"))))</f>
        <v>mixed drivers</v>
      </c>
      <c r="BF767" s="2" t="str" cm="1">
        <f t="array" ref="BF767">IF(COUNTIF(AZ767:BB767,"&lt;&gt;0")=1,INDEX($V$4:$AW$4,MATCH(TRUE,INDEX($V767:$AW767&lt;&gt;0,),0)),IF(COUNTIF(AZ767:BB767,"&lt;&gt;0")=0,INDEX($AM$4:$AW$4,MATCH(1,$AM767:$AW767,0)),"Multiple strategies"))</f>
        <v>Multiple strategies</v>
      </c>
      <c r="BG767" s="1" t="s">
        <v>322</v>
      </c>
      <c r="BH767" s="266" t="s">
        <v>1649</v>
      </c>
      <c r="BI767" s="266" t="s">
        <v>690</v>
      </c>
      <c r="BJ767" s="266" t="s">
        <v>1650</v>
      </c>
      <c r="BK767">
        <f>2.99*(2115-2020)</f>
        <v>284.05</v>
      </c>
      <c r="BL767">
        <f>3.2*(2115-2020)</f>
        <v>304</v>
      </c>
      <c r="BN767">
        <f>BL767-BK767</f>
        <v>19.949999999999989</v>
      </c>
      <c r="BO767">
        <f>BL767-BK767</f>
        <v>19.949999999999989</v>
      </c>
      <c r="BP767" s="266" t="s">
        <v>233</v>
      </c>
      <c r="BQ767" s="266" t="s">
        <v>1654</v>
      </c>
      <c r="BR767" s="266" t="s">
        <v>1652</v>
      </c>
      <c r="BS767" s="266">
        <f>9.8*10000</f>
        <v>98000</v>
      </c>
      <c r="BT767" s="266">
        <f>9.7*10000</f>
        <v>97000</v>
      </c>
      <c r="BV767">
        <f>BT767-BS767</f>
        <v>-1000</v>
      </c>
      <c r="BX767">
        <f>BV767/1000*C_to_CO2</f>
        <v>-3.67</v>
      </c>
      <c r="BY767">
        <f>IFERROR(BX767/BO767,"")</f>
        <v>-0.18395989974937355</v>
      </c>
      <c r="BZ767">
        <v>0</v>
      </c>
      <c r="CA767">
        <v>0</v>
      </c>
      <c r="CB767">
        <v>0</v>
      </c>
      <c r="CC767">
        <v>0</v>
      </c>
      <c r="CD767">
        <v>0</v>
      </c>
      <c r="CE767">
        <v>0</v>
      </c>
      <c r="CF767">
        <v>0</v>
      </c>
      <c r="CG767">
        <v>0</v>
      </c>
      <c r="CH767">
        <v>0</v>
      </c>
      <c r="CI767">
        <v>0</v>
      </c>
      <c r="CJ767">
        <v>0</v>
      </c>
      <c r="CK767">
        <v>0</v>
      </c>
      <c r="CL767">
        <v>0</v>
      </c>
      <c r="CM767">
        <v>0</v>
      </c>
      <c r="CN767" t="str">
        <f>IF($BL767&lt;$BK767,"refNeedCorrection","refOK")</f>
        <v>refOK</v>
      </c>
      <c r="CO767">
        <f>IF($CN767="refOK",$BK767,$BL767)</f>
        <v>284.05</v>
      </c>
      <c r="CP767">
        <f>IF($CN767="refOK",$BL767,$BK767)</f>
        <v>304</v>
      </c>
      <c r="CQ767">
        <f>IF($CN767="refOK",$BO767,-$BO767)</f>
        <v>19.949999999999989</v>
      </c>
      <c r="CR767">
        <f>IF($CN767="refOK",$BS767,$BT767)*IF($BP767="Emissions positive",-1,1)</f>
        <v>98000</v>
      </c>
      <c r="CS767">
        <f>IF($CN767="refOK",$BT767,$BS767)*IF($BP767="Emissions positive",-1,1)</f>
        <v>97000</v>
      </c>
      <c r="CT767">
        <f>IF($CN767="refNeedCorrection",-BX767,BX767)*IF($BP767="Emissions positive",-1,1)</f>
        <v>-3.67</v>
      </c>
      <c r="CU767">
        <f>IFERROR(CT767/CQ767,"")</f>
        <v>-0.18395989974937355</v>
      </c>
      <c r="CV767" s="2">
        <f>IFERROR((CS767-CR767)/ABS(CR767),"")</f>
        <v>-1.020408163265306E-2</v>
      </c>
      <c r="CW767" s="162" t="s">
        <v>1464</v>
      </c>
      <c r="CX767" s="266" t="str">
        <f>IF(OR($CW767="prd",$CW767="std",$CW767="cit"),"loc",IF(OR($CW767="eur",$CW767="reg",$CW767="coy"),"reg",$CW767))</f>
        <v>reg</v>
      </c>
      <c r="CY767" s="155" t="s">
        <v>745</v>
      </c>
      <c r="CZ767">
        <v>2010</v>
      </c>
      <c r="DA767">
        <v>2115</v>
      </c>
      <c r="DB767">
        <f>DA767-CZ767</f>
        <v>105</v>
      </c>
      <c r="DC767" t="str">
        <f>IF(DB767=0,"0",IF(AND(DB767&gt;=1,DB767&lt;=30),"1-30",IF(AND(DB767&gt;30,DB767&lt;=70),"31-70",IF(AND(DB767&gt;70,DB767&lt;=100),"71-100",IF(DB767&gt;100,"+100")))))</f>
        <v>+100</v>
      </c>
      <c r="DD767">
        <v>0</v>
      </c>
      <c r="DE767">
        <v>1</v>
      </c>
      <c r="DF767">
        <v>1</v>
      </c>
      <c r="DG767">
        <v>1</v>
      </c>
      <c r="DH767">
        <v>0</v>
      </c>
      <c r="DI767">
        <f>SUM(DD767:DG767)</f>
        <v>3</v>
      </c>
      <c r="DJ767" t="str">
        <f>IF(DI767=1,INDEX($DD$7:$DG$7,MATCH(1,$DD767:$DG767,0)),"mixedProduct")</f>
        <v>mixedProduct</v>
      </c>
      <c r="DK767">
        <f>IF(DD767=1,DK$7,0)</f>
        <v>0</v>
      </c>
      <c r="DL767" t="str">
        <f>IF(DE767=1,DL$7,0)</f>
        <v>Energy</v>
      </c>
      <c r="DM767" t="str">
        <f>IF(DF767=1,DM$7,0)</f>
        <v>Pulp/Paper</v>
      </c>
      <c r="DN767" t="str">
        <f>IF(DG767=1,DN$7,0)</f>
        <v>Timber</v>
      </c>
      <c r="DO767">
        <v>0</v>
      </c>
      <c r="DP767">
        <v>1</v>
      </c>
      <c r="DQ767" s="266" t="s">
        <v>1653</v>
      </c>
      <c r="DR767" s="266" t="s">
        <v>1653</v>
      </c>
      <c r="DS767" s="266" t="s">
        <v>1653</v>
      </c>
      <c r="DT767">
        <f>SUM(DO767:DP767)</f>
        <v>1</v>
      </c>
      <c r="DU767" s="143" t="str">
        <f>IF(DO767=1,"self-calculated DF",IF(DP767=1,"external DF used","explicit C balance"))</f>
        <v>external DF used</v>
      </c>
      <c r="DV767">
        <v>1</v>
      </c>
      <c r="DW767">
        <v>1</v>
      </c>
      <c r="DX767">
        <v>1</v>
      </c>
      <c r="DY767">
        <v>1</v>
      </c>
      <c r="DZ767">
        <v>0</v>
      </c>
      <c r="EA767">
        <v>0</v>
      </c>
      <c r="EB767">
        <v>0</v>
      </c>
      <c r="EC767">
        <v>0</v>
      </c>
      <c r="ED767">
        <v>0</v>
      </c>
      <c r="EE767">
        <v>0</v>
      </c>
      <c r="EF767">
        <v>1</v>
      </c>
      <c r="EG767">
        <v>0</v>
      </c>
      <c r="EH767">
        <v>1</v>
      </c>
      <c r="EI767" s="2">
        <v>0</v>
      </c>
      <c r="EK767" t="str">
        <f>IF(AND(AND(AND(OR($DX767=1,$DW767=1),OR($EC767=1,$EA767=1)),SUM($DV767:$DZ767,$EF767)&gt;=4),SUM($EA767:$EE767)&gt;=2),"Whole sector","")</f>
        <v/>
      </c>
      <c r="EL767" t="str">
        <f>IF(AND(AND(OR($DX767=1,$DW767=1),AND($EC767=0,$EA767=0)),SUM($DV767:$DZ767,$EF767)&gt;=4),"Ecosystem approach","")</f>
        <v>Ecosystem approach</v>
      </c>
      <c r="EM767" s="2" t="str">
        <f>IF(AND(AND(AND($DX767=0,$DW767=0),OR($EC767=1,$EA767=1)),SUM($EB767:$EE767)&gt;=2),"Technology approach","")</f>
        <v/>
      </c>
      <c r="EP767" t="str">
        <f>IF(ISNUMBER(BU767),IF(ABS(BU767-[1]QC_indicators!$B$2)&gt;3*[1]QC_indicators!$C$2,"C ratio",IF(ISNUMBER(BY767),IF(ABS(BY767-[1]QC_indicators!$B$1)&gt;3*[1]QC_indicators!$C$1,"DF","no"))),IF(ISNUMBER(BY767),IF(ABS(BY767-[1]QC_indicators!$B$1)&gt;3*[1]QC_indicators!$C$1,"DF","no")))</f>
        <v>no</v>
      </c>
      <c r="ET767" s="266" t="s">
        <v>3409</v>
      </c>
    </row>
    <row r="768" spans="1:150" ht="15" hidden="1" customHeight="1">
      <c r="A768" s="1" t="s">
        <v>1402</v>
      </c>
      <c r="B768" t="s">
        <v>1403</v>
      </c>
      <c r="C768" t="s">
        <v>1404</v>
      </c>
      <c r="D768" t="s">
        <v>1405</v>
      </c>
      <c r="E768" t="s">
        <v>1406</v>
      </c>
      <c r="F768" t="s">
        <v>1407</v>
      </c>
      <c r="G768" t="s">
        <v>1408</v>
      </c>
      <c r="H768" t="s">
        <v>255</v>
      </c>
      <c r="I768">
        <v>2021</v>
      </c>
      <c r="J768">
        <v>0</v>
      </c>
      <c r="K768" t="s">
        <v>1409</v>
      </c>
      <c r="M768" t="str">
        <f>LEFT($D768,FIND(",",$D768)-1)&amp;"_"&amp;I768&amp;L768</f>
        <v>Dugan_2021</v>
      </c>
      <c r="N768" t="s">
        <v>223</v>
      </c>
      <c r="O768" s="145" t="s">
        <v>275</v>
      </c>
      <c r="Q768" t="s">
        <v>257</v>
      </c>
      <c r="R768" s="255" t="s">
        <v>226</v>
      </c>
      <c r="S768" s="1" t="s">
        <v>1419</v>
      </c>
      <c r="T768" t="s">
        <v>1113</v>
      </c>
      <c r="U768" t="s">
        <v>1401</v>
      </c>
      <c r="V768">
        <v>0</v>
      </c>
      <c r="W768">
        <v>0</v>
      </c>
      <c r="X768">
        <v>0</v>
      </c>
      <c r="Y768">
        <v>0</v>
      </c>
      <c r="Z768">
        <v>0</v>
      </c>
      <c r="AA768">
        <v>0</v>
      </c>
      <c r="AB768">
        <v>0</v>
      </c>
      <c r="AC768">
        <v>0</v>
      </c>
      <c r="AD768">
        <v>0</v>
      </c>
      <c r="AE768">
        <v>0</v>
      </c>
      <c r="AF768">
        <v>1</v>
      </c>
      <c r="AG768">
        <v>0</v>
      </c>
      <c r="AH768">
        <v>0</v>
      </c>
      <c r="AI768">
        <v>0</v>
      </c>
      <c r="AJ768">
        <v>0</v>
      </c>
      <c r="AK768">
        <v>0</v>
      </c>
      <c r="AL768">
        <v>0</v>
      </c>
      <c r="AM768">
        <v>0</v>
      </c>
      <c r="AN768">
        <v>0</v>
      </c>
      <c r="AO768">
        <v>0</v>
      </c>
      <c r="AP768">
        <v>0</v>
      </c>
      <c r="AQ768">
        <v>0</v>
      </c>
      <c r="AR768">
        <v>0</v>
      </c>
      <c r="AS768">
        <v>0</v>
      </c>
      <c r="AT768">
        <v>0</v>
      </c>
      <c r="AU768">
        <v>0</v>
      </c>
      <c r="AV768">
        <v>0</v>
      </c>
      <c r="AW768">
        <v>0</v>
      </c>
      <c r="AX768" s="141">
        <f>COUNTIF(V768:AW768,"&lt;&gt;0")</f>
        <v>1</v>
      </c>
      <c r="AY768" s="141">
        <f>COUNTIF(V768:AL768,"&lt;&gt;0")</f>
        <v>1</v>
      </c>
      <c r="AZ768">
        <f>COUNTIF(V768:AC768,"&lt;&gt;0")</f>
        <v>0</v>
      </c>
      <c r="BA768">
        <f>COUNTIF(AD768:AI768,"&lt;&gt;0")</f>
        <v>1</v>
      </c>
      <c r="BB768">
        <f>COUNTIF(AJ768:AL768,"&lt;&gt;0")</f>
        <v>0</v>
      </c>
      <c r="BC768">
        <f>COUNTIF(AS768:AW768,"&lt;&gt;0")</f>
        <v>0</v>
      </c>
      <c r="BD768">
        <f>COUNTIF(AM768:AR768,"&lt;&gt;0")</f>
        <v>0</v>
      </c>
      <c r="BE768" t="str">
        <f t="array" ref="BE768">IF(AY768=1,INDEX($V$7:$AL$7,MATCH(TRUE,INDEX($V768:$AW768&lt;&gt;0,),0)),IF(AY768=0,INDEX($AM$7:$AW$7,MATCH(1,$AM768:$AW768,0)),IF(BF768="Multiple strategies","mixed drivers",IF(BF768="Supply chain","multiple supply","multiple silviculture"))))</f>
        <v>supply chain organization</v>
      </c>
      <c r="BF768" s="2" t="str" cm="1">
        <f t="array" ref="BF768">IF(COUNTIF(AZ768:BB768,"&lt;&gt;0")=1,INDEX($V$4:$AW$4,MATCH(TRUE,INDEX($V768:$AW768&lt;&gt;0,),0)),IF(COUNTIF(AZ768:BB768,"&lt;&gt;0")=0,INDEX($AM$4:$AW$4,MATCH(1,$AM768:$AW768,0)),"Multiple strategies"))</f>
        <v>Supply chain</v>
      </c>
      <c r="BG768" s="1" t="s">
        <v>322</v>
      </c>
      <c r="BH768" t="s">
        <v>1412</v>
      </c>
      <c r="BI768" s="260" t="s">
        <v>3320</v>
      </c>
      <c r="BJ768" t="s">
        <v>1361</v>
      </c>
      <c r="BK768" s="266">
        <v>14.61</v>
      </c>
      <c r="BL768" s="266">
        <v>14.61</v>
      </c>
      <c r="BN768" s="227">
        <f>BL768-BK768</f>
        <v>0</v>
      </c>
      <c r="BO768">
        <f>BN768*10^6*tC_to_m3</f>
        <v>0</v>
      </c>
      <c r="BP768" t="s">
        <v>233</v>
      </c>
      <c r="BQ768" s="260" t="s">
        <v>3322</v>
      </c>
      <c r="BR768" t="s">
        <v>1302</v>
      </c>
      <c r="BS768" s="152"/>
      <c r="BT768" s="152"/>
      <c r="BU768" s="144"/>
      <c r="BV768" s="286">
        <v>9.3033695208324332</v>
      </c>
      <c r="BX768">
        <f>BV768*10^6</f>
        <v>9303369.5208324324</v>
      </c>
      <c r="BY768" t="str">
        <f>IFERROR(BX768/BO768,"")</f>
        <v/>
      </c>
      <c r="BZ768">
        <v>0</v>
      </c>
      <c r="CA768">
        <v>0</v>
      </c>
      <c r="CB768">
        <v>0</v>
      </c>
      <c r="CC768">
        <v>0</v>
      </c>
      <c r="CD768">
        <v>0</v>
      </c>
      <c r="CE768">
        <v>0</v>
      </c>
      <c r="CF768">
        <v>0</v>
      </c>
      <c r="CG768">
        <v>0</v>
      </c>
      <c r="CH768">
        <v>0</v>
      </c>
      <c r="CI768">
        <v>0</v>
      </c>
      <c r="CJ768">
        <v>0</v>
      </c>
      <c r="CK768">
        <v>0</v>
      </c>
      <c r="CL768">
        <v>0</v>
      </c>
      <c r="CM768">
        <v>0</v>
      </c>
      <c r="CN768" t="str">
        <f>IF(BL768&lt;BK768,"refNeedCorrection","refOK")</f>
        <v>refOK</v>
      </c>
      <c r="CO768"/>
      <c r="CP768"/>
      <c r="CQ768">
        <f>IF($CN768="refNeedCorrection",-BO768,BO768)</f>
        <v>0</v>
      </c>
      <c r="CR768">
        <f>IF($CN768="refOK",$BS768,$BT768)*IF($BP768="Emissions positive",-1,1)</f>
        <v>0</v>
      </c>
      <c r="CS768">
        <f>IF($CN768="refOK",$BT768,$BS768)*IF($BP768="Emissions positive",-1,1)</f>
        <v>0</v>
      </c>
      <c r="CT768">
        <f>IF($CN768="refNeedCorrection",-BX768,BX768)*IF($BP768="Emissions positive",-1,1)</f>
        <v>9303369.5208324324</v>
      </c>
      <c r="CU768" t="str">
        <f>IFERROR(CT768/CQ768,"")</f>
        <v/>
      </c>
      <c r="CV768" s="2" t="str">
        <f>IFERROR((CS768-CR768)/ABS(CR768),"")</f>
        <v/>
      </c>
      <c r="CW768" s="1" t="s">
        <v>1201</v>
      </c>
      <c r="CX768" t="str">
        <f>IF(OR($CW768="prd",$CW768="std",$CW768="cit"),"loc",IF(OR($CW768="eur",$CW768="reg",$CW768="coy"),"reg",$CW768))</f>
        <v>reg</v>
      </c>
      <c r="CY768" t="s">
        <v>429</v>
      </c>
      <c r="CZ768">
        <v>2020</v>
      </c>
      <c r="DA768">
        <v>2050</v>
      </c>
      <c r="DB768">
        <v>30</v>
      </c>
      <c r="DC768" t="str">
        <f>IF(DB768=0,"0",IF(AND(DB768&gt;=1,DB768&lt;=30),"1-30",IF(AND(DB768&gt;30,DB768&lt;=70),"31-70",IF(AND(DB768&gt;70,DB768&lt;=100),"71-100",IF(DB768&gt;100,"+100")))))</f>
        <v>1-30</v>
      </c>
      <c r="DD768">
        <v>0</v>
      </c>
      <c r="DE768">
        <v>0</v>
      </c>
      <c r="DF768">
        <v>1</v>
      </c>
      <c r="DG768">
        <v>1</v>
      </c>
      <c r="DI768">
        <f>SUM(DD768:DG768)</f>
        <v>2</v>
      </c>
      <c r="DJ768" t="str">
        <f>IF(DI768=1,INDEX($DD$7:$DG$7,MATCH(1,$DD768:$DG768,0)),"mixedProduct")</f>
        <v>mixedProduct</v>
      </c>
      <c r="DK768">
        <f>IF(DD768=1,DK$7,0)</f>
        <v>0</v>
      </c>
      <c r="DL768">
        <f>IF(DE768=1,DL$7,0)</f>
        <v>0</v>
      </c>
      <c r="DM768" t="str">
        <f>IF(DF768=1,DM$7,0)</f>
        <v>Pulp/Paper</v>
      </c>
      <c r="DN768" t="str">
        <f>IF(DG768=1,DN$7,0)</f>
        <v>Timber</v>
      </c>
      <c r="DO768">
        <v>0</v>
      </c>
      <c r="DP768">
        <v>1</v>
      </c>
      <c r="DQ768" t="s">
        <v>1413</v>
      </c>
      <c r="DR768" t="s">
        <v>1414</v>
      </c>
      <c r="DS768">
        <v>0</v>
      </c>
      <c r="DT768">
        <f>SUM(DO768:DP768)</f>
        <v>1</v>
      </c>
      <c r="DU768" s="143" t="str">
        <f>IF(DO768=1,"self-calculated DF",IF(DP768=1,"external DF used","explicit C balance"))</f>
        <v>external DF used</v>
      </c>
      <c r="DV768">
        <v>1</v>
      </c>
      <c r="DW768">
        <v>1</v>
      </c>
      <c r="DX768">
        <v>1</v>
      </c>
      <c r="DY768">
        <v>1</v>
      </c>
      <c r="DZ768">
        <v>0</v>
      </c>
      <c r="EA768" s="143">
        <v>1</v>
      </c>
      <c r="EB768">
        <v>0</v>
      </c>
      <c r="EC768">
        <v>1</v>
      </c>
      <c r="ED768">
        <v>0</v>
      </c>
      <c r="EE768">
        <v>0</v>
      </c>
      <c r="EF768">
        <v>1</v>
      </c>
      <c r="EG768" s="143">
        <v>0</v>
      </c>
      <c r="EH768" s="143">
        <v>0</v>
      </c>
      <c r="EI768" s="2">
        <v>0</v>
      </c>
      <c r="EK768" t="str">
        <f>IF(AND(AND(AND(OR($DX768=1,$DW768=1),OR($EC768=1,$EA768=1)),SUM($DV768:$DZ768,$EF768)&gt;=4),SUM($EA768:$EE768)&gt;=2),"Whole sector","")</f>
        <v>Whole sector</v>
      </c>
      <c r="EL768" t="str">
        <f>IF(AND(AND(OR($DX768=1,$DW768=1),AND($EC768=0,$EA768=0)),SUM($DV768:$DZ768,$EF768)&gt;=4),"Ecosystem approach","")</f>
        <v/>
      </c>
      <c r="EM768" s="2" t="str">
        <f>IF(AND(AND(AND($DX768=0,$DW768=0),OR($EC768=1,$EA768=1)),SUM($EB768:$EE768)&gt;=2),"Technology approach","")</f>
        <v/>
      </c>
      <c r="EP768" t="b">
        <f>IF(ISNUMBER(BU768),IF(ABS(BU768-[4]QC_indicators!$B$2)&gt;3*[4]QC_indicators!$C$2,"C ratio",IF(ISNUMBER(BY768),IF(ABS(BY768-[4]QC_indicators!$B$1)&gt;3*[4]QC_indicators!$C$1,"DF","no"))),IF(ISNUMBER(BY768),IF(ABS(BY768-[4]QC_indicators!$B$1)&gt;3*[4]QC_indicators!$C$1,"DF","no")))</f>
        <v>0</v>
      </c>
      <c r="EQ768" t="s">
        <v>287</v>
      </c>
      <c r="ER768" s="149" t="s">
        <v>350</v>
      </c>
      <c r="ET768" s="266" t="s">
        <v>3275</v>
      </c>
    </row>
    <row r="769" spans="1:150" ht="15" customHeight="1">
      <c r="A769" s="1" t="s">
        <v>1638</v>
      </c>
      <c r="B769" t="s">
        <v>1639</v>
      </c>
      <c r="C769" t="s">
        <v>1640</v>
      </c>
      <c r="D769" t="s">
        <v>1641</v>
      </c>
      <c r="E769" t="s">
        <v>1642</v>
      </c>
      <c r="F769" t="s">
        <v>1643</v>
      </c>
      <c r="G769" t="s">
        <v>1644</v>
      </c>
      <c r="H769" t="s">
        <v>255</v>
      </c>
      <c r="I769">
        <v>2022</v>
      </c>
      <c r="J769">
        <v>0</v>
      </c>
      <c r="K769" t="s">
        <v>1645</v>
      </c>
      <c r="M769" t="str">
        <f>LEFT($D769,FIND(",",$D769)-1)&amp;"_"&amp;I769&amp;L769</f>
        <v>Gregor_2022</v>
      </c>
      <c r="N769" t="s">
        <v>223</v>
      </c>
      <c r="O769" s="161" t="s">
        <v>224</v>
      </c>
      <c r="Q769" s="266" t="s">
        <v>390</v>
      </c>
      <c r="R769" s="271" t="s">
        <v>1156</v>
      </c>
      <c r="S769" s="154" t="s">
        <v>1646</v>
      </c>
      <c r="T769" s="296" t="s">
        <v>1656</v>
      </c>
      <c r="U769" s="266" t="s">
        <v>1648</v>
      </c>
      <c r="V769">
        <v>0</v>
      </c>
      <c r="W769">
        <v>0</v>
      </c>
      <c r="X769">
        <v>0</v>
      </c>
      <c r="Y769">
        <v>0</v>
      </c>
      <c r="Z769">
        <v>1</v>
      </c>
      <c r="AA769">
        <v>0</v>
      </c>
      <c r="AB769">
        <v>0</v>
      </c>
      <c r="AC769">
        <v>0</v>
      </c>
      <c r="AD769">
        <v>0</v>
      </c>
      <c r="AE769">
        <v>0</v>
      </c>
      <c r="AF769">
        <v>2</v>
      </c>
      <c r="AG769">
        <v>0</v>
      </c>
      <c r="AH769">
        <v>0</v>
      </c>
      <c r="AI769">
        <v>0</v>
      </c>
      <c r="AJ769">
        <v>0</v>
      </c>
      <c r="AK769">
        <v>0</v>
      </c>
      <c r="AL769">
        <v>0</v>
      </c>
      <c r="AM769">
        <v>0</v>
      </c>
      <c r="AN769">
        <v>2</v>
      </c>
      <c r="AO769">
        <v>2</v>
      </c>
      <c r="AP769">
        <v>2</v>
      </c>
      <c r="AQ769">
        <v>2</v>
      </c>
      <c r="AR769">
        <v>0</v>
      </c>
      <c r="AS769">
        <v>0</v>
      </c>
      <c r="AT769">
        <v>0</v>
      </c>
      <c r="AU769">
        <v>0</v>
      </c>
      <c r="AV769">
        <v>0</v>
      </c>
      <c r="AW769">
        <v>0</v>
      </c>
      <c r="AX769" s="141">
        <f>COUNTIF(V769:AW769,"&lt;&gt;0")</f>
        <v>6</v>
      </c>
      <c r="AY769" s="141">
        <f>COUNTIF(V769:AL769,"&lt;&gt;0")</f>
        <v>2</v>
      </c>
      <c r="AZ769">
        <f>COUNTIF(V769:AC769,"&lt;&gt;0")</f>
        <v>1</v>
      </c>
      <c r="BA769">
        <f>COUNTIF(AD769:AI769,"&lt;&gt;0")</f>
        <v>1</v>
      </c>
      <c r="BB769">
        <f>COUNTIF(AJ769:AL769,"&lt;&gt;0")</f>
        <v>0</v>
      </c>
      <c r="BC769">
        <f>COUNTIF(AS769:AW769,"&lt;&gt;0")</f>
        <v>0</v>
      </c>
      <c r="BD769">
        <f>COUNTIF(AM769:AR769,"&lt;&gt;0")</f>
        <v>4</v>
      </c>
      <c r="BE769" t="str" cm="1">
        <f t="array" ref="BE769">IF(AY769=1,INDEX($V$7:$AL$7,MATCH(TRUE,INDEX($V769:$AW769&lt;&gt;0,),0)),IF(AY769=0,INDEX($AM$7:$AW$7,MATCH(1,$AM769:$AW769,0)),IF(BF769="Multiple strategies","mixed drivers",IF(BF769="Supply chain","multiple supply","multiple silviculture"))))</f>
        <v>mixed drivers</v>
      </c>
      <c r="BF769" s="2" t="str" cm="1">
        <f t="array" ref="BF769">IF(COUNTIF(AZ769:BB769,"&lt;&gt;0")=1,INDEX($V$4:$AW$4,MATCH(TRUE,INDEX($V769:$AW769&lt;&gt;0,),0)),IF(COUNTIF(AZ769:BB769,"&lt;&gt;0")=0,INDEX($AM$4:$AW$4,MATCH(1,$AM769:$AW769,0)),"Multiple strategies"))</f>
        <v>Multiple strategies</v>
      </c>
      <c r="BG769" s="1" t="s">
        <v>322</v>
      </c>
      <c r="BH769" s="266" t="s">
        <v>1649</v>
      </c>
      <c r="BI769" s="266" t="s">
        <v>690</v>
      </c>
      <c r="BJ769" s="266" t="s">
        <v>1650</v>
      </c>
      <c r="BK769">
        <f>0.78*(2115-2020)</f>
        <v>74.100000000000009</v>
      </c>
      <c r="BL769">
        <f>2.99*(2115-2020)</f>
        <v>284.05</v>
      </c>
      <c r="BN769">
        <f>BL769-BK769</f>
        <v>209.95</v>
      </c>
      <c r="BO769">
        <f>BL769-BK769</f>
        <v>209.95</v>
      </c>
      <c r="BP769" s="266" t="s">
        <v>233</v>
      </c>
      <c r="BQ769" s="266" t="s">
        <v>1654</v>
      </c>
      <c r="BR769" s="266" t="s">
        <v>1652</v>
      </c>
      <c r="BS769" s="266">
        <f>10.1*10000</f>
        <v>101000</v>
      </c>
      <c r="BT769" s="266">
        <f>9.8*10000</f>
        <v>98000</v>
      </c>
      <c r="BV769">
        <f>BT769-BS769</f>
        <v>-3000</v>
      </c>
      <c r="BX769">
        <f>BV769/1000*C_to_CO2</f>
        <v>-11.01</v>
      </c>
      <c r="BY769">
        <f>IFERROR(BX769/BO769,"")</f>
        <v>-5.2441057394617768E-2</v>
      </c>
      <c r="BZ769">
        <v>0</v>
      </c>
      <c r="CA769">
        <v>0</v>
      </c>
      <c r="CB769">
        <v>0</v>
      </c>
      <c r="CC769">
        <v>0</v>
      </c>
      <c r="CD769">
        <v>0</v>
      </c>
      <c r="CE769">
        <v>0</v>
      </c>
      <c r="CF769">
        <v>0</v>
      </c>
      <c r="CG769">
        <v>0</v>
      </c>
      <c r="CH769">
        <v>0</v>
      </c>
      <c r="CI769">
        <v>0</v>
      </c>
      <c r="CJ769">
        <v>0</v>
      </c>
      <c r="CK769">
        <v>0</v>
      </c>
      <c r="CL769">
        <v>0</v>
      </c>
      <c r="CM769">
        <v>0</v>
      </c>
      <c r="CN769" t="str">
        <f>IF($BL769&lt;$BK769,"refNeedCorrection","refOK")</f>
        <v>refOK</v>
      </c>
      <c r="CO769">
        <f>IF($CN769="refOK",$BK769,$BL769)</f>
        <v>74.100000000000009</v>
      </c>
      <c r="CP769">
        <f>IF($CN769="refOK",$BL769,$BK769)</f>
        <v>284.05</v>
      </c>
      <c r="CQ769">
        <f>IF($CN769="refOK",$BO769,-$BO769)</f>
        <v>209.95</v>
      </c>
      <c r="CR769">
        <f>IF($CN769="refOK",$BS769,$BT769)*IF($BP769="Emissions positive",-1,1)</f>
        <v>101000</v>
      </c>
      <c r="CS769">
        <f>IF($CN769="refOK",$BT769,$BS769)*IF($BP769="Emissions positive",-1,1)</f>
        <v>98000</v>
      </c>
      <c r="CT769">
        <f>IF($CN769="refNeedCorrection",-BX769,BX769)*IF($BP769="Emissions positive",-1,1)</f>
        <v>-11.01</v>
      </c>
      <c r="CU769">
        <f>IFERROR(CT769/CQ769,"")</f>
        <v>-5.2441057394617768E-2</v>
      </c>
      <c r="CV769" s="2">
        <f>IFERROR((CS769-CR769)/ABS(CR769),"")</f>
        <v>-2.9702970297029702E-2</v>
      </c>
      <c r="CW769" s="162" t="s">
        <v>1464</v>
      </c>
      <c r="CX769" s="266" t="str">
        <f>IF(OR($CW769="prd",$CW769="std",$CW769="cit"),"loc",IF(OR($CW769="eur",$CW769="reg",$CW769="coy"),"reg",$CW769))</f>
        <v>reg</v>
      </c>
      <c r="CY769" s="155" t="s">
        <v>745</v>
      </c>
      <c r="CZ769">
        <v>2010</v>
      </c>
      <c r="DA769">
        <v>2115</v>
      </c>
      <c r="DB769">
        <f>DA769-CZ769</f>
        <v>105</v>
      </c>
      <c r="DC769" t="str">
        <f>IF(DB769=0,"0",IF(AND(DB769&gt;=1,DB769&lt;=30),"1-30",IF(AND(DB769&gt;30,DB769&lt;=70),"31-70",IF(AND(DB769&gt;70,DB769&lt;=100),"71-100",IF(DB769&gt;100,"+100")))))</f>
        <v>+100</v>
      </c>
      <c r="DD769">
        <v>0</v>
      </c>
      <c r="DE769">
        <v>1</v>
      </c>
      <c r="DF769">
        <v>1</v>
      </c>
      <c r="DG769">
        <v>1</v>
      </c>
      <c r="DH769">
        <v>0</v>
      </c>
      <c r="DI769">
        <f>SUM(DD769:DG769)</f>
        <v>3</v>
      </c>
      <c r="DJ769" t="str">
        <f>IF(DI769=1,INDEX($DD$7:$DG$7,MATCH(1,$DD769:$DG769,0)),"mixedProduct")</f>
        <v>mixedProduct</v>
      </c>
      <c r="DK769">
        <f>IF(DD769=1,DK$7,0)</f>
        <v>0</v>
      </c>
      <c r="DL769" t="str">
        <f>IF(DE769=1,DL$7,0)</f>
        <v>Energy</v>
      </c>
      <c r="DM769" t="str">
        <f>IF(DF769=1,DM$7,0)</f>
        <v>Pulp/Paper</v>
      </c>
      <c r="DN769" t="str">
        <f>IF(DG769=1,DN$7,0)</f>
        <v>Timber</v>
      </c>
      <c r="DO769">
        <v>0</v>
      </c>
      <c r="DP769">
        <v>1</v>
      </c>
      <c r="DQ769" s="266" t="s">
        <v>1653</v>
      </c>
      <c r="DR769" s="266" t="s">
        <v>1653</v>
      </c>
      <c r="DS769" s="266" t="s">
        <v>1653</v>
      </c>
      <c r="DT769">
        <f>SUM(DO769:DP769)</f>
        <v>1</v>
      </c>
      <c r="DU769" s="143" t="str">
        <f>IF(DO769=1,"self-calculated DF",IF(DP769=1,"external DF used","explicit C balance"))</f>
        <v>external DF used</v>
      </c>
      <c r="DV769">
        <v>1</v>
      </c>
      <c r="DW769">
        <v>1</v>
      </c>
      <c r="DX769">
        <v>1</v>
      </c>
      <c r="DY769">
        <v>1</v>
      </c>
      <c r="DZ769">
        <v>0</v>
      </c>
      <c r="EA769">
        <v>0</v>
      </c>
      <c r="EB769">
        <v>0</v>
      </c>
      <c r="EC769">
        <v>0</v>
      </c>
      <c r="ED769">
        <v>0</v>
      </c>
      <c r="EE769">
        <v>0</v>
      </c>
      <c r="EF769">
        <v>1</v>
      </c>
      <c r="EG769">
        <v>0</v>
      </c>
      <c r="EH769">
        <v>1</v>
      </c>
      <c r="EI769" s="2">
        <v>0</v>
      </c>
      <c r="EK769" t="str">
        <f>IF(AND(AND(AND(OR($DX769=1,$DW769=1),OR($EC769=1,$EA769=1)),SUM($DV769:$DZ769,$EF769)&gt;=4),SUM($EA769:$EE769)&gt;=2),"Whole sector","")</f>
        <v/>
      </c>
      <c r="EL769" t="str">
        <f>IF(AND(AND(OR($DX769=1,$DW769=1),AND($EC769=0,$EA769=0)),SUM($DV769:$DZ769,$EF769)&gt;=4),"Ecosystem approach","")</f>
        <v>Ecosystem approach</v>
      </c>
      <c r="EM769" s="2" t="str">
        <f>IF(AND(AND(AND($DX769=0,$DW769=0),OR($EC769=1,$EA769=1)),SUM($EB769:$EE769)&gt;=2),"Technology approach","")</f>
        <v/>
      </c>
      <c r="EP769" t="str">
        <f>IF(ISNUMBER(BU769),IF(ABS(BU769-[1]QC_indicators!$B$2)&gt;3*[1]QC_indicators!$C$2,"C ratio",IF(ISNUMBER(BY769),IF(ABS(BY769-[1]QC_indicators!$B$1)&gt;3*[1]QC_indicators!$C$1,"DF","no"))),IF(ISNUMBER(BY769),IF(ABS(BY769-[1]QC_indicators!$B$1)&gt;3*[1]QC_indicators!$C$1,"DF","no")))</f>
        <v>no</v>
      </c>
      <c r="ET769" s="266" t="s">
        <v>3409</v>
      </c>
    </row>
    <row r="770" spans="1:150" ht="15" hidden="1" customHeight="1">
      <c r="A770" s="1" t="s">
        <v>1402</v>
      </c>
      <c r="B770" t="s">
        <v>1403</v>
      </c>
      <c r="C770" t="s">
        <v>1404</v>
      </c>
      <c r="D770" t="s">
        <v>1405</v>
      </c>
      <c r="E770" t="s">
        <v>1406</v>
      </c>
      <c r="F770" t="s">
        <v>1407</v>
      </c>
      <c r="G770" t="s">
        <v>1408</v>
      </c>
      <c r="H770" t="s">
        <v>255</v>
      </c>
      <c r="I770">
        <v>2021</v>
      </c>
      <c r="J770">
        <v>0</v>
      </c>
      <c r="K770" t="s">
        <v>1409</v>
      </c>
      <c r="M770" t="str">
        <f>LEFT($D770,FIND(",",$D770)-1)&amp;"_"&amp;I770&amp;L770</f>
        <v>Dugan_2021</v>
      </c>
      <c r="N770" t="s">
        <v>223</v>
      </c>
      <c r="O770" s="145" t="s">
        <v>275</v>
      </c>
      <c r="Q770" t="s">
        <v>257</v>
      </c>
      <c r="R770" s="255" t="s">
        <v>226</v>
      </c>
      <c r="S770" s="1" t="s">
        <v>1423</v>
      </c>
      <c r="T770" t="s">
        <v>1424</v>
      </c>
      <c r="U770" t="s">
        <v>1416</v>
      </c>
      <c r="V770">
        <v>0</v>
      </c>
      <c r="W770">
        <v>0</v>
      </c>
      <c r="X770">
        <v>0</v>
      </c>
      <c r="Y770">
        <v>0</v>
      </c>
      <c r="Z770">
        <v>0</v>
      </c>
      <c r="AA770">
        <v>0</v>
      </c>
      <c r="AB770">
        <v>0</v>
      </c>
      <c r="AC770">
        <v>0</v>
      </c>
      <c r="AD770">
        <v>0</v>
      </c>
      <c r="AE770">
        <v>0</v>
      </c>
      <c r="AF770">
        <v>1</v>
      </c>
      <c r="AG770">
        <v>0</v>
      </c>
      <c r="AH770">
        <v>0</v>
      </c>
      <c r="AI770">
        <v>0</v>
      </c>
      <c r="AJ770">
        <v>0</v>
      </c>
      <c r="AK770">
        <v>0</v>
      </c>
      <c r="AL770">
        <v>0</v>
      </c>
      <c r="AM770">
        <v>0</v>
      </c>
      <c r="AN770">
        <v>0</v>
      </c>
      <c r="AO770">
        <v>0</v>
      </c>
      <c r="AP770">
        <v>0</v>
      </c>
      <c r="AQ770">
        <v>0</v>
      </c>
      <c r="AR770">
        <v>0</v>
      </c>
      <c r="AS770">
        <v>0</v>
      </c>
      <c r="AT770">
        <v>0</v>
      </c>
      <c r="AU770">
        <v>0</v>
      </c>
      <c r="AV770">
        <v>0</v>
      </c>
      <c r="AW770">
        <v>0</v>
      </c>
      <c r="AX770" s="141">
        <f>COUNTIF(V770:AW770,"&lt;&gt;0")</f>
        <v>1</v>
      </c>
      <c r="AY770" s="141">
        <f>COUNTIF(V770:AL770,"&lt;&gt;0")</f>
        <v>1</v>
      </c>
      <c r="AZ770">
        <f>COUNTIF(V770:AC770,"&lt;&gt;0")</f>
        <v>0</v>
      </c>
      <c r="BA770">
        <f>COUNTIF(AD770:AI770,"&lt;&gt;0")</f>
        <v>1</v>
      </c>
      <c r="BB770">
        <f>COUNTIF(AJ770:AL770,"&lt;&gt;0")</f>
        <v>0</v>
      </c>
      <c r="BC770">
        <f>COUNTIF(AS770:AW770,"&lt;&gt;0")</f>
        <v>0</v>
      </c>
      <c r="BD770">
        <f>COUNTIF(AM770:AR770,"&lt;&gt;0")</f>
        <v>0</v>
      </c>
      <c r="BE770" t="str">
        <f t="array" ref="BE770">IF(AY770=1,INDEX($V$7:$AL$7,MATCH(TRUE,INDEX($V770:$AW770&lt;&gt;0,),0)),IF(AY770=0,INDEX($AM$7:$AW$7,MATCH(1,$AM770:$AW770,0)),IF(BF770="Multiple strategies","mixed drivers",IF(BF770="Supply chain","multiple supply","multiple silviculture"))))</f>
        <v>supply chain organization</v>
      </c>
      <c r="BF770" s="2" t="str" cm="1">
        <f t="array" ref="BF770">IF(COUNTIF(AZ770:BB770,"&lt;&gt;0")=1,INDEX($V$4:$AW$4,MATCH(TRUE,INDEX($V770:$AW770&lt;&gt;0,),0)),IF(COUNTIF(AZ770:BB770,"&lt;&gt;0")=0,INDEX($AM$4:$AW$4,MATCH(1,$AM770:$AW770,0)),"Multiple strategies"))</f>
        <v>Supply chain</v>
      </c>
      <c r="BG770" s="1" t="s">
        <v>322</v>
      </c>
      <c r="BH770" t="s">
        <v>1412</v>
      </c>
      <c r="BI770" s="260" t="s">
        <v>3320</v>
      </c>
      <c r="BJ770" t="s">
        <v>1361</v>
      </c>
      <c r="BK770" s="266">
        <f>14.61*1.1</f>
        <v>16.071000000000002</v>
      </c>
      <c r="BL770" s="266">
        <f>14.61*1.1</f>
        <v>16.071000000000002</v>
      </c>
      <c r="BN770" s="227">
        <f>BL770-BK770</f>
        <v>0</v>
      </c>
      <c r="BO770">
        <f>BN770*10^6*tC_to_m3</f>
        <v>0</v>
      </c>
      <c r="BP770" t="s">
        <v>233</v>
      </c>
      <c r="BQ770" s="260" t="s">
        <v>3322</v>
      </c>
      <c r="BR770" t="s">
        <v>1302</v>
      </c>
      <c r="BS770" s="152"/>
      <c r="BT770" s="152"/>
      <c r="BU770" s="144"/>
      <c r="BV770" s="286">
        <v>1.8554103497495831</v>
      </c>
      <c r="BX770">
        <f>BV770*10^6</f>
        <v>1855410.3497495831</v>
      </c>
      <c r="BY770" t="str">
        <f>IFERROR(BX770/BO770,"")</f>
        <v/>
      </c>
      <c r="BZ770">
        <v>0</v>
      </c>
      <c r="CA770">
        <v>0</v>
      </c>
      <c r="CB770">
        <v>0</v>
      </c>
      <c r="CC770">
        <v>0</v>
      </c>
      <c r="CD770">
        <v>0</v>
      </c>
      <c r="CE770">
        <v>0</v>
      </c>
      <c r="CF770">
        <v>0</v>
      </c>
      <c r="CG770">
        <v>0</v>
      </c>
      <c r="CH770">
        <v>0</v>
      </c>
      <c r="CI770">
        <v>0</v>
      </c>
      <c r="CJ770">
        <v>0</v>
      </c>
      <c r="CK770">
        <v>0</v>
      </c>
      <c r="CL770">
        <v>0</v>
      </c>
      <c r="CM770">
        <v>0</v>
      </c>
      <c r="CN770" t="str">
        <f>IF($BL770&lt;$BK770,"refNeedCorrection","refOK")</f>
        <v>refOK</v>
      </c>
      <c r="CO770"/>
      <c r="CP770"/>
      <c r="CQ770">
        <f>IF($CN770="refNeedCorrection",-BO770,BO770)</f>
        <v>0</v>
      </c>
      <c r="CR770">
        <f>IF($CN770="refOK",$BS770,$BT770)*IF($BP770="Emissions positive",-1,1)</f>
        <v>0</v>
      </c>
      <c r="CS770">
        <f>IF($CN770="refOK",$BT770,$BS770)*IF($BP770="Emissions positive",-1,1)</f>
        <v>0</v>
      </c>
      <c r="CT770">
        <f>IF($CN770="refNeedCorrection",-BX770,BX770)*IF($BP770="Emissions positive",-1,1)</f>
        <v>1855410.3497495831</v>
      </c>
      <c r="CU770" t="str">
        <f>IFERROR(CT770/CQ770,"")</f>
        <v/>
      </c>
      <c r="CV770" s="2" t="str">
        <f>IFERROR((CS770-CR770)/ABS(CR770),"")</f>
        <v/>
      </c>
      <c r="CW770" s="1" t="s">
        <v>1201</v>
      </c>
      <c r="CX770" t="str">
        <f>IF(OR($CW770="prd",$CW770="std",$CW770="cit"),"loc",IF(OR($CW770="eur",$CW770="reg",$CW770="coy"),"reg",$CW770))</f>
        <v>reg</v>
      </c>
      <c r="CY770" t="s">
        <v>429</v>
      </c>
      <c r="CZ770">
        <v>2020</v>
      </c>
      <c r="DA770">
        <v>2050</v>
      </c>
      <c r="DB770">
        <v>30</v>
      </c>
      <c r="DC770" t="str">
        <f>IF(DB770=0,"0",IF(AND(DB770&gt;=1,DB770&lt;=30),"1-30",IF(AND(DB770&gt;30,DB770&lt;=70),"31-70",IF(AND(DB770&gt;70,DB770&lt;=100),"71-100",IF(DB770&gt;100,"+100")))))</f>
        <v>1-30</v>
      </c>
      <c r="DD770">
        <v>0</v>
      </c>
      <c r="DE770">
        <v>1</v>
      </c>
      <c r="DF770">
        <v>0</v>
      </c>
      <c r="DG770">
        <v>0</v>
      </c>
      <c r="DI770">
        <f>SUM(DD770:DG770)</f>
        <v>1</v>
      </c>
      <c r="DJ770" t="str">
        <f>IF(DI770=1,INDEX($DD$7:$DG$7,MATCH(1,$DD770:$DG770,0)),"mixedProduct")</f>
        <v>EnergyInput</v>
      </c>
      <c r="DK770">
        <f>IF(DD770=1,DK$7,0)</f>
        <v>0</v>
      </c>
      <c r="DL770" t="str">
        <f>IF(DE770=1,DL$7,0)</f>
        <v>Energy</v>
      </c>
      <c r="DM770">
        <f>IF(DF770=1,DM$7,0)</f>
        <v>0</v>
      </c>
      <c r="DN770">
        <f>IF(DG770=1,DN$7,0)</f>
        <v>0</v>
      </c>
      <c r="DO770">
        <v>0</v>
      </c>
      <c r="DP770">
        <v>1</v>
      </c>
      <c r="DQ770" t="s">
        <v>1413</v>
      </c>
      <c r="DR770" t="s">
        <v>1414</v>
      </c>
      <c r="DS770">
        <v>0</v>
      </c>
      <c r="DT770">
        <f>SUM(DO770:DP770)</f>
        <v>1</v>
      </c>
      <c r="DU770" s="143" t="str">
        <f>IF(DO770=1,"self-calculated DF",IF(DP770=1,"external DF used","explicit C balance"))</f>
        <v>external DF used</v>
      </c>
      <c r="DV770">
        <v>1</v>
      </c>
      <c r="DW770">
        <v>1</v>
      </c>
      <c r="DX770">
        <v>1</v>
      </c>
      <c r="DY770">
        <v>1</v>
      </c>
      <c r="DZ770">
        <v>0</v>
      </c>
      <c r="EA770" s="143">
        <v>1</v>
      </c>
      <c r="EB770">
        <v>0</v>
      </c>
      <c r="EC770">
        <v>1</v>
      </c>
      <c r="ED770">
        <v>0</v>
      </c>
      <c r="EE770">
        <v>0</v>
      </c>
      <c r="EF770">
        <v>1</v>
      </c>
      <c r="EG770" s="143">
        <v>0</v>
      </c>
      <c r="EH770" s="143">
        <v>0</v>
      </c>
      <c r="EI770" s="2">
        <v>0</v>
      </c>
      <c r="EK770" t="str">
        <f>IF(AND(AND(AND(OR($DX770=1,$DW770=1),OR($EC770=1,$EA770=1)),SUM($DV770:$DZ770,$EF770)&gt;=4),SUM($EA770:$EE770)&gt;=2),"Whole sector","")</f>
        <v>Whole sector</v>
      </c>
      <c r="EL770" t="str">
        <f>IF(AND(AND(OR($DX770=1,$DW770=1),AND($EC770=0,$EA770=0)),SUM($DV770:$DZ770,$EF770)&gt;=4),"Ecosystem approach","")</f>
        <v/>
      </c>
      <c r="EM770" s="2" t="str">
        <f>IF(AND(AND(AND($DX770=0,$DW770=0),OR($EC770=1,$EA770=1)),SUM($EB770:$EE770)&gt;=2),"Technology approach","")</f>
        <v/>
      </c>
      <c r="EP770" t="b">
        <f>IF(ISNUMBER(BU770),IF(ABS(BU770-[4]QC_indicators!$B$2)&gt;3*[4]QC_indicators!$C$2,"C ratio",IF(ISNUMBER(BY770),IF(ABS(BY770-[4]QC_indicators!$B$1)&gt;3*[4]QC_indicators!$C$1,"DF","no"))),IF(ISNUMBER(BY770),IF(ABS(BY770-[4]QC_indicators!$B$1)&gt;3*[4]QC_indicators!$C$1,"DF","no")))</f>
        <v>0</v>
      </c>
      <c r="EQ770" t="s">
        <v>287</v>
      </c>
      <c r="ER770" s="149" t="s">
        <v>350</v>
      </c>
      <c r="ET770" s="266" t="s">
        <v>3275</v>
      </c>
    </row>
    <row r="771" spans="1:150" ht="15" customHeight="1">
      <c r="A771" s="1" t="s">
        <v>1638</v>
      </c>
      <c r="B771" t="s">
        <v>1639</v>
      </c>
      <c r="C771" t="s">
        <v>1640</v>
      </c>
      <c r="D771" t="s">
        <v>1641</v>
      </c>
      <c r="E771" t="s">
        <v>1642</v>
      </c>
      <c r="F771" t="s">
        <v>1643</v>
      </c>
      <c r="G771" t="s">
        <v>1644</v>
      </c>
      <c r="H771" t="s">
        <v>255</v>
      </c>
      <c r="I771">
        <v>2022</v>
      </c>
      <c r="J771">
        <v>0</v>
      </c>
      <c r="K771" t="s">
        <v>1645</v>
      </c>
      <c r="M771" t="str">
        <f>LEFT($D771,FIND(",",$D771)-1)&amp;"_"&amp;I771&amp;L771</f>
        <v>Gregor_2022</v>
      </c>
      <c r="N771" t="s">
        <v>223</v>
      </c>
      <c r="O771" s="161" t="s">
        <v>224</v>
      </c>
      <c r="Q771" s="266" t="s">
        <v>390</v>
      </c>
      <c r="R771" s="271" t="s">
        <v>1156</v>
      </c>
      <c r="S771" s="154" t="s">
        <v>1646</v>
      </c>
      <c r="T771" s="149" t="s">
        <v>1647</v>
      </c>
      <c r="U771" s="266" t="s">
        <v>1648</v>
      </c>
      <c r="V771">
        <v>1</v>
      </c>
      <c r="W771">
        <v>0</v>
      </c>
      <c r="X771">
        <v>0</v>
      </c>
      <c r="Y771">
        <v>0</v>
      </c>
      <c r="Z771">
        <v>0</v>
      </c>
      <c r="AA771">
        <v>0</v>
      </c>
      <c r="AB771">
        <v>0</v>
      </c>
      <c r="AC771">
        <v>0</v>
      </c>
      <c r="AD771">
        <v>0</v>
      </c>
      <c r="AE771">
        <v>0</v>
      </c>
      <c r="AF771">
        <v>0</v>
      </c>
      <c r="AG771">
        <v>0</v>
      </c>
      <c r="AH771">
        <v>0</v>
      </c>
      <c r="AI771">
        <v>0</v>
      </c>
      <c r="AJ771">
        <v>0</v>
      </c>
      <c r="AK771">
        <v>0</v>
      </c>
      <c r="AL771">
        <v>0</v>
      </c>
      <c r="AM771">
        <v>0</v>
      </c>
      <c r="AN771">
        <v>2</v>
      </c>
      <c r="AO771">
        <v>2</v>
      </c>
      <c r="AP771">
        <v>2</v>
      </c>
      <c r="AQ771">
        <v>2</v>
      </c>
      <c r="AR771">
        <v>0</v>
      </c>
      <c r="AS771">
        <v>0</v>
      </c>
      <c r="AT771">
        <v>0</v>
      </c>
      <c r="AU771">
        <v>0</v>
      </c>
      <c r="AV771">
        <v>0</v>
      </c>
      <c r="AW771">
        <v>0</v>
      </c>
      <c r="AX771" s="141">
        <f>COUNTIF(V771:AW771,"&lt;&gt;0")</f>
        <v>5</v>
      </c>
      <c r="AY771" s="141">
        <f>COUNTIF(V771:AL771,"&lt;&gt;0")</f>
        <v>1</v>
      </c>
      <c r="AZ771">
        <f>COUNTIF(V771:AC771,"&lt;&gt;0")</f>
        <v>1</v>
      </c>
      <c r="BA771">
        <f>COUNTIF(AD771:AI771,"&lt;&gt;0")</f>
        <v>0</v>
      </c>
      <c r="BB771">
        <f>COUNTIF(AJ771:AL771,"&lt;&gt;0")</f>
        <v>0</v>
      </c>
      <c r="BC771">
        <f>COUNTIF(AS771:AW771,"&lt;&gt;0")</f>
        <v>0</v>
      </c>
      <c r="BD771">
        <f>COUNTIF(AM771:AR771,"&lt;&gt;0")</f>
        <v>4</v>
      </c>
      <c r="BE771" t="str" cm="1">
        <f t="array" ref="BE771">IF(AY771=1,INDEX($V$7:$AL$7,MATCH(TRUE,INDEX($V771:$AW771&lt;&gt;0,),0)),IF(AY771=0,INDEX($AM$7:$AW$7,MATCH(1,$AM771:$AW771,0)),IF(BF771="Multiple strategies","mixed drivers",IF(BF771="Supply chain","multiple supply","multiple silviculture"))))</f>
        <v>area subject to harvest</v>
      </c>
      <c r="BF771" s="2" t="str" cm="1">
        <f t="array" ref="BF771">IF(COUNTIF(AZ771:BB771,"&lt;&gt;0")=1,INDEX($V$4:$AW$4,MATCH(TRUE,INDEX($V771:$AW771&lt;&gt;0,),0)),IF(COUNTIF(AZ771:BB771,"&lt;&gt;0")=0,INDEX($AM$4:$AW$4,MATCH(1,$AM771:$AW771,0)),"Multiple strategies"))</f>
        <v>SilvicultureRemov</v>
      </c>
      <c r="BG771" s="1" t="s">
        <v>322</v>
      </c>
      <c r="BH771" s="266" t="s">
        <v>1649</v>
      </c>
      <c r="BI771" s="266" t="s">
        <v>690</v>
      </c>
      <c r="BJ771" s="266" t="s">
        <v>1650</v>
      </c>
      <c r="BK771">
        <f>0.08*(2115-2020)</f>
        <v>7.6000000000000005</v>
      </c>
      <c r="BL771">
        <f>2.99*(2115-2020)</f>
        <v>284.05</v>
      </c>
      <c r="BN771">
        <f>BL771-BK771</f>
        <v>276.45</v>
      </c>
      <c r="BO771">
        <f>BL771-BK771</f>
        <v>276.45</v>
      </c>
      <c r="BP771" s="266" t="s">
        <v>233</v>
      </c>
      <c r="BQ771" s="266" t="s">
        <v>1654</v>
      </c>
      <c r="BR771" s="266" t="s">
        <v>1652</v>
      </c>
      <c r="BS771" s="266">
        <f>9.8*10000</f>
        <v>98000</v>
      </c>
      <c r="BT771" s="266">
        <f>12.2*10000</f>
        <v>122000</v>
      </c>
      <c r="BV771">
        <f>BT771-BS771</f>
        <v>24000</v>
      </c>
      <c r="BX771">
        <f>BV771/1000*C_to_CO2</f>
        <v>88.08</v>
      </c>
      <c r="BY771">
        <f>IFERROR(BX771/BO771,"")</f>
        <v>0.31861096039066739</v>
      </c>
      <c r="BZ771">
        <v>0</v>
      </c>
      <c r="CA771">
        <v>0</v>
      </c>
      <c r="CB771">
        <v>0</v>
      </c>
      <c r="CC771">
        <v>0</v>
      </c>
      <c r="CD771">
        <v>0</v>
      </c>
      <c r="CE771">
        <v>0</v>
      </c>
      <c r="CF771">
        <v>0</v>
      </c>
      <c r="CG771">
        <v>0</v>
      </c>
      <c r="CH771">
        <v>0</v>
      </c>
      <c r="CI771">
        <v>0</v>
      </c>
      <c r="CJ771">
        <v>0</v>
      </c>
      <c r="CK771">
        <v>0</v>
      </c>
      <c r="CL771">
        <v>0</v>
      </c>
      <c r="CM771">
        <v>0</v>
      </c>
      <c r="CN771" t="str">
        <f>IF($BL771&lt;$BK771,"refNeedCorrection","refOK")</f>
        <v>refOK</v>
      </c>
      <c r="CO771">
        <f>IF($CN771="refOK",$BK771,$BL771)</f>
        <v>7.6000000000000005</v>
      </c>
      <c r="CP771">
        <f>IF($CN771="refOK",$BL771,$BK771)</f>
        <v>284.05</v>
      </c>
      <c r="CQ771">
        <f>IF($CN771="refOK",$BO771,-$BO771)</f>
        <v>276.45</v>
      </c>
      <c r="CR771">
        <f>IF($CN771="refOK",$BS771,$BT771)*IF($BP771="Emissions positive",-1,1)</f>
        <v>98000</v>
      </c>
      <c r="CS771">
        <f>IF($CN771="refOK",$BT771,$BS771)*IF($BP771="Emissions positive",-1,1)</f>
        <v>122000</v>
      </c>
      <c r="CT771">
        <f>IF($CN771="refNeedCorrection",-BX771,BX771)*IF($BP771="Emissions positive",-1,1)</f>
        <v>88.08</v>
      </c>
      <c r="CU771">
        <f>IFERROR(CT771/CQ771,"")</f>
        <v>0.31861096039066739</v>
      </c>
      <c r="CV771" s="2">
        <f>IFERROR((CS771-CR771)/ABS(CR771),"")</f>
        <v>0.24489795918367346</v>
      </c>
      <c r="CW771" s="162" t="s">
        <v>1464</v>
      </c>
      <c r="CX771" s="266" t="str">
        <f>IF(OR($CW771="prd",$CW771="std",$CW771="cit"),"loc",IF(OR($CW771="eur",$CW771="reg",$CW771="coy"),"reg",$CW771))</f>
        <v>reg</v>
      </c>
      <c r="CY771" s="155" t="s">
        <v>745</v>
      </c>
      <c r="CZ771">
        <v>2020</v>
      </c>
      <c r="DA771">
        <v>2115</v>
      </c>
      <c r="DB771">
        <f>DA771-CZ771</f>
        <v>95</v>
      </c>
      <c r="DC771" t="str">
        <f>IF(DB771=0,"0",IF(AND(DB771&gt;=1,DB771&lt;=30),"1-30",IF(AND(DB771&gt;30,DB771&lt;=70),"31-70",IF(AND(DB771&gt;70,DB771&lt;=100),"71-100",IF(DB771&gt;100,"+100")))))</f>
        <v>71-100</v>
      </c>
      <c r="DD771">
        <v>0</v>
      </c>
      <c r="DE771">
        <v>1</v>
      </c>
      <c r="DF771">
        <v>1</v>
      </c>
      <c r="DG771">
        <v>1</v>
      </c>
      <c r="DH771">
        <v>0</v>
      </c>
      <c r="DI771">
        <f>SUM(DD771:DG771)</f>
        <v>3</v>
      </c>
      <c r="DJ771" t="str">
        <f>IF(DI771=1,INDEX($DD$7:$DG$7,MATCH(1,$DD771:$DG771,0)),"mixedProduct")</f>
        <v>mixedProduct</v>
      </c>
      <c r="DK771">
        <f>IF(DD771=1,DK$7,0)</f>
        <v>0</v>
      </c>
      <c r="DL771" t="str">
        <f>IF(DE771=1,DL$7,0)</f>
        <v>Energy</v>
      </c>
      <c r="DM771" t="str">
        <f>IF(DF771=1,DM$7,0)</f>
        <v>Pulp/Paper</v>
      </c>
      <c r="DN771" t="str">
        <f>IF(DG771=1,DN$7,0)</f>
        <v>Timber</v>
      </c>
      <c r="DO771">
        <v>0</v>
      </c>
      <c r="DP771">
        <v>1</v>
      </c>
      <c r="DQ771" s="266" t="s">
        <v>1653</v>
      </c>
      <c r="DR771" s="266" t="s">
        <v>1653</v>
      </c>
      <c r="DS771" s="266" t="s">
        <v>1653</v>
      </c>
      <c r="DT771">
        <f>SUM(DO771:DP771)</f>
        <v>1</v>
      </c>
      <c r="DU771" s="143" t="str">
        <f>IF(DO771=1,"self-calculated DF",IF(DP771=1,"external DF used","explicit C balance"))</f>
        <v>external DF used</v>
      </c>
      <c r="DV771">
        <v>1</v>
      </c>
      <c r="DW771">
        <v>1</v>
      </c>
      <c r="DX771">
        <v>1</v>
      </c>
      <c r="DY771">
        <v>1</v>
      </c>
      <c r="DZ771">
        <v>0</v>
      </c>
      <c r="EA771">
        <v>0</v>
      </c>
      <c r="EB771">
        <v>0</v>
      </c>
      <c r="EC771">
        <v>0</v>
      </c>
      <c r="ED771">
        <v>0</v>
      </c>
      <c r="EE771">
        <v>0</v>
      </c>
      <c r="EF771">
        <v>1</v>
      </c>
      <c r="EG771">
        <v>0</v>
      </c>
      <c r="EH771">
        <v>1</v>
      </c>
      <c r="EI771" s="2">
        <v>0</v>
      </c>
      <c r="EK771" t="str">
        <f>IF(AND(AND(AND(OR($DX771=1,$DW771=1),OR($EC771=1,$EA771=1)),SUM($DV771:$DZ771,$EF771)&gt;=4),SUM($EA771:$EE771)&gt;=2),"Whole sector","")</f>
        <v/>
      </c>
      <c r="EL771" t="str">
        <f>IF(AND(AND(OR($DX771=1,$DW771=1),AND($EC771=0,$EA771=0)),SUM($DV771:$DZ771,$EF771)&gt;=4),"Ecosystem approach","")</f>
        <v>Ecosystem approach</v>
      </c>
      <c r="EM771" s="2" t="str">
        <f>IF(AND(AND(AND($DX771=0,$DW771=0),OR($EC771=1,$EA771=1)),SUM($EB771:$EE771)&gt;=2),"Technology approach","")</f>
        <v/>
      </c>
      <c r="EP771" t="str">
        <f>IF(ISNUMBER(BU771),IF(ABS(BU771-[1]QC_indicators!$B$2)&gt;3*[1]QC_indicators!$C$2,"C ratio",IF(ISNUMBER(BY771),IF(ABS(BY771-[1]QC_indicators!$B$1)&gt;3*[1]QC_indicators!$C$1,"DF","no"))),IF(ISNUMBER(BY771),IF(ABS(BY771-[1]QC_indicators!$B$1)&gt;3*[1]QC_indicators!$C$1,"DF","no")))</f>
        <v>no</v>
      </c>
      <c r="ET771" s="266" t="s">
        <v>3409</v>
      </c>
    </row>
    <row r="772" spans="1:150" ht="15" hidden="1" customHeight="1">
      <c r="A772" s="1" t="s">
        <v>658</v>
      </c>
      <c r="B772" t="s">
        <v>2082</v>
      </c>
      <c r="C772" t="s">
        <v>2083</v>
      </c>
      <c r="D772" t="s">
        <v>2084</v>
      </c>
      <c r="E772" t="s">
        <v>2085</v>
      </c>
      <c r="F772" t="s">
        <v>2086</v>
      </c>
      <c r="G772" t="s">
        <v>664</v>
      </c>
      <c r="H772" t="s">
        <v>255</v>
      </c>
      <c r="I772">
        <v>2020</v>
      </c>
      <c r="J772">
        <v>4</v>
      </c>
      <c r="K772" t="s">
        <v>2087</v>
      </c>
      <c r="M772" t="str">
        <f t="shared" ref="M747:M810" si="40">LEFT($D772,FIND(",",$D772)-1)&amp;"_"&amp;I772&amp;L772</f>
        <v>Palus_2020</v>
      </c>
      <c r="N772" t="s">
        <v>223</v>
      </c>
      <c r="O772" s="157" t="s">
        <v>514</v>
      </c>
      <c r="P772" t="s">
        <v>224</v>
      </c>
      <c r="Q772" t="s">
        <v>390</v>
      </c>
      <c r="R772" s="255" t="s">
        <v>226</v>
      </c>
      <c r="T772" t="s">
        <v>1185</v>
      </c>
      <c r="U772" t="s">
        <v>1203</v>
      </c>
      <c r="V772">
        <v>0</v>
      </c>
      <c r="W772">
        <v>0</v>
      </c>
      <c r="X772">
        <v>0</v>
      </c>
      <c r="Y772">
        <v>0</v>
      </c>
      <c r="Z772">
        <v>0</v>
      </c>
      <c r="AA772">
        <v>0</v>
      </c>
      <c r="AB772">
        <v>0</v>
      </c>
      <c r="AC772">
        <v>0</v>
      </c>
      <c r="AD772">
        <v>0</v>
      </c>
      <c r="AE772">
        <v>0</v>
      </c>
      <c r="AF772">
        <v>1</v>
      </c>
      <c r="AG772">
        <v>0</v>
      </c>
      <c r="AH772">
        <v>0</v>
      </c>
      <c r="AI772">
        <v>0</v>
      </c>
      <c r="AJ772">
        <v>0</v>
      </c>
      <c r="AK772">
        <v>0</v>
      </c>
      <c r="AL772">
        <v>0</v>
      </c>
      <c r="AM772">
        <v>0</v>
      </c>
      <c r="AN772">
        <v>0</v>
      </c>
      <c r="AO772">
        <v>0</v>
      </c>
      <c r="AP772">
        <v>0</v>
      </c>
      <c r="AQ772">
        <v>0</v>
      </c>
      <c r="AR772">
        <v>0</v>
      </c>
      <c r="AS772">
        <v>1</v>
      </c>
      <c r="AT772">
        <v>0</v>
      </c>
      <c r="AU772">
        <v>0</v>
      </c>
      <c r="AV772">
        <v>0</v>
      </c>
      <c r="AW772">
        <v>0</v>
      </c>
      <c r="AX772" s="141">
        <f t="shared" ref="AX763:AX826" si="41">COUNTIF(V772:AW772,"&lt;&gt;0")</f>
        <v>2</v>
      </c>
      <c r="AY772" s="141">
        <f t="shared" ref="AY730:AY793" si="42">COUNTIF(V772:AL772,"&lt;&gt;0")</f>
        <v>1</v>
      </c>
      <c r="AZ772">
        <f t="shared" ref="AZ730:AZ793" si="43">COUNTIF(V772:AC772,"&lt;&gt;0")</f>
        <v>0</v>
      </c>
      <c r="BA772">
        <f t="shared" ref="BA730:BA793" si="44">COUNTIF(AD772:AI772,"&lt;&gt;0")</f>
        <v>1</v>
      </c>
      <c r="BB772">
        <f t="shared" ref="BB730:BB793" si="45">COUNTIF(AJ772:AL772,"&lt;&gt;0")</f>
        <v>0</v>
      </c>
      <c r="BC772">
        <f t="shared" ref="BC730:BC793" si="46">COUNTIF(AS772:AW772,"&lt;&gt;0")</f>
        <v>1</v>
      </c>
      <c r="BD772">
        <f t="shared" ref="BD730:BD793" si="47">COUNTIF(AM772:AR772,"&lt;&gt;0")</f>
        <v>0</v>
      </c>
      <c r="BE772" t="str">
        <f t="array" ref="BE772">IF(AY772=1,INDEX($V$7:$AL$7,MATCH(TRUE,INDEX($V772:$AW772&lt;&gt;0,),0)),IF(AY772=0,INDEX($AM$7:$AW$7,MATCH(1,$AM772:$AW772,0)),IF(BF772="Multiple strategies","mixed drivers",IF(BF772="Supply chain","multiple supply","multiple silviculture"))))</f>
        <v>supply chain organization</v>
      </c>
      <c r="BF772" s="2" t="str" cm="1">
        <f t="array" ref="BF772">IF(COUNTIF(AZ772:BB772,"&lt;&gt;0")=1,INDEX($V$4:$AW$4,MATCH(TRUE,INDEX($V772:$AW772&lt;&gt;0,),0)),IF(COUNTIF(AZ772:BB772,"&lt;&gt;0")=0,INDEX($AM$4:$AW$4,MATCH(1,$AM772:$AW772,0)),"Multiple strategies"))</f>
        <v>Supply chain</v>
      </c>
      <c r="BG772" s="1" t="s">
        <v>322</v>
      </c>
      <c r="BH772" t="s">
        <v>834</v>
      </c>
      <c r="BI772" t="s">
        <v>701</v>
      </c>
      <c r="BJ772" t="s">
        <v>2088</v>
      </c>
      <c r="BK772">
        <v>7856.3</v>
      </c>
      <c r="BL772">
        <v>8091.4</v>
      </c>
      <c r="BM772">
        <f>IFERROR(BK772/BL772,"")</f>
        <v>0.97094445954964537</v>
      </c>
      <c r="BN772" s="260">
        <f t="shared" ref="BN709:BN772" si="48">BL772-BK772</f>
        <v>235.09999999999945</v>
      </c>
      <c r="BO772" s="260">
        <f>BN772*1000</f>
        <v>235099.99999999945</v>
      </c>
      <c r="BP772" t="s">
        <v>396</v>
      </c>
      <c r="BQ772" s="260" t="s">
        <v>3391</v>
      </c>
      <c r="BR772" t="s">
        <v>2089</v>
      </c>
      <c r="BS772">
        <v>-2445.48</v>
      </c>
      <c r="BT772">
        <v>-1535.25</v>
      </c>
      <c r="BV772">
        <f>BT772-BS772</f>
        <v>910.23</v>
      </c>
      <c r="BX772">
        <f>BV772*1000</f>
        <v>910230</v>
      </c>
      <c r="BY772">
        <f t="shared" ref="BY730:BY793" si="49">IFERROR(BX772/BO772,"")</f>
        <v>3.8716716290940116</v>
      </c>
      <c r="BZ772">
        <v>0</v>
      </c>
      <c r="CA772">
        <v>0</v>
      </c>
      <c r="CB772">
        <v>0</v>
      </c>
      <c r="CC772">
        <v>0</v>
      </c>
      <c r="CD772">
        <v>0</v>
      </c>
      <c r="CE772">
        <v>0</v>
      </c>
      <c r="CF772">
        <v>0</v>
      </c>
      <c r="CG772">
        <v>0</v>
      </c>
      <c r="CH772">
        <v>0</v>
      </c>
      <c r="CI772">
        <v>0</v>
      </c>
      <c r="CJ772">
        <v>0</v>
      </c>
      <c r="CK772">
        <v>0</v>
      </c>
      <c r="CL772">
        <v>0</v>
      </c>
      <c r="CM772">
        <v>0</v>
      </c>
      <c r="CN772" t="str">
        <f t="shared" ref="CN772:CN777" si="50">IF($BL772&lt;$BK772,"refNeedCorrection","refOK")</f>
        <v>refOK</v>
      </c>
      <c r="CO772">
        <f>IF($CN772="refOK",$BL772,$BK772)</f>
        <v>8091.4</v>
      </c>
      <c r="CP772">
        <f>IF($CN772="refOK",$BK772,$BL772)</f>
        <v>7856.3</v>
      </c>
      <c r="CQ772">
        <f t="shared" ref="CQ772:CQ835" si="51">IF($CN772="refOK",$BO772,-$BO772)</f>
        <v>235099.99999999945</v>
      </c>
      <c r="CR772">
        <f>IF($CN772="refOK",$BU772,$BT772)*IF($BP772="Emissions positive",-1,1)</f>
        <v>0</v>
      </c>
      <c r="CS772">
        <f>IF($CN772="refOK",$BT772,$BU772)*IF($BP772="Emissions positive",-1,1)</f>
        <v>1535.25</v>
      </c>
      <c r="CT772">
        <f t="shared" ref="CT751:CT782" si="52">IF($CN772="refNeedCorrection",-BX772,BX772)*IF($BP772="Emissions positive",-1,1)</f>
        <v>-910230</v>
      </c>
      <c r="CU772">
        <f t="shared" ref="CU749:CU812" si="53">IFERROR(CT772/CQ772,"")</f>
        <v>-3.8716716290940116</v>
      </c>
      <c r="CV772" s="2" t="str">
        <f t="shared" ref="CV730:CV793" si="54">IFERROR((CS772-CR772)/ABS(CR772),"")</f>
        <v/>
      </c>
      <c r="CW772" s="1" t="s">
        <v>1205</v>
      </c>
      <c r="CX772" t="str">
        <f t="shared" ref="CX730:CX793" si="55">IF(OR($CW772="prd",$CW772="std",$CW772="cit"),"loc",IF(OR($CW772="eur",$CW772="reg",$CW772="coy"),"reg",$CW772))</f>
        <v>reg</v>
      </c>
      <c r="CY772" t="s">
        <v>2090</v>
      </c>
      <c r="CZ772">
        <v>2017</v>
      </c>
      <c r="DA772">
        <v>2017</v>
      </c>
      <c r="DB772">
        <f>DA772-CZ772</f>
        <v>0</v>
      </c>
      <c r="DC772" t="str">
        <f t="shared" ref="DC730:DC793" si="56">IF(DB772=0,"0",IF(AND(DB772&gt;=1,DB772&lt;=30),"1-30",IF(AND(DB772&gt;30,DB772&lt;=70),"31-70",IF(AND(DB772&gt;70,DB772&lt;=100),"71-100",IF(DB772&gt;100,"+100")))))</f>
        <v>0</v>
      </c>
      <c r="DD772">
        <v>0</v>
      </c>
      <c r="DE772">
        <v>0</v>
      </c>
      <c r="DF772">
        <v>1</v>
      </c>
      <c r="DG772">
        <v>1</v>
      </c>
      <c r="DH772">
        <v>0</v>
      </c>
      <c r="DI772">
        <f>SUM(DD772:DH772)</f>
        <v>2</v>
      </c>
      <c r="DJ772" t="str">
        <f t="shared" ref="DJ747:DJ810" si="57">IF(DI772=1,INDEX($DD$7:$DG$7,MATCH(1,$DD772:$DG772,0)),"mixedProduct")</f>
        <v>mixedProduct</v>
      </c>
      <c r="DK772">
        <f t="shared" ref="DK712:DK775" si="58">IF(DD772=1,DK$7,0)</f>
        <v>0</v>
      </c>
      <c r="DL772">
        <f t="shared" ref="DL712:DL775" si="59">IF(DE772=1,DL$7,0)</f>
        <v>0</v>
      </c>
      <c r="DM772" t="str">
        <f t="shared" ref="DM712:DM775" si="60">IF(DF772=1,DM$7,0)</f>
        <v>Pulp/Paper</v>
      </c>
      <c r="DN772" t="str">
        <f t="shared" ref="DN712:DN775" si="61">IF(DG772=1,DN$7,0)</f>
        <v>Timber</v>
      </c>
      <c r="DO772">
        <v>0</v>
      </c>
      <c r="DP772">
        <v>0</v>
      </c>
      <c r="DQ772">
        <v>0</v>
      </c>
      <c r="DR772">
        <v>0</v>
      </c>
      <c r="DS772">
        <v>0</v>
      </c>
      <c r="DT772"/>
      <c r="DU772" s="143" t="str">
        <f t="shared" ref="DU731:DU794" si="62">IF(DO772=1,"self-calculated DF",IF(DP772=1,"external DF used","explicit C balance"))</f>
        <v>explicit C balance</v>
      </c>
      <c r="DV772">
        <v>0</v>
      </c>
      <c r="DW772">
        <v>0</v>
      </c>
      <c r="DX772">
        <v>0</v>
      </c>
      <c r="DY772">
        <v>1</v>
      </c>
      <c r="DZ772">
        <v>1</v>
      </c>
      <c r="EA772">
        <v>0</v>
      </c>
      <c r="EB772">
        <v>0</v>
      </c>
      <c r="EC772">
        <v>0</v>
      </c>
      <c r="ED772">
        <v>0</v>
      </c>
      <c r="EE772">
        <v>0</v>
      </c>
      <c r="EF772">
        <v>1</v>
      </c>
      <c r="EG772">
        <v>0</v>
      </c>
      <c r="EH772">
        <v>0</v>
      </c>
      <c r="EI772" s="2">
        <v>0</v>
      </c>
      <c r="EK772" t="str">
        <f t="shared" ref="EK712:EK775" si="63">IF(AND(AND(AND(OR($DX772=1,$DW772=1),OR($EC772=1,$EA772=1)),SUM($DV772:$DZ772,$EF772)&gt;=4),SUM($EA772:$EE772)&gt;=2),"Whole sector","")</f>
        <v/>
      </c>
      <c r="EL772" t="str">
        <f t="shared" ref="EL712:EL775" si="64">IF(AND(AND(OR($DX772=1,$DW772=1),AND($EC772=0,$EA772=0)),SUM($DV772:$DZ772,$EF772)&gt;=4),"Ecosystem approach","")</f>
        <v/>
      </c>
      <c r="EM772" s="2" t="str">
        <f t="shared" ref="EM730:EM793" si="65">IF(AND(AND(AND($DX772=0,$DW772=0),OR($EC772=1,$EA772=1)),SUM($EB772:$EE772)&gt;=2),"Technology approach","")</f>
        <v/>
      </c>
      <c r="EP772" t="str">
        <f>IF(ISNUMBER(BU772),IF(ABS(BU772-[4]QC_indicators!$B$2)&gt;3*[4]QC_indicators!$C$2,"C ratio",IF(ISNUMBER(BY772),IF(ABS(BY772-[4]QC_indicators!$B$1)&gt;3*[4]QC_indicators!$C$1,"DF","no"))),IF(ISNUMBER(BY772),IF(ABS(BY772-[4]QC_indicators!$B$1)&gt;3*[4]QC_indicators!$C$1,"DF","no")))</f>
        <v>no</v>
      </c>
      <c r="ET772" s="266" t="s">
        <v>3275</v>
      </c>
    </row>
    <row r="773" spans="1:150" ht="15" hidden="1" customHeight="1">
      <c r="A773" s="1" t="s">
        <v>658</v>
      </c>
      <c r="B773" t="s">
        <v>2082</v>
      </c>
      <c r="C773" t="s">
        <v>2083</v>
      </c>
      <c r="D773" t="s">
        <v>2084</v>
      </c>
      <c r="E773" t="s">
        <v>2085</v>
      </c>
      <c r="F773" t="s">
        <v>2086</v>
      </c>
      <c r="G773" t="s">
        <v>664</v>
      </c>
      <c r="H773" t="s">
        <v>255</v>
      </c>
      <c r="I773">
        <v>2020</v>
      </c>
      <c r="J773">
        <v>4</v>
      </c>
      <c r="K773" t="s">
        <v>2087</v>
      </c>
      <c r="M773" t="str">
        <f t="shared" si="40"/>
        <v>Palus_2020</v>
      </c>
      <c r="N773" t="s">
        <v>223</v>
      </c>
      <c r="O773" s="157" t="s">
        <v>514</v>
      </c>
      <c r="P773" t="s">
        <v>224</v>
      </c>
      <c r="Q773" t="s">
        <v>390</v>
      </c>
      <c r="R773" s="255" t="s">
        <v>226</v>
      </c>
      <c r="T773" t="s">
        <v>1203</v>
      </c>
      <c r="U773" t="s">
        <v>1204</v>
      </c>
      <c r="V773">
        <v>0</v>
      </c>
      <c r="W773">
        <v>0</v>
      </c>
      <c r="X773">
        <v>0</v>
      </c>
      <c r="Y773">
        <v>0</v>
      </c>
      <c r="Z773">
        <v>0</v>
      </c>
      <c r="AA773">
        <v>0</v>
      </c>
      <c r="AB773">
        <v>0</v>
      </c>
      <c r="AC773">
        <v>0</v>
      </c>
      <c r="AD773">
        <v>0</v>
      </c>
      <c r="AE773">
        <v>0</v>
      </c>
      <c r="AF773">
        <v>1</v>
      </c>
      <c r="AG773">
        <v>0</v>
      </c>
      <c r="AH773">
        <v>0</v>
      </c>
      <c r="AI773">
        <v>0</v>
      </c>
      <c r="AJ773">
        <v>0</v>
      </c>
      <c r="AK773">
        <v>0</v>
      </c>
      <c r="AL773">
        <v>0</v>
      </c>
      <c r="AM773">
        <v>0</v>
      </c>
      <c r="AN773">
        <v>0</v>
      </c>
      <c r="AO773">
        <v>0</v>
      </c>
      <c r="AP773">
        <v>0</v>
      </c>
      <c r="AQ773">
        <v>0</v>
      </c>
      <c r="AR773">
        <v>0</v>
      </c>
      <c r="AS773">
        <v>1</v>
      </c>
      <c r="AT773">
        <v>0</v>
      </c>
      <c r="AU773">
        <v>0</v>
      </c>
      <c r="AV773">
        <v>0</v>
      </c>
      <c r="AW773">
        <v>0</v>
      </c>
      <c r="AX773" s="141">
        <f t="shared" si="41"/>
        <v>2</v>
      </c>
      <c r="AY773" s="141">
        <f t="shared" si="42"/>
        <v>1</v>
      </c>
      <c r="AZ773">
        <f t="shared" si="43"/>
        <v>0</v>
      </c>
      <c r="BA773">
        <f t="shared" si="44"/>
        <v>1</v>
      </c>
      <c r="BB773">
        <f t="shared" si="45"/>
        <v>0</v>
      </c>
      <c r="BC773">
        <f t="shared" si="46"/>
        <v>1</v>
      </c>
      <c r="BD773">
        <f t="shared" si="47"/>
        <v>0</v>
      </c>
      <c r="BE773" t="str">
        <f t="array" ref="BE773">IF(AY773=1,INDEX($V$7:$AL$7,MATCH(TRUE,INDEX($V773:$AW773&lt;&gt;0,),0)),IF(AY773=0,INDEX($AM$7:$AW$7,MATCH(1,$AM773:$AW773,0)),IF(BF773="Multiple strategies","mixed drivers",IF(BF773="Supply chain","multiple supply","multiple silviculture"))))</f>
        <v>supply chain organization</v>
      </c>
      <c r="BF773" s="2" t="str" cm="1">
        <f t="array" ref="BF773">IF(COUNTIF(AZ773:BB773,"&lt;&gt;0")=1,INDEX($V$4:$AW$4,MATCH(TRUE,INDEX($V773:$AW773&lt;&gt;0,),0)),IF(COUNTIF(AZ773:BB773,"&lt;&gt;0")=0,INDEX($AM$4:$AW$4,MATCH(1,$AM773:$AW773,0)),"Multiple strategies"))</f>
        <v>Supply chain</v>
      </c>
      <c r="BG773" s="1" t="s">
        <v>322</v>
      </c>
      <c r="BH773" t="s">
        <v>834</v>
      </c>
      <c r="BI773" t="s">
        <v>701</v>
      </c>
      <c r="BJ773" t="s">
        <v>2088</v>
      </c>
      <c r="BK773">
        <v>8091.4</v>
      </c>
      <c r="BL773">
        <v>9602.9</v>
      </c>
      <c r="BM773">
        <f>IFERROR(BL773/BK773,"")</f>
        <v>1.1868032726104258</v>
      </c>
      <c r="BN773">
        <f t="shared" ref="BN773:BN836" si="66">BL773-BK773</f>
        <v>1511.5</v>
      </c>
      <c r="BO773">
        <f>BN773*1000</f>
        <v>1511500</v>
      </c>
      <c r="BP773" t="s">
        <v>396</v>
      </c>
      <c r="BQ773" s="260" t="s">
        <v>3391</v>
      </c>
      <c r="BR773" t="s">
        <v>2089</v>
      </c>
      <c r="BS773">
        <v>-1535.25</v>
      </c>
      <c r="BT773">
        <v>-3609.55</v>
      </c>
      <c r="BU773" s="144"/>
      <c r="BV773">
        <f>BT773-BS773</f>
        <v>-2074.3000000000002</v>
      </c>
      <c r="BX773">
        <f>BV773*1000</f>
        <v>-2074300.0000000002</v>
      </c>
      <c r="BY773">
        <f t="shared" si="49"/>
        <v>-1.3723453522990408</v>
      </c>
      <c r="BZ773">
        <v>0</v>
      </c>
      <c r="CA773">
        <v>0</v>
      </c>
      <c r="CB773">
        <v>0</v>
      </c>
      <c r="CC773">
        <v>0</v>
      </c>
      <c r="CD773">
        <v>0</v>
      </c>
      <c r="CE773">
        <v>0</v>
      </c>
      <c r="CF773">
        <v>0</v>
      </c>
      <c r="CG773">
        <v>0</v>
      </c>
      <c r="CH773">
        <v>0</v>
      </c>
      <c r="CI773">
        <v>0</v>
      </c>
      <c r="CJ773">
        <v>0</v>
      </c>
      <c r="CK773">
        <v>0</v>
      </c>
      <c r="CL773">
        <v>0</v>
      </c>
      <c r="CM773">
        <v>0</v>
      </c>
      <c r="CN773" t="str">
        <f t="shared" si="50"/>
        <v>refOK</v>
      </c>
      <c r="CO773">
        <f t="shared" ref="CO773:CO804" si="67">IF($CN773="refOK",$BK773,$BL773)</f>
        <v>8091.4</v>
      </c>
      <c r="CP773">
        <f t="shared" ref="CP773:CP804" si="68">IF($CN773="refOK",$BL773,$BK773)</f>
        <v>9602.9</v>
      </c>
      <c r="CQ773">
        <f t="shared" si="51"/>
        <v>1511500</v>
      </c>
      <c r="CR773">
        <f t="shared" ref="CR773:CR815" si="69">IF($CN773="refOK",$BS773,$BT773)*IF($BP773="Emissions positive",-1,1)</f>
        <v>1535.25</v>
      </c>
      <c r="CS773">
        <f t="shared" ref="CS773:CS815" si="70">IF($CN773="refOK",$BT773,$BS773)*IF($BP773="Emissions positive",-1,1)</f>
        <v>3609.55</v>
      </c>
      <c r="CT773">
        <f t="shared" si="52"/>
        <v>2074300.0000000002</v>
      </c>
      <c r="CU773">
        <f t="shared" si="53"/>
        <v>1.3723453522990408</v>
      </c>
      <c r="CV773" s="2">
        <f t="shared" si="54"/>
        <v>1.3511154535092005</v>
      </c>
      <c r="CW773" s="1" t="s">
        <v>1205</v>
      </c>
      <c r="CX773" t="str">
        <f t="shared" si="55"/>
        <v>reg</v>
      </c>
      <c r="CY773" t="s">
        <v>2090</v>
      </c>
      <c r="CZ773">
        <v>2017</v>
      </c>
      <c r="DA773">
        <v>2017</v>
      </c>
      <c r="DB773">
        <f>DA773-CZ773</f>
        <v>0</v>
      </c>
      <c r="DC773" t="str">
        <f t="shared" si="56"/>
        <v>0</v>
      </c>
      <c r="DD773">
        <v>0</v>
      </c>
      <c r="DE773">
        <v>0</v>
      </c>
      <c r="DF773">
        <v>1</v>
      </c>
      <c r="DG773">
        <v>1</v>
      </c>
      <c r="DH773">
        <v>0</v>
      </c>
      <c r="DI773">
        <f>SUM(DD773:DH773)</f>
        <v>2</v>
      </c>
      <c r="DJ773" t="str">
        <f t="shared" si="57"/>
        <v>mixedProduct</v>
      </c>
      <c r="DK773">
        <f t="shared" si="58"/>
        <v>0</v>
      </c>
      <c r="DL773">
        <f t="shared" si="59"/>
        <v>0</v>
      </c>
      <c r="DM773" t="str">
        <f t="shared" si="60"/>
        <v>Pulp/Paper</v>
      </c>
      <c r="DN773" t="str">
        <f t="shared" si="61"/>
        <v>Timber</v>
      </c>
      <c r="DO773">
        <v>0</v>
      </c>
      <c r="DP773">
        <v>0</v>
      </c>
      <c r="DQ773">
        <v>0</v>
      </c>
      <c r="DR773">
        <v>0</v>
      </c>
      <c r="DS773">
        <v>0</v>
      </c>
      <c r="DT773"/>
      <c r="DU773" s="143" t="str">
        <f t="shared" si="62"/>
        <v>explicit C balance</v>
      </c>
      <c r="DV773">
        <v>0</v>
      </c>
      <c r="DW773">
        <v>0</v>
      </c>
      <c r="DX773">
        <v>0</v>
      </c>
      <c r="DY773">
        <v>1</v>
      </c>
      <c r="DZ773">
        <v>1</v>
      </c>
      <c r="EA773">
        <v>0</v>
      </c>
      <c r="EB773">
        <v>0</v>
      </c>
      <c r="EC773">
        <v>0</v>
      </c>
      <c r="ED773">
        <v>0</v>
      </c>
      <c r="EE773">
        <v>0</v>
      </c>
      <c r="EF773">
        <v>1</v>
      </c>
      <c r="EG773">
        <v>0</v>
      </c>
      <c r="EH773">
        <v>0</v>
      </c>
      <c r="EI773" s="2">
        <v>0</v>
      </c>
      <c r="EK773" t="str">
        <f t="shared" si="63"/>
        <v/>
      </c>
      <c r="EL773" t="str">
        <f t="shared" si="64"/>
        <v/>
      </c>
      <c r="EM773" s="2" t="str">
        <f t="shared" si="65"/>
        <v/>
      </c>
      <c r="EP773" t="str">
        <f>IF(ISNUMBER(BU773),IF(ABS(BU773-[4]QC_indicators!$B$2)&gt;3*[4]QC_indicators!$C$2,"C ratio",IF(ISNUMBER(BY773),IF(ABS(BY773-[4]QC_indicators!$B$1)&gt;3*[4]QC_indicators!$C$1,"DF","no"))),IF(ISNUMBER(BY773),IF(ABS(BY773-[4]QC_indicators!$B$1)&gt;3*[4]QC_indicators!$C$1,"DF","no")))</f>
        <v>no</v>
      </c>
      <c r="ET773" s="266" t="s">
        <v>3275</v>
      </c>
    </row>
    <row r="774" spans="1:150" ht="15" hidden="1" customHeight="1">
      <c r="A774" s="1" t="s">
        <v>658</v>
      </c>
      <c r="B774" t="s">
        <v>2082</v>
      </c>
      <c r="C774" t="s">
        <v>2083</v>
      </c>
      <c r="D774" t="s">
        <v>2084</v>
      </c>
      <c r="E774" t="s">
        <v>2085</v>
      </c>
      <c r="F774" t="s">
        <v>2086</v>
      </c>
      <c r="G774" t="s">
        <v>664</v>
      </c>
      <c r="H774" t="s">
        <v>255</v>
      </c>
      <c r="I774">
        <v>2020</v>
      </c>
      <c r="J774">
        <v>4</v>
      </c>
      <c r="K774" t="s">
        <v>2087</v>
      </c>
      <c r="M774" t="str">
        <f t="shared" si="40"/>
        <v>Palus_2020</v>
      </c>
      <c r="N774" t="s">
        <v>223</v>
      </c>
      <c r="O774" s="157" t="s">
        <v>514</v>
      </c>
      <c r="P774" t="s">
        <v>224</v>
      </c>
      <c r="Q774" t="s">
        <v>390</v>
      </c>
      <c r="R774" s="255" t="s">
        <v>226</v>
      </c>
      <c r="T774" t="s">
        <v>1203</v>
      </c>
      <c r="U774" t="s">
        <v>1202</v>
      </c>
      <c r="V774">
        <v>0</v>
      </c>
      <c r="W774">
        <v>0</v>
      </c>
      <c r="X774">
        <v>0</v>
      </c>
      <c r="Y774">
        <v>0</v>
      </c>
      <c r="Z774">
        <v>0</v>
      </c>
      <c r="AA774">
        <v>0</v>
      </c>
      <c r="AB774">
        <v>0</v>
      </c>
      <c r="AC774">
        <v>0</v>
      </c>
      <c r="AD774">
        <v>0</v>
      </c>
      <c r="AE774">
        <v>0</v>
      </c>
      <c r="AF774">
        <v>1</v>
      </c>
      <c r="AG774">
        <v>0</v>
      </c>
      <c r="AH774">
        <v>0</v>
      </c>
      <c r="AI774">
        <v>0</v>
      </c>
      <c r="AJ774">
        <v>0</v>
      </c>
      <c r="AK774">
        <v>0</v>
      </c>
      <c r="AL774">
        <v>0</v>
      </c>
      <c r="AM774">
        <v>0</v>
      </c>
      <c r="AN774">
        <v>0</v>
      </c>
      <c r="AO774">
        <v>0</v>
      </c>
      <c r="AP774">
        <v>0</v>
      </c>
      <c r="AQ774">
        <v>0</v>
      </c>
      <c r="AR774">
        <v>0</v>
      </c>
      <c r="AS774">
        <v>1</v>
      </c>
      <c r="AT774">
        <v>0</v>
      </c>
      <c r="AU774">
        <v>0</v>
      </c>
      <c r="AV774">
        <v>0</v>
      </c>
      <c r="AW774">
        <v>0</v>
      </c>
      <c r="AX774" s="141">
        <f t="shared" si="41"/>
        <v>2</v>
      </c>
      <c r="AY774" s="141">
        <f t="shared" si="42"/>
        <v>1</v>
      </c>
      <c r="AZ774">
        <f t="shared" si="43"/>
        <v>0</v>
      </c>
      <c r="BA774">
        <f t="shared" si="44"/>
        <v>1</v>
      </c>
      <c r="BB774">
        <f t="shared" si="45"/>
        <v>0</v>
      </c>
      <c r="BC774">
        <f t="shared" si="46"/>
        <v>1</v>
      </c>
      <c r="BD774">
        <f t="shared" si="47"/>
        <v>0</v>
      </c>
      <c r="BE774" t="str">
        <f t="array" ref="BE774">IF(AY774=1,INDEX($V$7:$AL$7,MATCH(TRUE,INDEX($V774:$AW774&lt;&gt;0,),0)),IF(AY774=0,INDEX($AM$7:$AW$7,MATCH(1,$AM774:$AW774,0)),IF(BF774="Multiple strategies","mixed drivers",IF(BF774="Supply chain","multiple supply","multiple silviculture"))))</f>
        <v>supply chain organization</v>
      </c>
      <c r="BF774" s="2" t="str" cm="1">
        <f t="array" ref="BF774">IF(COUNTIF(AZ774:BB774,"&lt;&gt;0")=1,INDEX($V$4:$AW$4,MATCH(TRUE,INDEX($V774:$AW774&lt;&gt;0,),0)),IF(COUNTIF(AZ774:BB774,"&lt;&gt;0")=0,INDEX($AM$4:$AW$4,MATCH(1,$AM774:$AW774,0)),"Multiple strategies"))</f>
        <v>Supply chain</v>
      </c>
      <c r="BG774" s="1" t="s">
        <v>322</v>
      </c>
      <c r="BH774" t="s">
        <v>834</v>
      </c>
      <c r="BI774" t="s">
        <v>701</v>
      </c>
      <c r="BJ774" t="s">
        <v>2088</v>
      </c>
      <c r="BK774">
        <v>8091.4</v>
      </c>
      <c r="BL774">
        <v>9394.9</v>
      </c>
      <c r="BM774">
        <f>IFERROR(BL774/BK774,"")</f>
        <v>1.1610969671503077</v>
      </c>
      <c r="BN774">
        <f t="shared" si="66"/>
        <v>1303.5</v>
      </c>
      <c r="BO774">
        <f>BN774*1000</f>
        <v>1303500</v>
      </c>
      <c r="BP774" t="s">
        <v>396</v>
      </c>
      <c r="BQ774" s="260" t="s">
        <v>3391</v>
      </c>
      <c r="BR774" t="s">
        <v>2089</v>
      </c>
      <c r="BS774">
        <v>-1535.25</v>
      </c>
      <c r="BT774">
        <v>-2515.0300000000002</v>
      </c>
      <c r="BU774" s="144"/>
      <c r="BV774">
        <f>BT774-BS774</f>
        <v>-979.7800000000002</v>
      </c>
      <c r="BX774">
        <f>BV774*1000</f>
        <v>-979780.00000000023</v>
      </c>
      <c r="BY774">
        <f t="shared" si="49"/>
        <v>-0.75165324127349464</v>
      </c>
      <c r="BZ774">
        <v>0</v>
      </c>
      <c r="CA774">
        <v>0</v>
      </c>
      <c r="CB774">
        <v>0</v>
      </c>
      <c r="CC774">
        <v>0</v>
      </c>
      <c r="CD774">
        <v>0</v>
      </c>
      <c r="CE774">
        <v>0</v>
      </c>
      <c r="CF774">
        <v>0</v>
      </c>
      <c r="CG774">
        <v>0</v>
      </c>
      <c r="CH774">
        <v>0</v>
      </c>
      <c r="CI774">
        <v>0</v>
      </c>
      <c r="CJ774">
        <v>0</v>
      </c>
      <c r="CK774">
        <v>0</v>
      </c>
      <c r="CL774">
        <v>0</v>
      </c>
      <c r="CM774">
        <v>0</v>
      </c>
      <c r="CN774" t="str">
        <f t="shared" si="50"/>
        <v>refOK</v>
      </c>
      <c r="CO774">
        <f t="shared" si="67"/>
        <v>8091.4</v>
      </c>
      <c r="CP774">
        <f t="shared" si="68"/>
        <v>9394.9</v>
      </c>
      <c r="CQ774">
        <f t="shared" si="51"/>
        <v>1303500</v>
      </c>
      <c r="CR774">
        <f t="shared" si="69"/>
        <v>1535.25</v>
      </c>
      <c r="CS774">
        <f t="shared" si="70"/>
        <v>2515.0300000000002</v>
      </c>
      <c r="CT774">
        <f t="shared" si="52"/>
        <v>979780.00000000023</v>
      </c>
      <c r="CU774">
        <f t="shared" si="53"/>
        <v>0.75165324127349464</v>
      </c>
      <c r="CV774" s="2">
        <f t="shared" si="54"/>
        <v>0.63818921999674338</v>
      </c>
      <c r="CW774" s="1" t="s">
        <v>1205</v>
      </c>
      <c r="CX774" t="str">
        <f t="shared" si="55"/>
        <v>reg</v>
      </c>
      <c r="CY774" t="s">
        <v>2090</v>
      </c>
      <c r="CZ774">
        <v>2017</v>
      </c>
      <c r="DA774">
        <v>2017</v>
      </c>
      <c r="DB774">
        <f>DA774-CZ774</f>
        <v>0</v>
      </c>
      <c r="DC774" t="str">
        <f t="shared" si="56"/>
        <v>0</v>
      </c>
      <c r="DD774">
        <v>0</v>
      </c>
      <c r="DE774">
        <v>0</v>
      </c>
      <c r="DF774">
        <v>1</v>
      </c>
      <c r="DG774">
        <v>1</v>
      </c>
      <c r="DH774">
        <v>0</v>
      </c>
      <c r="DI774">
        <f>SUM(DD774:DH774)</f>
        <v>2</v>
      </c>
      <c r="DJ774" t="str">
        <f t="shared" si="57"/>
        <v>mixedProduct</v>
      </c>
      <c r="DK774">
        <f t="shared" si="58"/>
        <v>0</v>
      </c>
      <c r="DL774">
        <f t="shared" si="59"/>
        <v>0</v>
      </c>
      <c r="DM774" t="str">
        <f t="shared" si="60"/>
        <v>Pulp/Paper</v>
      </c>
      <c r="DN774" t="str">
        <f t="shared" si="61"/>
        <v>Timber</v>
      </c>
      <c r="DO774">
        <v>0</v>
      </c>
      <c r="DP774">
        <v>0</v>
      </c>
      <c r="DQ774">
        <v>0</v>
      </c>
      <c r="DR774">
        <v>0</v>
      </c>
      <c r="DS774">
        <v>0</v>
      </c>
      <c r="DT774"/>
      <c r="DU774" s="143" t="str">
        <f t="shared" si="62"/>
        <v>explicit C balance</v>
      </c>
      <c r="DV774">
        <v>0</v>
      </c>
      <c r="DW774">
        <v>0</v>
      </c>
      <c r="DX774">
        <v>0</v>
      </c>
      <c r="DY774">
        <v>1</v>
      </c>
      <c r="DZ774">
        <v>1</v>
      </c>
      <c r="EA774">
        <v>0</v>
      </c>
      <c r="EB774">
        <v>0</v>
      </c>
      <c r="EC774">
        <v>0</v>
      </c>
      <c r="ED774">
        <v>0</v>
      </c>
      <c r="EE774">
        <v>0</v>
      </c>
      <c r="EF774">
        <v>1</v>
      </c>
      <c r="EG774">
        <v>0</v>
      </c>
      <c r="EH774">
        <v>0</v>
      </c>
      <c r="EI774" s="2">
        <v>0</v>
      </c>
      <c r="EK774" t="str">
        <f t="shared" si="63"/>
        <v/>
      </c>
      <c r="EL774" t="str">
        <f t="shared" si="64"/>
        <v/>
      </c>
      <c r="EM774" s="2" t="str">
        <f t="shared" si="65"/>
        <v/>
      </c>
      <c r="EP774" t="str">
        <f>IF(ISNUMBER(BU774),IF(ABS(BU774-[4]QC_indicators!$B$2)&gt;3*[4]QC_indicators!$C$2,"C ratio",IF(ISNUMBER(BY774),IF(ABS(BY774-[4]QC_indicators!$B$1)&gt;3*[4]QC_indicators!$C$1,"DF","no"))),IF(ISNUMBER(BY774),IF(ABS(BY774-[4]QC_indicators!$B$1)&gt;3*[4]QC_indicators!$C$1,"DF","no")))</f>
        <v>no</v>
      </c>
      <c r="ET774" s="266" t="s">
        <v>3275</v>
      </c>
    </row>
    <row r="775" spans="1:150" ht="15" hidden="1" customHeight="1">
      <c r="D775" t="s">
        <v>735</v>
      </c>
      <c r="E775" t="s">
        <v>736</v>
      </c>
      <c r="G775" t="s">
        <v>737</v>
      </c>
      <c r="I775">
        <v>2005</v>
      </c>
      <c r="K775" s="156" t="s">
        <v>738</v>
      </c>
      <c r="M775" t="str">
        <f t="shared" si="40"/>
        <v>Gustavsson_2005</v>
      </c>
      <c r="N775" t="s">
        <v>223</v>
      </c>
      <c r="O775" t="s">
        <v>224</v>
      </c>
      <c r="Q775" t="s">
        <v>257</v>
      </c>
      <c r="R775" s="255" t="s">
        <v>226</v>
      </c>
      <c r="S775" s="1" t="s">
        <v>746</v>
      </c>
      <c r="T775" t="s">
        <v>740</v>
      </c>
      <c r="U775" s="266" t="s">
        <v>741</v>
      </c>
      <c r="V775">
        <v>0</v>
      </c>
      <c r="W775">
        <v>0</v>
      </c>
      <c r="X775">
        <v>0</v>
      </c>
      <c r="Y775">
        <v>0</v>
      </c>
      <c r="Z775">
        <v>0</v>
      </c>
      <c r="AA775">
        <v>0</v>
      </c>
      <c r="AB775">
        <v>0</v>
      </c>
      <c r="AC775">
        <v>0</v>
      </c>
      <c r="AD775">
        <v>0</v>
      </c>
      <c r="AE775">
        <v>0</v>
      </c>
      <c r="AF775">
        <v>0</v>
      </c>
      <c r="AG775">
        <v>0</v>
      </c>
      <c r="AH775">
        <v>1</v>
      </c>
      <c r="AI775">
        <v>0</v>
      </c>
      <c r="AJ775">
        <v>0</v>
      </c>
      <c r="AK775">
        <v>0</v>
      </c>
      <c r="AL775">
        <v>0</v>
      </c>
      <c r="AM775">
        <v>0</v>
      </c>
      <c r="AN775">
        <v>0</v>
      </c>
      <c r="AO775">
        <v>0</v>
      </c>
      <c r="AP775">
        <v>0</v>
      </c>
      <c r="AQ775">
        <v>0</v>
      </c>
      <c r="AR775">
        <v>0</v>
      </c>
      <c r="AS775">
        <v>0</v>
      </c>
      <c r="AT775">
        <v>0</v>
      </c>
      <c r="AU775">
        <v>0</v>
      </c>
      <c r="AV775">
        <v>0</v>
      </c>
      <c r="AW775">
        <v>0</v>
      </c>
      <c r="AX775" s="141">
        <f t="shared" si="41"/>
        <v>1</v>
      </c>
      <c r="AY775" s="141">
        <f t="shared" si="42"/>
        <v>1</v>
      </c>
      <c r="AZ775">
        <f t="shared" si="43"/>
        <v>0</v>
      </c>
      <c r="BA775">
        <f t="shared" si="44"/>
        <v>1</v>
      </c>
      <c r="BB775">
        <f t="shared" si="45"/>
        <v>0</v>
      </c>
      <c r="BC775">
        <f t="shared" si="46"/>
        <v>0</v>
      </c>
      <c r="BD775">
        <f t="shared" si="47"/>
        <v>0</v>
      </c>
      <c r="BE775" t="str">
        <f t="array" ref="BE775">IF(AY775=1,INDEX($V$7:$AL$7,MATCH(TRUE,INDEX($V775:$AW775&lt;&gt;0,),0)),IF(AY775=0,INDEX($AM$7:$AW$7,MATCH(1,$AM775:$AW775,0)),IF(BF775="Multiple strategies","mixed drivers",IF(BF775="Supply chain","multiple supply","multiple silviculture"))))</f>
        <v xml:space="preserve">end of life disposal </v>
      </c>
      <c r="BF775" s="2" t="str" cm="1">
        <f t="array" ref="BF775">IF(COUNTIF(AZ775:BB775,"&lt;&gt;0")=1,INDEX($V$4:$AW$4,MATCH(TRUE,INDEX($V775:$AW775&lt;&gt;0,),0)),IF(COUNTIF(AZ775:BB775,"&lt;&gt;0")=0,INDEX($AM$4:$AW$4,MATCH(1,$AM775:$AW775,0)),"Multiple strategies"))</f>
        <v>Supply chain</v>
      </c>
      <c r="BG775" s="265" t="s">
        <v>322</v>
      </c>
      <c r="BH775" s="266" t="s">
        <v>742</v>
      </c>
      <c r="BI775" s="260" t="s">
        <v>3336</v>
      </c>
      <c r="BJ775" s="266" t="s">
        <v>743</v>
      </c>
      <c r="BK775" s="266">
        <f>BL775-8.2-69.1</f>
        <v>130.20000000000002</v>
      </c>
      <c r="BL775" s="266">
        <v>207.5</v>
      </c>
      <c r="BM775" s="266">
        <f>BL775/BK775</f>
        <v>1.5937019969278032</v>
      </c>
      <c r="BN775" s="266">
        <f t="shared" si="66"/>
        <v>77.299999999999983</v>
      </c>
      <c r="BO775" s="266">
        <f>BN775*t_to_m3</f>
        <v>157.7551020408163</v>
      </c>
      <c r="BP775" t="s">
        <v>233</v>
      </c>
      <c r="BQ775" s="306" t="s">
        <v>3335</v>
      </c>
      <c r="BR775" t="s">
        <v>443</v>
      </c>
      <c r="BS775" s="266">
        <v>10.7</v>
      </c>
      <c r="BT775" s="151">
        <v>44.2</v>
      </c>
      <c r="BV775">
        <v>33.5</v>
      </c>
      <c r="BX775">
        <f>BV775*C_to_CO2</f>
        <v>122.94499999999999</v>
      </c>
      <c r="BY775">
        <f t="shared" si="49"/>
        <v>0.77934087968952148</v>
      </c>
      <c r="BZ775" s="143">
        <v>0</v>
      </c>
      <c r="CA775" s="143">
        <v>0</v>
      </c>
      <c r="CB775" s="143">
        <v>0</v>
      </c>
      <c r="CC775" s="143">
        <v>0</v>
      </c>
      <c r="CD775" s="143">
        <v>0</v>
      </c>
      <c r="CE775" s="143">
        <v>0</v>
      </c>
      <c r="CF775" s="143">
        <v>0</v>
      </c>
      <c r="CG775" s="143">
        <v>0</v>
      </c>
      <c r="CH775" s="143">
        <v>0</v>
      </c>
      <c r="CI775" s="143">
        <v>0</v>
      </c>
      <c r="CJ775" s="143">
        <v>0</v>
      </c>
      <c r="CK775" s="143">
        <v>0</v>
      </c>
      <c r="CL775" s="143">
        <v>0</v>
      </c>
      <c r="CM775">
        <v>0</v>
      </c>
      <c r="CN775" t="str">
        <f t="shared" si="50"/>
        <v>refOK</v>
      </c>
      <c r="CO775">
        <f t="shared" si="67"/>
        <v>130.20000000000002</v>
      </c>
      <c r="CP775">
        <f t="shared" si="68"/>
        <v>207.5</v>
      </c>
      <c r="CQ775">
        <f t="shared" si="51"/>
        <v>157.7551020408163</v>
      </c>
      <c r="CR775">
        <f t="shared" si="69"/>
        <v>10.7</v>
      </c>
      <c r="CS775">
        <f t="shared" si="70"/>
        <v>44.2</v>
      </c>
      <c r="CT775">
        <f t="shared" si="52"/>
        <v>122.94499999999999</v>
      </c>
      <c r="CU775">
        <f t="shared" si="53"/>
        <v>0.77934087968952148</v>
      </c>
      <c r="CV775" s="2">
        <f t="shared" si="54"/>
        <v>3.1308411214953273</v>
      </c>
      <c r="CW775" s="1" t="s">
        <v>264</v>
      </c>
      <c r="CX775" t="str">
        <f t="shared" si="55"/>
        <v>loc</v>
      </c>
      <c r="CY775" t="s">
        <v>745</v>
      </c>
      <c r="DA775" s="143"/>
      <c r="DB775" s="143">
        <v>0</v>
      </c>
      <c r="DC775" t="str">
        <f t="shared" si="56"/>
        <v>0</v>
      </c>
      <c r="DD775">
        <v>0</v>
      </c>
      <c r="DE775">
        <v>0</v>
      </c>
      <c r="DF775">
        <v>0</v>
      </c>
      <c r="DG775">
        <v>1</v>
      </c>
      <c r="DI775">
        <f t="shared" ref="DI775:DI815" si="71">SUM(DD775:DG775)</f>
        <v>1</v>
      </c>
      <c r="DJ775" t="str">
        <f t="shared" si="57"/>
        <v>TimberInput</v>
      </c>
      <c r="DK775">
        <f t="shared" si="58"/>
        <v>0</v>
      </c>
      <c r="DL775">
        <f t="shared" si="59"/>
        <v>0</v>
      </c>
      <c r="DM775">
        <f t="shared" si="60"/>
        <v>0</v>
      </c>
      <c r="DN775" t="str">
        <f t="shared" si="61"/>
        <v>Timber</v>
      </c>
      <c r="DO775">
        <v>1</v>
      </c>
      <c r="DP775" s="143">
        <v>0</v>
      </c>
      <c r="DQ775" s="143">
        <v>0</v>
      </c>
      <c r="DR775">
        <v>0</v>
      </c>
      <c r="DS775" s="143">
        <v>0</v>
      </c>
      <c r="DT775">
        <f t="shared" ref="DT775:DT815" si="72">SUM(DO775:DP775)</f>
        <v>1</v>
      </c>
      <c r="DU775" s="143" t="str">
        <f t="shared" si="62"/>
        <v>self-calculated DF</v>
      </c>
      <c r="DV775" s="143">
        <v>0</v>
      </c>
      <c r="DW775" s="266">
        <v>1</v>
      </c>
      <c r="DX775" s="266">
        <v>1</v>
      </c>
      <c r="DY775" s="266">
        <v>0</v>
      </c>
      <c r="DZ775" s="266">
        <v>0</v>
      </c>
      <c r="EA775" s="266">
        <v>1</v>
      </c>
      <c r="EB775" s="266">
        <v>1</v>
      </c>
      <c r="EC775" s="266">
        <v>1</v>
      </c>
      <c r="ED775" s="143">
        <v>0</v>
      </c>
      <c r="EE775">
        <v>0</v>
      </c>
      <c r="EF775">
        <v>0</v>
      </c>
      <c r="EG775" s="143">
        <v>0</v>
      </c>
      <c r="EH775" s="143">
        <v>0</v>
      </c>
      <c r="EI775" s="2">
        <v>0</v>
      </c>
      <c r="EK775" t="str">
        <f t="shared" si="63"/>
        <v/>
      </c>
      <c r="EL775" t="str">
        <f t="shared" si="64"/>
        <v/>
      </c>
      <c r="EM775" s="2" t="str">
        <f t="shared" si="65"/>
        <v/>
      </c>
      <c r="EP775" t="str">
        <f>IF(ISNUMBER(BU775),IF(ABS(BU775-[4]QC_indicators!$B$2)&gt;3*[4]QC_indicators!$C$2,"C ratio",IF(ISNUMBER(BY775),IF(ABS(BY775-[4]QC_indicators!$B$1)&gt;3*[4]QC_indicators!$C$1,"DF","no"))),IF(ISNUMBER(BY775),IF(ABS(BY775-[4]QC_indicators!$B$1)&gt;3*[4]QC_indicators!$C$1,"DF","no")))</f>
        <v>no</v>
      </c>
      <c r="ER775" s="149" t="s">
        <v>350</v>
      </c>
      <c r="ET775" s="266" t="s">
        <v>3275</v>
      </c>
    </row>
    <row r="776" spans="1:150" ht="15" hidden="1" customHeight="1">
      <c r="D776" t="s">
        <v>735</v>
      </c>
      <c r="E776" t="s">
        <v>736</v>
      </c>
      <c r="G776" t="s">
        <v>737</v>
      </c>
      <c r="I776">
        <v>2005</v>
      </c>
      <c r="K776" s="156" t="s">
        <v>738</v>
      </c>
      <c r="M776" t="str">
        <f t="shared" si="40"/>
        <v>Gustavsson_2005</v>
      </c>
      <c r="N776" t="s">
        <v>223</v>
      </c>
      <c r="O776" t="s">
        <v>224</v>
      </c>
      <c r="Q776" t="s">
        <v>257</v>
      </c>
      <c r="R776" s="255" t="s">
        <v>226</v>
      </c>
      <c r="S776" s="1" t="s">
        <v>747</v>
      </c>
      <c r="T776" t="s">
        <v>740</v>
      </c>
      <c r="U776" s="266" t="s">
        <v>741</v>
      </c>
      <c r="V776">
        <v>0</v>
      </c>
      <c r="W776">
        <v>0</v>
      </c>
      <c r="X776">
        <v>0</v>
      </c>
      <c r="Y776">
        <v>0</v>
      </c>
      <c r="Z776">
        <v>0</v>
      </c>
      <c r="AA776">
        <v>0</v>
      </c>
      <c r="AB776">
        <v>0</v>
      </c>
      <c r="AC776">
        <v>0</v>
      </c>
      <c r="AD776">
        <v>0</v>
      </c>
      <c r="AE776">
        <v>0</v>
      </c>
      <c r="AF776">
        <v>0</v>
      </c>
      <c r="AG776">
        <v>0</v>
      </c>
      <c r="AH776">
        <v>1</v>
      </c>
      <c r="AI776">
        <v>0</v>
      </c>
      <c r="AJ776">
        <v>0</v>
      </c>
      <c r="AK776">
        <v>0</v>
      </c>
      <c r="AL776">
        <v>0</v>
      </c>
      <c r="AM776">
        <v>0</v>
      </c>
      <c r="AN776">
        <v>0</v>
      </c>
      <c r="AO776">
        <v>0</v>
      </c>
      <c r="AP776">
        <v>0</v>
      </c>
      <c r="AQ776">
        <v>0</v>
      </c>
      <c r="AR776">
        <v>0</v>
      </c>
      <c r="AS776">
        <v>0</v>
      </c>
      <c r="AT776">
        <v>0</v>
      </c>
      <c r="AU776">
        <v>0</v>
      </c>
      <c r="AV776">
        <v>0</v>
      </c>
      <c r="AW776">
        <v>0</v>
      </c>
      <c r="AX776" s="141">
        <f t="shared" si="41"/>
        <v>1</v>
      </c>
      <c r="AY776" s="141">
        <f t="shared" si="42"/>
        <v>1</v>
      </c>
      <c r="AZ776">
        <f t="shared" si="43"/>
        <v>0</v>
      </c>
      <c r="BA776">
        <f t="shared" si="44"/>
        <v>1</v>
      </c>
      <c r="BB776">
        <f t="shared" si="45"/>
        <v>0</v>
      </c>
      <c r="BC776">
        <f t="shared" si="46"/>
        <v>0</v>
      </c>
      <c r="BD776">
        <f t="shared" si="47"/>
        <v>0</v>
      </c>
      <c r="BE776" t="str">
        <f t="array" ref="BE776">IF(AY776=1,INDEX($V$7:$AL$7,MATCH(TRUE,INDEX($V776:$AW776&lt;&gt;0,),0)),IF(AY776=0,INDEX($AM$7:$AW$7,MATCH(1,$AM776:$AW776,0)),IF(BF776="Multiple strategies","mixed drivers",IF(BF776="Supply chain","multiple supply","multiple silviculture"))))</f>
        <v xml:space="preserve">end of life disposal </v>
      </c>
      <c r="BF776" s="2" t="str" cm="1">
        <f t="array" ref="BF776">IF(COUNTIF(AZ776:BB776,"&lt;&gt;0")=1,INDEX($V$4:$AW$4,MATCH(TRUE,INDEX($V776:$AW776&lt;&gt;0,),0)),IF(COUNTIF(AZ776:BB776,"&lt;&gt;0")=0,INDEX($AM$4:$AW$4,MATCH(1,$AM776:$AW776,0)),"Multiple strategies"))</f>
        <v>Supply chain</v>
      </c>
      <c r="BG776" s="265" t="s">
        <v>322</v>
      </c>
      <c r="BH776" s="266" t="s">
        <v>742</v>
      </c>
      <c r="BI776" s="260" t="s">
        <v>3337</v>
      </c>
      <c r="BJ776" s="266" t="s">
        <v>743</v>
      </c>
      <c r="BK776" s="266">
        <f>BL776-8.9</f>
        <v>198.6</v>
      </c>
      <c r="BL776" s="266">
        <v>207.5</v>
      </c>
      <c r="BM776" s="266">
        <f>BL776/BK776</f>
        <v>1.0448136958710976</v>
      </c>
      <c r="BN776" s="266">
        <f t="shared" si="66"/>
        <v>8.9000000000000057</v>
      </c>
      <c r="BO776" s="266">
        <f>BN776*t_to_m3</f>
        <v>18.163265306122462</v>
      </c>
      <c r="BP776" t="s">
        <v>233</v>
      </c>
      <c r="BQ776" s="306" t="s">
        <v>3335</v>
      </c>
      <c r="BR776" t="s">
        <v>443</v>
      </c>
      <c r="BS776" s="266">
        <v>39.299999999999997</v>
      </c>
      <c r="BT776" s="151">
        <v>44.2</v>
      </c>
      <c r="BV776">
        <v>4.9000000000000057</v>
      </c>
      <c r="BX776">
        <f>BV776*C_to_CO2</f>
        <v>17.983000000000022</v>
      </c>
      <c r="BY776">
        <f t="shared" si="49"/>
        <v>0.99007528089887697</v>
      </c>
      <c r="BZ776" s="143">
        <v>0</v>
      </c>
      <c r="CA776" s="143">
        <v>0</v>
      </c>
      <c r="CB776" s="143">
        <v>0</v>
      </c>
      <c r="CC776" s="143">
        <v>0</v>
      </c>
      <c r="CD776" s="143">
        <v>0</v>
      </c>
      <c r="CE776" s="143">
        <v>0</v>
      </c>
      <c r="CF776" s="143">
        <v>0</v>
      </c>
      <c r="CG776" s="143">
        <v>0</v>
      </c>
      <c r="CH776" s="143">
        <v>0</v>
      </c>
      <c r="CI776" s="143">
        <v>0</v>
      </c>
      <c r="CJ776" s="143">
        <v>0</v>
      </c>
      <c r="CK776" s="143">
        <v>0</v>
      </c>
      <c r="CL776" s="143">
        <v>0</v>
      </c>
      <c r="CM776">
        <v>0</v>
      </c>
      <c r="CN776" t="str">
        <f t="shared" si="50"/>
        <v>refOK</v>
      </c>
      <c r="CO776">
        <f t="shared" si="67"/>
        <v>198.6</v>
      </c>
      <c r="CP776">
        <f t="shared" si="68"/>
        <v>207.5</v>
      </c>
      <c r="CQ776">
        <f t="shared" si="51"/>
        <v>18.163265306122462</v>
      </c>
      <c r="CR776">
        <f t="shared" si="69"/>
        <v>39.299999999999997</v>
      </c>
      <c r="CS776">
        <f t="shared" si="70"/>
        <v>44.2</v>
      </c>
      <c r="CT776">
        <f t="shared" si="52"/>
        <v>17.983000000000022</v>
      </c>
      <c r="CU776">
        <f t="shared" si="53"/>
        <v>0.99007528089887697</v>
      </c>
      <c r="CV776" s="2">
        <f t="shared" si="54"/>
        <v>0.12468193384223934</v>
      </c>
      <c r="CW776" s="1" t="s">
        <v>264</v>
      </c>
      <c r="CX776" t="str">
        <f t="shared" si="55"/>
        <v>loc</v>
      </c>
      <c r="CY776" t="s">
        <v>745</v>
      </c>
      <c r="DA776" s="143"/>
      <c r="DB776" s="143">
        <v>0</v>
      </c>
      <c r="DC776" t="str">
        <f t="shared" si="56"/>
        <v>0</v>
      </c>
      <c r="DD776">
        <v>0</v>
      </c>
      <c r="DE776">
        <v>0</v>
      </c>
      <c r="DF776">
        <v>0</v>
      </c>
      <c r="DG776">
        <v>1</v>
      </c>
      <c r="DI776">
        <f t="shared" si="71"/>
        <v>1</v>
      </c>
      <c r="DJ776" t="str">
        <f t="shared" si="57"/>
        <v>TimberInput</v>
      </c>
      <c r="DK776">
        <f t="shared" ref="DK776:DK839" si="73">IF(DD776=1,DK$7,0)</f>
        <v>0</v>
      </c>
      <c r="DL776">
        <f t="shared" ref="DL776:DL839" si="74">IF(DE776=1,DL$7,0)</f>
        <v>0</v>
      </c>
      <c r="DM776">
        <f t="shared" ref="DM776:DM839" si="75">IF(DF776=1,DM$7,0)</f>
        <v>0</v>
      </c>
      <c r="DN776" t="str">
        <f t="shared" ref="DN776:DN839" si="76">IF(DG776=1,DN$7,0)</f>
        <v>Timber</v>
      </c>
      <c r="DO776">
        <v>1</v>
      </c>
      <c r="DP776" s="143">
        <v>0</v>
      </c>
      <c r="DQ776" s="143">
        <v>0</v>
      </c>
      <c r="DR776">
        <v>0</v>
      </c>
      <c r="DS776" s="143">
        <v>0</v>
      </c>
      <c r="DT776">
        <f t="shared" si="72"/>
        <v>1</v>
      </c>
      <c r="DU776" s="143" t="str">
        <f t="shared" si="62"/>
        <v>self-calculated DF</v>
      </c>
      <c r="DV776" s="143">
        <v>0</v>
      </c>
      <c r="DW776" s="266">
        <v>1</v>
      </c>
      <c r="DX776" s="266">
        <v>1</v>
      </c>
      <c r="DY776" s="266">
        <v>0</v>
      </c>
      <c r="DZ776" s="266">
        <v>0</v>
      </c>
      <c r="EA776" s="266">
        <v>1</v>
      </c>
      <c r="EB776" s="266">
        <v>1</v>
      </c>
      <c r="EC776" s="266">
        <v>1</v>
      </c>
      <c r="ED776" s="143">
        <v>0</v>
      </c>
      <c r="EE776">
        <v>0</v>
      </c>
      <c r="EF776">
        <v>0</v>
      </c>
      <c r="EG776" s="143">
        <v>0</v>
      </c>
      <c r="EH776" s="143">
        <v>0</v>
      </c>
      <c r="EI776" s="2">
        <v>0</v>
      </c>
      <c r="EK776" t="str">
        <f t="shared" ref="EK776:EK839" si="77">IF(AND(AND(AND(OR($DX776=1,$DW776=1),OR($EC776=1,$EA776=1)),SUM($DV776:$DZ776,$EF776)&gt;=4),SUM($EA776:$EE776)&gt;=2),"Whole sector","")</f>
        <v/>
      </c>
      <c r="EL776" t="str">
        <f t="shared" ref="EL776:EL839" si="78">IF(AND(AND(OR($DX776=1,$DW776=1),AND($EC776=0,$EA776=0)),SUM($DV776:$DZ776,$EF776)&gt;=4),"Ecosystem approach","")</f>
        <v/>
      </c>
      <c r="EM776" s="2" t="str">
        <f t="shared" si="65"/>
        <v/>
      </c>
      <c r="EP776" t="str">
        <f>IF(ISNUMBER(BU776),IF(ABS(BU776-[4]QC_indicators!$B$2)&gt;3*[4]QC_indicators!$C$2,"C ratio",IF(ISNUMBER(BY776),IF(ABS(BY776-[4]QC_indicators!$B$1)&gt;3*[4]QC_indicators!$C$1,"DF","no"))),IF(ISNUMBER(BY776),IF(ABS(BY776-[4]QC_indicators!$B$1)&gt;3*[4]QC_indicators!$C$1,"DF","no")))</f>
        <v>no</v>
      </c>
      <c r="ER776" s="149" t="s">
        <v>350</v>
      </c>
      <c r="ET776" s="266" t="s">
        <v>3275</v>
      </c>
    </row>
    <row r="777" spans="1:150" ht="15" hidden="1" customHeight="1">
      <c r="D777" t="s">
        <v>735</v>
      </c>
      <c r="E777" t="s">
        <v>736</v>
      </c>
      <c r="G777" t="s">
        <v>737</v>
      </c>
      <c r="I777">
        <v>2005</v>
      </c>
      <c r="K777" s="156" t="s">
        <v>738</v>
      </c>
      <c r="M777" t="str">
        <f t="shared" si="40"/>
        <v>Gustavsson_2005</v>
      </c>
      <c r="N777" t="s">
        <v>223</v>
      </c>
      <c r="O777" t="s">
        <v>224</v>
      </c>
      <c r="Q777" t="s">
        <v>257</v>
      </c>
      <c r="R777" s="255" t="s">
        <v>226</v>
      </c>
      <c r="S777" s="1" t="s">
        <v>748</v>
      </c>
      <c r="T777" t="s">
        <v>749</v>
      </c>
      <c r="U777" s="266" t="s">
        <v>750</v>
      </c>
      <c r="V777">
        <v>0</v>
      </c>
      <c r="W777">
        <v>0</v>
      </c>
      <c r="X777">
        <v>0</v>
      </c>
      <c r="Y777">
        <v>0</v>
      </c>
      <c r="Z777">
        <v>0</v>
      </c>
      <c r="AA777">
        <v>0</v>
      </c>
      <c r="AB777">
        <v>0</v>
      </c>
      <c r="AC777">
        <v>0</v>
      </c>
      <c r="AD777">
        <v>0</v>
      </c>
      <c r="AE777">
        <v>1</v>
      </c>
      <c r="AF777">
        <v>0</v>
      </c>
      <c r="AG777">
        <v>0</v>
      </c>
      <c r="AH777">
        <v>0</v>
      </c>
      <c r="AI777">
        <v>0</v>
      </c>
      <c r="AJ777">
        <v>0</v>
      </c>
      <c r="AK777">
        <v>0</v>
      </c>
      <c r="AL777">
        <v>0</v>
      </c>
      <c r="AM777">
        <v>0</v>
      </c>
      <c r="AN777">
        <v>0</v>
      </c>
      <c r="AO777">
        <v>0</v>
      </c>
      <c r="AP777">
        <v>0</v>
      </c>
      <c r="AQ777">
        <v>0</v>
      </c>
      <c r="AR777">
        <v>0</v>
      </c>
      <c r="AS777">
        <v>0</v>
      </c>
      <c r="AT777">
        <v>0</v>
      </c>
      <c r="AU777">
        <v>0</v>
      </c>
      <c r="AV777">
        <v>0</v>
      </c>
      <c r="AW777">
        <v>0</v>
      </c>
      <c r="AX777" s="141">
        <f t="shared" si="41"/>
        <v>1</v>
      </c>
      <c r="AY777" s="141">
        <f t="shared" si="42"/>
        <v>1</v>
      </c>
      <c r="AZ777">
        <f t="shared" si="43"/>
        <v>0</v>
      </c>
      <c r="BA777">
        <f t="shared" si="44"/>
        <v>1</v>
      </c>
      <c r="BB777">
        <f t="shared" si="45"/>
        <v>0</v>
      </c>
      <c r="BC777">
        <f t="shared" si="46"/>
        <v>0</v>
      </c>
      <c r="BD777">
        <f t="shared" si="47"/>
        <v>0</v>
      </c>
      <c r="BE777" t="str">
        <f t="array" ref="BE777">IF(AY777=1,INDEX($V$7:$AL$7,MATCH(TRUE,INDEX($V777:$AW777&lt;&gt;0,),0)),IF(AY777=0,INDEX($AM$7:$AW$7,MATCH(1,$AM777:$AW777,0)),IF(BF777="Multiple strategies","mixed drivers",IF(BF777="Supply chain","multiple supply","multiple silviculture"))))</f>
        <v>location of industry</v>
      </c>
      <c r="BF777" s="2" t="str" cm="1">
        <f t="array" ref="BF777">IF(COUNTIF(AZ777:BB777,"&lt;&gt;0")=1,INDEX($V$4:$AW$4,MATCH(TRUE,INDEX($V777:$AW777&lt;&gt;0,),0)),IF(COUNTIF(AZ777:BB777,"&lt;&gt;0")=0,INDEX($AM$4:$AW$4,MATCH(1,$AM777:$AW777,0)),"Multiple strategies"))</f>
        <v>Supply chain</v>
      </c>
      <c r="BG777" s="265" t="s">
        <v>230</v>
      </c>
      <c r="BH777" s="266" t="s">
        <v>742</v>
      </c>
      <c r="BI777" s="260" t="s">
        <v>425</v>
      </c>
      <c r="BJ777" s="266" t="s">
        <v>743</v>
      </c>
      <c r="BK777" s="266">
        <v>80.5</v>
      </c>
      <c r="BL777" s="266">
        <v>80.5</v>
      </c>
      <c r="BM777" s="266">
        <f>BL777/BK777</f>
        <v>1</v>
      </c>
      <c r="BN777" s="266">
        <f t="shared" si="66"/>
        <v>0</v>
      </c>
      <c r="BO777" s="266">
        <f>BN777*t_to_m3</f>
        <v>0</v>
      </c>
      <c r="BP777" t="s">
        <v>233</v>
      </c>
      <c r="BQ777" s="306" t="s">
        <v>3335</v>
      </c>
      <c r="BR777" t="s">
        <v>443</v>
      </c>
      <c r="BS777" s="266">
        <v>44.2</v>
      </c>
      <c r="BT777" s="151">
        <v>36.700000000000003</v>
      </c>
      <c r="BV777">
        <v>-7.5</v>
      </c>
      <c r="BX777">
        <f>BV777*C_to_CO2</f>
        <v>-27.524999999999999</v>
      </c>
      <c r="BY777" t="str">
        <f t="shared" si="49"/>
        <v/>
      </c>
      <c r="BZ777" s="143">
        <v>0</v>
      </c>
      <c r="CA777" s="143">
        <v>0</v>
      </c>
      <c r="CB777" s="143">
        <v>0</v>
      </c>
      <c r="CC777" s="143">
        <v>0</v>
      </c>
      <c r="CD777" s="143">
        <v>0</v>
      </c>
      <c r="CE777" s="143">
        <v>0</v>
      </c>
      <c r="CF777" s="143">
        <v>0</v>
      </c>
      <c r="CG777" s="143">
        <v>0</v>
      </c>
      <c r="CH777" s="143">
        <v>0</v>
      </c>
      <c r="CI777" s="143">
        <v>0</v>
      </c>
      <c r="CJ777" s="143">
        <v>0</v>
      </c>
      <c r="CK777" s="143">
        <v>0</v>
      </c>
      <c r="CL777" s="143">
        <v>0</v>
      </c>
      <c r="CM777">
        <v>0</v>
      </c>
      <c r="CN777" t="str">
        <f t="shared" si="50"/>
        <v>refOK</v>
      </c>
      <c r="CO777">
        <f t="shared" si="67"/>
        <v>80.5</v>
      </c>
      <c r="CP777">
        <f t="shared" si="68"/>
        <v>80.5</v>
      </c>
      <c r="CQ777">
        <f t="shared" si="51"/>
        <v>0</v>
      </c>
      <c r="CR777">
        <f t="shared" si="69"/>
        <v>44.2</v>
      </c>
      <c r="CS777">
        <f t="shared" si="70"/>
        <v>36.700000000000003</v>
      </c>
      <c r="CT777">
        <f t="shared" si="52"/>
        <v>-27.524999999999999</v>
      </c>
      <c r="CU777" t="str">
        <f t="shared" si="53"/>
        <v/>
      </c>
      <c r="CV777" s="2">
        <f t="shared" si="54"/>
        <v>-0.16968325791855202</v>
      </c>
      <c r="CW777" s="1" t="s">
        <v>264</v>
      </c>
      <c r="CX777" t="str">
        <f t="shared" si="55"/>
        <v>loc</v>
      </c>
      <c r="CY777" t="s">
        <v>745</v>
      </c>
      <c r="DA777" s="143"/>
      <c r="DB777" s="143">
        <v>0</v>
      </c>
      <c r="DC777" t="str">
        <f t="shared" si="56"/>
        <v>0</v>
      </c>
      <c r="DD777">
        <v>0</v>
      </c>
      <c r="DE777">
        <v>0</v>
      </c>
      <c r="DF777">
        <v>0</v>
      </c>
      <c r="DG777">
        <v>1</v>
      </c>
      <c r="DI777">
        <f t="shared" si="71"/>
        <v>1</v>
      </c>
      <c r="DJ777" t="str">
        <f t="shared" si="57"/>
        <v>TimberInput</v>
      </c>
      <c r="DK777">
        <f t="shared" si="73"/>
        <v>0</v>
      </c>
      <c r="DL777">
        <f t="shared" si="74"/>
        <v>0</v>
      </c>
      <c r="DM777">
        <f t="shared" si="75"/>
        <v>0</v>
      </c>
      <c r="DN777" t="str">
        <f t="shared" si="76"/>
        <v>Timber</v>
      </c>
      <c r="DO777">
        <v>1</v>
      </c>
      <c r="DP777" s="143">
        <v>0</v>
      </c>
      <c r="DQ777" s="143">
        <v>0</v>
      </c>
      <c r="DR777">
        <v>0</v>
      </c>
      <c r="DS777" s="143">
        <v>0</v>
      </c>
      <c r="DT777">
        <f t="shared" si="72"/>
        <v>1</v>
      </c>
      <c r="DU777" s="143" t="str">
        <f t="shared" si="62"/>
        <v>self-calculated DF</v>
      </c>
      <c r="DV777" s="143">
        <v>0</v>
      </c>
      <c r="DW777" s="266">
        <v>1</v>
      </c>
      <c r="DX777" s="266">
        <v>1</v>
      </c>
      <c r="DY777" s="266">
        <v>0</v>
      </c>
      <c r="DZ777" s="266">
        <v>0</v>
      </c>
      <c r="EA777" s="266">
        <v>1</v>
      </c>
      <c r="EB777" s="266">
        <v>1</v>
      </c>
      <c r="EC777" s="266">
        <v>1</v>
      </c>
      <c r="ED777" s="143">
        <v>0</v>
      </c>
      <c r="EE777">
        <v>0</v>
      </c>
      <c r="EF777">
        <v>0</v>
      </c>
      <c r="EG777" s="143">
        <v>0</v>
      </c>
      <c r="EH777" s="143">
        <v>0</v>
      </c>
      <c r="EI777" s="2">
        <v>0</v>
      </c>
      <c r="EK777" t="str">
        <f t="shared" si="77"/>
        <v/>
      </c>
      <c r="EL777" t="str">
        <f t="shared" si="78"/>
        <v/>
      </c>
      <c r="EM777" s="2" t="str">
        <f t="shared" si="65"/>
        <v/>
      </c>
      <c r="EP777" t="b">
        <f>IF(ISNUMBER(BU777),IF(ABS(BU777-[4]QC_indicators!$B$2)&gt;3*[4]QC_indicators!$C$2,"C ratio",IF(ISNUMBER(BY777),IF(ABS(BY777-[4]QC_indicators!$B$1)&gt;3*[4]QC_indicators!$C$1,"DF","no"))),IF(ISNUMBER(BY777),IF(ABS(BY777-[4]QC_indicators!$B$1)&gt;3*[4]QC_indicators!$C$1,"DF","no")))</f>
        <v>0</v>
      </c>
      <c r="ER777" s="149" t="s">
        <v>350</v>
      </c>
      <c r="ET777" s="266" t="s">
        <v>3275</v>
      </c>
    </row>
    <row r="778" spans="1:150" ht="15" hidden="1" customHeight="1">
      <c r="A778" s="1" t="s">
        <v>248</v>
      </c>
      <c r="B778" t="s">
        <v>801</v>
      </c>
      <c r="C778" t="s">
        <v>802</v>
      </c>
      <c r="D778" t="s">
        <v>803</v>
      </c>
      <c r="E778" t="s">
        <v>804</v>
      </c>
      <c r="F778" t="s">
        <v>805</v>
      </c>
      <c r="G778" t="s">
        <v>254</v>
      </c>
      <c r="H778" t="s">
        <v>255</v>
      </c>
      <c r="I778">
        <v>2020</v>
      </c>
      <c r="J778">
        <v>15</v>
      </c>
      <c r="K778" t="s">
        <v>806</v>
      </c>
      <c r="M778" t="str">
        <f t="shared" si="40"/>
        <v>Jayalath_2020</v>
      </c>
      <c r="N778" t="s">
        <v>223</v>
      </c>
      <c r="O778" s="145" t="s">
        <v>514</v>
      </c>
      <c r="Q778" t="s">
        <v>257</v>
      </c>
      <c r="R778" s="264" t="s">
        <v>226</v>
      </c>
      <c r="S778" s="1" t="s">
        <v>807</v>
      </c>
      <c r="T778" t="s">
        <v>808</v>
      </c>
      <c r="U778" t="s">
        <v>809</v>
      </c>
      <c r="V778">
        <v>0</v>
      </c>
      <c r="W778">
        <v>0</v>
      </c>
      <c r="X778">
        <v>0</v>
      </c>
      <c r="Y778">
        <v>0</v>
      </c>
      <c r="Z778">
        <v>0</v>
      </c>
      <c r="AA778">
        <v>0</v>
      </c>
      <c r="AB778">
        <v>0</v>
      </c>
      <c r="AC778">
        <v>0</v>
      </c>
      <c r="AD778">
        <v>0</v>
      </c>
      <c r="AE778">
        <v>1</v>
      </c>
      <c r="AF778">
        <v>0</v>
      </c>
      <c r="AG778">
        <v>0</v>
      </c>
      <c r="AH778">
        <v>0</v>
      </c>
      <c r="AI778">
        <v>0</v>
      </c>
      <c r="AJ778">
        <v>0</v>
      </c>
      <c r="AK778">
        <v>0</v>
      </c>
      <c r="AL778">
        <v>0</v>
      </c>
      <c r="AM778">
        <v>0</v>
      </c>
      <c r="AN778">
        <v>0</v>
      </c>
      <c r="AO778">
        <v>0</v>
      </c>
      <c r="AP778">
        <v>0</v>
      </c>
      <c r="AQ778">
        <v>0</v>
      </c>
      <c r="AR778">
        <v>0</v>
      </c>
      <c r="AS778">
        <v>0</v>
      </c>
      <c r="AT778">
        <v>0</v>
      </c>
      <c r="AU778">
        <v>0</v>
      </c>
      <c r="AV778">
        <v>0</v>
      </c>
      <c r="AW778">
        <v>0</v>
      </c>
      <c r="AX778" s="141">
        <f t="shared" si="41"/>
        <v>1</v>
      </c>
      <c r="AY778" s="141">
        <f t="shared" si="42"/>
        <v>1</v>
      </c>
      <c r="AZ778">
        <f t="shared" si="43"/>
        <v>0</v>
      </c>
      <c r="BA778">
        <f t="shared" si="44"/>
        <v>1</v>
      </c>
      <c r="BB778">
        <f t="shared" si="45"/>
        <v>0</v>
      </c>
      <c r="BC778">
        <f t="shared" si="46"/>
        <v>0</v>
      </c>
      <c r="BD778">
        <f t="shared" si="47"/>
        <v>0</v>
      </c>
      <c r="BE778" t="str">
        <f t="array" ref="BE778">IF(AY778=1,INDEX($V$7:$AL$7,MATCH(TRUE,INDEX($V778:$AW778&lt;&gt;0,),0)),IF(AY778=0,INDEX($AM$7:$AW$7,MATCH(1,$AM778:$AW778,0)),IF(BF778="Multiple strategies","mixed drivers",IF(BF778="Supply chain","multiple supply","multiple silviculture"))))</f>
        <v>location of industry</v>
      </c>
      <c r="BF778" s="2" t="str" cm="1">
        <f t="array" ref="BF778">IF(COUNTIF(AZ778:BB778,"&lt;&gt;0")=1,INDEX($V$4:$AW$4,MATCH(TRUE,INDEX($V778:$AW778&lt;&gt;0,),0)),IF(COUNTIF(AZ778:BB778,"&lt;&gt;0")=0,INDEX($AM$4:$AW$4,MATCH(1,$AM778:$AW778,0)),"Multiple strategies"))</f>
        <v>Supply chain</v>
      </c>
      <c r="BG778" s="1" t="s">
        <v>230</v>
      </c>
      <c r="BH778" t="s">
        <v>810</v>
      </c>
      <c r="BI778" s="260" t="s">
        <v>3342</v>
      </c>
      <c r="BJ778" t="s">
        <v>346</v>
      </c>
      <c r="BK778" s="266">
        <f>119193+8552+2924</f>
        <v>130669</v>
      </c>
      <c r="BL778" s="266">
        <f>119193+8552+2924</f>
        <v>130669</v>
      </c>
      <c r="BN778">
        <f t="shared" si="66"/>
        <v>0</v>
      </c>
      <c r="BO778">
        <f t="shared" ref="BO778:BO786" si="79">BN778*kg_to_m3</f>
        <v>0</v>
      </c>
      <c r="BP778" t="s">
        <v>396</v>
      </c>
      <c r="BQ778" s="260" t="s">
        <v>3343</v>
      </c>
      <c r="BR778" s="266" t="s">
        <v>3344</v>
      </c>
      <c r="BS778">
        <f>0.538+0.438-0.083</f>
        <v>0.89300000000000002</v>
      </c>
      <c r="BT778">
        <f>0.526+0.314-0.083</f>
        <v>0.75700000000000012</v>
      </c>
      <c r="BU778" s="144">
        <f t="shared" ref="BU778:BU808" si="80">IFERROR(BT778/BS778,"")</f>
        <v>0.84770436730123189</v>
      </c>
      <c r="BV778">
        <f t="shared" ref="BV778:BV811" si="81">BT778-BS778</f>
        <v>-0.1359999999999999</v>
      </c>
      <c r="BX778">
        <f>BV778</f>
        <v>-0.1359999999999999</v>
      </c>
      <c r="BY778" t="str">
        <f t="shared" si="49"/>
        <v/>
      </c>
      <c r="BZ778">
        <v>0</v>
      </c>
      <c r="CA778">
        <v>0</v>
      </c>
      <c r="CB778">
        <v>0</v>
      </c>
      <c r="CC778">
        <v>0</v>
      </c>
      <c r="CD778">
        <v>0</v>
      </c>
      <c r="CE778">
        <v>0</v>
      </c>
      <c r="CF778">
        <v>0</v>
      </c>
      <c r="CG778">
        <v>0</v>
      </c>
      <c r="CH778">
        <v>0</v>
      </c>
      <c r="CI778">
        <v>0</v>
      </c>
      <c r="CJ778">
        <v>0</v>
      </c>
      <c r="CK778">
        <v>0</v>
      </c>
      <c r="CL778">
        <v>0</v>
      </c>
      <c r="CM778">
        <v>1</v>
      </c>
      <c r="CN778" t="str">
        <f>IF(BL778&lt;BK778,"refNeedCorrection","refOK")</f>
        <v>refOK</v>
      </c>
      <c r="CO778">
        <f t="shared" si="67"/>
        <v>130669</v>
      </c>
      <c r="CP778">
        <f t="shared" si="68"/>
        <v>130669</v>
      </c>
      <c r="CQ778">
        <f t="shared" si="51"/>
        <v>0</v>
      </c>
      <c r="CR778">
        <f t="shared" si="69"/>
        <v>-0.89300000000000002</v>
      </c>
      <c r="CS778">
        <f t="shared" si="70"/>
        <v>-0.75700000000000012</v>
      </c>
      <c r="CT778">
        <f t="shared" si="52"/>
        <v>0.1359999999999999</v>
      </c>
      <c r="CU778" t="str">
        <f t="shared" si="53"/>
        <v/>
      </c>
      <c r="CV778" s="2">
        <f t="shared" si="54"/>
        <v>0.15229563269876809</v>
      </c>
      <c r="CW778" s="1" t="s">
        <v>348</v>
      </c>
      <c r="CX778" t="str">
        <f t="shared" si="55"/>
        <v>loc</v>
      </c>
      <c r="CY778" t="s">
        <v>575</v>
      </c>
      <c r="DB778">
        <v>0</v>
      </c>
      <c r="DC778" t="str">
        <f t="shared" si="56"/>
        <v>0</v>
      </c>
      <c r="DD778">
        <v>0</v>
      </c>
      <c r="DE778">
        <v>0</v>
      </c>
      <c r="DF778">
        <v>0</v>
      </c>
      <c r="DG778">
        <v>1</v>
      </c>
      <c r="DI778">
        <f t="shared" si="71"/>
        <v>1</v>
      </c>
      <c r="DJ778" t="str">
        <f t="shared" si="57"/>
        <v>TimberInput</v>
      </c>
      <c r="DK778">
        <f t="shared" si="73"/>
        <v>0</v>
      </c>
      <c r="DL778">
        <f t="shared" si="74"/>
        <v>0</v>
      </c>
      <c r="DM778">
        <f t="shared" si="75"/>
        <v>0</v>
      </c>
      <c r="DN778" t="str">
        <f t="shared" si="76"/>
        <v>Timber</v>
      </c>
      <c r="DO778">
        <v>0</v>
      </c>
      <c r="DP778">
        <v>0</v>
      </c>
      <c r="DQ778">
        <v>0</v>
      </c>
      <c r="DR778">
        <v>0</v>
      </c>
      <c r="DS778">
        <v>0</v>
      </c>
      <c r="DT778">
        <f t="shared" si="72"/>
        <v>0</v>
      </c>
      <c r="DU778" s="143" t="str">
        <f t="shared" si="62"/>
        <v>explicit C balance</v>
      </c>
      <c r="DV778">
        <v>0</v>
      </c>
      <c r="DW778">
        <v>0</v>
      </c>
      <c r="DX778">
        <v>0</v>
      </c>
      <c r="DY778">
        <v>0</v>
      </c>
      <c r="DZ778">
        <v>0</v>
      </c>
      <c r="EA778">
        <v>1</v>
      </c>
      <c r="EB778">
        <v>0</v>
      </c>
      <c r="EC778">
        <v>1</v>
      </c>
      <c r="ED778">
        <v>1</v>
      </c>
      <c r="EE778">
        <v>1</v>
      </c>
      <c r="EF778">
        <v>0</v>
      </c>
      <c r="EG778">
        <v>0</v>
      </c>
      <c r="EH778">
        <v>0</v>
      </c>
      <c r="EI778" s="2">
        <v>0</v>
      </c>
      <c r="EK778" t="str">
        <f t="shared" si="77"/>
        <v/>
      </c>
      <c r="EL778" t="str">
        <f t="shared" si="78"/>
        <v/>
      </c>
      <c r="EM778" s="2" t="str">
        <f t="shared" si="65"/>
        <v>Technology approach</v>
      </c>
      <c r="EP778" t="b">
        <f>IF(ISNUMBER(BU778),IF(ABS(BU778-[4]QC_indicators!$B$2)&gt;3*[4]QC_indicators!$C$2,"C ratio",IF(ISNUMBER(BY778),IF(ABS(BY778-[4]QC_indicators!$B$1)&gt;3*[4]QC_indicators!$C$1,"DF","no"))),IF(ISNUMBER(BY778),IF(ABS(BY778-[4]QC_indicators!$B$1)&gt;3*[4]QC_indicators!$C$1,"DF","no")))</f>
        <v>0</v>
      </c>
      <c r="ER778" s="149" t="s">
        <v>350</v>
      </c>
      <c r="ET778" s="266" t="s">
        <v>3275</v>
      </c>
    </row>
    <row r="779" spans="1:150" ht="15" hidden="1" customHeight="1">
      <c r="A779" s="1" t="s">
        <v>334</v>
      </c>
      <c r="B779" t="s">
        <v>947</v>
      </c>
      <c r="C779" t="s">
        <v>948</v>
      </c>
      <c r="D779" t="s">
        <v>949</v>
      </c>
      <c r="E779" t="s">
        <v>950</v>
      </c>
      <c r="F779" t="s">
        <v>951</v>
      </c>
      <c r="G779" t="s">
        <v>340</v>
      </c>
      <c r="H779" t="s">
        <v>255</v>
      </c>
      <c r="I779">
        <v>2021</v>
      </c>
      <c r="J779">
        <v>0</v>
      </c>
      <c r="K779" t="s">
        <v>952</v>
      </c>
      <c r="M779" t="str">
        <f t="shared" si="40"/>
        <v>Morris_2021</v>
      </c>
      <c r="N779" t="s">
        <v>223</v>
      </c>
      <c r="O779" t="s">
        <v>224</v>
      </c>
      <c r="Q779" t="s">
        <v>257</v>
      </c>
      <c r="R779" s="255" t="s">
        <v>226</v>
      </c>
      <c r="S779" s="1" t="s">
        <v>953</v>
      </c>
      <c r="T779" t="s">
        <v>954</v>
      </c>
      <c r="U779" s="143" t="s">
        <v>955</v>
      </c>
      <c r="V779">
        <v>0</v>
      </c>
      <c r="W779">
        <v>0</v>
      </c>
      <c r="X779">
        <v>0</v>
      </c>
      <c r="Y779">
        <v>0</v>
      </c>
      <c r="Z779">
        <v>0</v>
      </c>
      <c r="AA779">
        <v>0</v>
      </c>
      <c r="AB779">
        <v>0</v>
      </c>
      <c r="AC779">
        <v>0</v>
      </c>
      <c r="AD779">
        <v>0</v>
      </c>
      <c r="AE779">
        <v>0</v>
      </c>
      <c r="AF779">
        <v>0</v>
      </c>
      <c r="AG779">
        <v>0</v>
      </c>
      <c r="AH779">
        <v>1</v>
      </c>
      <c r="AI779">
        <v>0</v>
      </c>
      <c r="AJ779">
        <v>0</v>
      </c>
      <c r="AK779">
        <v>0</v>
      </c>
      <c r="AL779">
        <v>0</v>
      </c>
      <c r="AM779">
        <v>0</v>
      </c>
      <c r="AN779">
        <v>0</v>
      </c>
      <c r="AO779">
        <v>0</v>
      </c>
      <c r="AP779">
        <v>0</v>
      </c>
      <c r="AQ779">
        <v>0</v>
      </c>
      <c r="AR779">
        <v>0</v>
      </c>
      <c r="AS779">
        <v>0</v>
      </c>
      <c r="AT779">
        <v>0</v>
      </c>
      <c r="AU779">
        <v>0</v>
      </c>
      <c r="AV779">
        <v>0</v>
      </c>
      <c r="AW779">
        <v>0</v>
      </c>
      <c r="AX779" s="141">
        <f t="shared" si="41"/>
        <v>1</v>
      </c>
      <c r="AY779" s="141">
        <f t="shared" si="42"/>
        <v>1</v>
      </c>
      <c r="AZ779">
        <f t="shared" si="43"/>
        <v>0</v>
      </c>
      <c r="BA779">
        <f t="shared" si="44"/>
        <v>1</v>
      </c>
      <c r="BB779">
        <f t="shared" si="45"/>
        <v>0</v>
      </c>
      <c r="BC779">
        <f t="shared" si="46"/>
        <v>0</v>
      </c>
      <c r="BD779">
        <f t="shared" si="47"/>
        <v>0</v>
      </c>
      <c r="BE779" t="str">
        <f t="array" ref="BE779">IF(AY779=1,INDEX($V$7:$AL$7,MATCH(TRUE,INDEX($V779:$AW779&lt;&gt;0,),0)),IF(AY779=0,INDEX($AM$7:$AW$7,MATCH(1,$AM779:$AW779,0)),IF(BF779="Multiple strategies","mixed drivers",IF(BF779="Supply chain","multiple supply","multiple silviculture"))))</f>
        <v xml:space="preserve">end of life disposal </v>
      </c>
      <c r="BF779" s="2" t="str" cm="1">
        <f t="array" ref="BF779">IF(COUNTIF(AZ779:BB779,"&lt;&gt;0")=1,INDEX($V$4:$AW$4,MATCH(TRUE,INDEX($V779:$AW779&lt;&gt;0,),0)),IF(COUNTIF(AZ779:BB779,"&lt;&gt;0")=0,INDEX($AM$4:$AW$4,MATCH(1,$AM779:$AW779,0)),"Multiple strategies"))</f>
        <v>Supply chain</v>
      </c>
      <c r="BG779" s="1" t="s">
        <v>230</v>
      </c>
      <c r="BH779" t="s">
        <v>956</v>
      </c>
      <c r="BI779" s="260" t="s">
        <v>3375</v>
      </c>
      <c r="BJ779" t="s">
        <v>346</v>
      </c>
      <c r="BK779">
        <v>116.6</v>
      </c>
      <c r="BL779">
        <v>116.6</v>
      </c>
      <c r="BM779" s="143"/>
      <c r="BN779">
        <f t="shared" si="66"/>
        <v>0</v>
      </c>
      <c r="BO779">
        <f t="shared" si="79"/>
        <v>0</v>
      </c>
      <c r="BP779" t="s">
        <v>233</v>
      </c>
      <c r="BQ779" s="260" t="s">
        <v>3376</v>
      </c>
      <c r="BR779" t="s">
        <v>957</v>
      </c>
      <c r="BS779" s="143">
        <v>-175.4</v>
      </c>
      <c r="BT779">
        <v>13.8</v>
      </c>
      <c r="BU779" s="144">
        <f t="shared" si="80"/>
        <v>-7.8677309007981755E-2</v>
      </c>
      <c r="BV779">
        <f t="shared" si="81"/>
        <v>189.20000000000002</v>
      </c>
      <c r="BX779">
        <f t="shared" ref="BX779:BX786" si="82">BV779/1000</f>
        <v>0.18920000000000001</v>
      </c>
      <c r="BY779" t="str">
        <f t="shared" si="49"/>
        <v/>
      </c>
      <c r="BZ779">
        <v>1</v>
      </c>
      <c r="CA779">
        <v>0</v>
      </c>
      <c r="CB779">
        <v>0</v>
      </c>
      <c r="CC779">
        <v>0</v>
      </c>
      <c r="CD779">
        <v>0</v>
      </c>
      <c r="CE779">
        <v>1</v>
      </c>
      <c r="CF779">
        <v>0</v>
      </c>
      <c r="CG779">
        <v>1</v>
      </c>
      <c r="CH779">
        <v>0</v>
      </c>
      <c r="CI779">
        <v>0</v>
      </c>
      <c r="CJ779">
        <v>0</v>
      </c>
      <c r="CK779">
        <v>0</v>
      </c>
      <c r="CL779">
        <v>0</v>
      </c>
      <c r="CM779">
        <v>0</v>
      </c>
      <c r="CN779" t="str">
        <f t="shared" ref="CN779:CN786" si="83">IF($BL779&lt;$BK779,"refNeedCorrection","refOK")</f>
        <v>refOK</v>
      </c>
      <c r="CO779">
        <f t="shared" si="67"/>
        <v>116.6</v>
      </c>
      <c r="CP779">
        <f t="shared" si="68"/>
        <v>116.6</v>
      </c>
      <c r="CQ779">
        <f t="shared" si="51"/>
        <v>0</v>
      </c>
      <c r="CR779">
        <f t="shared" si="69"/>
        <v>-175.4</v>
      </c>
      <c r="CS779">
        <f t="shared" si="70"/>
        <v>13.8</v>
      </c>
      <c r="CT779">
        <f t="shared" si="52"/>
        <v>0.18920000000000001</v>
      </c>
      <c r="CU779" t="str">
        <f t="shared" si="53"/>
        <v/>
      </c>
      <c r="CV779" s="2">
        <f t="shared" si="54"/>
        <v>1.0786773090079818</v>
      </c>
      <c r="CW779" s="1" t="s">
        <v>264</v>
      </c>
      <c r="CX779" t="str">
        <f t="shared" si="55"/>
        <v>loc</v>
      </c>
      <c r="CY779" t="s">
        <v>600</v>
      </c>
      <c r="DB779">
        <v>0</v>
      </c>
      <c r="DC779" t="str">
        <f t="shared" si="56"/>
        <v>0</v>
      </c>
      <c r="DD779">
        <v>0</v>
      </c>
      <c r="DE779">
        <v>0</v>
      </c>
      <c r="DF779">
        <v>0</v>
      </c>
      <c r="DG779">
        <v>1</v>
      </c>
      <c r="DI779">
        <f t="shared" si="71"/>
        <v>1</v>
      </c>
      <c r="DJ779" t="str">
        <f t="shared" si="57"/>
        <v>TimberInput</v>
      </c>
      <c r="DK779">
        <f t="shared" si="73"/>
        <v>0</v>
      </c>
      <c r="DL779">
        <f t="shared" si="74"/>
        <v>0</v>
      </c>
      <c r="DM779">
        <f t="shared" si="75"/>
        <v>0</v>
      </c>
      <c r="DN779" t="str">
        <f t="shared" si="76"/>
        <v>Timber</v>
      </c>
      <c r="DO779">
        <v>0</v>
      </c>
      <c r="DP779">
        <v>1</v>
      </c>
      <c r="DQ779">
        <v>0</v>
      </c>
      <c r="DR779">
        <v>0</v>
      </c>
      <c r="DS779">
        <v>0</v>
      </c>
      <c r="DT779">
        <f t="shared" si="72"/>
        <v>1</v>
      </c>
      <c r="DU779" s="143" t="str">
        <f t="shared" si="62"/>
        <v>external DF used</v>
      </c>
      <c r="DV779">
        <v>0</v>
      </c>
      <c r="DW779">
        <v>0</v>
      </c>
      <c r="DX779">
        <v>0</v>
      </c>
      <c r="DY779">
        <v>1</v>
      </c>
      <c r="DZ779">
        <v>0</v>
      </c>
      <c r="EA779" s="143">
        <v>1</v>
      </c>
      <c r="EB779">
        <v>1</v>
      </c>
      <c r="EC779">
        <v>1</v>
      </c>
      <c r="ED779">
        <v>0</v>
      </c>
      <c r="EE779">
        <v>1</v>
      </c>
      <c r="EF779">
        <v>0</v>
      </c>
      <c r="EG779">
        <v>0</v>
      </c>
      <c r="EH779">
        <v>0</v>
      </c>
      <c r="EI779" s="2">
        <v>0</v>
      </c>
      <c r="EK779" t="str">
        <f t="shared" si="77"/>
        <v/>
      </c>
      <c r="EL779" t="str">
        <f t="shared" si="78"/>
        <v/>
      </c>
      <c r="EM779" s="2" t="str">
        <f t="shared" si="65"/>
        <v>Technology approach</v>
      </c>
      <c r="EP779" t="b">
        <f>IF(ISNUMBER(BU779),IF(ABS(BU779-[4]QC_indicators!$B$2)&gt;3*[4]QC_indicators!$C$2,"C ratio",IF(ISNUMBER(BY779),IF(ABS(BY779-[4]QC_indicators!$B$1)&gt;3*[4]QC_indicators!$C$1,"DF","no"))),IF(ISNUMBER(BY779),IF(ABS(BY779-[4]QC_indicators!$B$1)&gt;3*[4]QC_indicators!$C$1,"DF","no")))</f>
        <v>0</v>
      </c>
      <c r="ER779" s="149" t="s">
        <v>350</v>
      </c>
      <c r="ET779" s="266" t="s">
        <v>3275</v>
      </c>
    </row>
    <row r="780" spans="1:150" ht="15" hidden="1" customHeight="1">
      <c r="A780" s="1" t="s">
        <v>334</v>
      </c>
      <c r="B780" t="s">
        <v>947</v>
      </c>
      <c r="C780" t="s">
        <v>948</v>
      </c>
      <c r="D780" t="s">
        <v>949</v>
      </c>
      <c r="E780" t="s">
        <v>950</v>
      </c>
      <c r="F780" t="s">
        <v>951</v>
      </c>
      <c r="G780" t="s">
        <v>340</v>
      </c>
      <c r="H780" t="s">
        <v>255</v>
      </c>
      <c r="I780">
        <v>2021</v>
      </c>
      <c r="J780">
        <v>0</v>
      </c>
      <c r="K780" t="s">
        <v>952</v>
      </c>
      <c r="M780" t="str">
        <f t="shared" si="40"/>
        <v>Morris_2021</v>
      </c>
      <c r="N780" t="s">
        <v>223</v>
      </c>
      <c r="O780" t="s">
        <v>224</v>
      </c>
      <c r="Q780" t="s">
        <v>257</v>
      </c>
      <c r="R780" s="255" t="s">
        <v>226</v>
      </c>
      <c r="S780" s="1" t="s">
        <v>953</v>
      </c>
      <c r="T780" t="s">
        <v>954</v>
      </c>
      <c r="U780" s="143" t="s">
        <v>955</v>
      </c>
      <c r="V780">
        <v>0</v>
      </c>
      <c r="W780">
        <v>0</v>
      </c>
      <c r="X780">
        <v>0</v>
      </c>
      <c r="Y780">
        <v>0</v>
      </c>
      <c r="Z780">
        <v>0</v>
      </c>
      <c r="AA780">
        <v>0</v>
      </c>
      <c r="AB780">
        <v>0</v>
      </c>
      <c r="AC780">
        <v>0</v>
      </c>
      <c r="AD780">
        <v>0</v>
      </c>
      <c r="AE780">
        <v>0</v>
      </c>
      <c r="AF780">
        <v>0</v>
      </c>
      <c r="AG780">
        <v>0</v>
      </c>
      <c r="AH780">
        <v>1</v>
      </c>
      <c r="AI780">
        <v>0</v>
      </c>
      <c r="AJ780">
        <v>0</v>
      </c>
      <c r="AK780">
        <v>0</v>
      </c>
      <c r="AL780">
        <v>0</v>
      </c>
      <c r="AM780">
        <v>0</v>
      </c>
      <c r="AN780">
        <v>0</v>
      </c>
      <c r="AO780">
        <v>0</v>
      </c>
      <c r="AP780">
        <v>0</v>
      </c>
      <c r="AQ780">
        <v>0</v>
      </c>
      <c r="AR780">
        <v>0</v>
      </c>
      <c r="AS780">
        <v>0</v>
      </c>
      <c r="AT780">
        <v>0</v>
      </c>
      <c r="AU780">
        <v>0</v>
      </c>
      <c r="AV780">
        <v>0</v>
      </c>
      <c r="AW780">
        <v>0</v>
      </c>
      <c r="AX780" s="141">
        <f t="shared" si="41"/>
        <v>1</v>
      </c>
      <c r="AY780" s="141">
        <f t="shared" si="42"/>
        <v>1</v>
      </c>
      <c r="AZ780">
        <f t="shared" si="43"/>
        <v>0</v>
      </c>
      <c r="BA780">
        <f t="shared" si="44"/>
        <v>1</v>
      </c>
      <c r="BB780">
        <f t="shared" si="45"/>
        <v>0</v>
      </c>
      <c r="BC780">
        <f t="shared" si="46"/>
        <v>0</v>
      </c>
      <c r="BD780">
        <f t="shared" si="47"/>
        <v>0</v>
      </c>
      <c r="BE780" t="str">
        <f t="array" ref="BE780">IF(AY780=1,INDEX($V$7:$AL$7,MATCH(TRUE,INDEX($V780:$AW780&lt;&gt;0,),0)),IF(AY780=0,INDEX($AM$7:$AW$7,MATCH(1,$AM780:$AW780,0)),IF(BF780="Multiple strategies","mixed drivers",IF(BF780="Supply chain","multiple supply","multiple silviculture"))))</f>
        <v xml:space="preserve">end of life disposal </v>
      </c>
      <c r="BF780" s="2" t="str" cm="1">
        <f t="array" ref="BF780">IF(COUNTIF(AZ780:BB780,"&lt;&gt;0")=1,INDEX($V$4:$AW$4,MATCH(TRUE,INDEX($V780:$AW780&lt;&gt;0,),0)),IF(COUNTIF(AZ780:BB780,"&lt;&gt;0")=0,INDEX($AM$4:$AW$4,MATCH(1,$AM780:$AW780,0)),"Multiple strategies"))</f>
        <v>Supply chain</v>
      </c>
      <c r="BG780" s="1" t="s">
        <v>230</v>
      </c>
      <c r="BH780" t="s">
        <v>956</v>
      </c>
      <c r="BI780" s="260" t="s">
        <v>3375</v>
      </c>
      <c r="BJ780" t="s">
        <v>346</v>
      </c>
      <c r="BK780">
        <v>116.6</v>
      </c>
      <c r="BL780">
        <v>116.6</v>
      </c>
      <c r="BM780" s="143"/>
      <c r="BN780">
        <f t="shared" si="66"/>
        <v>0</v>
      </c>
      <c r="BO780">
        <f t="shared" si="79"/>
        <v>0</v>
      </c>
      <c r="BP780" t="s">
        <v>233</v>
      </c>
      <c r="BQ780" s="260" t="s">
        <v>3377</v>
      </c>
      <c r="BR780" t="s">
        <v>957</v>
      </c>
      <c r="BS780">
        <v>-159.69999999999999</v>
      </c>
      <c r="BT780">
        <v>-32.799999999999997</v>
      </c>
      <c r="BU780" s="144">
        <f t="shared" si="80"/>
        <v>0.20538509705698182</v>
      </c>
      <c r="BV780">
        <f t="shared" si="81"/>
        <v>126.89999999999999</v>
      </c>
      <c r="BX780">
        <f t="shared" si="82"/>
        <v>0.12689999999999999</v>
      </c>
      <c r="BY780" t="str">
        <f t="shared" si="49"/>
        <v/>
      </c>
      <c r="BZ780">
        <v>1</v>
      </c>
      <c r="CA780">
        <v>0</v>
      </c>
      <c r="CB780">
        <v>0</v>
      </c>
      <c r="CC780">
        <v>0</v>
      </c>
      <c r="CD780">
        <v>0</v>
      </c>
      <c r="CE780">
        <v>1</v>
      </c>
      <c r="CF780">
        <v>0</v>
      </c>
      <c r="CG780">
        <v>1</v>
      </c>
      <c r="CH780">
        <v>0</v>
      </c>
      <c r="CI780">
        <v>0</v>
      </c>
      <c r="CJ780">
        <v>0</v>
      </c>
      <c r="CK780">
        <v>0</v>
      </c>
      <c r="CL780">
        <v>0</v>
      </c>
      <c r="CM780">
        <v>0</v>
      </c>
      <c r="CN780" t="str">
        <f t="shared" si="83"/>
        <v>refOK</v>
      </c>
      <c r="CO780">
        <f t="shared" si="67"/>
        <v>116.6</v>
      </c>
      <c r="CP780">
        <f t="shared" si="68"/>
        <v>116.6</v>
      </c>
      <c r="CQ780">
        <f t="shared" si="51"/>
        <v>0</v>
      </c>
      <c r="CR780">
        <f t="shared" si="69"/>
        <v>-159.69999999999999</v>
      </c>
      <c r="CS780">
        <f t="shared" si="70"/>
        <v>-32.799999999999997</v>
      </c>
      <c r="CT780">
        <f t="shared" si="52"/>
        <v>0.12689999999999999</v>
      </c>
      <c r="CU780" t="str">
        <f t="shared" si="53"/>
        <v/>
      </c>
      <c r="CV780" s="2">
        <f t="shared" si="54"/>
        <v>0.79461490294301818</v>
      </c>
      <c r="CW780" s="1" t="s">
        <v>264</v>
      </c>
      <c r="CX780" t="str">
        <f t="shared" si="55"/>
        <v>loc</v>
      </c>
      <c r="CY780" t="s">
        <v>600</v>
      </c>
      <c r="DB780">
        <v>0</v>
      </c>
      <c r="DC780" t="str">
        <f t="shared" si="56"/>
        <v>0</v>
      </c>
      <c r="DD780">
        <v>0</v>
      </c>
      <c r="DE780">
        <v>0</v>
      </c>
      <c r="DF780">
        <v>0</v>
      </c>
      <c r="DG780">
        <v>1</v>
      </c>
      <c r="DI780">
        <f t="shared" si="71"/>
        <v>1</v>
      </c>
      <c r="DJ780" t="str">
        <f t="shared" si="57"/>
        <v>TimberInput</v>
      </c>
      <c r="DK780">
        <f t="shared" si="73"/>
        <v>0</v>
      </c>
      <c r="DL780">
        <f t="shared" si="74"/>
        <v>0</v>
      </c>
      <c r="DM780">
        <f t="shared" si="75"/>
        <v>0</v>
      </c>
      <c r="DN780" t="str">
        <f t="shared" si="76"/>
        <v>Timber</v>
      </c>
      <c r="DO780">
        <v>0</v>
      </c>
      <c r="DP780">
        <v>0</v>
      </c>
      <c r="DQ780">
        <v>0</v>
      </c>
      <c r="DR780">
        <v>0</v>
      </c>
      <c r="DS780">
        <v>0</v>
      </c>
      <c r="DT780">
        <f t="shared" si="72"/>
        <v>0</v>
      </c>
      <c r="DU780" s="143" t="str">
        <f t="shared" si="62"/>
        <v>explicit C balance</v>
      </c>
      <c r="DV780">
        <v>0</v>
      </c>
      <c r="DW780">
        <v>0</v>
      </c>
      <c r="DX780">
        <v>0</v>
      </c>
      <c r="DY780">
        <v>0</v>
      </c>
      <c r="DZ780">
        <v>0</v>
      </c>
      <c r="EA780" s="143">
        <v>0</v>
      </c>
      <c r="EB780">
        <v>1</v>
      </c>
      <c r="EC780">
        <v>1</v>
      </c>
      <c r="ED780">
        <v>0</v>
      </c>
      <c r="EE780">
        <v>1</v>
      </c>
      <c r="EF780">
        <v>0</v>
      </c>
      <c r="EG780">
        <v>0</v>
      </c>
      <c r="EH780">
        <v>0</v>
      </c>
      <c r="EI780" s="2">
        <v>0</v>
      </c>
      <c r="EK780" t="str">
        <f t="shared" si="77"/>
        <v/>
      </c>
      <c r="EL780" t="str">
        <f t="shared" si="78"/>
        <v/>
      </c>
      <c r="EM780" s="2" t="str">
        <f t="shared" si="65"/>
        <v>Technology approach</v>
      </c>
      <c r="EP780" t="b">
        <f>IF(ISNUMBER(BU780),IF(ABS(BU780-[4]QC_indicators!$B$2)&gt;3*[4]QC_indicators!$C$2,"C ratio",IF(ISNUMBER(BY780),IF(ABS(BY780-[4]QC_indicators!$B$1)&gt;3*[4]QC_indicators!$C$1,"DF","no"))),IF(ISNUMBER(BY780),IF(ABS(BY780-[4]QC_indicators!$B$1)&gt;3*[4]QC_indicators!$C$1,"DF","no")))</f>
        <v>0</v>
      </c>
      <c r="ER780" s="149" t="s">
        <v>350</v>
      </c>
      <c r="ET780" s="266" t="s">
        <v>3275</v>
      </c>
    </row>
    <row r="781" spans="1:150" ht="15" hidden="1" customHeight="1">
      <c r="A781" s="1" t="s">
        <v>334</v>
      </c>
      <c r="B781" t="s">
        <v>947</v>
      </c>
      <c r="C781" t="s">
        <v>948</v>
      </c>
      <c r="D781" t="s">
        <v>949</v>
      </c>
      <c r="E781" t="s">
        <v>950</v>
      </c>
      <c r="F781" t="s">
        <v>951</v>
      </c>
      <c r="G781" t="s">
        <v>340</v>
      </c>
      <c r="H781" t="s">
        <v>255</v>
      </c>
      <c r="I781">
        <v>2021</v>
      </c>
      <c r="J781">
        <v>0</v>
      </c>
      <c r="K781" t="s">
        <v>952</v>
      </c>
      <c r="M781" t="str">
        <f t="shared" si="40"/>
        <v>Morris_2021</v>
      </c>
      <c r="N781" t="s">
        <v>223</v>
      </c>
      <c r="O781" t="s">
        <v>224</v>
      </c>
      <c r="Q781" t="s">
        <v>257</v>
      </c>
      <c r="R781" s="255" t="s">
        <v>226</v>
      </c>
      <c r="S781" s="1" t="s">
        <v>953</v>
      </c>
      <c r="T781" t="s">
        <v>954</v>
      </c>
      <c r="U781" s="143" t="s">
        <v>955</v>
      </c>
      <c r="V781">
        <v>0</v>
      </c>
      <c r="W781">
        <v>0</v>
      </c>
      <c r="X781">
        <v>0</v>
      </c>
      <c r="Y781">
        <v>0</v>
      </c>
      <c r="Z781">
        <v>0</v>
      </c>
      <c r="AA781">
        <v>0</v>
      </c>
      <c r="AB781">
        <v>0</v>
      </c>
      <c r="AC781">
        <v>0</v>
      </c>
      <c r="AD781">
        <v>0</v>
      </c>
      <c r="AE781">
        <v>0</v>
      </c>
      <c r="AF781">
        <v>0</v>
      </c>
      <c r="AG781">
        <v>0</v>
      </c>
      <c r="AH781">
        <v>1</v>
      </c>
      <c r="AI781">
        <v>0</v>
      </c>
      <c r="AJ781">
        <v>0</v>
      </c>
      <c r="AK781">
        <v>0</v>
      </c>
      <c r="AL781">
        <v>0</v>
      </c>
      <c r="AM781">
        <v>0</v>
      </c>
      <c r="AN781">
        <v>0</v>
      </c>
      <c r="AO781">
        <v>0</v>
      </c>
      <c r="AP781">
        <v>0</v>
      </c>
      <c r="AQ781">
        <v>0</v>
      </c>
      <c r="AR781">
        <v>0</v>
      </c>
      <c r="AS781">
        <v>0</v>
      </c>
      <c r="AT781">
        <v>0</v>
      </c>
      <c r="AU781">
        <v>0</v>
      </c>
      <c r="AV781">
        <v>0</v>
      </c>
      <c r="AW781">
        <v>0</v>
      </c>
      <c r="AX781" s="141">
        <f t="shared" si="41"/>
        <v>1</v>
      </c>
      <c r="AY781" s="141">
        <f t="shared" si="42"/>
        <v>1</v>
      </c>
      <c r="AZ781">
        <f t="shared" si="43"/>
        <v>0</v>
      </c>
      <c r="BA781">
        <f t="shared" si="44"/>
        <v>1</v>
      </c>
      <c r="BB781">
        <f t="shared" si="45"/>
        <v>0</v>
      </c>
      <c r="BC781">
        <f t="shared" si="46"/>
        <v>0</v>
      </c>
      <c r="BD781">
        <f t="shared" si="47"/>
        <v>0</v>
      </c>
      <c r="BE781" t="str">
        <f t="array" ref="BE781">IF(AY781=1,INDEX($V$7:$AL$7,MATCH(TRUE,INDEX($V781:$AW781&lt;&gt;0,),0)),IF(AY781=0,INDEX($AM$7:$AW$7,MATCH(1,$AM781:$AW781,0)),IF(BF781="Multiple strategies","mixed drivers",IF(BF781="Supply chain","multiple supply","multiple silviculture"))))</f>
        <v xml:space="preserve">end of life disposal </v>
      </c>
      <c r="BF781" s="2" t="str" cm="1">
        <f t="array" ref="BF781">IF(COUNTIF(AZ781:BB781,"&lt;&gt;0")=1,INDEX($V$4:$AW$4,MATCH(TRUE,INDEX($V781:$AW781&lt;&gt;0,),0)),IF(COUNTIF(AZ781:BB781,"&lt;&gt;0")=0,INDEX($AM$4:$AW$4,MATCH(1,$AM781:$AW781,0)),"Multiple strategies"))</f>
        <v>Supply chain</v>
      </c>
      <c r="BG781" s="1" t="s">
        <v>230</v>
      </c>
      <c r="BH781" t="s">
        <v>956</v>
      </c>
      <c r="BI781" s="260" t="s">
        <v>3375</v>
      </c>
      <c r="BJ781" t="s">
        <v>346</v>
      </c>
      <c r="BK781">
        <v>116.6</v>
      </c>
      <c r="BL781">
        <v>116.6</v>
      </c>
      <c r="BM781" s="143"/>
      <c r="BN781">
        <f t="shared" si="66"/>
        <v>0</v>
      </c>
      <c r="BO781">
        <f t="shared" si="79"/>
        <v>0</v>
      </c>
      <c r="BP781" t="s">
        <v>233</v>
      </c>
      <c r="BQ781" s="260" t="s">
        <v>3376</v>
      </c>
      <c r="BR781" t="s">
        <v>957</v>
      </c>
      <c r="BS781" s="143">
        <v>-179.7</v>
      </c>
      <c r="BT781">
        <v>-71.3</v>
      </c>
      <c r="BU781" s="144">
        <f t="shared" si="80"/>
        <v>0.39677239844184753</v>
      </c>
      <c r="BV781">
        <f t="shared" si="81"/>
        <v>108.39999999999999</v>
      </c>
      <c r="BX781">
        <f t="shared" si="82"/>
        <v>0.1084</v>
      </c>
      <c r="BY781" t="str">
        <f t="shared" si="49"/>
        <v/>
      </c>
      <c r="BZ781">
        <v>1</v>
      </c>
      <c r="CA781">
        <v>0</v>
      </c>
      <c r="CB781">
        <v>0</v>
      </c>
      <c r="CC781">
        <v>0</v>
      </c>
      <c r="CD781">
        <v>0</v>
      </c>
      <c r="CE781">
        <v>1</v>
      </c>
      <c r="CF781">
        <v>0</v>
      </c>
      <c r="CG781">
        <v>1</v>
      </c>
      <c r="CH781">
        <v>0</v>
      </c>
      <c r="CI781">
        <v>0</v>
      </c>
      <c r="CJ781">
        <v>0</v>
      </c>
      <c r="CK781">
        <v>0</v>
      </c>
      <c r="CL781">
        <v>0</v>
      </c>
      <c r="CM781">
        <v>0</v>
      </c>
      <c r="CN781" t="str">
        <f t="shared" si="83"/>
        <v>refOK</v>
      </c>
      <c r="CO781">
        <f t="shared" si="67"/>
        <v>116.6</v>
      </c>
      <c r="CP781">
        <f t="shared" si="68"/>
        <v>116.6</v>
      </c>
      <c r="CQ781">
        <f t="shared" si="51"/>
        <v>0</v>
      </c>
      <c r="CR781">
        <f t="shared" si="69"/>
        <v>-179.7</v>
      </c>
      <c r="CS781">
        <f t="shared" si="70"/>
        <v>-71.3</v>
      </c>
      <c r="CT781">
        <f t="shared" si="52"/>
        <v>0.1084</v>
      </c>
      <c r="CU781" t="str">
        <f t="shared" si="53"/>
        <v/>
      </c>
      <c r="CV781" s="2">
        <f t="shared" si="54"/>
        <v>0.60322760155815247</v>
      </c>
      <c r="CW781" s="1" t="s">
        <v>264</v>
      </c>
      <c r="CX781" t="str">
        <f t="shared" si="55"/>
        <v>loc</v>
      </c>
      <c r="CY781" t="s">
        <v>600</v>
      </c>
      <c r="DB781">
        <v>0</v>
      </c>
      <c r="DC781" t="str">
        <f t="shared" si="56"/>
        <v>0</v>
      </c>
      <c r="DD781">
        <v>0</v>
      </c>
      <c r="DE781">
        <v>0</v>
      </c>
      <c r="DF781">
        <v>0</v>
      </c>
      <c r="DG781">
        <v>1</v>
      </c>
      <c r="DI781">
        <f t="shared" si="71"/>
        <v>1</v>
      </c>
      <c r="DJ781" t="str">
        <f t="shared" si="57"/>
        <v>TimberInput</v>
      </c>
      <c r="DK781">
        <f t="shared" si="73"/>
        <v>0</v>
      </c>
      <c r="DL781">
        <f t="shared" si="74"/>
        <v>0</v>
      </c>
      <c r="DM781">
        <f t="shared" si="75"/>
        <v>0</v>
      </c>
      <c r="DN781" t="str">
        <f t="shared" si="76"/>
        <v>Timber</v>
      </c>
      <c r="DO781">
        <v>0</v>
      </c>
      <c r="DP781">
        <v>0</v>
      </c>
      <c r="DQ781">
        <v>0</v>
      </c>
      <c r="DR781">
        <v>0</v>
      </c>
      <c r="DS781">
        <v>0</v>
      </c>
      <c r="DT781">
        <f t="shared" si="72"/>
        <v>0</v>
      </c>
      <c r="DU781" s="143" t="str">
        <f t="shared" si="62"/>
        <v>explicit C balance</v>
      </c>
      <c r="DV781">
        <v>0</v>
      </c>
      <c r="DW781">
        <v>0</v>
      </c>
      <c r="DX781">
        <v>0</v>
      </c>
      <c r="DY781">
        <v>1</v>
      </c>
      <c r="DZ781">
        <v>0</v>
      </c>
      <c r="EA781" s="143">
        <v>1</v>
      </c>
      <c r="EB781">
        <v>1</v>
      </c>
      <c r="EC781">
        <v>1</v>
      </c>
      <c r="ED781">
        <v>0</v>
      </c>
      <c r="EE781">
        <v>1</v>
      </c>
      <c r="EF781">
        <v>0</v>
      </c>
      <c r="EG781">
        <v>0</v>
      </c>
      <c r="EH781">
        <v>0</v>
      </c>
      <c r="EI781" s="2">
        <v>0</v>
      </c>
      <c r="EK781" t="str">
        <f t="shared" si="77"/>
        <v/>
      </c>
      <c r="EL781" t="str">
        <f t="shared" si="78"/>
        <v/>
      </c>
      <c r="EM781" s="2" t="str">
        <f t="shared" si="65"/>
        <v>Technology approach</v>
      </c>
      <c r="EP781" t="b">
        <f>IF(ISNUMBER(BU781),IF(ABS(BU781-[4]QC_indicators!$B$2)&gt;3*[4]QC_indicators!$C$2,"C ratio",IF(ISNUMBER(BY781),IF(ABS(BY781-[4]QC_indicators!$B$1)&gt;3*[4]QC_indicators!$C$1,"DF","no"))),IF(ISNUMBER(BY781),IF(ABS(BY781-[4]QC_indicators!$B$1)&gt;3*[4]QC_indicators!$C$1,"DF","no")))</f>
        <v>0</v>
      </c>
      <c r="ER781" s="149" t="s">
        <v>350</v>
      </c>
      <c r="ET781" s="266" t="s">
        <v>3275</v>
      </c>
    </row>
    <row r="782" spans="1:150" ht="15" hidden="1" customHeight="1">
      <c r="A782" s="1" t="s">
        <v>334</v>
      </c>
      <c r="B782" t="s">
        <v>947</v>
      </c>
      <c r="C782" t="s">
        <v>948</v>
      </c>
      <c r="D782" t="s">
        <v>949</v>
      </c>
      <c r="E782" t="s">
        <v>950</v>
      </c>
      <c r="F782" t="s">
        <v>951</v>
      </c>
      <c r="G782" t="s">
        <v>340</v>
      </c>
      <c r="H782" t="s">
        <v>255</v>
      </c>
      <c r="I782">
        <v>2021</v>
      </c>
      <c r="J782">
        <v>0</v>
      </c>
      <c r="K782" t="s">
        <v>952</v>
      </c>
      <c r="M782" t="str">
        <f t="shared" si="40"/>
        <v>Morris_2021</v>
      </c>
      <c r="N782" t="s">
        <v>223</v>
      </c>
      <c r="O782" t="s">
        <v>224</v>
      </c>
      <c r="Q782" t="s">
        <v>257</v>
      </c>
      <c r="R782" s="255" t="s">
        <v>226</v>
      </c>
      <c r="S782" s="1" t="s">
        <v>953</v>
      </c>
      <c r="T782" t="s">
        <v>954</v>
      </c>
      <c r="U782" s="143" t="s">
        <v>955</v>
      </c>
      <c r="V782">
        <v>0</v>
      </c>
      <c r="W782">
        <v>0</v>
      </c>
      <c r="X782">
        <v>0</v>
      </c>
      <c r="Y782">
        <v>0</v>
      </c>
      <c r="Z782">
        <v>0</v>
      </c>
      <c r="AA782">
        <v>0</v>
      </c>
      <c r="AB782">
        <v>0</v>
      </c>
      <c r="AC782">
        <v>0</v>
      </c>
      <c r="AD782">
        <v>0</v>
      </c>
      <c r="AE782">
        <v>0</v>
      </c>
      <c r="AF782">
        <v>0</v>
      </c>
      <c r="AG782">
        <v>0</v>
      </c>
      <c r="AH782">
        <v>1</v>
      </c>
      <c r="AI782">
        <v>0</v>
      </c>
      <c r="AJ782">
        <v>0</v>
      </c>
      <c r="AK782">
        <v>0</v>
      </c>
      <c r="AL782">
        <v>0</v>
      </c>
      <c r="AM782">
        <v>0</v>
      </c>
      <c r="AN782">
        <v>0</v>
      </c>
      <c r="AO782">
        <v>0</v>
      </c>
      <c r="AP782">
        <v>0</v>
      </c>
      <c r="AQ782">
        <v>0</v>
      </c>
      <c r="AR782">
        <v>0</v>
      </c>
      <c r="AS782">
        <v>0</v>
      </c>
      <c r="AT782">
        <v>0</v>
      </c>
      <c r="AU782">
        <v>0</v>
      </c>
      <c r="AV782">
        <v>0</v>
      </c>
      <c r="AW782">
        <v>0</v>
      </c>
      <c r="AX782" s="141">
        <f t="shared" si="41"/>
        <v>1</v>
      </c>
      <c r="AY782" s="141">
        <f t="shared" si="42"/>
        <v>1</v>
      </c>
      <c r="AZ782">
        <f t="shared" si="43"/>
        <v>0</v>
      </c>
      <c r="BA782">
        <f t="shared" si="44"/>
        <v>1</v>
      </c>
      <c r="BB782">
        <f t="shared" si="45"/>
        <v>0</v>
      </c>
      <c r="BC782">
        <f t="shared" si="46"/>
        <v>0</v>
      </c>
      <c r="BD782">
        <f t="shared" si="47"/>
        <v>0</v>
      </c>
      <c r="BE782" t="str">
        <f t="array" ref="BE782">IF(AY782=1,INDEX($V$7:$AL$7,MATCH(TRUE,INDEX($V782:$AW782&lt;&gt;0,),0)),IF(AY782=0,INDEX($AM$7:$AW$7,MATCH(1,$AM782:$AW782,0)),IF(BF782="Multiple strategies","mixed drivers",IF(BF782="Supply chain","multiple supply","multiple silviculture"))))</f>
        <v xml:space="preserve">end of life disposal </v>
      </c>
      <c r="BF782" s="2" t="str" cm="1">
        <f t="array" ref="BF782">IF(COUNTIF(AZ782:BB782,"&lt;&gt;0")=1,INDEX($V$4:$AW$4,MATCH(TRUE,INDEX($V782:$AW782&lt;&gt;0,),0)),IF(COUNTIF(AZ782:BB782,"&lt;&gt;0")=0,INDEX($AM$4:$AW$4,MATCH(1,$AM782:$AW782,0)),"Multiple strategies"))</f>
        <v>Supply chain</v>
      </c>
      <c r="BG782" s="1" t="s">
        <v>230</v>
      </c>
      <c r="BH782" t="s">
        <v>956</v>
      </c>
      <c r="BI782" s="260" t="s">
        <v>3375</v>
      </c>
      <c r="BJ782" t="s">
        <v>346</v>
      </c>
      <c r="BK782">
        <v>116.6</v>
      </c>
      <c r="BL782">
        <v>116.6</v>
      </c>
      <c r="BM782" s="143"/>
      <c r="BN782">
        <f t="shared" si="66"/>
        <v>0</v>
      </c>
      <c r="BO782">
        <f t="shared" si="79"/>
        <v>0</v>
      </c>
      <c r="BP782" t="s">
        <v>233</v>
      </c>
      <c r="BQ782" s="260" t="s">
        <v>3377</v>
      </c>
      <c r="BR782" t="s">
        <v>957</v>
      </c>
      <c r="BS782" s="143">
        <v>-165.4</v>
      </c>
      <c r="BT782">
        <v>-67.400000000000006</v>
      </c>
      <c r="BU782" s="144">
        <f t="shared" si="80"/>
        <v>0.407496977025393</v>
      </c>
      <c r="BV782">
        <f t="shared" si="81"/>
        <v>98</v>
      </c>
      <c r="BX782">
        <f t="shared" si="82"/>
        <v>9.8000000000000004E-2</v>
      </c>
      <c r="BY782" t="str">
        <f t="shared" si="49"/>
        <v/>
      </c>
      <c r="BZ782">
        <v>1</v>
      </c>
      <c r="CA782">
        <v>0</v>
      </c>
      <c r="CB782">
        <v>0</v>
      </c>
      <c r="CC782">
        <v>0</v>
      </c>
      <c r="CD782">
        <v>0</v>
      </c>
      <c r="CE782">
        <v>1</v>
      </c>
      <c r="CF782">
        <v>0</v>
      </c>
      <c r="CG782">
        <v>1</v>
      </c>
      <c r="CH782">
        <v>0</v>
      </c>
      <c r="CI782">
        <v>0</v>
      </c>
      <c r="CJ782">
        <v>0</v>
      </c>
      <c r="CK782">
        <v>0</v>
      </c>
      <c r="CL782">
        <v>0</v>
      </c>
      <c r="CM782">
        <v>0</v>
      </c>
      <c r="CN782" t="str">
        <f t="shared" si="83"/>
        <v>refOK</v>
      </c>
      <c r="CO782">
        <f t="shared" si="67"/>
        <v>116.6</v>
      </c>
      <c r="CP782">
        <f t="shared" si="68"/>
        <v>116.6</v>
      </c>
      <c r="CQ782">
        <f t="shared" si="51"/>
        <v>0</v>
      </c>
      <c r="CR782">
        <f t="shared" si="69"/>
        <v>-165.4</v>
      </c>
      <c r="CS782">
        <f t="shared" si="70"/>
        <v>-67.400000000000006</v>
      </c>
      <c r="CT782">
        <f t="shared" si="52"/>
        <v>9.8000000000000004E-2</v>
      </c>
      <c r="CU782" t="str">
        <f t="shared" si="53"/>
        <v/>
      </c>
      <c r="CV782" s="2">
        <f t="shared" si="54"/>
        <v>0.592503022974607</v>
      </c>
      <c r="CW782" s="1" t="s">
        <v>264</v>
      </c>
      <c r="CX782" t="str">
        <f t="shared" si="55"/>
        <v>loc</v>
      </c>
      <c r="CY782" t="s">
        <v>600</v>
      </c>
      <c r="DB782">
        <v>0</v>
      </c>
      <c r="DC782" t="str">
        <f t="shared" si="56"/>
        <v>0</v>
      </c>
      <c r="DD782">
        <v>0</v>
      </c>
      <c r="DE782">
        <v>0</v>
      </c>
      <c r="DF782">
        <v>0</v>
      </c>
      <c r="DG782">
        <v>1</v>
      </c>
      <c r="DI782">
        <f t="shared" si="71"/>
        <v>1</v>
      </c>
      <c r="DJ782" t="str">
        <f t="shared" si="57"/>
        <v>TimberInput</v>
      </c>
      <c r="DK782">
        <f t="shared" si="73"/>
        <v>0</v>
      </c>
      <c r="DL782">
        <f t="shared" si="74"/>
        <v>0</v>
      </c>
      <c r="DM782">
        <f t="shared" si="75"/>
        <v>0</v>
      </c>
      <c r="DN782" t="str">
        <f t="shared" si="76"/>
        <v>Timber</v>
      </c>
      <c r="DO782">
        <v>0</v>
      </c>
      <c r="DP782">
        <v>1</v>
      </c>
      <c r="DQ782">
        <v>0</v>
      </c>
      <c r="DR782">
        <v>0</v>
      </c>
      <c r="DS782">
        <v>0</v>
      </c>
      <c r="DT782">
        <f t="shared" si="72"/>
        <v>1</v>
      </c>
      <c r="DU782" s="143" t="str">
        <f t="shared" si="62"/>
        <v>external DF used</v>
      </c>
      <c r="DV782">
        <v>0</v>
      </c>
      <c r="DW782">
        <v>0</v>
      </c>
      <c r="DX782">
        <v>0</v>
      </c>
      <c r="DY782">
        <v>0</v>
      </c>
      <c r="DZ782">
        <v>0</v>
      </c>
      <c r="EA782" s="143">
        <v>1</v>
      </c>
      <c r="EB782">
        <v>1</v>
      </c>
      <c r="EC782">
        <v>1</v>
      </c>
      <c r="ED782">
        <v>0</v>
      </c>
      <c r="EE782">
        <v>1</v>
      </c>
      <c r="EF782">
        <v>0</v>
      </c>
      <c r="EG782">
        <v>0</v>
      </c>
      <c r="EH782">
        <v>0</v>
      </c>
      <c r="EI782" s="2">
        <v>0</v>
      </c>
      <c r="EK782" t="str">
        <f t="shared" si="77"/>
        <v/>
      </c>
      <c r="EL782" t="str">
        <f t="shared" si="78"/>
        <v/>
      </c>
      <c r="EM782" s="2" t="str">
        <f t="shared" si="65"/>
        <v>Technology approach</v>
      </c>
      <c r="EP782" t="b">
        <f>IF(ISNUMBER(BU782),IF(ABS(BU782-[4]QC_indicators!$B$2)&gt;3*[4]QC_indicators!$C$2,"C ratio",IF(ISNUMBER(BY782),IF(ABS(BY782-[4]QC_indicators!$B$1)&gt;3*[4]QC_indicators!$C$1,"DF","no"))),IF(ISNUMBER(BY782),IF(ABS(BY782-[4]QC_indicators!$B$1)&gt;3*[4]QC_indicators!$C$1,"DF","no")))</f>
        <v>0</v>
      </c>
      <c r="ER782" s="149" t="s">
        <v>350</v>
      </c>
      <c r="ET782" s="266" t="s">
        <v>3275</v>
      </c>
    </row>
    <row r="783" spans="1:150" ht="15" hidden="1" customHeight="1">
      <c r="A783" s="1" t="s">
        <v>334</v>
      </c>
      <c r="B783" t="s">
        <v>947</v>
      </c>
      <c r="C783" t="s">
        <v>948</v>
      </c>
      <c r="D783" t="s">
        <v>949</v>
      </c>
      <c r="E783" t="s">
        <v>950</v>
      </c>
      <c r="F783" t="s">
        <v>951</v>
      </c>
      <c r="G783" t="s">
        <v>340</v>
      </c>
      <c r="H783" t="s">
        <v>255</v>
      </c>
      <c r="I783">
        <v>2021</v>
      </c>
      <c r="J783">
        <v>0</v>
      </c>
      <c r="K783" t="s">
        <v>952</v>
      </c>
      <c r="M783" t="str">
        <f t="shared" si="40"/>
        <v>Morris_2021</v>
      </c>
      <c r="N783" t="s">
        <v>223</v>
      </c>
      <c r="O783" t="s">
        <v>224</v>
      </c>
      <c r="Q783" t="s">
        <v>257</v>
      </c>
      <c r="R783" s="255" t="s">
        <v>226</v>
      </c>
      <c r="S783" s="1" t="s">
        <v>953</v>
      </c>
      <c r="T783" t="s">
        <v>954</v>
      </c>
      <c r="U783" s="143" t="s">
        <v>100</v>
      </c>
      <c r="V783">
        <v>0</v>
      </c>
      <c r="W783">
        <v>0</v>
      </c>
      <c r="X783">
        <v>0</v>
      </c>
      <c r="Y783">
        <v>0</v>
      </c>
      <c r="Z783">
        <v>0</v>
      </c>
      <c r="AA783">
        <v>0</v>
      </c>
      <c r="AB783">
        <v>0</v>
      </c>
      <c r="AC783">
        <v>0</v>
      </c>
      <c r="AD783">
        <v>0</v>
      </c>
      <c r="AE783">
        <v>0</v>
      </c>
      <c r="AF783">
        <v>0</v>
      </c>
      <c r="AG783">
        <v>0</v>
      </c>
      <c r="AH783">
        <v>1</v>
      </c>
      <c r="AI783">
        <v>0</v>
      </c>
      <c r="AJ783">
        <v>0</v>
      </c>
      <c r="AK783">
        <v>0</v>
      </c>
      <c r="AL783">
        <v>0</v>
      </c>
      <c r="AM783">
        <v>0</v>
      </c>
      <c r="AN783">
        <v>0</v>
      </c>
      <c r="AO783">
        <v>0</v>
      </c>
      <c r="AP783">
        <v>0</v>
      </c>
      <c r="AQ783">
        <v>0</v>
      </c>
      <c r="AR783">
        <v>0</v>
      </c>
      <c r="AS783">
        <v>0</v>
      </c>
      <c r="AT783">
        <v>0</v>
      </c>
      <c r="AU783">
        <v>0</v>
      </c>
      <c r="AV783">
        <v>0</v>
      </c>
      <c r="AW783">
        <v>0</v>
      </c>
      <c r="AX783" s="141">
        <f t="shared" si="41"/>
        <v>1</v>
      </c>
      <c r="AY783" s="141">
        <f t="shared" si="42"/>
        <v>1</v>
      </c>
      <c r="AZ783">
        <f t="shared" si="43"/>
        <v>0</v>
      </c>
      <c r="BA783">
        <f t="shared" si="44"/>
        <v>1</v>
      </c>
      <c r="BB783">
        <f t="shared" si="45"/>
        <v>0</v>
      </c>
      <c r="BC783">
        <f t="shared" si="46"/>
        <v>0</v>
      </c>
      <c r="BD783">
        <f t="shared" si="47"/>
        <v>0</v>
      </c>
      <c r="BE783" t="str">
        <f t="array" ref="BE783">IF(AY783=1,INDEX($V$7:$AL$7,MATCH(TRUE,INDEX($V783:$AW783&lt;&gt;0,),0)),IF(AY783=0,INDEX($AM$7:$AW$7,MATCH(1,$AM783:$AW783,0)),IF(BF783="Multiple strategies","mixed drivers",IF(BF783="Supply chain","multiple supply","multiple silviculture"))))</f>
        <v xml:space="preserve">end of life disposal </v>
      </c>
      <c r="BF783" s="2" t="str" cm="1">
        <f t="array" ref="BF783">IF(COUNTIF(AZ783:BB783,"&lt;&gt;0")=1,INDEX($V$4:$AW$4,MATCH(TRUE,INDEX($V783:$AW783&lt;&gt;0,),0)),IF(COUNTIF(AZ783:BB783,"&lt;&gt;0")=0,INDEX($AM$4:$AW$4,MATCH(1,$AM783:$AW783,0)),"Multiple strategies"))</f>
        <v>Supply chain</v>
      </c>
      <c r="BG783" s="1" t="s">
        <v>230</v>
      </c>
      <c r="BH783" t="s">
        <v>956</v>
      </c>
      <c r="BI783" s="260" t="s">
        <v>3375</v>
      </c>
      <c r="BJ783" t="s">
        <v>346</v>
      </c>
      <c r="BK783">
        <v>116.6</v>
      </c>
      <c r="BL783">
        <v>116.6</v>
      </c>
      <c r="BM783" s="143"/>
      <c r="BN783">
        <f t="shared" si="66"/>
        <v>0</v>
      </c>
      <c r="BO783">
        <f t="shared" si="79"/>
        <v>0</v>
      </c>
      <c r="BP783" t="s">
        <v>233</v>
      </c>
      <c r="BQ783" s="260" t="s">
        <v>3377</v>
      </c>
      <c r="BR783" t="s">
        <v>957</v>
      </c>
      <c r="BS783">
        <v>-159.69999999999999</v>
      </c>
      <c r="BT783">
        <v>-39.799999999999997</v>
      </c>
      <c r="BU783" s="144">
        <f t="shared" si="80"/>
        <v>0.24921728240450847</v>
      </c>
      <c r="BV783">
        <f t="shared" si="81"/>
        <v>119.89999999999999</v>
      </c>
      <c r="BX783">
        <f t="shared" si="82"/>
        <v>0.11989999999999999</v>
      </c>
      <c r="BY783" t="str">
        <f t="shared" si="49"/>
        <v/>
      </c>
      <c r="BZ783">
        <v>1</v>
      </c>
      <c r="CA783">
        <v>0</v>
      </c>
      <c r="CB783">
        <v>0</v>
      </c>
      <c r="CC783">
        <v>0</v>
      </c>
      <c r="CD783">
        <v>0</v>
      </c>
      <c r="CE783">
        <v>1</v>
      </c>
      <c r="CF783">
        <v>0</v>
      </c>
      <c r="CG783">
        <v>1</v>
      </c>
      <c r="CH783">
        <v>0</v>
      </c>
      <c r="CI783">
        <v>0</v>
      </c>
      <c r="CJ783">
        <v>0</v>
      </c>
      <c r="CK783">
        <v>0</v>
      </c>
      <c r="CL783">
        <v>0</v>
      </c>
      <c r="CM783">
        <v>0</v>
      </c>
      <c r="CN783" t="str">
        <f t="shared" si="83"/>
        <v>refOK</v>
      </c>
      <c r="CO783">
        <f t="shared" si="67"/>
        <v>116.6</v>
      </c>
      <c r="CP783">
        <f t="shared" si="68"/>
        <v>116.6</v>
      </c>
      <c r="CQ783">
        <f t="shared" si="51"/>
        <v>0</v>
      </c>
      <c r="CR783">
        <f t="shared" si="69"/>
        <v>-159.69999999999999</v>
      </c>
      <c r="CS783">
        <f t="shared" si="70"/>
        <v>-39.799999999999997</v>
      </c>
      <c r="CT783">
        <f t="shared" ref="CT783:CT814" si="84">IF($CN783="refNeedCorrection",-BX783,BX783)*IF($BP783="Emissions positive",-1,1)</f>
        <v>0.11989999999999999</v>
      </c>
      <c r="CU783" t="str">
        <f t="shared" si="53"/>
        <v/>
      </c>
      <c r="CV783" s="2">
        <f t="shared" si="54"/>
        <v>0.75078271759549153</v>
      </c>
      <c r="CW783" s="1" t="s">
        <v>264</v>
      </c>
      <c r="CX783" t="str">
        <f t="shared" si="55"/>
        <v>loc</v>
      </c>
      <c r="CY783" t="s">
        <v>600</v>
      </c>
      <c r="DB783">
        <v>0</v>
      </c>
      <c r="DC783" t="str">
        <f t="shared" si="56"/>
        <v>0</v>
      </c>
      <c r="DD783">
        <v>0</v>
      </c>
      <c r="DE783">
        <v>0</v>
      </c>
      <c r="DF783">
        <v>0</v>
      </c>
      <c r="DG783">
        <v>1</v>
      </c>
      <c r="DI783">
        <f t="shared" si="71"/>
        <v>1</v>
      </c>
      <c r="DJ783" t="str">
        <f t="shared" si="57"/>
        <v>TimberInput</v>
      </c>
      <c r="DK783">
        <f t="shared" si="73"/>
        <v>0</v>
      </c>
      <c r="DL783">
        <f t="shared" si="74"/>
        <v>0</v>
      </c>
      <c r="DM783">
        <f t="shared" si="75"/>
        <v>0</v>
      </c>
      <c r="DN783" t="str">
        <f t="shared" si="76"/>
        <v>Timber</v>
      </c>
      <c r="DO783">
        <v>0</v>
      </c>
      <c r="DP783">
        <v>0</v>
      </c>
      <c r="DQ783">
        <v>0</v>
      </c>
      <c r="DR783">
        <v>0</v>
      </c>
      <c r="DS783">
        <v>0</v>
      </c>
      <c r="DT783">
        <f t="shared" si="72"/>
        <v>0</v>
      </c>
      <c r="DU783" s="143" t="str">
        <f t="shared" si="62"/>
        <v>explicit C balance</v>
      </c>
      <c r="DV783">
        <v>0</v>
      </c>
      <c r="DW783">
        <v>0</v>
      </c>
      <c r="DX783">
        <v>0</v>
      </c>
      <c r="DY783">
        <v>0</v>
      </c>
      <c r="DZ783">
        <v>0</v>
      </c>
      <c r="EA783" s="143">
        <v>0</v>
      </c>
      <c r="EB783">
        <v>1</v>
      </c>
      <c r="EC783">
        <v>1</v>
      </c>
      <c r="ED783">
        <v>0</v>
      </c>
      <c r="EE783">
        <v>1</v>
      </c>
      <c r="EF783">
        <v>0</v>
      </c>
      <c r="EG783">
        <v>0</v>
      </c>
      <c r="EH783">
        <v>0</v>
      </c>
      <c r="EI783" s="2">
        <v>0</v>
      </c>
      <c r="EK783" t="str">
        <f t="shared" si="77"/>
        <v/>
      </c>
      <c r="EL783" t="str">
        <f t="shared" si="78"/>
        <v/>
      </c>
      <c r="EM783" s="2" t="str">
        <f t="shared" si="65"/>
        <v>Technology approach</v>
      </c>
      <c r="EP783" t="b">
        <f>IF(ISNUMBER(BU783),IF(ABS(BU783-[4]QC_indicators!$B$2)&gt;3*[4]QC_indicators!$C$2,"C ratio",IF(ISNUMBER(BY783),IF(ABS(BY783-[4]QC_indicators!$B$1)&gt;3*[4]QC_indicators!$C$1,"DF","no"))),IF(ISNUMBER(BY783),IF(ABS(BY783-[4]QC_indicators!$B$1)&gt;3*[4]QC_indicators!$C$1,"DF","no")))</f>
        <v>0</v>
      </c>
      <c r="ER783" s="149" t="s">
        <v>350</v>
      </c>
      <c r="ET783" s="266" t="s">
        <v>3275</v>
      </c>
    </row>
    <row r="784" spans="1:150" ht="15" hidden="1" customHeight="1">
      <c r="A784" s="1" t="s">
        <v>334</v>
      </c>
      <c r="B784" t="s">
        <v>947</v>
      </c>
      <c r="C784" t="s">
        <v>948</v>
      </c>
      <c r="D784" t="s">
        <v>949</v>
      </c>
      <c r="E784" t="s">
        <v>950</v>
      </c>
      <c r="F784" t="s">
        <v>951</v>
      </c>
      <c r="G784" t="s">
        <v>340</v>
      </c>
      <c r="H784" t="s">
        <v>255</v>
      </c>
      <c r="I784">
        <v>2021</v>
      </c>
      <c r="J784">
        <v>0</v>
      </c>
      <c r="K784" t="s">
        <v>952</v>
      </c>
      <c r="M784" t="str">
        <f t="shared" si="40"/>
        <v>Morris_2021</v>
      </c>
      <c r="N784" t="s">
        <v>223</v>
      </c>
      <c r="O784" t="s">
        <v>224</v>
      </c>
      <c r="Q784" t="s">
        <v>257</v>
      </c>
      <c r="R784" s="255" t="s">
        <v>226</v>
      </c>
      <c r="S784" s="1" t="s">
        <v>953</v>
      </c>
      <c r="T784" t="s">
        <v>954</v>
      </c>
      <c r="U784" s="143" t="s">
        <v>100</v>
      </c>
      <c r="V784">
        <v>0</v>
      </c>
      <c r="W784">
        <v>0</v>
      </c>
      <c r="X784">
        <v>0</v>
      </c>
      <c r="Y784">
        <v>0</v>
      </c>
      <c r="Z784">
        <v>0</v>
      </c>
      <c r="AA784">
        <v>0</v>
      </c>
      <c r="AB784">
        <v>0</v>
      </c>
      <c r="AC784">
        <v>0</v>
      </c>
      <c r="AD784">
        <v>0</v>
      </c>
      <c r="AE784">
        <v>0</v>
      </c>
      <c r="AF784">
        <v>0</v>
      </c>
      <c r="AG784">
        <v>0</v>
      </c>
      <c r="AH784">
        <v>1</v>
      </c>
      <c r="AI784">
        <v>0</v>
      </c>
      <c r="AJ784">
        <v>0</v>
      </c>
      <c r="AK784">
        <v>0</v>
      </c>
      <c r="AL784">
        <v>0</v>
      </c>
      <c r="AM784">
        <v>0</v>
      </c>
      <c r="AN784">
        <v>0</v>
      </c>
      <c r="AO784">
        <v>0</v>
      </c>
      <c r="AP784">
        <v>0</v>
      </c>
      <c r="AQ784">
        <v>0</v>
      </c>
      <c r="AR784">
        <v>0</v>
      </c>
      <c r="AS784">
        <v>0</v>
      </c>
      <c r="AT784">
        <v>0</v>
      </c>
      <c r="AU784">
        <v>0</v>
      </c>
      <c r="AV784">
        <v>0</v>
      </c>
      <c r="AW784">
        <v>0</v>
      </c>
      <c r="AX784" s="141">
        <f t="shared" si="41"/>
        <v>1</v>
      </c>
      <c r="AY784" s="141">
        <f t="shared" si="42"/>
        <v>1</v>
      </c>
      <c r="AZ784">
        <f t="shared" si="43"/>
        <v>0</v>
      </c>
      <c r="BA784">
        <f t="shared" si="44"/>
        <v>1</v>
      </c>
      <c r="BB784">
        <f t="shared" si="45"/>
        <v>0</v>
      </c>
      <c r="BC784">
        <f t="shared" si="46"/>
        <v>0</v>
      </c>
      <c r="BD784">
        <f t="shared" si="47"/>
        <v>0</v>
      </c>
      <c r="BE784" t="str">
        <f t="array" ref="BE784">IF(AY784=1,INDEX($V$7:$AL$7,MATCH(TRUE,INDEX($V784:$AW784&lt;&gt;0,),0)),IF(AY784=0,INDEX($AM$7:$AW$7,MATCH(1,$AM784:$AW784,0)),IF(BF784="Multiple strategies","mixed drivers",IF(BF784="Supply chain","multiple supply","multiple silviculture"))))</f>
        <v xml:space="preserve">end of life disposal </v>
      </c>
      <c r="BF784" s="2" t="str" cm="1">
        <f t="array" ref="BF784">IF(COUNTIF(AZ784:BB784,"&lt;&gt;0")=1,INDEX($V$4:$AW$4,MATCH(TRUE,INDEX($V784:$AW784&lt;&gt;0,),0)),IF(COUNTIF(AZ784:BB784,"&lt;&gt;0")=0,INDEX($AM$4:$AW$4,MATCH(1,$AM784:$AW784,0)),"Multiple strategies"))</f>
        <v>Supply chain</v>
      </c>
      <c r="BG784" s="1" t="s">
        <v>230</v>
      </c>
      <c r="BH784" t="s">
        <v>956</v>
      </c>
      <c r="BI784" s="260" t="s">
        <v>3375</v>
      </c>
      <c r="BJ784" t="s">
        <v>346</v>
      </c>
      <c r="BK784">
        <v>116.6</v>
      </c>
      <c r="BL784">
        <v>116.6</v>
      </c>
      <c r="BM784" s="143"/>
      <c r="BN784">
        <f t="shared" si="66"/>
        <v>0</v>
      </c>
      <c r="BO784">
        <f t="shared" si="79"/>
        <v>0</v>
      </c>
      <c r="BP784" t="s">
        <v>233</v>
      </c>
      <c r="BQ784" s="260" t="s">
        <v>3376</v>
      </c>
      <c r="BR784" t="s">
        <v>957</v>
      </c>
      <c r="BS784" s="143">
        <v>-175.4</v>
      </c>
      <c r="BT784">
        <v>-103.2</v>
      </c>
      <c r="BU784" s="144">
        <f t="shared" si="80"/>
        <v>0.58836944127708091</v>
      </c>
      <c r="BV784">
        <f t="shared" si="81"/>
        <v>72.2</v>
      </c>
      <c r="BX784">
        <f t="shared" si="82"/>
        <v>7.22E-2</v>
      </c>
      <c r="BY784" t="str">
        <f t="shared" si="49"/>
        <v/>
      </c>
      <c r="BZ784">
        <v>1</v>
      </c>
      <c r="CA784">
        <v>0</v>
      </c>
      <c r="CB784">
        <v>0</v>
      </c>
      <c r="CC784">
        <v>0</v>
      </c>
      <c r="CD784">
        <v>0</v>
      </c>
      <c r="CE784">
        <v>1</v>
      </c>
      <c r="CF784">
        <v>0</v>
      </c>
      <c r="CG784">
        <v>1</v>
      </c>
      <c r="CH784">
        <v>0</v>
      </c>
      <c r="CI784">
        <v>0</v>
      </c>
      <c r="CJ784">
        <v>0</v>
      </c>
      <c r="CK784">
        <v>0</v>
      </c>
      <c r="CL784">
        <v>0</v>
      </c>
      <c r="CM784">
        <v>0</v>
      </c>
      <c r="CN784" t="str">
        <f t="shared" si="83"/>
        <v>refOK</v>
      </c>
      <c r="CO784">
        <f t="shared" si="67"/>
        <v>116.6</v>
      </c>
      <c r="CP784">
        <f t="shared" si="68"/>
        <v>116.6</v>
      </c>
      <c r="CQ784">
        <f t="shared" si="51"/>
        <v>0</v>
      </c>
      <c r="CR784">
        <f t="shared" si="69"/>
        <v>-175.4</v>
      </c>
      <c r="CS784">
        <f t="shared" si="70"/>
        <v>-103.2</v>
      </c>
      <c r="CT784">
        <f t="shared" si="84"/>
        <v>7.22E-2</v>
      </c>
      <c r="CU784" t="str">
        <f t="shared" si="53"/>
        <v/>
      </c>
      <c r="CV784" s="2">
        <f t="shared" si="54"/>
        <v>0.41163055872291904</v>
      </c>
      <c r="CW784" s="1" t="s">
        <v>264</v>
      </c>
      <c r="CX784" t="str">
        <f t="shared" si="55"/>
        <v>loc</v>
      </c>
      <c r="CY784" t="s">
        <v>600</v>
      </c>
      <c r="DB784">
        <v>0</v>
      </c>
      <c r="DC784" t="str">
        <f t="shared" si="56"/>
        <v>0</v>
      </c>
      <c r="DD784">
        <v>0</v>
      </c>
      <c r="DE784">
        <v>0</v>
      </c>
      <c r="DF784">
        <v>0</v>
      </c>
      <c r="DG784">
        <v>1</v>
      </c>
      <c r="DI784">
        <f t="shared" si="71"/>
        <v>1</v>
      </c>
      <c r="DJ784" t="str">
        <f t="shared" si="57"/>
        <v>TimberInput</v>
      </c>
      <c r="DK784">
        <f t="shared" si="73"/>
        <v>0</v>
      </c>
      <c r="DL784">
        <f t="shared" si="74"/>
        <v>0</v>
      </c>
      <c r="DM784">
        <f t="shared" si="75"/>
        <v>0</v>
      </c>
      <c r="DN784" t="str">
        <f t="shared" si="76"/>
        <v>Timber</v>
      </c>
      <c r="DO784">
        <v>0</v>
      </c>
      <c r="DP784">
        <v>1</v>
      </c>
      <c r="DQ784">
        <v>0</v>
      </c>
      <c r="DR784">
        <v>0</v>
      </c>
      <c r="DS784">
        <v>0</v>
      </c>
      <c r="DT784">
        <f t="shared" si="72"/>
        <v>1</v>
      </c>
      <c r="DU784" s="143" t="str">
        <f t="shared" si="62"/>
        <v>external DF used</v>
      </c>
      <c r="DV784">
        <v>0</v>
      </c>
      <c r="DW784">
        <v>0</v>
      </c>
      <c r="DX784">
        <v>0</v>
      </c>
      <c r="DY784">
        <v>1</v>
      </c>
      <c r="DZ784">
        <v>0</v>
      </c>
      <c r="EA784" s="143">
        <v>1</v>
      </c>
      <c r="EB784">
        <v>1</v>
      </c>
      <c r="EC784">
        <v>1</v>
      </c>
      <c r="ED784">
        <v>0</v>
      </c>
      <c r="EE784">
        <v>1</v>
      </c>
      <c r="EF784">
        <v>0</v>
      </c>
      <c r="EG784">
        <v>0</v>
      </c>
      <c r="EH784">
        <v>0</v>
      </c>
      <c r="EI784" s="2">
        <v>0</v>
      </c>
      <c r="EK784" t="str">
        <f t="shared" si="77"/>
        <v/>
      </c>
      <c r="EL784" t="str">
        <f t="shared" si="78"/>
        <v/>
      </c>
      <c r="EM784" s="2" t="str">
        <f t="shared" si="65"/>
        <v>Technology approach</v>
      </c>
      <c r="EP784" t="b">
        <f>IF(ISNUMBER(BU784),IF(ABS(BU784-[4]QC_indicators!$B$2)&gt;3*[4]QC_indicators!$C$2,"C ratio",IF(ISNUMBER(BY784),IF(ABS(BY784-[4]QC_indicators!$B$1)&gt;3*[4]QC_indicators!$C$1,"DF","no"))),IF(ISNUMBER(BY784),IF(ABS(BY784-[4]QC_indicators!$B$1)&gt;3*[4]QC_indicators!$C$1,"DF","no")))</f>
        <v>0</v>
      </c>
      <c r="ER784" s="149" t="s">
        <v>350</v>
      </c>
      <c r="ET784" s="266" t="s">
        <v>3275</v>
      </c>
    </row>
    <row r="785" spans="1:150" ht="15" hidden="1" customHeight="1">
      <c r="A785" s="1" t="s">
        <v>334</v>
      </c>
      <c r="B785" t="s">
        <v>947</v>
      </c>
      <c r="C785" t="s">
        <v>948</v>
      </c>
      <c r="D785" t="s">
        <v>949</v>
      </c>
      <c r="E785" t="s">
        <v>950</v>
      </c>
      <c r="F785" t="s">
        <v>951</v>
      </c>
      <c r="G785" t="s">
        <v>340</v>
      </c>
      <c r="H785" t="s">
        <v>255</v>
      </c>
      <c r="I785">
        <v>2021</v>
      </c>
      <c r="J785">
        <v>0</v>
      </c>
      <c r="K785" t="s">
        <v>952</v>
      </c>
      <c r="M785" t="str">
        <f t="shared" si="40"/>
        <v>Morris_2021</v>
      </c>
      <c r="N785" t="s">
        <v>223</v>
      </c>
      <c r="O785" t="s">
        <v>224</v>
      </c>
      <c r="Q785" t="s">
        <v>257</v>
      </c>
      <c r="R785" s="255" t="s">
        <v>226</v>
      </c>
      <c r="S785" s="1" t="s">
        <v>953</v>
      </c>
      <c r="T785" t="s">
        <v>954</v>
      </c>
      <c r="U785" s="143" t="s">
        <v>100</v>
      </c>
      <c r="V785">
        <v>0</v>
      </c>
      <c r="W785">
        <v>0</v>
      </c>
      <c r="X785">
        <v>0</v>
      </c>
      <c r="Y785">
        <v>0</v>
      </c>
      <c r="Z785">
        <v>0</v>
      </c>
      <c r="AA785">
        <v>0</v>
      </c>
      <c r="AB785">
        <v>0</v>
      </c>
      <c r="AC785">
        <v>0</v>
      </c>
      <c r="AD785">
        <v>0</v>
      </c>
      <c r="AE785">
        <v>0</v>
      </c>
      <c r="AF785">
        <v>0</v>
      </c>
      <c r="AG785">
        <v>0</v>
      </c>
      <c r="AH785">
        <v>1</v>
      </c>
      <c r="AI785">
        <v>0</v>
      </c>
      <c r="AJ785">
        <v>0</v>
      </c>
      <c r="AK785">
        <v>0</v>
      </c>
      <c r="AL785">
        <v>0</v>
      </c>
      <c r="AM785">
        <v>0</v>
      </c>
      <c r="AN785">
        <v>0</v>
      </c>
      <c r="AO785">
        <v>0</v>
      </c>
      <c r="AP785">
        <v>0</v>
      </c>
      <c r="AQ785">
        <v>0</v>
      </c>
      <c r="AR785">
        <v>0</v>
      </c>
      <c r="AS785">
        <v>0</v>
      </c>
      <c r="AT785">
        <v>0</v>
      </c>
      <c r="AU785">
        <v>0</v>
      </c>
      <c r="AV785">
        <v>0</v>
      </c>
      <c r="AW785">
        <v>0</v>
      </c>
      <c r="AX785" s="141">
        <f t="shared" si="41"/>
        <v>1</v>
      </c>
      <c r="AY785" s="141">
        <f t="shared" si="42"/>
        <v>1</v>
      </c>
      <c r="AZ785">
        <f t="shared" si="43"/>
        <v>0</v>
      </c>
      <c r="BA785">
        <f t="shared" si="44"/>
        <v>1</v>
      </c>
      <c r="BB785">
        <f t="shared" si="45"/>
        <v>0</v>
      </c>
      <c r="BC785">
        <f t="shared" si="46"/>
        <v>0</v>
      </c>
      <c r="BD785">
        <f t="shared" si="47"/>
        <v>0</v>
      </c>
      <c r="BE785" t="str">
        <f t="array" ref="BE785">IF(AY785=1,INDEX($V$7:$AL$7,MATCH(TRUE,INDEX($V785:$AW785&lt;&gt;0,),0)),IF(AY785=0,INDEX($AM$7:$AW$7,MATCH(1,$AM785:$AW785,0)),IF(BF785="Multiple strategies","mixed drivers",IF(BF785="Supply chain","multiple supply","multiple silviculture"))))</f>
        <v xml:space="preserve">end of life disposal </v>
      </c>
      <c r="BF785" s="2" t="str" cm="1">
        <f t="array" ref="BF785">IF(COUNTIF(AZ785:BB785,"&lt;&gt;0")=1,INDEX($V$4:$AW$4,MATCH(TRUE,INDEX($V785:$AW785&lt;&gt;0,),0)),IF(COUNTIF(AZ785:BB785,"&lt;&gt;0")=0,INDEX($AM$4:$AW$4,MATCH(1,$AM785:$AW785,0)),"Multiple strategies"))</f>
        <v>Supply chain</v>
      </c>
      <c r="BG785" s="1" t="s">
        <v>230</v>
      </c>
      <c r="BH785" t="s">
        <v>956</v>
      </c>
      <c r="BI785" s="260" t="s">
        <v>3375</v>
      </c>
      <c r="BJ785" t="s">
        <v>346</v>
      </c>
      <c r="BK785">
        <v>116.6</v>
      </c>
      <c r="BL785">
        <v>116.6</v>
      </c>
      <c r="BM785" s="143"/>
      <c r="BN785">
        <f t="shared" si="66"/>
        <v>0</v>
      </c>
      <c r="BO785">
        <f t="shared" si="79"/>
        <v>0</v>
      </c>
      <c r="BP785" t="s">
        <v>233</v>
      </c>
      <c r="BQ785" s="260" t="s">
        <v>3377</v>
      </c>
      <c r="BR785" t="s">
        <v>957</v>
      </c>
      <c r="BS785" s="143">
        <v>-165.4</v>
      </c>
      <c r="BT785">
        <v>-105.88</v>
      </c>
      <c r="BU785" s="144">
        <f t="shared" si="80"/>
        <v>0.64014510278113657</v>
      </c>
      <c r="BV785">
        <f t="shared" si="81"/>
        <v>59.52000000000001</v>
      </c>
      <c r="BX785">
        <f t="shared" si="82"/>
        <v>5.952000000000001E-2</v>
      </c>
      <c r="BY785" t="str">
        <f t="shared" si="49"/>
        <v/>
      </c>
      <c r="BZ785">
        <v>1</v>
      </c>
      <c r="CA785">
        <v>0</v>
      </c>
      <c r="CB785">
        <v>0</v>
      </c>
      <c r="CC785">
        <v>0</v>
      </c>
      <c r="CD785">
        <v>0</v>
      </c>
      <c r="CE785">
        <v>1</v>
      </c>
      <c r="CF785">
        <v>0</v>
      </c>
      <c r="CG785">
        <v>1</v>
      </c>
      <c r="CH785">
        <v>0</v>
      </c>
      <c r="CI785">
        <v>0</v>
      </c>
      <c r="CJ785">
        <v>0</v>
      </c>
      <c r="CK785">
        <v>0</v>
      </c>
      <c r="CL785">
        <v>0</v>
      </c>
      <c r="CM785">
        <v>0</v>
      </c>
      <c r="CN785" t="str">
        <f t="shared" si="83"/>
        <v>refOK</v>
      </c>
      <c r="CO785">
        <f t="shared" si="67"/>
        <v>116.6</v>
      </c>
      <c r="CP785">
        <f t="shared" si="68"/>
        <v>116.6</v>
      </c>
      <c r="CQ785">
        <f t="shared" si="51"/>
        <v>0</v>
      </c>
      <c r="CR785">
        <f t="shared" si="69"/>
        <v>-165.4</v>
      </c>
      <c r="CS785">
        <f t="shared" si="70"/>
        <v>-105.88</v>
      </c>
      <c r="CT785">
        <f t="shared" si="84"/>
        <v>5.952000000000001E-2</v>
      </c>
      <c r="CU785" t="str">
        <f t="shared" si="53"/>
        <v/>
      </c>
      <c r="CV785" s="2">
        <f t="shared" si="54"/>
        <v>0.35985489721886343</v>
      </c>
      <c r="CW785" s="1" t="s">
        <v>264</v>
      </c>
      <c r="CX785" t="str">
        <f t="shared" si="55"/>
        <v>loc</v>
      </c>
      <c r="CY785" t="s">
        <v>600</v>
      </c>
      <c r="DB785">
        <v>0</v>
      </c>
      <c r="DC785" t="str">
        <f t="shared" si="56"/>
        <v>0</v>
      </c>
      <c r="DD785">
        <v>0</v>
      </c>
      <c r="DE785">
        <v>0</v>
      </c>
      <c r="DF785">
        <v>0</v>
      </c>
      <c r="DG785">
        <v>1</v>
      </c>
      <c r="DI785">
        <f t="shared" si="71"/>
        <v>1</v>
      </c>
      <c r="DJ785" t="str">
        <f t="shared" si="57"/>
        <v>TimberInput</v>
      </c>
      <c r="DK785">
        <f t="shared" si="73"/>
        <v>0</v>
      </c>
      <c r="DL785">
        <f t="shared" si="74"/>
        <v>0</v>
      </c>
      <c r="DM785">
        <f t="shared" si="75"/>
        <v>0</v>
      </c>
      <c r="DN785" t="str">
        <f t="shared" si="76"/>
        <v>Timber</v>
      </c>
      <c r="DO785">
        <v>0</v>
      </c>
      <c r="DP785">
        <v>1</v>
      </c>
      <c r="DQ785">
        <v>0</v>
      </c>
      <c r="DR785">
        <v>0</v>
      </c>
      <c r="DS785">
        <v>0</v>
      </c>
      <c r="DT785">
        <f t="shared" si="72"/>
        <v>1</v>
      </c>
      <c r="DU785" s="143" t="str">
        <f t="shared" si="62"/>
        <v>external DF used</v>
      </c>
      <c r="DV785">
        <v>0</v>
      </c>
      <c r="DW785">
        <v>0</v>
      </c>
      <c r="DX785">
        <v>0</v>
      </c>
      <c r="DY785">
        <v>0</v>
      </c>
      <c r="DZ785">
        <v>0</v>
      </c>
      <c r="EA785" s="143">
        <v>1</v>
      </c>
      <c r="EB785">
        <v>1</v>
      </c>
      <c r="EC785">
        <v>1</v>
      </c>
      <c r="ED785">
        <v>0</v>
      </c>
      <c r="EE785">
        <v>1</v>
      </c>
      <c r="EF785">
        <v>0</v>
      </c>
      <c r="EG785">
        <v>0</v>
      </c>
      <c r="EH785">
        <v>0</v>
      </c>
      <c r="EI785" s="2">
        <v>0</v>
      </c>
      <c r="EK785" t="str">
        <f t="shared" si="77"/>
        <v/>
      </c>
      <c r="EL785" t="str">
        <f t="shared" si="78"/>
        <v/>
      </c>
      <c r="EM785" s="2" t="str">
        <f t="shared" si="65"/>
        <v>Technology approach</v>
      </c>
      <c r="EP785" t="b">
        <f>IF(ISNUMBER(BU785),IF(ABS(BU785-[4]QC_indicators!$B$2)&gt;3*[4]QC_indicators!$C$2,"C ratio",IF(ISNUMBER(BY785),IF(ABS(BY785-[4]QC_indicators!$B$1)&gt;3*[4]QC_indicators!$C$1,"DF","no"))),IF(ISNUMBER(BY785),IF(ABS(BY785-[4]QC_indicators!$B$1)&gt;3*[4]QC_indicators!$C$1,"DF","no")))</f>
        <v>0</v>
      </c>
      <c r="ER785" s="149" t="s">
        <v>350</v>
      </c>
      <c r="ET785" s="266" t="s">
        <v>3275</v>
      </c>
    </row>
    <row r="786" spans="1:150" ht="15" hidden="1" customHeight="1">
      <c r="A786" s="1" t="s">
        <v>334</v>
      </c>
      <c r="B786" t="s">
        <v>947</v>
      </c>
      <c r="C786" t="s">
        <v>948</v>
      </c>
      <c r="D786" t="s">
        <v>949</v>
      </c>
      <c r="E786" t="s">
        <v>950</v>
      </c>
      <c r="F786" t="s">
        <v>951</v>
      </c>
      <c r="G786" t="s">
        <v>340</v>
      </c>
      <c r="H786" t="s">
        <v>255</v>
      </c>
      <c r="I786">
        <v>2021</v>
      </c>
      <c r="J786">
        <v>0</v>
      </c>
      <c r="K786" t="s">
        <v>952</v>
      </c>
      <c r="M786" t="str">
        <f t="shared" si="40"/>
        <v>Morris_2021</v>
      </c>
      <c r="N786" t="s">
        <v>223</v>
      </c>
      <c r="O786" t="s">
        <v>224</v>
      </c>
      <c r="Q786" t="s">
        <v>257</v>
      </c>
      <c r="R786" s="255" t="s">
        <v>226</v>
      </c>
      <c r="S786" s="1" t="s">
        <v>953</v>
      </c>
      <c r="T786" t="s">
        <v>954</v>
      </c>
      <c r="U786" s="143" t="s">
        <v>100</v>
      </c>
      <c r="V786">
        <v>0</v>
      </c>
      <c r="W786">
        <v>0</v>
      </c>
      <c r="X786">
        <v>0</v>
      </c>
      <c r="Y786">
        <v>0</v>
      </c>
      <c r="Z786">
        <v>0</v>
      </c>
      <c r="AA786">
        <v>0</v>
      </c>
      <c r="AB786">
        <v>0</v>
      </c>
      <c r="AC786">
        <v>0</v>
      </c>
      <c r="AD786">
        <v>0</v>
      </c>
      <c r="AE786">
        <v>0</v>
      </c>
      <c r="AF786">
        <v>0</v>
      </c>
      <c r="AG786">
        <v>0</v>
      </c>
      <c r="AH786">
        <v>1</v>
      </c>
      <c r="AI786">
        <v>0</v>
      </c>
      <c r="AJ786">
        <v>0</v>
      </c>
      <c r="AK786">
        <v>0</v>
      </c>
      <c r="AL786">
        <v>0</v>
      </c>
      <c r="AM786">
        <v>0</v>
      </c>
      <c r="AN786">
        <v>0</v>
      </c>
      <c r="AO786">
        <v>0</v>
      </c>
      <c r="AP786">
        <v>0</v>
      </c>
      <c r="AQ786">
        <v>0</v>
      </c>
      <c r="AR786">
        <v>0</v>
      </c>
      <c r="AS786">
        <v>0</v>
      </c>
      <c r="AT786">
        <v>0</v>
      </c>
      <c r="AU786">
        <v>0</v>
      </c>
      <c r="AV786">
        <v>0</v>
      </c>
      <c r="AW786">
        <v>0</v>
      </c>
      <c r="AX786" s="141">
        <f t="shared" si="41"/>
        <v>1</v>
      </c>
      <c r="AY786" s="141">
        <f t="shared" si="42"/>
        <v>1</v>
      </c>
      <c r="AZ786">
        <f t="shared" si="43"/>
        <v>0</v>
      </c>
      <c r="BA786">
        <f t="shared" si="44"/>
        <v>1</v>
      </c>
      <c r="BB786">
        <f t="shared" si="45"/>
        <v>0</v>
      </c>
      <c r="BC786">
        <f t="shared" si="46"/>
        <v>0</v>
      </c>
      <c r="BD786">
        <f t="shared" si="47"/>
        <v>0</v>
      </c>
      <c r="BE786" t="str">
        <f t="array" ref="BE786">IF(AY786=1,INDEX($V$7:$AL$7,MATCH(TRUE,INDEX($V786:$AW786&lt;&gt;0,),0)),IF(AY786=0,INDEX($AM$7:$AW$7,MATCH(1,$AM786:$AW786,0)),IF(BF786="Multiple strategies","mixed drivers",IF(BF786="Supply chain","multiple supply","multiple silviculture"))))</f>
        <v xml:space="preserve">end of life disposal </v>
      </c>
      <c r="BF786" s="2" t="str" cm="1">
        <f t="array" ref="BF786">IF(COUNTIF(AZ786:BB786,"&lt;&gt;0")=1,INDEX($V$4:$AW$4,MATCH(TRUE,INDEX($V786:$AW786&lt;&gt;0,),0)),IF(COUNTIF(AZ786:BB786,"&lt;&gt;0")=0,INDEX($AM$4:$AW$4,MATCH(1,$AM786:$AW786,0)),"Multiple strategies"))</f>
        <v>Supply chain</v>
      </c>
      <c r="BG786" s="1" t="s">
        <v>230</v>
      </c>
      <c r="BH786" t="s">
        <v>956</v>
      </c>
      <c r="BI786" s="260" t="s">
        <v>3375</v>
      </c>
      <c r="BJ786" t="s">
        <v>346</v>
      </c>
      <c r="BK786">
        <v>116.6</v>
      </c>
      <c r="BL786">
        <v>116.6</v>
      </c>
      <c r="BM786" s="143"/>
      <c r="BN786">
        <f t="shared" si="66"/>
        <v>0</v>
      </c>
      <c r="BO786">
        <f t="shared" si="79"/>
        <v>0</v>
      </c>
      <c r="BP786" t="s">
        <v>233</v>
      </c>
      <c r="BQ786" s="260" t="s">
        <v>3376</v>
      </c>
      <c r="BR786" t="s">
        <v>957</v>
      </c>
      <c r="BS786" s="143">
        <v>-179.7</v>
      </c>
      <c r="BT786">
        <v>-122.9</v>
      </c>
      <c r="BU786" s="144">
        <f t="shared" si="80"/>
        <v>0.68391764051196446</v>
      </c>
      <c r="BV786">
        <f t="shared" si="81"/>
        <v>56.799999999999983</v>
      </c>
      <c r="BX786">
        <f t="shared" si="82"/>
        <v>5.6799999999999982E-2</v>
      </c>
      <c r="BY786" t="str">
        <f t="shared" si="49"/>
        <v/>
      </c>
      <c r="BZ786">
        <v>1</v>
      </c>
      <c r="CA786">
        <v>0</v>
      </c>
      <c r="CB786">
        <v>0</v>
      </c>
      <c r="CC786">
        <v>0</v>
      </c>
      <c r="CD786">
        <v>0</v>
      </c>
      <c r="CE786">
        <v>1</v>
      </c>
      <c r="CF786">
        <v>0</v>
      </c>
      <c r="CG786">
        <v>1</v>
      </c>
      <c r="CH786">
        <v>0</v>
      </c>
      <c r="CI786">
        <v>0</v>
      </c>
      <c r="CJ786">
        <v>0</v>
      </c>
      <c r="CK786">
        <v>0</v>
      </c>
      <c r="CL786">
        <v>0</v>
      </c>
      <c r="CM786">
        <v>0</v>
      </c>
      <c r="CN786" t="str">
        <f t="shared" si="83"/>
        <v>refOK</v>
      </c>
      <c r="CO786">
        <f t="shared" si="67"/>
        <v>116.6</v>
      </c>
      <c r="CP786">
        <f t="shared" si="68"/>
        <v>116.6</v>
      </c>
      <c r="CQ786">
        <f t="shared" si="51"/>
        <v>0</v>
      </c>
      <c r="CR786">
        <f t="shared" si="69"/>
        <v>-179.7</v>
      </c>
      <c r="CS786">
        <f t="shared" si="70"/>
        <v>-122.9</v>
      </c>
      <c r="CT786">
        <f t="shared" si="84"/>
        <v>5.6799999999999982E-2</v>
      </c>
      <c r="CU786" t="str">
        <f t="shared" si="53"/>
        <v/>
      </c>
      <c r="CV786" s="2">
        <f t="shared" si="54"/>
        <v>0.31608235948803554</v>
      </c>
      <c r="CW786" s="1" t="s">
        <v>264</v>
      </c>
      <c r="CX786" t="str">
        <f t="shared" si="55"/>
        <v>loc</v>
      </c>
      <c r="CY786" t="s">
        <v>600</v>
      </c>
      <c r="DB786">
        <v>0</v>
      </c>
      <c r="DC786" t="str">
        <f t="shared" si="56"/>
        <v>0</v>
      </c>
      <c r="DD786">
        <v>0</v>
      </c>
      <c r="DE786">
        <v>0</v>
      </c>
      <c r="DF786">
        <v>0</v>
      </c>
      <c r="DG786">
        <v>1</v>
      </c>
      <c r="DI786">
        <f t="shared" si="71"/>
        <v>1</v>
      </c>
      <c r="DJ786" t="str">
        <f t="shared" si="57"/>
        <v>TimberInput</v>
      </c>
      <c r="DK786">
        <f t="shared" si="73"/>
        <v>0</v>
      </c>
      <c r="DL786">
        <f t="shared" si="74"/>
        <v>0</v>
      </c>
      <c r="DM786">
        <f t="shared" si="75"/>
        <v>0</v>
      </c>
      <c r="DN786" t="str">
        <f t="shared" si="76"/>
        <v>Timber</v>
      </c>
      <c r="DO786">
        <v>0</v>
      </c>
      <c r="DP786">
        <v>0</v>
      </c>
      <c r="DQ786">
        <v>0</v>
      </c>
      <c r="DR786">
        <v>0</v>
      </c>
      <c r="DS786">
        <v>0</v>
      </c>
      <c r="DT786">
        <f t="shared" si="72"/>
        <v>0</v>
      </c>
      <c r="DU786" s="143" t="str">
        <f t="shared" si="62"/>
        <v>explicit C balance</v>
      </c>
      <c r="DV786">
        <v>0</v>
      </c>
      <c r="DW786">
        <v>0</v>
      </c>
      <c r="DX786">
        <v>0</v>
      </c>
      <c r="DY786">
        <v>1</v>
      </c>
      <c r="DZ786">
        <v>0</v>
      </c>
      <c r="EA786" s="143">
        <v>1</v>
      </c>
      <c r="EB786">
        <v>1</v>
      </c>
      <c r="EC786">
        <v>1</v>
      </c>
      <c r="ED786">
        <v>0</v>
      </c>
      <c r="EE786">
        <v>1</v>
      </c>
      <c r="EF786">
        <v>0</v>
      </c>
      <c r="EG786">
        <v>0</v>
      </c>
      <c r="EH786">
        <v>0</v>
      </c>
      <c r="EI786" s="2">
        <v>0</v>
      </c>
      <c r="EK786" t="str">
        <f t="shared" si="77"/>
        <v/>
      </c>
      <c r="EL786" t="str">
        <f t="shared" si="78"/>
        <v/>
      </c>
      <c r="EM786" s="2" t="str">
        <f t="shared" si="65"/>
        <v>Technology approach</v>
      </c>
      <c r="EP786" t="b">
        <f>IF(ISNUMBER(BU786),IF(ABS(BU786-[4]QC_indicators!$B$2)&gt;3*[4]QC_indicators!$C$2,"C ratio",IF(ISNUMBER(BY786),IF(ABS(BY786-[4]QC_indicators!$B$1)&gt;3*[4]QC_indicators!$C$1,"DF","no"))),IF(ISNUMBER(BY786),IF(ABS(BY786-[4]QC_indicators!$B$1)&gt;3*[4]QC_indicators!$C$1,"DF","no")))</f>
        <v>0</v>
      </c>
      <c r="ER786" s="149" t="s">
        <v>350</v>
      </c>
      <c r="ET786" s="266" t="s">
        <v>3275</v>
      </c>
    </row>
    <row r="787" spans="1:150" ht="15" hidden="1" customHeight="1">
      <c r="A787" s="1" t="s">
        <v>431</v>
      </c>
      <c r="B787" t="s">
        <v>432</v>
      </c>
      <c r="C787" t="s">
        <v>433</v>
      </c>
      <c r="D787" t="s">
        <v>434</v>
      </c>
      <c r="E787" t="s">
        <v>435</v>
      </c>
      <c r="F787" t="s">
        <v>436</v>
      </c>
      <c r="G787" t="s">
        <v>437</v>
      </c>
      <c r="H787" t="s">
        <v>255</v>
      </c>
      <c r="I787">
        <v>2000</v>
      </c>
      <c r="J787">
        <v>174</v>
      </c>
      <c r="K787" t="s">
        <v>438</v>
      </c>
      <c r="M787" t="str">
        <f t="shared" si="40"/>
        <v>Borjesson_2000</v>
      </c>
      <c r="N787" t="s">
        <v>223</v>
      </c>
      <c r="O787" s="145" t="s">
        <v>224</v>
      </c>
      <c r="Q787" t="s">
        <v>257</v>
      </c>
      <c r="R787" s="255" t="s">
        <v>226</v>
      </c>
      <c r="S787" s="1" t="s">
        <v>459</v>
      </c>
      <c r="T787" t="s">
        <v>460</v>
      </c>
      <c r="U787" t="s">
        <v>461</v>
      </c>
      <c r="V787">
        <v>0</v>
      </c>
      <c r="W787">
        <v>0</v>
      </c>
      <c r="X787">
        <v>0</v>
      </c>
      <c r="Y787">
        <v>0</v>
      </c>
      <c r="Z787">
        <v>0</v>
      </c>
      <c r="AA787">
        <v>0</v>
      </c>
      <c r="AB787">
        <v>0</v>
      </c>
      <c r="AC787">
        <v>0</v>
      </c>
      <c r="AD787">
        <v>0</v>
      </c>
      <c r="AE787">
        <v>0</v>
      </c>
      <c r="AF787">
        <v>0</v>
      </c>
      <c r="AG787">
        <v>0</v>
      </c>
      <c r="AH787">
        <v>0</v>
      </c>
      <c r="AI787">
        <v>1</v>
      </c>
      <c r="AJ787">
        <v>0</v>
      </c>
      <c r="AK787">
        <v>0</v>
      </c>
      <c r="AL787">
        <v>0</v>
      </c>
      <c r="AM787">
        <v>0</v>
      </c>
      <c r="AN787">
        <v>0</v>
      </c>
      <c r="AO787">
        <v>0</v>
      </c>
      <c r="AP787">
        <v>0</v>
      </c>
      <c r="AQ787">
        <v>0</v>
      </c>
      <c r="AR787">
        <v>0</v>
      </c>
      <c r="AS787">
        <v>0</v>
      </c>
      <c r="AT787">
        <v>0</v>
      </c>
      <c r="AU787">
        <v>0</v>
      </c>
      <c r="AV787">
        <v>0</v>
      </c>
      <c r="AW787">
        <v>0</v>
      </c>
      <c r="AX787" s="141">
        <f t="shared" si="41"/>
        <v>1</v>
      </c>
      <c r="AY787" s="141">
        <f t="shared" si="42"/>
        <v>1</v>
      </c>
      <c r="AZ787">
        <f t="shared" si="43"/>
        <v>0</v>
      </c>
      <c r="BA787">
        <f t="shared" si="44"/>
        <v>1</v>
      </c>
      <c r="BB787">
        <f t="shared" si="45"/>
        <v>0</v>
      </c>
      <c r="BC787">
        <f t="shared" si="46"/>
        <v>0</v>
      </c>
      <c r="BD787">
        <f t="shared" si="47"/>
        <v>0</v>
      </c>
      <c r="BE787" t="str">
        <f t="array" ref="BE787">IF(AY787=1,INDEX($V$7:$AL$7,MATCH(TRUE,INDEX($V787:$AW787&lt;&gt;0,),0)),IF(AY787=0,INDEX($AM$7:$AW$7,MATCH(1,$AM787:$AW787,0)),IF(BF787="Multiple strategies","mixed drivers",IF(BF787="Supply chain","multiple supply","multiple silviculture"))))</f>
        <v>products lifespan</v>
      </c>
      <c r="BF787" s="2" t="str" cm="1">
        <f t="array" ref="BF787">IF(COUNTIF(AZ787:BB787,"&lt;&gt;0")=1,INDEX($V$4:$AW$4,MATCH(TRUE,INDEX($V787:$AW787&lt;&gt;0,),0)),IF(COUNTIF(AZ787:BB787,"&lt;&gt;0")=0,INDEX($AM$4:$AW$4,MATCH(1,$AM787:$AW787,0)),"Multiple strategies"))</f>
        <v>Supply chain</v>
      </c>
      <c r="BG787" s="142" t="s">
        <v>230</v>
      </c>
      <c r="BH787" t="s">
        <v>442</v>
      </c>
      <c r="BI787" s="266" t="s">
        <v>3276</v>
      </c>
      <c r="BJ787" s="143" t="s">
        <v>443</v>
      </c>
      <c r="BK787">
        <v>44</v>
      </c>
      <c r="BL787">
        <v>44</v>
      </c>
      <c r="BM787" s="143">
        <f t="shared" ref="BM787:BM808" si="85">BL787/BK787</f>
        <v>1</v>
      </c>
      <c r="BN787">
        <f t="shared" si="66"/>
        <v>0</v>
      </c>
      <c r="BO787">
        <f>BN787*tC_to_m3</f>
        <v>0</v>
      </c>
      <c r="BP787" t="s">
        <v>233</v>
      </c>
      <c r="BQ787" s="260" t="s">
        <v>815</v>
      </c>
      <c r="BR787" t="s">
        <v>444</v>
      </c>
      <c r="BS787" s="141">
        <v>0</v>
      </c>
      <c r="BT787" s="141">
        <v>31</v>
      </c>
      <c r="BU787" s="144" t="str">
        <f t="shared" si="80"/>
        <v/>
      </c>
      <c r="BV787">
        <f t="shared" si="81"/>
        <v>31</v>
      </c>
      <c r="BX787">
        <f t="shared" ref="BX787:BX804" si="86">BV787*C_to_CO2</f>
        <v>113.77</v>
      </c>
      <c r="BY787" t="str">
        <f t="shared" si="49"/>
        <v/>
      </c>
      <c r="BZ787" s="143">
        <v>0</v>
      </c>
      <c r="CA787" s="143">
        <v>0</v>
      </c>
      <c r="CB787" s="143">
        <v>0</v>
      </c>
      <c r="CC787" s="143">
        <v>0</v>
      </c>
      <c r="CD787" s="143">
        <v>0</v>
      </c>
      <c r="CE787" s="143">
        <v>0</v>
      </c>
      <c r="CF787" s="143">
        <v>0</v>
      </c>
      <c r="CG787" s="143">
        <v>0</v>
      </c>
      <c r="CH787" s="143">
        <v>0</v>
      </c>
      <c r="CI787" s="143">
        <v>0</v>
      </c>
      <c r="CJ787" s="143">
        <v>0</v>
      </c>
      <c r="CK787" s="143">
        <v>0</v>
      </c>
      <c r="CL787" s="143">
        <v>0</v>
      </c>
      <c r="CM787">
        <v>0</v>
      </c>
      <c r="CN787" t="str">
        <f>IF(BL787&lt;BK787,"refNeedCorrection","refOK")</f>
        <v>refOK</v>
      </c>
      <c r="CO787">
        <f t="shared" si="67"/>
        <v>44</v>
      </c>
      <c r="CP787">
        <f t="shared" si="68"/>
        <v>44</v>
      </c>
      <c r="CQ787">
        <f t="shared" si="51"/>
        <v>0</v>
      </c>
      <c r="CR787">
        <f t="shared" si="69"/>
        <v>0</v>
      </c>
      <c r="CS787">
        <f t="shared" si="70"/>
        <v>31</v>
      </c>
      <c r="CT787">
        <f t="shared" si="84"/>
        <v>113.77</v>
      </c>
      <c r="CU787" t="str">
        <f t="shared" si="53"/>
        <v/>
      </c>
      <c r="CV787" s="2" t="str">
        <f t="shared" si="54"/>
        <v/>
      </c>
      <c r="CW787" s="1" t="s">
        <v>264</v>
      </c>
      <c r="CX787" t="str">
        <f t="shared" si="55"/>
        <v>loc</v>
      </c>
      <c r="CY787" t="s">
        <v>445</v>
      </c>
      <c r="DB787">
        <v>300</v>
      </c>
      <c r="DC787" t="str">
        <f t="shared" si="56"/>
        <v>+100</v>
      </c>
      <c r="DD787">
        <v>0</v>
      </c>
      <c r="DE787">
        <v>1</v>
      </c>
      <c r="DF787">
        <v>0</v>
      </c>
      <c r="DG787">
        <v>1</v>
      </c>
      <c r="DI787">
        <f t="shared" si="71"/>
        <v>2</v>
      </c>
      <c r="DJ787" t="str">
        <f t="shared" si="57"/>
        <v>mixedProduct</v>
      </c>
      <c r="DK787">
        <f t="shared" si="73"/>
        <v>0</v>
      </c>
      <c r="DL787" t="str">
        <f t="shared" si="74"/>
        <v>Energy</v>
      </c>
      <c r="DM787">
        <f t="shared" si="75"/>
        <v>0</v>
      </c>
      <c r="DN787" t="str">
        <f t="shared" si="76"/>
        <v>Timber</v>
      </c>
      <c r="DO787">
        <v>1</v>
      </c>
      <c r="DP787" s="143">
        <v>0</v>
      </c>
      <c r="DQ787" s="143">
        <v>0</v>
      </c>
      <c r="DR787" s="143">
        <v>0</v>
      </c>
      <c r="DS787">
        <v>0</v>
      </c>
      <c r="DT787">
        <f t="shared" si="72"/>
        <v>1</v>
      </c>
      <c r="DU787" s="143" t="str">
        <f t="shared" si="62"/>
        <v>self-calculated DF</v>
      </c>
      <c r="DV787">
        <v>0</v>
      </c>
      <c r="DW787" s="143">
        <v>0</v>
      </c>
      <c r="DX787" s="143">
        <v>1</v>
      </c>
      <c r="DY787" s="143">
        <v>1</v>
      </c>
      <c r="DZ787">
        <v>1</v>
      </c>
      <c r="EA787" s="143">
        <v>1</v>
      </c>
      <c r="EB787">
        <v>0</v>
      </c>
      <c r="EC787" s="143">
        <v>1</v>
      </c>
      <c r="ED787" s="143">
        <v>0</v>
      </c>
      <c r="EE787">
        <v>0</v>
      </c>
      <c r="EF787">
        <v>0</v>
      </c>
      <c r="EG787" s="143">
        <v>0</v>
      </c>
      <c r="EH787" s="143">
        <v>0</v>
      </c>
      <c r="EI787" s="2">
        <v>0</v>
      </c>
      <c r="EK787" t="str">
        <f t="shared" si="77"/>
        <v/>
      </c>
      <c r="EL787" t="str">
        <f t="shared" si="78"/>
        <v/>
      </c>
      <c r="EM787" s="2" t="str">
        <f t="shared" si="65"/>
        <v/>
      </c>
      <c r="EP787" t="b">
        <f>IF(ISNUMBER(BU787),IF(ABS(BU787-[4]QC_indicators!$B$2)&gt;3*[4]QC_indicators!$C$2,"C ratio",IF(ISNUMBER(BY787),IF(ABS(BY787-[4]QC_indicators!$B$1)&gt;3*[4]QC_indicators!$C$1,"DF","no"))),IF(ISNUMBER(BY787),IF(ABS(BY787-[4]QC_indicators!$B$1)&gt;3*[4]QC_indicators!$C$1,"DF","no")))</f>
        <v>0</v>
      </c>
      <c r="ET787" s="266" t="s">
        <v>3275</v>
      </c>
    </row>
    <row r="788" spans="1:150" ht="15" hidden="1" customHeight="1">
      <c r="A788" s="1" t="s">
        <v>431</v>
      </c>
      <c r="B788" t="s">
        <v>432</v>
      </c>
      <c r="C788" t="s">
        <v>433</v>
      </c>
      <c r="D788" t="s">
        <v>434</v>
      </c>
      <c r="E788" t="s">
        <v>435</v>
      </c>
      <c r="F788" t="s">
        <v>436</v>
      </c>
      <c r="G788" t="s">
        <v>437</v>
      </c>
      <c r="H788" t="s">
        <v>255</v>
      </c>
      <c r="I788">
        <v>2000</v>
      </c>
      <c r="J788">
        <v>174</v>
      </c>
      <c r="K788" t="s">
        <v>438</v>
      </c>
      <c r="M788" t="str">
        <f t="shared" si="40"/>
        <v>Borjesson_2000</v>
      </c>
      <c r="N788" t="s">
        <v>223</v>
      </c>
      <c r="O788" s="145" t="s">
        <v>224</v>
      </c>
      <c r="Q788" t="s">
        <v>257</v>
      </c>
      <c r="R788" s="255" t="s">
        <v>226</v>
      </c>
      <c r="S788" s="1" t="s">
        <v>459</v>
      </c>
      <c r="T788" t="s">
        <v>462</v>
      </c>
      <c r="U788" t="s">
        <v>461</v>
      </c>
      <c r="V788">
        <v>0</v>
      </c>
      <c r="W788">
        <v>0</v>
      </c>
      <c r="X788">
        <v>0</v>
      </c>
      <c r="Y788">
        <v>0</v>
      </c>
      <c r="Z788">
        <v>0</v>
      </c>
      <c r="AA788">
        <v>0</v>
      </c>
      <c r="AB788">
        <v>0</v>
      </c>
      <c r="AC788">
        <v>0</v>
      </c>
      <c r="AD788">
        <v>0</v>
      </c>
      <c r="AE788">
        <v>0</v>
      </c>
      <c r="AF788">
        <v>0</v>
      </c>
      <c r="AG788">
        <v>0</v>
      </c>
      <c r="AH788">
        <v>0</v>
      </c>
      <c r="AI788">
        <v>1</v>
      </c>
      <c r="AJ788">
        <v>0</v>
      </c>
      <c r="AK788">
        <v>0</v>
      </c>
      <c r="AL788">
        <v>0</v>
      </c>
      <c r="AM788">
        <v>0</v>
      </c>
      <c r="AN788">
        <v>0</v>
      </c>
      <c r="AO788">
        <v>0</v>
      </c>
      <c r="AP788">
        <v>0</v>
      </c>
      <c r="AQ788">
        <v>0</v>
      </c>
      <c r="AR788">
        <v>0</v>
      </c>
      <c r="AS788">
        <v>0</v>
      </c>
      <c r="AT788">
        <v>0</v>
      </c>
      <c r="AU788">
        <v>0</v>
      </c>
      <c r="AV788">
        <v>0</v>
      </c>
      <c r="AW788">
        <v>0</v>
      </c>
      <c r="AX788" s="141">
        <f t="shared" si="41"/>
        <v>1</v>
      </c>
      <c r="AY788" s="141">
        <f t="shared" si="42"/>
        <v>1</v>
      </c>
      <c r="AZ788">
        <f t="shared" si="43"/>
        <v>0</v>
      </c>
      <c r="BA788">
        <f t="shared" si="44"/>
        <v>1</v>
      </c>
      <c r="BB788">
        <f t="shared" si="45"/>
        <v>0</v>
      </c>
      <c r="BC788">
        <f t="shared" si="46"/>
        <v>0</v>
      </c>
      <c r="BD788">
        <f t="shared" si="47"/>
        <v>0</v>
      </c>
      <c r="BE788" t="str">
        <f t="array" ref="BE788">IF(AY788=1,INDEX($V$7:$AL$7,MATCH(TRUE,INDEX($V788:$AW788&lt;&gt;0,),0)),IF(AY788=0,INDEX($AM$7:$AW$7,MATCH(1,$AM788:$AW788,0)),IF(BF788="Multiple strategies","mixed drivers",IF(BF788="Supply chain","multiple supply","multiple silviculture"))))</f>
        <v>products lifespan</v>
      </c>
      <c r="BF788" s="2" t="str" cm="1">
        <f t="array" ref="BF788">IF(COUNTIF(AZ788:BB788,"&lt;&gt;0")=1,INDEX($V$4:$AW$4,MATCH(TRUE,INDEX($V788:$AW788&lt;&gt;0,),0)),IF(COUNTIF(AZ788:BB788,"&lt;&gt;0")=0,INDEX($AM$4:$AW$4,MATCH(1,$AM788:$AW788,0)),"Multiple strategies"))</f>
        <v>Supply chain</v>
      </c>
      <c r="BG788" s="142" t="s">
        <v>230</v>
      </c>
      <c r="BH788" t="s">
        <v>442</v>
      </c>
      <c r="BI788" s="266" t="s">
        <v>3276</v>
      </c>
      <c r="BJ788" s="143" t="s">
        <v>443</v>
      </c>
      <c r="BK788">
        <v>44</v>
      </c>
      <c r="BL788">
        <v>44</v>
      </c>
      <c r="BM788" s="143">
        <f t="shared" si="85"/>
        <v>1</v>
      </c>
      <c r="BN788">
        <f t="shared" si="66"/>
        <v>0</v>
      </c>
      <c r="BO788">
        <f>BN788*tC_to_m3</f>
        <v>0</v>
      </c>
      <c r="BP788" t="s">
        <v>233</v>
      </c>
      <c r="BQ788" s="260" t="s">
        <v>815</v>
      </c>
      <c r="BR788" t="s">
        <v>444</v>
      </c>
      <c r="BS788" s="141">
        <v>57</v>
      </c>
      <c r="BT788" s="141">
        <v>53</v>
      </c>
      <c r="BU788" s="144">
        <f t="shared" si="80"/>
        <v>0.92982456140350878</v>
      </c>
      <c r="BV788">
        <f t="shared" si="81"/>
        <v>-4</v>
      </c>
      <c r="BX788">
        <f t="shared" si="86"/>
        <v>-14.68</v>
      </c>
      <c r="BY788" t="str">
        <f t="shared" si="49"/>
        <v/>
      </c>
      <c r="BZ788" s="143">
        <v>0</v>
      </c>
      <c r="CA788" s="143">
        <v>0</v>
      </c>
      <c r="CB788" s="143">
        <v>0</v>
      </c>
      <c r="CC788" s="143">
        <v>0</v>
      </c>
      <c r="CD788" s="143">
        <v>0</v>
      </c>
      <c r="CE788" s="143">
        <v>0</v>
      </c>
      <c r="CF788" s="143">
        <v>0</v>
      </c>
      <c r="CG788" s="143">
        <v>0</v>
      </c>
      <c r="CH788" s="143">
        <v>0</v>
      </c>
      <c r="CI788" s="143">
        <v>0</v>
      </c>
      <c r="CJ788" s="143">
        <v>0</v>
      </c>
      <c r="CK788" s="143">
        <v>0</v>
      </c>
      <c r="CL788" s="143">
        <v>0</v>
      </c>
      <c r="CM788">
        <v>0</v>
      </c>
      <c r="CN788" t="str">
        <f>IF($BL788&lt;$BK788,"refNeedCorrection","refOK")</f>
        <v>refOK</v>
      </c>
      <c r="CO788">
        <f t="shared" si="67"/>
        <v>44</v>
      </c>
      <c r="CP788">
        <f t="shared" si="68"/>
        <v>44</v>
      </c>
      <c r="CQ788">
        <f t="shared" si="51"/>
        <v>0</v>
      </c>
      <c r="CR788">
        <f t="shared" si="69"/>
        <v>57</v>
      </c>
      <c r="CS788">
        <f t="shared" si="70"/>
        <v>53</v>
      </c>
      <c r="CT788">
        <f t="shared" si="84"/>
        <v>-14.68</v>
      </c>
      <c r="CU788" t="str">
        <f t="shared" si="53"/>
        <v/>
      </c>
      <c r="CV788" s="2">
        <f t="shared" si="54"/>
        <v>-7.0175438596491224E-2</v>
      </c>
      <c r="CW788" s="1" t="s">
        <v>264</v>
      </c>
      <c r="CX788" t="str">
        <f t="shared" si="55"/>
        <v>loc</v>
      </c>
      <c r="CY788" t="s">
        <v>445</v>
      </c>
      <c r="DB788">
        <v>300</v>
      </c>
      <c r="DC788" t="str">
        <f t="shared" si="56"/>
        <v>+100</v>
      </c>
      <c r="DD788">
        <v>0</v>
      </c>
      <c r="DE788">
        <v>1</v>
      </c>
      <c r="DF788">
        <v>0</v>
      </c>
      <c r="DG788">
        <v>1</v>
      </c>
      <c r="DI788">
        <f t="shared" si="71"/>
        <v>2</v>
      </c>
      <c r="DJ788" t="str">
        <f t="shared" si="57"/>
        <v>mixedProduct</v>
      </c>
      <c r="DK788">
        <f t="shared" si="73"/>
        <v>0</v>
      </c>
      <c r="DL788" t="str">
        <f t="shared" si="74"/>
        <v>Energy</v>
      </c>
      <c r="DM788">
        <f t="shared" si="75"/>
        <v>0</v>
      </c>
      <c r="DN788" t="str">
        <f t="shared" si="76"/>
        <v>Timber</v>
      </c>
      <c r="DO788">
        <v>1</v>
      </c>
      <c r="DP788" s="143">
        <v>0</v>
      </c>
      <c r="DQ788" s="143">
        <v>0</v>
      </c>
      <c r="DR788" s="143">
        <v>0</v>
      </c>
      <c r="DS788">
        <v>0</v>
      </c>
      <c r="DT788">
        <f t="shared" si="72"/>
        <v>1</v>
      </c>
      <c r="DU788" s="143" t="str">
        <f t="shared" si="62"/>
        <v>self-calculated DF</v>
      </c>
      <c r="DV788">
        <v>0</v>
      </c>
      <c r="DW788" s="143">
        <v>0</v>
      </c>
      <c r="DX788" s="143">
        <v>1</v>
      </c>
      <c r="DY788" s="143">
        <v>1</v>
      </c>
      <c r="DZ788">
        <v>1</v>
      </c>
      <c r="EA788" s="143">
        <v>1</v>
      </c>
      <c r="EB788">
        <v>0</v>
      </c>
      <c r="EC788" s="143">
        <v>1</v>
      </c>
      <c r="ED788" s="143">
        <v>0</v>
      </c>
      <c r="EE788">
        <v>0</v>
      </c>
      <c r="EF788">
        <v>0</v>
      </c>
      <c r="EG788" s="143">
        <v>0</v>
      </c>
      <c r="EH788" s="143">
        <v>0</v>
      </c>
      <c r="EI788" s="2">
        <v>0</v>
      </c>
      <c r="EK788" t="str">
        <f t="shared" si="77"/>
        <v/>
      </c>
      <c r="EL788" t="str">
        <f t="shared" si="78"/>
        <v/>
      </c>
      <c r="EM788" s="2" t="str">
        <f t="shared" si="65"/>
        <v/>
      </c>
      <c r="EP788" t="b">
        <f>IF(ISNUMBER(BU788),IF(ABS(BU788-[4]QC_indicators!$B$2)&gt;3*[4]QC_indicators!$C$2,"C ratio",IF(ISNUMBER(BY788),IF(ABS(BY788-[4]QC_indicators!$B$1)&gt;3*[4]QC_indicators!$C$1,"DF","no"))),IF(ISNUMBER(BY788),IF(ABS(BY788-[4]QC_indicators!$B$1)&gt;3*[4]QC_indicators!$C$1,"DF","no")))</f>
        <v>0</v>
      </c>
      <c r="ET788" s="266" t="s">
        <v>3275</v>
      </c>
    </row>
    <row r="789" spans="1:150" ht="15" hidden="1" customHeight="1">
      <c r="A789" s="1" t="s">
        <v>431</v>
      </c>
      <c r="B789" t="s">
        <v>432</v>
      </c>
      <c r="C789" t="s">
        <v>433</v>
      </c>
      <c r="D789" t="s">
        <v>434</v>
      </c>
      <c r="E789" t="s">
        <v>435</v>
      </c>
      <c r="F789" t="s">
        <v>436</v>
      </c>
      <c r="G789" t="s">
        <v>437</v>
      </c>
      <c r="H789" t="s">
        <v>255</v>
      </c>
      <c r="I789">
        <v>2000</v>
      </c>
      <c r="J789">
        <v>174</v>
      </c>
      <c r="K789" t="s">
        <v>438</v>
      </c>
      <c r="M789" t="str">
        <f t="shared" si="40"/>
        <v>Borjesson_2000</v>
      </c>
      <c r="N789" t="s">
        <v>223</v>
      </c>
      <c r="O789" s="145" t="s">
        <v>224</v>
      </c>
      <c r="Q789" t="s">
        <v>257</v>
      </c>
      <c r="R789" s="255" t="s">
        <v>226</v>
      </c>
      <c r="S789" s="1" t="s">
        <v>459</v>
      </c>
      <c r="T789" t="s">
        <v>463</v>
      </c>
      <c r="U789" t="s">
        <v>461</v>
      </c>
      <c r="V789">
        <v>0</v>
      </c>
      <c r="W789">
        <v>0</v>
      </c>
      <c r="X789">
        <v>0</v>
      </c>
      <c r="Y789">
        <v>0</v>
      </c>
      <c r="Z789">
        <v>0</v>
      </c>
      <c r="AA789">
        <v>0</v>
      </c>
      <c r="AB789">
        <v>0</v>
      </c>
      <c r="AC789">
        <v>0</v>
      </c>
      <c r="AD789">
        <v>0</v>
      </c>
      <c r="AE789">
        <v>0</v>
      </c>
      <c r="AF789">
        <v>0</v>
      </c>
      <c r="AG789">
        <v>0</v>
      </c>
      <c r="AH789">
        <v>0</v>
      </c>
      <c r="AI789">
        <v>1</v>
      </c>
      <c r="AJ789">
        <v>0</v>
      </c>
      <c r="AK789">
        <v>0</v>
      </c>
      <c r="AL789">
        <v>0</v>
      </c>
      <c r="AM789">
        <v>0</v>
      </c>
      <c r="AN789">
        <v>0</v>
      </c>
      <c r="AO789">
        <v>0</v>
      </c>
      <c r="AP789">
        <v>0</v>
      </c>
      <c r="AQ789">
        <v>0</v>
      </c>
      <c r="AR789">
        <v>0</v>
      </c>
      <c r="AS789">
        <v>0</v>
      </c>
      <c r="AT789">
        <v>0</v>
      </c>
      <c r="AU789">
        <v>0</v>
      </c>
      <c r="AV789">
        <v>0</v>
      </c>
      <c r="AW789">
        <v>0</v>
      </c>
      <c r="AX789" s="141">
        <f t="shared" si="41"/>
        <v>1</v>
      </c>
      <c r="AY789" s="141">
        <f t="shared" si="42"/>
        <v>1</v>
      </c>
      <c r="AZ789">
        <f t="shared" si="43"/>
        <v>0</v>
      </c>
      <c r="BA789">
        <f t="shared" si="44"/>
        <v>1</v>
      </c>
      <c r="BB789">
        <f t="shared" si="45"/>
        <v>0</v>
      </c>
      <c r="BC789">
        <f t="shared" si="46"/>
        <v>0</v>
      </c>
      <c r="BD789">
        <f t="shared" si="47"/>
        <v>0</v>
      </c>
      <c r="BE789" t="str">
        <f t="array" ref="BE789">IF(AY789=1,INDEX($V$7:$AL$7,MATCH(TRUE,INDEX($V789:$AW789&lt;&gt;0,),0)),IF(AY789=0,INDEX($AM$7:$AW$7,MATCH(1,$AM789:$AW789,0)),IF(BF789="Multiple strategies","mixed drivers",IF(BF789="Supply chain","multiple supply","multiple silviculture"))))</f>
        <v>products lifespan</v>
      </c>
      <c r="BF789" s="2" t="str" cm="1">
        <f t="array" ref="BF789">IF(COUNTIF(AZ789:BB789,"&lt;&gt;0")=1,INDEX($V$4:$AW$4,MATCH(TRUE,INDEX($V789:$AW789&lt;&gt;0,),0)),IF(COUNTIF(AZ789:BB789,"&lt;&gt;0")=0,INDEX($AM$4:$AW$4,MATCH(1,$AM789:$AW789,0)),"Multiple strategies"))</f>
        <v>Supply chain</v>
      </c>
      <c r="BG789" s="142" t="s">
        <v>230</v>
      </c>
      <c r="BH789" t="s">
        <v>442</v>
      </c>
      <c r="BI789" s="266" t="s">
        <v>3276</v>
      </c>
      <c r="BJ789" s="143" t="s">
        <v>443</v>
      </c>
      <c r="BK789">
        <v>44</v>
      </c>
      <c r="BL789">
        <v>44</v>
      </c>
      <c r="BM789" s="143">
        <f t="shared" si="85"/>
        <v>1</v>
      </c>
      <c r="BN789">
        <f t="shared" si="66"/>
        <v>0</v>
      </c>
      <c r="BO789">
        <f>BN789*tC_to_m3</f>
        <v>0</v>
      </c>
      <c r="BP789" t="s">
        <v>233</v>
      </c>
      <c r="BQ789" s="260" t="s">
        <v>815</v>
      </c>
      <c r="BR789" t="s">
        <v>444</v>
      </c>
      <c r="BS789" s="141">
        <v>126</v>
      </c>
      <c r="BT789" s="141">
        <v>84</v>
      </c>
      <c r="BU789" s="144">
        <f t="shared" si="80"/>
        <v>0.66666666666666663</v>
      </c>
      <c r="BV789">
        <f t="shared" si="81"/>
        <v>-42</v>
      </c>
      <c r="BX789">
        <f t="shared" si="86"/>
        <v>-154.13999999999999</v>
      </c>
      <c r="BY789" t="str">
        <f t="shared" si="49"/>
        <v/>
      </c>
      <c r="BZ789" s="143">
        <v>0</v>
      </c>
      <c r="CA789" s="143">
        <v>0</v>
      </c>
      <c r="CB789" s="143">
        <v>0</v>
      </c>
      <c r="CC789" s="143">
        <v>0</v>
      </c>
      <c r="CD789" s="143">
        <v>0</v>
      </c>
      <c r="CE789" s="143">
        <v>0</v>
      </c>
      <c r="CF789" s="143">
        <v>0</v>
      </c>
      <c r="CG789" s="143">
        <v>0</v>
      </c>
      <c r="CH789" s="143">
        <v>0</v>
      </c>
      <c r="CI789" s="143">
        <v>0</v>
      </c>
      <c r="CJ789" s="143">
        <v>0</v>
      </c>
      <c r="CK789" s="143">
        <v>0</v>
      </c>
      <c r="CL789" s="143">
        <v>0</v>
      </c>
      <c r="CM789">
        <v>0</v>
      </c>
      <c r="CN789" t="str">
        <f>IF($BL789&lt;$BK789,"refNeedCorrection","refOK")</f>
        <v>refOK</v>
      </c>
      <c r="CO789">
        <f t="shared" si="67"/>
        <v>44</v>
      </c>
      <c r="CP789">
        <f t="shared" si="68"/>
        <v>44</v>
      </c>
      <c r="CQ789">
        <f t="shared" si="51"/>
        <v>0</v>
      </c>
      <c r="CR789">
        <f t="shared" si="69"/>
        <v>126</v>
      </c>
      <c r="CS789">
        <f t="shared" si="70"/>
        <v>84</v>
      </c>
      <c r="CT789">
        <f t="shared" si="84"/>
        <v>-154.13999999999999</v>
      </c>
      <c r="CU789" t="str">
        <f t="shared" si="53"/>
        <v/>
      </c>
      <c r="CV789" s="2">
        <f t="shared" si="54"/>
        <v>-0.33333333333333331</v>
      </c>
      <c r="CW789" s="1" t="s">
        <v>264</v>
      </c>
      <c r="CX789" t="str">
        <f t="shared" si="55"/>
        <v>loc</v>
      </c>
      <c r="CY789" t="s">
        <v>445</v>
      </c>
      <c r="DB789">
        <v>300</v>
      </c>
      <c r="DC789" t="str">
        <f t="shared" si="56"/>
        <v>+100</v>
      </c>
      <c r="DD789">
        <v>0</v>
      </c>
      <c r="DE789">
        <v>1</v>
      </c>
      <c r="DF789">
        <v>0</v>
      </c>
      <c r="DG789">
        <v>1</v>
      </c>
      <c r="DI789">
        <f t="shared" si="71"/>
        <v>2</v>
      </c>
      <c r="DJ789" t="str">
        <f t="shared" si="57"/>
        <v>mixedProduct</v>
      </c>
      <c r="DK789">
        <f t="shared" si="73"/>
        <v>0</v>
      </c>
      <c r="DL789" t="str">
        <f t="shared" si="74"/>
        <v>Energy</v>
      </c>
      <c r="DM789">
        <f t="shared" si="75"/>
        <v>0</v>
      </c>
      <c r="DN789" t="str">
        <f t="shared" si="76"/>
        <v>Timber</v>
      </c>
      <c r="DO789">
        <v>1</v>
      </c>
      <c r="DP789" s="143">
        <v>0</v>
      </c>
      <c r="DQ789" s="143">
        <v>0</v>
      </c>
      <c r="DR789" s="143">
        <v>0</v>
      </c>
      <c r="DS789">
        <v>0</v>
      </c>
      <c r="DT789">
        <f t="shared" si="72"/>
        <v>1</v>
      </c>
      <c r="DU789" s="143" t="str">
        <f t="shared" si="62"/>
        <v>self-calculated DF</v>
      </c>
      <c r="DV789">
        <v>0</v>
      </c>
      <c r="DW789" s="143">
        <v>0</v>
      </c>
      <c r="DX789" s="143">
        <v>1</v>
      </c>
      <c r="DY789" s="143">
        <v>1</v>
      </c>
      <c r="DZ789">
        <v>1</v>
      </c>
      <c r="EA789" s="143">
        <v>1</v>
      </c>
      <c r="EB789">
        <v>0</v>
      </c>
      <c r="EC789" s="143">
        <v>1</v>
      </c>
      <c r="ED789" s="143">
        <v>0</v>
      </c>
      <c r="EE789">
        <v>0</v>
      </c>
      <c r="EF789">
        <v>0</v>
      </c>
      <c r="EG789" s="143">
        <v>0</v>
      </c>
      <c r="EH789" s="143">
        <v>0</v>
      </c>
      <c r="EI789" s="2">
        <v>0</v>
      </c>
      <c r="EK789" t="str">
        <f t="shared" si="77"/>
        <v/>
      </c>
      <c r="EL789" t="str">
        <f t="shared" si="78"/>
        <v/>
      </c>
      <c r="EM789" s="2" t="str">
        <f t="shared" si="65"/>
        <v/>
      </c>
      <c r="EP789" t="b">
        <f>IF(ISNUMBER(BU789),IF(ABS(BU789-[4]QC_indicators!$B$2)&gt;3*[4]QC_indicators!$C$2,"C ratio",IF(ISNUMBER(BY789),IF(ABS(BY789-[4]QC_indicators!$B$1)&gt;3*[4]QC_indicators!$C$1,"DF","no"))),IF(ISNUMBER(BY789),IF(ABS(BY789-[4]QC_indicators!$B$1)&gt;3*[4]QC_indicators!$C$1,"DF","no")))</f>
        <v>0</v>
      </c>
      <c r="ET789" s="266" t="s">
        <v>3275</v>
      </c>
    </row>
    <row r="790" spans="1:150" ht="15" hidden="1" customHeight="1">
      <c r="A790" s="1" t="s">
        <v>431</v>
      </c>
      <c r="B790" t="s">
        <v>432</v>
      </c>
      <c r="C790" t="s">
        <v>433</v>
      </c>
      <c r="D790" t="s">
        <v>434</v>
      </c>
      <c r="E790" t="s">
        <v>435</v>
      </c>
      <c r="F790" t="s">
        <v>436</v>
      </c>
      <c r="G790" t="s">
        <v>437</v>
      </c>
      <c r="H790" t="s">
        <v>255</v>
      </c>
      <c r="I790">
        <v>2000</v>
      </c>
      <c r="J790">
        <v>174</v>
      </c>
      <c r="K790" t="s">
        <v>438</v>
      </c>
      <c r="M790" t="str">
        <f t="shared" si="40"/>
        <v>Borjesson_2000</v>
      </c>
      <c r="N790" t="s">
        <v>223</v>
      </c>
      <c r="O790" s="145" t="s">
        <v>224</v>
      </c>
      <c r="Q790" t="s">
        <v>257</v>
      </c>
      <c r="R790" s="255" t="s">
        <v>226</v>
      </c>
      <c r="S790" s="1" t="s">
        <v>459</v>
      </c>
      <c r="T790" t="s">
        <v>464</v>
      </c>
      <c r="U790" t="s">
        <v>461</v>
      </c>
      <c r="V790">
        <v>0</v>
      </c>
      <c r="W790">
        <v>0</v>
      </c>
      <c r="X790">
        <v>0</v>
      </c>
      <c r="Y790">
        <v>0</v>
      </c>
      <c r="Z790">
        <v>0</v>
      </c>
      <c r="AA790">
        <v>0</v>
      </c>
      <c r="AB790">
        <v>0</v>
      </c>
      <c r="AC790">
        <v>0</v>
      </c>
      <c r="AD790">
        <v>0</v>
      </c>
      <c r="AE790">
        <v>0</v>
      </c>
      <c r="AF790">
        <v>0</v>
      </c>
      <c r="AG790">
        <v>0</v>
      </c>
      <c r="AH790">
        <v>0</v>
      </c>
      <c r="AI790">
        <v>1</v>
      </c>
      <c r="AJ790">
        <v>0</v>
      </c>
      <c r="AK790">
        <v>0</v>
      </c>
      <c r="AL790">
        <v>0</v>
      </c>
      <c r="AM790">
        <v>0</v>
      </c>
      <c r="AN790">
        <v>0</v>
      </c>
      <c r="AO790">
        <v>0</v>
      </c>
      <c r="AP790">
        <v>0</v>
      </c>
      <c r="AQ790">
        <v>0</v>
      </c>
      <c r="AR790">
        <v>0</v>
      </c>
      <c r="AS790">
        <v>0</v>
      </c>
      <c r="AT790">
        <v>0</v>
      </c>
      <c r="AU790">
        <v>0</v>
      </c>
      <c r="AV790">
        <v>0</v>
      </c>
      <c r="AW790">
        <v>0</v>
      </c>
      <c r="AX790" s="141">
        <f t="shared" si="41"/>
        <v>1</v>
      </c>
      <c r="AY790" s="141">
        <f t="shared" si="42"/>
        <v>1</v>
      </c>
      <c r="AZ790">
        <f t="shared" si="43"/>
        <v>0</v>
      </c>
      <c r="BA790">
        <f t="shared" si="44"/>
        <v>1</v>
      </c>
      <c r="BB790">
        <f t="shared" si="45"/>
        <v>0</v>
      </c>
      <c r="BC790">
        <f t="shared" si="46"/>
        <v>0</v>
      </c>
      <c r="BD790">
        <f t="shared" si="47"/>
        <v>0</v>
      </c>
      <c r="BE790" t="str">
        <f t="array" ref="BE790">IF(AY790=1,INDEX($V$7:$AL$7,MATCH(TRUE,INDEX($V790:$AW790&lt;&gt;0,),0)),IF(AY790=0,INDEX($AM$7:$AW$7,MATCH(1,$AM790:$AW790,0)),IF(BF790="Multiple strategies","mixed drivers",IF(BF790="Supply chain","multiple supply","multiple silviculture"))))</f>
        <v>products lifespan</v>
      </c>
      <c r="BF790" s="2" t="str" cm="1">
        <f t="array" ref="BF790">IF(COUNTIF(AZ790:BB790,"&lt;&gt;0")=1,INDEX($V$4:$AW$4,MATCH(TRUE,INDEX($V790:$AW790&lt;&gt;0,),0)),IF(COUNTIF(AZ790:BB790,"&lt;&gt;0")=0,INDEX($AM$4:$AW$4,MATCH(1,$AM790:$AW790,0)),"Multiple strategies"))</f>
        <v>Supply chain</v>
      </c>
      <c r="BG790" s="142" t="s">
        <v>230</v>
      </c>
      <c r="BH790" t="s">
        <v>442</v>
      </c>
      <c r="BI790" s="266" t="s">
        <v>3276</v>
      </c>
      <c r="BJ790" s="143" t="s">
        <v>443</v>
      </c>
      <c r="BK790">
        <v>44</v>
      </c>
      <c r="BL790">
        <v>44</v>
      </c>
      <c r="BM790" s="143">
        <f t="shared" si="85"/>
        <v>1</v>
      </c>
      <c r="BN790">
        <f t="shared" si="66"/>
        <v>0</v>
      </c>
      <c r="BO790">
        <f>BN790*tC_to_m3</f>
        <v>0</v>
      </c>
      <c r="BP790" t="s">
        <v>233</v>
      </c>
      <c r="BQ790" s="260" t="s">
        <v>815</v>
      </c>
      <c r="BR790" t="s">
        <v>444</v>
      </c>
      <c r="BS790" s="141">
        <v>151</v>
      </c>
      <c r="BT790" s="141">
        <v>93</v>
      </c>
      <c r="BU790" s="144">
        <f t="shared" si="80"/>
        <v>0.61589403973509937</v>
      </c>
      <c r="BV790">
        <f t="shared" si="81"/>
        <v>-58</v>
      </c>
      <c r="BX790">
        <f t="shared" si="86"/>
        <v>-212.85999999999999</v>
      </c>
      <c r="BY790" t="str">
        <f t="shared" si="49"/>
        <v/>
      </c>
      <c r="BZ790" s="143">
        <v>0</v>
      </c>
      <c r="CA790" s="143">
        <v>0</v>
      </c>
      <c r="CB790" s="143">
        <v>0</v>
      </c>
      <c r="CC790" s="143">
        <v>0</v>
      </c>
      <c r="CD790" s="143">
        <v>0</v>
      </c>
      <c r="CE790" s="143">
        <v>0</v>
      </c>
      <c r="CF790" s="143">
        <v>0</v>
      </c>
      <c r="CG790" s="143">
        <v>0</v>
      </c>
      <c r="CH790" s="143">
        <v>0</v>
      </c>
      <c r="CI790" s="143">
        <v>0</v>
      </c>
      <c r="CJ790" s="143">
        <v>0</v>
      </c>
      <c r="CK790" s="143">
        <v>0</v>
      </c>
      <c r="CL790" s="143">
        <v>0</v>
      </c>
      <c r="CM790">
        <v>0</v>
      </c>
      <c r="CN790" t="str">
        <f>IF($BL790&lt;$BK790,"refNeedCorrection","refOK")</f>
        <v>refOK</v>
      </c>
      <c r="CO790">
        <f t="shared" si="67"/>
        <v>44</v>
      </c>
      <c r="CP790">
        <f t="shared" si="68"/>
        <v>44</v>
      </c>
      <c r="CQ790">
        <f t="shared" si="51"/>
        <v>0</v>
      </c>
      <c r="CR790">
        <f t="shared" si="69"/>
        <v>151</v>
      </c>
      <c r="CS790">
        <f t="shared" si="70"/>
        <v>93</v>
      </c>
      <c r="CT790">
        <f t="shared" si="84"/>
        <v>-212.85999999999999</v>
      </c>
      <c r="CU790" t="str">
        <f t="shared" si="53"/>
        <v/>
      </c>
      <c r="CV790" s="2">
        <f t="shared" si="54"/>
        <v>-0.38410596026490068</v>
      </c>
      <c r="CW790" s="1" t="s">
        <v>264</v>
      </c>
      <c r="CX790" t="str">
        <f t="shared" si="55"/>
        <v>loc</v>
      </c>
      <c r="CY790" t="s">
        <v>445</v>
      </c>
      <c r="DB790">
        <v>300</v>
      </c>
      <c r="DC790" t="str">
        <f t="shared" si="56"/>
        <v>+100</v>
      </c>
      <c r="DD790">
        <v>0</v>
      </c>
      <c r="DE790">
        <v>1</v>
      </c>
      <c r="DF790">
        <v>0</v>
      </c>
      <c r="DG790">
        <v>1</v>
      </c>
      <c r="DI790">
        <f t="shared" si="71"/>
        <v>2</v>
      </c>
      <c r="DJ790" t="str">
        <f t="shared" si="57"/>
        <v>mixedProduct</v>
      </c>
      <c r="DK790">
        <f t="shared" si="73"/>
        <v>0</v>
      </c>
      <c r="DL790" t="str">
        <f t="shared" si="74"/>
        <v>Energy</v>
      </c>
      <c r="DM790">
        <f t="shared" si="75"/>
        <v>0</v>
      </c>
      <c r="DN790" t="str">
        <f t="shared" si="76"/>
        <v>Timber</v>
      </c>
      <c r="DO790">
        <v>1</v>
      </c>
      <c r="DP790" s="143">
        <v>0</v>
      </c>
      <c r="DQ790" s="143">
        <v>0</v>
      </c>
      <c r="DR790" s="143">
        <v>0</v>
      </c>
      <c r="DS790">
        <v>0</v>
      </c>
      <c r="DT790">
        <f t="shared" si="72"/>
        <v>1</v>
      </c>
      <c r="DU790" s="143" t="str">
        <f t="shared" si="62"/>
        <v>self-calculated DF</v>
      </c>
      <c r="DV790">
        <v>0</v>
      </c>
      <c r="DW790" s="143">
        <v>0</v>
      </c>
      <c r="DX790" s="143">
        <v>1</v>
      </c>
      <c r="DY790" s="143">
        <v>1</v>
      </c>
      <c r="DZ790">
        <v>1</v>
      </c>
      <c r="EA790" s="143">
        <v>1</v>
      </c>
      <c r="EB790">
        <v>0</v>
      </c>
      <c r="EC790" s="143">
        <v>1</v>
      </c>
      <c r="ED790" s="143">
        <v>0</v>
      </c>
      <c r="EE790">
        <v>0</v>
      </c>
      <c r="EF790">
        <v>0</v>
      </c>
      <c r="EG790" s="143">
        <v>0</v>
      </c>
      <c r="EH790" s="143">
        <v>0</v>
      </c>
      <c r="EI790" s="2">
        <v>0</v>
      </c>
      <c r="EK790" t="str">
        <f t="shared" si="77"/>
        <v/>
      </c>
      <c r="EL790" t="str">
        <f t="shared" si="78"/>
        <v/>
      </c>
      <c r="EM790" s="2" t="str">
        <f t="shared" si="65"/>
        <v/>
      </c>
      <c r="EP790" t="b">
        <f>IF(ISNUMBER(BU790),IF(ABS(BU790-[4]QC_indicators!$B$2)&gt;3*[4]QC_indicators!$C$2,"C ratio",IF(ISNUMBER(BY790),IF(ABS(BY790-[4]QC_indicators!$B$1)&gt;3*[4]QC_indicators!$C$1,"DF","no"))),IF(ISNUMBER(BY790),IF(ABS(BY790-[4]QC_indicators!$B$1)&gt;3*[4]QC_indicators!$C$1,"DF","no")))</f>
        <v>0</v>
      </c>
      <c r="ET790" s="266" t="s">
        <v>3275</v>
      </c>
    </row>
    <row r="791" spans="1:150" ht="15" hidden="1" customHeight="1">
      <c r="A791" s="1" t="s">
        <v>431</v>
      </c>
      <c r="B791" t="s">
        <v>432</v>
      </c>
      <c r="C791" t="s">
        <v>433</v>
      </c>
      <c r="D791" t="s">
        <v>434</v>
      </c>
      <c r="E791" t="s">
        <v>435</v>
      </c>
      <c r="F791" t="s">
        <v>436</v>
      </c>
      <c r="G791" t="s">
        <v>437</v>
      </c>
      <c r="H791" t="s">
        <v>255</v>
      </c>
      <c r="I791">
        <v>2000</v>
      </c>
      <c r="J791">
        <v>174</v>
      </c>
      <c r="K791" t="s">
        <v>438</v>
      </c>
      <c r="M791" t="str">
        <f t="shared" si="40"/>
        <v>Borjesson_2000</v>
      </c>
      <c r="N791" t="s">
        <v>223</v>
      </c>
      <c r="O791" s="145" t="s">
        <v>224</v>
      </c>
      <c r="Q791" t="s">
        <v>257</v>
      </c>
      <c r="R791" s="255" t="s">
        <v>226</v>
      </c>
      <c r="S791" s="1" t="s">
        <v>465</v>
      </c>
      <c r="T791" t="s">
        <v>466</v>
      </c>
      <c r="U791" t="s">
        <v>467</v>
      </c>
      <c r="V791">
        <v>0</v>
      </c>
      <c r="W791">
        <v>0</v>
      </c>
      <c r="X791">
        <v>0</v>
      </c>
      <c r="Y791">
        <v>0</v>
      </c>
      <c r="Z791">
        <v>0</v>
      </c>
      <c r="AA791">
        <v>0</v>
      </c>
      <c r="AB791">
        <v>0</v>
      </c>
      <c r="AC791">
        <v>0</v>
      </c>
      <c r="AD791">
        <v>0</v>
      </c>
      <c r="AE791">
        <v>0</v>
      </c>
      <c r="AF791">
        <v>0</v>
      </c>
      <c r="AG791">
        <v>0</v>
      </c>
      <c r="AH791">
        <v>1</v>
      </c>
      <c r="AI791">
        <v>0</v>
      </c>
      <c r="AJ791">
        <v>0</v>
      </c>
      <c r="AK791">
        <v>0</v>
      </c>
      <c r="AL791">
        <v>0</v>
      </c>
      <c r="AM791">
        <v>0</v>
      </c>
      <c r="AN791">
        <v>0</v>
      </c>
      <c r="AO791">
        <v>0</v>
      </c>
      <c r="AP791">
        <v>0</v>
      </c>
      <c r="AQ791">
        <v>0</v>
      </c>
      <c r="AR791">
        <v>0</v>
      </c>
      <c r="AS791">
        <v>0</v>
      </c>
      <c r="AT791">
        <v>0</v>
      </c>
      <c r="AU791">
        <v>0</v>
      </c>
      <c r="AV791">
        <v>0</v>
      </c>
      <c r="AW791">
        <v>0</v>
      </c>
      <c r="AX791" s="141">
        <f t="shared" si="41"/>
        <v>1</v>
      </c>
      <c r="AY791" s="141">
        <f t="shared" si="42"/>
        <v>1</v>
      </c>
      <c r="AZ791">
        <f t="shared" si="43"/>
        <v>0</v>
      </c>
      <c r="BA791">
        <f t="shared" si="44"/>
        <v>1</v>
      </c>
      <c r="BB791">
        <f t="shared" si="45"/>
        <v>0</v>
      </c>
      <c r="BC791">
        <f t="shared" si="46"/>
        <v>0</v>
      </c>
      <c r="BD791">
        <f t="shared" si="47"/>
        <v>0</v>
      </c>
      <c r="BE791" t="str">
        <f t="array" ref="BE791">IF(AY791=1,INDEX($V$7:$AL$7,MATCH(TRUE,INDEX($V791:$AW791&lt;&gt;0,),0)),IF(AY791=0,INDEX($AM$7:$AW$7,MATCH(1,$AM791:$AW791,0)),IF(BF791="Multiple strategies","mixed drivers",IF(BF791="Supply chain","multiple supply","multiple silviculture"))))</f>
        <v xml:space="preserve">end of life disposal </v>
      </c>
      <c r="BF791" s="2" t="str" cm="1">
        <f t="array" ref="BF791">IF(COUNTIF(AZ791:BB791,"&lt;&gt;0")=1,INDEX($V$4:$AW$4,MATCH(TRUE,INDEX($V791:$AW791&lt;&gt;0,),0)),IF(COUNTIF(AZ791:BB791,"&lt;&gt;0")=0,INDEX($AM$4:$AW$4,MATCH(1,$AM791:$AW791,0)),"Multiple strategies"))</f>
        <v>Supply chain</v>
      </c>
      <c r="BG791" s="142" t="s">
        <v>230</v>
      </c>
      <c r="BH791" t="s">
        <v>442</v>
      </c>
      <c r="BI791" s="266" t="s">
        <v>3276</v>
      </c>
      <c r="BJ791" s="143" t="s">
        <v>443</v>
      </c>
      <c r="BK791">
        <v>44</v>
      </c>
      <c r="BL791">
        <v>44</v>
      </c>
      <c r="BM791" s="143">
        <f t="shared" si="85"/>
        <v>1</v>
      </c>
      <c r="BN791">
        <f t="shared" si="66"/>
        <v>0</v>
      </c>
      <c r="BO791">
        <v>0</v>
      </c>
      <c r="BP791" t="s">
        <v>233</v>
      </c>
      <c r="BQ791" s="260" t="s">
        <v>815</v>
      </c>
      <c r="BR791" t="s">
        <v>444</v>
      </c>
      <c r="BS791" s="141">
        <v>47</v>
      </c>
      <c r="BT791" s="141">
        <v>97</v>
      </c>
      <c r="BU791" s="144">
        <f t="shared" si="80"/>
        <v>2.0638297872340425</v>
      </c>
      <c r="BV791">
        <f t="shared" si="81"/>
        <v>50</v>
      </c>
      <c r="BX791">
        <f t="shared" si="86"/>
        <v>183.5</v>
      </c>
      <c r="BY791" t="str">
        <f t="shared" si="49"/>
        <v/>
      </c>
      <c r="BZ791" s="143">
        <v>0</v>
      </c>
      <c r="CA791" s="143">
        <v>0</v>
      </c>
      <c r="CB791" s="143">
        <v>0</v>
      </c>
      <c r="CC791" s="143">
        <v>0</v>
      </c>
      <c r="CD791" s="143">
        <v>0</v>
      </c>
      <c r="CE791" s="143">
        <v>0</v>
      </c>
      <c r="CF791" s="143">
        <v>0</v>
      </c>
      <c r="CG791" s="143">
        <v>0</v>
      </c>
      <c r="CH791" s="143">
        <v>0</v>
      </c>
      <c r="CI791" s="143">
        <v>0</v>
      </c>
      <c r="CJ791" s="143">
        <v>0</v>
      </c>
      <c r="CK791" s="143">
        <v>0</v>
      </c>
      <c r="CL791" s="143">
        <v>0</v>
      </c>
      <c r="CM791">
        <v>0</v>
      </c>
      <c r="CN791" t="str">
        <f>IF($BL791&lt;$BK791,"refNeedCorrection","refOK")</f>
        <v>refOK</v>
      </c>
      <c r="CO791">
        <f t="shared" si="67"/>
        <v>44</v>
      </c>
      <c r="CP791">
        <f t="shared" si="68"/>
        <v>44</v>
      </c>
      <c r="CQ791">
        <f t="shared" si="51"/>
        <v>0</v>
      </c>
      <c r="CR791">
        <f t="shared" si="69"/>
        <v>47</v>
      </c>
      <c r="CS791">
        <f t="shared" si="70"/>
        <v>97</v>
      </c>
      <c r="CT791">
        <f t="shared" si="84"/>
        <v>183.5</v>
      </c>
      <c r="CU791" t="str">
        <f t="shared" si="53"/>
        <v/>
      </c>
      <c r="CV791" s="2">
        <f t="shared" si="54"/>
        <v>1.0638297872340425</v>
      </c>
      <c r="CW791" s="1" t="s">
        <v>264</v>
      </c>
      <c r="CX791" t="str">
        <f t="shared" si="55"/>
        <v>loc</v>
      </c>
      <c r="CY791" t="s">
        <v>445</v>
      </c>
      <c r="DB791">
        <v>300</v>
      </c>
      <c r="DC791" t="str">
        <f t="shared" si="56"/>
        <v>+100</v>
      </c>
      <c r="DD791">
        <v>0</v>
      </c>
      <c r="DE791">
        <v>1</v>
      </c>
      <c r="DF791">
        <v>0</v>
      </c>
      <c r="DG791">
        <v>0</v>
      </c>
      <c r="DI791">
        <f t="shared" si="71"/>
        <v>1</v>
      </c>
      <c r="DJ791" t="str">
        <f t="shared" si="57"/>
        <v>EnergyInput</v>
      </c>
      <c r="DK791">
        <f t="shared" si="73"/>
        <v>0</v>
      </c>
      <c r="DL791" t="str">
        <f t="shared" si="74"/>
        <v>Energy</v>
      </c>
      <c r="DM791">
        <f t="shared" si="75"/>
        <v>0</v>
      </c>
      <c r="DN791">
        <f t="shared" si="76"/>
        <v>0</v>
      </c>
      <c r="DO791">
        <v>1</v>
      </c>
      <c r="DP791" s="143">
        <v>0</v>
      </c>
      <c r="DQ791" s="143">
        <v>0</v>
      </c>
      <c r="DR791" s="143">
        <v>0</v>
      </c>
      <c r="DS791">
        <v>0</v>
      </c>
      <c r="DT791">
        <f t="shared" si="72"/>
        <v>1</v>
      </c>
      <c r="DU791" s="143" t="str">
        <f t="shared" si="62"/>
        <v>self-calculated DF</v>
      </c>
      <c r="DV791">
        <v>0</v>
      </c>
      <c r="DW791" s="143">
        <v>0</v>
      </c>
      <c r="DX791" s="143">
        <v>1</v>
      </c>
      <c r="DY791" s="143">
        <v>1</v>
      </c>
      <c r="DZ791">
        <v>1</v>
      </c>
      <c r="EA791" s="143">
        <v>1</v>
      </c>
      <c r="EB791">
        <v>0</v>
      </c>
      <c r="EC791" s="143">
        <v>1</v>
      </c>
      <c r="ED791" s="143">
        <v>0</v>
      </c>
      <c r="EE791">
        <v>0</v>
      </c>
      <c r="EF791">
        <v>0</v>
      </c>
      <c r="EG791" s="143">
        <v>0</v>
      </c>
      <c r="EH791" s="143">
        <v>0</v>
      </c>
      <c r="EI791" s="2">
        <v>0</v>
      </c>
      <c r="EK791" t="str">
        <f t="shared" si="77"/>
        <v/>
      </c>
      <c r="EL791" t="str">
        <f t="shared" si="78"/>
        <v/>
      </c>
      <c r="EM791" s="2" t="str">
        <f t="shared" si="65"/>
        <v/>
      </c>
      <c r="EN791" t="s">
        <v>446</v>
      </c>
      <c r="EP791" t="b">
        <f>IF(ISNUMBER(BU791),IF(ABS(BU791-[4]QC_indicators!$B$2)&gt;3*[4]QC_indicators!$C$2,"C ratio",IF(ISNUMBER(BY791),IF(ABS(BY791-[4]QC_indicators!$B$1)&gt;3*[4]QC_indicators!$C$1,"DF","no"))),IF(ISNUMBER(BY791),IF(ABS(BY791-[4]QC_indicators!$B$1)&gt;3*[4]QC_indicators!$C$1,"DF","no")))</f>
        <v>0</v>
      </c>
      <c r="ET791" s="266" t="s">
        <v>3275</v>
      </c>
    </row>
    <row r="792" spans="1:150" ht="15" hidden="1" customHeight="1">
      <c r="A792" s="1" t="s">
        <v>431</v>
      </c>
      <c r="B792" t="s">
        <v>432</v>
      </c>
      <c r="C792" t="s">
        <v>433</v>
      </c>
      <c r="D792" t="s">
        <v>434</v>
      </c>
      <c r="E792" t="s">
        <v>435</v>
      </c>
      <c r="F792" t="s">
        <v>436</v>
      </c>
      <c r="G792" t="s">
        <v>437</v>
      </c>
      <c r="H792" t="s">
        <v>255</v>
      </c>
      <c r="I792">
        <v>2000</v>
      </c>
      <c r="J792">
        <v>174</v>
      </c>
      <c r="K792" t="s">
        <v>438</v>
      </c>
      <c r="M792" t="str">
        <f t="shared" si="40"/>
        <v>Borjesson_2000</v>
      </c>
      <c r="N792" t="s">
        <v>223</v>
      </c>
      <c r="O792" s="145" t="s">
        <v>224</v>
      </c>
      <c r="Q792" t="s">
        <v>257</v>
      </c>
      <c r="R792" s="255" t="s">
        <v>226</v>
      </c>
      <c r="S792" s="1" t="s">
        <v>465</v>
      </c>
      <c r="T792" t="s">
        <v>468</v>
      </c>
      <c r="U792" t="s">
        <v>467</v>
      </c>
      <c r="V792">
        <v>0</v>
      </c>
      <c r="W792">
        <v>0</v>
      </c>
      <c r="X792">
        <v>0</v>
      </c>
      <c r="Y792">
        <v>0</v>
      </c>
      <c r="Z792">
        <v>0</v>
      </c>
      <c r="AA792">
        <v>0</v>
      </c>
      <c r="AB792">
        <v>0</v>
      </c>
      <c r="AC792">
        <v>0</v>
      </c>
      <c r="AD792">
        <v>0</v>
      </c>
      <c r="AE792">
        <v>0</v>
      </c>
      <c r="AF792">
        <v>0</v>
      </c>
      <c r="AG792">
        <v>0</v>
      </c>
      <c r="AH792">
        <v>1</v>
      </c>
      <c r="AI792">
        <v>0</v>
      </c>
      <c r="AJ792">
        <v>0</v>
      </c>
      <c r="AK792">
        <v>0</v>
      </c>
      <c r="AL792">
        <v>0</v>
      </c>
      <c r="AM792">
        <v>0</v>
      </c>
      <c r="AN792">
        <v>0</v>
      </c>
      <c r="AO792">
        <v>0</v>
      </c>
      <c r="AP792">
        <v>0</v>
      </c>
      <c r="AQ792">
        <v>0</v>
      </c>
      <c r="AR792">
        <v>0</v>
      </c>
      <c r="AS792">
        <v>0</v>
      </c>
      <c r="AT792">
        <v>0</v>
      </c>
      <c r="AU792">
        <v>0</v>
      </c>
      <c r="AV792">
        <v>0</v>
      </c>
      <c r="AW792">
        <v>0</v>
      </c>
      <c r="AX792" s="141">
        <f t="shared" si="41"/>
        <v>1</v>
      </c>
      <c r="AY792" s="141">
        <f t="shared" si="42"/>
        <v>1</v>
      </c>
      <c r="AZ792">
        <f t="shared" si="43"/>
        <v>0</v>
      </c>
      <c r="BA792">
        <f t="shared" si="44"/>
        <v>1</v>
      </c>
      <c r="BB792">
        <f t="shared" si="45"/>
        <v>0</v>
      </c>
      <c r="BC792">
        <f t="shared" si="46"/>
        <v>0</v>
      </c>
      <c r="BD792">
        <f t="shared" si="47"/>
        <v>0</v>
      </c>
      <c r="BE792" t="str">
        <f t="array" ref="BE792">IF(AY792=1,INDEX($V$7:$AL$7,MATCH(TRUE,INDEX($V792:$AW792&lt;&gt;0,),0)),IF(AY792=0,INDEX($AM$7:$AW$7,MATCH(1,$AM792:$AW792,0)),IF(BF792="Multiple strategies","mixed drivers",IF(BF792="Supply chain","multiple supply","multiple silviculture"))))</f>
        <v xml:space="preserve">end of life disposal </v>
      </c>
      <c r="BF792" s="2" t="str" cm="1">
        <f t="array" ref="BF792">IF(COUNTIF(AZ792:BB792,"&lt;&gt;0")=1,INDEX($V$4:$AW$4,MATCH(TRUE,INDEX($V792:$AW792&lt;&gt;0,),0)),IF(COUNTIF(AZ792:BB792,"&lt;&gt;0")=0,INDEX($AM$4:$AW$4,MATCH(1,$AM792:$AW792,0)),"Multiple strategies"))</f>
        <v>Supply chain</v>
      </c>
      <c r="BG792" s="142" t="s">
        <v>230</v>
      </c>
      <c r="BH792" t="s">
        <v>442</v>
      </c>
      <c r="BI792" s="266" t="s">
        <v>3276</v>
      </c>
      <c r="BJ792" s="143" t="s">
        <v>443</v>
      </c>
      <c r="BK792">
        <f t="shared" ref="BK792:BL804" si="87">3*44</f>
        <v>132</v>
      </c>
      <c r="BL792">
        <f t="shared" si="87"/>
        <v>132</v>
      </c>
      <c r="BM792" s="143">
        <f t="shared" si="85"/>
        <v>1</v>
      </c>
      <c r="BN792">
        <f t="shared" si="66"/>
        <v>0</v>
      </c>
      <c r="BO792">
        <v>0</v>
      </c>
      <c r="BP792" t="s">
        <v>233</v>
      </c>
      <c r="BQ792" s="260" t="s">
        <v>815</v>
      </c>
      <c r="BR792" t="s">
        <v>444</v>
      </c>
      <c r="BS792" s="141">
        <v>-3</v>
      </c>
      <c r="BT792" s="141">
        <v>97</v>
      </c>
      <c r="BU792" s="144">
        <f t="shared" si="80"/>
        <v>-32.333333333333336</v>
      </c>
      <c r="BV792">
        <f t="shared" si="81"/>
        <v>100</v>
      </c>
      <c r="BX792">
        <f t="shared" si="86"/>
        <v>367</v>
      </c>
      <c r="BY792" t="str">
        <f t="shared" si="49"/>
        <v/>
      </c>
      <c r="BZ792" s="143">
        <v>0</v>
      </c>
      <c r="CA792" s="143">
        <v>0</v>
      </c>
      <c r="CB792" s="143">
        <v>0</v>
      </c>
      <c r="CC792" s="143">
        <v>0</v>
      </c>
      <c r="CD792" s="143">
        <v>0</v>
      </c>
      <c r="CE792" s="143">
        <v>0</v>
      </c>
      <c r="CF792" s="143">
        <v>0</v>
      </c>
      <c r="CG792" s="143">
        <v>0</v>
      </c>
      <c r="CH792" s="143">
        <v>0</v>
      </c>
      <c r="CI792" s="143">
        <v>0</v>
      </c>
      <c r="CJ792" s="143">
        <v>0</v>
      </c>
      <c r="CK792" s="143">
        <v>0</v>
      </c>
      <c r="CL792" s="143">
        <v>0</v>
      </c>
      <c r="CM792">
        <v>0</v>
      </c>
      <c r="CN792" t="str">
        <f>IF(BL792&lt;BK792,"refNeedCorrection","refOK")</f>
        <v>refOK</v>
      </c>
      <c r="CO792">
        <f t="shared" si="67"/>
        <v>132</v>
      </c>
      <c r="CP792">
        <f t="shared" si="68"/>
        <v>132</v>
      </c>
      <c r="CQ792">
        <f t="shared" si="51"/>
        <v>0</v>
      </c>
      <c r="CR792">
        <f t="shared" si="69"/>
        <v>-3</v>
      </c>
      <c r="CS792">
        <f t="shared" si="70"/>
        <v>97</v>
      </c>
      <c r="CT792">
        <f t="shared" si="84"/>
        <v>367</v>
      </c>
      <c r="CU792" t="str">
        <f t="shared" si="53"/>
        <v/>
      </c>
      <c r="CV792" s="2">
        <f t="shared" si="54"/>
        <v>33.333333333333336</v>
      </c>
      <c r="CW792" s="1" t="s">
        <v>264</v>
      </c>
      <c r="CX792" t="str">
        <f t="shared" si="55"/>
        <v>loc</v>
      </c>
      <c r="CY792" t="s">
        <v>445</v>
      </c>
      <c r="DB792">
        <v>300</v>
      </c>
      <c r="DC792" t="str">
        <f t="shared" si="56"/>
        <v>+100</v>
      </c>
      <c r="DD792">
        <v>0</v>
      </c>
      <c r="DE792">
        <v>1</v>
      </c>
      <c r="DF792">
        <v>0</v>
      </c>
      <c r="DG792">
        <v>0</v>
      </c>
      <c r="DI792">
        <f t="shared" si="71"/>
        <v>1</v>
      </c>
      <c r="DJ792" t="str">
        <f t="shared" si="57"/>
        <v>EnergyInput</v>
      </c>
      <c r="DK792">
        <f t="shared" si="73"/>
        <v>0</v>
      </c>
      <c r="DL792" t="str">
        <f t="shared" si="74"/>
        <v>Energy</v>
      </c>
      <c r="DM792">
        <f t="shared" si="75"/>
        <v>0</v>
      </c>
      <c r="DN792">
        <f t="shared" si="76"/>
        <v>0</v>
      </c>
      <c r="DO792">
        <v>1</v>
      </c>
      <c r="DP792" s="143">
        <v>0</v>
      </c>
      <c r="DQ792" s="143">
        <v>0</v>
      </c>
      <c r="DR792" s="143">
        <v>0</v>
      </c>
      <c r="DS792">
        <v>0</v>
      </c>
      <c r="DT792">
        <f t="shared" si="72"/>
        <v>1</v>
      </c>
      <c r="DU792" s="143" t="str">
        <f t="shared" si="62"/>
        <v>self-calculated DF</v>
      </c>
      <c r="DV792">
        <v>0</v>
      </c>
      <c r="DW792" s="143">
        <v>0</v>
      </c>
      <c r="DX792" s="143">
        <v>1</v>
      </c>
      <c r="DY792" s="143">
        <v>1</v>
      </c>
      <c r="DZ792">
        <v>1</v>
      </c>
      <c r="EA792" s="143">
        <v>1</v>
      </c>
      <c r="EB792">
        <v>0</v>
      </c>
      <c r="EC792" s="143">
        <v>1</v>
      </c>
      <c r="ED792" s="143">
        <v>0</v>
      </c>
      <c r="EE792">
        <v>0</v>
      </c>
      <c r="EF792">
        <v>0</v>
      </c>
      <c r="EG792" s="143">
        <v>0</v>
      </c>
      <c r="EH792" s="143">
        <v>0</v>
      </c>
      <c r="EI792" s="2">
        <v>0</v>
      </c>
      <c r="EK792" t="str">
        <f t="shared" si="77"/>
        <v/>
      </c>
      <c r="EL792" t="str">
        <f t="shared" si="78"/>
        <v/>
      </c>
      <c r="EM792" s="2" t="str">
        <f t="shared" si="65"/>
        <v/>
      </c>
      <c r="EN792" t="s">
        <v>446</v>
      </c>
      <c r="EP792" t="str">
        <f>IF(ISNUMBER(BU792),IF(ABS(BU792-[4]QC_indicators!$B$2)&gt;3*[4]QC_indicators!$C$2,"C ratio",IF(ISNUMBER(BY792),IF(ABS(BY792-[4]QC_indicators!$B$1)&gt;3*[4]QC_indicators!$C$1,"DF","no"))),IF(ISNUMBER(BY792),IF(ABS(BY792-[4]QC_indicators!$B$1)&gt;3*[4]QC_indicators!$C$1,"DF","no")))</f>
        <v>C ratio</v>
      </c>
      <c r="EQ792" t="s">
        <v>451</v>
      </c>
      <c r="ET792" s="266" t="s">
        <v>3275</v>
      </c>
    </row>
    <row r="793" spans="1:150" ht="15" hidden="1" customHeight="1">
      <c r="A793" s="1" t="s">
        <v>431</v>
      </c>
      <c r="B793" t="s">
        <v>432</v>
      </c>
      <c r="C793" t="s">
        <v>433</v>
      </c>
      <c r="D793" t="s">
        <v>434</v>
      </c>
      <c r="E793" t="s">
        <v>435</v>
      </c>
      <c r="F793" t="s">
        <v>436</v>
      </c>
      <c r="G793" t="s">
        <v>437</v>
      </c>
      <c r="H793" t="s">
        <v>255</v>
      </c>
      <c r="I793">
        <v>2000</v>
      </c>
      <c r="J793">
        <v>174</v>
      </c>
      <c r="K793" t="s">
        <v>438</v>
      </c>
      <c r="M793" t="str">
        <f t="shared" si="40"/>
        <v>Borjesson_2000</v>
      </c>
      <c r="N793" t="s">
        <v>223</v>
      </c>
      <c r="O793" s="145" t="s">
        <v>224</v>
      </c>
      <c r="Q793" t="s">
        <v>257</v>
      </c>
      <c r="R793" s="255" t="s">
        <v>226</v>
      </c>
      <c r="S793" s="1" t="s">
        <v>465</v>
      </c>
      <c r="T793" t="s">
        <v>468</v>
      </c>
      <c r="U793" t="s">
        <v>469</v>
      </c>
      <c r="V793">
        <v>0</v>
      </c>
      <c r="W793">
        <v>0</v>
      </c>
      <c r="X793">
        <v>0</v>
      </c>
      <c r="Y793">
        <v>0</v>
      </c>
      <c r="Z793">
        <v>0</v>
      </c>
      <c r="AA793">
        <v>0</v>
      </c>
      <c r="AB793">
        <v>0</v>
      </c>
      <c r="AC793">
        <v>0</v>
      </c>
      <c r="AD793">
        <v>0</v>
      </c>
      <c r="AE793">
        <v>0</v>
      </c>
      <c r="AF793">
        <v>0</v>
      </c>
      <c r="AG793">
        <v>0</v>
      </c>
      <c r="AH793">
        <v>1</v>
      </c>
      <c r="AI793">
        <v>0</v>
      </c>
      <c r="AJ793">
        <v>0</v>
      </c>
      <c r="AK793">
        <v>0</v>
      </c>
      <c r="AL793">
        <v>0</v>
      </c>
      <c r="AM793">
        <v>0</v>
      </c>
      <c r="AN793">
        <v>0</v>
      </c>
      <c r="AO793">
        <v>0</v>
      </c>
      <c r="AP793">
        <v>0</v>
      </c>
      <c r="AQ793">
        <v>0</v>
      </c>
      <c r="AR793">
        <v>0</v>
      </c>
      <c r="AS793">
        <v>0</v>
      </c>
      <c r="AT793">
        <v>0</v>
      </c>
      <c r="AU793">
        <v>0</v>
      </c>
      <c r="AV793">
        <v>0</v>
      </c>
      <c r="AW793">
        <v>0</v>
      </c>
      <c r="AX793" s="141">
        <f t="shared" si="41"/>
        <v>1</v>
      </c>
      <c r="AY793" s="141">
        <f t="shared" si="42"/>
        <v>1</v>
      </c>
      <c r="AZ793">
        <f t="shared" si="43"/>
        <v>0</v>
      </c>
      <c r="BA793">
        <f t="shared" si="44"/>
        <v>1</v>
      </c>
      <c r="BB793">
        <f t="shared" si="45"/>
        <v>0</v>
      </c>
      <c r="BC793">
        <f t="shared" si="46"/>
        <v>0</v>
      </c>
      <c r="BD793">
        <f t="shared" si="47"/>
        <v>0</v>
      </c>
      <c r="BE793" t="str">
        <f t="array" ref="BE793">IF(AY793=1,INDEX($V$7:$AL$7,MATCH(TRUE,INDEX($V793:$AW793&lt;&gt;0,),0)),IF(AY793=0,INDEX($AM$7:$AW$7,MATCH(1,$AM793:$AW793,0)),IF(BF793="Multiple strategies","mixed drivers",IF(BF793="Supply chain","multiple supply","multiple silviculture"))))</f>
        <v xml:space="preserve">end of life disposal </v>
      </c>
      <c r="BF793" s="2" t="str" cm="1">
        <f t="array" ref="BF793">IF(COUNTIF(AZ793:BB793,"&lt;&gt;0")=1,INDEX($V$4:$AW$4,MATCH(TRUE,INDEX($V793:$AW793&lt;&gt;0,),0)),IF(COUNTIF(AZ793:BB793,"&lt;&gt;0")=0,INDEX($AM$4:$AW$4,MATCH(1,$AM793:$AW793,0)),"Multiple strategies"))</f>
        <v>Supply chain</v>
      </c>
      <c r="BG793" s="142" t="s">
        <v>230</v>
      </c>
      <c r="BH793" t="s">
        <v>442</v>
      </c>
      <c r="BI793" s="266" t="s">
        <v>3276</v>
      </c>
      <c r="BJ793" s="143" t="s">
        <v>443</v>
      </c>
      <c r="BK793">
        <f t="shared" si="87"/>
        <v>132</v>
      </c>
      <c r="BL793">
        <f t="shared" si="87"/>
        <v>132</v>
      </c>
      <c r="BM793" s="143">
        <f t="shared" si="85"/>
        <v>1</v>
      </c>
      <c r="BN793">
        <f t="shared" si="66"/>
        <v>0</v>
      </c>
      <c r="BO793">
        <v>0</v>
      </c>
      <c r="BP793" t="s">
        <v>233</v>
      </c>
      <c r="BQ793" s="260" t="s">
        <v>815</v>
      </c>
      <c r="BR793" t="s">
        <v>444</v>
      </c>
      <c r="BS793" s="141">
        <v>-3</v>
      </c>
      <c r="BT793" s="141">
        <v>79</v>
      </c>
      <c r="BU793" s="144">
        <f t="shared" si="80"/>
        <v>-26.333333333333332</v>
      </c>
      <c r="BV793">
        <f t="shared" si="81"/>
        <v>82</v>
      </c>
      <c r="BX793">
        <f t="shared" si="86"/>
        <v>300.94</v>
      </c>
      <c r="BY793" t="str">
        <f t="shared" si="49"/>
        <v/>
      </c>
      <c r="BZ793" s="143">
        <v>0</v>
      </c>
      <c r="CA793" s="143">
        <v>0</v>
      </c>
      <c r="CB793" s="143">
        <v>0</v>
      </c>
      <c r="CC793" s="143">
        <v>0</v>
      </c>
      <c r="CD793" s="143">
        <v>0</v>
      </c>
      <c r="CE793" s="143">
        <v>0</v>
      </c>
      <c r="CF793" s="143">
        <v>0</v>
      </c>
      <c r="CG793" s="143">
        <v>0</v>
      </c>
      <c r="CH793" s="143">
        <v>0</v>
      </c>
      <c r="CI793" s="143">
        <v>0</v>
      </c>
      <c r="CJ793" s="143">
        <v>0</v>
      </c>
      <c r="CK793" s="143">
        <v>0</v>
      </c>
      <c r="CL793" s="143">
        <v>0</v>
      </c>
      <c r="CM793">
        <v>0</v>
      </c>
      <c r="CN793" t="str">
        <f>IF(BL793&lt;BK793,"refNeedCorrection","refOK")</f>
        <v>refOK</v>
      </c>
      <c r="CO793">
        <f t="shared" si="67"/>
        <v>132</v>
      </c>
      <c r="CP793">
        <f t="shared" si="68"/>
        <v>132</v>
      </c>
      <c r="CQ793">
        <f t="shared" si="51"/>
        <v>0</v>
      </c>
      <c r="CR793">
        <f t="shared" si="69"/>
        <v>-3</v>
      </c>
      <c r="CS793">
        <f t="shared" si="70"/>
        <v>79</v>
      </c>
      <c r="CT793">
        <f t="shared" si="84"/>
        <v>300.94</v>
      </c>
      <c r="CU793" t="str">
        <f t="shared" si="53"/>
        <v/>
      </c>
      <c r="CV793" s="2">
        <f t="shared" si="54"/>
        <v>27.333333333333332</v>
      </c>
      <c r="CW793" s="1" t="s">
        <v>264</v>
      </c>
      <c r="CX793" t="str">
        <f t="shared" si="55"/>
        <v>loc</v>
      </c>
      <c r="CY793" t="s">
        <v>445</v>
      </c>
      <c r="DB793">
        <v>300</v>
      </c>
      <c r="DC793" t="str">
        <f t="shared" si="56"/>
        <v>+100</v>
      </c>
      <c r="DD793">
        <v>0</v>
      </c>
      <c r="DE793">
        <v>1</v>
      </c>
      <c r="DF793">
        <v>0</v>
      </c>
      <c r="DG793">
        <v>0</v>
      </c>
      <c r="DI793">
        <f t="shared" si="71"/>
        <v>1</v>
      </c>
      <c r="DJ793" t="str">
        <f t="shared" si="57"/>
        <v>EnergyInput</v>
      </c>
      <c r="DK793">
        <f t="shared" si="73"/>
        <v>0</v>
      </c>
      <c r="DL793" t="str">
        <f t="shared" si="74"/>
        <v>Energy</v>
      </c>
      <c r="DM793">
        <f t="shared" si="75"/>
        <v>0</v>
      </c>
      <c r="DN793">
        <f t="shared" si="76"/>
        <v>0</v>
      </c>
      <c r="DO793">
        <v>1</v>
      </c>
      <c r="DP793" s="143">
        <v>0</v>
      </c>
      <c r="DQ793" s="143">
        <v>0</v>
      </c>
      <c r="DR793" s="143">
        <v>0</v>
      </c>
      <c r="DS793">
        <v>0</v>
      </c>
      <c r="DT793">
        <f t="shared" si="72"/>
        <v>1</v>
      </c>
      <c r="DU793" s="143" t="str">
        <f t="shared" si="62"/>
        <v>self-calculated DF</v>
      </c>
      <c r="DV793">
        <v>0</v>
      </c>
      <c r="DW793" s="143">
        <v>0</v>
      </c>
      <c r="DX793" s="143">
        <v>1</v>
      </c>
      <c r="DY793" s="143">
        <v>1</v>
      </c>
      <c r="DZ793">
        <v>1</v>
      </c>
      <c r="EA793" s="143">
        <v>1</v>
      </c>
      <c r="EB793">
        <v>0</v>
      </c>
      <c r="EC793" s="143">
        <v>1</v>
      </c>
      <c r="ED793" s="143">
        <v>0</v>
      </c>
      <c r="EE793">
        <v>0</v>
      </c>
      <c r="EF793">
        <v>0</v>
      </c>
      <c r="EG793" s="143">
        <v>0</v>
      </c>
      <c r="EH793" s="143">
        <v>0</v>
      </c>
      <c r="EI793" s="2">
        <v>0</v>
      </c>
      <c r="EK793" t="str">
        <f t="shared" si="77"/>
        <v/>
      </c>
      <c r="EL793" t="str">
        <f t="shared" si="78"/>
        <v/>
      </c>
      <c r="EM793" s="2" t="str">
        <f t="shared" si="65"/>
        <v/>
      </c>
      <c r="EN793" t="s">
        <v>446</v>
      </c>
      <c r="EP793" t="str">
        <f>IF(ISNUMBER(BU793),IF(ABS(BU793-[4]QC_indicators!$B$2)&gt;3*[4]QC_indicators!$C$2,"C ratio",IF(ISNUMBER(BY793),IF(ABS(BY793-[4]QC_indicators!$B$1)&gt;3*[4]QC_indicators!$C$1,"DF","no"))),IF(ISNUMBER(BY793),IF(ABS(BY793-[4]QC_indicators!$B$1)&gt;3*[4]QC_indicators!$C$1,"DF","no")))</f>
        <v>C ratio</v>
      </c>
      <c r="EQ793" t="s">
        <v>451</v>
      </c>
      <c r="ET793" s="266" t="s">
        <v>3275</v>
      </c>
    </row>
    <row r="794" spans="1:150" ht="15" hidden="1" customHeight="1">
      <c r="A794" s="1" t="s">
        <v>431</v>
      </c>
      <c r="B794" t="s">
        <v>432</v>
      </c>
      <c r="C794" t="s">
        <v>433</v>
      </c>
      <c r="D794" t="s">
        <v>434</v>
      </c>
      <c r="E794" t="s">
        <v>435</v>
      </c>
      <c r="F794" t="s">
        <v>436</v>
      </c>
      <c r="G794" t="s">
        <v>437</v>
      </c>
      <c r="H794" t="s">
        <v>255</v>
      </c>
      <c r="I794">
        <v>2000</v>
      </c>
      <c r="J794">
        <v>174</v>
      </c>
      <c r="K794" t="s">
        <v>438</v>
      </c>
      <c r="M794" t="str">
        <f t="shared" si="40"/>
        <v>Borjesson_2000</v>
      </c>
      <c r="N794" t="s">
        <v>223</v>
      </c>
      <c r="O794" s="145" t="s">
        <v>224</v>
      </c>
      <c r="Q794" t="s">
        <v>257</v>
      </c>
      <c r="R794" s="255" t="s">
        <v>226</v>
      </c>
      <c r="S794" s="1" t="s">
        <v>465</v>
      </c>
      <c r="T794" t="s">
        <v>466</v>
      </c>
      <c r="U794" t="s">
        <v>469</v>
      </c>
      <c r="V794">
        <v>0</v>
      </c>
      <c r="W794">
        <v>0</v>
      </c>
      <c r="X794">
        <v>0</v>
      </c>
      <c r="Y794">
        <v>0</v>
      </c>
      <c r="Z794">
        <v>0</v>
      </c>
      <c r="AA794">
        <v>0</v>
      </c>
      <c r="AB794">
        <v>0</v>
      </c>
      <c r="AC794">
        <v>0</v>
      </c>
      <c r="AD794">
        <v>0</v>
      </c>
      <c r="AE794">
        <v>0</v>
      </c>
      <c r="AF794">
        <v>0</v>
      </c>
      <c r="AG794">
        <v>0</v>
      </c>
      <c r="AH794">
        <v>1</v>
      </c>
      <c r="AI794">
        <v>0</v>
      </c>
      <c r="AJ794">
        <v>0</v>
      </c>
      <c r="AK794">
        <v>0</v>
      </c>
      <c r="AL794">
        <v>0</v>
      </c>
      <c r="AM794">
        <v>0</v>
      </c>
      <c r="AN794">
        <v>0</v>
      </c>
      <c r="AO794">
        <v>0</v>
      </c>
      <c r="AP794">
        <v>0</v>
      </c>
      <c r="AQ794">
        <v>0</v>
      </c>
      <c r="AR794">
        <v>0</v>
      </c>
      <c r="AS794">
        <v>0</v>
      </c>
      <c r="AT794">
        <v>0</v>
      </c>
      <c r="AU794">
        <v>0</v>
      </c>
      <c r="AV794">
        <v>0</v>
      </c>
      <c r="AW794">
        <v>0</v>
      </c>
      <c r="AX794" s="141">
        <f t="shared" si="41"/>
        <v>1</v>
      </c>
      <c r="AY794" s="141">
        <f t="shared" ref="AY794:AY857" si="88">COUNTIF(V794:AL794,"&lt;&gt;0")</f>
        <v>1</v>
      </c>
      <c r="AZ794">
        <f t="shared" ref="AZ794:AZ857" si="89">COUNTIF(V794:AC794,"&lt;&gt;0")</f>
        <v>0</v>
      </c>
      <c r="BA794">
        <f t="shared" ref="BA794:BA857" si="90">COUNTIF(AD794:AI794,"&lt;&gt;0")</f>
        <v>1</v>
      </c>
      <c r="BB794">
        <f t="shared" ref="BB794:BB857" si="91">COUNTIF(AJ794:AL794,"&lt;&gt;0")</f>
        <v>0</v>
      </c>
      <c r="BC794">
        <f t="shared" ref="BC794:BC857" si="92">COUNTIF(AS794:AW794,"&lt;&gt;0")</f>
        <v>0</v>
      </c>
      <c r="BD794">
        <f t="shared" ref="BD794:BD857" si="93">COUNTIF(AM794:AR794,"&lt;&gt;0")</f>
        <v>0</v>
      </c>
      <c r="BE794" t="str">
        <f t="array" ref="BE794">IF(AY794=1,INDEX($V$7:$AL$7,MATCH(TRUE,INDEX($V794:$AW794&lt;&gt;0,),0)),IF(AY794=0,INDEX($AM$7:$AW$7,MATCH(1,$AM794:$AW794,0)),IF(BF794="Multiple strategies","mixed drivers",IF(BF794="Supply chain","multiple supply","multiple silviculture"))))</f>
        <v xml:space="preserve">end of life disposal </v>
      </c>
      <c r="BF794" s="2" t="str" cm="1">
        <f t="array" ref="BF794">IF(COUNTIF(AZ794:BB794,"&lt;&gt;0")=1,INDEX($V$4:$AW$4,MATCH(TRUE,INDEX($V794:$AW794&lt;&gt;0,),0)),IF(COUNTIF(AZ794:BB794,"&lt;&gt;0")=0,INDEX($AM$4:$AW$4,MATCH(1,$AM794:$AW794,0)),"Multiple strategies"))</f>
        <v>Supply chain</v>
      </c>
      <c r="BG794" s="142" t="s">
        <v>230</v>
      </c>
      <c r="BH794" t="s">
        <v>442</v>
      </c>
      <c r="BI794" s="266" t="s">
        <v>3276</v>
      </c>
      <c r="BJ794" s="143" t="s">
        <v>443</v>
      </c>
      <c r="BK794">
        <f t="shared" si="87"/>
        <v>132</v>
      </c>
      <c r="BL794">
        <f t="shared" si="87"/>
        <v>132</v>
      </c>
      <c r="BM794" s="143">
        <f t="shared" si="85"/>
        <v>1</v>
      </c>
      <c r="BN794">
        <f t="shared" si="66"/>
        <v>0</v>
      </c>
      <c r="BO794">
        <v>0</v>
      </c>
      <c r="BP794" t="s">
        <v>233</v>
      </c>
      <c r="BQ794" s="260" t="s">
        <v>815</v>
      </c>
      <c r="BR794" t="s">
        <v>444</v>
      </c>
      <c r="BS794" s="141">
        <v>47</v>
      </c>
      <c r="BT794" s="141">
        <v>79</v>
      </c>
      <c r="BU794" s="144">
        <f t="shared" si="80"/>
        <v>1.6808510638297873</v>
      </c>
      <c r="BV794">
        <f t="shared" si="81"/>
        <v>32</v>
      </c>
      <c r="BX794">
        <f t="shared" si="86"/>
        <v>117.44</v>
      </c>
      <c r="BY794" t="str">
        <f t="shared" ref="BY794:BY857" si="94">IFERROR(BX794/BO794,"")</f>
        <v/>
      </c>
      <c r="BZ794" s="143">
        <v>0</v>
      </c>
      <c r="CA794" s="143">
        <v>0</v>
      </c>
      <c r="CB794" s="143">
        <v>0</v>
      </c>
      <c r="CC794" s="143">
        <v>0</v>
      </c>
      <c r="CD794" s="143">
        <v>0</v>
      </c>
      <c r="CE794" s="143">
        <v>0</v>
      </c>
      <c r="CF794" s="143">
        <v>0</v>
      </c>
      <c r="CG794" s="143">
        <v>0</v>
      </c>
      <c r="CH794" s="143">
        <v>0</v>
      </c>
      <c r="CI794" s="143">
        <v>0</v>
      </c>
      <c r="CJ794" s="143">
        <v>0</v>
      </c>
      <c r="CK794" s="143">
        <v>0</v>
      </c>
      <c r="CL794" s="143">
        <v>0</v>
      </c>
      <c r="CM794">
        <v>0</v>
      </c>
      <c r="CN794" t="str">
        <f>IF($BL794&lt;$BK794,"refNeedCorrection","refOK")</f>
        <v>refOK</v>
      </c>
      <c r="CO794">
        <f t="shared" si="67"/>
        <v>132</v>
      </c>
      <c r="CP794">
        <f t="shared" si="68"/>
        <v>132</v>
      </c>
      <c r="CQ794">
        <f t="shared" si="51"/>
        <v>0</v>
      </c>
      <c r="CR794">
        <f t="shared" si="69"/>
        <v>47</v>
      </c>
      <c r="CS794">
        <f t="shared" si="70"/>
        <v>79</v>
      </c>
      <c r="CT794">
        <f t="shared" si="84"/>
        <v>117.44</v>
      </c>
      <c r="CU794" t="str">
        <f t="shared" si="53"/>
        <v/>
      </c>
      <c r="CV794" s="2">
        <f t="shared" ref="CV794:CV826" si="95">IFERROR((CS794-CR794)/ABS(CR794),"")</f>
        <v>0.68085106382978722</v>
      </c>
      <c r="CW794" s="1" t="s">
        <v>264</v>
      </c>
      <c r="CX794" t="str">
        <f t="shared" ref="CX794:CX857" si="96">IF(OR($CW794="prd",$CW794="std",$CW794="cit"),"loc",IF(OR($CW794="eur",$CW794="reg",$CW794="coy"),"reg",$CW794))</f>
        <v>loc</v>
      </c>
      <c r="CY794" t="s">
        <v>445</v>
      </c>
      <c r="DB794">
        <v>300</v>
      </c>
      <c r="DC794" t="str">
        <f t="shared" ref="DC794:DC857" si="97">IF(DB794=0,"0",IF(AND(DB794&gt;=1,DB794&lt;=30),"1-30",IF(AND(DB794&gt;30,DB794&lt;=70),"31-70",IF(AND(DB794&gt;70,DB794&lt;=100),"71-100",IF(DB794&gt;100,"+100")))))</f>
        <v>+100</v>
      </c>
      <c r="DD794">
        <v>0</v>
      </c>
      <c r="DE794">
        <v>1</v>
      </c>
      <c r="DF794">
        <v>0</v>
      </c>
      <c r="DG794">
        <v>0</v>
      </c>
      <c r="DI794">
        <f t="shared" si="71"/>
        <v>1</v>
      </c>
      <c r="DJ794" t="str">
        <f t="shared" si="57"/>
        <v>EnergyInput</v>
      </c>
      <c r="DK794">
        <f t="shared" si="73"/>
        <v>0</v>
      </c>
      <c r="DL794" t="str">
        <f t="shared" si="74"/>
        <v>Energy</v>
      </c>
      <c r="DM794">
        <f t="shared" si="75"/>
        <v>0</v>
      </c>
      <c r="DN794">
        <f t="shared" si="76"/>
        <v>0</v>
      </c>
      <c r="DO794">
        <v>1</v>
      </c>
      <c r="DP794" s="143">
        <v>0</v>
      </c>
      <c r="DQ794" s="143">
        <v>0</v>
      </c>
      <c r="DR794" s="143">
        <v>0</v>
      </c>
      <c r="DS794">
        <v>0</v>
      </c>
      <c r="DT794">
        <f t="shared" si="72"/>
        <v>1</v>
      </c>
      <c r="DU794" s="143" t="str">
        <f t="shared" si="62"/>
        <v>self-calculated DF</v>
      </c>
      <c r="DV794">
        <v>0</v>
      </c>
      <c r="DW794" s="143">
        <v>0</v>
      </c>
      <c r="DX794" s="143">
        <v>1</v>
      </c>
      <c r="DY794" s="143">
        <v>1</v>
      </c>
      <c r="DZ794">
        <v>1</v>
      </c>
      <c r="EA794" s="143">
        <v>1</v>
      </c>
      <c r="EB794">
        <v>0</v>
      </c>
      <c r="EC794" s="143">
        <v>1</v>
      </c>
      <c r="ED794" s="143">
        <v>0</v>
      </c>
      <c r="EE794">
        <v>0</v>
      </c>
      <c r="EF794">
        <v>0</v>
      </c>
      <c r="EG794" s="143">
        <v>0</v>
      </c>
      <c r="EH794" s="143">
        <v>0</v>
      </c>
      <c r="EI794" s="2">
        <v>0</v>
      </c>
      <c r="EK794" t="str">
        <f t="shared" si="77"/>
        <v/>
      </c>
      <c r="EL794" t="str">
        <f t="shared" si="78"/>
        <v/>
      </c>
      <c r="EM794" s="2" t="str">
        <f t="shared" ref="EM794:EM857" si="98">IF(AND(AND(AND($DX794=0,$DW794=0),OR($EC794=1,$EA794=1)),SUM($EB794:$EE794)&gt;=2),"Technology approach","")</f>
        <v/>
      </c>
      <c r="EN794" t="s">
        <v>446</v>
      </c>
      <c r="EP794" t="b">
        <f>IF(ISNUMBER(BU794),IF(ABS(BU794-[4]QC_indicators!$B$2)&gt;3*[4]QC_indicators!$C$2,"C ratio",IF(ISNUMBER(BY794),IF(ABS(BY794-[4]QC_indicators!$B$1)&gt;3*[4]QC_indicators!$C$1,"DF","no"))),IF(ISNUMBER(BY794),IF(ABS(BY794-[4]QC_indicators!$B$1)&gt;3*[4]QC_indicators!$C$1,"DF","no")))</f>
        <v>0</v>
      </c>
      <c r="ET794" s="266" t="s">
        <v>3275</v>
      </c>
    </row>
    <row r="795" spans="1:150" ht="15" hidden="1" customHeight="1">
      <c r="A795" s="1" t="s">
        <v>431</v>
      </c>
      <c r="B795" t="s">
        <v>432</v>
      </c>
      <c r="C795" t="s">
        <v>433</v>
      </c>
      <c r="D795" t="s">
        <v>434</v>
      </c>
      <c r="E795" t="s">
        <v>435</v>
      </c>
      <c r="F795" t="s">
        <v>436</v>
      </c>
      <c r="G795" t="s">
        <v>437</v>
      </c>
      <c r="H795" t="s">
        <v>255</v>
      </c>
      <c r="I795">
        <v>2000</v>
      </c>
      <c r="J795">
        <v>174</v>
      </c>
      <c r="K795" t="s">
        <v>438</v>
      </c>
      <c r="M795" t="str">
        <f t="shared" si="40"/>
        <v>Borjesson_2000</v>
      </c>
      <c r="N795" t="s">
        <v>223</v>
      </c>
      <c r="O795" s="145" t="s">
        <v>224</v>
      </c>
      <c r="Q795" t="s">
        <v>257</v>
      </c>
      <c r="R795" s="255" t="s">
        <v>226</v>
      </c>
      <c r="S795" s="1" t="s">
        <v>465</v>
      </c>
      <c r="T795" t="s">
        <v>468</v>
      </c>
      <c r="U795" t="s">
        <v>470</v>
      </c>
      <c r="V795">
        <v>0</v>
      </c>
      <c r="W795">
        <v>0</v>
      </c>
      <c r="X795">
        <v>0</v>
      </c>
      <c r="Y795">
        <v>0</v>
      </c>
      <c r="Z795">
        <v>0</v>
      </c>
      <c r="AA795">
        <v>0</v>
      </c>
      <c r="AB795">
        <v>0</v>
      </c>
      <c r="AC795">
        <v>0</v>
      </c>
      <c r="AD795">
        <v>0</v>
      </c>
      <c r="AE795">
        <v>0</v>
      </c>
      <c r="AF795">
        <v>0</v>
      </c>
      <c r="AG795">
        <v>0</v>
      </c>
      <c r="AH795">
        <v>1</v>
      </c>
      <c r="AI795">
        <v>0</v>
      </c>
      <c r="AJ795">
        <v>0</v>
      </c>
      <c r="AK795">
        <v>0</v>
      </c>
      <c r="AL795">
        <v>0</v>
      </c>
      <c r="AM795">
        <v>0</v>
      </c>
      <c r="AN795">
        <v>0</v>
      </c>
      <c r="AO795">
        <v>0</v>
      </c>
      <c r="AP795">
        <v>0</v>
      </c>
      <c r="AQ795">
        <v>0</v>
      </c>
      <c r="AR795">
        <v>0</v>
      </c>
      <c r="AS795">
        <v>0</v>
      </c>
      <c r="AT795">
        <v>0</v>
      </c>
      <c r="AU795">
        <v>0</v>
      </c>
      <c r="AV795">
        <v>0</v>
      </c>
      <c r="AW795">
        <v>0</v>
      </c>
      <c r="AX795" s="141">
        <f t="shared" si="41"/>
        <v>1</v>
      </c>
      <c r="AY795" s="141">
        <f t="shared" si="88"/>
        <v>1</v>
      </c>
      <c r="AZ795">
        <f t="shared" si="89"/>
        <v>0</v>
      </c>
      <c r="BA795">
        <f t="shared" si="90"/>
        <v>1</v>
      </c>
      <c r="BB795">
        <f t="shared" si="91"/>
        <v>0</v>
      </c>
      <c r="BC795">
        <f t="shared" si="92"/>
        <v>0</v>
      </c>
      <c r="BD795">
        <f t="shared" si="93"/>
        <v>0</v>
      </c>
      <c r="BE795" t="str">
        <f t="array" ref="BE795">IF(AY795=1,INDEX($V$7:$AL$7,MATCH(TRUE,INDEX($V795:$AW795&lt;&gt;0,),0)),IF(AY795=0,INDEX($AM$7:$AW$7,MATCH(1,$AM795:$AW795,0)),IF(BF795="Multiple strategies","mixed drivers",IF(BF795="Supply chain","multiple supply","multiple silviculture"))))</f>
        <v xml:space="preserve">end of life disposal </v>
      </c>
      <c r="BF795" s="2" t="str" cm="1">
        <f t="array" ref="BF795">IF(COUNTIF(AZ795:BB795,"&lt;&gt;0")=1,INDEX($V$4:$AW$4,MATCH(TRUE,INDEX($V795:$AW795&lt;&gt;0,),0)),IF(COUNTIF(AZ795:BB795,"&lt;&gt;0")=0,INDEX($AM$4:$AW$4,MATCH(1,$AM795:$AW795,0)),"Multiple strategies"))</f>
        <v>Supply chain</v>
      </c>
      <c r="BG795" s="142" t="s">
        <v>230</v>
      </c>
      <c r="BH795" t="s">
        <v>442</v>
      </c>
      <c r="BI795" s="266" t="s">
        <v>3276</v>
      </c>
      <c r="BJ795" s="143" t="s">
        <v>443</v>
      </c>
      <c r="BK795">
        <f t="shared" si="87"/>
        <v>132</v>
      </c>
      <c r="BL795">
        <f t="shared" si="87"/>
        <v>132</v>
      </c>
      <c r="BM795" s="143">
        <f t="shared" si="85"/>
        <v>1</v>
      </c>
      <c r="BN795">
        <f t="shared" si="66"/>
        <v>0</v>
      </c>
      <c r="BO795">
        <v>0</v>
      </c>
      <c r="BP795" t="s">
        <v>233</v>
      </c>
      <c r="BQ795" s="260" t="s">
        <v>815</v>
      </c>
      <c r="BR795" t="s">
        <v>444</v>
      </c>
      <c r="BS795" s="141">
        <v>-3</v>
      </c>
      <c r="BT795" s="141">
        <v>84</v>
      </c>
      <c r="BU795" s="144">
        <f t="shared" si="80"/>
        <v>-28</v>
      </c>
      <c r="BV795">
        <f t="shared" si="81"/>
        <v>87</v>
      </c>
      <c r="BX795">
        <f t="shared" si="86"/>
        <v>319.29000000000002</v>
      </c>
      <c r="BY795" t="str">
        <f t="shared" si="94"/>
        <v/>
      </c>
      <c r="BZ795" s="143">
        <v>0</v>
      </c>
      <c r="CA795" s="143">
        <v>0</v>
      </c>
      <c r="CB795" s="143">
        <v>0</v>
      </c>
      <c r="CC795" s="143">
        <v>0</v>
      </c>
      <c r="CD795" s="143">
        <v>0</v>
      </c>
      <c r="CE795" s="143">
        <v>0</v>
      </c>
      <c r="CF795" s="143">
        <v>0</v>
      </c>
      <c r="CG795" s="143">
        <v>0</v>
      </c>
      <c r="CH795" s="143">
        <v>0</v>
      </c>
      <c r="CI795" s="143">
        <v>0</v>
      </c>
      <c r="CJ795" s="143">
        <v>0</v>
      </c>
      <c r="CK795" s="143">
        <v>0</v>
      </c>
      <c r="CL795" s="143">
        <v>0</v>
      </c>
      <c r="CM795">
        <v>0</v>
      </c>
      <c r="CN795" t="str">
        <f>IF(BL795&lt;BK795,"refNeedCorrection","refOK")</f>
        <v>refOK</v>
      </c>
      <c r="CO795">
        <f t="shared" si="67"/>
        <v>132</v>
      </c>
      <c r="CP795">
        <f t="shared" si="68"/>
        <v>132</v>
      </c>
      <c r="CQ795">
        <f t="shared" si="51"/>
        <v>0</v>
      </c>
      <c r="CR795">
        <f t="shared" si="69"/>
        <v>-3</v>
      </c>
      <c r="CS795">
        <f t="shared" si="70"/>
        <v>84</v>
      </c>
      <c r="CT795">
        <f t="shared" si="84"/>
        <v>319.29000000000002</v>
      </c>
      <c r="CU795" t="str">
        <f t="shared" si="53"/>
        <v/>
      </c>
      <c r="CV795" s="2">
        <f t="shared" si="95"/>
        <v>29</v>
      </c>
      <c r="CW795" s="1" t="s">
        <v>264</v>
      </c>
      <c r="CX795" t="str">
        <f t="shared" si="96"/>
        <v>loc</v>
      </c>
      <c r="CY795" t="s">
        <v>445</v>
      </c>
      <c r="DB795">
        <v>300</v>
      </c>
      <c r="DC795" t="str">
        <f t="shared" si="97"/>
        <v>+100</v>
      </c>
      <c r="DD795">
        <v>0</v>
      </c>
      <c r="DE795">
        <v>1</v>
      </c>
      <c r="DF795">
        <v>0</v>
      </c>
      <c r="DG795">
        <v>0</v>
      </c>
      <c r="DI795">
        <f t="shared" si="71"/>
        <v>1</v>
      </c>
      <c r="DJ795" t="str">
        <f t="shared" si="57"/>
        <v>EnergyInput</v>
      </c>
      <c r="DK795">
        <f t="shared" si="73"/>
        <v>0</v>
      </c>
      <c r="DL795" t="str">
        <f t="shared" si="74"/>
        <v>Energy</v>
      </c>
      <c r="DM795">
        <f t="shared" si="75"/>
        <v>0</v>
      </c>
      <c r="DN795">
        <f t="shared" si="76"/>
        <v>0</v>
      </c>
      <c r="DO795">
        <v>1</v>
      </c>
      <c r="DP795" s="143">
        <v>0</v>
      </c>
      <c r="DQ795" s="143">
        <v>0</v>
      </c>
      <c r="DR795" s="143">
        <v>0</v>
      </c>
      <c r="DS795">
        <v>0</v>
      </c>
      <c r="DT795">
        <f t="shared" si="72"/>
        <v>1</v>
      </c>
      <c r="DU795" s="143" t="str">
        <f t="shared" ref="DU795:DU858" si="99">IF(DO795=1,"self-calculated DF",IF(DP795=1,"external DF used","explicit C balance"))</f>
        <v>self-calculated DF</v>
      </c>
      <c r="DV795">
        <v>0</v>
      </c>
      <c r="DW795" s="143">
        <v>0</v>
      </c>
      <c r="DX795" s="143">
        <v>1</v>
      </c>
      <c r="DY795" s="143">
        <v>1</v>
      </c>
      <c r="DZ795">
        <v>1</v>
      </c>
      <c r="EA795" s="143">
        <v>1</v>
      </c>
      <c r="EB795">
        <v>0</v>
      </c>
      <c r="EC795" s="143">
        <v>1</v>
      </c>
      <c r="ED795" s="143">
        <v>0</v>
      </c>
      <c r="EE795">
        <v>0</v>
      </c>
      <c r="EF795">
        <v>0</v>
      </c>
      <c r="EG795" s="143">
        <v>0</v>
      </c>
      <c r="EH795" s="143">
        <v>0</v>
      </c>
      <c r="EI795" s="2">
        <v>0</v>
      </c>
      <c r="EK795" t="str">
        <f t="shared" si="77"/>
        <v/>
      </c>
      <c r="EL795" t="str">
        <f t="shared" si="78"/>
        <v/>
      </c>
      <c r="EM795" s="2" t="str">
        <f t="shared" si="98"/>
        <v/>
      </c>
      <c r="EN795" t="s">
        <v>446</v>
      </c>
      <c r="EP795" t="str">
        <f>IF(ISNUMBER(BU795),IF(ABS(BU795-[4]QC_indicators!$B$2)&gt;3*[4]QC_indicators!$C$2,"C ratio",IF(ISNUMBER(BY795),IF(ABS(BY795-[4]QC_indicators!$B$1)&gt;3*[4]QC_indicators!$C$1,"DF","no"))),IF(ISNUMBER(BY795),IF(ABS(BY795-[4]QC_indicators!$B$1)&gt;3*[4]QC_indicators!$C$1,"DF","no")))</f>
        <v>C ratio</v>
      </c>
      <c r="EQ795" t="s">
        <v>451</v>
      </c>
      <c r="ET795" s="266" t="s">
        <v>3275</v>
      </c>
    </row>
    <row r="796" spans="1:150" ht="15" hidden="1" customHeight="1">
      <c r="A796" s="1" t="s">
        <v>431</v>
      </c>
      <c r="B796" t="s">
        <v>432</v>
      </c>
      <c r="C796" t="s">
        <v>433</v>
      </c>
      <c r="D796" t="s">
        <v>434</v>
      </c>
      <c r="E796" t="s">
        <v>435</v>
      </c>
      <c r="F796" t="s">
        <v>436</v>
      </c>
      <c r="G796" t="s">
        <v>437</v>
      </c>
      <c r="H796" t="s">
        <v>255</v>
      </c>
      <c r="I796">
        <v>2000</v>
      </c>
      <c r="J796">
        <v>174</v>
      </c>
      <c r="K796" t="s">
        <v>438</v>
      </c>
      <c r="M796" t="str">
        <f t="shared" si="40"/>
        <v>Borjesson_2000</v>
      </c>
      <c r="N796" t="s">
        <v>223</v>
      </c>
      <c r="O796" s="145" t="s">
        <v>224</v>
      </c>
      <c r="Q796" t="s">
        <v>257</v>
      </c>
      <c r="R796" s="255" t="s">
        <v>226</v>
      </c>
      <c r="S796" s="1" t="s">
        <v>465</v>
      </c>
      <c r="T796" t="s">
        <v>466</v>
      </c>
      <c r="U796" t="s">
        <v>470</v>
      </c>
      <c r="V796">
        <v>0</v>
      </c>
      <c r="W796">
        <v>0</v>
      </c>
      <c r="X796">
        <v>0</v>
      </c>
      <c r="Y796">
        <v>0</v>
      </c>
      <c r="Z796">
        <v>0</v>
      </c>
      <c r="AA796">
        <v>0</v>
      </c>
      <c r="AB796">
        <v>0</v>
      </c>
      <c r="AC796">
        <v>0</v>
      </c>
      <c r="AD796">
        <v>0</v>
      </c>
      <c r="AE796">
        <v>0</v>
      </c>
      <c r="AF796">
        <v>0</v>
      </c>
      <c r="AG796">
        <v>0</v>
      </c>
      <c r="AH796">
        <v>1</v>
      </c>
      <c r="AI796">
        <v>0</v>
      </c>
      <c r="AJ796">
        <v>0</v>
      </c>
      <c r="AK796">
        <v>0</v>
      </c>
      <c r="AL796">
        <v>0</v>
      </c>
      <c r="AM796">
        <v>0</v>
      </c>
      <c r="AN796">
        <v>0</v>
      </c>
      <c r="AO796">
        <v>0</v>
      </c>
      <c r="AP796">
        <v>0</v>
      </c>
      <c r="AQ796">
        <v>0</v>
      </c>
      <c r="AR796">
        <v>0</v>
      </c>
      <c r="AS796">
        <v>0</v>
      </c>
      <c r="AT796">
        <v>0</v>
      </c>
      <c r="AU796">
        <v>0</v>
      </c>
      <c r="AV796">
        <v>0</v>
      </c>
      <c r="AW796">
        <v>0</v>
      </c>
      <c r="AX796" s="141">
        <f t="shared" si="41"/>
        <v>1</v>
      </c>
      <c r="AY796" s="141">
        <f t="shared" si="88"/>
        <v>1</v>
      </c>
      <c r="AZ796">
        <f t="shared" si="89"/>
        <v>0</v>
      </c>
      <c r="BA796">
        <f t="shared" si="90"/>
        <v>1</v>
      </c>
      <c r="BB796">
        <f t="shared" si="91"/>
        <v>0</v>
      </c>
      <c r="BC796">
        <f t="shared" si="92"/>
        <v>0</v>
      </c>
      <c r="BD796">
        <f t="shared" si="93"/>
        <v>0</v>
      </c>
      <c r="BE796" t="str">
        <f t="array" ref="BE796">IF(AY796=1,INDEX($V$7:$AL$7,MATCH(TRUE,INDEX($V796:$AW796&lt;&gt;0,),0)),IF(AY796=0,INDEX($AM$7:$AW$7,MATCH(1,$AM796:$AW796,0)),IF(BF796="Multiple strategies","mixed drivers",IF(BF796="Supply chain","multiple supply","multiple silviculture"))))</f>
        <v xml:space="preserve">end of life disposal </v>
      </c>
      <c r="BF796" s="2" t="str" cm="1">
        <f t="array" ref="BF796">IF(COUNTIF(AZ796:BB796,"&lt;&gt;0")=1,INDEX($V$4:$AW$4,MATCH(TRUE,INDEX($V796:$AW796&lt;&gt;0,),0)),IF(COUNTIF(AZ796:BB796,"&lt;&gt;0")=0,INDEX($AM$4:$AW$4,MATCH(1,$AM796:$AW796,0)),"Multiple strategies"))</f>
        <v>Supply chain</v>
      </c>
      <c r="BG796" s="142" t="s">
        <v>230</v>
      </c>
      <c r="BH796" t="s">
        <v>442</v>
      </c>
      <c r="BI796" s="266" t="s">
        <v>3276</v>
      </c>
      <c r="BJ796" s="143" t="s">
        <v>443</v>
      </c>
      <c r="BK796">
        <f t="shared" si="87"/>
        <v>132</v>
      </c>
      <c r="BL796">
        <f t="shared" si="87"/>
        <v>132</v>
      </c>
      <c r="BM796" s="143">
        <f t="shared" si="85"/>
        <v>1</v>
      </c>
      <c r="BN796">
        <f t="shared" si="66"/>
        <v>0</v>
      </c>
      <c r="BO796">
        <v>0</v>
      </c>
      <c r="BP796" t="s">
        <v>233</v>
      </c>
      <c r="BQ796" s="260" t="s">
        <v>815</v>
      </c>
      <c r="BR796" t="s">
        <v>444</v>
      </c>
      <c r="BS796" s="141">
        <v>47</v>
      </c>
      <c r="BT796" s="141">
        <v>84</v>
      </c>
      <c r="BU796" s="144">
        <f t="shared" si="80"/>
        <v>1.7872340425531914</v>
      </c>
      <c r="BV796">
        <f t="shared" si="81"/>
        <v>37</v>
      </c>
      <c r="BX796">
        <f t="shared" si="86"/>
        <v>135.79</v>
      </c>
      <c r="BY796" t="str">
        <f t="shared" si="94"/>
        <v/>
      </c>
      <c r="BZ796" s="143">
        <v>0</v>
      </c>
      <c r="CA796" s="143">
        <v>0</v>
      </c>
      <c r="CB796" s="143">
        <v>0</v>
      </c>
      <c r="CC796" s="143">
        <v>0</v>
      </c>
      <c r="CD796" s="143">
        <v>0</v>
      </c>
      <c r="CE796" s="143">
        <v>0</v>
      </c>
      <c r="CF796" s="143">
        <v>0</v>
      </c>
      <c r="CG796" s="143">
        <v>0</v>
      </c>
      <c r="CH796" s="143">
        <v>0</v>
      </c>
      <c r="CI796" s="143">
        <v>0</v>
      </c>
      <c r="CJ796" s="143">
        <v>0</v>
      </c>
      <c r="CK796" s="143">
        <v>0</v>
      </c>
      <c r="CL796" s="143">
        <v>0</v>
      </c>
      <c r="CM796">
        <v>0</v>
      </c>
      <c r="CN796" t="str">
        <f>IF($BL796&lt;$BK796,"refNeedCorrection","refOK")</f>
        <v>refOK</v>
      </c>
      <c r="CO796">
        <f t="shared" si="67"/>
        <v>132</v>
      </c>
      <c r="CP796">
        <f t="shared" si="68"/>
        <v>132</v>
      </c>
      <c r="CQ796">
        <f t="shared" si="51"/>
        <v>0</v>
      </c>
      <c r="CR796">
        <f t="shared" si="69"/>
        <v>47</v>
      </c>
      <c r="CS796">
        <f t="shared" si="70"/>
        <v>84</v>
      </c>
      <c r="CT796">
        <f t="shared" si="84"/>
        <v>135.79</v>
      </c>
      <c r="CU796" t="str">
        <f t="shared" si="53"/>
        <v/>
      </c>
      <c r="CV796" s="2">
        <f t="shared" si="95"/>
        <v>0.78723404255319152</v>
      </c>
      <c r="CW796" s="1" t="s">
        <v>264</v>
      </c>
      <c r="CX796" t="str">
        <f t="shared" si="96"/>
        <v>loc</v>
      </c>
      <c r="CY796" t="s">
        <v>445</v>
      </c>
      <c r="DB796">
        <v>300</v>
      </c>
      <c r="DC796" t="str">
        <f t="shared" si="97"/>
        <v>+100</v>
      </c>
      <c r="DD796">
        <v>0</v>
      </c>
      <c r="DE796">
        <v>1</v>
      </c>
      <c r="DF796">
        <v>0</v>
      </c>
      <c r="DG796">
        <v>0</v>
      </c>
      <c r="DI796">
        <f t="shared" si="71"/>
        <v>1</v>
      </c>
      <c r="DJ796" t="str">
        <f t="shared" si="57"/>
        <v>EnergyInput</v>
      </c>
      <c r="DK796">
        <f t="shared" si="73"/>
        <v>0</v>
      </c>
      <c r="DL796" t="str">
        <f t="shared" si="74"/>
        <v>Energy</v>
      </c>
      <c r="DM796">
        <f t="shared" si="75"/>
        <v>0</v>
      </c>
      <c r="DN796">
        <f t="shared" si="76"/>
        <v>0</v>
      </c>
      <c r="DO796">
        <v>1</v>
      </c>
      <c r="DP796" s="143">
        <v>0</v>
      </c>
      <c r="DQ796" s="143">
        <v>0</v>
      </c>
      <c r="DR796" s="143">
        <v>0</v>
      </c>
      <c r="DS796">
        <v>0</v>
      </c>
      <c r="DT796">
        <f t="shared" si="72"/>
        <v>1</v>
      </c>
      <c r="DU796" s="143" t="str">
        <f t="shared" si="99"/>
        <v>self-calculated DF</v>
      </c>
      <c r="DV796">
        <v>0</v>
      </c>
      <c r="DW796" s="143">
        <v>0</v>
      </c>
      <c r="DX796" s="143">
        <v>1</v>
      </c>
      <c r="DY796" s="143">
        <v>1</v>
      </c>
      <c r="DZ796">
        <v>1</v>
      </c>
      <c r="EA796" s="143">
        <v>1</v>
      </c>
      <c r="EB796">
        <v>0</v>
      </c>
      <c r="EC796" s="143">
        <v>1</v>
      </c>
      <c r="ED796" s="143">
        <v>0</v>
      </c>
      <c r="EE796">
        <v>0</v>
      </c>
      <c r="EF796">
        <v>0</v>
      </c>
      <c r="EG796" s="143">
        <v>0</v>
      </c>
      <c r="EH796" s="143">
        <v>0</v>
      </c>
      <c r="EI796" s="2">
        <v>0</v>
      </c>
      <c r="EK796" t="str">
        <f t="shared" si="77"/>
        <v/>
      </c>
      <c r="EL796" t="str">
        <f t="shared" si="78"/>
        <v/>
      </c>
      <c r="EM796" s="2" t="str">
        <f t="shared" si="98"/>
        <v/>
      </c>
      <c r="EN796" t="s">
        <v>446</v>
      </c>
      <c r="EP796" t="b">
        <f>IF(ISNUMBER(BU796),IF(ABS(BU796-[4]QC_indicators!$B$2)&gt;3*[4]QC_indicators!$C$2,"C ratio",IF(ISNUMBER(BY796),IF(ABS(BY796-[4]QC_indicators!$B$1)&gt;3*[4]QC_indicators!$C$1,"DF","no"))),IF(ISNUMBER(BY796),IF(ABS(BY796-[4]QC_indicators!$B$1)&gt;3*[4]QC_indicators!$C$1,"DF","no")))</f>
        <v>0</v>
      </c>
      <c r="ET796" s="266" t="s">
        <v>3275</v>
      </c>
    </row>
    <row r="797" spans="1:150" ht="15" hidden="1" customHeight="1">
      <c r="A797" s="1" t="s">
        <v>431</v>
      </c>
      <c r="B797" t="s">
        <v>432</v>
      </c>
      <c r="C797" t="s">
        <v>433</v>
      </c>
      <c r="D797" t="s">
        <v>434</v>
      </c>
      <c r="E797" t="s">
        <v>435</v>
      </c>
      <c r="F797" t="s">
        <v>436</v>
      </c>
      <c r="G797" t="s">
        <v>437</v>
      </c>
      <c r="H797" t="s">
        <v>255</v>
      </c>
      <c r="I797">
        <v>2000</v>
      </c>
      <c r="J797">
        <v>174</v>
      </c>
      <c r="K797" t="s">
        <v>438</v>
      </c>
      <c r="M797" t="str">
        <f t="shared" si="40"/>
        <v>Borjesson_2000</v>
      </c>
      <c r="N797" t="s">
        <v>223</v>
      </c>
      <c r="O797" s="145" t="s">
        <v>224</v>
      </c>
      <c r="Q797" t="s">
        <v>257</v>
      </c>
      <c r="R797" s="255" t="s">
        <v>226</v>
      </c>
      <c r="S797" s="1" t="s">
        <v>465</v>
      </c>
      <c r="T797" t="s">
        <v>468</v>
      </c>
      <c r="U797" t="s">
        <v>471</v>
      </c>
      <c r="V797">
        <v>0</v>
      </c>
      <c r="W797">
        <v>0</v>
      </c>
      <c r="X797">
        <v>0</v>
      </c>
      <c r="Y797">
        <v>0</v>
      </c>
      <c r="Z797">
        <v>0</v>
      </c>
      <c r="AA797">
        <v>0</v>
      </c>
      <c r="AB797">
        <v>0</v>
      </c>
      <c r="AC797">
        <v>0</v>
      </c>
      <c r="AD797">
        <v>0</v>
      </c>
      <c r="AE797">
        <v>0</v>
      </c>
      <c r="AF797">
        <v>0</v>
      </c>
      <c r="AG797">
        <v>0</v>
      </c>
      <c r="AH797">
        <v>1</v>
      </c>
      <c r="AI797">
        <v>0</v>
      </c>
      <c r="AJ797">
        <v>0</v>
      </c>
      <c r="AK797">
        <v>0</v>
      </c>
      <c r="AL797">
        <v>0</v>
      </c>
      <c r="AM797">
        <v>0</v>
      </c>
      <c r="AN797">
        <v>0</v>
      </c>
      <c r="AO797">
        <v>0</v>
      </c>
      <c r="AP797">
        <v>0</v>
      </c>
      <c r="AQ797">
        <v>0</v>
      </c>
      <c r="AR797">
        <v>0</v>
      </c>
      <c r="AS797">
        <v>0</v>
      </c>
      <c r="AT797">
        <v>0</v>
      </c>
      <c r="AU797">
        <v>0</v>
      </c>
      <c r="AV797">
        <v>0</v>
      </c>
      <c r="AW797">
        <v>0</v>
      </c>
      <c r="AX797" s="141">
        <f t="shared" si="41"/>
        <v>1</v>
      </c>
      <c r="AY797" s="141">
        <f t="shared" si="88"/>
        <v>1</v>
      </c>
      <c r="AZ797">
        <f t="shared" si="89"/>
        <v>0</v>
      </c>
      <c r="BA797">
        <f t="shared" si="90"/>
        <v>1</v>
      </c>
      <c r="BB797">
        <f t="shared" si="91"/>
        <v>0</v>
      </c>
      <c r="BC797">
        <f t="shared" si="92"/>
        <v>0</v>
      </c>
      <c r="BD797">
        <f t="shared" si="93"/>
        <v>0</v>
      </c>
      <c r="BE797" t="str">
        <f t="array" ref="BE797">IF(AY797=1,INDEX($V$7:$AL$7,MATCH(TRUE,INDEX($V797:$AW797&lt;&gt;0,),0)),IF(AY797=0,INDEX($AM$7:$AW$7,MATCH(1,$AM797:$AW797,0)),IF(BF797="Multiple strategies","mixed drivers",IF(BF797="Supply chain","multiple supply","multiple silviculture"))))</f>
        <v xml:space="preserve">end of life disposal </v>
      </c>
      <c r="BF797" s="2" t="str" cm="1">
        <f t="array" ref="BF797">IF(COUNTIF(AZ797:BB797,"&lt;&gt;0")=1,INDEX($V$4:$AW$4,MATCH(TRUE,INDEX($V797:$AW797&lt;&gt;0,),0)),IF(COUNTIF(AZ797:BB797,"&lt;&gt;0")=0,INDEX($AM$4:$AW$4,MATCH(1,$AM797:$AW797,0)),"Multiple strategies"))</f>
        <v>Supply chain</v>
      </c>
      <c r="BG797" s="142" t="s">
        <v>230</v>
      </c>
      <c r="BH797" t="s">
        <v>442</v>
      </c>
      <c r="BI797" s="266" t="s">
        <v>3276</v>
      </c>
      <c r="BJ797" s="143" t="s">
        <v>443</v>
      </c>
      <c r="BK797">
        <f t="shared" si="87"/>
        <v>132</v>
      </c>
      <c r="BL797">
        <f t="shared" si="87"/>
        <v>132</v>
      </c>
      <c r="BM797" s="143">
        <f t="shared" si="85"/>
        <v>1</v>
      </c>
      <c r="BN797">
        <f t="shared" si="66"/>
        <v>0</v>
      </c>
      <c r="BO797">
        <v>0</v>
      </c>
      <c r="BP797" t="s">
        <v>233</v>
      </c>
      <c r="BQ797" s="260" t="s">
        <v>815</v>
      </c>
      <c r="BR797" t="s">
        <v>444</v>
      </c>
      <c r="BS797" s="141">
        <v>-3</v>
      </c>
      <c r="BT797" s="141">
        <v>111</v>
      </c>
      <c r="BU797" s="144">
        <f t="shared" si="80"/>
        <v>-37</v>
      </c>
      <c r="BV797">
        <f t="shared" si="81"/>
        <v>114</v>
      </c>
      <c r="BX797">
        <f t="shared" si="86"/>
        <v>418.38</v>
      </c>
      <c r="BY797" t="str">
        <f t="shared" si="94"/>
        <v/>
      </c>
      <c r="BZ797" s="143">
        <v>0</v>
      </c>
      <c r="CA797" s="143">
        <v>0</v>
      </c>
      <c r="CB797" s="143">
        <v>0</v>
      </c>
      <c r="CC797" s="143">
        <v>0</v>
      </c>
      <c r="CD797" s="143">
        <v>0</v>
      </c>
      <c r="CE797" s="143">
        <v>0</v>
      </c>
      <c r="CF797" s="143">
        <v>0</v>
      </c>
      <c r="CG797" s="143">
        <v>0</v>
      </c>
      <c r="CH797" s="143">
        <v>0</v>
      </c>
      <c r="CI797" s="143">
        <v>0</v>
      </c>
      <c r="CJ797" s="143">
        <v>0</v>
      </c>
      <c r="CK797" s="143">
        <v>0</v>
      </c>
      <c r="CL797" s="143">
        <v>0</v>
      </c>
      <c r="CM797">
        <v>0</v>
      </c>
      <c r="CN797" t="str">
        <f>IF(BL797&lt;BK797,"refNeedCorrection","refOK")</f>
        <v>refOK</v>
      </c>
      <c r="CO797">
        <f t="shared" si="67"/>
        <v>132</v>
      </c>
      <c r="CP797">
        <f t="shared" si="68"/>
        <v>132</v>
      </c>
      <c r="CQ797">
        <f t="shared" si="51"/>
        <v>0</v>
      </c>
      <c r="CR797">
        <f t="shared" si="69"/>
        <v>-3</v>
      </c>
      <c r="CS797">
        <f t="shared" si="70"/>
        <v>111</v>
      </c>
      <c r="CT797">
        <f t="shared" si="84"/>
        <v>418.38</v>
      </c>
      <c r="CU797" t="str">
        <f t="shared" si="53"/>
        <v/>
      </c>
      <c r="CV797" s="2">
        <f t="shared" si="95"/>
        <v>38</v>
      </c>
      <c r="CW797" s="1" t="s">
        <v>264</v>
      </c>
      <c r="CX797" t="str">
        <f t="shared" si="96"/>
        <v>loc</v>
      </c>
      <c r="CY797" t="s">
        <v>445</v>
      </c>
      <c r="DB797">
        <v>300</v>
      </c>
      <c r="DC797" t="str">
        <f t="shared" si="97"/>
        <v>+100</v>
      </c>
      <c r="DD797">
        <v>0</v>
      </c>
      <c r="DE797">
        <v>1</v>
      </c>
      <c r="DF797">
        <v>0</v>
      </c>
      <c r="DG797">
        <v>0</v>
      </c>
      <c r="DI797">
        <f t="shared" si="71"/>
        <v>1</v>
      </c>
      <c r="DJ797" t="str">
        <f t="shared" si="57"/>
        <v>EnergyInput</v>
      </c>
      <c r="DK797">
        <f t="shared" si="73"/>
        <v>0</v>
      </c>
      <c r="DL797" t="str">
        <f t="shared" si="74"/>
        <v>Energy</v>
      </c>
      <c r="DM797">
        <f t="shared" si="75"/>
        <v>0</v>
      </c>
      <c r="DN797">
        <f t="shared" si="76"/>
        <v>0</v>
      </c>
      <c r="DO797">
        <v>1</v>
      </c>
      <c r="DP797" s="143">
        <v>0</v>
      </c>
      <c r="DQ797" s="143">
        <v>0</v>
      </c>
      <c r="DR797" s="143">
        <v>0</v>
      </c>
      <c r="DS797">
        <v>0</v>
      </c>
      <c r="DT797">
        <f t="shared" si="72"/>
        <v>1</v>
      </c>
      <c r="DU797" s="143" t="str">
        <f t="shared" si="99"/>
        <v>self-calculated DF</v>
      </c>
      <c r="DV797">
        <v>0</v>
      </c>
      <c r="DW797" s="143">
        <v>0</v>
      </c>
      <c r="DX797" s="143">
        <v>1</v>
      </c>
      <c r="DY797" s="143">
        <v>1</v>
      </c>
      <c r="DZ797">
        <v>1</v>
      </c>
      <c r="EA797" s="143">
        <v>1</v>
      </c>
      <c r="EB797">
        <v>0</v>
      </c>
      <c r="EC797" s="143">
        <v>1</v>
      </c>
      <c r="ED797" s="143">
        <v>0</v>
      </c>
      <c r="EE797">
        <v>0</v>
      </c>
      <c r="EF797">
        <v>0</v>
      </c>
      <c r="EG797" s="143">
        <v>0</v>
      </c>
      <c r="EH797" s="143">
        <v>0</v>
      </c>
      <c r="EI797" s="2">
        <v>0</v>
      </c>
      <c r="EK797" t="str">
        <f t="shared" si="77"/>
        <v/>
      </c>
      <c r="EL797" t="str">
        <f t="shared" si="78"/>
        <v/>
      </c>
      <c r="EM797" s="2" t="str">
        <f t="shared" si="98"/>
        <v/>
      </c>
      <c r="EN797" t="s">
        <v>446</v>
      </c>
      <c r="EP797" t="str">
        <f>IF(ISNUMBER(BU797),IF(ABS(BU797-[4]QC_indicators!$B$2)&gt;3*[4]QC_indicators!$C$2,"C ratio",IF(ISNUMBER(BY797),IF(ABS(BY797-[4]QC_indicators!$B$1)&gt;3*[4]QC_indicators!$C$1,"DF","no"))),IF(ISNUMBER(BY797),IF(ABS(BY797-[4]QC_indicators!$B$1)&gt;3*[4]QC_indicators!$C$1,"DF","no")))</f>
        <v>C ratio</v>
      </c>
      <c r="EQ797" t="s">
        <v>451</v>
      </c>
      <c r="ET797" s="266" t="s">
        <v>3275</v>
      </c>
    </row>
    <row r="798" spans="1:150" ht="15" hidden="1" customHeight="1">
      <c r="A798" s="1" t="s">
        <v>431</v>
      </c>
      <c r="B798" t="s">
        <v>432</v>
      </c>
      <c r="C798" t="s">
        <v>433</v>
      </c>
      <c r="D798" t="s">
        <v>434</v>
      </c>
      <c r="E798" t="s">
        <v>435</v>
      </c>
      <c r="F798" t="s">
        <v>436</v>
      </c>
      <c r="G798" t="s">
        <v>437</v>
      </c>
      <c r="H798" t="s">
        <v>255</v>
      </c>
      <c r="I798">
        <v>2000</v>
      </c>
      <c r="J798">
        <v>174</v>
      </c>
      <c r="K798" t="s">
        <v>438</v>
      </c>
      <c r="M798" t="str">
        <f t="shared" si="40"/>
        <v>Borjesson_2000</v>
      </c>
      <c r="N798" t="s">
        <v>223</v>
      </c>
      <c r="O798" s="145" t="s">
        <v>224</v>
      </c>
      <c r="Q798" t="s">
        <v>257</v>
      </c>
      <c r="R798" s="255" t="s">
        <v>226</v>
      </c>
      <c r="S798" s="1" t="s">
        <v>465</v>
      </c>
      <c r="T798" t="s">
        <v>466</v>
      </c>
      <c r="U798" t="s">
        <v>471</v>
      </c>
      <c r="V798">
        <v>0</v>
      </c>
      <c r="W798">
        <v>0</v>
      </c>
      <c r="X798">
        <v>0</v>
      </c>
      <c r="Y798">
        <v>0</v>
      </c>
      <c r="Z798">
        <v>0</v>
      </c>
      <c r="AA798">
        <v>0</v>
      </c>
      <c r="AB798">
        <v>0</v>
      </c>
      <c r="AC798">
        <v>0</v>
      </c>
      <c r="AD798">
        <v>0</v>
      </c>
      <c r="AE798">
        <v>0</v>
      </c>
      <c r="AF798">
        <v>0</v>
      </c>
      <c r="AG798">
        <v>0</v>
      </c>
      <c r="AH798">
        <v>1</v>
      </c>
      <c r="AI798">
        <v>0</v>
      </c>
      <c r="AJ798">
        <v>0</v>
      </c>
      <c r="AK798">
        <v>0</v>
      </c>
      <c r="AL798">
        <v>0</v>
      </c>
      <c r="AM798">
        <v>0</v>
      </c>
      <c r="AN798">
        <v>0</v>
      </c>
      <c r="AO798">
        <v>0</v>
      </c>
      <c r="AP798">
        <v>0</v>
      </c>
      <c r="AQ798">
        <v>0</v>
      </c>
      <c r="AR798">
        <v>0</v>
      </c>
      <c r="AS798">
        <v>0</v>
      </c>
      <c r="AT798">
        <v>0</v>
      </c>
      <c r="AU798">
        <v>0</v>
      </c>
      <c r="AV798">
        <v>0</v>
      </c>
      <c r="AW798">
        <v>0</v>
      </c>
      <c r="AX798" s="141">
        <f t="shared" si="41"/>
        <v>1</v>
      </c>
      <c r="AY798" s="141">
        <f t="shared" si="88"/>
        <v>1</v>
      </c>
      <c r="AZ798">
        <f t="shared" si="89"/>
        <v>0</v>
      </c>
      <c r="BA798">
        <f t="shared" si="90"/>
        <v>1</v>
      </c>
      <c r="BB798">
        <f t="shared" si="91"/>
        <v>0</v>
      </c>
      <c r="BC798">
        <f t="shared" si="92"/>
        <v>0</v>
      </c>
      <c r="BD798">
        <f t="shared" si="93"/>
        <v>0</v>
      </c>
      <c r="BE798" t="str">
        <f t="array" ref="BE798">IF(AY798=1,INDEX($V$7:$AL$7,MATCH(TRUE,INDEX($V798:$AW798&lt;&gt;0,),0)),IF(AY798=0,INDEX($AM$7:$AW$7,MATCH(1,$AM798:$AW798,0)),IF(BF798="Multiple strategies","mixed drivers",IF(BF798="Supply chain","multiple supply","multiple silviculture"))))</f>
        <v xml:space="preserve">end of life disposal </v>
      </c>
      <c r="BF798" s="2" t="str" cm="1">
        <f t="array" ref="BF798">IF(COUNTIF(AZ798:BB798,"&lt;&gt;0")=1,INDEX($V$4:$AW$4,MATCH(TRUE,INDEX($V798:$AW798&lt;&gt;0,),0)),IF(COUNTIF(AZ798:BB798,"&lt;&gt;0")=0,INDEX($AM$4:$AW$4,MATCH(1,$AM798:$AW798,0)),"Multiple strategies"))</f>
        <v>Supply chain</v>
      </c>
      <c r="BG798" s="142" t="s">
        <v>230</v>
      </c>
      <c r="BH798" t="s">
        <v>442</v>
      </c>
      <c r="BI798" s="266" t="s">
        <v>3276</v>
      </c>
      <c r="BJ798" s="143" t="s">
        <v>443</v>
      </c>
      <c r="BK798">
        <f t="shared" si="87"/>
        <v>132</v>
      </c>
      <c r="BL798">
        <f t="shared" si="87"/>
        <v>132</v>
      </c>
      <c r="BM798" s="143">
        <f t="shared" si="85"/>
        <v>1</v>
      </c>
      <c r="BN798">
        <f t="shared" si="66"/>
        <v>0</v>
      </c>
      <c r="BO798">
        <v>0</v>
      </c>
      <c r="BP798" t="s">
        <v>233</v>
      </c>
      <c r="BQ798" s="260" t="s">
        <v>815</v>
      </c>
      <c r="BR798" t="s">
        <v>444</v>
      </c>
      <c r="BS798" s="141">
        <v>47</v>
      </c>
      <c r="BT798" s="141">
        <v>111</v>
      </c>
      <c r="BU798" s="144">
        <f t="shared" si="80"/>
        <v>2.3617021276595747</v>
      </c>
      <c r="BV798">
        <f t="shared" si="81"/>
        <v>64</v>
      </c>
      <c r="BX798">
        <f t="shared" si="86"/>
        <v>234.88</v>
      </c>
      <c r="BY798" t="str">
        <f t="shared" si="94"/>
        <v/>
      </c>
      <c r="BZ798" s="143">
        <v>0</v>
      </c>
      <c r="CA798" s="143">
        <v>0</v>
      </c>
      <c r="CB798" s="143">
        <v>0</v>
      </c>
      <c r="CC798" s="143">
        <v>0</v>
      </c>
      <c r="CD798" s="143">
        <v>0</v>
      </c>
      <c r="CE798" s="143">
        <v>0</v>
      </c>
      <c r="CF798" s="143">
        <v>0</v>
      </c>
      <c r="CG798" s="143">
        <v>0</v>
      </c>
      <c r="CH798" s="143">
        <v>0</v>
      </c>
      <c r="CI798" s="143">
        <v>0</v>
      </c>
      <c r="CJ798" s="143">
        <v>0</v>
      </c>
      <c r="CK798" s="143">
        <v>0</v>
      </c>
      <c r="CL798" s="143">
        <v>0</v>
      </c>
      <c r="CM798">
        <v>0</v>
      </c>
      <c r="CN798" t="str">
        <f>IF($BL798&lt;$BK798,"refNeedCorrection","refOK")</f>
        <v>refOK</v>
      </c>
      <c r="CO798">
        <f t="shared" si="67"/>
        <v>132</v>
      </c>
      <c r="CP798">
        <f t="shared" si="68"/>
        <v>132</v>
      </c>
      <c r="CQ798">
        <f t="shared" si="51"/>
        <v>0</v>
      </c>
      <c r="CR798">
        <f t="shared" si="69"/>
        <v>47</v>
      </c>
      <c r="CS798">
        <f t="shared" si="70"/>
        <v>111</v>
      </c>
      <c r="CT798">
        <f t="shared" si="84"/>
        <v>234.88</v>
      </c>
      <c r="CU798" t="str">
        <f t="shared" si="53"/>
        <v/>
      </c>
      <c r="CV798" s="2">
        <f t="shared" si="95"/>
        <v>1.3617021276595744</v>
      </c>
      <c r="CW798" s="1" t="s">
        <v>264</v>
      </c>
      <c r="CX798" t="str">
        <f t="shared" si="96"/>
        <v>loc</v>
      </c>
      <c r="CY798" t="s">
        <v>445</v>
      </c>
      <c r="DB798">
        <v>300</v>
      </c>
      <c r="DC798" t="str">
        <f t="shared" si="97"/>
        <v>+100</v>
      </c>
      <c r="DD798">
        <v>0</v>
      </c>
      <c r="DE798">
        <v>1</v>
      </c>
      <c r="DF798">
        <v>0</v>
      </c>
      <c r="DG798">
        <v>0</v>
      </c>
      <c r="DI798">
        <f t="shared" si="71"/>
        <v>1</v>
      </c>
      <c r="DJ798" t="str">
        <f t="shared" si="57"/>
        <v>EnergyInput</v>
      </c>
      <c r="DK798">
        <f t="shared" si="73"/>
        <v>0</v>
      </c>
      <c r="DL798" t="str">
        <f t="shared" si="74"/>
        <v>Energy</v>
      </c>
      <c r="DM798">
        <f t="shared" si="75"/>
        <v>0</v>
      </c>
      <c r="DN798">
        <f t="shared" si="76"/>
        <v>0</v>
      </c>
      <c r="DO798">
        <v>1</v>
      </c>
      <c r="DP798" s="143">
        <v>0</v>
      </c>
      <c r="DQ798" s="143">
        <v>0</v>
      </c>
      <c r="DR798" s="143">
        <v>0</v>
      </c>
      <c r="DS798">
        <v>0</v>
      </c>
      <c r="DT798">
        <f t="shared" si="72"/>
        <v>1</v>
      </c>
      <c r="DU798" s="143" t="str">
        <f t="shared" si="99"/>
        <v>self-calculated DF</v>
      </c>
      <c r="DV798">
        <v>0</v>
      </c>
      <c r="DW798" s="143">
        <v>0</v>
      </c>
      <c r="DX798" s="143">
        <v>1</v>
      </c>
      <c r="DY798" s="143">
        <v>1</v>
      </c>
      <c r="DZ798">
        <v>1</v>
      </c>
      <c r="EA798" s="143">
        <v>1</v>
      </c>
      <c r="EB798">
        <v>0</v>
      </c>
      <c r="EC798" s="143">
        <v>1</v>
      </c>
      <c r="ED798" s="143">
        <v>0</v>
      </c>
      <c r="EE798">
        <v>0</v>
      </c>
      <c r="EF798">
        <v>0</v>
      </c>
      <c r="EG798" s="143">
        <v>0</v>
      </c>
      <c r="EH798" s="143">
        <v>0</v>
      </c>
      <c r="EI798" s="2">
        <v>0</v>
      </c>
      <c r="EK798" t="str">
        <f t="shared" si="77"/>
        <v/>
      </c>
      <c r="EL798" t="str">
        <f t="shared" si="78"/>
        <v/>
      </c>
      <c r="EM798" s="2" t="str">
        <f t="shared" si="98"/>
        <v/>
      </c>
      <c r="EN798" t="s">
        <v>446</v>
      </c>
      <c r="EP798" t="b">
        <f>IF(ISNUMBER(BU798),IF(ABS(BU798-[4]QC_indicators!$B$2)&gt;3*[4]QC_indicators!$C$2,"C ratio",IF(ISNUMBER(BY798),IF(ABS(BY798-[4]QC_indicators!$B$1)&gt;3*[4]QC_indicators!$C$1,"DF","no"))),IF(ISNUMBER(BY798),IF(ABS(BY798-[4]QC_indicators!$B$1)&gt;3*[4]QC_indicators!$C$1,"DF","no")))</f>
        <v>0</v>
      </c>
      <c r="ET798" s="266" t="s">
        <v>3275</v>
      </c>
    </row>
    <row r="799" spans="1:150" ht="15" hidden="1" customHeight="1">
      <c r="A799" s="1" t="s">
        <v>431</v>
      </c>
      <c r="B799" t="s">
        <v>432</v>
      </c>
      <c r="C799" t="s">
        <v>433</v>
      </c>
      <c r="D799" t="s">
        <v>434</v>
      </c>
      <c r="E799" t="s">
        <v>435</v>
      </c>
      <c r="F799" t="s">
        <v>436</v>
      </c>
      <c r="G799" t="s">
        <v>437</v>
      </c>
      <c r="H799" t="s">
        <v>255</v>
      </c>
      <c r="I799">
        <v>2000</v>
      </c>
      <c r="J799">
        <v>174</v>
      </c>
      <c r="K799" t="s">
        <v>438</v>
      </c>
      <c r="M799" t="str">
        <f t="shared" si="40"/>
        <v>Borjesson_2000</v>
      </c>
      <c r="N799" t="s">
        <v>223</v>
      </c>
      <c r="O799" s="145" t="s">
        <v>224</v>
      </c>
      <c r="Q799" t="s">
        <v>257</v>
      </c>
      <c r="R799" s="255" t="s">
        <v>226</v>
      </c>
      <c r="S799" s="1" t="s">
        <v>465</v>
      </c>
      <c r="T799" t="s">
        <v>468</v>
      </c>
      <c r="U799" t="s">
        <v>472</v>
      </c>
      <c r="V799">
        <v>0</v>
      </c>
      <c r="W799">
        <v>0</v>
      </c>
      <c r="X799">
        <v>0</v>
      </c>
      <c r="Y799">
        <v>0</v>
      </c>
      <c r="Z799">
        <v>0</v>
      </c>
      <c r="AA799">
        <v>0</v>
      </c>
      <c r="AB799">
        <v>0</v>
      </c>
      <c r="AC799">
        <v>0</v>
      </c>
      <c r="AD799">
        <v>0</v>
      </c>
      <c r="AE799">
        <v>0</v>
      </c>
      <c r="AF799">
        <v>0</v>
      </c>
      <c r="AG799">
        <v>0</v>
      </c>
      <c r="AH799">
        <v>1</v>
      </c>
      <c r="AI799">
        <v>0</v>
      </c>
      <c r="AJ799">
        <v>0</v>
      </c>
      <c r="AK799">
        <v>0</v>
      </c>
      <c r="AL799">
        <v>0</v>
      </c>
      <c r="AM799">
        <v>0</v>
      </c>
      <c r="AN799">
        <v>0</v>
      </c>
      <c r="AO799">
        <v>0</v>
      </c>
      <c r="AP799">
        <v>0</v>
      </c>
      <c r="AQ799">
        <v>0</v>
      </c>
      <c r="AR799">
        <v>0</v>
      </c>
      <c r="AS799">
        <v>0</v>
      </c>
      <c r="AT799">
        <v>0</v>
      </c>
      <c r="AU799">
        <v>0</v>
      </c>
      <c r="AV799">
        <v>0</v>
      </c>
      <c r="AW799">
        <v>0</v>
      </c>
      <c r="AX799" s="141">
        <f t="shared" si="41"/>
        <v>1</v>
      </c>
      <c r="AY799" s="141">
        <f t="shared" si="88"/>
        <v>1</v>
      </c>
      <c r="AZ799">
        <f t="shared" si="89"/>
        <v>0</v>
      </c>
      <c r="BA799">
        <f t="shared" si="90"/>
        <v>1</v>
      </c>
      <c r="BB799">
        <f t="shared" si="91"/>
        <v>0</v>
      </c>
      <c r="BC799">
        <f t="shared" si="92"/>
        <v>0</v>
      </c>
      <c r="BD799">
        <f t="shared" si="93"/>
        <v>0</v>
      </c>
      <c r="BE799" t="str">
        <f t="array" ref="BE799">IF(AY799=1,INDEX($V$7:$AL$7,MATCH(TRUE,INDEX($V799:$AW799&lt;&gt;0,),0)),IF(AY799=0,INDEX($AM$7:$AW$7,MATCH(1,$AM799:$AW799,0)),IF(BF799="Multiple strategies","mixed drivers",IF(BF799="Supply chain","multiple supply","multiple silviculture"))))</f>
        <v xml:space="preserve">end of life disposal </v>
      </c>
      <c r="BF799" s="2" t="str" cm="1">
        <f t="array" ref="BF799">IF(COUNTIF(AZ799:BB799,"&lt;&gt;0")=1,INDEX($V$4:$AW$4,MATCH(TRUE,INDEX($V799:$AW799&lt;&gt;0,),0)),IF(COUNTIF(AZ799:BB799,"&lt;&gt;0")=0,INDEX($AM$4:$AW$4,MATCH(1,$AM799:$AW799,0)),"Multiple strategies"))</f>
        <v>Supply chain</v>
      </c>
      <c r="BG799" s="142" t="s">
        <v>230</v>
      </c>
      <c r="BH799" t="s">
        <v>442</v>
      </c>
      <c r="BI799" s="266" t="s">
        <v>3276</v>
      </c>
      <c r="BJ799" s="143" t="s">
        <v>443</v>
      </c>
      <c r="BK799">
        <f t="shared" si="87"/>
        <v>132</v>
      </c>
      <c r="BL799">
        <f t="shared" si="87"/>
        <v>132</v>
      </c>
      <c r="BM799" s="143">
        <f t="shared" si="85"/>
        <v>1</v>
      </c>
      <c r="BN799">
        <f t="shared" si="66"/>
        <v>0</v>
      </c>
      <c r="BO799">
        <v>0</v>
      </c>
      <c r="BP799" t="s">
        <v>233</v>
      </c>
      <c r="BQ799" s="260" t="s">
        <v>815</v>
      </c>
      <c r="BR799" t="s">
        <v>444</v>
      </c>
      <c r="BS799" s="141">
        <v>-3</v>
      </c>
      <c r="BT799" s="141">
        <v>82</v>
      </c>
      <c r="BU799" s="144">
        <f t="shared" si="80"/>
        <v>-27.333333333333332</v>
      </c>
      <c r="BV799">
        <f t="shared" si="81"/>
        <v>85</v>
      </c>
      <c r="BX799">
        <f t="shared" si="86"/>
        <v>311.95</v>
      </c>
      <c r="BY799" t="str">
        <f t="shared" si="94"/>
        <v/>
      </c>
      <c r="BZ799" s="143">
        <v>0</v>
      </c>
      <c r="CA799" s="143">
        <v>0</v>
      </c>
      <c r="CB799" s="143">
        <v>0</v>
      </c>
      <c r="CC799" s="143">
        <v>0</v>
      </c>
      <c r="CD799" s="143">
        <v>0</v>
      </c>
      <c r="CE799" s="143">
        <v>0</v>
      </c>
      <c r="CF799" s="143">
        <v>0</v>
      </c>
      <c r="CG799" s="143">
        <v>0</v>
      </c>
      <c r="CH799" s="143">
        <v>0</v>
      </c>
      <c r="CI799" s="143">
        <v>0</v>
      </c>
      <c r="CJ799" s="143">
        <v>0</v>
      </c>
      <c r="CK799" s="143">
        <v>0</v>
      </c>
      <c r="CL799" s="143">
        <v>0</v>
      </c>
      <c r="CM799">
        <v>0</v>
      </c>
      <c r="CN799" t="str">
        <f>IF(BL799&lt;BK799,"refNeedCorrection","refOK")</f>
        <v>refOK</v>
      </c>
      <c r="CO799">
        <f t="shared" si="67"/>
        <v>132</v>
      </c>
      <c r="CP799">
        <f t="shared" si="68"/>
        <v>132</v>
      </c>
      <c r="CQ799">
        <f t="shared" si="51"/>
        <v>0</v>
      </c>
      <c r="CR799">
        <f t="shared" si="69"/>
        <v>-3</v>
      </c>
      <c r="CS799">
        <f t="shared" si="70"/>
        <v>82</v>
      </c>
      <c r="CT799">
        <f t="shared" si="84"/>
        <v>311.95</v>
      </c>
      <c r="CU799" t="str">
        <f t="shared" si="53"/>
        <v/>
      </c>
      <c r="CV799" s="2">
        <f t="shared" si="95"/>
        <v>28.333333333333332</v>
      </c>
      <c r="CW799" s="1" t="s">
        <v>264</v>
      </c>
      <c r="CX799" t="str">
        <f t="shared" si="96"/>
        <v>loc</v>
      </c>
      <c r="CY799" t="s">
        <v>445</v>
      </c>
      <c r="DB799">
        <v>300</v>
      </c>
      <c r="DC799" t="str">
        <f t="shared" si="97"/>
        <v>+100</v>
      </c>
      <c r="DD799">
        <v>0</v>
      </c>
      <c r="DE799">
        <v>1</v>
      </c>
      <c r="DF799">
        <v>0</v>
      </c>
      <c r="DG799">
        <v>0</v>
      </c>
      <c r="DI799">
        <f t="shared" si="71"/>
        <v>1</v>
      </c>
      <c r="DJ799" t="str">
        <f t="shared" si="57"/>
        <v>EnergyInput</v>
      </c>
      <c r="DK799">
        <f t="shared" si="73"/>
        <v>0</v>
      </c>
      <c r="DL799" t="str">
        <f t="shared" si="74"/>
        <v>Energy</v>
      </c>
      <c r="DM799">
        <f t="shared" si="75"/>
        <v>0</v>
      </c>
      <c r="DN799">
        <f t="shared" si="76"/>
        <v>0</v>
      </c>
      <c r="DO799">
        <v>1</v>
      </c>
      <c r="DP799" s="143">
        <v>0</v>
      </c>
      <c r="DQ799" s="143">
        <v>0</v>
      </c>
      <c r="DR799" s="143">
        <v>0</v>
      </c>
      <c r="DS799">
        <v>0</v>
      </c>
      <c r="DT799">
        <f t="shared" si="72"/>
        <v>1</v>
      </c>
      <c r="DU799" s="143" t="str">
        <f t="shared" si="99"/>
        <v>self-calculated DF</v>
      </c>
      <c r="DV799">
        <v>0</v>
      </c>
      <c r="DW799" s="143">
        <v>0</v>
      </c>
      <c r="DX799" s="143">
        <v>1</v>
      </c>
      <c r="DY799" s="143">
        <v>1</v>
      </c>
      <c r="DZ799">
        <v>1</v>
      </c>
      <c r="EA799" s="143">
        <v>1</v>
      </c>
      <c r="EB799">
        <v>0</v>
      </c>
      <c r="EC799" s="143">
        <v>1</v>
      </c>
      <c r="ED799" s="143">
        <v>0</v>
      </c>
      <c r="EE799">
        <v>0</v>
      </c>
      <c r="EF799">
        <v>0</v>
      </c>
      <c r="EG799" s="143">
        <v>0</v>
      </c>
      <c r="EH799" s="143">
        <v>0</v>
      </c>
      <c r="EI799" s="2">
        <v>0</v>
      </c>
      <c r="EK799" t="str">
        <f t="shared" si="77"/>
        <v/>
      </c>
      <c r="EL799" t="str">
        <f t="shared" si="78"/>
        <v/>
      </c>
      <c r="EM799" s="2" t="str">
        <f t="shared" si="98"/>
        <v/>
      </c>
      <c r="EN799" t="s">
        <v>446</v>
      </c>
      <c r="EP799" t="str">
        <f>IF(ISNUMBER(BU799),IF(ABS(BU799-[4]QC_indicators!$B$2)&gt;3*[4]QC_indicators!$C$2,"C ratio",IF(ISNUMBER(BY799),IF(ABS(BY799-[4]QC_indicators!$B$1)&gt;3*[4]QC_indicators!$C$1,"DF","no"))),IF(ISNUMBER(BY799),IF(ABS(BY799-[4]QC_indicators!$B$1)&gt;3*[4]QC_indicators!$C$1,"DF","no")))</f>
        <v>C ratio</v>
      </c>
      <c r="EQ799" t="s">
        <v>451</v>
      </c>
      <c r="ET799" s="266" t="s">
        <v>3275</v>
      </c>
    </row>
    <row r="800" spans="1:150" ht="15" hidden="1" customHeight="1">
      <c r="A800" s="1" t="s">
        <v>431</v>
      </c>
      <c r="B800" t="s">
        <v>432</v>
      </c>
      <c r="C800" t="s">
        <v>433</v>
      </c>
      <c r="D800" t="s">
        <v>434</v>
      </c>
      <c r="E800" t="s">
        <v>435</v>
      </c>
      <c r="F800" t="s">
        <v>436</v>
      </c>
      <c r="G800" t="s">
        <v>437</v>
      </c>
      <c r="H800" t="s">
        <v>255</v>
      </c>
      <c r="I800">
        <v>2000</v>
      </c>
      <c r="J800">
        <v>174</v>
      </c>
      <c r="K800" t="s">
        <v>438</v>
      </c>
      <c r="M800" t="str">
        <f t="shared" si="40"/>
        <v>Borjesson_2000</v>
      </c>
      <c r="N800" t="s">
        <v>223</v>
      </c>
      <c r="O800" s="145" t="s">
        <v>224</v>
      </c>
      <c r="Q800" t="s">
        <v>257</v>
      </c>
      <c r="R800" s="255" t="s">
        <v>226</v>
      </c>
      <c r="S800" s="1" t="s">
        <v>465</v>
      </c>
      <c r="T800" t="s">
        <v>466</v>
      </c>
      <c r="U800" t="s">
        <v>472</v>
      </c>
      <c r="V800">
        <v>0</v>
      </c>
      <c r="W800">
        <v>0</v>
      </c>
      <c r="X800">
        <v>0</v>
      </c>
      <c r="Y800">
        <v>0</v>
      </c>
      <c r="Z800">
        <v>0</v>
      </c>
      <c r="AA800">
        <v>0</v>
      </c>
      <c r="AB800">
        <v>0</v>
      </c>
      <c r="AC800">
        <v>0</v>
      </c>
      <c r="AD800">
        <v>0</v>
      </c>
      <c r="AE800">
        <v>0</v>
      </c>
      <c r="AF800">
        <v>0</v>
      </c>
      <c r="AG800">
        <v>0</v>
      </c>
      <c r="AH800">
        <v>1</v>
      </c>
      <c r="AI800">
        <v>0</v>
      </c>
      <c r="AJ800">
        <v>0</v>
      </c>
      <c r="AK800">
        <v>0</v>
      </c>
      <c r="AL800">
        <v>0</v>
      </c>
      <c r="AM800">
        <v>0</v>
      </c>
      <c r="AN800">
        <v>0</v>
      </c>
      <c r="AO800">
        <v>0</v>
      </c>
      <c r="AP800">
        <v>0</v>
      </c>
      <c r="AQ800">
        <v>0</v>
      </c>
      <c r="AR800">
        <v>0</v>
      </c>
      <c r="AS800">
        <v>0</v>
      </c>
      <c r="AT800">
        <v>0</v>
      </c>
      <c r="AU800">
        <v>0</v>
      </c>
      <c r="AV800">
        <v>0</v>
      </c>
      <c r="AW800">
        <v>0</v>
      </c>
      <c r="AX800" s="141">
        <f t="shared" si="41"/>
        <v>1</v>
      </c>
      <c r="AY800" s="141">
        <f t="shared" si="88"/>
        <v>1</v>
      </c>
      <c r="AZ800">
        <f t="shared" si="89"/>
        <v>0</v>
      </c>
      <c r="BA800">
        <f t="shared" si="90"/>
        <v>1</v>
      </c>
      <c r="BB800">
        <f t="shared" si="91"/>
        <v>0</v>
      </c>
      <c r="BC800">
        <f t="shared" si="92"/>
        <v>0</v>
      </c>
      <c r="BD800">
        <f t="shared" si="93"/>
        <v>0</v>
      </c>
      <c r="BE800" t="str">
        <f t="array" ref="BE800">IF(AY800=1,INDEX($V$7:$AL$7,MATCH(TRUE,INDEX($V800:$AW800&lt;&gt;0,),0)),IF(AY800=0,INDEX($AM$7:$AW$7,MATCH(1,$AM800:$AW800,0)),IF(BF800="Multiple strategies","mixed drivers",IF(BF800="Supply chain","multiple supply","multiple silviculture"))))</f>
        <v xml:space="preserve">end of life disposal </v>
      </c>
      <c r="BF800" s="2" t="str" cm="1">
        <f t="array" ref="BF800">IF(COUNTIF(AZ800:BB800,"&lt;&gt;0")=1,INDEX($V$4:$AW$4,MATCH(TRUE,INDEX($V800:$AW800&lt;&gt;0,),0)),IF(COUNTIF(AZ800:BB800,"&lt;&gt;0")=0,INDEX($AM$4:$AW$4,MATCH(1,$AM800:$AW800,0)),"Multiple strategies"))</f>
        <v>Supply chain</v>
      </c>
      <c r="BG800" s="142" t="s">
        <v>230</v>
      </c>
      <c r="BH800" t="s">
        <v>442</v>
      </c>
      <c r="BI800" s="266" t="s">
        <v>3276</v>
      </c>
      <c r="BJ800" s="143" t="s">
        <v>443</v>
      </c>
      <c r="BK800">
        <f t="shared" si="87"/>
        <v>132</v>
      </c>
      <c r="BL800">
        <f t="shared" si="87"/>
        <v>132</v>
      </c>
      <c r="BM800" s="143">
        <f t="shared" si="85"/>
        <v>1</v>
      </c>
      <c r="BN800">
        <f t="shared" si="66"/>
        <v>0</v>
      </c>
      <c r="BO800">
        <v>0</v>
      </c>
      <c r="BP800" t="s">
        <v>233</v>
      </c>
      <c r="BQ800" s="260" t="s">
        <v>815</v>
      </c>
      <c r="BR800" t="s">
        <v>444</v>
      </c>
      <c r="BS800" s="141">
        <v>47</v>
      </c>
      <c r="BT800" s="141">
        <v>82</v>
      </c>
      <c r="BU800" s="144">
        <f t="shared" si="80"/>
        <v>1.7446808510638299</v>
      </c>
      <c r="BV800">
        <f t="shared" si="81"/>
        <v>35</v>
      </c>
      <c r="BX800">
        <f t="shared" si="86"/>
        <v>128.44999999999999</v>
      </c>
      <c r="BY800" t="str">
        <f t="shared" si="94"/>
        <v/>
      </c>
      <c r="BZ800" s="143">
        <v>0</v>
      </c>
      <c r="CA800" s="143">
        <v>0</v>
      </c>
      <c r="CB800" s="143">
        <v>0</v>
      </c>
      <c r="CC800" s="143">
        <v>0</v>
      </c>
      <c r="CD800" s="143">
        <v>0</v>
      </c>
      <c r="CE800" s="143">
        <v>0</v>
      </c>
      <c r="CF800" s="143">
        <v>0</v>
      </c>
      <c r="CG800" s="143">
        <v>0</v>
      </c>
      <c r="CH800" s="143">
        <v>0</v>
      </c>
      <c r="CI800" s="143">
        <v>0</v>
      </c>
      <c r="CJ800" s="143">
        <v>0</v>
      </c>
      <c r="CK800" s="143">
        <v>0</v>
      </c>
      <c r="CL800" s="143">
        <v>0</v>
      </c>
      <c r="CM800">
        <v>0</v>
      </c>
      <c r="CN800" t="str">
        <f>IF($BL800&lt;$BK800,"refNeedCorrection","refOK")</f>
        <v>refOK</v>
      </c>
      <c r="CO800">
        <f t="shared" si="67"/>
        <v>132</v>
      </c>
      <c r="CP800">
        <f t="shared" si="68"/>
        <v>132</v>
      </c>
      <c r="CQ800">
        <f t="shared" si="51"/>
        <v>0</v>
      </c>
      <c r="CR800">
        <f t="shared" si="69"/>
        <v>47</v>
      </c>
      <c r="CS800">
        <f t="shared" si="70"/>
        <v>82</v>
      </c>
      <c r="CT800">
        <f t="shared" si="84"/>
        <v>128.44999999999999</v>
      </c>
      <c r="CU800" t="str">
        <f t="shared" si="53"/>
        <v/>
      </c>
      <c r="CV800" s="2">
        <f t="shared" si="95"/>
        <v>0.74468085106382975</v>
      </c>
      <c r="CW800" s="1" t="s">
        <v>264</v>
      </c>
      <c r="CX800" t="str">
        <f t="shared" si="96"/>
        <v>loc</v>
      </c>
      <c r="CY800" t="s">
        <v>445</v>
      </c>
      <c r="DB800">
        <v>300</v>
      </c>
      <c r="DC800" t="str">
        <f t="shared" si="97"/>
        <v>+100</v>
      </c>
      <c r="DD800">
        <v>0</v>
      </c>
      <c r="DE800">
        <v>1</v>
      </c>
      <c r="DF800">
        <v>0</v>
      </c>
      <c r="DG800">
        <v>0</v>
      </c>
      <c r="DI800">
        <f t="shared" si="71"/>
        <v>1</v>
      </c>
      <c r="DJ800" t="str">
        <f t="shared" si="57"/>
        <v>EnergyInput</v>
      </c>
      <c r="DK800">
        <f t="shared" si="73"/>
        <v>0</v>
      </c>
      <c r="DL800" t="str">
        <f t="shared" si="74"/>
        <v>Energy</v>
      </c>
      <c r="DM800">
        <f t="shared" si="75"/>
        <v>0</v>
      </c>
      <c r="DN800">
        <f t="shared" si="76"/>
        <v>0</v>
      </c>
      <c r="DO800">
        <v>1</v>
      </c>
      <c r="DP800" s="143">
        <v>0</v>
      </c>
      <c r="DQ800" s="143">
        <v>0</v>
      </c>
      <c r="DR800" s="143">
        <v>0</v>
      </c>
      <c r="DS800">
        <v>0</v>
      </c>
      <c r="DT800">
        <f t="shared" si="72"/>
        <v>1</v>
      </c>
      <c r="DU800" s="143" t="str">
        <f t="shared" si="99"/>
        <v>self-calculated DF</v>
      </c>
      <c r="DV800">
        <v>0</v>
      </c>
      <c r="DW800" s="143">
        <v>0</v>
      </c>
      <c r="DX800" s="143">
        <v>1</v>
      </c>
      <c r="DY800" s="143">
        <v>1</v>
      </c>
      <c r="DZ800">
        <v>1</v>
      </c>
      <c r="EA800" s="143">
        <v>1</v>
      </c>
      <c r="EB800">
        <v>0</v>
      </c>
      <c r="EC800" s="143">
        <v>1</v>
      </c>
      <c r="ED800" s="143">
        <v>0</v>
      </c>
      <c r="EE800">
        <v>0</v>
      </c>
      <c r="EF800">
        <v>0</v>
      </c>
      <c r="EG800" s="143">
        <v>0</v>
      </c>
      <c r="EH800" s="143">
        <v>0</v>
      </c>
      <c r="EI800" s="2">
        <v>0</v>
      </c>
      <c r="EK800" t="str">
        <f t="shared" si="77"/>
        <v/>
      </c>
      <c r="EL800" t="str">
        <f t="shared" si="78"/>
        <v/>
      </c>
      <c r="EM800" s="2" t="str">
        <f t="shared" si="98"/>
        <v/>
      </c>
      <c r="EN800" t="s">
        <v>446</v>
      </c>
      <c r="EP800" t="b">
        <f>IF(ISNUMBER(BU800),IF(ABS(BU800-[4]QC_indicators!$B$2)&gt;3*[4]QC_indicators!$C$2,"C ratio",IF(ISNUMBER(BY800),IF(ABS(BY800-[4]QC_indicators!$B$1)&gt;3*[4]QC_indicators!$C$1,"DF","no"))),IF(ISNUMBER(BY800),IF(ABS(BY800-[4]QC_indicators!$B$1)&gt;3*[4]QC_indicators!$C$1,"DF","no")))</f>
        <v>0</v>
      </c>
      <c r="ET800" s="266" t="s">
        <v>3275</v>
      </c>
    </row>
    <row r="801" spans="1:150" ht="15" hidden="1" customHeight="1">
      <c r="A801" s="1" t="s">
        <v>431</v>
      </c>
      <c r="B801" t="s">
        <v>432</v>
      </c>
      <c r="C801" t="s">
        <v>433</v>
      </c>
      <c r="D801" t="s">
        <v>434</v>
      </c>
      <c r="E801" t="s">
        <v>435</v>
      </c>
      <c r="F801" t="s">
        <v>436</v>
      </c>
      <c r="G801" t="s">
        <v>437</v>
      </c>
      <c r="H801" t="s">
        <v>255</v>
      </c>
      <c r="I801">
        <v>2000</v>
      </c>
      <c r="J801">
        <v>174</v>
      </c>
      <c r="K801" t="s">
        <v>438</v>
      </c>
      <c r="M801" t="str">
        <f t="shared" si="40"/>
        <v>Borjesson_2000</v>
      </c>
      <c r="N801" t="s">
        <v>223</v>
      </c>
      <c r="O801" s="145" t="s">
        <v>224</v>
      </c>
      <c r="Q801" t="s">
        <v>257</v>
      </c>
      <c r="R801" s="255" t="s">
        <v>226</v>
      </c>
      <c r="S801" s="1" t="s">
        <v>465</v>
      </c>
      <c r="T801" t="s">
        <v>468</v>
      </c>
      <c r="U801" t="s">
        <v>473</v>
      </c>
      <c r="V801">
        <v>0</v>
      </c>
      <c r="W801">
        <v>0</v>
      </c>
      <c r="X801">
        <v>0</v>
      </c>
      <c r="Y801">
        <v>0</v>
      </c>
      <c r="Z801">
        <v>0</v>
      </c>
      <c r="AA801">
        <v>0</v>
      </c>
      <c r="AB801">
        <v>0</v>
      </c>
      <c r="AC801">
        <v>0</v>
      </c>
      <c r="AD801">
        <v>0</v>
      </c>
      <c r="AE801">
        <v>0</v>
      </c>
      <c r="AF801">
        <v>0</v>
      </c>
      <c r="AG801">
        <v>0</v>
      </c>
      <c r="AH801">
        <v>1</v>
      </c>
      <c r="AI801">
        <v>0</v>
      </c>
      <c r="AJ801">
        <v>0</v>
      </c>
      <c r="AK801">
        <v>0</v>
      </c>
      <c r="AL801">
        <v>0</v>
      </c>
      <c r="AM801">
        <v>0</v>
      </c>
      <c r="AN801">
        <v>0</v>
      </c>
      <c r="AO801">
        <v>0</v>
      </c>
      <c r="AP801">
        <v>0</v>
      </c>
      <c r="AQ801">
        <v>0</v>
      </c>
      <c r="AR801">
        <v>0</v>
      </c>
      <c r="AS801">
        <v>0</v>
      </c>
      <c r="AT801">
        <v>0</v>
      </c>
      <c r="AU801">
        <v>0</v>
      </c>
      <c r="AV801">
        <v>0</v>
      </c>
      <c r="AW801">
        <v>0</v>
      </c>
      <c r="AX801" s="141">
        <f t="shared" si="41"/>
        <v>1</v>
      </c>
      <c r="AY801" s="141">
        <f t="shared" si="88"/>
        <v>1</v>
      </c>
      <c r="AZ801">
        <f t="shared" si="89"/>
        <v>0</v>
      </c>
      <c r="BA801">
        <f t="shared" si="90"/>
        <v>1</v>
      </c>
      <c r="BB801">
        <f t="shared" si="91"/>
        <v>0</v>
      </c>
      <c r="BC801">
        <f t="shared" si="92"/>
        <v>0</v>
      </c>
      <c r="BD801">
        <f t="shared" si="93"/>
        <v>0</v>
      </c>
      <c r="BE801" t="str">
        <f t="array" ref="BE801">IF(AY801=1,INDEX($V$7:$AL$7,MATCH(TRUE,INDEX($V801:$AW801&lt;&gt;0,),0)),IF(AY801=0,INDEX($AM$7:$AW$7,MATCH(1,$AM801:$AW801,0)),IF(BF801="Multiple strategies","mixed drivers",IF(BF801="Supply chain","multiple supply","multiple silviculture"))))</f>
        <v xml:space="preserve">end of life disposal </v>
      </c>
      <c r="BF801" s="2" t="str" cm="1">
        <f t="array" ref="BF801">IF(COUNTIF(AZ801:BB801,"&lt;&gt;0")=1,INDEX($V$4:$AW$4,MATCH(TRUE,INDEX($V801:$AW801&lt;&gt;0,),0)),IF(COUNTIF(AZ801:BB801,"&lt;&gt;0")=0,INDEX($AM$4:$AW$4,MATCH(1,$AM801:$AW801,0)),"Multiple strategies"))</f>
        <v>Supply chain</v>
      </c>
      <c r="BG801" s="142" t="s">
        <v>230</v>
      </c>
      <c r="BH801" t="s">
        <v>442</v>
      </c>
      <c r="BI801" s="266" t="s">
        <v>3276</v>
      </c>
      <c r="BJ801" s="143" t="s">
        <v>443</v>
      </c>
      <c r="BK801">
        <f t="shared" si="87"/>
        <v>132</v>
      </c>
      <c r="BL801">
        <f t="shared" si="87"/>
        <v>132</v>
      </c>
      <c r="BM801" s="143">
        <f t="shared" si="85"/>
        <v>1</v>
      </c>
      <c r="BN801">
        <f t="shared" si="66"/>
        <v>0</v>
      </c>
      <c r="BO801">
        <v>0</v>
      </c>
      <c r="BP801" t="s">
        <v>233</v>
      </c>
      <c r="BQ801" s="260" t="s">
        <v>815</v>
      </c>
      <c r="BR801" t="s">
        <v>444</v>
      </c>
      <c r="BS801" s="141">
        <v>-3</v>
      </c>
      <c r="BT801" s="141">
        <v>93</v>
      </c>
      <c r="BU801" s="144">
        <f t="shared" si="80"/>
        <v>-31</v>
      </c>
      <c r="BV801">
        <f t="shared" si="81"/>
        <v>96</v>
      </c>
      <c r="BX801">
        <f t="shared" si="86"/>
        <v>352.32</v>
      </c>
      <c r="BY801" t="str">
        <f t="shared" si="94"/>
        <v/>
      </c>
      <c r="BZ801" s="143">
        <v>0</v>
      </c>
      <c r="CA801" s="143">
        <v>0</v>
      </c>
      <c r="CB801" s="143">
        <v>0</v>
      </c>
      <c r="CC801" s="143">
        <v>0</v>
      </c>
      <c r="CD801" s="143">
        <v>0</v>
      </c>
      <c r="CE801" s="143">
        <v>0</v>
      </c>
      <c r="CF801" s="143">
        <v>0</v>
      </c>
      <c r="CG801" s="143">
        <v>0</v>
      </c>
      <c r="CH801" s="143">
        <v>0</v>
      </c>
      <c r="CI801" s="143">
        <v>0</v>
      </c>
      <c r="CJ801" s="143">
        <v>0</v>
      </c>
      <c r="CK801" s="143">
        <v>0</v>
      </c>
      <c r="CL801" s="143">
        <v>0</v>
      </c>
      <c r="CM801">
        <v>0</v>
      </c>
      <c r="CN801" t="str">
        <f>IF(BL801&lt;BK801,"refNeedCorrection","refOK")</f>
        <v>refOK</v>
      </c>
      <c r="CO801">
        <f t="shared" si="67"/>
        <v>132</v>
      </c>
      <c r="CP801">
        <f t="shared" si="68"/>
        <v>132</v>
      </c>
      <c r="CQ801">
        <f t="shared" si="51"/>
        <v>0</v>
      </c>
      <c r="CR801">
        <f t="shared" si="69"/>
        <v>-3</v>
      </c>
      <c r="CS801">
        <f t="shared" si="70"/>
        <v>93</v>
      </c>
      <c r="CT801">
        <f t="shared" si="84"/>
        <v>352.32</v>
      </c>
      <c r="CU801" t="str">
        <f t="shared" si="53"/>
        <v/>
      </c>
      <c r="CV801" s="2">
        <f t="shared" si="95"/>
        <v>32</v>
      </c>
      <c r="CW801" s="1" t="s">
        <v>264</v>
      </c>
      <c r="CX801" t="str">
        <f t="shared" si="96"/>
        <v>loc</v>
      </c>
      <c r="CY801" t="s">
        <v>445</v>
      </c>
      <c r="DB801">
        <v>300</v>
      </c>
      <c r="DC801" t="str">
        <f t="shared" si="97"/>
        <v>+100</v>
      </c>
      <c r="DD801">
        <v>0</v>
      </c>
      <c r="DE801">
        <v>1</v>
      </c>
      <c r="DF801">
        <v>0</v>
      </c>
      <c r="DG801">
        <v>0</v>
      </c>
      <c r="DI801">
        <f t="shared" si="71"/>
        <v>1</v>
      </c>
      <c r="DJ801" t="str">
        <f t="shared" si="57"/>
        <v>EnergyInput</v>
      </c>
      <c r="DK801">
        <f t="shared" si="73"/>
        <v>0</v>
      </c>
      <c r="DL801" t="str">
        <f t="shared" si="74"/>
        <v>Energy</v>
      </c>
      <c r="DM801">
        <f t="shared" si="75"/>
        <v>0</v>
      </c>
      <c r="DN801">
        <f t="shared" si="76"/>
        <v>0</v>
      </c>
      <c r="DO801">
        <v>1</v>
      </c>
      <c r="DP801" s="143">
        <v>0</v>
      </c>
      <c r="DQ801" s="143">
        <v>0</v>
      </c>
      <c r="DR801" s="143">
        <v>0</v>
      </c>
      <c r="DS801">
        <v>0</v>
      </c>
      <c r="DT801">
        <f t="shared" si="72"/>
        <v>1</v>
      </c>
      <c r="DU801" s="143" t="str">
        <f t="shared" si="99"/>
        <v>self-calculated DF</v>
      </c>
      <c r="DV801">
        <v>0</v>
      </c>
      <c r="DW801" s="143">
        <v>0</v>
      </c>
      <c r="DX801" s="143">
        <v>1</v>
      </c>
      <c r="DY801" s="143">
        <v>1</v>
      </c>
      <c r="DZ801">
        <v>1</v>
      </c>
      <c r="EA801" s="143">
        <v>1</v>
      </c>
      <c r="EB801">
        <v>0</v>
      </c>
      <c r="EC801" s="143">
        <v>1</v>
      </c>
      <c r="ED801" s="143">
        <v>0</v>
      </c>
      <c r="EE801">
        <v>0</v>
      </c>
      <c r="EF801">
        <v>0</v>
      </c>
      <c r="EG801" s="143">
        <v>0</v>
      </c>
      <c r="EH801" s="143">
        <v>0</v>
      </c>
      <c r="EI801" s="2">
        <v>0</v>
      </c>
      <c r="EK801" t="str">
        <f t="shared" si="77"/>
        <v/>
      </c>
      <c r="EL801" t="str">
        <f t="shared" si="78"/>
        <v/>
      </c>
      <c r="EM801" s="2" t="str">
        <f t="shared" si="98"/>
        <v/>
      </c>
      <c r="EN801" t="s">
        <v>446</v>
      </c>
      <c r="EP801" t="str">
        <f>IF(ISNUMBER(BU801),IF(ABS(BU801-[4]QC_indicators!$B$2)&gt;3*[4]QC_indicators!$C$2,"C ratio",IF(ISNUMBER(BY801),IF(ABS(BY801-[4]QC_indicators!$B$1)&gt;3*[4]QC_indicators!$C$1,"DF","no"))),IF(ISNUMBER(BY801),IF(ABS(BY801-[4]QC_indicators!$B$1)&gt;3*[4]QC_indicators!$C$1,"DF","no")))</f>
        <v>C ratio</v>
      </c>
      <c r="EQ801" t="s">
        <v>451</v>
      </c>
      <c r="ET801" s="266" t="s">
        <v>3275</v>
      </c>
    </row>
    <row r="802" spans="1:150" ht="15" hidden="1" customHeight="1">
      <c r="A802" s="1" t="s">
        <v>431</v>
      </c>
      <c r="B802" t="s">
        <v>432</v>
      </c>
      <c r="C802" t="s">
        <v>433</v>
      </c>
      <c r="D802" t="s">
        <v>434</v>
      </c>
      <c r="E802" t="s">
        <v>435</v>
      </c>
      <c r="F802" t="s">
        <v>436</v>
      </c>
      <c r="G802" t="s">
        <v>437</v>
      </c>
      <c r="H802" t="s">
        <v>255</v>
      </c>
      <c r="I802">
        <v>2000</v>
      </c>
      <c r="J802">
        <v>174</v>
      </c>
      <c r="K802" t="s">
        <v>438</v>
      </c>
      <c r="M802" t="str">
        <f t="shared" si="40"/>
        <v>Borjesson_2000</v>
      </c>
      <c r="N802" t="s">
        <v>223</v>
      </c>
      <c r="O802" s="145" t="s">
        <v>224</v>
      </c>
      <c r="Q802" t="s">
        <v>257</v>
      </c>
      <c r="R802" s="255" t="s">
        <v>226</v>
      </c>
      <c r="S802" s="1" t="s">
        <v>465</v>
      </c>
      <c r="T802" t="s">
        <v>466</v>
      </c>
      <c r="U802" t="s">
        <v>473</v>
      </c>
      <c r="V802">
        <v>0</v>
      </c>
      <c r="W802">
        <v>0</v>
      </c>
      <c r="X802">
        <v>0</v>
      </c>
      <c r="Y802">
        <v>0</v>
      </c>
      <c r="Z802">
        <v>0</v>
      </c>
      <c r="AA802">
        <v>0</v>
      </c>
      <c r="AB802">
        <v>0</v>
      </c>
      <c r="AC802">
        <v>0</v>
      </c>
      <c r="AD802">
        <v>0</v>
      </c>
      <c r="AE802">
        <v>0</v>
      </c>
      <c r="AF802">
        <v>0</v>
      </c>
      <c r="AG802">
        <v>0</v>
      </c>
      <c r="AH802">
        <v>1</v>
      </c>
      <c r="AI802">
        <v>0</v>
      </c>
      <c r="AJ802">
        <v>0</v>
      </c>
      <c r="AK802">
        <v>0</v>
      </c>
      <c r="AL802">
        <v>0</v>
      </c>
      <c r="AM802">
        <v>0</v>
      </c>
      <c r="AN802">
        <v>0</v>
      </c>
      <c r="AO802">
        <v>0</v>
      </c>
      <c r="AP802">
        <v>0</v>
      </c>
      <c r="AQ802">
        <v>0</v>
      </c>
      <c r="AR802">
        <v>0</v>
      </c>
      <c r="AS802">
        <v>0</v>
      </c>
      <c r="AT802">
        <v>0</v>
      </c>
      <c r="AU802">
        <v>0</v>
      </c>
      <c r="AV802">
        <v>0</v>
      </c>
      <c r="AW802">
        <v>0</v>
      </c>
      <c r="AX802" s="141">
        <f t="shared" si="41"/>
        <v>1</v>
      </c>
      <c r="AY802" s="141">
        <f t="shared" si="88"/>
        <v>1</v>
      </c>
      <c r="AZ802">
        <f t="shared" si="89"/>
        <v>0</v>
      </c>
      <c r="BA802">
        <f t="shared" si="90"/>
        <v>1</v>
      </c>
      <c r="BB802">
        <f t="shared" si="91"/>
        <v>0</v>
      </c>
      <c r="BC802">
        <f t="shared" si="92"/>
        <v>0</v>
      </c>
      <c r="BD802">
        <f t="shared" si="93"/>
        <v>0</v>
      </c>
      <c r="BE802" t="str">
        <f t="array" ref="BE802">IF(AY802=1,INDEX($V$7:$AL$7,MATCH(TRUE,INDEX($V802:$AW802&lt;&gt;0,),0)),IF(AY802=0,INDEX($AM$7:$AW$7,MATCH(1,$AM802:$AW802,0)),IF(BF802="Multiple strategies","mixed drivers",IF(BF802="Supply chain","multiple supply","multiple silviculture"))))</f>
        <v xml:space="preserve">end of life disposal </v>
      </c>
      <c r="BF802" s="2" t="str" cm="1">
        <f t="array" ref="BF802">IF(COUNTIF(AZ802:BB802,"&lt;&gt;0")=1,INDEX($V$4:$AW$4,MATCH(TRUE,INDEX($V802:$AW802&lt;&gt;0,),0)),IF(COUNTIF(AZ802:BB802,"&lt;&gt;0")=0,INDEX($AM$4:$AW$4,MATCH(1,$AM802:$AW802,0)),"Multiple strategies"))</f>
        <v>Supply chain</v>
      </c>
      <c r="BG802" s="142" t="s">
        <v>230</v>
      </c>
      <c r="BH802" t="s">
        <v>442</v>
      </c>
      <c r="BI802" s="266" t="s">
        <v>3276</v>
      </c>
      <c r="BJ802" s="143" t="s">
        <v>443</v>
      </c>
      <c r="BK802">
        <f t="shared" si="87"/>
        <v>132</v>
      </c>
      <c r="BL802">
        <f t="shared" si="87"/>
        <v>132</v>
      </c>
      <c r="BM802" s="143">
        <f t="shared" si="85"/>
        <v>1</v>
      </c>
      <c r="BN802">
        <f t="shared" si="66"/>
        <v>0</v>
      </c>
      <c r="BO802">
        <v>0</v>
      </c>
      <c r="BP802" t="s">
        <v>233</v>
      </c>
      <c r="BQ802" s="260" t="s">
        <v>815</v>
      </c>
      <c r="BR802" t="s">
        <v>444</v>
      </c>
      <c r="BS802" s="141">
        <v>47</v>
      </c>
      <c r="BT802" s="141">
        <v>93</v>
      </c>
      <c r="BU802" s="144">
        <f t="shared" si="80"/>
        <v>1.9787234042553192</v>
      </c>
      <c r="BV802">
        <f t="shared" si="81"/>
        <v>46</v>
      </c>
      <c r="BX802">
        <f t="shared" si="86"/>
        <v>168.82</v>
      </c>
      <c r="BY802" t="str">
        <f t="shared" si="94"/>
        <v/>
      </c>
      <c r="BZ802" s="143">
        <v>0</v>
      </c>
      <c r="CA802" s="143">
        <v>0</v>
      </c>
      <c r="CB802" s="143">
        <v>0</v>
      </c>
      <c r="CC802" s="143">
        <v>0</v>
      </c>
      <c r="CD802" s="143">
        <v>0</v>
      </c>
      <c r="CE802" s="143">
        <v>0</v>
      </c>
      <c r="CF802" s="143">
        <v>0</v>
      </c>
      <c r="CG802" s="143">
        <v>0</v>
      </c>
      <c r="CH802" s="143">
        <v>0</v>
      </c>
      <c r="CI802" s="143">
        <v>0</v>
      </c>
      <c r="CJ802" s="143">
        <v>0</v>
      </c>
      <c r="CK802" s="143">
        <v>0</v>
      </c>
      <c r="CL802" s="143">
        <v>0</v>
      </c>
      <c r="CM802">
        <v>0</v>
      </c>
      <c r="CN802" t="str">
        <f t="shared" ref="CN802:CN808" si="100">IF($BL802&lt;$BK802,"refNeedCorrection","refOK")</f>
        <v>refOK</v>
      </c>
      <c r="CO802">
        <f t="shared" si="67"/>
        <v>132</v>
      </c>
      <c r="CP802">
        <f t="shared" si="68"/>
        <v>132</v>
      </c>
      <c r="CQ802">
        <f t="shared" si="51"/>
        <v>0</v>
      </c>
      <c r="CR802">
        <f t="shared" si="69"/>
        <v>47</v>
      </c>
      <c r="CS802">
        <f t="shared" si="70"/>
        <v>93</v>
      </c>
      <c r="CT802">
        <f t="shared" si="84"/>
        <v>168.82</v>
      </c>
      <c r="CU802" t="str">
        <f t="shared" si="53"/>
        <v/>
      </c>
      <c r="CV802" s="2">
        <f t="shared" si="95"/>
        <v>0.97872340425531912</v>
      </c>
      <c r="CW802" s="1" t="s">
        <v>264</v>
      </c>
      <c r="CX802" t="str">
        <f t="shared" si="96"/>
        <v>loc</v>
      </c>
      <c r="CY802" t="s">
        <v>445</v>
      </c>
      <c r="DB802">
        <v>300</v>
      </c>
      <c r="DC802" t="str">
        <f t="shared" si="97"/>
        <v>+100</v>
      </c>
      <c r="DD802">
        <v>0</v>
      </c>
      <c r="DE802">
        <v>1</v>
      </c>
      <c r="DF802">
        <v>0</v>
      </c>
      <c r="DG802">
        <v>0</v>
      </c>
      <c r="DI802">
        <f t="shared" si="71"/>
        <v>1</v>
      </c>
      <c r="DJ802" t="str">
        <f t="shared" si="57"/>
        <v>EnergyInput</v>
      </c>
      <c r="DK802">
        <f t="shared" si="73"/>
        <v>0</v>
      </c>
      <c r="DL802" t="str">
        <f t="shared" si="74"/>
        <v>Energy</v>
      </c>
      <c r="DM802">
        <f t="shared" si="75"/>
        <v>0</v>
      </c>
      <c r="DN802">
        <f t="shared" si="76"/>
        <v>0</v>
      </c>
      <c r="DO802">
        <v>1</v>
      </c>
      <c r="DP802" s="143">
        <v>0</v>
      </c>
      <c r="DQ802" s="143">
        <v>0</v>
      </c>
      <c r="DR802" s="143">
        <v>0</v>
      </c>
      <c r="DS802">
        <v>0</v>
      </c>
      <c r="DT802">
        <f t="shared" si="72"/>
        <v>1</v>
      </c>
      <c r="DU802" s="143" t="str">
        <f t="shared" si="99"/>
        <v>self-calculated DF</v>
      </c>
      <c r="DV802">
        <v>0</v>
      </c>
      <c r="DW802" s="143">
        <v>0</v>
      </c>
      <c r="DX802" s="143">
        <v>1</v>
      </c>
      <c r="DY802" s="143">
        <v>1</v>
      </c>
      <c r="DZ802">
        <v>1</v>
      </c>
      <c r="EA802" s="143">
        <v>1</v>
      </c>
      <c r="EB802">
        <v>0</v>
      </c>
      <c r="EC802" s="143">
        <v>1</v>
      </c>
      <c r="ED802" s="143">
        <v>0</v>
      </c>
      <c r="EE802">
        <v>0</v>
      </c>
      <c r="EF802">
        <v>0</v>
      </c>
      <c r="EG802" s="143">
        <v>0</v>
      </c>
      <c r="EH802" s="143">
        <v>0</v>
      </c>
      <c r="EI802" s="2">
        <v>0</v>
      </c>
      <c r="EK802" t="str">
        <f t="shared" si="77"/>
        <v/>
      </c>
      <c r="EL802" t="str">
        <f t="shared" si="78"/>
        <v/>
      </c>
      <c r="EM802" s="2" t="str">
        <f t="shared" si="98"/>
        <v/>
      </c>
      <c r="EN802" t="s">
        <v>446</v>
      </c>
      <c r="EP802" t="b">
        <f>IF(ISNUMBER(BU802),IF(ABS(BU802-[4]QC_indicators!$B$2)&gt;3*[4]QC_indicators!$C$2,"C ratio",IF(ISNUMBER(BY802),IF(ABS(BY802-[4]QC_indicators!$B$1)&gt;3*[4]QC_indicators!$C$1,"DF","no"))),IF(ISNUMBER(BY802),IF(ABS(BY802-[4]QC_indicators!$B$1)&gt;3*[4]QC_indicators!$C$1,"DF","no")))</f>
        <v>0</v>
      </c>
      <c r="ET802" s="266" t="s">
        <v>3275</v>
      </c>
    </row>
    <row r="803" spans="1:150" ht="15" hidden="1" customHeight="1">
      <c r="A803" s="1" t="s">
        <v>431</v>
      </c>
      <c r="B803" t="s">
        <v>432</v>
      </c>
      <c r="C803" t="s">
        <v>433</v>
      </c>
      <c r="D803" t="s">
        <v>434</v>
      </c>
      <c r="E803" t="s">
        <v>435</v>
      </c>
      <c r="F803" t="s">
        <v>436</v>
      </c>
      <c r="G803" t="s">
        <v>437</v>
      </c>
      <c r="H803" t="s">
        <v>255</v>
      </c>
      <c r="I803">
        <v>2000</v>
      </c>
      <c r="J803">
        <v>174</v>
      </c>
      <c r="K803" t="s">
        <v>438</v>
      </c>
      <c r="M803" t="str">
        <f t="shared" si="40"/>
        <v>Borjesson_2000</v>
      </c>
      <c r="N803" t="s">
        <v>223</v>
      </c>
      <c r="O803" s="145" t="s">
        <v>224</v>
      </c>
      <c r="Q803" t="s">
        <v>257</v>
      </c>
      <c r="R803" s="255" t="s">
        <v>226</v>
      </c>
      <c r="S803" s="1" t="s">
        <v>465</v>
      </c>
      <c r="T803" t="s">
        <v>466</v>
      </c>
      <c r="U803" t="s">
        <v>474</v>
      </c>
      <c r="V803">
        <v>0</v>
      </c>
      <c r="W803">
        <v>0</v>
      </c>
      <c r="X803">
        <v>0</v>
      </c>
      <c r="Y803">
        <v>0</v>
      </c>
      <c r="Z803">
        <v>0</v>
      </c>
      <c r="AA803">
        <v>0</v>
      </c>
      <c r="AB803">
        <v>0</v>
      </c>
      <c r="AC803">
        <v>0</v>
      </c>
      <c r="AD803">
        <v>0</v>
      </c>
      <c r="AE803">
        <v>0</v>
      </c>
      <c r="AF803">
        <v>0</v>
      </c>
      <c r="AG803">
        <v>0</v>
      </c>
      <c r="AH803">
        <v>1</v>
      </c>
      <c r="AI803">
        <v>0</v>
      </c>
      <c r="AJ803">
        <v>0</v>
      </c>
      <c r="AK803">
        <v>0</v>
      </c>
      <c r="AL803">
        <v>0</v>
      </c>
      <c r="AM803">
        <v>0</v>
      </c>
      <c r="AN803">
        <v>0</v>
      </c>
      <c r="AO803">
        <v>0</v>
      </c>
      <c r="AP803">
        <v>0</v>
      </c>
      <c r="AQ803">
        <v>0</v>
      </c>
      <c r="AR803">
        <v>0</v>
      </c>
      <c r="AS803">
        <v>0</v>
      </c>
      <c r="AT803">
        <v>0</v>
      </c>
      <c r="AU803">
        <v>0</v>
      </c>
      <c r="AV803">
        <v>0</v>
      </c>
      <c r="AW803">
        <v>0</v>
      </c>
      <c r="AX803" s="141">
        <f t="shared" si="41"/>
        <v>1</v>
      </c>
      <c r="AY803" s="141">
        <f t="shared" si="88"/>
        <v>1</v>
      </c>
      <c r="AZ803">
        <f t="shared" si="89"/>
        <v>0</v>
      </c>
      <c r="BA803">
        <f t="shared" si="90"/>
        <v>1</v>
      </c>
      <c r="BB803">
        <f t="shared" si="91"/>
        <v>0</v>
      </c>
      <c r="BC803">
        <f t="shared" si="92"/>
        <v>0</v>
      </c>
      <c r="BD803">
        <f t="shared" si="93"/>
        <v>0</v>
      </c>
      <c r="BE803" t="str">
        <f t="array" ref="BE803">IF(AY803=1,INDEX($V$7:$AL$7,MATCH(TRUE,INDEX($V803:$AW803&lt;&gt;0,),0)),IF(AY803=0,INDEX($AM$7:$AW$7,MATCH(1,$AM803:$AW803,0)),IF(BF803="Multiple strategies","mixed drivers",IF(BF803="Supply chain","multiple supply","multiple silviculture"))))</f>
        <v xml:space="preserve">end of life disposal </v>
      </c>
      <c r="BF803" s="2" t="str" cm="1">
        <f t="array" ref="BF803">IF(COUNTIF(AZ803:BB803,"&lt;&gt;0")=1,INDEX($V$4:$AW$4,MATCH(TRUE,INDEX($V803:$AW803&lt;&gt;0,),0)),IF(COUNTIF(AZ803:BB803,"&lt;&gt;0")=0,INDEX($AM$4:$AW$4,MATCH(1,$AM803:$AW803,0)),"Multiple strategies"))</f>
        <v>Supply chain</v>
      </c>
      <c r="BG803" s="142" t="s">
        <v>230</v>
      </c>
      <c r="BH803" t="s">
        <v>442</v>
      </c>
      <c r="BI803" s="266" t="s">
        <v>3276</v>
      </c>
      <c r="BJ803" s="143" t="s">
        <v>443</v>
      </c>
      <c r="BK803">
        <f t="shared" si="87"/>
        <v>132</v>
      </c>
      <c r="BL803">
        <f t="shared" si="87"/>
        <v>132</v>
      </c>
      <c r="BM803" s="143">
        <f t="shared" si="85"/>
        <v>1</v>
      </c>
      <c r="BN803">
        <f t="shared" si="66"/>
        <v>0</v>
      </c>
      <c r="BO803">
        <v>0</v>
      </c>
      <c r="BP803" t="s">
        <v>233</v>
      </c>
      <c r="BQ803" s="260" t="s">
        <v>815</v>
      </c>
      <c r="BR803" t="s">
        <v>444</v>
      </c>
      <c r="BS803" s="141">
        <v>47</v>
      </c>
      <c r="BT803" s="141">
        <v>59</v>
      </c>
      <c r="BU803" s="144">
        <f t="shared" si="80"/>
        <v>1.2553191489361701</v>
      </c>
      <c r="BV803">
        <f t="shared" si="81"/>
        <v>12</v>
      </c>
      <c r="BX803">
        <f t="shared" si="86"/>
        <v>44.04</v>
      </c>
      <c r="BY803" t="str">
        <f t="shared" si="94"/>
        <v/>
      </c>
      <c r="BZ803" s="143">
        <v>0</v>
      </c>
      <c r="CA803" s="143">
        <v>0</v>
      </c>
      <c r="CB803" s="143">
        <v>0</v>
      </c>
      <c r="CC803" s="143">
        <v>0</v>
      </c>
      <c r="CD803" s="143">
        <v>0</v>
      </c>
      <c r="CE803" s="143">
        <v>0</v>
      </c>
      <c r="CF803" s="143">
        <v>0</v>
      </c>
      <c r="CG803" s="143">
        <v>0</v>
      </c>
      <c r="CH803" s="143">
        <v>0</v>
      </c>
      <c r="CI803" s="143">
        <v>0</v>
      </c>
      <c r="CJ803" s="143">
        <v>0</v>
      </c>
      <c r="CK803" s="143">
        <v>0</v>
      </c>
      <c r="CL803" s="143">
        <v>0</v>
      </c>
      <c r="CM803">
        <v>0</v>
      </c>
      <c r="CN803" t="str">
        <f t="shared" si="100"/>
        <v>refOK</v>
      </c>
      <c r="CO803">
        <f t="shared" si="67"/>
        <v>132</v>
      </c>
      <c r="CP803">
        <f t="shared" si="68"/>
        <v>132</v>
      </c>
      <c r="CQ803">
        <f t="shared" si="51"/>
        <v>0</v>
      </c>
      <c r="CR803">
        <f t="shared" si="69"/>
        <v>47</v>
      </c>
      <c r="CS803">
        <f t="shared" si="70"/>
        <v>59</v>
      </c>
      <c r="CT803">
        <f t="shared" si="84"/>
        <v>44.04</v>
      </c>
      <c r="CU803" t="str">
        <f t="shared" si="53"/>
        <v/>
      </c>
      <c r="CV803" s="2">
        <f t="shared" si="95"/>
        <v>0.25531914893617019</v>
      </c>
      <c r="CW803" s="1" t="s">
        <v>264</v>
      </c>
      <c r="CX803" t="str">
        <f t="shared" si="96"/>
        <v>loc</v>
      </c>
      <c r="CY803" t="s">
        <v>445</v>
      </c>
      <c r="DB803">
        <v>300</v>
      </c>
      <c r="DC803" t="str">
        <f t="shared" si="97"/>
        <v>+100</v>
      </c>
      <c r="DD803">
        <v>0</v>
      </c>
      <c r="DE803">
        <v>1</v>
      </c>
      <c r="DF803">
        <v>0</v>
      </c>
      <c r="DG803">
        <v>0</v>
      </c>
      <c r="DI803">
        <f t="shared" si="71"/>
        <v>1</v>
      </c>
      <c r="DJ803" t="str">
        <f t="shared" si="57"/>
        <v>EnergyInput</v>
      </c>
      <c r="DK803">
        <f t="shared" si="73"/>
        <v>0</v>
      </c>
      <c r="DL803" t="str">
        <f t="shared" si="74"/>
        <v>Energy</v>
      </c>
      <c r="DM803">
        <f t="shared" si="75"/>
        <v>0</v>
      </c>
      <c r="DN803">
        <f t="shared" si="76"/>
        <v>0</v>
      </c>
      <c r="DO803">
        <v>1</v>
      </c>
      <c r="DP803" s="143">
        <v>0</v>
      </c>
      <c r="DQ803" s="143">
        <v>0</v>
      </c>
      <c r="DR803" s="143">
        <v>0</v>
      </c>
      <c r="DS803">
        <v>0</v>
      </c>
      <c r="DT803">
        <f t="shared" si="72"/>
        <v>1</v>
      </c>
      <c r="DU803" s="143" t="str">
        <f t="shared" si="99"/>
        <v>self-calculated DF</v>
      </c>
      <c r="DV803">
        <v>0</v>
      </c>
      <c r="DW803" s="143">
        <v>0</v>
      </c>
      <c r="DX803" s="143">
        <v>1</v>
      </c>
      <c r="DY803" s="143">
        <v>1</v>
      </c>
      <c r="DZ803">
        <v>1</v>
      </c>
      <c r="EA803" s="143">
        <v>1</v>
      </c>
      <c r="EB803">
        <v>0</v>
      </c>
      <c r="EC803" s="143">
        <v>1</v>
      </c>
      <c r="ED803" s="143">
        <v>0</v>
      </c>
      <c r="EE803">
        <v>0</v>
      </c>
      <c r="EF803">
        <v>0</v>
      </c>
      <c r="EG803" s="143">
        <v>0</v>
      </c>
      <c r="EH803" s="143">
        <v>0</v>
      </c>
      <c r="EI803" s="2">
        <v>0</v>
      </c>
      <c r="EK803" t="str">
        <f t="shared" si="77"/>
        <v/>
      </c>
      <c r="EL803" t="str">
        <f t="shared" si="78"/>
        <v/>
      </c>
      <c r="EM803" s="2" t="str">
        <f t="shared" si="98"/>
        <v/>
      </c>
      <c r="EN803" t="s">
        <v>446</v>
      </c>
      <c r="EP803" t="b">
        <f>IF(ISNUMBER(BU803),IF(ABS(BU803-[4]QC_indicators!$B$2)&gt;3*[4]QC_indicators!$C$2,"C ratio",IF(ISNUMBER(BY803),IF(ABS(BY803-[4]QC_indicators!$B$1)&gt;3*[4]QC_indicators!$C$1,"DF","no"))),IF(ISNUMBER(BY803),IF(ABS(BY803-[4]QC_indicators!$B$1)&gt;3*[4]QC_indicators!$C$1,"DF","no")))</f>
        <v>0</v>
      </c>
      <c r="ET803" s="266" t="s">
        <v>3275</v>
      </c>
    </row>
    <row r="804" spans="1:150" ht="15" hidden="1" customHeight="1">
      <c r="A804" s="1" t="s">
        <v>431</v>
      </c>
      <c r="B804" t="s">
        <v>432</v>
      </c>
      <c r="C804" t="s">
        <v>433</v>
      </c>
      <c r="D804" t="s">
        <v>434</v>
      </c>
      <c r="E804" t="s">
        <v>435</v>
      </c>
      <c r="F804" t="s">
        <v>436</v>
      </c>
      <c r="G804" t="s">
        <v>437</v>
      </c>
      <c r="H804" t="s">
        <v>255</v>
      </c>
      <c r="I804">
        <v>2000</v>
      </c>
      <c r="J804">
        <v>174</v>
      </c>
      <c r="K804" t="s">
        <v>438</v>
      </c>
      <c r="M804" t="str">
        <f t="shared" si="40"/>
        <v>Borjesson_2000</v>
      </c>
      <c r="N804" t="s">
        <v>223</v>
      </c>
      <c r="O804" s="145" t="s">
        <v>224</v>
      </c>
      <c r="Q804" t="s">
        <v>257</v>
      </c>
      <c r="R804" s="255" t="s">
        <v>226</v>
      </c>
      <c r="S804" s="1" t="s">
        <v>465</v>
      </c>
      <c r="T804" t="s">
        <v>468</v>
      </c>
      <c r="U804" t="s">
        <v>475</v>
      </c>
      <c r="V804">
        <v>0</v>
      </c>
      <c r="W804">
        <v>0</v>
      </c>
      <c r="X804">
        <v>0</v>
      </c>
      <c r="Y804">
        <v>0</v>
      </c>
      <c r="Z804">
        <v>0</v>
      </c>
      <c r="AA804">
        <v>0</v>
      </c>
      <c r="AB804">
        <v>0</v>
      </c>
      <c r="AC804">
        <v>0</v>
      </c>
      <c r="AD804">
        <v>0</v>
      </c>
      <c r="AE804">
        <v>0</v>
      </c>
      <c r="AF804">
        <v>0</v>
      </c>
      <c r="AG804">
        <v>0</v>
      </c>
      <c r="AH804">
        <v>1</v>
      </c>
      <c r="AI804">
        <v>0</v>
      </c>
      <c r="AJ804">
        <v>0</v>
      </c>
      <c r="AK804">
        <v>0</v>
      </c>
      <c r="AL804">
        <v>0</v>
      </c>
      <c r="AM804">
        <v>0</v>
      </c>
      <c r="AN804">
        <v>0</v>
      </c>
      <c r="AO804">
        <v>0</v>
      </c>
      <c r="AP804">
        <v>0</v>
      </c>
      <c r="AQ804">
        <v>0</v>
      </c>
      <c r="AR804">
        <v>0</v>
      </c>
      <c r="AS804">
        <v>0</v>
      </c>
      <c r="AT804">
        <v>0</v>
      </c>
      <c r="AU804">
        <v>0</v>
      </c>
      <c r="AV804">
        <v>0</v>
      </c>
      <c r="AW804">
        <v>0</v>
      </c>
      <c r="AX804" s="141">
        <f t="shared" si="41"/>
        <v>1</v>
      </c>
      <c r="AY804" s="141">
        <f t="shared" si="88"/>
        <v>1</v>
      </c>
      <c r="AZ804">
        <f t="shared" si="89"/>
        <v>0</v>
      </c>
      <c r="BA804">
        <f t="shared" si="90"/>
        <v>1</v>
      </c>
      <c r="BB804">
        <f t="shared" si="91"/>
        <v>0</v>
      </c>
      <c r="BC804">
        <f t="shared" si="92"/>
        <v>0</v>
      </c>
      <c r="BD804">
        <f t="shared" si="93"/>
        <v>0</v>
      </c>
      <c r="BE804" t="str">
        <f t="array" ref="BE804">IF(AY804=1,INDEX($V$7:$AL$7,MATCH(TRUE,INDEX($V804:$AW804&lt;&gt;0,),0)),IF(AY804=0,INDEX($AM$7:$AW$7,MATCH(1,$AM804:$AW804,0)),IF(BF804="Multiple strategies","mixed drivers",IF(BF804="Supply chain","multiple supply","multiple silviculture"))))</f>
        <v xml:space="preserve">end of life disposal </v>
      </c>
      <c r="BF804" s="2" t="str" cm="1">
        <f t="array" ref="BF804">IF(COUNTIF(AZ804:BB804,"&lt;&gt;0")=1,INDEX($V$4:$AW$4,MATCH(TRUE,INDEX($V804:$AW804&lt;&gt;0,),0)),IF(COUNTIF(AZ804:BB804,"&lt;&gt;0")=0,INDEX($AM$4:$AW$4,MATCH(1,$AM804:$AW804,0)),"Multiple strategies"))</f>
        <v>Supply chain</v>
      </c>
      <c r="BG804" s="142" t="s">
        <v>230</v>
      </c>
      <c r="BH804" t="s">
        <v>442</v>
      </c>
      <c r="BI804" s="266" t="s">
        <v>3276</v>
      </c>
      <c r="BJ804" s="143" t="s">
        <v>443</v>
      </c>
      <c r="BK804">
        <f t="shared" si="87"/>
        <v>132</v>
      </c>
      <c r="BL804">
        <f t="shared" si="87"/>
        <v>132</v>
      </c>
      <c r="BM804" s="143">
        <f t="shared" si="85"/>
        <v>1</v>
      </c>
      <c r="BN804">
        <f t="shared" si="66"/>
        <v>0</v>
      </c>
      <c r="BO804">
        <v>0</v>
      </c>
      <c r="BP804" t="s">
        <v>233</v>
      </c>
      <c r="BQ804" s="260" t="s">
        <v>815</v>
      </c>
      <c r="BR804" t="s">
        <v>444</v>
      </c>
      <c r="BS804" s="141">
        <v>-3</v>
      </c>
      <c r="BT804" s="141">
        <v>43</v>
      </c>
      <c r="BU804" s="144">
        <f t="shared" si="80"/>
        <v>-14.333333333333334</v>
      </c>
      <c r="BV804">
        <f t="shared" si="81"/>
        <v>46</v>
      </c>
      <c r="BX804">
        <f t="shared" si="86"/>
        <v>168.82</v>
      </c>
      <c r="BY804" t="str">
        <f t="shared" si="94"/>
        <v/>
      </c>
      <c r="BZ804" s="143">
        <v>0</v>
      </c>
      <c r="CA804" s="143">
        <v>0</v>
      </c>
      <c r="CB804" s="143">
        <v>0</v>
      </c>
      <c r="CC804" s="143">
        <v>0</v>
      </c>
      <c r="CD804" s="143">
        <v>0</v>
      </c>
      <c r="CE804" s="143">
        <v>0</v>
      </c>
      <c r="CF804" s="143">
        <v>0</v>
      </c>
      <c r="CG804" s="143">
        <v>0</v>
      </c>
      <c r="CH804" s="143">
        <v>0</v>
      </c>
      <c r="CI804" s="143">
        <v>0</v>
      </c>
      <c r="CJ804" s="143">
        <v>0</v>
      </c>
      <c r="CK804" s="143">
        <v>0</v>
      </c>
      <c r="CL804" s="143">
        <v>0</v>
      </c>
      <c r="CM804">
        <v>0</v>
      </c>
      <c r="CN804" t="str">
        <f t="shared" si="100"/>
        <v>refOK</v>
      </c>
      <c r="CO804">
        <f t="shared" si="67"/>
        <v>132</v>
      </c>
      <c r="CP804">
        <f t="shared" si="68"/>
        <v>132</v>
      </c>
      <c r="CQ804">
        <f t="shared" si="51"/>
        <v>0</v>
      </c>
      <c r="CR804">
        <f t="shared" si="69"/>
        <v>-3</v>
      </c>
      <c r="CS804">
        <f t="shared" si="70"/>
        <v>43</v>
      </c>
      <c r="CT804">
        <f t="shared" si="84"/>
        <v>168.82</v>
      </c>
      <c r="CU804" t="str">
        <f t="shared" si="53"/>
        <v/>
      </c>
      <c r="CV804" s="2">
        <f t="shared" si="95"/>
        <v>15.333333333333334</v>
      </c>
      <c r="CW804" s="1" t="s">
        <v>264</v>
      </c>
      <c r="CX804" t="str">
        <f t="shared" si="96"/>
        <v>loc</v>
      </c>
      <c r="CY804" t="s">
        <v>445</v>
      </c>
      <c r="DB804">
        <v>300</v>
      </c>
      <c r="DC804" t="str">
        <f t="shared" si="97"/>
        <v>+100</v>
      </c>
      <c r="DD804">
        <v>0</v>
      </c>
      <c r="DE804">
        <v>1</v>
      </c>
      <c r="DF804">
        <v>0</v>
      </c>
      <c r="DG804">
        <v>0</v>
      </c>
      <c r="DI804">
        <f t="shared" si="71"/>
        <v>1</v>
      </c>
      <c r="DJ804" t="str">
        <f t="shared" si="57"/>
        <v>EnergyInput</v>
      </c>
      <c r="DK804">
        <f t="shared" si="73"/>
        <v>0</v>
      </c>
      <c r="DL804" t="str">
        <f t="shared" si="74"/>
        <v>Energy</v>
      </c>
      <c r="DM804">
        <f t="shared" si="75"/>
        <v>0</v>
      </c>
      <c r="DN804">
        <f t="shared" si="76"/>
        <v>0</v>
      </c>
      <c r="DO804">
        <v>1</v>
      </c>
      <c r="DP804" s="143">
        <v>0</v>
      </c>
      <c r="DQ804" s="143">
        <v>0</v>
      </c>
      <c r="DR804" s="143">
        <v>0</v>
      </c>
      <c r="DS804">
        <v>0</v>
      </c>
      <c r="DT804">
        <f t="shared" si="72"/>
        <v>1</v>
      </c>
      <c r="DU804" s="143" t="str">
        <f t="shared" si="99"/>
        <v>self-calculated DF</v>
      </c>
      <c r="DV804">
        <v>0</v>
      </c>
      <c r="DW804" s="143">
        <v>0</v>
      </c>
      <c r="DX804" s="143">
        <v>1</v>
      </c>
      <c r="DY804" s="143">
        <v>1</v>
      </c>
      <c r="DZ804">
        <v>1</v>
      </c>
      <c r="EA804" s="143">
        <v>1</v>
      </c>
      <c r="EB804">
        <v>0</v>
      </c>
      <c r="EC804" s="143">
        <v>1</v>
      </c>
      <c r="ED804" s="143">
        <v>0</v>
      </c>
      <c r="EE804">
        <v>0</v>
      </c>
      <c r="EF804">
        <v>0</v>
      </c>
      <c r="EG804" s="143">
        <v>0</v>
      </c>
      <c r="EH804" s="143">
        <v>0</v>
      </c>
      <c r="EI804" s="2">
        <v>0</v>
      </c>
      <c r="EK804" t="str">
        <f t="shared" si="77"/>
        <v/>
      </c>
      <c r="EL804" t="str">
        <f t="shared" si="78"/>
        <v/>
      </c>
      <c r="EM804" s="2" t="str">
        <f t="shared" si="98"/>
        <v/>
      </c>
      <c r="EN804" t="s">
        <v>446</v>
      </c>
      <c r="EP804" t="b">
        <f>IF(ISNUMBER(BU804),IF(ABS(BU804-[4]QC_indicators!$B$2)&gt;3*[4]QC_indicators!$C$2,"C ratio",IF(ISNUMBER(BY804),IF(ABS(BY804-[4]QC_indicators!$B$1)&gt;3*[4]QC_indicators!$C$1,"DF","no"))),IF(ISNUMBER(BY804),IF(ABS(BY804-[4]QC_indicators!$B$1)&gt;3*[4]QC_indicators!$C$1,"DF","no")))</f>
        <v>0</v>
      </c>
      <c r="EQ804" t="s">
        <v>451</v>
      </c>
      <c r="ET804" s="266" t="s">
        <v>3275</v>
      </c>
    </row>
    <row r="805" spans="1:150" ht="15" hidden="1" customHeight="1">
      <c r="A805" s="1" t="s">
        <v>1140</v>
      </c>
      <c r="B805" t="s">
        <v>1580</v>
      </c>
      <c r="C805" t="s">
        <v>1581</v>
      </c>
      <c r="D805" t="s">
        <v>1582</v>
      </c>
      <c r="E805" t="s">
        <v>1583</v>
      </c>
      <c r="F805" t="s">
        <v>1584</v>
      </c>
      <c r="G805" t="s">
        <v>1141</v>
      </c>
      <c r="H805" t="s">
        <v>255</v>
      </c>
      <c r="I805">
        <v>2020</v>
      </c>
      <c r="J805">
        <v>4</v>
      </c>
      <c r="K805" t="s">
        <v>1585</v>
      </c>
      <c r="M805" t="str">
        <f t="shared" si="40"/>
        <v>Ganguly_2020</v>
      </c>
      <c r="N805" t="s">
        <v>223</v>
      </c>
      <c r="O805" s="145" t="s">
        <v>275</v>
      </c>
      <c r="Q805" s="266" t="s">
        <v>257</v>
      </c>
      <c r="R805" s="271" t="s">
        <v>342</v>
      </c>
      <c r="S805" s="1" t="s">
        <v>1586</v>
      </c>
      <c r="T805" t="s">
        <v>1587</v>
      </c>
      <c r="U805" t="s">
        <v>1588</v>
      </c>
      <c r="V805">
        <v>0</v>
      </c>
      <c r="W805">
        <v>0</v>
      </c>
      <c r="X805">
        <v>0</v>
      </c>
      <c r="Y805">
        <v>0</v>
      </c>
      <c r="Z805">
        <v>0</v>
      </c>
      <c r="AA805">
        <v>0</v>
      </c>
      <c r="AB805">
        <v>0</v>
      </c>
      <c r="AC805">
        <v>0</v>
      </c>
      <c r="AD805">
        <v>0</v>
      </c>
      <c r="AE805">
        <v>1</v>
      </c>
      <c r="AF805">
        <v>0</v>
      </c>
      <c r="AG805">
        <v>0</v>
      </c>
      <c r="AH805">
        <v>0</v>
      </c>
      <c r="AI805">
        <v>0</v>
      </c>
      <c r="AJ805">
        <v>0</v>
      </c>
      <c r="AK805">
        <v>0</v>
      </c>
      <c r="AL805">
        <v>0</v>
      </c>
      <c r="AM805">
        <v>0</v>
      </c>
      <c r="AN805">
        <v>0</v>
      </c>
      <c r="AO805">
        <v>0</v>
      </c>
      <c r="AP805">
        <v>0</v>
      </c>
      <c r="AQ805">
        <v>0</v>
      </c>
      <c r="AR805">
        <v>0</v>
      </c>
      <c r="AS805">
        <v>0</v>
      </c>
      <c r="AT805">
        <v>0</v>
      </c>
      <c r="AU805">
        <v>0</v>
      </c>
      <c r="AV805">
        <v>0</v>
      </c>
      <c r="AW805">
        <v>0</v>
      </c>
      <c r="AX805" s="141">
        <f t="shared" si="41"/>
        <v>1</v>
      </c>
      <c r="AY805" s="141">
        <f t="shared" si="88"/>
        <v>1</v>
      </c>
      <c r="AZ805">
        <f t="shared" si="89"/>
        <v>0</v>
      </c>
      <c r="BA805">
        <f t="shared" si="90"/>
        <v>1</v>
      </c>
      <c r="BB805">
        <f t="shared" si="91"/>
        <v>0</v>
      </c>
      <c r="BC805">
        <f t="shared" si="92"/>
        <v>0</v>
      </c>
      <c r="BD805">
        <f t="shared" si="93"/>
        <v>0</v>
      </c>
      <c r="BE805" t="str" cm="1">
        <f t="array" ref="BE805">IF(AY805=1,INDEX($V$7:$AL$7,MATCH(TRUE,INDEX($V805:$AW805&lt;&gt;0,),0)),IF(AY805=0,INDEX($AM$7:$AW$7,MATCH(1,$AM805:$AW805,0)),IF(BF805="Multiple strategies","mixed drivers",IF(BF805="Supply chain","multiple supply","multiple silviculture"))))</f>
        <v>location of industry</v>
      </c>
      <c r="BF805" s="2" t="str" cm="1">
        <f t="array" ref="BF805">IF(COUNTIF(AZ805:BB805,"&lt;&gt;0")=1,INDEX($V$4:$AW$4,MATCH(TRUE,INDEX($V805:$AW805&lt;&gt;0,),0)),IF(COUNTIF(AZ805:BB805,"&lt;&gt;0")=0,INDEX($AM$4:$AW$4,MATCH(1,$AM805:$AW805,0)),"Multiple strategies"))</f>
        <v>Supply chain</v>
      </c>
      <c r="BG805" s="1" t="s">
        <v>322</v>
      </c>
      <c r="BH805" s="266" t="s">
        <v>1589</v>
      </c>
      <c r="BI805" s="160" t="s">
        <v>1590</v>
      </c>
      <c r="BJ805" t="s">
        <v>1591</v>
      </c>
      <c r="BK805">
        <v>1329670</v>
      </c>
      <c r="BL805">
        <v>3760725</v>
      </c>
      <c r="BM805">
        <f t="shared" si="85"/>
        <v>2.8283145442102176</v>
      </c>
      <c r="BN805">
        <f t="shared" si="66"/>
        <v>2431055</v>
      </c>
      <c r="BO805">
        <f>BN805*t_to_m3</f>
        <v>4961336.7346938774</v>
      </c>
      <c r="BP805" t="s">
        <v>233</v>
      </c>
      <c r="BQ805" s="160" t="s">
        <v>1592</v>
      </c>
      <c r="BR805" t="s">
        <v>540</v>
      </c>
      <c r="BS805">
        <v>842957</v>
      </c>
      <c r="BT805">
        <v>736474</v>
      </c>
      <c r="BU805" s="144">
        <f t="shared" si="80"/>
        <v>0.87367920309102365</v>
      </c>
      <c r="BV805">
        <f t="shared" si="81"/>
        <v>-106483</v>
      </c>
      <c r="BX805">
        <f>BV805</f>
        <v>-106483</v>
      </c>
      <c r="BY805">
        <f t="shared" si="94"/>
        <v>-2.1462562550004012E-2</v>
      </c>
      <c r="BZ805">
        <v>0</v>
      </c>
      <c r="CA805">
        <v>0</v>
      </c>
      <c r="CB805">
        <v>0</v>
      </c>
      <c r="CC805">
        <v>0</v>
      </c>
      <c r="CD805">
        <v>0</v>
      </c>
      <c r="CE805">
        <v>0</v>
      </c>
      <c r="CF805">
        <v>0</v>
      </c>
      <c r="CG805">
        <v>0</v>
      </c>
      <c r="CH805">
        <v>0</v>
      </c>
      <c r="CI805">
        <v>0</v>
      </c>
      <c r="CJ805">
        <v>0</v>
      </c>
      <c r="CK805">
        <v>0</v>
      </c>
      <c r="CL805">
        <v>0</v>
      </c>
      <c r="CM805">
        <v>0</v>
      </c>
      <c r="CN805" t="str">
        <f t="shared" si="100"/>
        <v>refOK</v>
      </c>
      <c r="CO805">
        <f>IF($CN805="refNeedCorrection",BL805,BK805)</f>
        <v>1329670</v>
      </c>
      <c r="CP805">
        <f>IF($CN805="refNeedCorrection",BK805,BL805)</f>
        <v>3760725</v>
      </c>
      <c r="CQ805">
        <f t="shared" si="51"/>
        <v>4961336.7346938774</v>
      </c>
      <c r="CR805">
        <f t="shared" si="69"/>
        <v>842957</v>
      </c>
      <c r="CS805">
        <f t="shared" si="70"/>
        <v>736474</v>
      </c>
      <c r="CT805">
        <f t="shared" si="84"/>
        <v>-106483</v>
      </c>
      <c r="CU805">
        <f t="shared" si="53"/>
        <v>-2.1462562550004012E-2</v>
      </c>
      <c r="CV805" s="2">
        <f t="shared" si="95"/>
        <v>-0.12632079690897638</v>
      </c>
      <c r="CW805" s="1" t="s">
        <v>1201</v>
      </c>
      <c r="CX805" s="266" t="str">
        <f t="shared" si="96"/>
        <v>reg</v>
      </c>
      <c r="CY805" t="s">
        <v>429</v>
      </c>
      <c r="DB805">
        <v>100</v>
      </c>
      <c r="DC805" t="str">
        <f t="shared" si="97"/>
        <v>71-100</v>
      </c>
      <c r="DD805">
        <v>0</v>
      </c>
      <c r="DE805">
        <v>0</v>
      </c>
      <c r="DF805">
        <v>1</v>
      </c>
      <c r="DG805">
        <v>1</v>
      </c>
      <c r="DI805">
        <f t="shared" si="71"/>
        <v>2</v>
      </c>
      <c r="DJ805" t="str">
        <f t="shared" si="57"/>
        <v>mixedProduct</v>
      </c>
      <c r="DK805">
        <f t="shared" si="73"/>
        <v>0</v>
      </c>
      <c r="DL805">
        <f t="shared" si="74"/>
        <v>0</v>
      </c>
      <c r="DM805" t="str">
        <f t="shared" si="75"/>
        <v>Pulp/Paper</v>
      </c>
      <c r="DN805" t="str">
        <f t="shared" si="76"/>
        <v>Timber</v>
      </c>
      <c r="DO805">
        <v>0</v>
      </c>
      <c r="DP805">
        <v>0</v>
      </c>
      <c r="DQ805">
        <v>0</v>
      </c>
      <c r="DR805">
        <v>0</v>
      </c>
      <c r="DS805">
        <v>0</v>
      </c>
      <c r="DT805">
        <f t="shared" si="72"/>
        <v>0</v>
      </c>
      <c r="DU805" s="143" t="str">
        <f t="shared" si="99"/>
        <v>explicit C balance</v>
      </c>
      <c r="DV805">
        <v>0</v>
      </c>
      <c r="DW805">
        <v>0</v>
      </c>
      <c r="DX805">
        <v>0</v>
      </c>
      <c r="DY805">
        <v>1</v>
      </c>
      <c r="DZ805">
        <v>0</v>
      </c>
      <c r="EA805" s="143">
        <v>0</v>
      </c>
      <c r="EB805">
        <v>0</v>
      </c>
      <c r="EC805">
        <v>0</v>
      </c>
      <c r="ED805">
        <v>0</v>
      </c>
      <c r="EE805">
        <v>0</v>
      </c>
      <c r="EF805">
        <v>0</v>
      </c>
      <c r="EG805">
        <v>1</v>
      </c>
      <c r="EH805">
        <v>0</v>
      </c>
      <c r="EI805" s="2">
        <v>0</v>
      </c>
      <c r="EK805" t="str">
        <f t="shared" si="77"/>
        <v/>
      </c>
      <c r="EL805" t="str">
        <f t="shared" si="78"/>
        <v/>
      </c>
      <c r="EM805" s="2" t="str">
        <f t="shared" si="98"/>
        <v/>
      </c>
      <c r="EP805" t="str">
        <f>IF(ISNUMBER(BU805),IF(ABS(BU805-[1]QC_indicators!$B$2)&gt;3*[1]QC_indicators!$C$2,"C ratio",IF(ISNUMBER(BY805),IF(ABS(BY805-[1]QC_indicators!$B$1)&gt;3*[1]QC_indicators!$C$1,"DF","no"))),IF(ISNUMBER(BY805),IF(ABS(BY805-[1]QC_indicators!$B$1)&gt;3*[1]QC_indicators!$C$1,"DF","no")))</f>
        <v>no</v>
      </c>
      <c r="ER805" t="s">
        <v>1593</v>
      </c>
      <c r="ET805" s="266" t="s">
        <v>3409</v>
      </c>
    </row>
    <row r="806" spans="1:150" ht="15" hidden="1" customHeight="1">
      <c r="A806" s="1" t="s">
        <v>1140</v>
      </c>
      <c r="B806" t="s">
        <v>1580</v>
      </c>
      <c r="C806" t="s">
        <v>1581</v>
      </c>
      <c r="D806" t="s">
        <v>1582</v>
      </c>
      <c r="E806" t="s">
        <v>1583</v>
      </c>
      <c r="F806" t="s">
        <v>1584</v>
      </c>
      <c r="G806" t="s">
        <v>1141</v>
      </c>
      <c r="H806" t="s">
        <v>255</v>
      </c>
      <c r="I806">
        <v>2020</v>
      </c>
      <c r="J806">
        <v>4</v>
      </c>
      <c r="K806" t="s">
        <v>1585</v>
      </c>
      <c r="M806" t="str">
        <f t="shared" si="40"/>
        <v>Ganguly_2020</v>
      </c>
      <c r="N806" t="s">
        <v>223</v>
      </c>
      <c r="O806" s="145" t="s">
        <v>275</v>
      </c>
      <c r="Q806" s="266" t="s">
        <v>257</v>
      </c>
      <c r="R806" s="271" t="s">
        <v>342</v>
      </c>
      <c r="S806" s="1" t="s">
        <v>1586</v>
      </c>
      <c r="T806" t="s">
        <v>1587</v>
      </c>
      <c r="U806" t="s">
        <v>1588</v>
      </c>
      <c r="V806">
        <v>0</v>
      </c>
      <c r="W806">
        <v>0</v>
      </c>
      <c r="X806">
        <v>0</v>
      </c>
      <c r="Y806">
        <v>0</v>
      </c>
      <c r="Z806">
        <v>0</v>
      </c>
      <c r="AA806">
        <v>0</v>
      </c>
      <c r="AB806">
        <v>0</v>
      </c>
      <c r="AC806">
        <v>0</v>
      </c>
      <c r="AD806">
        <v>0</v>
      </c>
      <c r="AE806">
        <v>1</v>
      </c>
      <c r="AF806">
        <v>0</v>
      </c>
      <c r="AG806">
        <v>0</v>
      </c>
      <c r="AH806">
        <v>0</v>
      </c>
      <c r="AI806">
        <v>0</v>
      </c>
      <c r="AJ806">
        <v>0</v>
      </c>
      <c r="AK806">
        <v>0</v>
      </c>
      <c r="AL806">
        <v>0</v>
      </c>
      <c r="AM806">
        <v>0</v>
      </c>
      <c r="AN806">
        <v>0</v>
      </c>
      <c r="AO806">
        <v>0</v>
      </c>
      <c r="AP806">
        <v>0</v>
      </c>
      <c r="AQ806">
        <v>0</v>
      </c>
      <c r="AR806">
        <v>0</v>
      </c>
      <c r="AS806">
        <v>0</v>
      </c>
      <c r="AT806">
        <v>0</v>
      </c>
      <c r="AU806">
        <v>0</v>
      </c>
      <c r="AV806">
        <v>0</v>
      </c>
      <c r="AW806">
        <v>0</v>
      </c>
      <c r="AX806" s="141">
        <f t="shared" si="41"/>
        <v>1</v>
      </c>
      <c r="AY806" s="141">
        <f t="shared" si="88"/>
        <v>1</v>
      </c>
      <c r="AZ806">
        <f t="shared" si="89"/>
        <v>0</v>
      </c>
      <c r="BA806">
        <f t="shared" si="90"/>
        <v>1</v>
      </c>
      <c r="BB806">
        <f t="shared" si="91"/>
        <v>0</v>
      </c>
      <c r="BC806">
        <f t="shared" si="92"/>
        <v>0</v>
      </c>
      <c r="BD806">
        <f t="shared" si="93"/>
        <v>0</v>
      </c>
      <c r="BE806" t="str" cm="1">
        <f t="array" ref="BE806">IF(AY806=1,INDEX($V$7:$AL$7,MATCH(TRUE,INDEX($V806:$AW806&lt;&gt;0,),0)),IF(AY806=0,INDEX($AM$7:$AW$7,MATCH(1,$AM806:$AW806,0)),IF(BF806="Multiple strategies","mixed drivers",IF(BF806="Supply chain","multiple supply","multiple silviculture"))))</f>
        <v>location of industry</v>
      </c>
      <c r="BF806" s="2" t="str" cm="1">
        <f t="array" ref="BF806">IF(COUNTIF(AZ806:BB806,"&lt;&gt;0")=1,INDEX($V$4:$AW$4,MATCH(TRUE,INDEX($V806:$AW806&lt;&gt;0,),0)),IF(COUNTIF(AZ806:BB806,"&lt;&gt;0")=0,INDEX($AM$4:$AW$4,MATCH(1,$AM806:$AW806,0)),"Multiple strategies"))</f>
        <v>Supply chain</v>
      </c>
      <c r="BG806" s="1" t="s">
        <v>322</v>
      </c>
      <c r="BH806" t="s">
        <v>1589</v>
      </c>
      <c r="BI806" s="160" t="s">
        <v>1590</v>
      </c>
      <c r="BJ806" t="s">
        <v>1591</v>
      </c>
      <c r="BK806">
        <v>1329670</v>
      </c>
      <c r="BL806">
        <v>3760725</v>
      </c>
      <c r="BM806">
        <f t="shared" si="85"/>
        <v>2.8283145442102176</v>
      </c>
      <c r="BN806">
        <f t="shared" si="66"/>
        <v>2431055</v>
      </c>
      <c r="BO806">
        <f>BN806*t_to_m3</f>
        <v>4961336.7346938774</v>
      </c>
      <c r="BP806" t="s">
        <v>233</v>
      </c>
      <c r="BQ806" s="160" t="s">
        <v>1592</v>
      </c>
      <c r="BR806" t="s">
        <v>540</v>
      </c>
      <c r="BS806">
        <v>448669</v>
      </c>
      <c r="BT806">
        <v>736474</v>
      </c>
      <c r="BU806" s="144">
        <f t="shared" si="80"/>
        <v>1.641463974555853</v>
      </c>
      <c r="BV806">
        <f t="shared" si="81"/>
        <v>287805</v>
      </c>
      <c r="BX806">
        <f>BV806</f>
        <v>287805</v>
      </c>
      <c r="BY806">
        <f t="shared" si="94"/>
        <v>5.8009567862512365E-2</v>
      </c>
      <c r="BZ806">
        <v>0</v>
      </c>
      <c r="CA806">
        <v>0</v>
      </c>
      <c r="CB806">
        <v>0</v>
      </c>
      <c r="CC806">
        <v>0</v>
      </c>
      <c r="CD806">
        <v>0</v>
      </c>
      <c r="CE806">
        <v>0</v>
      </c>
      <c r="CF806">
        <v>0</v>
      </c>
      <c r="CG806">
        <v>0</v>
      </c>
      <c r="CH806">
        <v>0</v>
      </c>
      <c r="CI806">
        <v>0</v>
      </c>
      <c r="CJ806">
        <v>0</v>
      </c>
      <c r="CK806">
        <v>0</v>
      </c>
      <c r="CL806">
        <v>0</v>
      </c>
      <c r="CM806">
        <v>0</v>
      </c>
      <c r="CN806" t="str">
        <f t="shared" si="100"/>
        <v>refOK</v>
      </c>
      <c r="CO806">
        <f>IF($CN806="refNeedCorrection",BL806,BK806)</f>
        <v>1329670</v>
      </c>
      <c r="CP806">
        <f>IF($CN806="refNeedCorrection",BK806,BL806)</f>
        <v>3760725</v>
      </c>
      <c r="CQ806">
        <f t="shared" si="51"/>
        <v>4961336.7346938774</v>
      </c>
      <c r="CR806">
        <f t="shared" si="69"/>
        <v>448669</v>
      </c>
      <c r="CS806">
        <f t="shared" si="70"/>
        <v>736474</v>
      </c>
      <c r="CT806">
        <f t="shared" si="84"/>
        <v>287805</v>
      </c>
      <c r="CU806">
        <f t="shared" si="53"/>
        <v>5.8009567862512365E-2</v>
      </c>
      <c r="CV806" s="2">
        <f t="shared" si="95"/>
        <v>0.64146397455585302</v>
      </c>
      <c r="CW806" s="1" t="s">
        <v>1201</v>
      </c>
      <c r="CX806" s="266" t="str">
        <f t="shared" si="96"/>
        <v>reg</v>
      </c>
      <c r="CY806" t="s">
        <v>429</v>
      </c>
      <c r="DB806">
        <v>100</v>
      </c>
      <c r="DC806" t="str">
        <f t="shared" si="97"/>
        <v>71-100</v>
      </c>
      <c r="DD806">
        <v>0</v>
      </c>
      <c r="DE806">
        <v>0</v>
      </c>
      <c r="DF806">
        <v>1</v>
      </c>
      <c r="DG806">
        <v>1</v>
      </c>
      <c r="DI806">
        <f t="shared" si="71"/>
        <v>2</v>
      </c>
      <c r="DJ806" t="str">
        <f t="shared" si="57"/>
        <v>mixedProduct</v>
      </c>
      <c r="DK806">
        <f t="shared" si="73"/>
        <v>0</v>
      </c>
      <c r="DL806">
        <f t="shared" si="74"/>
        <v>0</v>
      </c>
      <c r="DM806" t="str">
        <f t="shared" si="75"/>
        <v>Pulp/Paper</v>
      </c>
      <c r="DN806" t="str">
        <f t="shared" si="76"/>
        <v>Timber</v>
      </c>
      <c r="DO806">
        <v>0</v>
      </c>
      <c r="DP806">
        <v>0</v>
      </c>
      <c r="DQ806">
        <v>0</v>
      </c>
      <c r="DR806">
        <v>0</v>
      </c>
      <c r="DS806">
        <v>0</v>
      </c>
      <c r="DT806">
        <f t="shared" si="72"/>
        <v>0</v>
      </c>
      <c r="DU806" s="143" t="str">
        <f t="shared" si="99"/>
        <v>explicit C balance</v>
      </c>
      <c r="DV806">
        <v>0</v>
      </c>
      <c r="DW806">
        <v>0</v>
      </c>
      <c r="DX806">
        <v>0</v>
      </c>
      <c r="DY806">
        <v>1</v>
      </c>
      <c r="DZ806">
        <v>0</v>
      </c>
      <c r="EA806" s="143">
        <v>0</v>
      </c>
      <c r="EB806">
        <v>1</v>
      </c>
      <c r="EC806">
        <v>1</v>
      </c>
      <c r="ED806">
        <v>0</v>
      </c>
      <c r="EE806">
        <v>0</v>
      </c>
      <c r="EF806">
        <v>0</v>
      </c>
      <c r="EG806">
        <v>1</v>
      </c>
      <c r="EH806">
        <v>0</v>
      </c>
      <c r="EI806" s="2">
        <v>0</v>
      </c>
      <c r="EK806" t="str">
        <f t="shared" si="77"/>
        <v/>
      </c>
      <c r="EL806" t="str">
        <f t="shared" si="78"/>
        <v/>
      </c>
      <c r="EM806" s="2" t="str">
        <f t="shared" si="98"/>
        <v>Technology approach</v>
      </c>
      <c r="EP806" t="str">
        <f>IF(ISNUMBER(BU806),IF(ABS(BU806-[1]QC_indicators!$B$2)&gt;3*[1]QC_indicators!$C$2,"C ratio",IF(ISNUMBER(BY806),IF(ABS(BY806-[1]QC_indicators!$B$1)&gt;3*[1]QC_indicators!$C$1,"DF","no"))),IF(ISNUMBER(BY806),IF(ABS(BY806-[1]QC_indicators!$B$1)&gt;3*[1]QC_indicators!$C$1,"DF","no")))</f>
        <v>no</v>
      </c>
      <c r="ER806" t="s">
        <v>1593</v>
      </c>
      <c r="ET806" s="266" t="s">
        <v>3409</v>
      </c>
    </row>
    <row r="807" spans="1:150" ht="15" hidden="1" customHeight="1">
      <c r="A807" s="1" t="s">
        <v>1140</v>
      </c>
      <c r="B807" t="s">
        <v>1580</v>
      </c>
      <c r="C807" t="s">
        <v>1581</v>
      </c>
      <c r="D807" t="s">
        <v>1582</v>
      </c>
      <c r="E807" t="s">
        <v>1583</v>
      </c>
      <c r="F807" t="s">
        <v>1584</v>
      </c>
      <c r="G807" t="s">
        <v>1141</v>
      </c>
      <c r="H807" t="s">
        <v>255</v>
      </c>
      <c r="I807">
        <v>2020</v>
      </c>
      <c r="J807">
        <v>4</v>
      </c>
      <c r="K807" t="s">
        <v>1585</v>
      </c>
      <c r="M807" t="str">
        <f t="shared" si="40"/>
        <v>Ganguly_2020</v>
      </c>
      <c r="N807" t="s">
        <v>223</v>
      </c>
      <c r="O807" s="145" t="s">
        <v>275</v>
      </c>
      <c r="Q807" s="266" t="s">
        <v>257</v>
      </c>
      <c r="R807" s="271" t="s">
        <v>342</v>
      </c>
      <c r="S807" s="1" t="s">
        <v>1586</v>
      </c>
      <c r="T807" t="s">
        <v>1594</v>
      </c>
      <c r="U807" t="s">
        <v>1588</v>
      </c>
      <c r="V807">
        <v>0</v>
      </c>
      <c r="W807">
        <v>0</v>
      </c>
      <c r="X807">
        <v>0</v>
      </c>
      <c r="Y807">
        <v>0</v>
      </c>
      <c r="Z807">
        <v>0</v>
      </c>
      <c r="AA807">
        <v>0</v>
      </c>
      <c r="AB807">
        <v>0</v>
      </c>
      <c r="AC807">
        <v>0</v>
      </c>
      <c r="AD807">
        <v>0</v>
      </c>
      <c r="AE807">
        <v>1</v>
      </c>
      <c r="AF807">
        <v>0</v>
      </c>
      <c r="AG807">
        <v>0</v>
      </c>
      <c r="AH807">
        <v>0</v>
      </c>
      <c r="AI807">
        <v>0</v>
      </c>
      <c r="AJ807">
        <v>0</v>
      </c>
      <c r="AK807">
        <v>0</v>
      </c>
      <c r="AL807">
        <v>0</v>
      </c>
      <c r="AM807">
        <v>0</v>
      </c>
      <c r="AN807">
        <v>0</v>
      </c>
      <c r="AO807">
        <v>0</v>
      </c>
      <c r="AP807">
        <v>0</v>
      </c>
      <c r="AQ807">
        <v>0</v>
      </c>
      <c r="AR807">
        <v>0</v>
      </c>
      <c r="AS807">
        <v>0</v>
      </c>
      <c r="AT807">
        <v>0</v>
      </c>
      <c r="AU807">
        <v>0</v>
      </c>
      <c r="AV807">
        <v>0</v>
      </c>
      <c r="AW807">
        <v>0</v>
      </c>
      <c r="AX807" s="141">
        <f t="shared" si="41"/>
        <v>1</v>
      </c>
      <c r="AY807" s="141">
        <f t="shared" si="88"/>
        <v>1</v>
      </c>
      <c r="AZ807">
        <f t="shared" si="89"/>
        <v>0</v>
      </c>
      <c r="BA807">
        <f t="shared" si="90"/>
        <v>1</v>
      </c>
      <c r="BB807">
        <f t="shared" si="91"/>
        <v>0</v>
      </c>
      <c r="BC807">
        <f t="shared" si="92"/>
        <v>0</v>
      </c>
      <c r="BD807">
        <f t="shared" si="93"/>
        <v>0</v>
      </c>
      <c r="BE807" t="str" cm="1">
        <f t="array" ref="BE807">IF(AY807=1,INDEX($V$7:$AL$7,MATCH(TRUE,INDEX($V807:$AW807&lt;&gt;0,),0)),IF(AY807=0,INDEX($AM$7:$AW$7,MATCH(1,$AM807:$AW807,0)),IF(BF807="Multiple strategies","mixed drivers",IF(BF807="Supply chain","multiple supply","multiple silviculture"))))</f>
        <v>location of industry</v>
      </c>
      <c r="BF807" s="2" t="str" cm="1">
        <f t="array" ref="BF807">IF(COUNTIF(AZ807:BB807,"&lt;&gt;0")=1,INDEX($V$4:$AW$4,MATCH(TRUE,INDEX($V807:$AW807&lt;&gt;0,),0)),IF(COUNTIF(AZ807:BB807,"&lt;&gt;0")=0,INDEX($AM$4:$AW$4,MATCH(1,$AM807:$AW807,0)),"Multiple strategies"))</f>
        <v>Supply chain</v>
      </c>
      <c r="BG807" s="1" t="s">
        <v>322</v>
      </c>
      <c r="BH807" t="s">
        <v>1589</v>
      </c>
      <c r="BI807" s="160" t="s">
        <v>1590</v>
      </c>
      <c r="BJ807" t="s">
        <v>1591</v>
      </c>
      <c r="BK807">
        <v>779369</v>
      </c>
      <c r="BL807">
        <v>3760725</v>
      </c>
      <c r="BM807">
        <f t="shared" si="85"/>
        <v>4.8253458887895206</v>
      </c>
      <c r="BN807">
        <f t="shared" si="66"/>
        <v>2981356</v>
      </c>
      <c r="BO807">
        <f>BN807*t_to_m3</f>
        <v>6084400</v>
      </c>
      <c r="BP807" t="s">
        <v>233</v>
      </c>
      <c r="BQ807" s="160" t="s">
        <v>1592</v>
      </c>
      <c r="BR807" t="s">
        <v>540</v>
      </c>
      <c r="BS807">
        <v>173114</v>
      </c>
      <c r="BT807">
        <v>736474</v>
      </c>
      <c r="BU807" s="144">
        <f t="shared" si="80"/>
        <v>4.2542717515625545</v>
      </c>
      <c r="BV807">
        <f t="shared" si="81"/>
        <v>563360</v>
      </c>
      <c r="BX807">
        <f>BV807</f>
        <v>563360</v>
      </c>
      <c r="BY807">
        <f t="shared" si="94"/>
        <v>9.2590888173032668E-2</v>
      </c>
      <c r="BZ807">
        <v>0</v>
      </c>
      <c r="CA807">
        <v>0</v>
      </c>
      <c r="CB807">
        <v>0</v>
      </c>
      <c r="CC807">
        <v>0</v>
      </c>
      <c r="CD807">
        <v>0</v>
      </c>
      <c r="CE807">
        <v>0</v>
      </c>
      <c r="CF807">
        <v>0</v>
      </c>
      <c r="CG807">
        <v>0</v>
      </c>
      <c r="CH807">
        <v>0</v>
      </c>
      <c r="CI807">
        <v>0</v>
      </c>
      <c r="CJ807">
        <v>0</v>
      </c>
      <c r="CK807">
        <v>0</v>
      </c>
      <c r="CL807">
        <v>0</v>
      </c>
      <c r="CM807">
        <v>0</v>
      </c>
      <c r="CN807" t="str">
        <f t="shared" si="100"/>
        <v>refOK</v>
      </c>
      <c r="CO807">
        <f>IF($CN807="refNeedCorrection",BL807,BK807)</f>
        <v>779369</v>
      </c>
      <c r="CP807">
        <f>IF($CN807="refNeedCorrection",BK807,BL807)</f>
        <v>3760725</v>
      </c>
      <c r="CQ807">
        <f t="shared" si="51"/>
        <v>6084400</v>
      </c>
      <c r="CR807">
        <f t="shared" si="69"/>
        <v>173114</v>
      </c>
      <c r="CS807">
        <f t="shared" si="70"/>
        <v>736474</v>
      </c>
      <c r="CT807">
        <f t="shared" si="84"/>
        <v>563360</v>
      </c>
      <c r="CU807">
        <f t="shared" si="53"/>
        <v>9.2590888173032668E-2</v>
      </c>
      <c r="CV807" s="2">
        <f t="shared" si="95"/>
        <v>3.2542717515625541</v>
      </c>
      <c r="CW807" s="1" t="s">
        <v>1201</v>
      </c>
      <c r="CX807" s="266" t="str">
        <f t="shared" si="96"/>
        <v>reg</v>
      </c>
      <c r="CY807" t="s">
        <v>429</v>
      </c>
      <c r="DB807">
        <v>100</v>
      </c>
      <c r="DC807" t="str">
        <f t="shared" si="97"/>
        <v>71-100</v>
      </c>
      <c r="DD807">
        <v>0</v>
      </c>
      <c r="DE807">
        <v>0</v>
      </c>
      <c r="DF807">
        <v>1</v>
      </c>
      <c r="DG807">
        <v>1</v>
      </c>
      <c r="DI807">
        <f t="shared" si="71"/>
        <v>2</v>
      </c>
      <c r="DJ807" t="str">
        <f t="shared" si="57"/>
        <v>mixedProduct</v>
      </c>
      <c r="DK807">
        <f t="shared" si="73"/>
        <v>0</v>
      </c>
      <c r="DL807">
        <f t="shared" si="74"/>
        <v>0</v>
      </c>
      <c r="DM807" t="str">
        <f t="shared" si="75"/>
        <v>Pulp/Paper</v>
      </c>
      <c r="DN807" t="str">
        <f t="shared" si="76"/>
        <v>Timber</v>
      </c>
      <c r="DO807">
        <v>0</v>
      </c>
      <c r="DP807">
        <v>0</v>
      </c>
      <c r="DQ807">
        <v>0</v>
      </c>
      <c r="DR807">
        <v>0</v>
      </c>
      <c r="DS807">
        <v>0</v>
      </c>
      <c r="DT807">
        <f t="shared" si="72"/>
        <v>0</v>
      </c>
      <c r="DU807" s="143" t="str">
        <f t="shared" si="99"/>
        <v>explicit C balance</v>
      </c>
      <c r="DV807">
        <v>0</v>
      </c>
      <c r="DW807">
        <v>0</v>
      </c>
      <c r="DX807">
        <v>0</v>
      </c>
      <c r="DY807">
        <v>1</v>
      </c>
      <c r="DZ807">
        <v>0</v>
      </c>
      <c r="EA807" s="143">
        <v>0</v>
      </c>
      <c r="EB807">
        <v>1</v>
      </c>
      <c r="EC807">
        <v>1</v>
      </c>
      <c r="ED807">
        <v>0</v>
      </c>
      <c r="EE807">
        <v>0</v>
      </c>
      <c r="EF807">
        <v>0</v>
      </c>
      <c r="EG807">
        <v>1</v>
      </c>
      <c r="EH807">
        <v>0</v>
      </c>
      <c r="EI807" s="2">
        <v>0</v>
      </c>
      <c r="EK807" t="str">
        <f t="shared" si="77"/>
        <v/>
      </c>
      <c r="EL807" t="str">
        <f t="shared" si="78"/>
        <v/>
      </c>
      <c r="EM807" s="2" t="str">
        <f t="shared" si="98"/>
        <v>Technology approach</v>
      </c>
      <c r="EP807" t="str">
        <f>IF(ISNUMBER(BU807),IF(ABS(BU807-[1]QC_indicators!$B$2)&gt;3*[1]QC_indicators!$C$2,"C ratio",IF(ISNUMBER(BY807),IF(ABS(BY807-[1]QC_indicators!$B$1)&gt;3*[1]QC_indicators!$C$1,"DF","no"))),IF(ISNUMBER(BY807),IF(ABS(BY807-[1]QC_indicators!$B$1)&gt;3*[1]QC_indicators!$C$1,"DF","no")))</f>
        <v>no</v>
      </c>
      <c r="EQ807" t="s">
        <v>1166</v>
      </c>
      <c r="ER807" t="s">
        <v>1593</v>
      </c>
      <c r="ET807" s="266" t="s">
        <v>3409</v>
      </c>
    </row>
    <row r="808" spans="1:150" ht="15" hidden="1" customHeight="1">
      <c r="A808" s="1" t="s">
        <v>1140</v>
      </c>
      <c r="B808" t="s">
        <v>1580</v>
      </c>
      <c r="C808" t="s">
        <v>1581</v>
      </c>
      <c r="D808" t="s">
        <v>1582</v>
      </c>
      <c r="E808" t="s">
        <v>1583</v>
      </c>
      <c r="F808" t="s">
        <v>1584</v>
      </c>
      <c r="G808" t="s">
        <v>1141</v>
      </c>
      <c r="H808" t="s">
        <v>255</v>
      </c>
      <c r="I808">
        <v>2020</v>
      </c>
      <c r="J808">
        <v>4</v>
      </c>
      <c r="K808" t="s">
        <v>1585</v>
      </c>
      <c r="M808" t="str">
        <f t="shared" si="40"/>
        <v>Ganguly_2020</v>
      </c>
      <c r="N808" t="s">
        <v>223</v>
      </c>
      <c r="O808" s="145" t="s">
        <v>275</v>
      </c>
      <c r="Q808" s="266" t="s">
        <v>257</v>
      </c>
      <c r="R808" s="271" t="s">
        <v>342</v>
      </c>
      <c r="S808" s="1" t="s">
        <v>1586</v>
      </c>
      <c r="T808" t="s">
        <v>1594</v>
      </c>
      <c r="U808" t="s">
        <v>1588</v>
      </c>
      <c r="V808">
        <v>0</v>
      </c>
      <c r="W808">
        <v>0</v>
      </c>
      <c r="X808">
        <v>0</v>
      </c>
      <c r="Y808">
        <v>0</v>
      </c>
      <c r="Z808">
        <v>0</v>
      </c>
      <c r="AA808">
        <v>0</v>
      </c>
      <c r="AB808">
        <v>0</v>
      </c>
      <c r="AC808">
        <v>0</v>
      </c>
      <c r="AD808">
        <v>0</v>
      </c>
      <c r="AE808">
        <v>1</v>
      </c>
      <c r="AF808">
        <v>0</v>
      </c>
      <c r="AG808">
        <v>0</v>
      </c>
      <c r="AH808">
        <v>0</v>
      </c>
      <c r="AI808">
        <v>0</v>
      </c>
      <c r="AJ808">
        <v>0</v>
      </c>
      <c r="AK808">
        <v>0</v>
      </c>
      <c r="AL808">
        <v>0</v>
      </c>
      <c r="AM808">
        <v>0</v>
      </c>
      <c r="AN808">
        <v>0</v>
      </c>
      <c r="AO808">
        <v>0</v>
      </c>
      <c r="AP808">
        <v>0</v>
      </c>
      <c r="AQ808">
        <v>0</v>
      </c>
      <c r="AR808">
        <v>0</v>
      </c>
      <c r="AS808">
        <v>0</v>
      </c>
      <c r="AT808">
        <v>0</v>
      </c>
      <c r="AU808">
        <v>0</v>
      </c>
      <c r="AV808">
        <v>0</v>
      </c>
      <c r="AW808">
        <v>0</v>
      </c>
      <c r="AX808" s="141">
        <f t="shared" si="41"/>
        <v>1</v>
      </c>
      <c r="AY808" s="141">
        <f t="shared" si="88"/>
        <v>1</v>
      </c>
      <c r="AZ808">
        <f t="shared" si="89"/>
        <v>0</v>
      </c>
      <c r="BA808">
        <f t="shared" si="90"/>
        <v>1</v>
      </c>
      <c r="BB808">
        <f t="shared" si="91"/>
        <v>0</v>
      </c>
      <c r="BC808">
        <f t="shared" si="92"/>
        <v>0</v>
      </c>
      <c r="BD808">
        <f t="shared" si="93"/>
        <v>0</v>
      </c>
      <c r="BE808" t="str" cm="1">
        <f t="array" ref="BE808">IF(AY808=1,INDEX($V$7:$AL$7,MATCH(TRUE,INDEX($V808:$AW808&lt;&gt;0,),0)),IF(AY808=0,INDEX($AM$7:$AW$7,MATCH(1,$AM808:$AW808,0)),IF(BF808="Multiple strategies","mixed drivers",IF(BF808="Supply chain","multiple supply","multiple silviculture"))))</f>
        <v>location of industry</v>
      </c>
      <c r="BF808" s="2" t="str" cm="1">
        <f t="array" ref="BF808">IF(COUNTIF(AZ808:BB808,"&lt;&gt;0")=1,INDEX($V$4:$AW$4,MATCH(TRUE,INDEX($V808:$AW808&lt;&gt;0,),0)),IF(COUNTIF(AZ808:BB808,"&lt;&gt;0")=0,INDEX($AM$4:$AW$4,MATCH(1,$AM808:$AW808,0)),"Multiple strategies"))</f>
        <v>Supply chain</v>
      </c>
      <c r="BG808" s="1" t="s">
        <v>322</v>
      </c>
      <c r="BH808" t="s">
        <v>1589</v>
      </c>
      <c r="BI808" s="160" t="s">
        <v>1590</v>
      </c>
      <c r="BJ808" t="s">
        <v>1591</v>
      </c>
      <c r="BK808">
        <v>779369</v>
      </c>
      <c r="BL808">
        <v>3760725</v>
      </c>
      <c r="BM808">
        <f t="shared" si="85"/>
        <v>4.8253458887895206</v>
      </c>
      <c r="BN808">
        <f t="shared" si="66"/>
        <v>2981356</v>
      </c>
      <c r="BO808">
        <f>BN808*t_to_m3</f>
        <v>6084400</v>
      </c>
      <c r="BP808" t="s">
        <v>233</v>
      </c>
      <c r="BQ808" s="160" t="s">
        <v>1592</v>
      </c>
      <c r="BR808" t="s">
        <v>540</v>
      </c>
      <c r="BS808">
        <v>465273</v>
      </c>
      <c r="BT808">
        <v>2224329</v>
      </c>
      <c r="BU808" s="144">
        <f t="shared" si="80"/>
        <v>4.7806964943162402</v>
      </c>
      <c r="BV808">
        <f t="shared" si="81"/>
        <v>1759056</v>
      </c>
      <c r="BX808">
        <f>BV808</f>
        <v>1759056</v>
      </c>
      <c r="BY808">
        <f t="shared" si="94"/>
        <v>0.28910919729143381</v>
      </c>
      <c r="BZ808">
        <v>0</v>
      </c>
      <c r="CA808">
        <v>0</v>
      </c>
      <c r="CB808">
        <v>0</v>
      </c>
      <c r="CC808">
        <v>0</v>
      </c>
      <c r="CD808">
        <v>0</v>
      </c>
      <c r="CE808">
        <v>0</v>
      </c>
      <c r="CF808">
        <v>0</v>
      </c>
      <c r="CG808">
        <v>0</v>
      </c>
      <c r="CH808">
        <v>0</v>
      </c>
      <c r="CI808">
        <v>0</v>
      </c>
      <c r="CJ808">
        <v>0</v>
      </c>
      <c r="CK808">
        <v>0</v>
      </c>
      <c r="CL808">
        <v>0</v>
      </c>
      <c r="CM808">
        <v>0</v>
      </c>
      <c r="CN808" t="str">
        <f t="shared" si="100"/>
        <v>refOK</v>
      </c>
      <c r="CO808">
        <f>IF($CN808="refNeedCorrection",BL808,BK808)</f>
        <v>779369</v>
      </c>
      <c r="CP808">
        <f>IF($CN808="refNeedCorrection",BK808,BL808)</f>
        <v>3760725</v>
      </c>
      <c r="CQ808">
        <f t="shared" si="51"/>
        <v>6084400</v>
      </c>
      <c r="CR808">
        <f t="shared" si="69"/>
        <v>465273</v>
      </c>
      <c r="CS808">
        <f t="shared" si="70"/>
        <v>2224329</v>
      </c>
      <c r="CT808">
        <f t="shared" si="84"/>
        <v>1759056</v>
      </c>
      <c r="CU808">
        <f t="shared" si="53"/>
        <v>0.28910919729143381</v>
      </c>
      <c r="CV808" s="2">
        <f t="shared" si="95"/>
        <v>3.7806964943162402</v>
      </c>
      <c r="CW808" s="1" t="s">
        <v>1201</v>
      </c>
      <c r="CX808" s="266" t="str">
        <f t="shared" si="96"/>
        <v>reg</v>
      </c>
      <c r="CY808" t="s">
        <v>429</v>
      </c>
      <c r="DB808">
        <v>100</v>
      </c>
      <c r="DC808" t="str">
        <f t="shared" si="97"/>
        <v>71-100</v>
      </c>
      <c r="DD808">
        <v>0</v>
      </c>
      <c r="DE808">
        <v>0</v>
      </c>
      <c r="DF808">
        <v>1</v>
      </c>
      <c r="DG808">
        <v>1</v>
      </c>
      <c r="DI808">
        <f t="shared" si="71"/>
        <v>2</v>
      </c>
      <c r="DJ808" t="str">
        <f t="shared" si="57"/>
        <v>mixedProduct</v>
      </c>
      <c r="DK808">
        <f t="shared" si="73"/>
        <v>0</v>
      </c>
      <c r="DL808">
        <f t="shared" si="74"/>
        <v>0</v>
      </c>
      <c r="DM808" t="str">
        <f t="shared" si="75"/>
        <v>Pulp/Paper</v>
      </c>
      <c r="DN808" t="str">
        <f t="shared" si="76"/>
        <v>Timber</v>
      </c>
      <c r="DO808">
        <v>0</v>
      </c>
      <c r="DP808">
        <v>0</v>
      </c>
      <c r="DQ808">
        <v>0</v>
      </c>
      <c r="DR808">
        <v>0</v>
      </c>
      <c r="DS808">
        <v>0</v>
      </c>
      <c r="DT808">
        <f t="shared" si="72"/>
        <v>0</v>
      </c>
      <c r="DU808" s="143" t="str">
        <f t="shared" si="99"/>
        <v>explicit C balance</v>
      </c>
      <c r="DV808">
        <v>0</v>
      </c>
      <c r="DW808">
        <v>0</v>
      </c>
      <c r="DX808">
        <v>0</v>
      </c>
      <c r="DY808">
        <v>1</v>
      </c>
      <c r="DZ808">
        <v>0</v>
      </c>
      <c r="EA808" s="143">
        <v>0</v>
      </c>
      <c r="EB808">
        <v>0</v>
      </c>
      <c r="EC808">
        <v>0</v>
      </c>
      <c r="ED808">
        <v>0</v>
      </c>
      <c r="EE808">
        <v>0</v>
      </c>
      <c r="EF808">
        <v>0</v>
      </c>
      <c r="EG808">
        <v>1</v>
      </c>
      <c r="EH808">
        <v>0</v>
      </c>
      <c r="EI808" s="2">
        <v>0</v>
      </c>
      <c r="EK808" t="str">
        <f t="shared" si="77"/>
        <v/>
      </c>
      <c r="EL808" t="str">
        <f t="shared" si="78"/>
        <v/>
      </c>
      <c r="EM808" s="2" t="str">
        <f t="shared" si="98"/>
        <v/>
      </c>
      <c r="EP808" t="str">
        <f>IF(ISNUMBER(BU808),IF(ABS(BU808-[1]QC_indicators!$B$2)&gt;3*[1]QC_indicators!$C$2,"C ratio",IF(ISNUMBER(BY808),IF(ABS(BY808-[1]QC_indicators!$B$1)&gt;3*[1]QC_indicators!$C$1,"DF","no"))),IF(ISNUMBER(BY808),IF(ABS(BY808-[1]QC_indicators!$B$1)&gt;3*[1]QC_indicators!$C$1,"DF","no")))</f>
        <v>no</v>
      </c>
      <c r="ER808" t="s">
        <v>1593</v>
      </c>
      <c r="ET808" s="266" t="s">
        <v>3409</v>
      </c>
    </row>
    <row r="809" spans="1:150" ht="15" hidden="1" customHeight="1">
      <c r="A809" s="1" t="s">
        <v>880</v>
      </c>
      <c r="D809" s="266" t="s">
        <v>881</v>
      </c>
      <c r="E809" t="s">
        <v>894</v>
      </c>
      <c r="H809" t="s">
        <v>883</v>
      </c>
      <c r="I809">
        <v>2020</v>
      </c>
      <c r="J809">
        <v>8</v>
      </c>
      <c r="K809" t="s">
        <v>884</v>
      </c>
      <c r="M809" t="str">
        <f t="shared" si="40"/>
        <v>Lausselet_2020</v>
      </c>
      <c r="N809" t="s">
        <v>223</v>
      </c>
      <c r="O809" s="145" t="s">
        <v>226</v>
      </c>
      <c r="Q809" s="266" t="s">
        <v>257</v>
      </c>
      <c r="R809" s="271" t="s">
        <v>342</v>
      </c>
      <c r="S809" s="1" t="s">
        <v>895</v>
      </c>
      <c r="T809" t="s">
        <v>887</v>
      </c>
      <c r="U809" s="143" t="s">
        <v>896</v>
      </c>
      <c r="V809">
        <v>0</v>
      </c>
      <c r="W809">
        <v>0</v>
      </c>
      <c r="X809">
        <v>0</v>
      </c>
      <c r="Y809">
        <v>0</v>
      </c>
      <c r="Z809">
        <v>0</v>
      </c>
      <c r="AA809">
        <v>0</v>
      </c>
      <c r="AB809">
        <v>0</v>
      </c>
      <c r="AC809">
        <v>0</v>
      </c>
      <c r="AD809">
        <v>0</v>
      </c>
      <c r="AE809">
        <v>0</v>
      </c>
      <c r="AF809">
        <v>0</v>
      </c>
      <c r="AG809">
        <v>0</v>
      </c>
      <c r="AH809">
        <v>0</v>
      </c>
      <c r="AI809">
        <v>1</v>
      </c>
      <c r="AJ809">
        <v>0</v>
      </c>
      <c r="AK809">
        <v>0</v>
      </c>
      <c r="AL809">
        <v>0</v>
      </c>
      <c r="AM809">
        <v>0</v>
      </c>
      <c r="AN809">
        <v>0</v>
      </c>
      <c r="AO809">
        <v>0</v>
      </c>
      <c r="AP809">
        <v>0</v>
      </c>
      <c r="AQ809">
        <v>0</v>
      </c>
      <c r="AR809">
        <v>0</v>
      </c>
      <c r="AS809">
        <v>0</v>
      </c>
      <c r="AT809">
        <v>0</v>
      </c>
      <c r="AU809">
        <v>0</v>
      </c>
      <c r="AV809">
        <v>0</v>
      </c>
      <c r="AW809">
        <v>0</v>
      </c>
      <c r="AX809" s="141">
        <f t="shared" si="41"/>
        <v>1</v>
      </c>
      <c r="AY809" s="141">
        <f t="shared" si="88"/>
        <v>1</v>
      </c>
      <c r="AZ809">
        <f t="shared" si="89"/>
        <v>0</v>
      </c>
      <c r="BA809">
        <f t="shared" si="90"/>
        <v>1</v>
      </c>
      <c r="BB809">
        <f t="shared" si="91"/>
        <v>0</v>
      </c>
      <c r="BC809">
        <f t="shared" si="92"/>
        <v>0</v>
      </c>
      <c r="BD809">
        <f t="shared" si="93"/>
        <v>0</v>
      </c>
      <c r="BE809" t="str" cm="1">
        <f t="array" ref="BE809">IF(AY809=1,INDEX($V$7:$AL$7,MATCH(TRUE,INDEX($V809:$AW809&lt;&gt;0,),0)),IF(AY809=0,INDEX($AM$7:$AW$7,MATCH(1,$AM809:$AW809,0)),IF(BF809="Multiple strategies","mixed drivers",IF(BF809="Supply chain","multiple supply","multiple silviculture"))))</f>
        <v>products lifespan</v>
      </c>
      <c r="BF809" s="2" t="str" cm="1">
        <f t="array" ref="BF809">IF(COUNTIF(AZ809:BB809,"&lt;&gt;0")=1,INDEX($V$4:$AW$4,MATCH(TRUE,INDEX($V809:$AW809&lt;&gt;0,),0)),IF(COUNTIF(AZ809:BB809,"&lt;&gt;0")=0,INDEX($AM$4:$AW$4,MATCH(1,$AM809:$AW809,0)),"Multiple strategies"))</f>
        <v>Supply chain</v>
      </c>
      <c r="BG809" s="164" t="s">
        <v>230</v>
      </c>
      <c r="BH809" s="165" t="s">
        <v>3418</v>
      </c>
      <c r="BI809" s="165" t="s">
        <v>3417</v>
      </c>
      <c r="BJ809" s="166" t="s">
        <v>346</v>
      </c>
      <c r="BK809" s="167"/>
      <c r="BL809" s="167"/>
      <c r="BM809" s="168" t="s">
        <v>888</v>
      </c>
      <c r="BN809">
        <f t="shared" si="66"/>
        <v>0</v>
      </c>
      <c r="BO809">
        <f t="shared" ref="BO809:BO814" si="101">BN809*kg_to_m3</f>
        <v>0</v>
      </c>
      <c r="BP809" s="308" t="s">
        <v>396</v>
      </c>
      <c r="BQ809" s="266" t="s">
        <v>889</v>
      </c>
      <c r="BR809" s="266" t="s">
        <v>890</v>
      </c>
      <c r="BS809" s="169">
        <v>81960007.070510104</v>
      </c>
      <c r="BT809" s="170">
        <v>75925100</v>
      </c>
      <c r="BU809" s="144">
        <v>0.93</v>
      </c>
      <c r="BV809">
        <f t="shared" si="81"/>
        <v>-6034907.0705101043</v>
      </c>
      <c r="BX809">
        <f>BV809/1000</f>
        <v>-6034.9070705101039</v>
      </c>
      <c r="BY809" t="str">
        <f t="shared" si="94"/>
        <v/>
      </c>
      <c r="BZ809">
        <v>0</v>
      </c>
      <c r="CA809">
        <v>0</v>
      </c>
      <c r="CB809">
        <v>0</v>
      </c>
      <c r="CC809">
        <v>0</v>
      </c>
      <c r="CD809">
        <v>0</v>
      </c>
      <c r="CE809">
        <v>0</v>
      </c>
      <c r="CF809">
        <v>0</v>
      </c>
      <c r="CG809">
        <v>0</v>
      </c>
      <c r="CH809">
        <v>0</v>
      </c>
      <c r="CI809">
        <v>0</v>
      </c>
      <c r="CJ809">
        <v>0</v>
      </c>
      <c r="CK809">
        <v>0</v>
      </c>
      <c r="CL809">
        <v>0</v>
      </c>
      <c r="CM809">
        <v>0</v>
      </c>
      <c r="CN809" t="str">
        <f>IF(BL809&lt;BK809,"refNeedCorrection","refOK")</f>
        <v>refOK</v>
      </c>
      <c r="CO809"/>
      <c r="CP809"/>
      <c r="CQ809">
        <f t="shared" si="51"/>
        <v>0</v>
      </c>
      <c r="CR809">
        <f t="shared" si="69"/>
        <v>-81960007.070510104</v>
      </c>
      <c r="CS809">
        <f t="shared" si="70"/>
        <v>-75925100</v>
      </c>
      <c r="CT809">
        <f t="shared" si="84"/>
        <v>6034.9070705101039</v>
      </c>
      <c r="CU809" t="str">
        <f t="shared" si="53"/>
        <v/>
      </c>
      <c r="CV809" s="2">
        <f t="shared" si="95"/>
        <v>7.3632339554562026E-2</v>
      </c>
      <c r="CW809" s="1" t="s">
        <v>348</v>
      </c>
      <c r="CX809" s="266" t="str">
        <f t="shared" si="96"/>
        <v>loc</v>
      </c>
      <c r="CY809" t="s">
        <v>265</v>
      </c>
      <c r="CZ809">
        <v>2019</v>
      </c>
      <c r="DA809" s="143">
        <v>2080</v>
      </c>
      <c r="DB809" s="143">
        <f>DA809-CZ809</f>
        <v>61</v>
      </c>
      <c r="DC809" t="str">
        <f t="shared" si="97"/>
        <v>31-70</v>
      </c>
      <c r="DD809">
        <v>0</v>
      </c>
      <c r="DE809">
        <v>0</v>
      </c>
      <c r="DF809">
        <v>0</v>
      </c>
      <c r="DG809">
        <v>1</v>
      </c>
      <c r="DI809">
        <f t="shared" si="71"/>
        <v>1</v>
      </c>
      <c r="DJ809" t="str">
        <f t="shared" si="57"/>
        <v>TimberInput</v>
      </c>
      <c r="DK809">
        <f t="shared" si="73"/>
        <v>0</v>
      </c>
      <c r="DL809">
        <f t="shared" si="74"/>
        <v>0</v>
      </c>
      <c r="DM809">
        <f t="shared" si="75"/>
        <v>0</v>
      </c>
      <c r="DN809" t="str">
        <f t="shared" si="76"/>
        <v>Timber</v>
      </c>
      <c r="DO809">
        <v>0</v>
      </c>
      <c r="DP809" s="143">
        <v>0</v>
      </c>
      <c r="DQ809" s="143">
        <v>0</v>
      </c>
      <c r="DR809">
        <v>0</v>
      </c>
      <c r="DS809" s="143">
        <v>0</v>
      </c>
      <c r="DT809">
        <f t="shared" si="72"/>
        <v>0</v>
      </c>
      <c r="DU809" s="143" t="str">
        <f t="shared" si="99"/>
        <v>explicit C balance</v>
      </c>
      <c r="DV809" s="143">
        <v>0</v>
      </c>
      <c r="DW809" s="143">
        <v>0</v>
      </c>
      <c r="DX809" s="143">
        <v>0</v>
      </c>
      <c r="DY809" s="143">
        <v>1</v>
      </c>
      <c r="DZ809">
        <v>0</v>
      </c>
      <c r="EA809" s="143">
        <v>0</v>
      </c>
      <c r="EB809" s="143">
        <v>1</v>
      </c>
      <c r="EC809" s="143">
        <v>1</v>
      </c>
      <c r="ED809" s="143">
        <v>1</v>
      </c>
      <c r="EE809">
        <v>0</v>
      </c>
      <c r="EF809">
        <v>0</v>
      </c>
      <c r="EG809" s="143">
        <v>0</v>
      </c>
      <c r="EH809">
        <v>0</v>
      </c>
      <c r="EI809" s="2">
        <v>0</v>
      </c>
      <c r="EK809" t="str">
        <f t="shared" si="77"/>
        <v/>
      </c>
      <c r="EL809" t="str">
        <f t="shared" si="78"/>
        <v/>
      </c>
      <c r="EM809" s="2" t="str">
        <f t="shared" si="98"/>
        <v>Technology approach</v>
      </c>
      <c r="EP809" t="b">
        <f>IF(ISNUMBER(BU809),IF(ABS(BU809-[1]QC_indicators!$B$2)&gt;3*[1]QC_indicators!$C$2,"C ratio",IF(ISNUMBER(BY809),IF(ABS(BY809-[1]QC_indicators!$B$1)&gt;3*[1]QC_indicators!$C$1,"DF","no"))),IF(ISNUMBER(BY809),IF(ABS(BY809-[1]QC_indicators!$B$1)&gt;3*[1]QC_indicators!$C$1,"DF","no")))</f>
        <v>0</v>
      </c>
      <c r="ER809" s="296" t="s">
        <v>350</v>
      </c>
      <c r="ET809" s="308" t="s">
        <v>3421</v>
      </c>
    </row>
    <row r="810" spans="1:150" ht="15" hidden="1" customHeight="1">
      <c r="A810" s="1" t="s">
        <v>880</v>
      </c>
      <c r="D810" s="266" t="s">
        <v>881</v>
      </c>
      <c r="E810" t="s">
        <v>894</v>
      </c>
      <c r="H810" t="s">
        <v>883</v>
      </c>
      <c r="I810">
        <v>2020</v>
      </c>
      <c r="J810">
        <v>8</v>
      </c>
      <c r="K810" t="s">
        <v>884</v>
      </c>
      <c r="M810" t="str">
        <f t="shared" si="40"/>
        <v>Lausselet_2020</v>
      </c>
      <c r="N810" t="s">
        <v>223</v>
      </c>
      <c r="O810" s="145" t="s">
        <v>226</v>
      </c>
      <c r="Q810" s="266" t="s">
        <v>257</v>
      </c>
      <c r="R810" s="271" t="s">
        <v>342</v>
      </c>
      <c r="S810" s="1" t="s">
        <v>895</v>
      </c>
      <c r="T810" t="s">
        <v>887</v>
      </c>
      <c r="U810" s="143" t="s">
        <v>897</v>
      </c>
      <c r="V810">
        <v>0</v>
      </c>
      <c r="W810">
        <v>0</v>
      </c>
      <c r="X810">
        <v>0</v>
      </c>
      <c r="Y810">
        <v>0</v>
      </c>
      <c r="Z810">
        <v>0</v>
      </c>
      <c r="AA810">
        <v>0</v>
      </c>
      <c r="AB810">
        <v>0</v>
      </c>
      <c r="AC810">
        <v>0</v>
      </c>
      <c r="AD810">
        <v>0</v>
      </c>
      <c r="AE810">
        <v>0</v>
      </c>
      <c r="AF810">
        <v>0</v>
      </c>
      <c r="AG810">
        <v>0</v>
      </c>
      <c r="AH810">
        <v>0</v>
      </c>
      <c r="AI810">
        <v>1</v>
      </c>
      <c r="AJ810">
        <v>0</v>
      </c>
      <c r="AK810">
        <v>0</v>
      </c>
      <c r="AL810">
        <v>0</v>
      </c>
      <c r="AM810">
        <v>0</v>
      </c>
      <c r="AN810">
        <v>0</v>
      </c>
      <c r="AO810">
        <v>0</v>
      </c>
      <c r="AP810">
        <v>0</v>
      </c>
      <c r="AQ810">
        <v>0</v>
      </c>
      <c r="AR810">
        <v>0</v>
      </c>
      <c r="AS810">
        <v>0</v>
      </c>
      <c r="AT810">
        <v>0</v>
      </c>
      <c r="AU810">
        <v>0</v>
      </c>
      <c r="AV810">
        <v>0</v>
      </c>
      <c r="AW810">
        <v>0</v>
      </c>
      <c r="AX810" s="141">
        <f t="shared" si="41"/>
        <v>1</v>
      </c>
      <c r="AY810" s="141">
        <f t="shared" si="88"/>
        <v>1</v>
      </c>
      <c r="AZ810">
        <f t="shared" si="89"/>
        <v>0</v>
      </c>
      <c r="BA810">
        <f t="shared" si="90"/>
        <v>1</v>
      </c>
      <c r="BB810">
        <f t="shared" si="91"/>
        <v>0</v>
      </c>
      <c r="BC810">
        <f t="shared" si="92"/>
        <v>0</v>
      </c>
      <c r="BD810">
        <f t="shared" si="93"/>
        <v>0</v>
      </c>
      <c r="BE810" t="str" cm="1">
        <f t="array" ref="BE810">IF(AY810=1,INDEX($V$7:$AL$7,MATCH(TRUE,INDEX($V810:$AW810&lt;&gt;0,),0)),IF(AY810=0,INDEX($AM$7:$AW$7,MATCH(1,$AM810:$AW810,0)),IF(BF810="Multiple strategies","mixed drivers",IF(BF810="Supply chain","multiple supply","multiple silviculture"))))</f>
        <v>products lifespan</v>
      </c>
      <c r="BF810" s="2" t="str" cm="1">
        <f t="array" ref="BF810">IF(COUNTIF(AZ810:BB810,"&lt;&gt;0")=1,INDEX($V$4:$AW$4,MATCH(TRUE,INDEX($V810:$AW810&lt;&gt;0,),0)),IF(COUNTIF(AZ810:BB810,"&lt;&gt;0")=0,INDEX($AM$4:$AW$4,MATCH(1,$AM810:$AW810,0)),"Multiple strategies"))</f>
        <v>Supply chain</v>
      </c>
      <c r="BG810" s="164" t="s">
        <v>230</v>
      </c>
      <c r="BH810" s="165" t="s">
        <v>3418</v>
      </c>
      <c r="BI810" s="165" t="s">
        <v>3417</v>
      </c>
      <c r="BJ810" s="166" t="s">
        <v>346</v>
      </c>
      <c r="BK810" s="167"/>
      <c r="BL810" s="167"/>
      <c r="BM810" s="168" t="s">
        <v>888</v>
      </c>
      <c r="BN810">
        <f t="shared" si="66"/>
        <v>0</v>
      </c>
      <c r="BO810">
        <f t="shared" si="101"/>
        <v>0</v>
      </c>
      <c r="BP810" s="308" t="s">
        <v>396</v>
      </c>
      <c r="BQ810" s="266" t="s">
        <v>889</v>
      </c>
      <c r="BR810" s="266" t="s">
        <v>890</v>
      </c>
      <c r="BS810" s="169">
        <v>81960007.070510104</v>
      </c>
      <c r="BT810" s="169">
        <v>72552900</v>
      </c>
      <c r="BU810" s="144">
        <v>0.89</v>
      </c>
      <c r="BV810">
        <f t="shared" si="81"/>
        <v>-9407107.0705101043</v>
      </c>
      <c r="BX810">
        <f>BV810/1000</f>
        <v>-9407.1070705101047</v>
      </c>
      <c r="BY810" t="str">
        <f t="shared" si="94"/>
        <v/>
      </c>
      <c r="BZ810">
        <v>0</v>
      </c>
      <c r="CA810">
        <v>0</v>
      </c>
      <c r="CB810">
        <v>0</v>
      </c>
      <c r="CC810">
        <v>0</v>
      </c>
      <c r="CD810">
        <v>0</v>
      </c>
      <c r="CE810">
        <v>0</v>
      </c>
      <c r="CF810">
        <v>0</v>
      </c>
      <c r="CG810">
        <v>0</v>
      </c>
      <c r="CH810">
        <v>0</v>
      </c>
      <c r="CI810">
        <v>0</v>
      </c>
      <c r="CJ810">
        <v>0</v>
      </c>
      <c r="CK810">
        <v>0</v>
      </c>
      <c r="CL810">
        <v>0</v>
      </c>
      <c r="CM810">
        <v>0</v>
      </c>
      <c r="CN810" t="str">
        <f>IF(BL810&lt;BK810,"refNeedCorrection","refOK")</f>
        <v>refOK</v>
      </c>
      <c r="CO810"/>
      <c r="CP810"/>
      <c r="CQ810">
        <f t="shared" si="51"/>
        <v>0</v>
      </c>
      <c r="CR810">
        <f t="shared" si="69"/>
        <v>-81960007.070510104</v>
      </c>
      <c r="CS810">
        <f t="shared" si="70"/>
        <v>-72552900</v>
      </c>
      <c r="CT810">
        <f t="shared" si="84"/>
        <v>9407.1070705101047</v>
      </c>
      <c r="CU810" t="str">
        <f t="shared" si="53"/>
        <v/>
      </c>
      <c r="CV810" s="2">
        <f t="shared" si="95"/>
        <v>0.11477679671766232</v>
      </c>
      <c r="CW810" s="1" t="s">
        <v>348</v>
      </c>
      <c r="CX810" s="266" t="str">
        <f t="shared" si="96"/>
        <v>loc</v>
      </c>
      <c r="CY810" t="s">
        <v>265</v>
      </c>
      <c r="CZ810">
        <v>2019</v>
      </c>
      <c r="DA810" s="143">
        <v>2080</v>
      </c>
      <c r="DB810" s="143">
        <f>DA810-CZ810</f>
        <v>61</v>
      </c>
      <c r="DC810" t="str">
        <f t="shared" si="97"/>
        <v>31-70</v>
      </c>
      <c r="DD810">
        <v>0</v>
      </c>
      <c r="DE810">
        <v>0</v>
      </c>
      <c r="DF810">
        <v>0</v>
      </c>
      <c r="DG810">
        <v>1</v>
      </c>
      <c r="DI810">
        <f t="shared" si="71"/>
        <v>1</v>
      </c>
      <c r="DJ810" t="str">
        <f t="shared" si="57"/>
        <v>TimberInput</v>
      </c>
      <c r="DK810">
        <f t="shared" si="73"/>
        <v>0</v>
      </c>
      <c r="DL810">
        <f t="shared" si="74"/>
        <v>0</v>
      </c>
      <c r="DM810">
        <f t="shared" si="75"/>
        <v>0</v>
      </c>
      <c r="DN810" t="str">
        <f t="shared" si="76"/>
        <v>Timber</v>
      </c>
      <c r="DO810">
        <v>0</v>
      </c>
      <c r="DP810" s="143">
        <v>0</v>
      </c>
      <c r="DQ810" s="143">
        <v>0</v>
      </c>
      <c r="DR810">
        <v>0</v>
      </c>
      <c r="DS810" s="143">
        <v>0</v>
      </c>
      <c r="DT810">
        <f t="shared" si="72"/>
        <v>0</v>
      </c>
      <c r="DU810" s="143" t="str">
        <f t="shared" si="99"/>
        <v>explicit C balance</v>
      </c>
      <c r="DV810" s="143">
        <v>0</v>
      </c>
      <c r="DW810" s="143">
        <v>0</v>
      </c>
      <c r="DX810" s="143">
        <v>0</v>
      </c>
      <c r="DY810" s="143">
        <v>1</v>
      </c>
      <c r="DZ810">
        <v>0</v>
      </c>
      <c r="EA810" s="143">
        <v>0</v>
      </c>
      <c r="EB810" s="143">
        <v>1</v>
      </c>
      <c r="EC810" s="143">
        <v>1</v>
      </c>
      <c r="ED810" s="143">
        <v>1</v>
      </c>
      <c r="EE810">
        <v>0</v>
      </c>
      <c r="EF810">
        <v>0</v>
      </c>
      <c r="EG810" s="143">
        <v>0</v>
      </c>
      <c r="EH810">
        <v>0</v>
      </c>
      <c r="EI810" s="2">
        <v>0</v>
      </c>
      <c r="EK810" t="str">
        <f t="shared" si="77"/>
        <v/>
      </c>
      <c r="EL810" t="str">
        <f t="shared" si="78"/>
        <v/>
      </c>
      <c r="EM810" s="2" t="str">
        <f t="shared" si="98"/>
        <v>Technology approach</v>
      </c>
      <c r="EP810" t="b">
        <f>IF(ISNUMBER(BU810),IF(ABS(BU810-[1]QC_indicators!$B$2)&gt;3*[1]QC_indicators!$C$2,"C ratio",IF(ISNUMBER(BY810),IF(ABS(BY810-[1]QC_indicators!$B$1)&gt;3*[1]QC_indicators!$C$1,"DF","no"))),IF(ISNUMBER(BY810),IF(ABS(BY810-[1]QC_indicators!$B$1)&gt;3*[1]QC_indicators!$C$1,"DF","no")))</f>
        <v>0</v>
      </c>
      <c r="ER810" s="296" t="s">
        <v>350</v>
      </c>
      <c r="ET810" s="308" t="s">
        <v>3421</v>
      </c>
    </row>
    <row r="811" spans="1:150" ht="15" hidden="1" customHeight="1">
      <c r="A811" s="1" t="s">
        <v>880</v>
      </c>
      <c r="D811" s="266" t="s">
        <v>881</v>
      </c>
      <c r="E811" t="s">
        <v>894</v>
      </c>
      <c r="H811" t="s">
        <v>883</v>
      </c>
      <c r="I811">
        <v>2020</v>
      </c>
      <c r="J811">
        <v>8</v>
      </c>
      <c r="K811" t="s">
        <v>884</v>
      </c>
      <c r="M811" t="str">
        <f t="shared" ref="M811:M874" si="102">LEFT($D811,FIND(",",$D811)-1)&amp;"_"&amp;I811&amp;L811</f>
        <v>Lausselet_2020</v>
      </c>
      <c r="N811" t="s">
        <v>223</v>
      </c>
      <c r="O811" s="145" t="s">
        <v>226</v>
      </c>
      <c r="Q811" s="266" t="s">
        <v>257</v>
      </c>
      <c r="R811" s="271" t="s">
        <v>342</v>
      </c>
      <c r="S811" s="1" t="s">
        <v>895</v>
      </c>
      <c r="T811" t="s">
        <v>887</v>
      </c>
      <c r="U811" s="143" t="s">
        <v>898</v>
      </c>
      <c r="V811">
        <v>0</v>
      </c>
      <c r="W811">
        <v>0</v>
      </c>
      <c r="X811">
        <v>0</v>
      </c>
      <c r="Y811">
        <v>0</v>
      </c>
      <c r="Z811">
        <v>0</v>
      </c>
      <c r="AA811">
        <v>0</v>
      </c>
      <c r="AB811">
        <v>0</v>
      </c>
      <c r="AC811">
        <v>0</v>
      </c>
      <c r="AD811">
        <v>0</v>
      </c>
      <c r="AE811">
        <v>0</v>
      </c>
      <c r="AF811">
        <v>0</v>
      </c>
      <c r="AG811">
        <v>0</v>
      </c>
      <c r="AH811">
        <v>0</v>
      </c>
      <c r="AI811">
        <v>1</v>
      </c>
      <c r="AJ811">
        <v>0</v>
      </c>
      <c r="AK811">
        <v>0</v>
      </c>
      <c r="AL811">
        <v>0</v>
      </c>
      <c r="AM811">
        <v>0</v>
      </c>
      <c r="AN811">
        <v>0</v>
      </c>
      <c r="AO811">
        <v>0</v>
      </c>
      <c r="AP811">
        <v>0</v>
      </c>
      <c r="AQ811">
        <v>0</v>
      </c>
      <c r="AR811">
        <v>0</v>
      </c>
      <c r="AS811">
        <v>0</v>
      </c>
      <c r="AT811">
        <v>0</v>
      </c>
      <c r="AU811">
        <v>0</v>
      </c>
      <c r="AV811">
        <v>0</v>
      </c>
      <c r="AW811">
        <v>0</v>
      </c>
      <c r="AX811" s="141">
        <f t="shared" si="41"/>
        <v>1</v>
      </c>
      <c r="AY811" s="141">
        <f t="shared" si="88"/>
        <v>1</v>
      </c>
      <c r="AZ811">
        <f t="shared" si="89"/>
        <v>0</v>
      </c>
      <c r="BA811">
        <f t="shared" si="90"/>
        <v>1</v>
      </c>
      <c r="BB811">
        <f t="shared" si="91"/>
        <v>0</v>
      </c>
      <c r="BC811">
        <f t="shared" si="92"/>
        <v>0</v>
      </c>
      <c r="BD811">
        <f t="shared" si="93"/>
        <v>0</v>
      </c>
      <c r="BE811" t="str" cm="1">
        <f t="array" ref="BE811">IF(AY811=1,INDEX($V$7:$AL$7,MATCH(TRUE,INDEX($V811:$AW811&lt;&gt;0,),0)),IF(AY811=0,INDEX($AM$7:$AW$7,MATCH(1,$AM811:$AW811,0)),IF(BF811="Multiple strategies","mixed drivers",IF(BF811="Supply chain","multiple supply","multiple silviculture"))))</f>
        <v>products lifespan</v>
      </c>
      <c r="BF811" s="2" t="str" cm="1">
        <f t="array" ref="BF811">IF(COUNTIF(AZ811:BB811,"&lt;&gt;0")=1,INDEX($V$4:$AW$4,MATCH(TRUE,INDEX($V811:$AW811&lt;&gt;0,),0)),IF(COUNTIF(AZ811:BB811,"&lt;&gt;0")=0,INDEX($AM$4:$AW$4,MATCH(1,$AM811:$AW811,0)),"Multiple strategies"))</f>
        <v>Supply chain</v>
      </c>
      <c r="BG811" s="164" t="s">
        <v>230</v>
      </c>
      <c r="BH811" s="165" t="s">
        <v>3418</v>
      </c>
      <c r="BI811" s="165" t="s">
        <v>3417</v>
      </c>
      <c r="BJ811" s="166" t="s">
        <v>346</v>
      </c>
      <c r="BK811" s="167"/>
      <c r="BL811" s="167"/>
      <c r="BM811" s="168" t="s">
        <v>888</v>
      </c>
      <c r="BN811">
        <f t="shared" si="66"/>
        <v>0</v>
      </c>
      <c r="BO811">
        <f t="shared" si="101"/>
        <v>0</v>
      </c>
      <c r="BP811" s="308" t="s">
        <v>396</v>
      </c>
      <c r="BQ811" s="266" t="s">
        <v>889</v>
      </c>
      <c r="BR811" s="266" t="s">
        <v>890</v>
      </c>
      <c r="BS811" s="169">
        <v>81960007.070510104</v>
      </c>
      <c r="BT811" s="169">
        <v>97621800</v>
      </c>
      <c r="BU811" s="144">
        <v>1.19</v>
      </c>
      <c r="BV811">
        <f t="shared" si="81"/>
        <v>15661792.929489896</v>
      </c>
      <c r="BX811">
        <f>BV811/1000</f>
        <v>15661.792929489895</v>
      </c>
      <c r="BY811" t="str">
        <f t="shared" si="94"/>
        <v/>
      </c>
      <c r="BZ811">
        <v>0</v>
      </c>
      <c r="CA811">
        <v>0</v>
      </c>
      <c r="CB811">
        <v>0</v>
      </c>
      <c r="CC811">
        <v>0</v>
      </c>
      <c r="CD811">
        <v>0</v>
      </c>
      <c r="CE811">
        <v>0</v>
      </c>
      <c r="CF811">
        <v>0</v>
      </c>
      <c r="CG811">
        <v>0</v>
      </c>
      <c r="CH811">
        <v>0</v>
      </c>
      <c r="CI811">
        <v>0</v>
      </c>
      <c r="CJ811">
        <v>0</v>
      </c>
      <c r="CK811">
        <v>0</v>
      </c>
      <c r="CL811">
        <v>0</v>
      </c>
      <c r="CM811">
        <v>0</v>
      </c>
      <c r="CN811" t="str">
        <f>IF(BL811&lt;BK811,"refNeedCorrection","refOK")</f>
        <v>refOK</v>
      </c>
      <c r="CO811"/>
      <c r="CP811"/>
      <c r="CQ811">
        <f t="shared" si="51"/>
        <v>0</v>
      </c>
      <c r="CR811">
        <f t="shared" si="69"/>
        <v>-81960007.070510104</v>
      </c>
      <c r="CS811">
        <f t="shared" si="70"/>
        <v>-97621800</v>
      </c>
      <c r="CT811">
        <f t="shared" si="84"/>
        <v>-15661.792929489895</v>
      </c>
      <c r="CU811" t="str">
        <f t="shared" si="53"/>
        <v/>
      </c>
      <c r="CV811" s="2">
        <f t="shared" si="95"/>
        <v>-0.1910906732354973</v>
      </c>
      <c r="CW811" s="1" t="s">
        <v>348</v>
      </c>
      <c r="CX811" s="266" t="str">
        <f t="shared" si="96"/>
        <v>loc</v>
      </c>
      <c r="CY811" t="s">
        <v>265</v>
      </c>
      <c r="CZ811">
        <v>2019</v>
      </c>
      <c r="DA811" s="143">
        <v>2080</v>
      </c>
      <c r="DB811" s="143">
        <f>DA811-CZ811</f>
        <v>61</v>
      </c>
      <c r="DC811" t="str">
        <f t="shared" si="97"/>
        <v>31-70</v>
      </c>
      <c r="DD811">
        <v>0</v>
      </c>
      <c r="DE811">
        <v>0</v>
      </c>
      <c r="DF811">
        <v>0</v>
      </c>
      <c r="DG811">
        <v>1</v>
      </c>
      <c r="DI811">
        <f t="shared" si="71"/>
        <v>1</v>
      </c>
      <c r="DJ811" t="str">
        <f t="shared" ref="DJ811:DJ874" si="103">IF(DI811=1,INDEX($DD$7:$DG$7,MATCH(1,$DD811:$DG811,0)),"mixedProduct")</f>
        <v>TimberInput</v>
      </c>
      <c r="DK811">
        <f t="shared" si="73"/>
        <v>0</v>
      </c>
      <c r="DL811">
        <f t="shared" si="74"/>
        <v>0</v>
      </c>
      <c r="DM811">
        <f t="shared" si="75"/>
        <v>0</v>
      </c>
      <c r="DN811" t="str">
        <f t="shared" si="76"/>
        <v>Timber</v>
      </c>
      <c r="DO811">
        <v>0</v>
      </c>
      <c r="DP811" s="143">
        <v>0</v>
      </c>
      <c r="DQ811" s="143">
        <v>0</v>
      </c>
      <c r="DR811">
        <v>0</v>
      </c>
      <c r="DS811" s="143">
        <v>0</v>
      </c>
      <c r="DT811">
        <f t="shared" si="72"/>
        <v>0</v>
      </c>
      <c r="DU811" s="143" t="str">
        <f t="shared" si="99"/>
        <v>explicit C balance</v>
      </c>
      <c r="DV811" s="143">
        <v>0</v>
      </c>
      <c r="DW811" s="143">
        <v>0</v>
      </c>
      <c r="DX811" s="143">
        <v>0</v>
      </c>
      <c r="DY811" s="143">
        <v>1</v>
      </c>
      <c r="DZ811">
        <v>0</v>
      </c>
      <c r="EA811" s="143">
        <v>0</v>
      </c>
      <c r="EB811" s="143">
        <v>1</v>
      </c>
      <c r="EC811" s="143">
        <v>1</v>
      </c>
      <c r="ED811" s="143">
        <v>1</v>
      </c>
      <c r="EE811">
        <v>0</v>
      </c>
      <c r="EF811">
        <v>0</v>
      </c>
      <c r="EG811" s="143">
        <v>0</v>
      </c>
      <c r="EH811">
        <v>0</v>
      </c>
      <c r="EI811" s="2">
        <v>0</v>
      </c>
      <c r="EK811" t="str">
        <f t="shared" si="77"/>
        <v/>
      </c>
      <c r="EL811" t="str">
        <f t="shared" si="78"/>
        <v/>
      </c>
      <c r="EM811" s="2" t="str">
        <f t="shared" si="98"/>
        <v>Technology approach</v>
      </c>
      <c r="EP811" t="b">
        <f>IF(ISNUMBER(BU811),IF(ABS(BU811-[1]QC_indicators!$B$2)&gt;3*[1]QC_indicators!$C$2,"C ratio",IF(ISNUMBER(BY811),IF(ABS(BY811-[1]QC_indicators!$B$1)&gt;3*[1]QC_indicators!$C$1,"DF","no"))),IF(ISNUMBER(BY811),IF(ABS(BY811-[1]QC_indicators!$B$1)&gt;3*[1]QC_indicators!$C$1,"DF","no")))</f>
        <v>0</v>
      </c>
      <c r="ER811" s="296" t="s">
        <v>350</v>
      </c>
      <c r="ET811" s="308" t="s">
        <v>3421</v>
      </c>
    </row>
    <row r="812" spans="1:150" ht="15" hidden="1" customHeight="1">
      <c r="A812" s="1" t="s">
        <v>563</v>
      </c>
      <c r="B812" t="s">
        <v>545</v>
      </c>
      <c r="C812" t="s">
        <v>564</v>
      </c>
      <c r="D812" t="s">
        <v>565</v>
      </c>
      <c r="E812" t="s">
        <v>566</v>
      </c>
      <c r="F812" t="s">
        <v>567</v>
      </c>
      <c r="G812" t="s">
        <v>568</v>
      </c>
      <c r="H812" t="s">
        <v>255</v>
      </c>
      <c r="I812">
        <v>2009</v>
      </c>
      <c r="J812">
        <v>16</v>
      </c>
      <c r="K812" t="s">
        <v>569</v>
      </c>
      <c r="M812" t="str">
        <f t="shared" si="102"/>
        <v>Crawford_2009</v>
      </c>
      <c r="N812" t="s">
        <v>223</v>
      </c>
      <c r="O812" s="145" t="s">
        <v>224</v>
      </c>
      <c r="Q812" s="266" t="s">
        <v>257</v>
      </c>
      <c r="R812" s="271" t="s">
        <v>1156</v>
      </c>
      <c r="S812" s="1" t="s">
        <v>570</v>
      </c>
      <c r="T812" s="266" t="s">
        <v>571</v>
      </c>
      <c r="U812" s="266" t="s">
        <v>572</v>
      </c>
      <c r="V812">
        <v>0</v>
      </c>
      <c r="W812">
        <v>0</v>
      </c>
      <c r="X812">
        <v>0</v>
      </c>
      <c r="Y812">
        <v>0</v>
      </c>
      <c r="Z812">
        <v>0</v>
      </c>
      <c r="AA812">
        <v>0</v>
      </c>
      <c r="AB812">
        <v>0</v>
      </c>
      <c r="AC812">
        <v>0</v>
      </c>
      <c r="AD812">
        <v>0</v>
      </c>
      <c r="AE812">
        <v>0</v>
      </c>
      <c r="AF812">
        <v>0</v>
      </c>
      <c r="AG812">
        <v>0</v>
      </c>
      <c r="AH812">
        <v>0</v>
      </c>
      <c r="AI812">
        <v>1</v>
      </c>
      <c r="AJ812">
        <v>0</v>
      </c>
      <c r="AK812">
        <v>0</v>
      </c>
      <c r="AL812">
        <v>0</v>
      </c>
      <c r="AM812">
        <v>0</v>
      </c>
      <c r="AN812">
        <v>0</v>
      </c>
      <c r="AO812">
        <v>0</v>
      </c>
      <c r="AP812">
        <v>0</v>
      </c>
      <c r="AQ812">
        <v>0</v>
      </c>
      <c r="AR812">
        <v>0</v>
      </c>
      <c r="AS812">
        <v>0</v>
      </c>
      <c r="AT812">
        <v>0</v>
      </c>
      <c r="AU812">
        <v>0</v>
      </c>
      <c r="AV812">
        <v>0</v>
      </c>
      <c r="AW812">
        <v>0</v>
      </c>
      <c r="AX812" s="141">
        <f t="shared" si="41"/>
        <v>1</v>
      </c>
      <c r="AY812" s="141">
        <f t="shared" si="88"/>
        <v>1</v>
      </c>
      <c r="AZ812">
        <f t="shared" si="89"/>
        <v>0</v>
      </c>
      <c r="BA812">
        <f t="shared" si="90"/>
        <v>1</v>
      </c>
      <c r="BB812">
        <f t="shared" si="91"/>
        <v>0</v>
      </c>
      <c r="BC812">
        <f t="shared" si="92"/>
        <v>0</v>
      </c>
      <c r="BD812">
        <f t="shared" si="93"/>
        <v>0</v>
      </c>
      <c r="BE812" t="str" cm="1">
        <f t="array" ref="BE812">IF(AY812=1,INDEX($V$7:$AL$7,MATCH(TRUE,INDEX($V812:$AW812&lt;&gt;0,),0)),IF(AY812=0,INDEX($AM$7:$AW$7,MATCH(1,$AM812:$AW812,0)),IF(BF812="Multiple strategies","mixed drivers",IF(BF812="Supply chain","multiple supply","multiple silviculture"))))</f>
        <v>products lifespan</v>
      </c>
      <c r="BF812" s="2" t="str" cm="1">
        <f t="array" ref="BF812">IF(COUNTIF(AZ812:BB812,"&lt;&gt;0")=1,INDEX($V$4:$AW$4,MATCH(TRUE,INDEX($V812:$AW812&lt;&gt;0,),0)),IF(COUNTIF(AZ812:BB812,"&lt;&gt;0")=0,INDEX($AM$4:$AW$4,MATCH(1,$AM812:$AW812,0)),"Multiple strategies"))</f>
        <v>Supply chain</v>
      </c>
      <c r="BG812" s="1" t="s">
        <v>230</v>
      </c>
      <c r="BH812" t="s">
        <v>573</v>
      </c>
      <c r="BJ812" t="s">
        <v>346</v>
      </c>
      <c r="BK812">
        <f t="shared" ref="BK812:BL814" si="104">80.2*1460</f>
        <v>117092</v>
      </c>
      <c r="BL812">
        <f t="shared" si="104"/>
        <v>117092</v>
      </c>
      <c r="BN812">
        <f t="shared" si="66"/>
        <v>0</v>
      </c>
      <c r="BO812">
        <f t="shared" si="101"/>
        <v>0</v>
      </c>
      <c r="BP812" s="266" t="s">
        <v>233</v>
      </c>
      <c r="BQ812" s="266"/>
      <c r="BR812" t="s">
        <v>574</v>
      </c>
      <c r="BS812">
        <v>-4834</v>
      </c>
      <c r="BT812">
        <v>-3656</v>
      </c>
      <c r="BU812" s="144">
        <v>0.75630947455523378</v>
      </c>
      <c r="BV812">
        <v>1178</v>
      </c>
      <c r="BX812">
        <f>BV812</f>
        <v>1178</v>
      </c>
      <c r="BY812" t="str">
        <f t="shared" si="94"/>
        <v/>
      </c>
      <c r="BZ812">
        <v>0</v>
      </c>
      <c r="CA812">
        <v>0</v>
      </c>
      <c r="CB812">
        <v>0</v>
      </c>
      <c r="CC812">
        <v>0</v>
      </c>
      <c r="CD812">
        <v>0</v>
      </c>
      <c r="CE812">
        <v>0</v>
      </c>
      <c r="CF812">
        <v>0</v>
      </c>
      <c r="CG812">
        <v>0</v>
      </c>
      <c r="CH812">
        <v>0</v>
      </c>
      <c r="CI812">
        <v>0</v>
      </c>
      <c r="CJ812">
        <v>0</v>
      </c>
      <c r="CK812">
        <v>0</v>
      </c>
      <c r="CL812">
        <v>0</v>
      </c>
      <c r="CM812">
        <v>0</v>
      </c>
      <c r="CN812" t="str">
        <f>IF($BL812&lt;$BK812,"refNeedCorrection","refOK")</f>
        <v>refOK</v>
      </c>
      <c r="CO812">
        <f>IF($CN812="refNeedCorrection",BL812,BK812)</f>
        <v>117092</v>
      </c>
      <c r="CP812">
        <f>IF($CN812="refNeedCorrection",BK812,BL812)</f>
        <v>117092</v>
      </c>
      <c r="CQ812">
        <f t="shared" si="51"/>
        <v>0</v>
      </c>
      <c r="CR812">
        <f t="shared" si="69"/>
        <v>-4834</v>
      </c>
      <c r="CS812">
        <f t="shared" si="70"/>
        <v>-3656</v>
      </c>
      <c r="CT812">
        <f t="shared" si="84"/>
        <v>1178</v>
      </c>
      <c r="CU812" t="str">
        <f t="shared" si="53"/>
        <v/>
      </c>
      <c r="CV812" s="2">
        <f t="shared" si="95"/>
        <v>0.24369052544476624</v>
      </c>
      <c r="CW812" s="1" t="s">
        <v>264</v>
      </c>
      <c r="CX812" s="266" t="str">
        <f t="shared" si="96"/>
        <v>loc</v>
      </c>
      <c r="CY812" t="s">
        <v>575</v>
      </c>
      <c r="DB812">
        <v>100</v>
      </c>
      <c r="DC812" t="str">
        <f t="shared" si="97"/>
        <v>71-100</v>
      </c>
      <c r="DD812">
        <v>0</v>
      </c>
      <c r="DE812">
        <v>0</v>
      </c>
      <c r="DF812">
        <v>0</v>
      </c>
      <c r="DG812">
        <v>1</v>
      </c>
      <c r="DI812">
        <f t="shared" si="71"/>
        <v>1</v>
      </c>
      <c r="DJ812" t="str">
        <f t="shared" si="103"/>
        <v>TimberInput</v>
      </c>
      <c r="DK812">
        <f t="shared" si="73"/>
        <v>0</v>
      </c>
      <c r="DL812">
        <f t="shared" si="74"/>
        <v>0</v>
      </c>
      <c r="DM812">
        <f t="shared" si="75"/>
        <v>0</v>
      </c>
      <c r="DN812" t="str">
        <f t="shared" si="76"/>
        <v>Timber</v>
      </c>
      <c r="DO812">
        <v>0</v>
      </c>
      <c r="DP812">
        <v>0</v>
      </c>
      <c r="DQ812">
        <v>0</v>
      </c>
      <c r="DR812">
        <v>0</v>
      </c>
      <c r="DS812">
        <v>0</v>
      </c>
      <c r="DT812">
        <f t="shared" si="72"/>
        <v>0</v>
      </c>
      <c r="DU812" s="143" t="str">
        <f t="shared" si="99"/>
        <v>explicit C balance</v>
      </c>
      <c r="DV812">
        <v>0</v>
      </c>
      <c r="DW812">
        <v>1</v>
      </c>
      <c r="DX812">
        <v>0</v>
      </c>
      <c r="DY812">
        <v>1</v>
      </c>
      <c r="DZ812">
        <v>1</v>
      </c>
      <c r="EA812" s="143">
        <v>0</v>
      </c>
      <c r="EB812">
        <v>1</v>
      </c>
      <c r="EC812">
        <v>1</v>
      </c>
      <c r="ED812">
        <v>0</v>
      </c>
      <c r="EE812">
        <v>1</v>
      </c>
      <c r="EF812">
        <v>0</v>
      </c>
      <c r="EG812">
        <v>0</v>
      </c>
      <c r="EH812">
        <v>0</v>
      </c>
      <c r="EI812" s="2">
        <v>0</v>
      </c>
      <c r="EK812" t="str">
        <f t="shared" si="77"/>
        <v/>
      </c>
      <c r="EL812" t="str">
        <f t="shared" si="78"/>
        <v/>
      </c>
      <c r="EM812" s="2" t="str">
        <f t="shared" si="98"/>
        <v/>
      </c>
      <c r="EP812" t="b">
        <f>IF(ISNUMBER(BU812),IF(ABS(BU812-[1]QC_indicators!$B$2)&gt;3*[1]QC_indicators!$C$2,"C ratio",IF(ISNUMBER(BY812),IF(ABS(BY812-[1]QC_indicators!$B$1)&gt;3*[1]QC_indicators!$C$1,"DF","no"))),IF(ISNUMBER(BY812),IF(ABS(BY812-[1]QC_indicators!$B$1)&gt;3*[1]QC_indicators!$C$1,"DF","no")))</f>
        <v>0</v>
      </c>
      <c r="ER812" s="296" t="s">
        <v>350</v>
      </c>
      <c r="ET812" s="266" t="s">
        <v>3409</v>
      </c>
    </row>
    <row r="813" spans="1:150" ht="15" hidden="1" customHeight="1">
      <c r="A813" s="1" t="s">
        <v>563</v>
      </c>
      <c r="B813" t="s">
        <v>545</v>
      </c>
      <c r="C813" t="s">
        <v>564</v>
      </c>
      <c r="D813" t="s">
        <v>565</v>
      </c>
      <c r="E813" t="s">
        <v>566</v>
      </c>
      <c r="F813" t="s">
        <v>567</v>
      </c>
      <c r="G813" t="s">
        <v>568</v>
      </c>
      <c r="H813" t="s">
        <v>255</v>
      </c>
      <c r="I813">
        <v>2009</v>
      </c>
      <c r="J813">
        <v>16</v>
      </c>
      <c r="K813" t="s">
        <v>569</v>
      </c>
      <c r="M813" t="str">
        <f t="shared" si="102"/>
        <v>Crawford_2009</v>
      </c>
      <c r="N813" t="s">
        <v>223</v>
      </c>
      <c r="O813" s="145" t="s">
        <v>224</v>
      </c>
      <c r="Q813" s="266" t="s">
        <v>257</v>
      </c>
      <c r="R813" s="271" t="s">
        <v>1156</v>
      </c>
      <c r="S813" s="1" t="s">
        <v>570</v>
      </c>
      <c r="T813" s="266" t="s">
        <v>576</v>
      </c>
      <c r="U813" s="266" t="s">
        <v>577</v>
      </c>
      <c r="V813">
        <v>0</v>
      </c>
      <c r="W813">
        <v>0</v>
      </c>
      <c r="X813">
        <v>0</v>
      </c>
      <c r="Y813">
        <v>0</v>
      </c>
      <c r="Z813">
        <v>0</v>
      </c>
      <c r="AA813">
        <v>0</v>
      </c>
      <c r="AB813">
        <v>0</v>
      </c>
      <c r="AC813">
        <v>0</v>
      </c>
      <c r="AD813">
        <v>0</v>
      </c>
      <c r="AE813">
        <v>0</v>
      </c>
      <c r="AF813">
        <v>0</v>
      </c>
      <c r="AG813">
        <v>0</v>
      </c>
      <c r="AH813">
        <v>0</v>
      </c>
      <c r="AI813">
        <v>1</v>
      </c>
      <c r="AJ813">
        <v>0</v>
      </c>
      <c r="AK813">
        <v>0</v>
      </c>
      <c r="AL813">
        <v>0</v>
      </c>
      <c r="AM813">
        <v>0</v>
      </c>
      <c r="AN813">
        <v>0</v>
      </c>
      <c r="AO813">
        <v>0</v>
      </c>
      <c r="AP813">
        <v>0</v>
      </c>
      <c r="AQ813">
        <v>0</v>
      </c>
      <c r="AR813">
        <v>0</v>
      </c>
      <c r="AS813">
        <v>0</v>
      </c>
      <c r="AT813">
        <v>0</v>
      </c>
      <c r="AU813">
        <v>0</v>
      </c>
      <c r="AV813">
        <v>0</v>
      </c>
      <c r="AW813">
        <v>0</v>
      </c>
      <c r="AX813" s="141">
        <f t="shared" si="41"/>
        <v>1</v>
      </c>
      <c r="AY813" s="141">
        <f t="shared" si="88"/>
        <v>1</v>
      </c>
      <c r="AZ813">
        <f t="shared" si="89"/>
        <v>0</v>
      </c>
      <c r="BA813">
        <f t="shared" si="90"/>
        <v>1</v>
      </c>
      <c r="BB813">
        <f t="shared" si="91"/>
        <v>0</v>
      </c>
      <c r="BC813">
        <f t="shared" si="92"/>
        <v>0</v>
      </c>
      <c r="BD813">
        <f t="shared" si="93"/>
        <v>0</v>
      </c>
      <c r="BE813" t="str" cm="1">
        <f t="array" ref="BE813">IF(AY813=1,INDEX($V$7:$AL$7,MATCH(TRUE,INDEX($V813:$AW813&lt;&gt;0,),0)),IF(AY813=0,INDEX($AM$7:$AW$7,MATCH(1,$AM813:$AW813,0)),IF(BF813="Multiple strategies","mixed drivers",IF(BF813="Supply chain","multiple supply","multiple silviculture"))))</f>
        <v>products lifespan</v>
      </c>
      <c r="BF813" s="2" t="str" cm="1">
        <f t="array" ref="BF813">IF(COUNTIF(AZ813:BB813,"&lt;&gt;0")=1,INDEX($V$4:$AW$4,MATCH(TRUE,INDEX($V813:$AW813&lt;&gt;0,),0)),IF(COUNTIF(AZ813:BB813,"&lt;&gt;0")=0,INDEX($AM$4:$AW$4,MATCH(1,$AM813:$AW813,0)),"Multiple strategies"))</f>
        <v>Supply chain</v>
      </c>
      <c r="BG813" s="1" t="s">
        <v>230</v>
      </c>
      <c r="BH813" t="s">
        <v>573</v>
      </c>
      <c r="BJ813" t="s">
        <v>346</v>
      </c>
      <c r="BK813">
        <f t="shared" si="104"/>
        <v>117092</v>
      </c>
      <c r="BL813">
        <f t="shared" si="104"/>
        <v>117092</v>
      </c>
      <c r="BN813">
        <f t="shared" si="66"/>
        <v>0</v>
      </c>
      <c r="BO813">
        <f t="shared" si="101"/>
        <v>0</v>
      </c>
      <c r="BP813" s="266" t="s">
        <v>233</v>
      </c>
      <c r="BQ813" s="266"/>
      <c r="BR813" t="s">
        <v>574</v>
      </c>
      <c r="BS813">
        <v>-4208</v>
      </c>
      <c r="BT813">
        <v>-3185</v>
      </c>
      <c r="BU813" s="144">
        <v>0.75689163498098855</v>
      </c>
      <c r="BV813">
        <v>1023</v>
      </c>
      <c r="BX813">
        <f>BV813</f>
        <v>1023</v>
      </c>
      <c r="BY813" t="str">
        <f t="shared" si="94"/>
        <v/>
      </c>
      <c r="BZ813">
        <v>0</v>
      </c>
      <c r="CA813">
        <v>0</v>
      </c>
      <c r="CB813">
        <v>0</v>
      </c>
      <c r="CC813">
        <v>0</v>
      </c>
      <c r="CD813">
        <v>0</v>
      </c>
      <c r="CE813">
        <v>0</v>
      </c>
      <c r="CF813">
        <v>0</v>
      </c>
      <c r="CG813">
        <v>0</v>
      </c>
      <c r="CH813">
        <v>0</v>
      </c>
      <c r="CI813">
        <v>0</v>
      </c>
      <c r="CJ813">
        <v>0</v>
      </c>
      <c r="CK813">
        <v>0</v>
      </c>
      <c r="CL813">
        <v>0</v>
      </c>
      <c r="CM813">
        <v>0</v>
      </c>
      <c r="CN813" t="str">
        <f>IF($BL813&lt;$BK813,"refNeedCorrection","refOK")</f>
        <v>refOK</v>
      </c>
      <c r="CO813">
        <f>IF($CN813="refNeedCorrection",BL813,BK813)</f>
        <v>117092</v>
      </c>
      <c r="CP813">
        <f>IF($CN813="refNeedCorrection",BK813,BL813)</f>
        <v>117092</v>
      </c>
      <c r="CQ813">
        <f t="shared" si="51"/>
        <v>0</v>
      </c>
      <c r="CR813">
        <f t="shared" si="69"/>
        <v>-4208</v>
      </c>
      <c r="CS813">
        <f t="shared" si="70"/>
        <v>-3185</v>
      </c>
      <c r="CT813">
        <f t="shared" si="84"/>
        <v>1023</v>
      </c>
      <c r="CU813" t="str">
        <f t="shared" ref="CU813:CU876" si="105">IFERROR(CT813/CQ813,"")</f>
        <v/>
      </c>
      <c r="CV813" s="2">
        <f t="shared" si="95"/>
        <v>0.2431083650190114</v>
      </c>
      <c r="CW813" s="1" t="s">
        <v>264</v>
      </c>
      <c r="CX813" s="266" t="str">
        <f t="shared" si="96"/>
        <v>loc</v>
      </c>
      <c r="CY813" t="s">
        <v>575</v>
      </c>
      <c r="DB813">
        <v>100</v>
      </c>
      <c r="DC813" t="str">
        <f t="shared" si="97"/>
        <v>71-100</v>
      </c>
      <c r="DD813">
        <v>0</v>
      </c>
      <c r="DE813">
        <v>0</v>
      </c>
      <c r="DF813">
        <v>0</v>
      </c>
      <c r="DG813">
        <v>1</v>
      </c>
      <c r="DI813">
        <f t="shared" si="71"/>
        <v>1</v>
      </c>
      <c r="DJ813" t="str">
        <f t="shared" si="103"/>
        <v>TimberInput</v>
      </c>
      <c r="DK813">
        <f t="shared" si="73"/>
        <v>0</v>
      </c>
      <c r="DL813">
        <f t="shared" si="74"/>
        <v>0</v>
      </c>
      <c r="DM813">
        <f t="shared" si="75"/>
        <v>0</v>
      </c>
      <c r="DN813" t="str">
        <f t="shared" si="76"/>
        <v>Timber</v>
      </c>
      <c r="DO813">
        <v>0</v>
      </c>
      <c r="DP813">
        <v>0</v>
      </c>
      <c r="DQ813">
        <v>0</v>
      </c>
      <c r="DR813">
        <v>0</v>
      </c>
      <c r="DS813">
        <v>0</v>
      </c>
      <c r="DT813">
        <f t="shared" si="72"/>
        <v>0</v>
      </c>
      <c r="DU813" s="143" t="str">
        <f t="shared" si="99"/>
        <v>explicit C balance</v>
      </c>
      <c r="DV813">
        <v>0</v>
      </c>
      <c r="DW813">
        <v>1</v>
      </c>
      <c r="DX813">
        <v>0</v>
      </c>
      <c r="DY813">
        <v>1</v>
      </c>
      <c r="DZ813">
        <v>1</v>
      </c>
      <c r="EA813" s="143">
        <v>0</v>
      </c>
      <c r="EB813">
        <v>1</v>
      </c>
      <c r="EC813">
        <v>1</v>
      </c>
      <c r="ED813">
        <v>0</v>
      </c>
      <c r="EE813">
        <v>1</v>
      </c>
      <c r="EF813">
        <v>0</v>
      </c>
      <c r="EG813">
        <v>0</v>
      </c>
      <c r="EH813">
        <v>0</v>
      </c>
      <c r="EI813" s="2">
        <v>0</v>
      </c>
      <c r="EK813" t="str">
        <f t="shared" si="77"/>
        <v/>
      </c>
      <c r="EL813" t="str">
        <f t="shared" si="78"/>
        <v/>
      </c>
      <c r="EM813" s="2" t="str">
        <f t="shared" si="98"/>
        <v/>
      </c>
      <c r="EP813" t="b">
        <f>IF(ISNUMBER(BU813),IF(ABS(BU813-[1]QC_indicators!$B$2)&gt;3*[1]QC_indicators!$C$2,"C ratio",IF(ISNUMBER(BY813),IF(ABS(BY813-[1]QC_indicators!$B$1)&gt;3*[1]QC_indicators!$C$1,"DF","no"))),IF(ISNUMBER(BY813),IF(ABS(BY813-[1]QC_indicators!$B$1)&gt;3*[1]QC_indicators!$C$1,"DF","no")))</f>
        <v>0</v>
      </c>
      <c r="ER813" s="296" t="s">
        <v>350</v>
      </c>
      <c r="ET813" s="266" t="s">
        <v>3409</v>
      </c>
    </row>
    <row r="814" spans="1:150" ht="15" hidden="1" customHeight="1">
      <c r="A814" s="1" t="s">
        <v>563</v>
      </c>
      <c r="B814" t="s">
        <v>545</v>
      </c>
      <c r="C814" t="s">
        <v>564</v>
      </c>
      <c r="D814" t="s">
        <v>565</v>
      </c>
      <c r="E814" t="s">
        <v>566</v>
      </c>
      <c r="F814" t="s">
        <v>567</v>
      </c>
      <c r="G814" t="s">
        <v>568</v>
      </c>
      <c r="H814" t="s">
        <v>255</v>
      </c>
      <c r="I814">
        <v>2009</v>
      </c>
      <c r="J814">
        <v>16</v>
      </c>
      <c r="K814" t="s">
        <v>569</v>
      </c>
      <c r="M814" t="str">
        <f t="shared" si="102"/>
        <v>Crawford_2009</v>
      </c>
      <c r="N814" t="s">
        <v>223</v>
      </c>
      <c r="O814" s="145" t="s">
        <v>224</v>
      </c>
      <c r="Q814" s="266" t="s">
        <v>257</v>
      </c>
      <c r="R814" s="271" t="s">
        <v>1156</v>
      </c>
      <c r="S814" s="1" t="s">
        <v>570</v>
      </c>
      <c r="T814" s="266" t="s">
        <v>578</v>
      </c>
      <c r="U814" s="266" t="s">
        <v>579</v>
      </c>
      <c r="V814">
        <v>0</v>
      </c>
      <c r="W814">
        <v>0</v>
      </c>
      <c r="X814">
        <v>0</v>
      </c>
      <c r="Y814">
        <v>0</v>
      </c>
      <c r="Z814">
        <v>0</v>
      </c>
      <c r="AA814">
        <v>0</v>
      </c>
      <c r="AB814">
        <v>0</v>
      </c>
      <c r="AC814">
        <v>0</v>
      </c>
      <c r="AD814">
        <v>0</v>
      </c>
      <c r="AE814">
        <v>0</v>
      </c>
      <c r="AF814">
        <v>0</v>
      </c>
      <c r="AG814">
        <v>0</v>
      </c>
      <c r="AH814">
        <v>0</v>
      </c>
      <c r="AI814">
        <v>1</v>
      </c>
      <c r="AJ814">
        <v>0</v>
      </c>
      <c r="AK814">
        <v>0</v>
      </c>
      <c r="AL814">
        <v>0</v>
      </c>
      <c r="AM814">
        <v>0</v>
      </c>
      <c r="AN814">
        <v>0</v>
      </c>
      <c r="AO814">
        <v>0</v>
      </c>
      <c r="AP814">
        <v>0</v>
      </c>
      <c r="AQ814">
        <v>0</v>
      </c>
      <c r="AR814">
        <v>0</v>
      </c>
      <c r="AS814">
        <v>0</v>
      </c>
      <c r="AT814">
        <v>0</v>
      </c>
      <c r="AU814">
        <v>0</v>
      </c>
      <c r="AV814">
        <v>0</v>
      </c>
      <c r="AW814">
        <v>0</v>
      </c>
      <c r="AX814" s="141">
        <f t="shared" si="41"/>
        <v>1</v>
      </c>
      <c r="AY814" s="141">
        <f t="shared" si="88"/>
        <v>1</v>
      </c>
      <c r="AZ814">
        <f t="shared" si="89"/>
        <v>0</v>
      </c>
      <c r="BA814">
        <f t="shared" si="90"/>
        <v>1</v>
      </c>
      <c r="BB814">
        <f t="shared" si="91"/>
        <v>0</v>
      </c>
      <c r="BC814">
        <f t="shared" si="92"/>
        <v>0</v>
      </c>
      <c r="BD814">
        <f t="shared" si="93"/>
        <v>0</v>
      </c>
      <c r="BE814" t="str" cm="1">
        <f t="array" ref="BE814">IF(AY814=1,INDEX($V$7:$AL$7,MATCH(TRUE,INDEX($V814:$AW814&lt;&gt;0,),0)),IF(AY814=0,INDEX($AM$7:$AW$7,MATCH(1,$AM814:$AW814,0)),IF(BF814="Multiple strategies","mixed drivers",IF(BF814="Supply chain","multiple supply","multiple silviculture"))))</f>
        <v>products lifespan</v>
      </c>
      <c r="BF814" s="2" t="str" cm="1">
        <f t="array" ref="BF814">IF(COUNTIF(AZ814:BB814,"&lt;&gt;0")=1,INDEX($V$4:$AW$4,MATCH(TRUE,INDEX($V814:$AW814&lt;&gt;0,),0)),IF(COUNTIF(AZ814:BB814,"&lt;&gt;0")=0,INDEX($AM$4:$AW$4,MATCH(1,$AM814:$AW814,0)),"Multiple strategies"))</f>
        <v>Supply chain</v>
      </c>
      <c r="BG814" s="1" t="s">
        <v>230</v>
      </c>
      <c r="BH814" t="s">
        <v>573</v>
      </c>
      <c r="BJ814" t="s">
        <v>346</v>
      </c>
      <c r="BK814">
        <f t="shared" si="104"/>
        <v>117092</v>
      </c>
      <c r="BL814">
        <f t="shared" si="104"/>
        <v>117092</v>
      </c>
      <c r="BN814">
        <f t="shared" si="66"/>
        <v>0</v>
      </c>
      <c r="BO814">
        <f t="shared" si="101"/>
        <v>0</v>
      </c>
      <c r="BP814" s="266" t="s">
        <v>233</v>
      </c>
      <c r="BQ814" s="266"/>
      <c r="BR814" t="s">
        <v>574</v>
      </c>
      <c r="BS814">
        <v>-3631</v>
      </c>
      <c r="BT814">
        <v>-2751</v>
      </c>
      <c r="BU814" s="144">
        <v>0.75764252272101351</v>
      </c>
      <c r="BV814">
        <v>880</v>
      </c>
      <c r="BX814">
        <f>BV814</f>
        <v>880</v>
      </c>
      <c r="BY814" t="str">
        <f t="shared" si="94"/>
        <v/>
      </c>
      <c r="BZ814">
        <v>0</v>
      </c>
      <c r="CA814">
        <v>0</v>
      </c>
      <c r="CB814">
        <v>0</v>
      </c>
      <c r="CC814">
        <v>0</v>
      </c>
      <c r="CD814">
        <v>0</v>
      </c>
      <c r="CE814">
        <v>0</v>
      </c>
      <c r="CF814">
        <v>0</v>
      </c>
      <c r="CG814">
        <v>0</v>
      </c>
      <c r="CH814">
        <v>0</v>
      </c>
      <c r="CI814">
        <v>0</v>
      </c>
      <c r="CJ814">
        <v>0</v>
      </c>
      <c r="CK814">
        <v>0</v>
      </c>
      <c r="CL814">
        <v>0</v>
      </c>
      <c r="CM814">
        <v>0</v>
      </c>
      <c r="CN814" t="str">
        <f>IF($BL814&lt;$BK814,"refNeedCorrection","refOK")</f>
        <v>refOK</v>
      </c>
      <c r="CO814">
        <f>IF($CN814="refNeedCorrection",BL814,BK814)</f>
        <v>117092</v>
      </c>
      <c r="CP814">
        <f>IF($CN814="refNeedCorrection",BK814,BL814)</f>
        <v>117092</v>
      </c>
      <c r="CQ814">
        <f t="shared" si="51"/>
        <v>0</v>
      </c>
      <c r="CR814">
        <f t="shared" si="69"/>
        <v>-3631</v>
      </c>
      <c r="CS814">
        <f t="shared" si="70"/>
        <v>-2751</v>
      </c>
      <c r="CT814">
        <f t="shared" si="84"/>
        <v>880</v>
      </c>
      <c r="CU814" t="str">
        <f t="shared" si="105"/>
        <v/>
      </c>
      <c r="CV814" s="2">
        <f t="shared" si="95"/>
        <v>0.24235747727898652</v>
      </c>
      <c r="CW814" s="1" t="s">
        <v>264</v>
      </c>
      <c r="CX814" s="266" t="str">
        <f t="shared" si="96"/>
        <v>loc</v>
      </c>
      <c r="CY814" t="s">
        <v>575</v>
      </c>
      <c r="DB814">
        <v>100</v>
      </c>
      <c r="DC814" t="str">
        <f t="shared" si="97"/>
        <v>71-100</v>
      </c>
      <c r="DD814">
        <v>0</v>
      </c>
      <c r="DE814">
        <v>0</v>
      </c>
      <c r="DF814">
        <v>0</v>
      </c>
      <c r="DG814">
        <v>1</v>
      </c>
      <c r="DI814">
        <f t="shared" si="71"/>
        <v>1</v>
      </c>
      <c r="DJ814" t="str">
        <f t="shared" si="103"/>
        <v>TimberInput</v>
      </c>
      <c r="DK814">
        <f t="shared" si="73"/>
        <v>0</v>
      </c>
      <c r="DL814">
        <f t="shared" si="74"/>
        <v>0</v>
      </c>
      <c r="DM814">
        <f t="shared" si="75"/>
        <v>0</v>
      </c>
      <c r="DN814" t="str">
        <f t="shared" si="76"/>
        <v>Timber</v>
      </c>
      <c r="DO814">
        <v>0</v>
      </c>
      <c r="DP814">
        <v>0</v>
      </c>
      <c r="DQ814">
        <v>0</v>
      </c>
      <c r="DR814">
        <v>0</v>
      </c>
      <c r="DS814">
        <v>0</v>
      </c>
      <c r="DT814">
        <f t="shared" si="72"/>
        <v>0</v>
      </c>
      <c r="DU814" s="143" t="str">
        <f t="shared" si="99"/>
        <v>explicit C balance</v>
      </c>
      <c r="DV814">
        <v>0</v>
      </c>
      <c r="DW814">
        <v>1</v>
      </c>
      <c r="DX814">
        <v>0</v>
      </c>
      <c r="DY814">
        <v>1</v>
      </c>
      <c r="DZ814">
        <v>1</v>
      </c>
      <c r="EA814" s="143">
        <v>0</v>
      </c>
      <c r="EB814">
        <v>1</v>
      </c>
      <c r="EC814">
        <v>1</v>
      </c>
      <c r="ED814">
        <v>0</v>
      </c>
      <c r="EE814">
        <v>1</v>
      </c>
      <c r="EF814">
        <v>0</v>
      </c>
      <c r="EG814">
        <v>0</v>
      </c>
      <c r="EH814">
        <v>0</v>
      </c>
      <c r="EI814" s="2">
        <v>0</v>
      </c>
      <c r="EK814" t="str">
        <f t="shared" si="77"/>
        <v/>
      </c>
      <c r="EL814" t="str">
        <f t="shared" si="78"/>
        <v/>
      </c>
      <c r="EM814" s="2" t="str">
        <f t="shared" si="98"/>
        <v/>
      </c>
      <c r="EP814" t="b">
        <f>IF(ISNUMBER(BU814),IF(ABS(BU814-[1]QC_indicators!$B$2)&gt;3*[1]QC_indicators!$C$2,"C ratio",IF(ISNUMBER(BY814),IF(ABS(BY814-[1]QC_indicators!$B$1)&gt;3*[1]QC_indicators!$C$1,"DF","no"))),IF(ISNUMBER(BY814),IF(ABS(BY814-[1]QC_indicators!$B$1)&gt;3*[1]QC_indicators!$C$1,"DF","no")))</f>
        <v>0</v>
      </c>
      <c r="ER814" s="296" t="s">
        <v>350</v>
      </c>
      <c r="ET814" s="266" t="s">
        <v>3409</v>
      </c>
    </row>
    <row r="815" spans="1:150" ht="15" hidden="1" customHeight="1">
      <c r="D815" t="s">
        <v>965</v>
      </c>
      <c r="E815" t="s">
        <v>990</v>
      </c>
      <c r="G815" t="s">
        <v>695</v>
      </c>
      <c r="I815">
        <v>2003</v>
      </c>
      <c r="K815" s="297" t="s">
        <v>991</v>
      </c>
      <c r="M815" t="str">
        <f t="shared" si="102"/>
        <v>Petersen_2003</v>
      </c>
      <c r="N815" t="s">
        <v>223</v>
      </c>
      <c r="O815" s="171" t="s">
        <v>514</v>
      </c>
      <c r="P815" s="141" t="s">
        <v>226</v>
      </c>
      <c r="Q815" s="266" t="s">
        <v>390</v>
      </c>
      <c r="R815" s="271" t="s">
        <v>1156</v>
      </c>
      <c r="S815" s="265" t="s">
        <v>998</v>
      </c>
      <c r="T815" s="266" t="s">
        <v>999</v>
      </c>
      <c r="U815">
        <v>90</v>
      </c>
      <c r="V815">
        <v>0</v>
      </c>
      <c r="W815">
        <v>0</v>
      </c>
      <c r="X815">
        <v>0</v>
      </c>
      <c r="Y815">
        <v>0</v>
      </c>
      <c r="Z815">
        <v>0</v>
      </c>
      <c r="AA815">
        <v>0</v>
      </c>
      <c r="AB815">
        <v>0</v>
      </c>
      <c r="AC815">
        <v>0</v>
      </c>
      <c r="AD815">
        <v>0</v>
      </c>
      <c r="AE815">
        <v>0</v>
      </c>
      <c r="AF815">
        <v>0</v>
      </c>
      <c r="AG815">
        <v>0</v>
      </c>
      <c r="AH815">
        <v>0</v>
      </c>
      <c r="AI815">
        <v>1</v>
      </c>
      <c r="AJ815">
        <v>0</v>
      </c>
      <c r="AK815">
        <v>0</v>
      </c>
      <c r="AL815">
        <v>0</v>
      </c>
      <c r="AM815">
        <v>0</v>
      </c>
      <c r="AN815">
        <v>0</v>
      </c>
      <c r="AO815">
        <v>0</v>
      </c>
      <c r="AP815">
        <v>0</v>
      </c>
      <c r="AQ815">
        <v>0</v>
      </c>
      <c r="AR815">
        <v>0</v>
      </c>
      <c r="AS815">
        <v>0</v>
      </c>
      <c r="AT815">
        <v>0</v>
      </c>
      <c r="AU815">
        <v>0</v>
      </c>
      <c r="AV815">
        <v>0</v>
      </c>
      <c r="AW815">
        <v>0</v>
      </c>
      <c r="AX815" s="141">
        <f t="shared" si="41"/>
        <v>1</v>
      </c>
      <c r="AY815" s="141">
        <f t="shared" si="88"/>
        <v>1</v>
      </c>
      <c r="AZ815">
        <f t="shared" si="89"/>
        <v>0</v>
      </c>
      <c r="BA815">
        <f t="shared" si="90"/>
        <v>1</v>
      </c>
      <c r="BB815">
        <f t="shared" si="91"/>
        <v>0</v>
      </c>
      <c r="BC815">
        <f t="shared" si="92"/>
        <v>0</v>
      </c>
      <c r="BD815">
        <f t="shared" si="93"/>
        <v>0</v>
      </c>
      <c r="BE815" t="str" cm="1">
        <f t="array" ref="BE815">IF(AY815=1,INDEX($V$7:$AL$7,MATCH(TRUE,INDEX($V815:$AW815&lt;&gt;0,),0)),IF(AY815=0,INDEX($AM$7:$AW$7,MATCH(1,$AM815:$AW815,0)),IF(BF815="Multiple strategies","mixed drivers",IF(BF815="Supply chain","multiple supply","multiple silviculture"))))</f>
        <v>products lifespan</v>
      </c>
      <c r="BF815" s="2" t="str" cm="1">
        <f t="array" ref="BF815">IF(COUNTIF(AZ815:BB815,"&lt;&gt;0")=1,INDEX($V$4:$AW$4,MATCH(TRUE,INDEX($V815:$AW815&lt;&gt;0,),0)),IF(COUNTIF(AZ815:BB815,"&lt;&gt;0")=0,INDEX($AM$4:$AW$4,MATCH(1,$AM815:$AW815,0)),"Multiple strategies"))</f>
        <v>Supply chain</v>
      </c>
      <c r="BG815" s="142" t="s">
        <v>230</v>
      </c>
      <c r="BH815" t="s">
        <v>972</v>
      </c>
      <c r="BI815" t="s">
        <v>995</v>
      </c>
      <c r="BJ815" t="s">
        <v>499</v>
      </c>
      <c r="BK815">
        <v>1</v>
      </c>
      <c r="BL815">
        <v>1</v>
      </c>
      <c r="BM815">
        <f>IFERROR(BL815/BK815,"")</f>
        <v>1</v>
      </c>
      <c r="BN815">
        <f t="shared" si="66"/>
        <v>0</v>
      </c>
      <c r="BO815">
        <v>1</v>
      </c>
      <c r="BP815" t="s">
        <v>233</v>
      </c>
      <c r="BQ815" t="s">
        <v>744</v>
      </c>
      <c r="BR815" s="266" t="s">
        <v>975</v>
      </c>
      <c r="BS815">
        <v>0.39600000000000002</v>
      </c>
      <c r="BT815">
        <v>0.21099999999999999</v>
      </c>
      <c r="BV815">
        <f>BT815-BS815</f>
        <v>-0.18500000000000003</v>
      </c>
      <c r="BX815">
        <f>BV815</f>
        <v>-0.18500000000000003</v>
      </c>
      <c r="BY815">
        <f t="shared" si="94"/>
        <v>-0.18500000000000003</v>
      </c>
      <c r="BZ815">
        <v>0</v>
      </c>
      <c r="CA815">
        <v>0</v>
      </c>
      <c r="CB815">
        <v>0</v>
      </c>
      <c r="CC815">
        <v>0</v>
      </c>
      <c r="CD815">
        <v>0</v>
      </c>
      <c r="CE815">
        <v>0</v>
      </c>
      <c r="CF815">
        <v>0</v>
      </c>
      <c r="CG815">
        <v>0</v>
      </c>
      <c r="CH815">
        <v>0</v>
      </c>
      <c r="CI815">
        <v>0</v>
      </c>
      <c r="CJ815">
        <v>0</v>
      </c>
      <c r="CK815">
        <v>0</v>
      </c>
      <c r="CL815">
        <v>0</v>
      </c>
      <c r="CM815">
        <v>0</v>
      </c>
      <c r="CN815" t="str">
        <f>IF($BL815&lt;$BK815,"refNeedCorrection","refOK")</f>
        <v>refOK</v>
      </c>
      <c r="CO815">
        <f>IF($CN815="refOK",$BK815,$BL815)</f>
        <v>1</v>
      </c>
      <c r="CP815">
        <f>IF($CN815="refOK",$BL815,$BK815)</f>
        <v>1</v>
      </c>
      <c r="CQ815">
        <f t="shared" si="51"/>
        <v>1</v>
      </c>
      <c r="CR815">
        <f t="shared" si="69"/>
        <v>0.39600000000000002</v>
      </c>
      <c r="CS815">
        <f t="shared" si="70"/>
        <v>0.21099999999999999</v>
      </c>
      <c r="CT815">
        <f t="shared" ref="CT815:CT826" si="106">IF($CN815="refNeedCorrection",-BX815,BX815)*IF($BP815="Emissions positive",-1,1)</f>
        <v>-0.18500000000000003</v>
      </c>
      <c r="CU815">
        <f t="shared" si="105"/>
        <v>-0.18500000000000003</v>
      </c>
      <c r="CV815" s="2">
        <f t="shared" si="95"/>
        <v>-0.46717171717171724</v>
      </c>
      <c r="CW815" s="1" t="s">
        <v>264</v>
      </c>
      <c r="CX815" s="266" t="str">
        <f t="shared" si="96"/>
        <v>loc</v>
      </c>
      <c r="CY815" t="s">
        <v>265</v>
      </c>
      <c r="DA815" s="143"/>
      <c r="DB815" s="143">
        <v>45</v>
      </c>
      <c r="DC815" t="str">
        <f t="shared" si="97"/>
        <v>31-70</v>
      </c>
      <c r="DD815">
        <v>0</v>
      </c>
      <c r="DE815">
        <v>0</v>
      </c>
      <c r="DF815">
        <v>0</v>
      </c>
      <c r="DG815">
        <v>1</v>
      </c>
      <c r="DH815">
        <v>0</v>
      </c>
      <c r="DI815">
        <f t="shared" si="71"/>
        <v>1</v>
      </c>
      <c r="DJ815" t="str">
        <f t="shared" si="103"/>
        <v>TimberInput</v>
      </c>
      <c r="DK815">
        <f t="shared" si="73"/>
        <v>0</v>
      </c>
      <c r="DL815">
        <f t="shared" si="74"/>
        <v>0</v>
      </c>
      <c r="DM815">
        <f t="shared" si="75"/>
        <v>0</v>
      </c>
      <c r="DN815" t="str">
        <f t="shared" si="76"/>
        <v>Timber</v>
      </c>
      <c r="DO815">
        <v>1</v>
      </c>
      <c r="DP815">
        <v>0</v>
      </c>
      <c r="DQ815">
        <v>0</v>
      </c>
      <c r="DR815">
        <v>0</v>
      </c>
      <c r="DS815">
        <v>0</v>
      </c>
      <c r="DT815">
        <f t="shared" si="72"/>
        <v>1</v>
      </c>
      <c r="DU815" s="143" t="str">
        <f t="shared" si="99"/>
        <v>self-calculated DF</v>
      </c>
      <c r="DV815" s="143">
        <v>0</v>
      </c>
      <c r="DW815" s="143">
        <v>0</v>
      </c>
      <c r="DX815" s="143">
        <v>0</v>
      </c>
      <c r="DY815" s="143">
        <v>0</v>
      </c>
      <c r="DZ815">
        <v>0</v>
      </c>
      <c r="EA815" s="143">
        <v>0</v>
      </c>
      <c r="EB815" s="143">
        <v>0</v>
      </c>
      <c r="EC815" s="143">
        <v>1</v>
      </c>
      <c r="ED815" s="143">
        <v>0</v>
      </c>
      <c r="EE815">
        <v>1</v>
      </c>
      <c r="EF815">
        <v>0</v>
      </c>
      <c r="EG815" s="143">
        <v>0</v>
      </c>
      <c r="EH815" s="143">
        <v>0</v>
      </c>
      <c r="EI815" s="2">
        <v>0</v>
      </c>
      <c r="EK815" t="str">
        <f t="shared" si="77"/>
        <v/>
      </c>
      <c r="EL815" t="str">
        <f t="shared" si="78"/>
        <v/>
      </c>
      <c r="EM815" s="2" t="str">
        <f t="shared" si="98"/>
        <v>Technology approach</v>
      </c>
      <c r="EN815" t="s">
        <v>996</v>
      </c>
      <c r="EP815" t="str">
        <f>IF(ISNUMBER(BU815),IF(ABS(BU815-[1]QC_indicators!$B$2)&gt;3*[1]QC_indicators!$C$2,"C ratio",IF(ISNUMBER(BY815),IF(ABS(BY815-[1]QC_indicators!$B$1)&gt;3*[1]QC_indicators!$C$1,"DF","no"))),IF(ISNUMBER(BY815),IF(ABS(BY815-[1]QC_indicators!$B$1)&gt;3*[1]QC_indicators!$C$1,"DF","no")))</f>
        <v>no</v>
      </c>
      <c r="ER815" s="266" t="s">
        <v>997</v>
      </c>
      <c r="ET815" s="266" t="s">
        <v>3409</v>
      </c>
    </row>
    <row r="816" spans="1:150" ht="15" hidden="1" customHeight="1">
      <c r="A816" s="1" t="s">
        <v>1140</v>
      </c>
      <c r="B816" t="s">
        <v>2091</v>
      </c>
      <c r="C816" t="s">
        <v>2092</v>
      </c>
      <c r="D816" t="s">
        <v>2093</v>
      </c>
      <c r="E816" t="s">
        <v>2094</v>
      </c>
      <c r="F816" t="s">
        <v>2095</v>
      </c>
      <c r="G816" t="s">
        <v>1141</v>
      </c>
      <c r="H816" t="s">
        <v>255</v>
      </c>
      <c r="I816">
        <v>2019</v>
      </c>
      <c r="J816">
        <v>13</v>
      </c>
      <c r="K816" t="s">
        <v>2096</v>
      </c>
      <c r="M816" t="str">
        <f t="shared" si="102"/>
        <v>Parobek_2019</v>
      </c>
      <c r="N816" s="266" t="s">
        <v>223</v>
      </c>
      <c r="O816" s="157" t="s">
        <v>514</v>
      </c>
      <c r="P816" s="266" t="s">
        <v>224</v>
      </c>
      <c r="Q816" s="266" t="s">
        <v>390</v>
      </c>
      <c r="R816" s="271" t="s">
        <v>1156</v>
      </c>
      <c r="T816" s="266" t="s">
        <v>1202</v>
      </c>
      <c r="U816" s="266" t="s">
        <v>1203</v>
      </c>
      <c r="V816">
        <v>0</v>
      </c>
      <c r="W816">
        <v>0</v>
      </c>
      <c r="X816">
        <v>0</v>
      </c>
      <c r="Y816">
        <v>0</v>
      </c>
      <c r="Z816">
        <v>0</v>
      </c>
      <c r="AA816">
        <v>0</v>
      </c>
      <c r="AB816">
        <v>0</v>
      </c>
      <c r="AC816">
        <v>0</v>
      </c>
      <c r="AD816">
        <v>0</v>
      </c>
      <c r="AE816">
        <v>0</v>
      </c>
      <c r="AF816">
        <v>1</v>
      </c>
      <c r="AG816">
        <v>0</v>
      </c>
      <c r="AH816">
        <v>0</v>
      </c>
      <c r="AI816">
        <v>0</v>
      </c>
      <c r="AJ816">
        <v>0</v>
      </c>
      <c r="AK816">
        <v>0</v>
      </c>
      <c r="AL816">
        <v>0</v>
      </c>
      <c r="AM816">
        <v>0</v>
      </c>
      <c r="AN816">
        <v>0</v>
      </c>
      <c r="AO816">
        <v>0</v>
      </c>
      <c r="AP816">
        <v>0</v>
      </c>
      <c r="AQ816">
        <v>0</v>
      </c>
      <c r="AR816">
        <v>0</v>
      </c>
      <c r="AS816">
        <v>0</v>
      </c>
      <c r="AT816">
        <v>0</v>
      </c>
      <c r="AU816">
        <v>0</v>
      </c>
      <c r="AV816">
        <v>0</v>
      </c>
      <c r="AW816">
        <v>0</v>
      </c>
      <c r="AX816" s="141">
        <f t="shared" si="41"/>
        <v>1</v>
      </c>
      <c r="AY816" s="141">
        <f t="shared" si="88"/>
        <v>1</v>
      </c>
      <c r="AZ816">
        <f t="shared" si="89"/>
        <v>0</v>
      </c>
      <c r="BA816">
        <f t="shared" si="90"/>
        <v>1</v>
      </c>
      <c r="BB816">
        <f t="shared" si="91"/>
        <v>0</v>
      </c>
      <c r="BC816">
        <f t="shared" si="92"/>
        <v>0</v>
      </c>
      <c r="BD816">
        <f t="shared" si="93"/>
        <v>0</v>
      </c>
      <c r="BE816" t="str" cm="1">
        <f t="array" ref="BE816">IF(AY816=1,INDEX($V$7:$AL$7,MATCH(TRUE,INDEX($V816:$AW816&lt;&gt;0,),0)),IF(AY816=0,INDEX($AM$7:$AW$7,MATCH(1,$AM816:$AW816,0)),IF(BF816="Multiple strategies","mixed drivers",IF(BF816="Supply chain","multiple supply","multiple silviculture"))))</f>
        <v>supply chain organization</v>
      </c>
      <c r="BF816" s="2" t="str" cm="1">
        <f t="array" ref="BF816">IF(COUNTIF(AZ816:BB816,"&lt;&gt;0")=1,INDEX($V$4:$AW$4,MATCH(TRUE,INDEX($V816:$AW816&lt;&gt;0,),0)),IF(COUNTIF(AZ816:BB816,"&lt;&gt;0")=0,INDEX($AM$4:$AW$4,MATCH(1,$AM816:$AW816,0)),"Multiple strategies"))</f>
        <v>Supply chain</v>
      </c>
      <c r="BH816" s="266" t="s">
        <v>2097</v>
      </c>
      <c r="BJ816" s="266" t="s">
        <v>1357</v>
      </c>
      <c r="BK816">
        <f>3.79+2.1+2.74</f>
        <v>8.6300000000000008</v>
      </c>
      <c r="BL816">
        <f>8.72+1.23</f>
        <v>9.9500000000000011</v>
      </c>
      <c r="BM816" t="str">
        <f>IFERROR(BK1435/BL1435,"")</f>
        <v/>
      </c>
      <c r="BN816">
        <f t="shared" si="66"/>
        <v>1.3200000000000003</v>
      </c>
      <c r="BO816">
        <f>BN816*10^6</f>
        <v>1320000.0000000002</v>
      </c>
      <c r="BP816" s="266" t="s">
        <v>2098</v>
      </c>
      <c r="BQ816" s="266" t="s">
        <v>701</v>
      </c>
      <c r="BR816" s="266" t="s">
        <v>2099</v>
      </c>
      <c r="BS816">
        <v>2052.42</v>
      </c>
      <c r="BT816">
        <v>2071.21</v>
      </c>
      <c r="BU816" s="144"/>
      <c r="BV816">
        <f>BS816-BT816</f>
        <v>-18.789999999999964</v>
      </c>
      <c r="BX816">
        <f>BV816*1000</f>
        <v>-18789.999999999964</v>
      </c>
      <c r="BY816">
        <f t="shared" si="94"/>
        <v>-1.4234848484848454E-2</v>
      </c>
      <c r="BZ816">
        <v>0</v>
      </c>
      <c r="CA816">
        <v>0</v>
      </c>
      <c r="CB816">
        <v>0</v>
      </c>
      <c r="CC816">
        <v>0</v>
      </c>
      <c r="CD816">
        <v>0</v>
      </c>
      <c r="CE816">
        <v>0</v>
      </c>
      <c r="CF816">
        <v>0</v>
      </c>
      <c r="CG816">
        <v>0</v>
      </c>
      <c r="CH816">
        <v>0</v>
      </c>
      <c r="CI816">
        <v>0</v>
      </c>
      <c r="CJ816">
        <v>0</v>
      </c>
      <c r="CK816">
        <v>0</v>
      </c>
      <c r="CL816">
        <v>0</v>
      </c>
      <c r="CM816">
        <v>0</v>
      </c>
      <c r="CN816" t="str">
        <f>IF($BL1435&lt;$BK1435,"refNeedCorrection","refOK")</f>
        <v>refOK</v>
      </c>
      <c r="CO816">
        <f>IF($CN816="refOK",$BL1435,$BK1435)</f>
        <v>0</v>
      </c>
      <c r="CP816">
        <f>IF($CN816="refOK",$BK1435,$BL1435)</f>
        <v>0</v>
      </c>
      <c r="CQ816">
        <f t="shared" si="51"/>
        <v>1320000.0000000002</v>
      </c>
      <c r="CR816">
        <f>IF($CN816="refOK",$BT816,$BS816)*IF($BP816="Emissions positive",-1,1)</f>
        <v>2071.21</v>
      </c>
      <c r="CS816">
        <f>IF($CN816="refOK",$BS816,$BT816)*IF($BP816="Emissions positive",-1,1)</f>
        <v>2052.42</v>
      </c>
      <c r="CT816">
        <f t="shared" si="106"/>
        <v>-18789.999999999964</v>
      </c>
      <c r="CU816">
        <f t="shared" si="105"/>
        <v>-1.4234848484848454E-2</v>
      </c>
      <c r="CV816" s="2">
        <f t="shared" si="95"/>
        <v>-9.0719917343002228E-3</v>
      </c>
      <c r="CW816" s="265" t="s">
        <v>1205</v>
      </c>
      <c r="CX816" s="266" t="str">
        <f t="shared" si="96"/>
        <v>reg</v>
      </c>
      <c r="CY816" s="266" t="s">
        <v>2090</v>
      </c>
      <c r="DB816">
        <v>1</v>
      </c>
      <c r="DC816" t="str">
        <f t="shared" si="97"/>
        <v>1-30</v>
      </c>
      <c r="DD816">
        <v>0</v>
      </c>
      <c r="DE816">
        <v>0</v>
      </c>
      <c r="DF816">
        <v>1</v>
      </c>
      <c r="DG816">
        <v>1</v>
      </c>
      <c r="DH816">
        <v>0</v>
      </c>
      <c r="DI816">
        <f>SUM(DD816:DH816)</f>
        <v>2</v>
      </c>
      <c r="DJ816" t="str">
        <f t="shared" si="103"/>
        <v>mixedProduct</v>
      </c>
      <c r="DK816">
        <f t="shared" si="73"/>
        <v>0</v>
      </c>
      <c r="DL816">
        <f t="shared" si="74"/>
        <v>0</v>
      </c>
      <c r="DM816" t="str">
        <f t="shared" si="75"/>
        <v>Pulp/Paper</v>
      </c>
      <c r="DN816" t="str">
        <f t="shared" si="76"/>
        <v>Timber</v>
      </c>
      <c r="DO816">
        <v>0</v>
      </c>
      <c r="DP816">
        <v>0</v>
      </c>
      <c r="DQ816">
        <v>0</v>
      </c>
      <c r="DR816">
        <v>0</v>
      </c>
      <c r="DS816">
        <v>0</v>
      </c>
      <c r="DT816"/>
      <c r="DU816" s="143" t="str">
        <f t="shared" si="99"/>
        <v>explicit C balance</v>
      </c>
      <c r="DV816">
        <v>0</v>
      </c>
      <c r="DW816">
        <v>0</v>
      </c>
      <c r="DX816">
        <v>0</v>
      </c>
      <c r="DY816">
        <v>1</v>
      </c>
      <c r="DZ816">
        <v>0</v>
      </c>
      <c r="EA816">
        <v>0</v>
      </c>
      <c r="EB816">
        <v>0</v>
      </c>
      <c r="EC816">
        <v>0</v>
      </c>
      <c r="ED816">
        <v>0</v>
      </c>
      <c r="EE816">
        <v>0</v>
      </c>
      <c r="EF816">
        <v>1</v>
      </c>
      <c r="EG816">
        <v>0</v>
      </c>
      <c r="EH816">
        <v>0</v>
      </c>
      <c r="EI816" s="2">
        <v>0</v>
      </c>
      <c r="EK816" t="str">
        <f t="shared" si="77"/>
        <v/>
      </c>
      <c r="EL816" t="str">
        <f t="shared" si="78"/>
        <v/>
      </c>
      <c r="EM816" s="2" t="str">
        <f t="shared" si="98"/>
        <v/>
      </c>
      <c r="EP816" t="str">
        <f>IF(ISNUMBER(BU816),IF(ABS(BU816-[1]QC_indicators!$B$2)&gt;3*[1]QC_indicators!$C$2,"C ratio",IF(ISNUMBER(BY816),IF(ABS(BY816-[1]QC_indicators!$B$1)&gt;3*[1]QC_indicators!$C$1,"DF","no"))),IF(ISNUMBER(BY816),IF(ABS(BY816-[1]QC_indicators!$B$1)&gt;3*[1]QC_indicators!$C$1,"DF","no")))</f>
        <v>no</v>
      </c>
      <c r="ET816" s="266" t="s">
        <v>3409</v>
      </c>
    </row>
    <row r="817" spans="1:150" ht="15" hidden="1" customHeight="1">
      <c r="A817" s="1" t="s">
        <v>506</v>
      </c>
      <c r="B817" t="s">
        <v>507</v>
      </c>
      <c r="C817" t="s">
        <v>508</v>
      </c>
      <c r="D817" t="s">
        <v>509</v>
      </c>
      <c r="E817" t="s">
        <v>510</v>
      </c>
      <c r="F817" t="s">
        <v>511</v>
      </c>
      <c r="G817" t="s">
        <v>512</v>
      </c>
      <c r="H817" t="s">
        <v>255</v>
      </c>
      <c r="I817">
        <v>2021</v>
      </c>
      <c r="J817">
        <v>7</v>
      </c>
      <c r="K817" t="s">
        <v>513</v>
      </c>
      <c r="M817" t="str">
        <f t="shared" si="102"/>
        <v>Caldas_2021</v>
      </c>
      <c r="N817" t="s">
        <v>223</v>
      </c>
      <c r="O817" s="145" t="s">
        <v>224</v>
      </c>
      <c r="P817" t="s">
        <v>514</v>
      </c>
      <c r="Q817" s="266" t="s">
        <v>257</v>
      </c>
      <c r="R817" s="271" t="s">
        <v>1156</v>
      </c>
      <c r="S817" s="1" t="s">
        <v>515</v>
      </c>
      <c r="T817" t="s">
        <v>516</v>
      </c>
      <c r="U817" t="s">
        <v>517</v>
      </c>
      <c r="V817">
        <v>0</v>
      </c>
      <c r="W817">
        <v>0</v>
      </c>
      <c r="X817">
        <v>0</v>
      </c>
      <c r="Y817">
        <v>0</v>
      </c>
      <c r="Z817">
        <v>0</v>
      </c>
      <c r="AA817">
        <v>0</v>
      </c>
      <c r="AB817">
        <v>0</v>
      </c>
      <c r="AC817">
        <v>0</v>
      </c>
      <c r="AD817">
        <v>0</v>
      </c>
      <c r="AE817">
        <v>1</v>
      </c>
      <c r="AF817">
        <v>0</v>
      </c>
      <c r="AG817">
        <v>0</v>
      </c>
      <c r="AH817">
        <v>0</v>
      </c>
      <c r="AI817">
        <v>0</v>
      </c>
      <c r="AJ817">
        <v>0</v>
      </c>
      <c r="AK817">
        <v>0</v>
      </c>
      <c r="AL817">
        <v>0</v>
      </c>
      <c r="AM817">
        <v>0</v>
      </c>
      <c r="AN817">
        <v>0</v>
      </c>
      <c r="AO817">
        <v>0</v>
      </c>
      <c r="AP817">
        <v>0</v>
      </c>
      <c r="AQ817">
        <v>0</v>
      </c>
      <c r="AR817">
        <v>0</v>
      </c>
      <c r="AS817">
        <v>0</v>
      </c>
      <c r="AT817">
        <v>0</v>
      </c>
      <c r="AU817">
        <v>0</v>
      </c>
      <c r="AV817">
        <v>0</v>
      </c>
      <c r="AW817">
        <v>0</v>
      </c>
      <c r="AX817" s="141">
        <f t="shared" si="41"/>
        <v>1</v>
      </c>
      <c r="AY817" s="141">
        <f t="shared" si="88"/>
        <v>1</v>
      </c>
      <c r="AZ817">
        <f t="shared" si="89"/>
        <v>0</v>
      </c>
      <c r="BA817">
        <f t="shared" si="90"/>
        <v>1</v>
      </c>
      <c r="BB817">
        <f t="shared" si="91"/>
        <v>0</v>
      </c>
      <c r="BC817">
        <f t="shared" si="92"/>
        <v>0</v>
      </c>
      <c r="BD817">
        <f t="shared" si="93"/>
        <v>0</v>
      </c>
      <c r="BE817" t="str" cm="1">
        <f t="array" ref="BE817">IF(AY817=1,INDEX($V$7:$AL$7,MATCH(TRUE,INDEX($V817:$AW817&lt;&gt;0,),0)),IF(AY817=0,INDEX($AM$7:$AW$7,MATCH(1,$AM817:$AW817,0)),IF(BF817="Multiple strategies","mixed drivers",IF(BF817="Supply chain","multiple supply","multiple silviculture"))))</f>
        <v>location of industry</v>
      </c>
      <c r="BF817" s="2" t="str" cm="1">
        <f t="array" ref="BF817">IF(COUNTIF(AZ817:BB817,"&lt;&gt;0")=1,INDEX($V$4:$AW$4,MATCH(TRUE,INDEX($V817:$AW817&lt;&gt;0,),0)),IF(COUNTIF(AZ817:BB817,"&lt;&gt;0")=0,INDEX($AM$4:$AW$4,MATCH(1,$AM817:$AW817,0)),"Multiple strategies"))</f>
        <v>Supply chain</v>
      </c>
      <c r="BG817" s="1" t="s">
        <v>230</v>
      </c>
      <c r="BH817" t="s">
        <v>518</v>
      </c>
      <c r="BJ817" t="s">
        <v>519</v>
      </c>
      <c r="BK817">
        <v>140</v>
      </c>
      <c r="BL817">
        <v>140</v>
      </c>
      <c r="BN817">
        <f t="shared" si="66"/>
        <v>0</v>
      </c>
      <c r="BO817">
        <f>BN817*kg_to_m3</f>
        <v>0</v>
      </c>
      <c r="BP817" s="266" t="s">
        <v>233</v>
      </c>
      <c r="BQ817" s="266"/>
      <c r="BR817" t="s">
        <v>520</v>
      </c>
      <c r="BS817">
        <v>-503</v>
      </c>
      <c r="BT817">
        <v>-290</v>
      </c>
      <c r="BU817" s="144">
        <v>0.57654075546719685</v>
      </c>
      <c r="BV817">
        <v>213</v>
      </c>
      <c r="BX817">
        <f t="shared" ref="BX817:BX827" si="107">BV817/1000</f>
        <v>0.21299999999999999</v>
      </c>
      <c r="BY817" t="str">
        <f t="shared" si="94"/>
        <v/>
      </c>
      <c r="BZ817" s="143">
        <v>0</v>
      </c>
      <c r="CA817" s="143">
        <v>0</v>
      </c>
      <c r="CB817" s="143">
        <v>0</v>
      </c>
      <c r="CC817" s="143">
        <v>0</v>
      </c>
      <c r="CD817" s="143">
        <v>0</v>
      </c>
      <c r="CE817" s="143">
        <v>0</v>
      </c>
      <c r="CF817" s="143">
        <v>0</v>
      </c>
      <c r="CG817" s="143">
        <v>0</v>
      </c>
      <c r="CH817" s="143">
        <v>0</v>
      </c>
      <c r="CI817" s="143">
        <v>0</v>
      </c>
      <c r="CJ817" s="143">
        <v>0</v>
      </c>
      <c r="CK817" s="143">
        <v>0</v>
      </c>
      <c r="CL817" s="143">
        <v>0</v>
      </c>
      <c r="CM817">
        <v>0</v>
      </c>
      <c r="CN817" t="str">
        <f t="shared" ref="CN817:CN848" si="108">IF($BL817&lt;$BK817,"refNeedCorrection","refOK")</f>
        <v>refOK</v>
      </c>
      <c r="CO817">
        <f t="shared" ref="CO817:CO858" si="109">IF($CN817="refOK",$BK817,$BL817)</f>
        <v>140</v>
      </c>
      <c r="CP817">
        <f t="shared" ref="CP817:CP858" si="110">IF($CN817="refOK",$BL817,$BK817)</f>
        <v>140</v>
      </c>
      <c r="CQ817">
        <f t="shared" si="51"/>
        <v>0</v>
      </c>
      <c r="CR817">
        <f t="shared" ref="CR817:CR880" si="111">IF($CN817="refOK",$BS817,$BT817)*IF($BP817="Emissions positive",-1,1)</f>
        <v>-503</v>
      </c>
      <c r="CS817">
        <f t="shared" ref="CS817:CS848" si="112">IF($CN817="refOK",$BT817,$BS817)*IF($BP817="Emissions positive",-1,1)</f>
        <v>-290</v>
      </c>
      <c r="CT817">
        <f t="shared" si="106"/>
        <v>0.21299999999999999</v>
      </c>
      <c r="CU817" t="str">
        <f t="shared" si="105"/>
        <v/>
      </c>
      <c r="CV817" s="2">
        <f t="shared" si="95"/>
        <v>0.4234592445328032</v>
      </c>
      <c r="CW817" s="1" t="s">
        <v>264</v>
      </c>
      <c r="CX817" s="266" t="str">
        <f t="shared" si="96"/>
        <v>loc</v>
      </c>
      <c r="CY817" t="s">
        <v>521</v>
      </c>
      <c r="CZ817">
        <v>2014</v>
      </c>
      <c r="DA817">
        <v>2014</v>
      </c>
      <c r="DB817">
        <f>DA817-CZ817</f>
        <v>0</v>
      </c>
      <c r="DC817" t="str">
        <f t="shared" si="97"/>
        <v>0</v>
      </c>
      <c r="DD817">
        <v>0</v>
      </c>
      <c r="DE817">
        <v>0</v>
      </c>
      <c r="DF817">
        <v>0</v>
      </c>
      <c r="DG817">
        <v>1</v>
      </c>
      <c r="DI817">
        <f t="shared" ref="DI817:DI827" si="113">SUM(DD817:DG817)</f>
        <v>1</v>
      </c>
      <c r="DJ817" t="str">
        <f t="shared" si="103"/>
        <v>TimberInput</v>
      </c>
      <c r="DK817">
        <f t="shared" si="73"/>
        <v>0</v>
      </c>
      <c r="DL817">
        <f t="shared" si="74"/>
        <v>0</v>
      </c>
      <c r="DM817">
        <f t="shared" si="75"/>
        <v>0</v>
      </c>
      <c r="DN817" t="str">
        <f t="shared" si="76"/>
        <v>Timber</v>
      </c>
      <c r="DO817">
        <v>0</v>
      </c>
      <c r="DP817" s="143">
        <v>0</v>
      </c>
      <c r="DQ817" s="143">
        <v>0</v>
      </c>
      <c r="DR817" s="143">
        <v>0</v>
      </c>
      <c r="DS817">
        <v>0</v>
      </c>
      <c r="DT817">
        <f t="shared" ref="DT817:DT880" si="114">SUM(DO817:DP817)</f>
        <v>0</v>
      </c>
      <c r="DU817" s="143" t="str">
        <f t="shared" si="99"/>
        <v>explicit C balance</v>
      </c>
      <c r="DV817">
        <v>0</v>
      </c>
      <c r="DW817" s="143">
        <v>0</v>
      </c>
      <c r="DX817" s="143">
        <v>0</v>
      </c>
      <c r="DY817" s="143">
        <v>0</v>
      </c>
      <c r="DZ817">
        <v>1</v>
      </c>
      <c r="EA817" s="143">
        <v>1</v>
      </c>
      <c r="EB817">
        <v>0</v>
      </c>
      <c r="EC817" s="143">
        <v>1</v>
      </c>
      <c r="ED817" s="143">
        <v>0</v>
      </c>
      <c r="EE817">
        <v>0</v>
      </c>
      <c r="EF817">
        <v>0</v>
      </c>
      <c r="EG817" s="143">
        <v>0</v>
      </c>
      <c r="EH817" s="143">
        <v>0</v>
      </c>
      <c r="EI817" s="2">
        <v>0</v>
      </c>
      <c r="EK817" t="str">
        <f t="shared" si="77"/>
        <v/>
      </c>
      <c r="EL817" t="str">
        <f t="shared" si="78"/>
        <v/>
      </c>
      <c r="EM817" s="2" t="str">
        <f t="shared" si="98"/>
        <v/>
      </c>
      <c r="EN817" t="s">
        <v>522</v>
      </c>
      <c r="EP817" t="b">
        <f>IF(ISNUMBER(BU817),IF(ABS(BU817-[1]QC_indicators!$B$2)&gt;3*[1]QC_indicators!$C$2,"C ratio",IF(ISNUMBER(BY817),IF(ABS(BY817-[1]QC_indicators!$B$1)&gt;3*[1]QC_indicators!$C$1,"DF","no"))),IF(ISNUMBER(BY817),IF(ABS(BY817-[1]QC_indicators!$B$1)&gt;3*[1]QC_indicators!$C$1,"DF","no")))</f>
        <v>0</v>
      </c>
      <c r="ER817" s="296" t="s">
        <v>350</v>
      </c>
      <c r="ET817" s="266" t="s">
        <v>3409</v>
      </c>
    </row>
    <row r="818" spans="1:150" ht="15" hidden="1" customHeight="1">
      <c r="A818" s="1" t="s">
        <v>506</v>
      </c>
      <c r="B818" t="s">
        <v>507</v>
      </c>
      <c r="C818" t="s">
        <v>508</v>
      </c>
      <c r="D818" t="s">
        <v>509</v>
      </c>
      <c r="E818" t="s">
        <v>510</v>
      </c>
      <c r="F818" t="s">
        <v>511</v>
      </c>
      <c r="G818" t="s">
        <v>512</v>
      </c>
      <c r="H818" t="s">
        <v>255</v>
      </c>
      <c r="I818">
        <v>2021</v>
      </c>
      <c r="J818">
        <v>7</v>
      </c>
      <c r="K818" t="s">
        <v>513</v>
      </c>
      <c r="M818" t="str">
        <f t="shared" si="102"/>
        <v>Caldas_2021</v>
      </c>
      <c r="N818" t="s">
        <v>223</v>
      </c>
      <c r="O818" s="145" t="s">
        <v>224</v>
      </c>
      <c r="P818" t="s">
        <v>514</v>
      </c>
      <c r="Q818" s="266" t="s">
        <v>257</v>
      </c>
      <c r="R818" s="271" t="s">
        <v>1156</v>
      </c>
      <c r="S818" s="1" t="s">
        <v>515</v>
      </c>
      <c r="T818" t="s">
        <v>516</v>
      </c>
      <c r="U818" t="s">
        <v>517</v>
      </c>
      <c r="V818">
        <v>0</v>
      </c>
      <c r="W818">
        <v>0</v>
      </c>
      <c r="X818">
        <v>0</v>
      </c>
      <c r="Y818">
        <v>0</v>
      </c>
      <c r="Z818">
        <v>0</v>
      </c>
      <c r="AA818">
        <v>0</v>
      </c>
      <c r="AB818">
        <v>0</v>
      </c>
      <c r="AC818">
        <v>0</v>
      </c>
      <c r="AD818">
        <v>0</v>
      </c>
      <c r="AE818">
        <v>1</v>
      </c>
      <c r="AF818">
        <v>0</v>
      </c>
      <c r="AG818">
        <v>0</v>
      </c>
      <c r="AH818">
        <v>0</v>
      </c>
      <c r="AI818">
        <v>0</v>
      </c>
      <c r="AJ818">
        <v>0</v>
      </c>
      <c r="AK818">
        <v>0</v>
      </c>
      <c r="AL818">
        <v>0</v>
      </c>
      <c r="AM818">
        <v>0</v>
      </c>
      <c r="AN818">
        <v>0</v>
      </c>
      <c r="AO818">
        <v>0</v>
      </c>
      <c r="AP818">
        <v>0</v>
      </c>
      <c r="AQ818">
        <v>0</v>
      </c>
      <c r="AR818">
        <v>0</v>
      </c>
      <c r="AS818">
        <v>0</v>
      </c>
      <c r="AT818">
        <v>0</v>
      </c>
      <c r="AU818">
        <v>0</v>
      </c>
      <c r="AV818">
        <v>0</v>
      </c>
      <c r="AW818">
        <v>0</v>
      </c>
      <c r="AX818" s="141">
        <f t="shared" si="41"/>
        <v>1</v>
      </c>
      <c r="AY818" s="141">
        <f t="shared" si="88"/>
        <v>1</v>
      </c>
      <c r="AZ818">
        <f t="shared" si="89"/>
        <v>0</v>
      </c>
      <c r="BA818">
        <f t="shared" si="90"/>
        <v>1</v>
      </c>
      <c r="BB818">
        <f t="shared" si="91"/>
        <v>0</v>
      </c>
      <c r="BC818">
        <f t="shared" si="92"/>
        <v>0</v>
      </c>
      <c r="BD818">
        <f t="shared" si="93"/>
        <v>0</v>
      </c>
      <c r="BE818" t="str" cm="1">
        <f t="array" ref="BE818">IF(AY818=1,INDEX($V$7:$AL$7,MATCH(TRUE,INDEX($V818:$AW818&lt;&gt;0,),0)),IF(AY818=0,INDEX($AM$7:$AW$7,MATCH(1,$AM818:$AW818,0)),IF(BF818="Multiple strategies","mixed drivers",IF(BF818="Supply chain","multiple supply","multiple silviculture"))))</f>
        <v>location of industry</v>
      </c>
      <c r="BF818" s="2" t="str" cm="1">
        <f t="array" ref="BF818">IF(COUNTIF(AZ818:BB818,"&lt;&gt;0")=1,INDEX($V$4:$AW$4,MATCH(TRUE,INDEX($V818:$AW818&lt;&gt;0,),0)),IF(COUNTIF(AZ818:BB818,"&lt;&gt;0")=0,INDEX($AM$4:$AW$4,MATCH(1,$AM818:$AW818,0)),"Multiple strategies"))</f>
        <v>Supply chain</v>
      </c>
      <c r="BG818" s="1" t="s">
        <v>230</v>
      </c>
      <c r="BH818" t="s">
        <v>518</v>
      </c>
      <c r="BJ818" t="s">
        <v>519</v>
      </c>
      <c r="BK818">
        <v>140</v>
      </c>
      <c r="BL818">
        <v>140</v>
      </c>
      <c r="BN818">
        <f t="shared" si="66"/>
        <v>0</v>
      </c>
      <c r="BO818">
        <f>BN818*kg_to_m3</f>
        <v>0</v>
      </c>
      <c r="BP818" s="266" t="s">
        <v>233</v>
      </c>
      <c r="BQ818" s="266"/>
      <c r="BR818" t="s">
        <v>520</v>
      </c>
      <c r="BS818">
        <v>-372</v>
      </c>
      <c r="BT818">
        <v>-284</v>
      </c>
      <c r="BU818" s="144">
        <v>0.76344086021505375</v>
      </c>
      <c r="BV818">
        <v>88</v>
      </c>
      <c r="BX818">
        <f t="shared" si="107"/>
        <v>8.7999999999999995E-2</v>
      </c>
      <c r="BY818" t="str">
        <f t="shared" si="94"/>
        <v/>
      </c>
      <c r="BZ818" s="143">
        <v>0</v>
      </c>
      <c r="CA818" s="143">
        <v>0</v>
      </c>
      <c r="CB818" s="143">
        <v>0</v>
      </c>
      <c r="CC818" s="143">
        <v>0</v>
      </c>
      <c r="CD818" s="143">
        <v>0</v>
      </c>
      <c r="CE818" s="143">
        <v>0</v>
      </c>
      <c r="CF818" s="143">
        <v>0</v>
      </c>
      <c r="CG818" s="143">
        <v>0</v>
      </c>
      <c r="CH818" s="143">
        <v>0</v>
      </c>
      <c r="CI818" s="143">
        <v>0</v>
      </c>
      <c r="CJ818" s="143">
        <v>0</v>
      </c>
      <c r="CK818" s="143">
        <v>0</v>
      </c>
      <c r="CL818" s="143">
        <v>0</v>
      </c>
      <c r="CM818">
        <v>0</v>
      </c>
      <c r="CN818" t="str">
        <f t="shared" si="108"/>
        <v>refOK</v>
      </c>
      <c r="CO818">
        <f t="shared" si="109"/>
        <v>140</v>
      </c>
      <c r="CP818">
        <f t="shared" si="110"/>
        <v>140</v>
      </c>
      <c r="CQ818">
        <f t="shared" si="51"/>
        <v>0</v>
      </c>
      <c r="CR818">
        <f t="shared" si="111"/>
        <v>-372</v>
      </c>
      <c r="CS818">
        <f t="shared" si="112"/>
        <v>-284</v>
      </c>
      <c r="CT818">
        <f t="shared" si="106"/>
        <v>8.7999999999999995E-2</v>
      </c>
      <c r="CU818" t="str">
        <f t="shared" si="105"/>
        <v/>
      </c>
      <c r="CV818" s="2">
        <f t="shared" si="95"/>
        <v>0.23655913978494625</v>
      </c>
      <c r="CW818" s="1" t="s">
        <v>264</v>
      </c>
      <c r="CX818" s="266" t="str">
        <f t="shared" si="96"/>
        <v>loc</v>
      </c>
      <c r="CY818" t="s">
        <v>521</v>
      </c>
      <c r="CZ818">
        <v>2014</v>
      </c>
      <c r="DA818">
        <v>2014</v>
      </c>
      <c r="DB818">
        <f>DA818-CZ818</f>
        <v>0</v>
      </c>
      <c r="DC818" t="str">
        <f t="shared" si="97"/>
        <v>0</v>
      </c>
      <c r="DD818">
        <v>0</v>
      </c>
      <c r="DE818">
        <v>0</v>
      </c>
      <c r="DF818">
        <v>0</v>
      </c>
      <c r="DG818">
        <v>1</v>
      </c>
      <c r="DI818">
        <f t="shared" si="113"/>
        <v>1</v>
      </c>
      <c r="DJ818" t="str">
        <f t="shared" si="103"/>
        <v>TimberInput</v>
      </c>
      <c r="DK818">
        <f t="shared" si="73"/>
        <v>0</v>
      </c>
      <c r="DL818">
        <f t="shared" si="74"/>
        <v>0</v>
      </c>
      <c r="DM818">
        <f t="shared" si="75"/>
        <v>0</v>
      </c>
      <c r="DN818" t="str">
        <f t="shared" si="76"/>
        <v>Timber</v>
      </c>
      <c r="DO818">
        <v>0</v>
      </c>
      <c r="DP818" s="143">
        <v>0</v>
      </c>
      <c r="DQ818" s="143">
        <v>0</v>
      </c>
      <c r="DR818" s="143">
        <v>0</v>
      </c>
      <c r="DS818">
        <v>0</v>
      </c>
      <c r="DT818">
        <f t="shared" si="114"/>
        <v>0</v>
      </c>
      <c r="DU818" s="143" t="str">
        <f t="shared" si="99"/>
        <v>explicit C balance</v>
      </c>
      <c r="DV818">
        <v>0</v>
      </c>
      <c r="DW818" s="143">
        <v>0</v>
      </c>
      <c r="DX818" s="143">
        <v>0</v>
      </c>
      <c r="DY818" s="143">
        <v>0</v>
      </c>
      <c r="DZ818">
        <v>1</v>
      </c>
      <c r="EA818" s="143">
        <v>1</v>
      </c>
      <c r="EB818">
        <v>0</v>
      </c>
      <c r="EC818" s="143">
        <v>1</v>
      </c>
      <c r="ED818" s="143">
        <v>0</v>
      </c>
      <c r="EE818">
        <v>0</v>
      </c>
      <c r="EF818">
        <v>0</v>
      </c>
      <c r="EG818" s="143">
        <v>0</v>
      </c>
      <c r="EH818" s="143">
        <v>0</v>
      </c>
      <c r="EI818" s="2">
        <v>0</v>
      </c>
      <c r="EK818" t="str">
        <f t="shared" si="77"/>
        <v/>
      </c>
      <c r="EL818" t="str">
        <f t="shared" si="78"/>
        <v/>
      </c>
      <c r="EM818" s="2" t="str">
        <f t="shared" si="98"/>
        <v/>
      </c>
      <c r="EN818" t="s">
        <v>522</v>
      </c>
      <c r="EP818" t="b">
        <f>IF(ISNUMBER(BU818),IF(ABS(BU818-[1]QC_indicators!$B$2)&gt;3*[1]QC_indicators!$C$2,"C ratio",IF(ISNUMBER(BY818),IF(ABS(BY818-[1]QC_indicators!$B$1)&gt;3*[1]QC_indicators!$C$1,"DF","no"))),IF(ISNUMBER(BY818),IF(ABS(BY818-[1]QC_indicators!$B$1)&gt;3*[1]QC_indicators!$C$1,"DF","no")))</f>
        <v>0</v>
      </c>
      <c r="ER818" s="296" t="s">
        <v>350</v>
      </c>
      <c r="ET818" s="266" t="s">
        <v>3409</v>
      </c>
    </row>
    <row r="819" spans="1:150" ht="15" hidden="1" customHeight="1">
      <c r="A819" s="1" t="s">
        <v>506</v>
      </c>
      <c r="B819" t="s">
        <v>507</v>
      </c>
      <c r="C819" t="s">
        <v>508</v>
      </c>
      <c r="D819" t="s">
        <v>509</v>
      </c>
      <c r="E819" t="s">
        <v>510</v>
      </c>
      <c r="F819" t="s">
        <v>511</v>
      </c>
      <c r="G819" t="s">
        <v>512</v>
      </c>
      <c r="H819" t="s">
        <v>255</v>
      </c>
      <c r="I819">
        <v>2021</v>
      </c>
      <c r="J819">
        <v>7</v>
      </c>
      <c r="K819" t="s">
        <v>513</v>
      </c>
      <c r="M819" t="str">
        <f t="shared" si="102"/>
        <v>Caldas_2021</v>
      </c>
      <c r="N819" t="s">
        <v>223</v>
      </c>
      <c r="O819" s="145" t="s">
        <v>224</v>
      </c>
      <c r="P819" t="s">
        <v>514</v>
      </c>
      <c r="Q819" s="266" t="s">
        <v>257</v>
      </c>
      <c r="R819" s="271" t="s">
        <v>1156</v>
      </c>
      <c r="S819" s="1" t="s">
        <v>524</v>
      </c>
      <c r="T819" t="s">
        <v>525</v>
      </c>
      <c r="U819" t="s">
        <v>526</v>
      </c>
      <c r="V819">
        <v>0</v>
      </c>
      <c r="W819">
        <v>0</v>
      </c>
      <c r="X819">
        <v>0</v>
      </c>
      <c r="Y819">
        <v>0</v>
      </c>
      <c r="Z819">
        <v>0</v>
      </c>
      <c r="AA819">
        <v>0</v>
      </c>
      <c r="AB819">
        <v>0</v>
      </c>
      <c r="AC819">
        <v>0</v>
      </c>
      <c r="AD819">
        <v>0</v>
      </c>
      <c r="AE819">
        <v>0</v>
      </c>
      <c r="AF819">
        <v>1</v>
      </c>
      <c r="AG819">
        <v>0</v>
      </c>
      <c r="AH819">
        <v>0</v>
      </c>
      <c r="AI819">
        <v>0</v>
      </c>
      <c r="AJ819">
        <v>0</v>
      </c>
      <c r="AK819">
        <v>0</v>
      </c>
      <c r="AL819">
        <v>0</v>
      </c>
      <c r="AM819">
        <v>0</v>
      </c>
      <c r="AN819">
        <v>0</v>
      </c>
      <c r="AO819">
        <v>0</v>
      </c>
      <c r="AP819">
        <v>0</v>
      </c>
      <c r="AQ819">
        <v>0</v>
      </c>
      <c r="AR819">
        <v>0</v>
      </c>
      <c r="AS819">
        <v>0</v>
      </c>
      <c r="AT819">
        <v>0</v>
      </c>
      <c r="AU819">
        <v>0</v>
      </c>
      <c r="AV819">
        <v>0</v>
      </c>
      <c r="AW819">
        <v>0</v>
      </c>
      <c r="AX819" s="141">
        <f t="shared" si="41"/>
        <v>1</v>
      </c>
      <c r="AY819" s="141">
        <f t="shared" si="88"/>
        <v>1</v>
      </c>
      <c r="AZ819">
        <f t="shared" si="89"/>
        <v>0</v>
      </c>
      <c r="BA819">
        <f t="shared" si="90"/>
        <v>1</v>
      </c>
      <c r="BB819">
        <f t="shared" si="91"/>
        <v>0</v>
      </c>
      <c r="BC819">
        <f t="shared" si="92"/>
        <v>0</v>
      </c>
      <c r="BD819">
        <f t="shared" si="93"/>
        <v>0</v>
      </c>
      <c r="BE819" t="str" cm="1">
        <f t="array" ref="BE819">IF(AY819=1,INDEX($V$7:$AL$7,MATCH(TRUE,INDEX($V819:$AW819&lt;&gt;0,),0)),IF(AY819=0,INDEX($AM$7:$AW$7,MATCH(1,$AM819:$AW819,0)),IF(BF819="Multiple strategies","mixed drivers",IF(BF819="Supply chain","multiple supply","multiple silviculture"))))</f>
        <v>supply chain organization</v>
      </c>
      <c r="BF819" s="2" t="str" cm="1">
        <f t="array" ref="BF819">IF(COUNTIF(AZ819:BB819,"&lt;&gt;0")=1,INDEX($V$4:$AW$4,MATCH(TRUE,INDEX($V819:$AW819&lt;&gt;0,),0)),IF(COUNTIF(AZ819:BB819,"&lt;&gt;0")=0,INDEX($AM$4:$AW$4,MATCH(1,$AM819:$AW819,0)),"Multiple strategies"))</f>
        <v>Supply chain</v>
      </c>
      <c r="BG819" s="1" t="s">
        <v>230</v>
      </c>
      <c r="BH819" t="s">
        <v>518</v>
      </c>
      <c r="BJ819" t="s">
        <v>519</v>
      </c>
      <c r="BK819">
        <v>140</v>
      </c>
      <c r="BL819">
        <v>140</v>
      </c>
      <c r="BN819">
        <f t="shared" si="66"/>
        <v>0</v>
      </c>
      <c r="BO819">
        <f>BN819*kg_to_m3</f>
        <v>0</v>
      </c>
      <c r="BP819" s="266" t="s">
        <v>233</v>
      </c>
      <c r="BQ819" s="266"/>
      <c r="BR819" t="s">
        <v>520</v>
      </c>
      <c r="BS819">
        <v>-290</v>
      </c>
      <c r="BT819">
        <v>-284</v>
      </c>
      <c r="BU819" s="144">
        <v>0.97931034482758617</v>
      </c>
      <c r="BV819">
        <v>6</v>
      </c>
      <c r="BX819">
        <f t="shared" si="107"/>
        <v>6.0000000000000001E-3</v>
      </c>
      <c r="BY819" t="str">
        <f t="shared" si="94"/>
        <v/>
      </c>
      <c r="BZ819" s="143">
        <v>0</v>
      </c>
      <c r="CA819" s="143">
        <v>0</v>
      </c>
      <c r="CB819" s="143">
        <v>0</v>
      </c>
      <c r="CC819" s="143">
        <v>0</v>
      </c>
      <c r="CD819" s="143">
        <v>0</v>
      </c>
      <c r="CE819" s="143">
        <v>0</v>
      </c>
      <c r="CF819" s="143">
        <v>0</v>
      </c>
      <c r="CG819" s="143">
        <v>0</v>
      </c>
      <c r="CH819" s="143">
        <v>0</v>
      </c>
      <c r="CI819" s="143">
        <v>0</v>
      </c>
      <c r="CJ819" s="143">
        <v>0</v>
      </c>
      <c r="CK819" s="143">
        <v>0</v>
      </c>
      <c r="CL819" s="143">
        <v>0</v>
      </c>
      <c r="CM819">
        <v>0</v>
      </c>
      <c r="CN819" t="str">
        <f t="shared" si="108"/>
        <v>refOK</v>
      </c>
      <c r="CO819">
        <f t="shared" si="109"/>
        <v>140</v>
      </c>
      <c r="CP819">
        <f t="shared" si="110"/>
        <v>140</v>
      </c>
      <c r="CQ819">
        <f t="shared" si="51"/>
        <v>0</v>
      </c>
      <c r="CR819">
        <f t="shared" si="111"/>
        <v>-290</v>
      </c>
      <c r="CS819">
        <f t="shared" si="112"/>
        <v>-284</v>
      </c>
      <c r="CT819">
        <f t="shared" si="106"/>
        <v>6.0000000000000001E-3</v>
      </c>
      <c r="CU819" t="str">
        <f t="shared" si="105"/>
        <v/>
      </c>
      <c r="CV819" s="2">
        <f t="shared" si="95"/>
        <v>2.0689655172413793E-2</v>
      </c>
      <c r="CW819" s="1" t="s">
        <v>264</v>
      </c>
      <c r="CX819" s="266" t="str">
        <f t="shared" si="96"/>
        <v>loc</v>
      </c>
      <c r="CY819" t="s">
        <v>521</v>
      </c>
      <c r="CZ819">
        <v>2014</v>
      </c>
      <c r="DA819">
        <v>2014</v>
      </c>
      <c r="DB819">
        <f>DA819-CZ819</f>
        <v>0</v>
      </c>
      <c r="DC819" t="str">
        <f t="shared" si="97"/>
        <v>0</v>
      </c>
      <c r="DD819">
        <v>0</v>
      </c>
      <c r="DE819">
        <v>0</v>
      </c>
      <c r="DF819">
        <v>0</v>
      </c>
      <c r="DG819">
        <v>1</v>
      </c>
      <c r="DI819">
        <f t="shared" si="113"/>
        <v>1</v>
      </c>
      <c r="DJ819" t="str">
        <f t="shared" si="103"/>
        <v>TimberInput</v>
      </c>
      <c r="DK819">
        <f t="shared" si="73"/>
        <v>0</v>
      </c>
      <c r="DL819">
        <f t="shared" si="74"/>
        <v>0</v>
      </c>
      <c r="DM819">
        <f t="shared" si="75"/>
        <v>0</v>
      </c>
      <c r="DN819" t="str">
        <f t="shared" si="76"/>
        <v>Timber</v>
      </c>
      <c r="DO819">
        <v>0</v>
      </c>
      <c r="DP819" s="143">
        <v>0</v>
      </c>
      <c r="DQ819" s="143">
        <v>0</v>
      </c>
      <c r="DR819" s="143">
        <v>0</v>
      </c>
      <c r="DS819">
        <v>0</v>
      </c>
      <c r="DT819">
        <f t="shared" si="114"/>
        <v>0</v>
      </c>
      <c r="DU819" s="143" t="str">
        <f t="shared" si="99"/>
        <v>explicit C balance</v>
      </c>
      <c r="DV819">
        <v>0</v>
      </c>
      <c r="DW819" s="143">
        <v>0</v>
      </c>
      <c r="DX819" s="143">
        <v>0</v>
      </c>
      <c r="DY819" s="143">
        <v>0</v>
      </c>
      <c r="DZ819">
        <v>1</v>
      </c>
      <c r="EA819" s="266">
        <v>1</v>
      </c>
      <c r="EB819">
        <v>0</v>
      </c>
      <c r="EC819" s="143">
        <v>1</v>
      </c>
      <c r="ED819" s="143">
        <v>0</v>
      </c>
      <c r="EE819">
        <v>0</v>
      </c>
      <c r="EF819">
        <v>0</v>
      </c>
      <c r="EG819" s="143">
        <v>0</v>
      </c>
      <c r="EH819" s="143">
        <v>0</v>
      </c>
      <c r="EI819" s="2">
        <v>0</v>
      </c>
      <c r="EK819" t="str">
        <f t="shared" si="77"/>
        <v/>
      </c>
      <c r="EL819" t="str">
        <f t="shared" si="78"/>
        <v/>
      </c>
      <c r="EM819" s="2" t="str">
        <f t="shared" si="98"/>
        <v/>
      </c>
      <c r="EN819" t="s">
        <v>522</v>
      </c>
      <c r="EP819" t="b">
        <f>IF(ISNUMBER(BU819),IF(ABS(BU819-[1]QC_indicators!$B$2)&gt;3*[1]QC_indicators!$C$2,"C ratio",IF(ISNUMBER(BY819),IF(ABS(BY819-[1]QC_indicators!$B$1)&gt;3*[1]QC_indicators!$C$1,"DF","no"))),IF(ISNUMBER(BY819),IF(ABS(BY819-[1]QC_indicators!$B$1)&gt;3*[1]QC_indicators!$C$1,"DF","no")))</f>
        <v>0</v>
      </c>
      <c r="ER819" s="296" t="s">
        <v>350</v>
      </c>
      <c r="ET819" s="266" t="s">
        <v>3409</v>
      </c>
    </row>
    <row r="820" spans="1:150" ht="15" hidden="1" customHeight="1">
      <c r="A820" s="1" t="s">
        <v>506</v>
      </c>
      <c r="B820" t="s">
        <v>507</v>
      </c>
      <c r="C820" t="s">
        <v>508</v>
      </c>
      <c r="D820" t="s">
        <v>509</v>
      </c>
      <c r="E820" t="s">
        <v>510</v>
      </c>
      <c r="F820" t="s">
        <v>511</v>
      </c>
      <c r="G820" t="s">
        <v>512</v>
      </c>
      <c r="H820" t="s">
        <v>255</v>
      </c>
      <c r="I820">
        <v>2021</v>
      </c>
      <c r="J820">
        <v>7</v>
      </c>
      <c r="K820" t="s">
        <v>513</v>
      </c>
      <c r="M820" t="str">
        <f t="shared" si="102"/>
        <v>Caldas_2021</v>
      </c>
      <c r="N820" t="s">
        <v>223</v>
      </c>
      <c r="O820" s="145" t="s">
        <v>224</v>
      </c>
      <c r="P820" t="s">
        <v>514</v>
      </c>
      <c r="Q820" s="266" t="s">
        <v>257</v>
      </c>
      <c r="R820" s="271" t="s">
        <v>1156</v>
      </c>
      <c r="S820" s="1" t="s">
        <v>524</v>
      </c>
      <c r="T820" t="s">
        <v>525</v>
      </c>
      <c r="U820" t="s">
        <v>526</v>
      </c>
      <c r="V820">
        <v>0</v>
      </c>
      <c r="W820">
        <v>0</v>
      </c>
      <c r="X820">
        <v>0</v>
      </c>
      <c r="Y820">
        <v>0</v>
      </c>
      <c r="Z820">
        <v>0</v>
      </c>
      <c r="AA820">
        <v>0</v>
      </c>
      <c r="AB820">
        <v>0</v>
      </c>
      <c r="AC820">
        <v>0</v>
      </c>
      <c r="AD820">
        <v>0</v>
      </c>
      <c r="AE820">
        <v>0</v>
      </c>
      <c r="AF820">
        <v>1</v>
      </c>
      <c r="AG820">
        <v>0</v>
      </c>
      <c r="AH820">
        <v>0</v>
      </c>
      <c r="AI820">
        <v>0</v>
      </c>
      <c r="AJ820">
        <v>0</v>
      </c>
      <c r="AK820">
        <v>0</v>
      </c>
      <c r="AL820">
        <v>0</v>
      </c>
      <c r="AM820">
        <v>0</v>
      </c>
      <c r="AN820">
        <v>0</v>
      </c>
      <c r="AO820">
        <v>0</v>
      </c>
      <c r="AP820">
        <v>0</v>
      </c>
      <c r="AQ820">
        <v>0</v>
      </c>
      <c r="AR820">
        <v>0</v>
      </c>
      <c r="AS820">
        <v>0</v>
      </c>
      <c r="AT820">
        <v>0</v>
      </c>
      <c r="AU820">
        <v>0</v>
      </c>
      <c r="AV820">
        <v>0</v>
      </c>
      <c r="AW820">
        <v>0</v>
      </c>
      <c r="AX820" s="141">
        <f t="shared" si="41"/>
        <v>1</v>
      </c>
      <c r="AY820" s="141">
        <f t="shared" si="88"/>
        <v>1</v>
      </c>
      <c r="AZ820">
        <f t="shared" si="89"/>
        <v>0</v>
      </c>
      <c r="BA820">
        <f t="shared" si="90"/>
        <v>1</v>
      </c>
      <c r="BB820">
        <f t="shared" si="91"/>
        <v>0</v>
      </c>
      <c r="BC820">
        <f t="shared" si="92"/>
        <v>0</v>
      </c>
      <c r="BD820">
        <f t="shared" si="93"/>
        <v>0</v>
      </c>
      <c r="BE820" t="str" cm="1">
        <f t="array" ref="BE820">IF(AY820=1,INDEX($V$7:$AL$7,MATCH(TRUE,INDEX($V820:$AW820&lt;&gt;0,),0)),IF(AY820=0,INDEX($AM$7:$AW$7,MATCH(1,$AM820:$AW820,0)),IF(BF820="Multiple strategies","mixed drivers",IF(BF820="Supply chain","multiple supply","multiple silviculture"))))</f>
        <v>supply chain organization</v>
      </c>
      <c r="BF820" s="2" t="str" cm="1">
        <f t="array" ref="BF820">IF(COUNTIF(AZ820:BB820,"&lt;&gt;0")=1,INDEX($V$4:$AW$4,MATCH(TRUE,INDEX($V820:$AW820&lt;&gt;0,),0)),IF(COUNTIF(AZ820:BB820,"&lt;&gt;0")=0,INDEX($AM$4:$AW$4,MATCH(1,$AM820:$AW820,0)),"Multiple strategies"))</f>
        <v>Supply chain</v>
      </c>
      <c r="BG820" s="1" t="s">
        <v>230</v>
      </c>
      <c r="BH820" t="s">
        <v>518</v>
      </c>
      <c r="BJ820" t="s">
        <v>519</v>
      </c>
      <c r="BK820">
        <v>140</v>
      </c>
      <c r="BL820">
        <v>140</v>
      </c>
      <c r="BN820">
        <f t="shared" si="66"/>
        <v>0</v>
      </c>
      <c r="BO820">
        <f>BN820*kg_to_m3</f>
        <v>0</v>
      </c>
      <c r="BP820" s="266" t="s">
        <v>233</v>
      </c>
      <c r="BQ820" s="266"/>
      <c r="BR820" t="s">
        <v>520</v>
      </c>
      <c r="BS820">
        <v>-503</v>
      </c>
      <c r="BT820">
        <v>-372</v>
      </c>
      <c r="BU820" s="144">
        <v>0.73956262425447317</v>
      </c>
      <c r="BV820">
        <v>131</v>
      </c>
      <c r="BX820">
        <f t="shared" si="107"/>
        <v>0.13100000000000001</v>
      </c>
      <c r="BY820" t="str">
        <f t="shared" si="94"/>
        <v/>
      </c>
      <c r="BZ820" s="143">
        <v>0</v>
      </c>
      <c r="CA820" s="143">
        <v>0</v>
      </c>
      <c r="CB820" s="143">
        <v>0</v>
      </c>
      <c r="CC820" s="143">
        <v>0</v>
      </c>
      <c r="CD820" s="143">
        <v>0</v>
      </c>
      <c r="CE820" s="143">
        <v>0</v>
      </c>
      <c r="CF820" s="143">
        <v>0</v>
      </c>
      <c r="CG820" s="143">
        <v>0</v>
      </c>
      <c r="CH820" s="143">
        <v>0</v>
      </c>
      <c r="CI820" s="143">
        <v>0</v>
      </c>
      <c r="CJ820" s="143">
        <v>0</v>
      </c>
      <c r="CK820" s="143">
        <v>0</v>
      </c>
      <c r="CL820" s="143">
        <v>0</v>
      </c>
      <c r="CM820">
        <v>0</v>
      </c>
      <c r="CN820" t="str">
        <f t="shared" si="108"/>
        <v>refOK</v>
      </c>
      <c r="CO820">
        <f t="shared" si="109"/>
        <v>140</v>
      </c>
      <c r="CP820">
        <f t="shared" si="110"/>
        <v>140</v>
      </c>
      <c r="CQ820">
        <f t="shared" si="51"/>
        <v>0</v>
      </c>
      <c r="CR820">
        <f t="shared" si="111"/>
        <v>-503</v>
      </c>
      <c r="CS820">
        <f t="shared" si="112"/>
        <v>-372</v>
      </c>
      <c r="CT820">
        <f t="shared" si="106"/>
        <v>0.13100000000000001</v>
      </c>
      <c r="CU820" t="str">
        <f t="shared" si="105"/>
        <v/>
      </c>
      <c r="CV820" s="2">
        <f t="shared" si="95"/>
        <v>0.26043737574552683</v>
      </c>
      <c r="CW820" s="1" t="s">
        <v>264</v>
      </c>
      <c r="CX820" s="266" t="str">
        <f t="shared" si="96"/>
        <v>loc</v>
      </c>
      <c r="CY820" t="s">
        <v>521</v>
      </c>
      <c r="CZ820">
        <v>2014</v>
      </c>
      <c r="DA820">
        <v>2014</v>
      </c>
      <c r="DB820">
        <f>DA820-CZ820</f>
        <v>0</v>
      </c>
      <c r="DC820" t="str">
        <f t="shared" si="97"/>
        <v>0</v>
      </c>
      <c r="DD820">
        <v>0</v>
      </c>
      <c r="DE820">
        <v>0</v>
      </c>
      <c r="DF820">
        <v>0</v>
      </c>
      <c r="DG820">
        <v>1</v>
      </c>
      <c r="DI820">
        <f t="shared" si="113"/>
        <v>1</v>
      </c>
      <c r="DJ820" t="str">
        <f t="shared" si="103"/>
        <v>TimberInput</v>
      </c>
      <c r="DK820">
        <f t="shared" si="73"/>
        <v>0</v>
      </c>
      <c r="DL820">
        <f t="shared" si="74"/>
        <v>0</v>
      </c>
      <c r="DM820">
        <f t="shared" si="75"/>
        <v>0</v>
      </c>
      <c r="DN820" t="str">
        <f t="shared" si="76"/>
        <v>Timber</v>
      </c>
      <c r="DO820">
        <v>0</v>
      </c>
      <c r="DP820" s="143">
        <v>0</v>
      </c>
      <c r="DQ820" s="143">
        <v>0</v>
      </c>
      <c r="DR820" s="143">
        <v>0</v>
      </c>
      <c r="DS820">
        <v>0</v>
      </c>
      <c r="DT820">
        <f t="shared" si="114"/>
        <v>0</v>
      </c>
      <c r="DU820" s="143" t="str">
        <f t="shared" si="99"/>
        <v>explicit C balance</v>
      </c>
      <c r="DV820">
        <v>0</v>
      </c>
      <c r="DW820" s="143">
        <v>0</v>
      </c>
      <c r="DX820" s="143">
        <v>0</v>
      </c>
      <c r="DY820" s="143">
        <v>0</v>
      </c>
      <c r="DZ820">
        <v>1</v>
      </c>
      <c r="EA820" s="143">
        <v>1</v>
      </c>
      <c r="EB820">
        <v>0</v>
      </c>
      <c r="EC820" s="143">
        <v>1</v>
      </c>
      <c r="ED820" s="143">
        <v>0</v>
      </c>
      <c r="EE820">
        <v>0</v>
      </c>
      <c r="EF820">
        <v>0</v>
      </c>
      <c r="EG820" s="143">
        <v>0</v>
      </c>
      <c r="EH820" s="143">
        <v>0</v>
      </c>
      <c r="EI820" s="2">
        <v>0</v>
      </c>
      <c r="EK820" t="str">
        <f t="shared" si="77"/>
        <v/>
      </c>
      <c r="EL820" t="str">
        <f t="shared" si="78"/>
        <v/>
      </c>
      <c r="EM820" s="2" t="str">
        <f t="shared" si="98"/>
        <v/>
      </c>
      <c r="EN820" t="s">
        <v>522</v>
      </c>
      <c r="EP820" t="b">
        <f>IF(ISNUMBER(BU820),IF(ABS(BU820-[1]QC_indicators!$B$2)&gt;3*[1]QC_indicators!$C$2,"C ratio",IF(ISNUMBER(BY820),IF(ABS(BY820-[1]QC_indicators!$B$1)&gt;3*[1]QC_indicators!$C$1,"DF","no"))),IF(ISNUMBER(BY820),IF(ABS(BY820-[1]QC_indicators!$B$1)&gt;3*[1]QC_indicators!$C$1,"DF","no")))</f>
        <v>0</v>
      </c>
      <c r="ER820" s="296" t="s">
        <v>350</v>
      </c>
      <c r="ET820" s="266" t="s">
        <v>3409</v>
      </c>
    </row>
    <row r="821" spans="1:150" ht="15" hidden="1" customHeight="1">
      <c r="A821" s="1" t="s">
        <v>334</v>
      </c>
      <c r="B821" t="s">
        <v>1083</v>
      </c>
      <c r="C821" t="s">
        <v>1084</v>
      </c>
      <c r="D821" t="s">
        <v>1085</v>
      </c>
      <c r="E821" t="s">
        <v>1086</v>
      </c>
      <c r="F821" t="s">
        <v>1087</v>
      </c>
      <c r="G821" t="s">
        <v>340</v>
      </c>
      <c r="H821" t="s">
        <v>255</v>
      </c>
      <c r="I821">
        <v>2022</v>
      </c>
      <c r="J821">
        <v>3</v>
      </c>
      <c r="K821" t="s">
        <v>1088</v>
      </c>
      <c r="M821" t="str">
        <f t="shared" si="102"/>
        <v>Robati_2022</v>
      </c>
      <c r="N821" t="s">
        <v>223</v>
      </c>
      <c r="O821" s="266" t="s">
        <v>224</v>
      </c>
      <c r="Q821" s="266" t="s">
        <v>390</v>
      </c>
      <c r="R821" s="271" t="s">
        <v>1156</v>
      </c>
      <c r="S821" s="265" t="s">
        <v>1089</v>
      </c>
      <c r="T821" s="266" t="s">
        <v>1090</v>
      </c>
      <c r="U821" s="266" t="s">
        <v>1091</v>
      </c>
      <c r="V821">
        <v>0</v>
      </c>
      <c r="W821">
        <v>0</v>
      </c>
      <c r="X821">
        <v>0</v>
      </c>
      <c r="Y821">
        <v>0</v>
      </c>
      <c r="Z821">
        <v>0</v>
      </c>
      <c r="AA821">
        <v>0</v>
      </c>
      <c r="AB821">
        <v>0</v>
      </c>
      <c r="AC821">
        <v>0</v>
      </c>
      <c r="AD821">
        <v>0</v>
      </c>
      <c r="AE821">
        <v>0</v>
      </c>
      <c r="AF821">
        <v>0</v>
      </c>
      <c r="AG821">
        <v>0</v>
      </c>
      <c r="AH821">
        <v>1</v>
      </c>
      <c r="AI821">
        <v>0</v>
      </c>
      <c r="AJ821">
        <v>0</v>
      </c>
      <c r="AK821">
        <v>0</v>
      </c>
      <c r="AL821">
        <v>0</v>
      </c>
      <c r="AM821">
        <v>0</v>
      </c>
      <c r="AN821">
        <v>0</v>
      </c>
      <c r="AO821">
        <v>0</v>
      </c>
      <c r="AP821">
        <v>0</v>
      </c>
      <c r="AQ821">
        <v>0</v>
      </c>
      <c r="AR821">
        <v>0</v>
      </c>
      <c r="AS821">
        <v>0</v>
      </c>
      <c r="AT821">
        <v>0</v>
      </c>
      <c r="AU821">
        <v>0</v>
      </c>
      <c r="AV821">
        <v>0</v>
      </c>
      <c r="AW821">
        <v>0</v>
      </c>
      <c r="AX821" s="141">
        <f t="shared" si="41"/>
        <v>1</v>
      </c>
      <c r="AY821" s="141">
        <f t="shared" si="88"/>
        <v>1</v>
      </c>
      <c r="AZ821">
        <f t="shared" si="89"/>
        <v>0</v>
      </c>
      <c r="BA821">
        <f t="shared" si="90"/>
        <v>1</v>
      </c>
      <c r="BB821">
        <f t="shared" si="91"/>
        <v>0</v>
      </c>
      <c r="BC821">
        <f t="shared" si="92"/>
        <v>0</v>
      </c>
      <c r="BD821">
        <f t="shared" si="93"/>
        <v>0</v>
      </c>
      <c r="BE821" t="str" cm="1">
        <f t="array" ref="BE821">IF(AY821=1,INDEX($V$7:$AL$7,MATCH(TRUE,INDEX($V821:$AW821&lt;&gt;0,),0)),IF(AY821=0,INDEX($AM$7:$AW$7,MATCH(1,$AM821:$AW821,0)),IF(BF821="Multiple strategies","mixed drivers",IF(BF821="Supply chain","multiple supply","multiple silviculture"))))</f>
        <v xml:space="preserve">end of life disposal </v>
      </c>
      <c r="BF821" s="2" t="str" cm="1">
        <f t="array" ref="BF821">IF(COUNTIF(AZ821:BB821,"&lt;&gt;0")=1,INDEX($V$4:$AW$4,MATCH(TRUE,INDEX($V821:$AW821&lt;&gt;0,),0)),IF(COUNTIF(AZ821:BB821,"&lt;&gt;0")=0,INDEX($AM$4:$AW$4,MATCH(1,$AM821:$AW821,0)),"Multiple strategies"))</f>
        <v>Supply chain</v>
      </c>
      <c r="BG821" s="1" t="s">
        <v>230</v>
      </c>
      <c r="BH821" s="266" t="s">
        <v>1092</v>
      </c>
      <c r="BI821" s="266" t="s">
        <v>718</v>
      </c>
      <c r="BJ821" s="266" t="s">
        <v>1093</v>
      </c>
      <c r="BK821">
        <f t="shared" ref="BK821:BL823" si="115">(6.17+4901.94+10375.04+8069.52+1195.9)/43229</f>
        <v>0.56787272432857583</v>
      </c>
      <c r="BL821">
        <f t="shared" si="115"/>
        <v>0.56787272432857583</v>
      </c>
      <c r="BN821">
        <f t="shared" si="66"/>
        <v>0</v>
      </c>
      <c r="BO821">
        <f>BL821-BK821</f>
        <v>0</v>
      </c>
      <c r="BP821" s="266" t="s">
        <v>396</v>
      </c>
      <c r="BQ821" s="266" t="s">
        <v>430</v>
      </c>
      <c r="BR821" s="266" t="s">
        <v>1094</v>
      </c>
      <c r="BT821" s="301">
        <f>417.21+86.188</f>
        <v>503.39799999999997</v>
      </c>
      <c r="BU821" s="144">
        <f>41.21-86.88</f>
        <v>-45.669999999999995</v>
      </c>
      <c r="BV821">
        <f>BT821-BS821</f>
        <v>503.39799999999997</v>
      </c>
      <c r="BX821">
        <f t="shared" si="107"/>
        <v>0.50339800000000001</v>
      </c>
      <c r="BY821" t="str">
        <f t="shared" si="94"/>
        <v/>
      </c>
      <c r="BZ821">
        <v>0</v>
      </c>
      <c r="CA821">
        <v>0</v>
      </c>
      <c r="CB821">
        <v>0</v>
      </c>
      <c r="CC821">
        <v>0</v>
      </c>
      <c r="CD821">
        <v>0</v>
      </c>
      <c r="CE821">
        <v>0</v>
      </c>
      <c r="CF821">
        <v>0</v>
      </c>
      <c r="CG821">
        <v>0</v>
      </c>
      <c r="CH821">
        <v>0</v>
      </c>
      <c r="CI821">
        <v>0</v>
      </c>
      <c r="CJ821">
        <v>0</v>
      </c>
      <c r="CK821">
        <v>0</v>
      </c>
      <c r="CL821">
        <v>0</v>
      </c>
      <c r="CM821">
        <v>0</v>
      </c>
      <c r="CN821" t="str">
        <f t="shared" si="108"/>
        <v>refOK</v>
      </c>
      <c r="CO821">
        <f t="shared" si="109"/>
        <v>0.56787272432857583</v>
      </c>
      <c r="CP821">
        <f t="shared" si="110"/>
        <v>0.56787272432857583</v>
      </c>
      <c r="CQ821">
        <f t="shared" si="51"/>
        <v>0</v>
      </c>
      <c r="CR821">
        <f t="shared" si="111"/>
        <v>0</v>
      </c>
      <c r="CS821">
        <f t="shared" si="112"/>
        <v>-503.39799999999997</v>
      </c>
      <c r="CT821">
        <f t="shared" si="106"/>
        <v>-0.50339800000000001</v>
      </c>
      <c r="CU821" t="str">
        <f t="shared" si="105"/>
        <v/>
      </c>
      <c r="CV821" s="2" t="str">
        <f t="shared" si="95"/>
        <v/>
      </c>
      <c r="CW821" s="265" t="s">
        <v>264</v>
      </c>
      <c r="CX821" s="266" t="str">
        <f t="shared" si="96"/>
        <v>loc</v>
      </c>
      <c r="CY821" s="266" t="s">
        <v>575</v>
      </c>
      <c r="DB821">
        <v>0</v>
      </c>
      <c r="DC821" t="str">
        <f t="shared" si="97"/>
        <v>0</v>
      </c>
      <c r="DD821">
        <v>0</v>
      </c>
      <c r="DE821">
        <v>0</v>
      </c>
      <c r="DF821">
        <v>0</v>
      </c>
      <c r="DG821">
        <v>1</v>
      </c>
      <c r="DH821">
        <v>0</v>
      </c>
      <c r="DI821">
        <f t="shared" si="113"/>
        <v>1</v>
      </c>
      <c r="DJ821" t="str">
        <f t="shared" si="103"/>
        <v>TimberInput</v>
      </c>
      <c r="DK821">
        <f t="shared" si="73"/>
        <v>0</v>
      </c>
      <c r="DL821">
        <f t="shared" si="74"/>
        <v>0</v>
      </c>
      <c r="DM821">
        <f t="shared" si="75"/>
        <v>0</v>
      </c>
      <c r="DN821" t="str">
        <f t="shared" si="76"/>
        <v>Timber</v>
      </c>
      <c r="DO821">
        <v>0</v>
      </c>
      <c r="DP821">
        <v>0</v>
      </c>
      <c r="DQ821">
        <v>0</v>
      </c>
      <c r="DR821">
        <v>0</v>
      </c>
      <c r="DS821">
        <v>0</v>
      </c>
      <c r="DT821">
        <f t="shared" si="114"/>
        <v>0</v>
      </c>
      <c r="DU821" s="143" t="str">
        <f t="shared" si="99"/>
        <v>explicit C balance</v>
      </c>
      <c r="DV821">
        <v>0</v>
      </c>
      <c r="DW821">
        <v>1</v>
      </c>
      <c r="DX821">
        <v>0</v>
      </c>
      <c r="DY821">
        <v>1</v>
      </c>
      <c r="DZ821">
        <v>1</v>
      </c>
      <c r="EA821">
        <v>0</v>
      </c>
      <c r="EB821">
        <v>1</v>
      </c>
      <c r="EC821">
        <v>1</v>
      </c>
      <c r="ED821">
        <v>1</v>
      </c>
      <c r="EE821">
        <v>1</v>
      </c>
      <c r="EF821">
        <v>0</v>
      </c>
      <c r="EG821">
        <v>0</v>
      </c>
      <c r="EH821">
        <v>0</v>
      </c>
      <c r="EI821" s="2">
        <v>0</v>
      </c>
      <c r="EK821" t="str">
        <f t="shared" si="77"/>
        <v/>
      </c>
      <c r="EL821" t="str">
        <f t="shared" si="78"/>
        <v/>
      </c>
      <c r="EM821" s="2" t="str">
        <f t="shared" si="98"/>
        <v/>
      </c>
      <c r="EP821" t="b">
        <f>IF(ISNUMBER(BU821),IF(ABS(BU821-[1]QC_indicators!$B$2)&gt;3*[1]QC_indicators!$C$2,"C ratio",IF(ISNUMBER(BY821),IF(ABS(BY821-[1]QC_indicators!$B$1)&gt;3*[1]QC_indicators!$C$1,"DF","no"))),IF(ISNUMBER(BY821),IF(ABS(BY821-[1]QC_indicators!$B$1)&gt;3*[1]QC_indicators!$C$1,"DF","no")))</f>
        <v>0</v>
      </c>
      <c r="ET821" s="266" t="s">
        <v>3409</v>
      </c>
    </row>
    <row r="822" spans="1:150" ht="15" hidden="1" customHeight="1">
      <c r="A822" s="1" t="s">
        <v>334</v>
      </c>
      <c r="B822" t="s">
        <v>1083</v>
      </c>
      <c r="C822" t="s">
        <v>1084</v>
      </c>
      <c r="D822" t="s">
        <v>1085</v>
      </c>
      <c r="E822" t="s">
        <v>1086</v>
      </c>
      <c r="F822" t="s">
        <v>1087</v>
      </c>
      <c r="G822" t="s">
        <v>340</v>
      </c>
      <c r="H822" t="s">
        <v>255</v>
      </c>
      <c r="I822">
        <v>2022</v>
      </c>
      <c r="J822">
        <v>3</v>
      </c>
      <c r="K822" t="s">
        <v>1088</v>
      </c>
      <c r="M822" t="str">
        <f t="shared" si="102"/>
        <v>Robati_2022</v>
      </c>
      <c r="N822" t="s">
        <v>223</v>
      </c>
      <c r="O822" s="266" t="s">
        <v>224</v>
      </c>
      <c r="Q822" s="266" t="s">
        <v>390</v>
      </c>
      <c r="R822" s="271" t="s">
        <v>1156</v>
      </c>
      <c r="S822" s="265" t="s">
        <v>1095</v>
      </c>
      <c r="T822" s="266" t="s">
        <v>1090</v>
      </c>
      <c r="U822" s="266" t="s">
        <v>1091</v>
      </c>
      <c r="V822">
        <v>0</v>
      </c>
      <c r="W822">
        <v>0</v>
      </c>
      <c r="X822">
        <v>0</v>
      </c>
      <c r="Y822">
        <v>0</v>
      </c>
      <c r="Z822">
        <v>0</v>
      </c>
      <c r="AA822">
        <v>0</v>
      </c>
      <c r="AB822">
        <v>0</v>
      </c>
      <c r="AC822">
        <v>0</v>
      </c>
      <c r="AD822">
        <v>1</v>
      </c>
      <c r="AE822">
        <v>0</v>
      </c>
      <c r="AF822">
        <v>0</v>
      </c>
      <c r="AG822">
        <v>0</v>
      </c>
      <c r="AH822">
        <v>0</v>
      </c>
      <c r="AI822">
        <v>0</v>
      </c>
      <c r="AJ822">
        <v>0</v>
      </c>
      <c r="AK822">
        <v>0</v>
      </c>
      <c r="AL822">
        <v>0</v>
      </c>
      <c r="AM822">
        <v>0</v>
      </c>
      <c r="AN822">
        <v>0</v>
      </c>
      <c r="AO822">
        <v>0</v>
      </c>
      <c r="AP822">
        <v>0</v>
      </c>
      <c r="AQ822">
        <v>0</v>
      </c>
      <c r="AR822">
        <v>0</v>
      </c>
      <c r="AS822">
        <v>0</v>
      </c>
      <c r="AT822">
        <v>0</v>
      </c>
      <c r="AU822">
        <v>0</v>
      </c>
      <c r="AV822">
        <v>0</v>
      </c>
      <c r="AW822">
        <v>0</v>
      </c>
      <c r="AX822" s="141">
        <f t="shared" si="41"/>
        <v>1</v>
      </c>
      <c r="AY822" s="141">
        <f t="shared" si="88"/>
        <v>1</v>
      </c>
      <c r="AZ822">
        <f t="shared" si="89"/>
        <v>0</v>
      </c>
      <c r="BA822">
        <f t="shared" si="90"/>
        <v>1</v>
      </c>
      <c r="BB822">
        <f t="shared" si="91"/>
        <v>0</v>
      </c>
      <c r="BC822">
        <f t="shared" si="92"/>
        <v>0</v>
      </c>
      <c r="BD822">
        <f t="shared" si="93"/>
        <v>0</v>
      </c>
      <c r="BE822" t="str" cm="1">
        <f t="array" ref="BE822">IF(AY822=1,INDEX($V$7:$AL$7,MATCH(TRUE,INDEX($V822:$AW822&lt;&gt;0,),0)),IF(AY822=0,INDEX($AM$7:$AW$7,MATCH(1,$AM822:$AW822,0)),IF(BF822="Multiple strategies","mixed drivers",IF(BF822="Supply chain","multiple supply","multiple silviculture"))))</f>
        <v>harvesting system</v>
      </c>
      <c r="BF822" s="2" t="str" cm="1">
        <f t="array" ref="BF822">IF(COUNTIF(AZ822:BB822,"&lt;&gt;0")=1,INDEX($V$4:$AW$4,MATCH(TRUE,INDEX($V822:$AW822&lt;&gt;0,),0)),IF(COUNTIF(AZ822:BB822,"&lt;&gt;0")=0,INDEX($AM$4:$AW$4,MATCH(1,$AM822:$AW822,0)),"Multiple strategies"))</f>
        <v>Supply chain</v>
      </c>
      <c r="BG822" s="1" t="s">
        <v>230</v>
      </c>
      <c r="BH822" s="266" t="s">
        <v>1092</v>
      </c>
      <c r="BI822" s="266" t="s">
        <v>718</v>
      </c>
      <c r="BJ822" s="266" t="s">
        <v>1093</v>
      </c>
      <c r="BK822">
        <f t="shared" si="115"/>
        <v>0.56787272432857583</v>
      </c>
      <c r="BL822">
        <f t="shared" si="115"/>
        <v>0.56787272432857583</v>
      </c>
      <c r="BN822">
        <f t="shared" si="66"/>
        <v>0</v>
      </c>
      <c r="BO822">
        <f>BL822-BK822</f>
        <v>0</v>
      </c>
      <c r="BP822" s="266" t="s">
        <v>396</v>
      </c>
      <c r="BQ822" s="266" t="s">
        <v>430</v>
      </c>
      <c r="BR822" s="266" t="s">
        <v>1094</v>
      </c>
      <c r="BS822">
        <f>417.21+64.7</f>
        <v>481.90999999999997</v>
      </c>
      <c r="BT822" s="301">
        <f>417.21-64.7</f>
        <v>352.51</v>
      </c>
      <c r="BU822" s="144">
        <f>IFERROR(BT822/BS822,"")</f>
        <v>0.73148513207860388</v>
      </c>
      <c r="BV822">
        <f>BT822-BS822</f>
        <v>-129.39999999999998</v>
      </c>
      <c r="BX822">
        <f t="shared" si="107"/>
        <v>-0.12939999999999999</v>
      </c>
      <c r="BY822" t="str">
        <f t="shared" si="94"/>
        <v/>
      </c>
      <c r="BZ822">
        <v>0</v>
      </c>
      <c r="CA822">
        <v>0</v>
      </c>
      <c r="CB822">
        <v>0</v>
      </c>
      <c r="CC822">
        <v>0</v>
      </c>
      <c r="CD822">
        <v>0</v>
      </c>
      <c r="CE822">
        <v>0</v>
      </c>
      <c r="CF822">
        <v>0</v>
      </c>
      <c r="CG822">
        <v>0</v>
      </c>
      <c r="CH822">
        <v>0</v>
      </c>
      <c r="CI822">
        <v>0</v>
      </c>
      <c r="CJ822">
        <v>0</v>
      </c>
      <c r="CK822">
        <v>0</v>
      </c>
      <c r="CL822">
        <v>0</v>
      </c>
      <c r="CM822">
        <v>0</v>
      </c>
      <c r="CN822" t="str">
        <f t="shared" si="108"/>
        <v>refOK</v>
      </c>
      <c r="CO822">
        <f t="shared" si="109"/>
        <v>0.56787272432857583</v>
      </c>
      <c r="CP822">
        <f t="shared" si="110"/>
        <v>0.56787272432857583</v>
      </c>
      <c r="CQ822">
        <f t="shared" si="51"/>
        <v>0</v>
      </c>
      <c r="CR822">
        <f t="shared" si="111"/>
        <v>-481.90999999999997</v>
      </c>
      <c r="CS822">
        <f t="shared" si="112"/>
        <v>-352.51</v>
      </c>
      <c r="CT822">
        <f t="shared" si="106"/>
        <v>0.12939999999999999</v>
      </c>
      <c r="CU822" t="str">
        <f t="shared" si="105"/>
        <v/>
      </c>
      <c r="CV822" s="2">
        <f t="shared" si="95"/>
        <v>0.26851486792139606</v>
      </c>
      <c r="CW822" s="265" t="s">
        <v>264</v>
      </c>
      <c r="CX822" s="266" t="str">
        <f t="shared" si="96"/>
        <v>loc</v>
      </c>
      <c r="CY822" s="266" t="s">
        <v>575</v>
      </c>
      <c r="DB822">
        <v>0</v>
      </c>
      <c r="DC822" t="str">
        <f t="shared" si="97"/>
        <v>0</v>
      </c>
      <c r="DD822">
        <v>0</v>
      </c>
      <c r="DE822">
        <v>0</v>
      </c>
      <c r="DF822">
        <v>0</v>
      </c>
      <c r="DG822">
        <v>1</v>
      </c>
      <c r="DH822">
        <v>0</v>
      </c>
      <c r="DI822">
        <f t="shared" si="113"/>
        <v>1</v>
      </c>
      <c r="DJ822" t="str">
        <f t="shared" si="103"/>
        <v>TimberInput</v>
      </c>
      <c r="DK822">
        <f t="shared" si="73"/>
        <v>0</v>
      </c>
      <c r="DL822">
        <f t="shared" si="74"/>
        <v>0</v>
      </c>
      <c r="DM822">
        <f t="shared" si="75"/>
        <v>0</v>
      </c>
      <c r="DN822" t="str">
        <f t="shared" si="76"/>
        <v>Timber</v>
      </c>
      <c r="DO822">
        <v>0</v>
      </c>
      <c r="DP822">
        <v>0</v>
      </c>
      <c r="DQ822">
        <v>0</v>
      </c>
      <c r="DR822">
        <v>0</v>
      </c>
      <c r="DS822">
        <v>0</v>
      </c>
      <c r="DT822">
        <f t="shared" si="114"/>
        <v>0</v>
      </c>
      <c r="DU822" s="143" t="str">
        <f t="shared" si="99"/>
        <v>explicit C balance</v>
      </c>
      <c r="DV822">
        <v>0</v>
      </c>
      <c r="DW822">
        <v>1</v>
      </c>
      <c r="DX822">
        <v>0</v>
      </c>
      <c r="DY822">
        <v>1</v>
      </c>
      <c r="DZ822">
        <v>1</v>
      </c>
      <c r="EA822">
        <v>0</v>
      </c>
      <c r="EB822">
        <v>1</v>
      </c>
      <c r="EC822">
        <v>1</v>
      </c>
      <c r="ED822">
        <v>1</v>
      </c>
      <c r="EE822">
        <v>1</v>
      </c>
      <c r="EF822">
        <v>0</v>
      </c>
      <c r="EG822">
        <v>0</v>
      </c>
      <c r="EH822">
        <v>0</v>
      </c>
      <c r="EI822" s="2">
        <v>0</v>
      </c>
      <c r="EK822" t="str">
        <f t="shared" si="77"/>
        <v/>
      </c>
      <c r="EL822" t="str">
        <f t="shared" si="78"/>
        <v/>
      </c>
      <c r="EM822" s="2" t="str">
        <f t="shared" si="98"/>
        <v/>
      </c>
      <c r="EP822" t="b">
        <f>IF(ISNUMBER(BU822),IF(ABS(BU822-[1]QC_indicators!$B$2)&gt;3*[1]QC_indicators!$C$2,"C ratio",IF(ISNUMBER(BY822),IF(ABS(BY822-[1]QC_indicators!$B$1)&gt;3*[1]QC_indicators!$C$1,"DF","no"))),IF(ISNUMBER(BY822),IF(ABS(BY822-[1]QC_indicators!$B$1)&gt;3*[1]QC_indicators!$C$1,"DF","no")))</f>
        <v>0</v>
      </c>
      <c r="ET822" s="266" t="s">
        <v>3409</v>
      </c>
    </row>
    <row r="823" spans="1:150" ht="15" hidden="1" customHeight="1">
      <c r="A823" s="1" t="s">
        <v>334</v>
      </c>
      <c r="B823" t="s">
        <v>1083</v>
      </c>
      <c r="C823" t="s">
        <v>1084</v>
      </c>
      <c r="D823" t="s">
        <v>1085</v>
      </c>
      <c r="E823" t="s">
        <v>1086</v>
      </c>
      <c r="F823" t="s">
        <v>1087</v>
      </c>
      <c r="G823" t="s">
        <v>340</v>
      </c>
      <c r="H823" t="s">
        <v>255</v>
      </c>
      <c r="I823">
        <v>2022</v>
      </c>
      <c r="J823">
        <v>3</v>
      </c>
      <c r="K823" t="s">
        <v>1088</v>
      </c>
      <c r="M823" t="str">
        <f t="shared" si="102"/>
        <v>Robati_2022</v>
      </c>
      <c r="N823" t="s">
        <v>223</v>
      </c>
      <c r="O823" s="266" t="s">
        <v>224</v>
      </c>
      <c r="Q823" s="266" t="s">
        <v>390</v>
      </c>
      <c r="R823" s="271" t="s">
        <v>1156</v>
      </c>
      <c r="S823" s="265" t="s">
        <v>1096</v>
      </c>
      <c r="T823" s="266" t="s">
        <v>1090</v>
      </c>
      <c r="U823" s="266" t="s">
        <v>1091</v>
      </c>
      <c r="V823">
        <v>0</v>
      </c>
      <c r="W823">
        <v>0</v>
      </c>
      <c r="X823">
        <v>0</v>
      </c>
      <c r="Y823">
        <v>0</v>
      </c>
      <c r="Z823">
        <v>0</v>
      </c>
      <c r="AA823">
        <v>0</v>
      </c>
      <c r="AB823">
        <v>0</v>
      </c>
      <c r="AC823">
        <v>0</v>
      </c>
      <c r="AD823">
        <v>0</v>
      </c>
      <c r="AE823">
        <v>0</v>
      </c>
      <c r="AF823">
        <v>0</v>
      </c>
      <c r="AG823">
        <v>0</v>
      </c>
      <c r="AH823">
        <v>0</v>
      </c>
      <c r="AI823">
        <v>1</v>
      </c>
      <c r="AJ823">
        <v>0</v>
      </c>
      <c r="AK823">
        <v>0</v>
      </c>
      <c r="AL823">
        <v>0</v>
      </c>
      <c r="AM823">
        <v>0</v>
      </c>
      <c r="AN823">
        <v>0</v>
      </c>
      <c r="AO823">
        <v>0</v>
      </c>
      <c r="AP823">
        <v>0</v>
      </c>
      <c r="AQ823">
        <v>0</v>
      </c>
      <c r="AR823">
        <v>0</v>
      </c>
      <c r="AS823">
        <v>0</v>
      </c>
      <c r="AT823">
        <v>0</v>
      </c>
      <c r="AU823">
        <v>0</v>
      </c>
      <c r="AV823">
        <v>0</v>
      </c>
      <c r="AW823">
        <v>0</v>
      </c>
      <c r="AX823" s="141">
        <f t="shared" si="41"/>
        <v>1</v>
      </c>
      <c r="AY823" s="141">
        <f t="shared" si="88"/>
        <v>1</v>
      </c>
      <c r="AZ823">
        <f t="shared" si="89"/>
        <v>0</v>
      </c>
      <c r="BA823">
        <f t="shared" si="90"/>
        <v>1</v>
      </c>
      <c r="BB823">
        <f t="shared" si="91"/>
        <v>0</v>
      </c>
      <c r="BC823">
        <f t="shared" si="92"/>
        <v>0</v>
      </c>
      <c r="BD823">
        <f t="shared" si="93"/>
        <v>0</v>
      </c>
      <c r="BE823" t="str" cm="1">
        <f t="array" ref="BE823">IF(AY823=1,INDEX($V$7:$AL$7,MATCH(TRUE,INDEX($V823:$AW823&lt;&gt;0,),0)),IF(AY823=0,INDEX($AM$7:$AW$7,MATCH(1,$AM823:$AW823,0)),IF(BF823="Multiple strategies","mixed drivers",IF(BF823="Supply chain","multiple supply","multiple silviculture"))))</f>
        <v>products lifespan</v>
      </c>
      <c r="BF823" s="2" t="str" cm="1">
        <f t="array" ref="BF823">IF(COUNTIF(AZ823:BB823,"&lt;&gt;0")=1,INDEX($V$4:$AW$4,MATCH(TRUE,INDEX($V823:$AW823&lt;&gt;0,),0)),IF(COUNTIF(AZ823:BB823,"&lt;&gt;0")=0,INDEX($AM$4:$AW$4,MATCH(1,$AM823:$AW823,0)),"Multiple strategies"))</f>
        <v>Supply chain</v>
      </c>
      <c r="BG823" s="1" t="s">
        <v>230</v>
      </c>
      <c r="BH823" s="266" t="s">
        <v>1092</v>
      </c>
      <c r="BI823" s="266" t="s">
        <v>718</v>
      </c>
      <c r="BJ823" s="266" t="s">
        <v>1093</v>
      </c>
      <c r="BK823">
        <f t="shared" si="115"/>
        <v>0.56787272432857583</v>
      </c>
      <c r="BL823">
        <f t="shared" si="115"/>
        <v>0.56787272432857583</v>
      </c>
      <c r="BN823">
        <f t="shared" si="66"/>
        <v>0</v>
      </c>
      <c r="BO823">
        <f>BL823-BK823</f>
        <v>0</v>
      </c>
      <c r="BP823" s="266" t="s">
        <v>396</v>
      </c>
      <c r="BQ823" s="266" t="s">
        <v>430</v>
      </c>
      <c r="BR823" s="266" t="s">
        <v>1094</v>
      </c>
      <c r="BS823">
        <f>417.21+49.8</f>
        <v>467.01</v>
      </c>
      <c r="BT823" s="301">
        <f>417.21-49.8</f>
        <v>367.40999999999997</v>
      </c>
      <c r="BU823" s="144">
        <f>IFERROR(BT823/BS823,"")</f>
        <v>0.78672833558167909</v>
      </c>
      <c r="BV823">
        <f>BT823-BS823</f>
        <v>-99.600000000000023</v>
      </c>
      <c r="BX823">
        <f t="shared" si="107"/>
        <v>-9.9600000000000022E-2</v>
      </c>
      <c r="BY823" t="str">
        <f t="shared" si="94"/>
        <v/>
      </c>
      <c r="BZ823">
        <v>0</v>
      </c>
      <c r="CA823">
        <v>0</v>
      </c>
      <c r="CB823">
        <v>0</v>
      </c>
      <c r="CC823">
        <v>0</v>
      </c>
      <c r="CD823">
        <v>0</v>
      </c>
      <c r="CE823">
        <v>0</v>
      </c>
      <c r="CF823">
        <v>0</v>
      </c>
      <c r="CG823">
        <v>0</v>
      </c>
      <c r="CH823">
        <v>0</v>
      </c>
      <c r="CI823">
        <v>0</v>
      </c>
      <c r="CJ823">
        <v>0</v>
      </c>
      <c r="CK823">
        <v>0</v>
      </c>
      <c r="CL823">
        <v>0</v>
      </c>
      <c r="CM823">
        <v>0</v>
      </c>
      <c r="CN823" t="str">
        <f t="shared" si="108"/>
        <v>refOK</v>
      </c>
      <c r="CO823">
        <f t="shared" si="109"/>
        <v>0.56787272432857583</v>
      </c>
      <c r="CP823">
        <f t="shared" si="110"/>
        <v>0.56787272432857583</v>
      </c>
      <c r="CQ823">
        <f t="shared" si="51"/>
        <v>0</v>
      </c>
      <c r="CR823">
        <f t="shared" si="111"/>
        <v>-467.01</v>
      </c>
      <c r="CS823">
        <f t="shared" si="112"/>
        <v>-367.40999999999997</v>
      </c>
      <c r="CT823">
        <f t="shared" si="106"/>
        <v>9.9600000000000022E-2</v>
      </c>
      <c r="CU823" t="str">
        <f t="shared" si="105"/>
        <v/>
      </c>
      <c r="CV823" s="2">
        <f t="shared" si="95"/>
        <v>0.21327166441832085</v>
      </c>
      <c r="CW823" s="265" t="s">
        <v>264</v>
      </c>
      <c r="CX823" s="266" t="str">
        <f t="shared" si="96"/>
        <v>loc</v>
      </c>
      <c r="CY823" s="266" t="s">
        <v>575</v>
      </c>
      <c r="DB823">
        <v>0</v>
      </c>
      <c r="DC823" t="str">
        <f t="shared" si="97"/>
        <v>0</v>
      </c>
      <c r="DD823">
        <v>0</v>
      </c>
      <c r="DE823">
        <v>0</v>
      </c>
      <c r="DF823">
        <v>0</v>
      </c>
      <c r="DG823">
        <v>1</v>
      </c>
      <c r="DH823">
        <v>0</v>
      </c>
      <c r="DI823">
        <f t="shared" si="113"/>
        <v>1</v>
      </c>
      <c r="DJ823" t="str">
        <f t="shared" si="103"/>
        <v>TimberInput</v>
      </c>
      <c r="DK823">
        <f t="shared" si="73"/>
        <v>0</v>
      </c>
      <c r="DL823">
        <f t="shared" si="74"/>
        <v>0</v>
      </c>
      <c r="DM823">
        <f t="shared" si="75"/>
        <v>0</v>
      </c>
      <c r="DN823" t="str">
        <f t="shared" si="76"/>
        <v>Timber</v>
      </c>
      <c r="DO823">
        <v>0</v>
      </c>
      <c r="DP823">
        <v>0</v>
      </c>
      <c r="DQ823">
        <v>0</v>
      </c>
      <c r="DR823">
        <v>0</v>
      </c>
      <c r="DS823">
        <v>0</v>
      </c>
      <c r="DT823">
        <f t="shared" si="114"/>
        <v>0</v>
      </c>
      <c r="DU823" s="143" t="str">
        <f t="shared" si="99"/>
        <v>explicit C balance</v>
      </c>
      <c r="DV823">
        <v>0</v>
      </c>
      <c r="DW823">
        <v>1</v>
      </c>
      <c r="DX823">
        <v>0</v>
      </c>
      <c r="DY823">
        <v>1</v>
      </c>
      <c r="DZ823">
        <v>1</v>
      </c>
      <c r="EA823">
        <v>0</v>
      </c>
      <c r="EB823">
        <v>1</v>
      </c>
      <c r="EC823">
        <v>1</v>
      </c>
      <c r="ED823">
        <v>1</v>
      </c>
      <c r="EE823">
        <v>1</v>
      </c>
      <c r="EF823">
        <v>0</v>
      </c>
      <c r="EG823">
        <v>0</v>
      </c>
      <c r="EH823">
        <v>0</v>
      </c>
      <c r="EI823" s="2">
        <v>0</v>
      </c>
      <c r="EK823" t="str">
        <f t="shared" si="77"/>
        <v/>
      </c>
      <c r="EL823" t="str">
        <f t="shared" si="78"/>
        <v/>
      </c>
      <c r="EM823" s="2" t="str">
        <f t="shared" si="98"/>
        <v/>
      </c>
      <c r="EP823" t="b">
        <f>IF(ISNUMBER(BU823),IF(ABS(BU823-[1]QC_indicators!$B$2)&gt;3*[1]QC_indicators!$C$2,"C ratio",IF(ISNUMBER(BY823),IF(ABS(BY823-[1]QC_indicators!$B$1)&gt;3*[1]QC_indicators!$C$1,"DF","no"))),IF(ISNUMBER(BY823),IF(ABS(BY823-[1]QC_indicators!$B$1)&gt;3*[1]QC_indicators!$C$1,"DF","no")))</f>
        <v>0</v>
      </c>
      <c r="ET823" s="266" t="s">
        <v>3409</v>
      </c>
    </row>
    <row r="824" spans="1:150" ht="15" hidden="1" customHeight="1">
      <c r="A824" s="1" t="s">
        <v>506</v>
      </c>
      <c r="B824" t="s">
        <v>507</v>
      </c>
      <c r="C824" t="s">
        <v>508</v>
      </c>
      <c r="D824" t="s">
        <v>509</v>
      </c>
      <c r="E824" t="s">
        <v>510</v>
      </c>
      <c r="F824" t="s">
        <v>511</v>
      </c>
      <c r="G824" t="s">
        <v>512</v>
      </c>
      <c r="H824" t="s">
        <v>255</v>
      </c>
      <c r="I824">
        <v>2021</v>
      </c>
      <c r="J824">
        <v>7</v>
      </c>
      <c r="K824" t="s">
        <v>513</v>
      </c>
      <c r="M824" t="str">
        <f t="shared" si="102"/>
        <v>Caldas_2021</v>
      </c>
      <c r="N824" t="s">
        <v>223</v>
      </c>
      <c r="O824" s="145" t="s">
        <v>224</v>
      </c>
      <c r="P824" t="s">
        <v>514</v>
      </c>
      <c r="Q824" s="266" t="s">
        <v>257</v>
      </c>
      <c r="R824" s="271" t="s">
        <v>1156</v>
      </c>
      <c r="S824" s="1" t="s">
        <v>515</v>
      </c>
      <c r="T824" t="s">
        <v>516</v>
      </c>
      <c r="U824" t="s">
        <v>517</v>
      </c>
      <c r="V824">
        <v>0</v>
      </c>
      <c r="W824">
        <v>0</v>
      </c>
      <c r="X824">
        <v>0</v>
      </c>
      <c r="Y824">
        <v>0</v>
      </c>
      <c r="Z824">
        <v>0</v>
      </c>
      <c r="AA824">
        <v>0</v>
      </c>
      <c r="AB824">
        <v>0</v>
      </c>
      <c r="AC824">
        <v>0</v>
      </c>
      <c r="AD824">
        <v>0</v>
      </c>
      <c r="AE824">
        <v>1</v>
      </c>
      <c r="AF824">
        <v>0</v>
      </c>
      <c r="AG824">
        <v>0</v>
      </c>
      <c r="AH824">
        <v>0</v>
      </c>
      <c r="AI824">
        <v>0</v>
      </c>
      <c r="AJ824">
        <v>0</v>
      </c>
      <c r="AK824">
        <v>0</v>
      </c>
      <c r="AL824">
        <v>0</v>
      </c>
      <c r="AM824">
        <v>0</v>
      </c>
      <c r="AN824">
        <v>0</v>
      </c>
      <c r="AO824">
        <v>0</v>
      </c>
      <c r="AP824">
        <v>0</v>
      </c>
      <c r="AQ824">
        <v>0</v>
      </c>
      <c r="AR824">
        <v>0</v>
      </c>
      <c r="AS824">
        <v>0</v>
      </c>
      <c r="AT824">
        <v>0</v>
      </c>
      <c r="AU824">
        <v>0</v>
      </c>
      <c r="AV824">
        <v>0</v>
      </c>
      <c r="AW824">
        <v>0</v>
      </c>
      <c r="AX824" s="141">
        <f t="shared" si="41"/>
        <v>1</v>
      </c>
      <c r="AY824" s="141">
        <f t="shared" si="88"/>
        <v>1</v>
      </c>
      <c r="AZ824">
        <f t="shared" si="89"/>
        <v>0</v>
      </c>
      <c r="BA824">
        <f t="shared" si="90"/>
        <v>1</v>
      </c>
      <c r="BB824">
        <f t="shared" si="91"/>
        <v>0</v>
      </c>
      <c r="BC824">
        <f t="shared" si="92"/>
        <v>0</v>
      </c>
      <c r="BD824">
        <f t="shared" si="93"/>
        <v>0</v>
      </c>
      <c r="BE824" t="str" cm="1">
        <f t="array" ref="BE824">IF(AY824=1,INDEX($V$7:$AL$7,MATCH(TRUE,INDEX($V824:$AW824&lt;&gt;0,),0)),IF(AY824=0,INDEX($AM$7:$AW$7,MATCH(1,$AM824:$AW824,0)),IF(BF824="Multiple strategies","mixed drivers",IF(BF824="Supply chain","multiple supply","multiple silviculture"))))</f>
        <v>location of industry</v>
      </c>
      <c r="BF824" s="2" t="str" cm="1">
        <f t="array" ref="BF824">IF(COUNTIF(AZ824:BB824,"&lt;&gt;0")=1,INDEX($V$4:$AW$4,MATCH(TRUE,INDEX($V824:$AW824&lt;&gt;0,),0)),IF(COUNTIF(AZ824:BB824,"&lt;&gt;0")=0,INDEX($AM$4:$AW$4,MATCH(1,$AM824:$AW824,0)),"Multiple strategies"))</f>
        <v>Supply chain</v>
      </c>
      <c r="BG824" s="1" t="s">
        <v>230</v>
      </c>
      <c r="BH824" t="s">
        <v>518</v>
      </c>
      <c r="BJ824" t="s">
        <v>519</v>
      </c>
      <c r="BK824">
        <v>140</v>
      </c>
      <c r="BL824">
        <v>140</v>
      </c>
      <c r="BN824">
        <f t="shared" si="66"/>
        <v>0</v>
      </c>
      <c r="BO824">
        <f>BN824*kg_to_m3</f>
        <v>0</v>
      </c>
      <c r="BP824" s="266" t="s">
        <v>233</v>
      </c>
      <c r="BQ824" s="266"/>
      <c r="BR824" t="s">
        <v>520</v>
      </c>
      <c r="BS824">
        <v>-757.6</v>
      </c>
      <c r="BT824">
        <v>-530.29999999999995</v>
      </c>
      <c r="BU824" s="144">
        <v>0.69997360084477289</v>
      </c>
      <c r="BV824">
        <v>227.30000000000007</v>
      </c>
      <c r="BX824">
        <f t="shared" si="107"/>
        <v>0.22730000000000006</v>
      </c>
      <c r="BY824" t="str">
        <f t="shared" si="94"/>
        <v/>
      </c>
      <c r="BZ824" s="143">
        <v>0</v>
      </c>
      <c r="CA824" s="143">
        <v>0</v>
      </c>
      <c r="CB824" s="143">
        <v>0</v>
      </c>
      <c r="CC824" s="143">
        <v>0</v>
      </c>
      <c r="CD824" s="143">
        <v>0</v>
      </c>
      <c r="CE824" s="143">
        <v>0</v>
      </c>
      <c r="CF824" s="143">
        <v>0</v>
      </c>
      <c r="CG824" s="143">
        <v>0</v>
      </c>
      <c r="CH824" s="143">
        <v>0</v>
      </c>
      <c r="CI824" s="143">
        <v>0</v>
      </c>
      <c r="CJ824" s="143">
        <v>0</v>
      </c>
      <c r="CK824" s="143">
        <v>0</v>
      </c>
      <c r="CL824" s="143">
        <v>0</v>
      </c>
      <c r="CM824">
        <v>0</v>
      </c>
      <c r="CN824" t="str">
        <f t="shared" si="108"/>
        <v>refOK</v>
      </c>
      <c r="CO824">
        <f t="shared" si="109"/>
        <v>140</v>
      </c>
      <c r="CP824">
        <f t="shared" si="110"/>
        <v>140</v>
      </c>
      <c r="CQ824">
        <f t="shared" si="51"/>
        <v>0</v>
      </c>
      <c r="CR824">
        <f t="shared" si="111"/>
        <v>-757.6</v>
      </c>
      <c r="CS824">
        <f t="shared" si="112"/>
        <v>-530.29999999999995</v>
      </c>
      <c r="CT824">
        <f t="shared" si="106"/>
        <v>0.22730000000000006</v>
      </c>
      <c r="CU824" t="str">
        <f t="shared" si="105"/>
        <v/>
      </c>
      <c r="CV824" s="2">
        <f t="shared" si="95"/>
        <v>0.30002639915522711</v>
      </c>
      <c r="CW824" s="1" t="s">
        <v>264</v>
      </c>
      <c r="CX824" s="266" t="str">
        <f t="shared" si="96"/>
        <v>loc</v>
      </c>
      <c r="CY824" t="s">
        <v>521</v>
      </c>
      <c r="CZ824">
        <v>2014</v>
      </c>
      <c r="DA824">
        <v>2014</v>
      </c>
      <c r="DB824">
        <f>DA824-CZ824</f>
        <v>0</v>
      </c>
      <c r="DC824" t="str">
        <f t="shared" si="97"/>
        <v>0</v>
      </c>
      <c r="DD824">
        <v>0</v>
      </c>
      <c r="DE824">
        <v>0</v>
      </c>
      <c r="DF824">
        <v>0</v>
      </c>
      <c r="DG824">
        <v>1</v>
      </c>
      <c r="DI824">
        <f t="shared" si="113"/>
        <v>1</v>
      </c>
      <c r="DJ824" t="str">
        <f t="shared" si="103"/>
        <v>TimberInput</v>
      </c>
      <c r="DK824">
        <f t="shared" si="73"/>
        <v>0</v>
      </c>
      <c r="DL824">
        <f t="shared" si="74"/>
        <v>0</v>
      </c>
      <c r="DM824">
        <f t="shared" si="75"/>
        <v>0</v>
      </c>
      <c r="DN824" t="str">
        <f t="shared" si="76"/>
        <v>Timber</v>
      </c>
      <c r="DO824">
        <v>0</v>
      </c>
      <c r="DP824" s="143">
        <v>0</v>
      </c>
      <c r="DQ824" s="143">
        <v>0</v>
      </c>
      <c r="DR824" s="143">
        <v>0</v>
      </c>
      <c r="DS824">
        <v>0</v>
      </c>
      <c r="DT824">
        <f t="shared" si="114"/>
        <v>0</v>
      </c>
      <c r="DU824" s="143" t="str">
        <f t="shared" si="99"/>
        <v>explicit C balance</v>
      </c>
      <c r="DV824">
        <v>0</v>
      </c>
      <c r="DW824" s="143">
        <v>0</v>
      </c>
      <c r="DX824" s="143">
        <v>0</v>
      </c>
      <c r="DY824" s="143">
        <v>0</v>
      </c>
      <c r="DZ824">
        <v>0</v>
      </c>
      <c r="EA824" s="143">
        <v>1</v>
      </c>
      <c r="EB824">
        <v>0</v>
      </c>
      <c r="EC824" s="143">
        <v>1</v>
      </c>
      <c r="ED824" s="143">
        <v>0</v>
      </c>
      <c r="EE824">
        <v>0</v>
      </c>
      <c r="EF824">
        <v>0</v>
      </c>
      <c r="EG824" s="143">
        <v>0</v>
      </c>
      <c r="EH824" s="143">
        <v>0</v>
      </c>
      <c r="EI824" s="2">
        <v>0</v>
      </c>
      <c r="EK824" t="str">
        <f t="shared" si="77"/>
        <v/>
      </c>
      <c r="EL824" t="str">
        <f t="shared" si="78"/>
        <v/>
      </c>
      <c r="EM824" s="2" t="str">
        <f t="shared" si="98"/>
        <v/>
      </c>
      <c r="EN824" t="s">
        <v>523</v>
      </c>
      <c r="EP824" t="b">
        <f>IF(ISNUMBER(BU824),IF(ABS(BU824-[1]QC_indicators!$B$2)&gt;3*[1]QC_indicators!$C$2,"C ratio",IF(ISNUMBER(BY824),IF(ABS(BY824-[1]QC_indicators!$B$1)&gt;3*[1]QC_indicators!$C$1,"DF","no"))),IF(ISNUMBER(BY824),IF(ABS(BY824-[1]QC_indicators!$B$1)&gt;3*[1]QC_indicators!$C$1,"DF","no")))</f>
        <v>0</v>
      </c>
      <c r="ER824" s="296" t="s">
        <v>350</v>
      </c>
      <c r="ET824" s="266" t="s">
        <v>3409</v>
      </c>
    </row>
    <row r="825" spans="1:150" ht="15" hidden="1" customHeight="1">
      <c r="A825" s="1" t="s">
        <v>506</v>
      </c>
      <c r="B825" t="s">
        <v>507</v>
      </c>
      <c r="C825" t="s">
        <v>508</v>
      </c>
      <c r="D825" t="s">
        <v>509</v>
      </c>
      <c r="E825" t="s">
        <v>510</v>
      </c>
      <c r="F825" t="s">
        <v>511</v>
      </c>
      <c r="G825" t="s">
        <v>512</v>
      </c>
      <c r="H825" t="s">
        <v>255</v>
      </c>
      <c r="I825">
        <v>2021</v>
      </c>
      <c r="J825">
        <v>7</v>
      </c>
      <c r="K825" t="s">
        <v>513</v>
      </c>
      <c r="M825" t="str">
        <f t="shared" si="102"/>
        <v>Caldas_2021</v>
      </c>
      <c r="N825" t="s">
        <v>223</v>
      </c>
      <c r="O825" s="145" t="s">
        <v>224</v>
      </c>
      <c r="P825" t="s">
        <v>514</v>
      </c>
      <c r="Q825" s="266" t="s">
        <v>257</v>
      </c>
      <c r="R825" s="271" t="s">
        <v>1156</v>
      </c>
      <c r="S825" s="1" t="s">
        <v>515</v>
      </c>
      <c r="T825" t="s">
        <v>516</v>
      </c>
      <c r="U825" t="s">
        <v>517</v>
      </c>
      <c r="V825">
        <v>0</v>
      </c>
      <c r="W825">
        <v>0</v>
      </c>
      <c r="X825">
        <v>0</v>
      </c>
      <c r="Y825">
        <v>0</v>
      </c>
      <c r="Z825">
        <v>0</v>
      </c>
      <c r="AA825">
        <v>0</v>
      </c>
      <c r="AB825">
        <v>0</v>
      </c>
      <c r="AC825">
        <v>0</v>
      </c>
      <c r="AD825">
        <v>0</v>
      </c>
      <c r="AE825">
        <v>1</v>
      </c>
      <c r="AF825">
        <v>0</v>
      </c>
      <c r="AG825">
        <v>0</v>
      </c>
      <c r="AH825">
        <v>0</v>
      </c>
      <c r="AI825">
        <v>0</v>
      </c>
      <c r="AJ825">
        <v>0</v>
      </c>
      <c r="AK825">
        <v>0</v>
      </c>
      <c r="AL825">
        <v>0</v>
      </c>
      <c r="AM825">
        <v>0</v>
      </c>
      <c r="AN825">
        <v>0</v>
      </c>
      <c r="AO825">
        <v>0</v>
      </c>
      <c r="AP825">
        <v>0</v>
      </c>
      <c r="AQ825">
        <v>0</v>
      </c>
      <c r="AR825">
        <v>0</v>
      </c>
      <c r="AS825">
        <v>0</v>
      </c>
      <c r="AT825">
        <v>0</v>
      </c>
      <c r="AU825">
        <v>0</v>
      </c>
      <c r="AV825">
        <v>0</v>
      </c>
      <c r="AW825">
        <v>0</v>
      </c>
      <c r="AX825" s="141">
        <f t="shared" si="41"/>
        <v>1</v>
      </c>
      <c r="AY825" s="141">
        <f t="shared" si="88"/>
        <v>1</v>
      </c>
      <c r="AZ825">
        <f t="shared" si="89"/>
        <v>0</v>
      </c>
      <c r="BA825">
        <f t="shared" si="90"/>
        <v>1</v>
      </c>
      <c r="BB825">
        <f t="shared" si="91"/>
        <v>0</v>
      </c>
      <c r="BC825">
        <f t="shared" si="92"/>
        <v>0</v>
      </c>
      <c r="BD825">
        <f t="shared" si="93"/>
        <v>0</v>
      </c>
      <c r="BE825" t="str" cm="1">
        <f t="array" ref="BE825">IF(AY825=1,INDEX($V$7:$AL$7,MATCH(TRUE,INDEX($V825:$AW825&lt;&gt;0,),0)),IF(AY825=0,INDEX($AM$7:$AW$7,MATCH(1,$AM825:$AW825,0)),IF(BF825="Multiple strategies","mixed drivers",IF(BF825="Supply chain","multiple supply","multiple silviculture"))))</f>
        <v>location of industry</v>
      </c>
      <c r="BF825" s="2" t="str" cm="1">
        <f t="array" ref="BF825">IF(COUNTIF(AZ825:BB825,"&lt;&gt;0")=1,INDEX($V$4:$AW$4,MATCH(TRUE,INDEX($V825:$AW825&lt;&gt;0,),0)),IF(COUNTIF(AZ825:BB825,"&lt;&gt;0")=0,INDEX($AM$4:$AW$4,MATCH(1,$AM825:$AW825,0)),"Multiple strategies"))</f>
        <v>Supply chain</v>
      </c>
      <c r="BG825" s="1" t="s">
        <v>230</v>
      </c>
      <c r="BH825" t="s">
        <v>518</v>
      </c>
      <c r="BJ825" t="s">
        <v>519</v>
      </c>
      <c r="BK825">
        <v>140</v>
      </c>
      <c r="BL825">
        <v>140</v>
      </c>
      <c r="BN825">
        <f t="shared" si="66"/>
        <v>0</v>
      </c>
      <c r="BO825">
        <f>BN825*kg_to_m3</f>
        <v>0</v>
      </c>
      <c r="BP825" s="266" t="s">
        <v>233</v>
      </c>
      <c r="BQ825" s="266"/>
      <c r="BR825" t="s">
        <v>520</v>
      </c>
      <c r="BS825">
        <v>-624.20000000000005</v>
      </c>
      <c r="BT825">
        <v>-530.29999999999995</v>
      </c>
      <c r="BU825" s="144">
        <v>0.84956744633130399</v>
      </c>
      <c r="BV825">
        <v>93.900000000000091</v>
      </c>
      <c r="BX825">
        <f t="shared" si="107"/>
        <v>9.3900000000000095E-2</v>
      </c>
      <c r="BY825" t="str">
        <f t="shared" si="94"/>
        <v/>
      </c>
      <c r="BZ825" s="143">
        <v>0</v>
      </c>
      <c r="CA825" s="143">
        <v>0</v>
      </c>
      <c r="CB825" s="143">
        <v>0</v>
      </c>
      <c r="CC825" s="143">
        <v>0</v>
      </c>
      <c r="CD825" s="143">
        <v>0</v>
      </c>
      <c r="CE825" s="143">
        <v>0</v>
      </c>
      <c r="CF825" s="143">
        <v>0</v>
      </c>
      <c r="CG825" s="143">
        <v>0</v>
      </c>
      <c r="CH825" s="143">
        <v>0</v>
      </c>
      <c r="CI825" s="143">
        <v>0</v>
      </c>
      <c r="CJ825" s="143">
        <v>0</v>
      </c>
      <c r="CK825" s="143">
        <v>0</v>
      </c>
      <c r="CL825" s="143">
        <v>0</v>
      </c>
      <c r="CM825">
        <v>0</v>
      </c>
      <c r="CN825" t="str">
        <f t="shared" si="108"/>
        <v>refOK</v>
      </c>
      <c r="CO825">
        <f t="shared" si="109"/>
        <v>140</v>
      </c>
      <c r="CP825">
        <f t="shared" si="110"/>
        <v>140</v>
      </c>
      <c r="CQ825">
        <f t="shared" si="51"/>
        <v>0</v>
      </c>
      <c r="CR825">
        <f t="shared" si="111"/>
        <v>-624.20000000000005</v>
      </c>
      <c r="CS825">
        <f t="shared" si="112"/>
        <v>-530.29999999999995</v>
      </c>
      <c r="CT825">
        <f t="shared" si="106"/>
        <v>9.3900000000000095E-2</v>
      </c>
      <c r="CU825" t="str">
        <f t="shared" si="105"/>
        <v/>
      </c>
      <c r="CV825" s="2">
        <f t="shared" si="95"/>
        <v>0.15043255366869607</v>
      </c>
      <c r="CW825" s="1" t="s">
        <v>264</v>
      </c>
      <c r="CX825" s="266" t="str">
        <f t="shared" si="96"/>
        <v>loc</v>
      </c>
      <c r="CY825" t="s">
        <v>521</v>
      </c>
      <c r="CZ825">
        <v>2014</v>
      </c>
      <c r="DA825">
        <v>2014</v>
      </c>
      <c r="DB825">
        <f>DA825-CZ825</f>
        <v>0</v>
      </c>
      <c r="DC825" t="str">
        <f t="shared" si="97"/>
        <v>0</v>
      </c>
      <c r="DD825">
        <v>0</v>
      </c>
      <c r="DE825">
        <v>0</v>
      </c>
      <c r="DF825">
        <v>0</v>
      </c>
      <c r="DG825">
        <v>1</v>
      </c>
      <c r="DI825">
        <f t="shared" si="113"/>
        <v>1</v>
      </c>
      <c r="DJ825" t="str">
        <f t="shared" si="103"/>
        <v>TimberInput</v>
      </c>
      <c r="DK825">
        <f t="shared" si="73"/>
        <v>0</v>
      </c>
      <c r="DL825">
        <f t="shared" si="74"/>
        <v>0</v>
      </c>
      <c r="DM825">
        <f t="shared" si="75"/>
        <v>0</v>
      </c>
      <c r="DN825" t="str">
        <f t="shared" si="76"/>
        <v>Timber</v>
      </c>
      <c r="DO825">
        <v>0</v>
      </c>
      <c r="DP825" s="143">
        <v>0</v>
      </c>
      <c r="DQ825" s="143">
        <v>0</v>
      </c>
      <c r="DR825" s="143">
        <v>0</v>
      </c>
      <c r="DS825">
        <v>0</v>
      </c>
      <c r="DT825">
        <f t="shared" si="114"/>
        <v>0</v>
      </c>
      <c r="DU825" s="143" t="str">
        <f t="shared" si="99"/>
        <v>explicit C balance</v>
      </c>
      <c r="DV825">
        <v>0</v>
      </c>
      <c r="DW825" s="143">
        <v>0</v>
      </c>
      <c r="DX825" s="143">
        <v>0</v>
      </c>
      <c r="DY825" s="143">
        <v>0</v>
      </c>
      <c r="DZ825">
        <v>0</v>
      </c>
      <c r="EA825" s="143">
        <v>1</v>
      </c>
      <c r="EB825">
        <v>0</v>
      </c>
      <c r="EC825" s="143">
        <v>1</v>
      </c>
      <c r="ED825" s="143">
        <v>0</v>
      </c>
      <c r="EE825">
        <v>0</v>
      </c>
      <c r="EF825">
        <v>0</v>
      </c>
      <c r="EG825" s="143">
        <v>0</v>
      </c>
      <c r="EH825" s="143">
        <v>0</v>
      </c>
      <c r="EI825" s="2">
        <v>0</v>
      </c>
      <c r="EK825" t="str">
        <f t="shared" si="77"/>
        <v/>
      </c>
      <c r="EL825" t="str">
        <f t="shared" si="78"/>
        <v/>
      </c>
      <c r="EM825" s="2" t="str">
        <f t="shared" si="98"/>
        <v/>
      </c>
      <c r="EN825" t="s">
        <v>523</v>
      </c>
      <c r="EP825" t="b">
        <f>IF(ISNUMBER(BU825),IF(ABS(BU825-[1]QC_indicators!$B$2)&gt;3*[1]QC_indicators!$C$2,"C ratio",IF(ISNUMBER(BY825),IF(ABS(BY825-[1]QC_indicators!$B$1)&gt;3*[1]QC_indicators!$C$1,"DF","no"))),IF(ISNUMBER(BY825),IF(ABS(BY825-[1]QC_indicators!$B$1)&gt;3*[1]QC_indicators!$C$1,"DF","no")))</f>
        <v>0</v>
      </c>
      <c r="ER825" s="296" t="s">
        <v>350</v>
      </c>
      <c r="ET825" s="266" t="s">
        <v>3409</v>
      </c>
    </row>
    <row r="826" spans="1:150" ht="15" hidden="1" customHeight="1">
      <c r="A826" s="1" t="s">
        <v>506</v>
      </c>
      <c r="B826" t="s">
        <v>507</v>
      </c>
      <c r="C826" t="s">
        <v>508</v>
      </c>
      <c r="D826" t="s">
        <v>509</v>
      </c>
      <c r="E826" t="s">
        <v>510</v>
      </c>
      <c r="F826" t="s">
        <v>511</v>
      </c>
      <c r="G826" t="s">
        <v>512</v>
      </c>
      <c r="H826" t="s">
        <v>255</v>
      </c>
      <c r="I826">
        <v>2021</v>
      </c>
      <c r="J826">
        <v>7</v>
      </c>
      <c r="K826" t="s">
        <v>513</v>
      </c>
      <c r="M826" t="str">
        <f t="shared" si="102"/>
        <v>Caldas_2021</v>
      </c>
      <c r="N826" t="s">
        <v>223</v>
      </c>
      <c r="O826" s="145" t="s">
        <v>224</v>
      </c>
      <c r="P826" t="s">
        <v>514</v>
      </c>
      <c r="Q826" s="266" t="s">
        <v>257</v>
      </c>
      <c r="R826" s="271" t="s">
        <v>1156</v>
      </c>
      <c r="S826" s="1" t="s">
        <v>524</v>
      </c>
      <c r="T826" t="s">
        <v>525</v>
      </c>
      <c r="U826" t="s">
        <v>526</v>
      </c>
      <c r="V826">
        <v>0</v>
      </c>
      <c r="W826">
        <v>0</v>
      </c>
      <c r="X826">
        <v>0</v>
      </c>
      <c r="Y826">
        <v>0</v>
      </c>
      <c r="Z826">
        <v>0</v>
      </c>
      <c r="AA826">
        <v>0</v>
      </c>
      <c r="AB826">
        <v>0</v>
      </c>
      <c r="AC826">
        <v>0</v>
      </c>
      <c r="AD826">
        <v>0</v>
      </c>
      <c r="AE826">
        <v>0</v>
      </c>
      <c r="AF826">
        <v>1</v>
      </c>
      <c r="AG826">
        <v>0</v>
      </c>
      <c r="AH826">
        <v>0</v>
      </c>
      <c r="AI826">
        <v>0</v>
      </c>
      <c r="AJ826">
        <v>0</v>
      </c>
      <c r="AK826">
        <v>0</v>
      </c>
      <c r="AL826">
        <v>0</v>
      </c>
      <c r="AM826">
        <v>0</v>
      </c>
      <c r="AN826">
        <v>0</v>
      </c>
      <c r="AO826">
        <v>0</v>
      </c>
      <c r="AP826">
        <v>0</v>
      </c>
      <c r="AQ826">
        <v>0</v>
      </c>
      <c r="AR826">
        <v>0</v>
      </c>
      <c r="AS826">
        <v>0</v>
      </c>
      <c r="AT826">
        <v>0</v>
      </c>
      <c r="AU826">
        <v>0</v>
      </c>
      <c r="AV826">
        <v>0</v>
      </c>
      <c r="AW826">
        <v>0</v>
      </c>
      <c r="AX826" s="141">
        <f t="shared" si="41"/>
        <v>1</v>
      </c>
      <c r="AY826" s="141">
        <f t="shared" si="88"/>
        <v>1</v>
      </c>
      <c r="AZ826">
        <f t="shared" si="89"/>
        <v>0</v>
      </c>
      <c r="BA826">
        <f t="shared" si="90"/>
        <v>1</v>
      </c>
      <c r="BB826">
        <f t="shared" si="91"/>
        <v>0</v>
      </c>
      <c r="BC826">
        <f t="shared" si="92"/>
        <v>0</v>
      </c>
      <c r="BD826">
        <f t="shared" si="93"/>
        <v>0</v>
      </c>
      <c r="BE826" t="str" cm="1">
        <f t="array" ref="BE826">IF(AY826=1,INDEX($V$7:$AL$7,MATCH(TRUE,INDEX($V826:$AW826&lt;&gt;0,),0)),IF(AY826=0,INDEX($AM$7:$AW$7,MATCH(1,$AM826:$AW826,0)),IF(BF826="Multiple strategies","mixed drivers",IF(BF826="Supply chain","multiple supply","multiple silviculture"))))</f>
        <v>supply chain organization</v>
      </c>
      <c r="BF826" s="2" t="str" cm="1">
        <f t="array" ref="BF826">IF(COUNTIF(AZ826:BB826,"&lt;&gt;0")=1,INDEX($V$4:$AW$4,MATCH(TRUE,INDEX($V826:$AW826&lt;&gt;0,),0)),IF(COUNTIF(AZ826:BB826,"&lt;&gt;0")=0,INDEX($AM$4:$AW$4,MATCH(1,$AM826:$AW826,0)),"Multiple strategies"))</f>
        <v>Supply chain</v>
      </c>
      <c r="BG826" s="1" t="s">
        <v>230</v>
      </c>
      <c r="BH826" t="s">
        <v>518</v>
      </c>
      <c r="BJ826" t="s">
        <v>519</v>
      </c>
      <c r="BK826">
        <v>140</v>
      </c>
      <c r="BL826">
        <v>140</v>
      </c>
      <c r="BN826">
        <f t="shared" si="66"/>
        <v>0</v>
      </c>
      <c r="BO826">
        <f>BN826*kg_to_m3</f>
        <v>0</v>
      </c>
      <c r="BP826" s="266" t="s">
        <v>233</v>
      </c>
      <c r="BQ826" s="266"/>
      <c r="BR826" t="s">
        <v>520</v>
      </c>
      <c r="BS826">
        <v>-757.6</v>
      </c>
      <c r="BT826">
        <v>-624.20000000000005</v>
      </c>
      <c r="BU826" s="144">
        <v>0.82391763463569168</v>
      </c>
      <c r="BV826">
        <v>133.39999999999998</v>
      </c>
      <c r="BX826">
        <f t="shared" si="107"/>
        <v>0.13339999999999999</v>
      </c>
      <c r="BY826" t="str">
        <f t="shared" si="94"/>
        <v/>
      </c>
      <c r="BZ826" s="143">
        <v>0</v>
      </c>
      <c r="CA826" s="143">
        <v>0</v>
      </c>
      <c r="CB826" s="143">
        <v>0</v>
      </c>
      <c r="CC826" s="143">
        <v>0</v>
      </c>
      <c r="CD826" s="143">
        <v>0</v>
      </c>
      <c r="CE826" s="143">
        <v>0</v>
      </c>
      <c r="CF826" s="143">
        <v>0</v>
      </c>
      <c r="CG826" s="143">
        <v>0</v>
      </c>
      <c r="CH826" s="143">
        <v>0</v>
      </c>
      <c r="CI826" s="143">
        <v>0</v>
      </c>
      <c r="CJ826" s="143">
        <v>0</v>
      </c>
      <c r="CK826" s="143">
        <v>0</v>
      </c>
      <c r="CL826" s="143">
        <v>0</v>
      </c>
      <c r="CM826">
        <v>0</v>
      </c>
      <c r="CN826" t="str">
        <f t="shared" si="108"/>
        <v>refOK</v>
      </c>
      <c r="CO826">
        <f t="shared" si="109"/>
        <v>140</v>
      </c>
      <c r="CP826">
        <f t="shared" si="110"/>
        <v>140</v>
      </c>
      <c r="CQ826">
        <f t="shared" si="51"/>
        <v>0</v>
      </c>
      <c r="CR826">
        <f t="shared" si="111"/>
        <v>-757.6</v>
      </c>
      <c r="CS826">
        <f t="shared" si="112"/>
        <v>-624.20000000000005</v>
      </c>
      <c r="CT826">
        <f t="shared" si="106"/>
        <v>0.13339999999999999</v>
      </c>
      <c r="CU826" t="str">
        <f t="shared" si="105"/>
        <v/>
      </c>
      <c r="CV826" s="2">
        <f t="shared" si="95"/>
        <v>0.1760823653643083</v>
      </c>
      <c r="CW826" s="1" t="s">
        <v>264</v>
      </c>
      <c r="CX826" s="266" t="str">
        <f t="shared" si="96"/>
        <v>loc</v>
      </c>
      <c r="CY826" t="s">
        <v>521</v>
      </c>
      <c r="CZ826">
        <v>2014</v>
      </c>
      <c r="DA826">
        <v>2014</v>
      </c>
      <c r="DB826">
        <f>DA826-CZ826</f>
        <v>0</v>
      </c>
      <c r="DC826" t="str">
        <f t="shared" si="97"/>
        <v>0</v>
      </c>
      <c r="DD826">
        <v>0</v>
      </c>
      <c r="DE826">
        <v>0</v>
      </c>
      <c r="DF826">
        <v>0</v>
      </c>
      <c r="DG826">
        <v>1</v>
      </c>
      <c r="DI826">
        <f t="shared" si="113"/>
        <v>1</v>
      </c>
      <c r="DJ826" t="str">
        <f t="shared" si="103"/>
        <v>TimberInput</v>
      </c>
      <c r="DK826">
        <f t="shared" si="73"/>
        <v>0</v>
      </c>
      <c r="DL826">
        <f t="shared" si="74"/>
        <v>0</v>
      </c>
      <c r="DM826">
        <f t="shared" si="75"/>
        <v>0</v>
      </c>
      <c r="DN826" t="str">
        <f t="shared" si="76"/>
        <v>Timber</v>
      </c>
      <c r="DO826">
        <v>0</v>
      </c>
      <c r="DP826" s="143">
        <v>0</v>
      </c>
      <c r="DQ826" s="143">
        <v>0</v>
      </c>
      <c r="DR826" s="143">
        <v>0</v>
      </c>
      <c r="DS826">
        <v>0</v>
      </c>
      <c r="DT826">
        <f t="shared" si="114"/>
        <v>0</v>
      </c>
      <c r="DU826" s="143" t="str">
        <f t="shared" si="99"/>
        <v>explicit C balance</v>
      </c>
      <c r="DV826">
        <v>0</v>
      </c>
      <c r="DW826" s="143">
        <v>0</v>
      </c>
      <c r="DX826" s="143">
        <v>0</v>
      </c>
      <c r="DY826" s="143">
        <v>0</v>
      </c>
      <c r="DZ826">
        <v>0</v>
      </c>
      <c r="EA826" s="143">
        <v>1</v>
      </c>
      <c r="EB826">
        <v>0</v>
      </c>
      <c r="EC826" s="143">
        <v>1</v>
      </c>
      <c r="ED826" s="143">
        <v>0</v>
      </c>
      <c r="EE826">
        <v>0</v>
      </c>
      <c r="EF826">
        <v>0</v>
      </c>
      <c r="EG826" s="143">
        <v>0</v>
      </c>
      <c r="EH826" s="143">
        <v>0</v>
      </c>
      <c r="EI826" s="2">
        <v>0</v>
      </c>
      <c r="EK826" t="str">
        <f t="shared" si="77"/>
        <v/>
      </c>
      <c r="EL826" t="str">
        <f t="shared" si="78"/>
        <v/>
      </c>
      <c r="EM826" s="2" t="str">
        <f t="shared" si="98"/>
        <v/>
      </c>
      <c r="EN826" t="s">
        <v>523</v>
      </c>
      <c r="EP826" t="b">
        <f>IF(ISNUMBER(BU826),IF(ABS(BU826-[1]QC_indicators!$B$2)&gt;3*[1]QC_indicators!$C$2,"C ratio",IF(ISNUMBER(BY826),IF(ABS(BY826-[1]QC_indicators!$B$1)&gt;3*[1]QC_indicators!$C$1,"DF","no"))),IF(ISNUMBER(BY826),IF(ABS(BY826-[1]QC_indicators!$B$1)&gt;3*[1]QC_indicators!$C$1,"DF","no")))</f>
        <v>0</v>
      </c>
      <c r="ER826" s="296" t="s">
        <v>350</v>
      </c>
      <c r="ET826" s="266" t="s">
        <v>3409</v>
      </c>
    </row>
    <row r="827" spans="1:150" ht="15" hidden="1" customHeight="1">
      <c r="A827" s="1" t="s">
        <v>506</v>
      </c>
      <c r="B827" t="s">
        <v>507</v>
      </c>
      <c r="C827" t="s">
        <v>508</v>
      </c>
      <c r="D827" t="s">
        <v>509</v>
      </c>
      <c r="E827" t="s">
        <v>510</v>
      </c>
      <c r="F827" t="s">
        <v>511</v>
      </c>
      <c r="G827" t="s">
        <v>512</v>
      </c>
      <c r="H827" t="s">
        <v>255</v>
      </c>
      <c r="I827">
        <v>2021</v>
      </c>
      <c r="J827">
        <v>7</v>
      </c>
      <c r="K827" t="s">
        <v>513</v>
      </c>
      <c r="M827" t="str">
        <f t="shared" si="102"/>
        <v>Caldas_2021</v>
      </c>
      <c r="N827" t="s">
        <v>223</v>
      </c>
      <c r="O827" s="145" t="s">
        <v>224</v>
      </c>
      <c r="P827" t="s">
        <v>514</v>
      </c>
      <c r="Q827" s="266" t="s">
        <v>257</v>
      </c>
      <c r="R827" s="271" t="s">
        <v>1156</v>
      </c>
      <c r="S827" s="1" t="s">
        <v>524</v>
      </c>
      <c r="T827" t="s">
        <v>525</v>
      </c>
      <c r="U827" t="s">
        <v>526</v>
      </c>
      <c r="V827">
        <v>0</v>
      </c>
      <c r="W827">
        <v>0</v>
      </c>
      <c r="X827">
        <v>0</v>
      </c>
      <c r="Y827">
        <v>0</v>
      </c>
      <c r="Z827">
        <v>0</v>
      </c>
      <c r="AA827">
        <v>0</v>
      </c>
      <c r="AB827">
        <v>0</v>
      </c>
      <c r="AC827">
        <v>0</v>
      </c>
      <c r="AD827">
        <v>0</v>
      </c>
      <c r="AE827">
        <v>0</v>
      </c>
      <c r="AF827">
        <v>1</v>
      </c>
      <c r="AG827">
        <v>0</v>
      </c>
      <c r="AH827">
        <v>0</v>
      </c>
      <c r="AI827">
        <v>0</v>
      </c>
      <c r="AJ827">
        <v>0</v>
      </c>
      <c r="AK827">
        <v>0</v>
      </c>
      <c r="AL827">
        <v>0</v>
      </c>
      <c r="AM827">
        <v>0</v>
      </c>
      <c r="AN827">
        <v>0</v>
      </c>
      <c r="AO827">
        <v>0</v>
      </c>
      <c r="AP827">
        <v>0</v>
      </c>
      <c r="AQ827">
        <v>0</v>
      </c>
      <c r="AR827">
        <v>0</v>
      </c>
      <c r="AS827">
        <v>0</v>
      </c>
      <c r="AT827">
        <v>0</v>
      </c>
      <c r="AU827">
        <v>0</v>
      </c>
      <c r="AV827">
        <v>0</v>
      </c>
      <c r="AW827">
        <v>0</v>
      </c>
      <c r="AX827" s="141">
        <f t="shared" ref="AX827:AX890" si="116">COUNTIF(V827:AW827,"&lt;&gt;0")</f>
        <v>1</v>
      </c>
      <c r="AY827" s="141">
        <f t="shared" si="88"/>
        <v>1</v>
      </c>
      <c r="AZ827">
        <f t="shared" si="89"/>
        <v>0</v>
      </c>
      <c r="BA827">
        <f t="shared" si="90"/>
        <v>1</v>
      </c>
      <c r="BB827">
        <f t="shared" si="91"/>
        <v>0</v>
      </c>
      <c r="BC827">
        <f t="shared" si="92"/>
        <v>0</v>
      </c>
      <c r="BD827">
        <f t="shared" si="93"/>
        <v>0</v>
      </c>
      <c r="BE827" t="str" cm="1">
        <f t="array" ref="BE827">IF(AY827=1,INDEX($V$7:$AL$7,MATCH(TRUE,INDEX($V827:$AW827&lt;&gt;0,),0)),IF(AY827=0,INDEX($AM$7:$AW$7,MATCH(1,$AM827:$AW827,0)),IF(BF827="Multiple strategies","mixed drivers",IF(BF827="Supply chain","multiple supply","multiple silviculture"))))</f>
        <v>supply chain organization</v>
      </c>
      <c r="BF827" s="2" t="str" cm="1">
        <f t="array" ref="BF827">IF(COUNTIF(AZ827:BB827,"&lt;&gt;0")=1,INDEX($V$4:$AW$4,MATCH(TRUE,INDEX($V827:$AW827&lt;&gt;0,),0)),IF(COUNTIF(AZ827:BB827,"&lt;&gt;0")=0,INDEX($AM$4:$AW$4,MATCH(1,$AM827:$AW827,0)),"Multiple strategies"))</f>
        <v>Supply chain</v>
      </c>
      <c r="BG827" s="1" t="s">
        <v>230</v>
      </c>
      <c r="BH827" t="s">
        <v>518</v>
      </c>
      <c r="BJ827" t="s">
        <v>519</v>
      </c>
      <c r="BK827">
        <v>140</v>
      </c>
      <c r="BL827">
        <v>140</v>
      </c>
      <c r="BN827">
        <f t="shared" si="66"/>
        <v>0</v>
      </c>
      <c r="BO827">
        <f>BN827*kg_to_m3</f>
        <v>0</v>
      </c>
      <c r="BP827" s="266" t="s">
        <v>233</v>
      </c>
      <c r="BQ827" s="266"/>
      <c r="BR827" t="s">
        <v>520</v>
      </c>
      <c r="BS827">
        <v>-530.29999999999995</v>
      </c>
      <c r="BT827">
        <v>-530.29999999999995</v>
      </c>
      <c r="BU827" s="144">
        <v>1</v>
      </c>
      <c r="BV827">
        <v>0</v>
      </c>
      <c r="BX827">
        <f t="shared" si="107"/>
        <v>0</v>
      </c>
      <c r="BY827" t="str">
        <f t="shared" si="94"/>
        <v/>
      </c>
      <c r="BZ827" s="143">
        <v>0</v>
      </c>
      <c r="CA827" s="143">
        <v>0</v>
      </c>
      <c r="CB827" s="143">
        <v>0</v>
      </c>
      <c r="CC827" s="143">
        <v>0</v>
      </c>
      <c r="CD827" s="143">
        <v>0</v>
      </c>
      <c r="CE827" s="143">
        <v>0</v>
      </c>
      <c r="CF827" s="143">
        <v>0</v>
      </c>
      <c r="CG827" s="143">
        <v>0</v>
      </c>
      <c r="CH827" s="143">
        <v>0</v>
      </c>
      <c r="CI827" s="143">
        <v>0</v>
      </c>
      <c r="CJ827" s="143">
        <v>0</v>
      </c>
      <c r="CK827" s="143">
        <v>0</v>
      </c>
      <c r="CL827" s="143">
        <v>0</v>
      </c>
      <c r="CM827">
        <v>0</v>
      </c>
      <c r="CN827" t="str">
        <f t="shared" si="108"/>
        <v>refOK</v>
      </c>
      <c r="CO827">
        <f t="shared" si="109"/>
        <v>140</v>
      </c>
      <c r="CP827">
        <f t="shared" si="110"/>
        <v>140</v>
      </c>
      <c r="CQ827">
        <f t="shared" si="51"/>
        <v>0</v>
      </c>
      <c r="CR827">
        <f t="shared" si="111"/>
        <v>-530.29999999999995</v>
      </c>
      <c r="CS827">
        <f t="shared" si="112"/>
        <v>-530.29999999999995</v>
      </c>
      <c r="CT827"/>
      <c r="CU827" t="str">
        <f t="shared" si="105"/>
        <v/>
      </c>
      <c r="CV827" s="2"/>
      <c r="CW827" s="1" t="s">
        <v>264</v>
      </c>
      <c r="CX827" s="266" t="str">
        <f t="shared" si="96"/>
        <v>loc</v>
      </c>
      <c r="CY827" t="s">
        <v>521</v>
      </c>
      <c r="CZ827">
        <v>2014</v>
      </c>
      <c r="DA827">
        <v>2014</v>
      </c>
      <c r="DB827">
        <f>DA827-CZ827</f>
        <v>0</v>
      </c>
      <c r="DC827" t="str">
        <f t="shared" si="97"/>
        <v>0</v>
      </c>
      <c r="DD827">
        <v>0</v>
      </c>
      <c r="DE827">
        <v>0</v>
      </c>
      <c r="DF827">
        <v>0</v>
      </c>
      <c r="DG827">
        <v>1</v>
      </c>
      <c r="DI827">
        <f t="shared" si="113"/>
        <v>1</v>
      </c>
      <c r="DJ827" t="str">
        <f t="shared" si="103"/>
        <v>TimberInput</v>
      </c>
      <c r="DK827">
        <f t="shared" si="73"/>
        <v>0</v>
      </c>
      <c r="DL827">
        <f t="shared" si="74"/>
        <v>0</v>
      </c>
      <c r="DM827">
        <f t="shared" si="75"/>
        <v>0</v>
      </c>
      <c r="DN827" t="str">
        <f t="shared" si="76"/>
        <v>Timber</v>
      </c>
      <c r="DO827">
        <v>0</v>
      </c>
      <c r="DP827" s="143">
        <v>0</v>
      </c>
      <c r="DQ827" s="143">
        <v>0</v>
      </c>
      <c r="DR827" s="143">
        <v>0</v>
      </c>
      <c r="DS827">
        <v>0</v>
      </c>
      <c r="DT827">
        <f t="shared" si="114"/>
        <v>0</v>
      </c>
      <c r="DU827" s="143" t="str">
        <f t="shared" si="99"/>
        <v>explicit C balance</v>
      </c>
      <c r="DV827">
        <v>0</v>
      </c>
      <c r="DW827" s="143">
        <v>0</v>
      </c>
      <c r="DX827" s="143">
        <v>0</v>
      </c>
      <c r="DY827" s="143">
        <v>0</v>
      </c>
      <c r="DZ827">
        <v>0</v>
      </c>
      <c r="EA827" s="143">
        <v>1</v>
      </c>
      <c r="EB827">
        <v>0</v>
      </c>
      <c r="EC827" s="143">
        <v>1</v>
      </c>
      <c r="ED827" s="143">
        <v>0</v>
      </c>
      <c r="EE827">
        <v>0</v>
      </c>
      <c r="EF827">
        <v>0</v>
      </c>
      <c r="EG827" s="143">
        <v>0</v>
      </c>
      <c r="EH827" s="143">
        <v>0</v>
      </c>
      <c r="EI827" s="2">
        <v>0</v>
      </c>
      <c r="EK827" t="str">
        <f t="shared" si="77"/>
        <v/>
      </c>
      <c r="EL827" t="str">
        <f t="shared" si="78"/>
        <v/>
      </c>
      <c r="EM827" s="2" t="str">
        <f t="shared" si="98"/>
        <v/>
      </c>
      <c r="EN827" t="s">
        <v>523</v>
      </c>
      <c r="EP827" t="b">
        <f>IF(ISNUMBER(BU827),IF(ABS(BU827-[1]QC_indicators!$B$2)&gt;3*[1]QC_indicators!$C$2,"C ratio",IF(ISNUMBER(BY827),IF(ABS(BY827-[1]QC_indicators!$B$1)&gt;3*[1]QC_indicators!$C$1,"DF","no"))),IF(ISNUMBER(BY827),IF(ABS(BY827-[1]QC_indicators!$B$1)&gt;3*[1]QC_indicators!$C$1,"DF","no")))</f>
        <v>0</v>
      </c>
      <c r="ER827" s="296" t="s">
        <v>350</v>
      </c>
      <c r="ET827" s="266" t="s">
        <v>3409</v>
      </c>
    </row>
    <row r="828" spans="1:150" ht="15" hidden="1" customHeight="1">
      <c r="A828" s="1" t="s">
        <v>588</v>
      </c>
      <c r="B828" t="s">
        <v>1450</v>
      </c>
      <c r="C828" t="s">
        <v>1451</v>
      </c>
      <c r="D828" t="s">
        <v>1452</v>
      </c>
      <c r="E828" t="s">
        <v>1453</v>
      </c>
      <c r="F828" t="s">
        <v>1454</v>
      </c>
      <c r="G828" t="s">
        <v>594</v>
      </c>
      <c r="H828" t="s">
        <v>255</v>
      </c>
      <c r="I828">
        <v>2020</v>
      </c>
      <c r="J828">
        <v>12</v>
      </c>
      <c r="K828" t="s">
        <v>1455</v>
      </c>
      <c r="M828" t="str">
        <f t="shared" si="102"/>
        <v>Elisa_2020</v>
      </c>
      <c r="N828" s="266" t="s">
        <v>223</v>
      </c>
      <c r="O828" s="171" t="s">
        <v>275</v>
      </c>
      <c r="P828" t="s">
        <v>224</v>
      </c>
      <c r="Q828" s="266" t="s">
        <v>390</v>
      </c>
      <c r="R828" s="271" t="s">
        <v>1156</v>
      </c>
      <c r="S828" s="154" t="s">
        <v>1456</v>
      </c>
      <c r="T828" s="296" t="s">
        <v>1457</v>
      </c>
      <c r="U828" s="143" t="s">
        <v>1458</v>
      </c>
      <c r="V828">
        <v>0</v>
      </c>
      <c r="W828">
        <v>0</v>
      </c>
      <c r="X828">
        <v>0</v>
      </c>
      <c r="Y828">
        <v>0</v>
      </c>
      <c r="Z828">
        <v>0</v>
      </c>
      <c r="AA828">
        <v>0</v>
      </c>
      <c r="AB828">
        <v>0</v>
      </c>
      <c r="AC828">
        <v>0</v>
      </c>
      <c r="AD828">
        <v>0</v>
      </c>
      <c r="AE828">
        <v>1</v>
      </c>
      <c r="AF828">
        <v>0</v>
      </c>
      <c r="AG828">
        <v>0</v>
      </c>
      <c r="AH828">
        <v>0</v>
      </c>
      <c r="AI828">
        <v>0</v>
      </c>
      <c r="AJ828">
        <v>0</v>
      </c>
      <c r="AK828">
        <v>0</v>
      </c>
      <c r="AL828">
        <v>0</v>
      </c>
      <c r="AM828">
        <v>0</v>
      </c>
      <c r="AN828">
        <v>0</v>
      </c>
      <c r="AO828">
        <v>0</v>
      </c>
      <c r="AP828">
        <v>0</v>
      </c>
      <c r="AQ828">
        <v>0</v>
      </c>
      <c r="AR828">
        <v>0</v>
      </c>
      <c r="AS828">
        <v>0</v>
      </c>
      <c r="AT828">
        <v>0</v>
      </c>
      <c r="AU828">
        <v>0</v>
      </c>
      <c r="AV828">
        <v>0</v>
      </c>
      <c r="AW828">
        <v>0</v>
      </c>
      <c r="AX828" s="141">
        <f t="shared" si="116"/>
        <v>1</v>
      </c>
      <c r="AY828" s="141">
        <f t="shared" si="88"/>
        <v>1</v>
      </c>
      <c r="AZ828">
        <f t="shared" si="89"/>
        <v>0</v>
      </c>
      <c r="BA828">
        <f t="shared" si="90"/>
        <v>1</v>
      </c>
      <c r="BB828">
        <f t="shared" si="91"/>
        <v>0</v>
      </c>
      <c r="BC828">
        <f t="shared" si="92"/>
        <v>0</v>
      </c>
      <c r="BD828">
        <f t="shared" si="93"/>
        <v>0</v>
      </c>
      <c r="BE828" t="str" cm="1">
        <f t="array" ref="BE828">IF(AY828=1,INDEX($V$7:$AL$7,MATCH(TRUE,INDEX($V828:$AW828&lt;&gt;0,),0)),IF(AY828=0,INDEX($AM$7:$AW$7,MATCH(1,$AM828:$AW828,0)),IF(BF828="Multiple strategies","mixed drivers",IF(BF828="Supply chain","multiple supply","multiple silviculture"))))</f>
        <v>location of industry</v>
      </c>
      <c r="BF828" s="2" t="str" cm="1">
        <f t="array" ref="BF828">IF(COUNTIF(AZ828:BB828,"&lt;&gt;0")=1,INDEX($V$4:$AW$4,MATCH(TRUE,INDEX($V828:$AW828&lt;&gt;0,),0)),IF(COUNTIF(AZ828:BB828,"&lt;&gt;0")=0,INDEX($AM$4:$AW$4,MATCH(1,$AM828:$AW828,0)),"Multiple strategies"))</f>
        <v>Supply chain</v>
      </c>
      <c r="BG828" s="142" t="s">
        <v>322</v>
      </c>
      <c r="BH828" s="160" t="s">
        <v>1459</v>
      </c>
      <c r="BI828" s="160" t="s">
        <v>1460</v>
      </c>
      <c r="BJ828" s="143" t="s">
        <v>499</v>
      </c>
      <c r="BK828" s="143">
        <v>944</v>
      </c>
      <c r="BL828" s="143">
        <v>1600</v>
      </c>
      <c r="BM828">
        <f>IFERROR(BL828/BK828,"")</f>
        <v>1.6949152542372881</v>
      </c>
      <c r="BN828">
        <f t="shared" si="66"/>
        <v>656</v>
      </c>
      <c r="BO828" s="159">
        <f t="shared" ref="BO828:BO842" si="117">BN828</f>
        <v>656</v>
      </c>
      <c r="BP828" s="155" t="s">
        <v>233</v>
      </c>
      <c r="BQ828" s="155" t="s">
        <v>1461</v>
      </c>
      <c r="BR828" s="155" t="s">
        <v>827</v>
      </c>
      <c r="BS828" s="143" t="s">
        <v>1462</v>
      </c>
      <c r="BT828" t="s">
        <v>1463</v>
      </c>
      <c r="BU828" s="144">
        <f t="shared" ref="BU828:BU842" si="118">BT828/BS828</f>
        <v>2.9358300142452731</v>
      </c>
      <c r="BV828">
        <f t="shared" ref="BV828:BV860" si="119">BT828-BS828</f>
        <v>-13.5858825</v>
      </c>
      <c r="BX828">
        <f t="shared" ref="BX828:BX858" si="120">BV828</f>
        <v>-13.5858825</v>
      </c>
      <c r="BY828">
        <f t="shared" si="94"/>
        <v>-2.0710186737804878E-2</v>
      </c>
      <c r="BZ828">
        <v>0</v>
      </c>
      <c r="CA828">
        <v>0</v>
      </c>
      <c r="CB828">
        <v>0</v>
      </c>
      <c r="CC828">
        <v>0</v>
      </c>
      <c r="CD828">
        <v>0</v>
      </c>
      <c r="CE828">
        <v>0</v>
      </c>
      <c r="CF828">
        <v>0</v>
      </c>
      <c r="CG828">
        <v>0</v>
      </c>
      <c r="CH828">
        <v>0</v>
      </c>
      <c r="CI828">
        <v>0</v>
      </c>
      <c r="CJ828">
        <v>0</v>
      </c>
      <c r="CK828">
        <v>0</v>
      </c>
      <c r="CL828">
        <v>0</v>
      </c>
      <c r="CM828">
        <v>0</v>
      </c>
      <c r="CN828" t="str">
        <f t="shared" si="108"/>
        <v>refOK</v>
      </c>
      <c r="CO828">
        <f t="shared" si="109"/>
        <v>944</v>
      </c>
      <c r="CP828">
        <f t="shared" si="110"/>
        <v>1600</v>
      </c>
      <c r="CQ828">
        <f t="shared" si="51"/>
        <v>656</v>
      </c>
      <c r="CR828">
        <f t="shared" si="111"/>
        <v>-7.0181174999999998</v>
      </c>
      <c r="CS828">
        <f t="shared" si="112"/>
        <v>-20.603999999999999</v>
      </c>
      <c r="CT828">
        <f t="shared" ref="CT828:CT891" si="121">IF($CN828="refNeedCorrection",-BX828,BX828)*IF($BP828="Emissions positive",-1,1)</f>
        <v>-13.5858825</v>
      </c>
      <c r="CU828">
        <f t="shared" si="105"/>
        <v>-2.0710186737804878E-2</v>
      </c>
      <c r="CV828" s="2">
        <f t="shared" ref="CV828:CV891" si="122">IFERROR((CS828-CR828)/ABS(CR828),"")</f>
        <v>-1.9358300142452731</v>
      </c>
      <c r="CW828" s="265" t="s">
        <v>1464</v>
      </c>
      <c r="CX828" s="266" t="str">
        <f t="shared" si="96"/>
        <v>reg</v>
      </c>
      <c r="CY828" s="272" t="s">
        <v>745</v>
      </c>
      <c r="DA828" s="143"/>
      <c r="DB828" s="143">
        <v>0</v>
      </c>
      <c r="DC828" t="str">
        <f t="shared" si="97"/>
        <v>0</v>
      </c>
      <c r="DD828">
        <v>0</v>
      </c>
      <c r="DE828">
        <v>1</v>
      </c>
      <c r="DF828">
        <v>0</v>
      </c>
      <c r="DG828">
        <v>0</v>
      </c>
      <c r="DH828">
        <v>0</v>
      </c>
      <c r="DI828">
        <f t="shared" ref="DI828:DI842" si="123">SUM(DD828:DH828)</f>
        <v>1</v>
      </c>
      <c r="DJ828" t="str">
        <f t="shared" si="103"/>
        <v>EnergyInput</v>
      </c>
      <c r="DK828">
        <f t="shared" si="73"/>
        <v>0</v>
      </c>
      <c r="DL828" t="str">
        <f t="shared" si="74"/>
        <v>Energy</v>
      </c>
      <c r="DM828">
        <f t="shared" si="75"/>
        <v>0</v>
      </c>
      <c r="DN828">
        <f t="shared" si="76"/>
        <v>0</v>
      </c>
      <c r="DO828">
        <v>0</v>
      </c>
      <c r="DP828" s="143">
        <v>0</v>
      </c>
      <c r="DQ828" s="143">
        <v>0</v>
      </c>
      <c r="DR828">
        <v>0</v>
      </c>
      <c r="DS828" s="143">
        <v>0</v>
      </c>
      <c r="DT828">
        <f t="shared" si="114"/>
        <v>0</v>
      </c>
      <c r="DU828" s="143" t="str">
        <f t="shared" si="99"/>
        <v>explicit C balance</v>
      </c>
      <c r="DV828" s="143">
        <v>0</v>
      </c>
      <c r="DW828" s="143">
        <v>0</v>
      </c>
      <c r="DX828" s="143">
        <v>0</v>
      </c>
      <c r="DY828" s="143">
        <v>0</v>
      </c>
      <c r="DZ828">
        <v>0</v>
      </c>
      <c r="EA828" s="143">
        <v>0</v>
      </c>
      <c r="EB828" s="143">
        <v>1</v>
      </c>
      <c r="EC828" s="143">
        <v>1</v>
      </c>
      <c r="ED828" s="143">
        <v>0</v>
      </c>
      <c r="EE828">
        <v>1</v>
      </c>
      <c r="EF828">
        <v>0</v>
      </c>
      <c r="EG828" s="143">
        <v>0</v>
      </c>
      <c r="EH828" s="143">
        <v>0</v>
      </c>
      <c r="EI828" s="2">
        <v>0</v>
      </c>
      <c r="EK828" t="str">
        <f t="shared" si="77"/>
        <v/>
      </c>
      <c r="EL828" t="str">
        <f t="shared" si="78"/>
        <v/>
      </c>
      <c r="EM828" s="2" t="str">
        <f t="shared" si="98"/>
        <v>Technology approach</v>
      </c>
      <c r="EP828" t="str">
        <f>IF(ISNUMBER(BU828),IF(ABS(BU828-[1]QC_indicators!$B$2)&gt;3*[1]QC_indicators!$C$2,"C ratio",IF(ISNUMBER(BY828),IF(ABS(BY828-[1]QC_indicators!$B$1)&gt;3*[1]QC_indicators!$C$1,"DF","no"))),IF(ISNUMBER(BY828),IF(ABS(BY828-[1]QC_indicators!$B$1)&gt;3*[1]QC_indicators!$C$1,"DF","no")))</f>
        <v>no</v>
      </c>
      <c r="ER828" s="149"/>
      <c r="ET828" s="266" t="s">
        <v>3409</v>
      </c>
    </row>
    <row r="829" spans="1:150" ht="15" hidden="1" customHeight="1">
      <c r="A829" s="1" t="s">
        <v>588</v>
      </c>
      <c r="B829" t="s">
        <v>1450</v>
      </c>
      <c r="C829" t="s">
        <v>1451</v>
      </c>
      <c r="D829" t="s">
        <v>1452</v>
      </c>
      <c r="E829" t="s">
        <v>1453</v>
      </c>
      <c r="F829" t="s">
        <v>1454</v>
      </c>
      <c r="G829" t="s">
        <v>594</v>
      </c>
      <c r="H829" t="s">
        <v>255</v>
      </c>
      <c r="I829">
        <v>2020</v>
      </c>
      <c r="J829">
        <v>12</v>
      </c>
      <c r="K829" t="s">
        <v>1455</v>
      </c>
      <c r="M829" t="str">
        <f t="shared" si="102"/>
        <v>Elisa_2020</v>
      </c>
      <c r="N829" s="266" t="s">
        <v>223</v>
      </c>
      <c r="O829" s="171" t="s">
        <v>275</v>
      </c>
      <c r="P829" t="s">
        <v>224</v>
      </c>
      <c r="Q829" s="266" t="s">
        <v>390</v>
      </c>
      <c r="R829" s="271" t="s">
        <v>1156</v>
      </c>
      <c r="S829" s="154" t="s">
        <v>1456</v>
      </c>
      <c r="T829" s="296" t="s">
        <v>1457</v>
      </c>
      <c r="U829" s="143" t="s">
        <v>1458</v>
      </c>
      <c r="V829">
        <v>0</v>
      </c>
      <c r="W829">
        <v>0</v>
      </c>
      <c r="X829">
        <v>0</v>
      </c>
      <c r="Y829">
        <v>0</v>
      </c>
      <c r="Z829">
        <v>0</v>
      </c>
      <c r="AA829">
        <v>0</v>
      </c>
      <c r="AB829">
        <v>0</v>
      </c>
      <c r="AC829">
        <v>0</v>
      </c>
      <c r="AD829">
        <v>0</v>
      </c>
      <c r="AE829">
        <v>1</v>
      </c>
      <c r="AF829">
        <v>0</v>
      </c>
      <c r="AG829">
        <v>0</v>
      </c>
      <c r="AH829">
        <v>0</v>
      </c>
      <c r="AI829">
        <v>0</v>
      </c>
      <c r="AJ829">
        <v>0</v>
      </c>
      <c r="AK829">
        <v>0</v>
      </c>
      <c r="AL829">
        <v>0</v>
      </c>
      <c r="AM829">
        <v>0</v>
      </c>
      <c r="AN829">
        <v>0</v>
      </c>
      <c r="AO829">
        <v>0</v>
      </c>
      <c r="AP829">
        <v>0</v>
      </c>
      <c r="AQ829">
        <v>0</v>
      </c>
      <c r="AR829">
        <v>0</v>
      </c>
      <c r="AS829">
        <v>0</v>
      </c>
      <c r="AT829">
        <v>0</v>
      </c>
      <c r="AU829">
        <v>0</v>
      </c>
      <c r="AV829">
        <v>0</v>
      </c>
      <c r="AW829">
        <v>0</v>
      </c>
      <c r="AX829" s="141">
        <f t="shared" si="116"/>
        <v>1</v>
      </c>
      <c r="AY829" s="141">
        <f t="shared" si="88"/>
        <v>1</v>
      </c>
      <c r="AZ829">
        <f t="shared" si="89"/>
        <v>0</v>
      </c>
      <c r="BA829">
        <f t="shared" si="90"/>
        <v>1</v>
      </c>
      <c r="BB829">
        <f t="shared" si="91"/>
        <v>0</v>
      </c>
      <c r="BC829">
        <f t="shared" si="92"/>
        <v>0</v>
      </c>
      <c r="BD829">
        <f t="shared" si="93"/>
        <v>0</v>
      </c>
      <c r="BE829" t="str" cm="1">
        <f t="array" ref="BE829">IF(AY829=1,INDEX($V$7:$AL$7,MATCH(TRUE,INDEX($V829:$AW829&lt;&gt;0,),0)),IF(AY829=0,INDEX($AM$7:$AW$7,MATCH(1,$AM829:$AW829,0)),IF(BF829="Multiple strategies","mixed drivers",IF(BF829="Supply chain","multiple supply","multiple silviculture"))))</f>
        <v>location of industry</v>
      </c>
      <c r="BF829" s="2" t="str" cm="1">
        <f t="array" ref="BF829">IF(COUNTIF(AZ829:BB829,"&lt;&gt;0")=1,INDEX($V$4:$AW$4,MATCH(TRUE,INDEX($V829:$AW829&lt;&gt;0,),0)),IF(COUNTIF(AZ829:BB829,"&lt;&gt;0")=0,INDEX($AM$4:$AW$4,MATCH(1,$AM829:$AW829,0)),"Multiple strategies"))</f>
        <v>Supply chain</v>
      </c>
      <c r="BG829" s="142" t="s">
        <v>322</v>
      </c>
      <c r="BH829" s="160" t="s">
        <v>1459</v>
      </c>
      <c r="BI829" s="160" t="s">
        <v>1460</v>
      </c>
      <c r="BJ829" s="143" t="s">
        <v>499</v>
      </c>
      <c r="BK829" s="143">
        <v>944</v>
      </c>
      <c r="BL829" s="143">
        <v>1600</v>
      </c>
      <c r="BM829">
        <f>IFERROR(BL831/BK829,"")</f>
        <v>1.6154661016949152</v>
      </c>
      <c r="BN829">
        <f t="shared" si="66"/>
        <v>656</v>
      </c>
      <c r="BO829" s="159">
        <f t="shared" si="117"/>
        <v>656</v>
      </c>
      <c r="BP829" s="155" t="s">
        <v>233</v>
      </c>
      <c r="BQ829" s="155" t="s">
        <v>1461</v>
      </c>
      <c r="BR829" s="155" t="s">
        <v>827</v>
      </c>
      <c r="BS829" s="143" t="s">
        <v>1465</v>
      </c>
      <c r="BT829" t="s">
        <v>1466</v>
      </c>
      <c r="BU829" s="144">
        <f t="shared" si="118"/>
        <v>2.9552486135213476</v>
      </c>
      <c r="BV829">
        <f t="shared" si="119"/>
        <v>-13.5120241666667</v>
      </c>
      <c r="BX829">
        <f t="shared" si="120"/>
        <v>-13.5120241666667</v>
      </c>
      <c r="BY829">
        <f t="shared" si="94"/>
        <v>-2.05975978150407E-2</v>
      </c>
      <c r="BZ829">
        <v>0</v>
      </c>
      <c r="CA829">
        <v>0</v>
      </c>
      <c r="CB829">
        <v>0</v>
      </c>
      <c r="CC829">
        <v>0</v>
      </c>
      <c r="CD829">
        <v>0</v>
      </c>
      <c r="CE829">
        <v>0</v>
      </c>
      <c r="CF829">
        <v>0</v>
      </c>
      <c r="CG829">
        <v>0</v>
      </c>
      <c r="CH829">
        <v>0</v>
      </c>
      <c r="CI829">
        <v>0</v>
      </c>
      <c r="CJ829">
        <v>0</v>
      </c>
      <c r="CK829">
        <v>0</v>
      </c>
      <c r="CL829">
        <v>0</v>
      </c>
      <c r="CM829">
        <v>0</v>
      </c>
      <c r="CN829" t="str">
        <f t="shared" si="108"/>
        <v>refOK</v>
      </c>
      <c r="CO829">
        <f t="shared" si="109"/>
        <v>944</v>
      </c>
      <c r="CP829">
        <f t="shared" si="110"/>
        <v>1600</v>
      </c>
      <c r="CQ829">
        <f t="shared" si="51"/>
        <v>656</v>
      </c>
      <c r="CR829">
        <f t="shared" si="111"/>
        <v>-6.9106424999999998</v>
      </c>
      <c r="CS829">
        <f t="shared" si="112"/>
        <v>-20.4226666666667</v>
      </c>
      <c r="CT829">
        <f t="shared" si="121"/>
        <v>-13.5120241666667</v>
      </c>
      <c r="CU829">
        <f t="shared" si="105"/>
        <v>-2.05975978150407E-2</v>
      </c>
      <c r="CV829" s="2">
        <f t="shared" si="122"/>
        <v>-1.9552486135213478</v>
      </c>
      <c r="CW829" s="265" t="s">
        <v>1464</v>
      </c>
      <c r="CX829" s="266" t="str">
        <f t="shared" si="96"/>
        <v>reg</v>
      </c>
      <c r="CY829" s="272" t="s">
        <v>745</v>
      </c>
      <c r="DA829" s="143"/>
      <c r="DB829" s="143">
        <v>0</v>
      </c>
      <c r="DC829" t="str">
        <f t="shared" si="97"/>
        <v>0</v>
      </c>
      <c r="DD829">
        <v>0</v>
      </c>
      <c r="DE829">
        <v>1</v>
      </c>
      <c r="DF829">
        <v>0</v>
      </c>
      <c r="DG829">
        <v>0</v>
      </c>
      <c r="DH829">
        <v>0</v>
      </c>
      <c r="DI829">
        <f t="shared" si="123"/>
        <v>1</v>
      </c>
      <c r="DJ829" t="str">
        <f t="shared" si="103"/>
        <v>EnergyInput</v>
      </c>
      <c r="DK829">
        <f t="shared" si="73"/>
        <v>0</v>
      </c>
      <c r="DL829" t="str">
        <f t="shared" si="74"/>
        <v>Energy</v>
      </c>
      <c r="DM829">
        <f t="shared" si="75"/>
        <v>0</v>
      </c>
      <c r="DN829">
        <f t="shared" si="76"/>
        <v>0</v>
      </c>
      <c r="DO829">
        <v>0</v>
      </c>
      <c r="DP829" s="143">
        <v>0</v>
      </c>
      <c r="DQ829" s="143">
        <v>0</v>
      </c>
      <c r="DR829">
        <v>0</v>
      </c>
      <c r="DS829" s="143">
        <v>0</v>
      </c>
      <c r="DT829">
        <f t="shared" si="114"/>
        <v>0</v>
      </c>
      <c r="DU829" s="143" t="str">
        <f t="shared" si="99"/>
        <v>explicit C balance</v>
      </c>
      <c r="DV829" s="143">
        <v>0</v>
      </c>
      <c r="DW829" s="143">
        <v>0</v>
      </c>
      <c r="DX829" s="143">
        <v>0</v>
      </c>
      <c r="DY829" s="143">
        <v>0</v>
      </c>
      <c r="DZ829">
        <v>0</v>
      </c>
      <c r="EA829" s="143">
        <v>0</v>
      </c>
      <c r="EB829" s="143">
        <v>0</v>
      </c>
      <c r="EC829" s="143">
        <v>1</v>
      </c>
      <c r="ED829" s="143">
        <v>0</v>
      </c>
      <c r="EE829">
        <v>1</v>
      </c>
      <c r="EF829">
        <v>0</v>
      </c>
      <c r="EG829" s="143">
        <v>0</v>
      </c>
      <c r="EH829" s="143">
        <v>0</v>
      </c>
      <c r="EI829" s="2">
        <v>0</v>
      </c>
      <c r="EK829" t="str">
        <f t="shared" si="77"/>
        <v/>
      </c>
      <c r="EL829" t="str">
        <f t="shared" si="78"/>
        <v/>
      </c>
      <c r="EM829" s="2" t="str">
        <f t="shared" si="98"/>
        <v>Technology approach</v>
      </c>
      <c r="EP829" t="str">
        <f>IF(ISNUMBER(BU829),IF(ABS(BU829-[1]QC_indicators!$B$2)&gt;3*[1]QC_indicators!$C$2,"C ratio",IF(ISNUMBER(BY829),IF(ABS(BY829-[1]QC_indicators!$B$1)&gt;3*[1]QC_indicators!$C$1,"DF","no"))),IF(ISNUMBER(BY829),IF(ABS(BY829-[1]QC_indicators!$B$1)&gt;3*[1]QC_indicators!$C$1,"DF","no")))</f>
        <v>no</v>
      </c>
      <c r="ER829" s="149"/>
      <c r="ET829" s="266" t="s">
        <v>3409</v>
      </c>
    </row>
    <row r="830" spans="1:150" ht="15" hidden="1" customHeight="1">
      <c r="A830" s="1" t="s">
        <v>588</v>
      </c>
      <c r="B830" t="s">
        <v>1450</v>
      </c>
      <c r="C830" t="s">
        <v>1451</v>
      </c>
      <c r="D830" t="s">
        <v>1452</v>
      </c>
      <c r="E830" t="s">
        <v>1453</v>
      </c>
      <c r="F830" t="s">
        <v>1454</v>
      </c>
      <c r="G830" t="s">
        <v>594</v>
      </c>
      <c r="H830" t="s">
        <v>255</v>
      </c>
      <c r="I830">
        <v>2020</v>
      </c>
      <c r="J830">
        <v>12</v>
      </c>
      <c r="K830" t="s">
        <v>1455</v>
      </c>
      <c r="M830" t="str">
        <f t="shared" si="102"/>
        <v>Elisa_2020</v>
      </c>
      <c r="N830" s="266" t="s">
        <v>223</v>
      </c>
      <c r="O830" s="171" t="s">
        <v>275</v>
      </c>
      <c r="P830" t="s">
        <v>224</v>
      </c>
      <c r="Q830" s="266" t="s">
        <v>390</v>
      </c>
      <c r="R830" s="271" t="s">
        <v>1156</v>
      </c>
      <c r="S830" s="154" t="s">
        <v>1456</v>
      </c>
      <c r="T830" s="296" t="s">
        <v>1457</v>
      </c>
      <c r="U830" s="143" t="s">
        <v>1467</v>
      </c>
      <c r="V830">
        <v>0</v>
      </c>
      <c r="W830">
        <v>0</v>
      </c>
      <c r="X830">
        <v>0</v>
      </c>
      <c r="Y830">
        <v>0</v>
      </c>
      <c r="Z830">
        <v>0</v>
      </c>
      <c r="AA830">
        <v>0</v>
      </c>
      <c r="AB830">
        <v>0</v>
      </c>
      <c r="AC830">
        <v>0</v>
      </c>
      <c r="AD830">
        <v>0</v>
      </c>
      <c r="AE830">
        <v>1</v>
      </c>
      <c r="AF830">
        <v>0</v>
      </c>
      <c r="AG830">
        <v>0</v>
      </c>
      <c r="AH830">
        <v>0</v>
      </c>
      <c r="AI830">
        <v>0</v>
      </c>
      <c r="AJ830">
        <v>0</v>
      </c>
      <c r="AK830">
        <v>0</v>
      </c>
      <c r="AL830">
        <v>0</v>
      </c>
      <c r="AM830">
        <v>0</v>
      </c>
      <c r="AN830">
        <v>0</v>
      </c>
      <c r="AO830">
        <v>0</v>
      </c>
      <c r="AP830">
        <v>0</v>
      </c>
      <c r="AQ830">
        <v>0</v>
      </c>
      <c r="AR830">
        <v>0</v>
      </c>
      <c r="AS830">
        <v>0</v>
      </c>
      <c r="AT830">
        <v>0</v>
      </c>
      <c r="AU830">
        <v>0</v>
      </c>
      <c r="AV830">
        <v>0</v>
      </c>
      <c r="AW830">
        <v>0</v>
      </c>
      <c r="AX830" s="141">
        <f t="shared" si="116"/>
        <v>1</v>
      </c>
      <c r="AY830" s="141">
        <f t="shared" si="88"/>
        <v>1</v>
      </c>
      <c r="AZ830">
        <f t="shared" si="89"/>
        <v>0</v>
      </c>
      <c r="BA830">
        <f t="shared" si="90"/>
        <v>1</v>
      </c>
      <c r="BB830">
        <f t="shared" si="91"/>
        <v>0</v>
      </c>
      <c r="BC830">
        <f t="shared" si="92"/>
        <v>0</v>
      </c>
      <c r="BD830">
        <f t="shared" si="93"/>
        <v>0</v>
      </c>
      <c r="BE830" t="str" cm="1">
        <f t="array" ref="BE830">IF(AY830=1,INDEX($V$7:$AL$7,MATCH(TRUE,INDEX($V830:$AW830&lt;&gt;0,),0)),IF(AY830=0,INDEX($AM$7:$AW$7,MATCH(1,$AM830:$AW830,0)),IF(BF830="Multiple strategies","mixed drivers",IF(BF830="Supply chain","multiple supply","multiple silviculture"))))</f>
        <v>location of industry</v>
      </c>
      <c r="BF830" s="2" t="str" cm="1">
        <f t="array" ref="BF830">IF(COUNTIF(AZ830:BB830,"&lt;&gt;0")=1,INDEX($V$4:$AW$4,MATCH(TRUE,INDEX($V830:$AW830&lt;&gt;0,),0)),IF(COUNTIF(AZ830:BB830,"&lt;&gt;0")=0,INDEX($AM$4:$AW$4,MATCH(1,$AM830:$AW830,0)),"Multiple strategies"))</f>
        <v>Supply chain</v>
      </c>
      <c r="BG830" s="142" t="s">
        <v>322</v>
      </c>
      <c r="BH830" s="160" t="s">
        <v>1459</v>
      </c>
      <c r="BI830" s="160" t="s">
        <v>1460</v>
      </c>
      <c r="BJ830" s="143" t="s">
        <v>499</v>
      </c>
      <c r="BK830" s="143">
        <v>944</v>
      </c>
      <c r="BL830" s="143">
        <v>1525</v>
      </c>
      <c r="BM830">
        <f>IFERROR(BL830/BK830,"")</f>
        <v>1.6154661016949152</v>
      </c>
      <c r="BN830">
        <f t="shared" si="66"/>
        <v>581</v>
      </c>
      <c r="BO830" s="159">
        <f t="shared" si="117"/>
        <v>581</v>
      </c>
      <c r="BP830" s="155" t="s">
        <v>233</v>
      </c>
      <c r="BQ830" s="155" t="s">
        <v>1461</v>
      </c>
      <c r="BR830" s="155" t="s">
        <v>827</v>
      </c>
      <c r="BS830" s="143" t="s">
        <v>1462</v>
      </c>
      <c r="BT830" t="s">
        <v>1468</v>
      </c>
      <c r="BU830" s="144">
        <f t="shared" si="118"/>
        <v>2.6578374234021163</v>
      </c>
      <c r="BV830">
        <f t="shared" si="119"/>
        <v>-11.634897833333302</v>
      </c>
      <c r="BX830">
        <f t="shared" si="120"/>
        <v>-11.634897833333302</v>
      </c>
      <c r="BY830">
        <f t="shared" si="94"/>
        <v>-2.0025641709695872E-2</v>
      </c>
      <c r="BZ830">
        <v>1</v>
      </c>
      <c r="CA830">
        <v>0</v>
      </c>
      <c r="CB830">
        <v>0</v>
      </c>
      <c r="CC830">
        <v>0</v>
      </c>
      <c r="CD830">
        <v>1</v>
      </c>
      <c r="CE830">
        <v>1</v>
      </c>
      <c r="CF830">
        <v>0</v>
      </c>
      <c r="CG830">
        <v>0</v>
      </c>
      <c r="CH830">
        <v>0</v>
      </c>
      <c r="CI830">
        <v>0</v>
      </c>
      <c r="CJ830">
        <v>1</v>
      </c>
      <c r="CK830">
        <v>0</v>
      </c>
      <c r="CL830">
        <v>0</v>
      </c>
      <c r="CM830">
        <v>0</v>
      </c>
      <c r="CN830" t="str">
        <f t="shared" si="108"/>
        <v>refOK</v>
      </c>
      <c r="CO830">
        <f t="shared" si="109"/>
        <v>944</v>
      </c>
      <c r="CP830">
        <f t="shared" si="110"/>
        <v>1525</v>
      </c>
      <c r="CQ830">
        <f t="shared" si="51"/>
        <v>581</v>
      </c>
      <c r="CR830">
        <f t="shared" si="111"/>
        <v>-7.0181174999999998</v>
      </c>
      <c r="CS830">
        <f t="shared" si="112"/>
        <v>-18.6530153333333</v>
      </c>
      <c r="CT830">
        <f t="shared" si="121"/>
        <v>-11.634897833333302</v>
      </c>
      <c r="CU830">
        <f t="shared" si="105"/>
        <v>-2.0025641709695872E-2</v>
      </c>
      <c r="CV830" s="2">
        <f t="shared" si="122"/>
        <v>-1.6578374234021163</v>
      </c>
      <c r="CW830" s="265" t="s">
        <v>1464</v>
      </c>
      <c r="CX830" s="266" t="str">
        <f t="shared" si="96"/>
        <v>reg</v>
      </c>
      <c r="CY830" s="272" t="s">
        <v>745</v>
      </c>
      <c r="DA830" s="143"/>
      <c r="DB830" s="143">
        <v>0</v>
      </c>
      <c r="DC830" t="str">
        <f t="shared" si="97"/>
        <v>0</v>
      </c>
      <c r="DD830">
        <v>0</v>
      </c>
      <c r="DE830">
        <v>1</v>
      </c>
      <c r="DF830">
        <v>0</v>
      </c>
      <c r="DG830">
        <v>0</v>
      </c>
      <c r="DH830">
        <v>0</v>
      </c>
      <c r="DI830">
        <f t="shared" si="123"/>
        <v>1</v>
      </c>
      <c r="DJ830" t="str">
        <f t="shared" si="103"/>
        <v>EnergyInput</v>
      </c>
      <c r="DK830">
        <f t="shared" si="73"/>
        <v>0</v>
      </c>
      <c r="DL830" t="str">
        <f t="shared" si="74"/>
        <v>Energy</v>
      </c>
      <c r="DM830">
        <f t="shared" si="75"/>
        <v>0</v>
      </c>
      <c r="DN830">
        <f t="shared" si="76"/>
        <v>0</v>
      </c>
      <c r="DO830">
        <v>0</v>
      </c>
      <c r="DP830" s="143">
        <v>0</v>
      </c>
      <c r="DQ830" s="143">
        <v>0</v>
      </c>
      <c r="DR830">
        <v>0</v>
      </c>
      <c r="DS830" s="143">
        <v>0</v>
      </c>
      <c r="DT830">
        <f t="shared" si="114"/>
        <v>0</v>
      </c>
      <c r="DU830" s="143" t="str">
        <f t="shared" si="99"/>
        <v>explicit C balance</v>
      </c>
      <c r="DV830" s="143">
        <v>0</v>
      </c>
      <c r="DW830" s="143">
        <v>0</v>
      </c>
      <c r="DX830" s="143">
        <v>0</v>
      </c>
      <c r="DY830" s="143">
        <v>0</v>
      </c>
      <c r="DZ830">
        <v>0</v>
      </c>
      <c r="EA830" s="143">
        <v>0</v>
      </c>
      <c r="EB830" s="143">
        <v>1</v>
      </c>
      <c r="EC830" s="143">
        <v>1</v>
      </c>
      <c r="ED830" s="143">
        <v>0</v>
      </c>
      <c r="EE830">
        <v>1</v>
      </c>
      <c r="EF830">
        <v>0</v>
      </c>
      <c r="EG830" s="143">
        <v>0</v>
      </c>
      <c r="EH830" s="143">
        <v>0</v>
      </c>
      <c r="EI830" s="2">
        <v>0</v>
      </c>
      <c r="EK830" t="str">
        <f t="shared" si="77"/>
        <v/>
      </c>
      <c r="EL830" t="str">
        <f t="shared" si="78"/>
        <v/>
      </c>
      <c r="EM830" s="2" t="str">
        <f t="shared" si="98"/>
        <v>Technology approach</v>
      </c>
      <c r="EP830" t="str">
        <f>IF(ISNUMBER(BU830),IF(ABS(BU830-[1]QC_indicators!$B$2)&gt;3*[1]QC_indicators!$C$2,"C ratio",IF(ISNUMBER(BY830),IF(ABS(BY830-[1]QC_indicators!$B$1)&gt;3*[1]QC_indicators!$C$1,"DF","no"))),IF(ISNUMBER(BY830),IF(ABS(BY830-[1]QC_indicators!$B$1)&gt;3*[1]QC_indicators!$C$1,"DF","no")))</f>
        <v>no</v>
      </c>
      <c r="ER830" s="149"/>
      <c r="ET830" s="266" t="s">
        <v>3409</v>
      </c>
    </row>
    <row r="831" spans="1:150" ht="15" hidden="1" customHeight="1">
      <c r="A831" s="1" t="s">
        <v>588</v>
      </c>
      <c r="B831" t="s">
        <v>1450</v>
      </c>
      <c r="C831" t="s">
        <v>1451</v>
      </c>
      <c r="D831" t="s">
        <v>1452</v>
      </c>
      <c r="E831" t="s">
        <v>1453</v>
      </c>
      <c r="F831" t="s">
        <v>1454</v>
      </c>
      <c r="G831" t="s">
        <v>594</v>
      </c>
      <c r="H831" t="s">
        <v>255</v>
      </c>
      <c r="I831">
        <v>2020</v>
      </c>
      <c r="J831">
        <v>12</v>
      </c>
      <c r="K831" t="s">
        <v>1455</v>
      </c>
      <c r="M831" t="str">
        <f t="shared" si="102"/>
        <v>Elisa_2020</v>
      </c>
      <c r="N831" s="266" t="s">
        <v>223</v>
      </c>
      <c r="O831" s="171" t="s">
        <v>275</v>
      </c>
      <c r="P831" t="s">
        <v>224</v>
      </c>
      <c r="Q831" s="266" t="s">
        <v>390</v>
      </c>
      <c r="R831" s="271" t="s">
        <v>1156</v>
      </c>
      <c r="S831" s="154" t="s">
        <v>1456</v>
      </c>
      <c r="T831" s="296" t="s">
        <v>1457</v>
      </c>
      <c r="U831" s="143" t="s">
        <v>1467</v>
      </c>
      <c r="V831">
        <v>0</v>
      </c>
      <c r="W831">
        <v>0</v>
      </c>
      <c r="X831">
        <v>0</v>
      </c>
      <c r="Y831">
        <v>0</v>
      </c>
      <c r="Z831">
        <v>0</v>
      </c>
      <c r="AA831">
        <v>0</v>
      </c>
      <c r="AB831">
        <v>0</v>
      </c>
      <c r="AC831">
        <v>0</v>
      </c>
      <c r="AD831">
        <v>0</v>
      </c>
      <c r="AE831">
        <v>1</v>
      </c>
      <c r="AF831">
        <v>0</v>
      </c>
      <c r="AG831">
        <v>0</v>
      </c>
      <c r="AH831">
        <v>0</v>
      </c>
      <c r="AI831">
        <v>0</v>
      </c>
      <c r="AJ831">
        <v>0</v>
      </c>
      <c r="AK831">
        <v>0</v>
      </c>
      <c r="AL831">
        <v>0</v>
      </c>
      <c r="AM831">
        <v>0</v>
      </c>
      <c r="AN831">
        <v>0</v>
      </c>
      <c r="AO831">
        <v>0</v>
      </c>
      <c r="AP831">
        <v>0</v>
      </c>
      <c r="AQ831">
        <v>0</v>
      </c>
      <c r="AR831">
        <v>0</v>
      </c>
      <c r="AS831">
        <v>0</v>
      </c>
      <c r="AT831">
        <v>0</v>
      </c>
      <c r="AU831">
        <v>0</v>
      </c>
      <c r="AV831">
        <v>0</v>
      </c>
      <c r="AW831">
        <v>0</v>
      </c>
      <c r="AX831" s="141">
        <f t="shared" si="116"/>
        <v>1</v>
      </c>
      <c r="AY831" s="141">
        <f t="shared" si="88"/>
        <v>1</v>
      </c>
      <c r="AZ831">
        <f t="shared" si="89"/>
        <v>0</v>
      </c>
      <c r="BA831">
        <f t="shared" si="90"/>
        <v>1</v>
      </c>
      <c r="BB831">
        <f t="shared" si="91"/>
        <v>0</v>
      </c>
      <c r="BC831">
        <f t="shared" si="92"/>
        <v>0</v>
      </c>
      <c r="BD831">
        <f t="shared" si="93"/>
        <v>0</v>
      </c>
      <c r="BE831" t="str" cm="1">
        <f t="array" ref="BE831">IF(AY831=1,INDEX($V$7:$AL$7,MATCH(TRUE,INDEX($V831:$AW831&lt;&gt;0,),0)),IF(AY831=0,INDEX($AM$7:$AW$7,MATCH(1,$AM831:$AW831,0)),IF(BF831="Multiple strategies","mixed drivers",IF(BF831="Supply chain","multiple supply","multiple silviculture"))))</f>
        <v>location of industry</v>
      </c>
      <c r="BF831" s="2" t="str" cm="1">
        <f t="array" ref="BF831">IF(COUNTIF(AZ831:BB831,"&lt;&gt;0")=1,INDEX($V$4:$AW$4,MATCH(TRUE,INDEX($V831:$AW831&lt;&gt;0,),0)),IF(COUNTIF(AZ831:BB831,"&lt;&gt;0")=0,INDEX($AM$4:$AW$4,MATCH(1,$AM831:$AW831,0)),"Multiple strategies"))</f>
        <v>Supply chain</v>
      </c>
      <c r="BG831" s="142" t="s">
        <v>322</v>
      </c>
      <c r="BH831" s="160" t="s">
        <v>1459</v>
      </c>
      <c r="BI831" s="160" t="s">
        <v>1460</v>
      </c>
      <c r="BJ831" s="143" t="s">
        <v>499</v>
      </c>
      <c r="BK831" s="143">
        <v>944</v>
      </c>
      <c r="BL831" s="143">
        <v>1525</v>
      </c>
      <c r="BM831">
        <f>IFERROR(BL833/BK831,"")</f>
        <v>21.1864406779661</v>
      </c>
      <c r="BN831">
        <f t="shared" si="66"/>
        <v>581</v>
      </c>
      <c r="BO831" s="159">
        <f t="shared" si="117"/>
        <v>581</v>
      </c>
      <c r="BP831" s="155" t="s">
        <v>233</v>
      </c>
      <c r="BQ831" s="155" t="s">
        <v>1461</v>
      </c>
      <c r="BR831" s="155" t="s">
        <v>827</v>
      </c>
      <c r="BS831" s="143" t="s">
        <v>1465</v>
      </c>
      <c r="BT831" t="s">
        <v>1469</v>
      </c>
      <c r="BU831" s="144">
        <f t="shared" si="118"/>
        <v>2.6740052671577788</v>
      </c>
      <c r="BV831">
        <f t="shared" si="119"/>
        <v>-11.5684519444444</v>
      </c>
      <c r="BX831">
        <f t="shared" si="120"/>
        <v>-11.5684519444444</v>
      </c>
      <c r="BY831">
        <f t="shared" si="94"/>
        <v>-1.9911277012813079E-2</v>
      </c>
      <c r="BZ831">
        <v>0</v>
      </c>
      <c r="CA831">
        <v>0</v>
      </c>
      <c r="CB831">
        <v>0</v>
      </c>
      <c r="CC831">
        <v>0</v>
      </c>
      <c r="CD831">
        <v>0</v>
      </c>
      <c r="CE831">
        <v>0</v>
      </c>
      <c r="CF831">
        <v>0</v>
      </c>
      <c r="CG831">
        <v>0</v>
      </c>
      <c r="CH831">
        <v>0</v>
      </c>
      <c r="CI831">
        <v>0</v>
      </c>
      <c r="CJ831">
        <v>0</v>
      </c>
      <c r="CK831">
        <v>0</v>
      </c>
      <c r="CL831">
        <v>0</v>
      </c>
      <c r="CM831">
        <v>0</v>
      </c>
      <c r="CN831" t="str">
        <f t="shared" si="108"/>
        <v>refOK</v>
      </c>
      <c r="CO831">
        <f t="shared" si="109"/>
        <v>944</v>
      </c>
      <c r="CP831">
        <f t="shared" si="110"/>
        <v>1525</v>
      </c>
      <c r="CQ831">
        <f t="shared" si="51"/>
        <v>581</v>
      </c>
      <c r="CR831">
        <f t="shared" si="111"/>
        <v>-6.9106424999999998</v>
      </c>
      <c r="CS831">
        <f t="shared" si="112"/>
        <v>-18.479094444444399</v>
      </c>
      <c r="CT831">
        <f t="shared" si="121"/>
        <v>-11.5684519444444</v>
      </c>
      <c r="CU831">
        <f t="shared" si="105"/>
        <v>-1.9911277012813079E-2</v>
      </c>
      <c r="CV831" s="2">
        <f t="shared" si="122"/>
        <v>-1.6740052671577788</v>
      </c>
      <c r="CW831" s="265" t="s">
        <v>1464</v>
      </c>
      <c r="CX831" s="266" t="str">
        <f t="shared" si="96"/>
        <v>reg</v>
      </c>
      <c r="CY831" s="272" t="s">
        <v>745</v>
      </c>
      <c r="DA831" s="143"/>
      <c r="DB831" s="143">
        <v>0</v>
      </c>
      <c r="DC831" t="str">
        <f t="shared" si="97"/>
        <v>0</v>
      </c>
      <c r="DD831">
        <v>0</v>
      </c>
      <c r="DE831">
        <v>1</v>
      </c>
      <c r="DF831">
        <v>0</v>
      </c>
      <c r="DG831">
        <v>0</v>
      </c>
      <c r="DH831">
        <v>0</v>
      </c>
      <c r="DI831">
        <f t="shared" si="123"/>
        <v>1</v>
      </c>
      <c r="DJ831" t="str">
        <f t="shared" si="103"/>
        <v>EnergyInput</v>
      </c>
      <c r="DK831">
        <f t="shared" si="73"/>
        <v>0</v>
      </c>
      <c r="DL831" t="str">
        <f t="shared" si="74"/>
        <v>Energy</v>
      </c>
      <c r="DM831">
        <f t="shared" si="75"/>
        <v>0</v>
      </c>
      <c r="DN831">
        <f t="shared" si="76"/>
        <v>0</v>
      </c>
      <c r="DO831">
        <v>0</v>
      </c>
      <c r="DP831" s="143">
        <v>0</v>
      </c>
      <c r="DQ831" s="143">
        <v>0</v>
      </c>
      <c r="DR831">
        <v>0</v>
      </c>
      <c r="DS831" s="143">
        <v>0</v>
      </c>
      <c r="DT831">
        <f t="shared" si="114"/>
        <v>0</v>
      </c>
      <c r="DU831" s="143" t="str">
        <f t="shared" si="99"/>
        <v>explicit C balance</v>
      </c>
      <c r="DV831" s="143">
        <v>0</v>
      </c>
      <c r="DW831" s="143">
        <v>0</v>
      </c>
      <c r="DX831" s="143">
        <v>0</v>
      </c>
      <c r="DY831" s="143">
        <v>0</v>
      </c>
      <c r="DZ831">
        <v>0</v>
      </c>
      <c r="EA831" s="143">
        <v>0</v>
      </c>
      <c r="EB831" s="143">
        <v>0</v>
      </c>
      <c r="EC831" s="143">
        <v>1</v>
      </c>
      <c r="ED831" s="143">
        <v>0</v>
      </c>
      <c r="EE831">
        <v>1</v>
      </c>
      <c r="EF831">
        <v>0</v>
      </c>
      <c r="EG831" s="143">
        <v>0</v>
      </c>
      <c r="EH831" s="143">
        <v>0</v>
      </c>
      <c r="EI831" s="2">
        <v>0</v>
      </c>
      <c r="EK831" t="str">
        <f t="shared" si="77"/>
        <v/>
      </c>
      <c r="EL831" t="str">
        <f t="shared" si="78"/>
        <v/>
      </c>
      <c r="EM831" s="2" t="str">
        <f t="shared" si="98"/>
        <v>Technology approach</v>
      </c>
      <c r="EP831" t="str">
        <f>IF(ISNUMBER(BU831),IF(ABS(BU831-[1]QC_indicators!$B$2)&gt;3*[1]QC_indicators!$C$2,"C ratio",IF(ISNUMBER(BY831),IF(ABS(BY831-[1]QC_indicators!$B$1)&gt;3*[1]QC_indicators!$C$1,"DF","no"))),IF(ISNUMBER(BY831),IF(ABS(BY831-[1]QC_indicators!$B$1)&gt;3*[1]QC_indicators!$C$1,"DF","no")))</f>
        <v>no</v>
      </c>
      <c r="ER831" s="149"/>
      <c r="ET831" s="266" t="s">
        <v>3409</v>
      </c>
    </row>
    <row r="832" spans="1:150" ht="15" hidden="1" customHeight="1">
      <c r="A832" s="1" t="s">
        <v>588</v>
      </c>
      <c r="B832" t="s">
        <v>1450</v>
      </c>
      <c r="C832" t="s">
        <v>1451</v>
      </c>
      <c r="D832" t="s">
        <v>1452</v>
      </c>
      <c r="E832" t="s">
        <v>1453</v>
      </c>
      <c r="F832" t="s">
        <v>1454</v>
      </c>
      <c r="G832" t="s">
        <v>594</v>
      </c>
      <c r="H832" t="s">
        <v>255</v>
      </c>
      <c r="I832">
        <v>2020</v>
      </c>
      <c r="J832">
        <v>12</v>
      </c>
      <c r="K832" t="s">
        <v>1455</v>
      </c>
      <c r="M832" t="str">
        <f t="shared" si="102"/>
        <v>Elisa_2020</v>
      </c>
      <c r="N832" s="266" t="s">
        <v>223</v>
      </c>
      <c r="O832" s="171" t="s">
        <v>275</v>
      </c>
      <c r="P832" t="s">
        <v>224</v>
      </c>
      <c r="Q832" s="266" t="s">
        <v>390</v>
      </c>
      <c r="R832" s="271" t="s">
        <v>1156</v>
      </c>
      <c r="S832" s="154" t="s">
        <v>1456</v>
      </c>
      <c r="T832" s="296" t="s">
        <v>1457</v>
      </c>
      <c r="U832" s="143" t="s">
        <v>1470</v>
      </c>
      <c r="V832">
        <v>0</v>
      </c>
      <c r="W832">
        <v>0</v>
      </c>
      <c r="X832">
        <v>0</v>
      </c>
      <c r="Y832">
        <v>0</v>
      </c>
      <c r="Z832">
        <v>0</v>
      </c>
      <c r="AA832">
        <v>0</v>
      </c>
      <c r="AB832">
        <v>0</v>
      </c>
      <c r="AC832">
        <v>0</v>
      </c>
      <c r="AD832">
        <v>0</v>
      </c>
      <c r="AE832">
        <v>1</v>
      </c>
      <c r="AF832">
        <v>0</v>
      </c>
      <c r="AG832">
        <v>0</v>
      </c>
      <c r="AH832">
        <v>0</v>
      </c>
      <c r="AI832">
        <v>0</v>
      </c>
      <c r="AJ832">
        <v>0</v>
      </c>
      <c r="AK832">
        <v>0</v>
      </c>
      <c r="AL832">
        <v>0</v>
      </c>
      <c r="AM832">
        <v>0</v>
      </c>
      <c r="AN832">
        <v>0</v>
      </c>
      <c r="AO832">
        <v>0</v>
      </c>
      <c r="AP832">
        <v>0</v>
      </c>
      <c r="AQ832">
        <v>0</v>
      </c>
      <c r="AR832">
        <v>0</v>
      </c>
      <c r="AS832">
        <v>0</v>
      </c>
      <c r="AT832">
        <v>0</v>
      </c>
      <c r="AU832">
        <v>0</v>
      </c>
      <c r="AV832">
        <v>0</v>
      </c>
      <c r="AW832">
        <v>0</v>
      </c>
      <c r="AX832" s="141">
        <f t="shared" si="116"/>
        <v>1</v>
      </c>
      <c r="AY832" s="141">
        <f t="shared" si="88"/>
        <v>1</v>
      </c>
      <c r="AZ832">
        <f t="shared" si="89"/>
        <v>0</v>
      </c>
      <c r="BA832">
        <f t="shared" si="90"/>
        <v>1</v>
      </c>
      <c r="BB832">
        <f t="shared" si="91"/>
        <v>0</v>
      </c>
      <c r="BC832">
        <f t="shared" si="92"/>
        <v>0</v>
      </c>
      <c r="BD832">
        <f t="shared" si="93"/>
        <v>0</v>
      </c>
      <c r="BE832" t="str" cm="1">
        <f t="array" ref="BE832">IF(AY832=1,INDEX($V$7:$AL$7,MATCH(TRUE,INDEX($V832:$AW832&lt;&gt;0,),0)),IF(AY832=0,INDEX($AM$7:$AW$7,MATCH(1,$AM832:$AW832,0)),IF(BF832="Multiple strategies","mixed drivers",IF(BF832="Supply chain","multiple supply","multiple silviculture"))))</f>
        <v>location of industry</v>
      </c>
      <c r="BF832" s="2" t="str" cm="1">
        <f t="array" ref="BF832">IF(COUNTIF(AZ832:BB832,"&lt;&gt;0")=1,INDEX($V$4:$AW$4,MATCH(TRUE,INDEX($V832:$AW832&lt;&gt;0,),0)),IF(COUNTIF(AZ832:BB832,"&lt;&gt;0")=0,INDEX($AM$4:$AW$4,MATCH(1,$AM832:$AW832,0)),"Multiple strategies"))</f>
        <v>Supply chain</v>
      </c>
      <c r="BG832" s="142" t="s">
        <v>322</v>
      </c>
      <c r="BH832" s="160" t="s">
        <v>1459</v>
      </c>
      <c r="BI832" s="160" t="s">
        <v>1460</v>
      </c>
      <c r="BJ832" s="143" t="s">
        <v>499</v>
      </c>
      <c r="BK832" s="143">
        <v>944</v>
      </c>
      <c r="BL832" s="143">
        <v>20000</v>
      </c>
      <c r="BM832">
        <f>IFERROR(BL832/BK832,"")</f>
        <v>21.1864406779661</v>
      </c>
      <c r="BN832">
        <f t="shared" si="66"/>
        <v>19056</v>
      </c>
      <c r="BO832" s="159">
        <f t="shared" si="117"/>
        <v>19056</v>
      </c>
      <c r="BP832" s="155" t="s">
        <v>233</v>
      </c>
      <c r="BQ832" s="155" t="s">
        <v>1461</v>
      </c>
      <c r="BR832" s="155" t="s">
        <v>827</v>
      </c>
      <c r="BS832" s="143" t="s">
        <v>1462</v>
      </c>
      <c r="BT832" t="s">
        <v>1471</v>
      </c>
      <c r="BU832" s="144">
        <f t="shared" si="118"/>
        <v>23.5996333774691</v>
      </c>
      <c r="BV832">
        <f t="shared" si="119"/>
        <v>-158.60688250000001</v>
      </c>
      <c r="BX832">
        <f t="shared" si="120"/>
        <v>-158.60688250000001</v>
      </c>
      <c r="BY832">
        <f t="shared" si="94"/>
        <v>-8.3231991236356016E-3</v>
      </c>
      <c r="BZ832">
        <v>0</v>
      </c>
      <c r="CA832">
        <v>0</v>
      </c>
      <c r="CB832">
        <v>0</v>
      </c>
      <c r="CC832">
        <v>0</v>
      </c>
      <c r="CD832">
        <v>0</v>
      </c>
      <c r="CE832">
        <v>0</v>
      </c>
      <c r="CF832">
        <v>0</v>
      </c>
      <c r="CG832">
        <v>0</v>
      </c>
      <c r="CH832">
        <v>0</v>
      </c>
      <c r="CI832">
        <v>0</v>
      </c>
      <c r="CJ832">
        <v>0</v>
      </c>
      <c r="CK832">
        <v>0</v>
      </c>
      <c r="CL832">
        <v>0</v>
      </c>
      <c r="CM832">
        <v>0</v>
      </c>
      <c r="CN832" t="str">
        <f t="shared" si="108"/>
        <v>refOK</v>
      </c>
      <c r="CO832">
        <f t="shared" si="109"/>
        <v>944</v>
      </c>
      <c r="CP832">
        <f t="shared" si="110"/>
        <v>20000</v>
      </c>
      <c r="CQ832">
        <f t="shared" si="51"/>
        <v>19056</v>
      </c>
      <c r="CR832">
        <f t="shared" si="111"/>
        <v>-7.0181174999999998</v>
      </c>
      <c r="CS832">
        <f t="shared" si="112"/>
        <v>-165.625</v>
      </c>
      <c r="CT832">
        <f t="shared" si="121"/>
        <v>-158.60688250000001</v>
      </c>
      <c r="CU832">
        <f t="shared" si="105"/>
        <v>-8.3231991236356016E-3</v>
      </c>
      <c r="CV832" s="2">
        <f t="shared" si="122"/>
        <v>-22.599633377469104</v>
      </c>
      <c r="CW832" s="265" t="s">
        <v>1464</v>
      </c>
      <c r="CX832" s="266" t="str">
        <f t="shared" si="96"/>
        <v>reg</v>
      </c>
      <c r="CY832" s="272" t="s">
        <v>745</v>
      </c>
      <c r="DA832" s="143"/>
      <c r="DB832" s="143">
        <v>0</v>
      </c>
      <c r="DC832" t="str">
        <f t="shared" si="97"/>
        <v>0</v>
      </c>
      <c r="DD832">
        <v>0</v>
      </c>
      <c r="DE832">
        <v>1</v>
      </c>
      <c r="DF832">
        <v>0</v>
      </c>
      <c r="DG832">
        <v>0</v>
      </c>
      <c r="DH832">
        <v>0</v>
      </c>
      <c r="DI832">
        <f t="shared" si="123"/>
        <v>1</v>
      </c>
      <c r="DJ832" t="str">
        <f t="shared" si="103"/>
        <v>EnergyInput</v>
      </c>
      <c r="DK832">
        <f t="shared" si="73"/>
        <v>0</v>
      </c>
      <c r="DL832" t="str">
        <f t="shared" si="74"/>
        <v>Energy</v>
      </c>
      <c r="DM832">
        <f t="shared" si="75"/>
        <v>0</v>
      </c>
      <c r="DN832">
        <f t="shared" si="76"/>
        <v>0</v>
      </c>
      <c r="DO832">
        <v>0</v>
      </c>
      <c r="DP832" s="143">
        <v>0</v>
      </c>
      <c r="DQ832" s="143">
        <v>0</v>
      </c>
      <c r="DR832">
        <v>0</v>
      </c>
      <c r="DS832" s="143">
        <v>0</v>
      </c>
      <c r="DT832">
        <f t="shared" si="114"/>
        <v>0</v>
      </c>
      <c r="DU832" s="143" t="str">
        <f t="shared" si="99"/>
        <v>explicit C balance</v>
      </c>
      <c r="DV832" s="143">
        <v>0</v>
      </c>
      <c r="DW832" s="143">
        <v>0</v>
      </c>
      <c r="DX832" s="143">
        <v>0</v>
      </c>
      <c r="DY832" s="143">
        <v>0</v>
      </c>
      <c r="DZ832">
        <v>0</v>
      </c>
      <c r="EA832" s="143">
        <v>0</v>
      </c>
      <c r="EB832" s="143">
        <v>1</v>
      </c>
      <c r="EC832" s="143">
        <v>1</v>
      </c>
      <c r="ED832" s="143">
        <v>0</v>
      </c>
      <c r="EE832">
        <v>1</v>
      </c>
      <c r="EF832">
        <v>0</v>
      </c>
      <c r="EG832" s="143">
        <v>0</v>
      </c>
      <c r="EH832" s="143">
        <v>0</v>
      </c>
      <c r="EI832" s="2">
        <v>0</v>
      </c>
      <c r="EK832" t="str">
        <f t="shared" si="77"/>
        <v/>
      </c>
      <c r="EL832" t="str">
        <f t="shared" si="78"/>
        <v/>
      </c>
      <c r="EM832" s="2" t="str">
        <f t="shared" si="98"/>
        <v>Technology approach</v>
      </c>
      <c r="EP832" t="str">
        <f>IF(ISNUMBER(BU832),IF(ABS(BU832-[1]QC_indicators!$B$2)&gt;3*[1]QC_indicators!$C$2,"C ratio",IF(ISNUMBER(BY832),IF(ABS(BY832-[1]QC_indicators!$B$1)&gt;3*[1]QC_indicators!$C$1,"DF","no"))),IF(ISNUMBER(BY832),IF(ABS(BY832-[1]QC_indicators!$B$1)&gt;3*[1]QC_indicators!$C$1,"DF","no")))</f>
        <v>no</v>
      </c>
      <c r="ER832" s="149"/>
      <c r="ET832" s="266" t="s">
        <v>3409</v>
      </c>
    </row>
    <row r="833" spans="1:150" ht="15" hidden="1" customHeight="1">
      <c r="A833" s="1" t="s">
        <v>588</v>
      </c>
      <c r="B833" t="s">
        <v>1450</v>
      </c>
      <c r="C833" t="s">
        <v>1451</v>
      </c>
      <c r="D833" t="s">
        <v>1452</v>
      </c>
      <c r="E833" t="s">
        <v>1453</v>
      </c>
      <c r="F833" t="s">
        <v>1454</v>
      </c>
      <c r="G833" t="s">
        <v>594</v>
      </c>
      <c r="H833" t="s">
        <v>255</v>
      </c>
      <c r="I833">
        <v>2020</v>
      </c>
      <c r="J833">
        <v>12</v>
      </c>
      <c r="K833" t="s">
        <v>1455</v>
      </c>
      <c r="M833" t="str">
        <f t="shared" si="102"/>
        <v>Elisa_2020</v>
      </c>
      <c r="N833" s="266" t="s">
        <v>223</v>
      </c>
      <c r="O833" s="171" t="s">
        <v>275</v>
      </c>
      <c r="P833" t="s">
        <v>224</v>
      </c>
      <c r="Q833" s="266" t="s">
        <v>390</v>
      </c>
      <c r="R833" s="271" t="s">
        <v>1156</v>
      </c>
      <c r="S833" s="154" t="s">
        <v>1456</v>
      </c>
      <c r="T833" s="296" t="s">
        <v>1457</v>
      </c>
      <c r="U833" s="143" t="s">
        <v>1470</v>
      </c>
      <c r="V833">
        <v>0</v>
      </c>
      <c r="W833">
        <v>0</v>
      </c>
      <c r="X833">
        <v>0</v>
      </c>
      <c r="Y833">
        <v>0</v>
      </c>
      <c r="Z833">
        <v>0</v>
      </c>
      <c r="AA833">
        <v>0</v>
      </c>
      <c r="AB833">
        <v>0</v>
      </c>
      <c r="AC833">
        <v>0</v>
      </c>
      <c r="AD833">
        <v>0</v>
      </c>
      <c r="AE833">
        <v>1</v>
      </c>
      <c r="AF833">
        <v>0</v>
      </c>
      <c r="AG833">
        <v>0</v>
      </c>
      <c r="AH833">
        <v>0</v>
      </c>
      <c r="AI833">
        <v>0</v>
      </c>
      <c r="AJ833">
        <v>0</v>
      </c>
      <c r="AK833">
        <v>0</v>
      </c>
      <c r="AL833">
        <v>0</v>
      </c>
      <c r="AM833">
        <v>0</v>
      </c>
      <c r="AN833">
        <v>0</v>
      </c>
      <c r="AO833">
        <v>0</v>
      </c>
      <c r="AP833">
        <v>0</v>
      </c>
      <c r="AQ833">
        <v>0</v>
      </c>
      <c r="AR833">
        <v>0</v>
      </c>
      <c r="AS833">
        <v>0</v>
      </c>
      <c r="AT833">
        <v>0</v>
      </c>
      <c r="AU833">
        <v>0</v>
      </c>
      <c r="AV833">
        <v>0</v>
      </c>
      <c r="AW833">
        <v>0</v>
      </c>
      <c r="AX833" s="141">
        <f t="shared" si="116"/>
        <v>1</v>
      </c>
      <c r="AY833" s="141">
        <f t="shared" si="88"/>
        <v>1</v>
      </c>
      <c r="AZ833">
        <f t="shared" si="89"/>
        <v>0</v>
      </c>
      <c r="BA833">
        <f t="shared" si="90"/>
        <v>1</v>
      </c>
      <c r="BB833">
        <f t="shared" si="91"/>
        <v>0</v>
      </c>
      <c r="BC833">
        <f t="shared" si="92"/>
        <v>0</v>
      </c>
      <c r="BD833">
        <f t="shared" si="93"/>
        <v>0</v>
      </c>
      <c r="BE833" t="str" cm="1">
        <f t="array" ref="BE833">IF(AY833=1,INDEX($V$7:$AL$7,MATCH(TRUE,INDEX($V833:$AW833&lt;&gt;0,),0)),IF(AY833=0,INDEX($AM$7:$AW$7,MATCH(1,$AM833:$AW833,0)),IF(BF833="Multiple strategies","mixed drivers",IF(BF833="Supply chain","multiple supply","multiple silviculture"))))</f>
        <v>location of industry</v>
      </c>
      <c r="BF833" s="2" t="str" cm="1">
        <f t="array" ref="BF833">IF(COUNTIF(AZ833:BB833,"&lt;&gt;0")=1,INDEX($V$4:$AW$4,MATCH(TRUE,INDEX($V833:$AW833&lt;&gt;0,),0)),IF(COUNTIF(AZ833:BB833,"&lt;&gt;0")=0,INDEX($AM$4:$AW$4,MATCH(1,$AM833:$AW833,0)),"Multiple strategies"))</f>
        <v>Supply chain</v>
      </c>
      <c r="BG833" s="142" t="s">
        <v>322</v>
      </c>
      <c r="BH833" s="160" t="s">
        <v>1459</v>
      </c>
      <c r="BI833" s="160" t="s">
        <v>1460</v>
      </c>
      <c r="BJ833" s="143" t="s">
        <v>499</v>
      </c>
      <c r="BK833" s="143">
        <v>944</v>
      </c>
      <c r="BL833" s="143">
        <v>20000</v>
      </c>
      <c r="BM833">
        <f>IFERROR(BL835/BK833,"")</f>
        <v>7.4078389830508478</v>
      </c>
      <c r="BN833">
        <f t="shared" si="66"/>
        <v>19056</v>
      </c>
      <c r="BO833" s="159">
        <f t="shared" si="117"/>
        <v>19056</v>
      </c>
      <c r="BP833" s="155" t="s">
        <v>233</v>
      </c>
      <c r="BQ833" s="155" t="s">
        <v>1461</v>
      </c>
      <c r="BR833" s="155" t="s">
        <v>827</v>
      </c>
      <c r="BS833" s="143" t="s">
        <v>1465</v>
      </c>
      <c r="BT833" t="s">
        <v>1472</v>
      </c>
      <c r="BU833" s="144">
        <f t="shared" si="118"/>
        <v>23.665189838233854</v>
      </c>
      <c r="BV833">
        <f t="shared" si="119"/>
        <v>-156.631024166667</v>
      </c>
      <c r="BX833">
        <f t="shared" si="120"/>
        <v>-156.631024166667</v>
      </c>
      <c r="BY833">
        <f t="shared" si="94"/>
        <v>-8.2195121833893263E-3</v>
      </c>
      <c r="BZ833">
        <v>0</v>
      </c>
      <c r="CA833">
        <v>0</v>
      </c>
      <c r="CB833">
        <v>0</v>
      </c>
      <c r="CC833">
        <v>0</v>
      </c>
      <c r="CD833">
        <v>0</v>
      </c>
      <c r="CE833">
        <v>0</v>
      </c>
      <c r="CF833">
        <v>0</v>
      </c>
      <c r="CG833">
        <v>0</v>
      </c>
      <c r="CH833">
        <v>0</v>
      </c>
      <c r="CI833">
        <v>0</v>
      </c>
      <c r="CJ833">
        <v>0</v>
      </c>
      <c r="CK833">
        <v>0</v>
      </c>
      <c r="CL833">
        <v>0</v>
      </c>
      <c r="CM833">
        <v>0</v>
      </c>
      <c r="CN833" t="str">
        <f t="shared" si="108"/>
        <v>refOK</v>
      </c>
      <c r="CO833">
        <f t="shared" si="109"/>
        <v>944</v>
      </c>
      <c r="CP833">
        <f t="shared" si="110"/>
        <v>20000</v>
      </c>
      <c r="CQ833">
        <f t="shared" si="51"/>
        <v>19056</v>
      </c>
      <c r="CR833">
        <f t="shared" si="111"/>
        <v>-6.9106424999999998</v>
      </c>
      <c r="CS833">
        <f t="shared" si="112"/>
        <v>-163.541666666667</v>
      </c>
      <c r="CT833">
        <f t="shared" si="121"/>
        <v>-156.631024166667</v>
      </c>
      <c r="CU833">
        <f t="shared" si="105"/>
        <v>-8.2195121833893263E-3</v>
      </c>
      <c r="CV833" s="2">
        <f t="shared" si="122"/>
        <v>-22.665189838233857</v>
      </c>
      <c r="CW833" s="265" t="s">
        <v>1464</v>
      </c>
      <c r="CX833" s="266" t="str">
        <f t="shared" si="96"/>
        <v>reg</v>
      </c>
      <c r="CY833" s="272" t="s">
        <v>745</v>
      </c>
      <c r="DA833" s="143"/>
      <c r="DB833" s="143">
        <v>0</v>
      </c>
      <c r="DC833" t="str">
        <f t="shared" si="97"/>
        <v>0</v>
      </c>
      <c r="DD833">
        <v>0</v>
      </c>
      <c r="DE833">
        <v>1</v>
      </c>
      <c r="DF833">
        <v>0</v>
      </c>
      <c r="DG833">
        <v>0</v>
      </c>
      <c r="DH833">
        <v>0</v>
      </c>
      <c r="DI833">
        <f t="shared" si="123"/>
        <v>1</v>
      </c>
      <c r="DJ833" t="str">
        <f t="shared" si="103"/>
        <v>EnergyInput</v>
      </c>
      <c r="DK833">
        <f t="shared" si="73"/>
        <v>0</v>
      </c>
      <c r="DL833" t="str">
        <f t="shared" si="74"/>
        <v>Energy</v>
      </c>
      <c r="DM833">
        <f t="shared" si="75"/>
        <v>0</v>
      </c>
      <c r="DN833">
        <f t="shared" si="76"/>
        <v>0</v>
      </c>
      <c r="DO833">
        <v>0</v>
      </c>
      <c r="DP833" s="143">
        <v>0</v>
      </c>
      <c r="DQ833" s="143">
        <v>0</v>
      </c>
      <c r="DR833">
        <v>0</v>
      </c>
      <c r="DS833" s="143">
        <v>0</v>
      </c>
      <c r="DT833">
        <f t="shared" si="114"/>
        <v>0</v>
      </c>
      <c r="DU833" s="143" t="str">
        <f t="shared" si="99"/>
        <v>explicit C balance</v>
      </c>
      <c r="DV833" s="143">
        <v>0</v>
      </c>
      <c r="DW833" s="143">
        <v>0</v>
      </c>
      <c r="DX833" s="143">
        <v>0</v>
      </c>
      <c r="DY833" s="143">
        <v>0</v>
      </c>
      <c r="DZ833">
        <v>0</v>
      </c>
      <c r="EA833" s="143">
        <v>0</v>
      </c>
      <c r="EB833" s="143">
        <v>0</v>
      </c>
      <c r="EC833" s="143">
        <v>1</v>
      </c>
      <c r="ED833" s="143">
        <v>0</v>
      </c>
      <c r="EE833">
        <v>1</v>
      </c>
      <c r="EF833">
        <v>0</v>
      </c>
      <c r="EG833" s="143">
        <v>0</v>
      </c>
      <c r="EH833" s="143">
        <v>0</v>
      </c>
      <c r="EI833" s="2">
        <v>0</v>
      </c>
      <c r="EK833" t="str">
        <f t="shared" si="77"/>
        <v/>
      </c>
      <c r="EL833" t="str">
        <f t="shared" si="78"/>
        <v/>
      </c>
      <c r="EM833" s="2" t="str">
        <f t="shared" si="98"/>
        <v>Technology approach</v>
      </c>
      <c r="EP833" t="str">
        <f>IF(ISNUMBER(BU833),IF(ABS(BU833-[1]QC_indicators!$B$2)&gt;3*[1]QC_indicators!$C$2,"C ratio",IF(ISNUMBER(BY833),IF(ABS(BY833-[1]QC_indicators!$B$1)&gt;3*[1]QC_indicators!$C$1,"DF","no"))),IF(ISNUMBER(BY833),IF(ABS(BY833-[1]QC_indicators!$B$1)&gt;3*[1]QC_indicators!$C$1,"DF","no")))</f>
        <v>no</v>
      </c>
      <c r="ER833" s="149"/>
      <c r="ET833" s="266" t="s">
        <v>3409</v>
      </c>
    </row>
    <row r="834" spans="1:150" ht="15" hidden="1" customHeight="1">
      <c r="A834" s="1" t="s">
        <v>588</v>
      </c>
      <c r="B834" t="s">
        <v>1450</v>
      </c>
      <c r="C834" t="s">
        <v>1451</v>
      </c>
      <c r="D834" t="s">
        <v>1452</v>
      </c>
      <c r="E834" t="s">
        <v>1453</v>
      </c>
      <c r="F834" t="s">
        <v>1454</v>
      </c>
      <c r="G834" t="s">
        <v>594</v>
      </c>
      <c r="H834" t="s">
        <v>255</v>
      </c>
      <c r="I834">
        <v>2020</v>
      </c>
      <c r="J834">
        <v>12</v>
      </c>
      <c r="K834" t="s">
        <v>1455</v>
      </c>
      <c r="M834" t="str">
        <f t="shared" si="102"/>
        <v>Elisa_2020</v>
      </c>
      <c r="N834" s="266" t="s">
        <v>223</v>
      </c>
      <c r="O834" s="171" t="s">
        <v>275</v>
      </c>
      <c r="P834" t="s">
        <v>224</v>
      </c>
      <c r="Q834" s="266" t="s">
        <v>390</v>
      </c>
      <c r="R834" s="271" t="s">
        <v>1156</v>
      </c>
      <c r="S834" s="154" t="s">
        <v>1456</v>
      </c>
      <c r="T834" s="296" t="s">
        <v>1457</v>
      </c>
      <c r="U834" s="143" t="s">
        <v>1473</v>
      </c>
      <c r="V834">
        <v>0</v>
      </c>
      <c r="W834">
        <v>0</v>
      </c>
      <c r="X834">
        <v>0</v>
      </c>
      <c r="Y834">
        <v>0</v>
      </c>
      <c r="Z834">
        <v>0</v>
      </c>
      <c r="AA834">
        <v>0</v>
      </c>
      <c r="AB834">
        <v>0</v>
      </c>
      <c r="AC834">
        <v>0</v>
      </c>
      <c r="AD834">
        <v>0</v>
      </c>
      <c r="AE834">
        <v>1</v>
      </c>
      <c r="AF834">
        <v>0</v>
      </c>
      <c r="AG834">
        <v>0</v>
      </c>
      <c r="AH834">
        <v>0</v>
      </c>
      <c r="AI834">
        <v>0</v>
      </c>
      <c r="AJ834">
        <v>0</v>
      </c>
      <c r="AK834">
        <v>0</v>
      </c>
      <c r="AL834">
        <v>0</v>
      </c>
      <c r="AM834">
        <v>0</v>
      </c>
      <c r="AN834">
        <v>0</v>
      </c>
      <c r="AO834">
        <v>0</v>
      </c>
      <c r="AP834">
        <v>0</v>
      </c>
      <c r="AQ834">
        <v>0</v>
      </c>
      <c r="AR834">
        <v>0</v>
      </c>
      <c r="AS834">
        <v>0</v>
      </c>
      <c r="AT834">
        <v>0</v>
      </c>
      <c r="AU834">
        <v>0</v>
      </c>
      <c r="AV834">
        <v>0</v>
      </c>
      <c r="AW834">
        <v>0</v>
      </c>
      <c r="AX834" s="141">
        <f t="shared" si="116"/>
        <v>1</v>
      </c>
      <c r="AY834" s="141">
        <f t="shared" si="88"/>
        <v>1</v>
      </c>
      <c r="AZ834">
        <f t="shared" si="89"/>
        <v>0</v>
      </c>
      <c r="BA834">
        <f t="shared" si="90"/>
        <v>1</v>
      </c>
      <c r="BB834">
        <f t="shared" si="91"/>
        <v>0</v>
      </c>
      <c r="BC834">
        <f t="shared" si="92"/>
        <v>0</v>
      </c>
      <c r="BD834">
        <f t="shared" si="93"/>
        <v>0</v>
      </c>
      <c r="BE834" t="str" cm="1">
        <f t="array" ref="BE834">IF(AY834=1,INDEX($V$7:$AL$7,MATCH(TRUE,INDEX($V834:$AW834&lt;&gt;0,),0)),IF(AY834=0,INDEX($AM$7:$AW$7,MATCH(1,$AM834:$AW834,0)),IF(BF834="Multiple strategies","mixed drivers",IF(BF834="Supply chain","multiple supply","multiple silviculture"))))</f>
        <v>location of industry</v>
      </c>
      <c r="BF834" s="2" t="str" cm="1">
        <f t="array" ref="BF834">IF(COUNTIF(AZ834:BB834,"&lt;&gt;0")=1,INDEX($V$4:$AW$4,MATCH(TRUE,INDEX($V834:$AW834&lt;&gt;0,),0)),IF(COUNTIF(AZ834:BB834,"&lt;&gt;0")=0,INDEX($AM$4:$AW$4,MATCH(1,$AM834:$AW834,0)),"Multiple strategies"))</f>
        <v>Supply chain</v>
      </c>
      <c r="BG834" s="142" t="s">
        <v>322</v>
      </c>
      <c r="BH834" s="160" t="s">
        <v>1459</v>
      </c>
      <c r="BI834" s="160" t="s">
        <v>1460</v>
      </c>
      <c r="BJ834" s="143" t="s">
        <v>499</v>
      </c>
      <c r="BK834" s="143">
        <v>944</v>
      </c>
      <c r="BL834" s="143">
        <v>6993</v>
      </c>
      <c r="BM834">
        <f>IFERROR(BL834/BK834,"")</f>
        <v>7.4078389830508478</v>
      </c>
      <c r="BN834">
        <f t="shared" si="66"/>
        <v>6049</v>
      </c>
      <c r="BO834" s="159">
        <f t="shared" si="117"/>
        <v>6049</v>
      </c>
      <c r="BP834" s="155" t="s">
        <v>233</v>
      </c>
      <c r="BQ834" s="155" t="s">
        <v>1461</v>
      </c>
      <c r="BR834" s="155" t="s">
        <v>827</v>
      </c>
      <c r="BS834" s="143" t="s">
        <v>1462</v>
      </c>
      <c r="BT834" t="s">
        <v>1474</v>
      </c>
      <c r="BU834" s="144">
        <f t="shared" si="118"/>
        <v>6.6613304778667501</v>
      </c>
      <c r="BV834">
        <f t="shared" si="119"/>
        <v>-39.731882499999998</v>
      </c>
      <c r="BX834">
        <f t="shared" si="120"/>
        <v>-39.731882499999998</v>
      </c>
      <c r="BY834">
        <f t="shared" si="94"/>
        <v>-6.5683389816498594E-3</v>
      </c>
      <c r="BZ834">
        <v>0</v>
      </c>
      <c r="CA834">
        <v>0</v>
      </c>
      <c r="CB834">
        <v>0</v>
      </c>
      <c r="CC834">
        <v>0</v>
      </c>
      <c r="CD834">
        <v>0</v>
      </c>
      <c r="CE834">
        <v>0</v>
      </c>
      <c r="CF834">
        <v>0</v>
      </c>
      <c r="CG834">
        <v>0</v>
      </c>
      <c r="CH834">
        <v>0</v>
      </c>
      <c r="CI834">
        <v>0</v>
      </c>
      <c r="CJ834">
        <v>0</v>
      </c>
      <c r="CK834">
        <v>0</v>
      </c>
      <c r="CL834">
        <v>0</v>
      </c>
      <c r="CM834">
        <v>0</v>
      </c>
      <c r="CN834" t="str">
        <f t="shared" si="108"/>
        <v>refOK</v>
      </c>
      <c r="CO834">
        <f t="shared" si="109"/>
        <v>944</v>
      </c>
      <c r="CP834">
        <f t="shared" si="110"/>
        <v>6993</v>
      </c>
      <c r="CQ834">
        <f t="shared" si="51"/>
        <v>6049</v>
      </c>
      <c r="CR834">
        <f t="shared" si="111"/>
        <v>-7.0181174999999998</v>
      </c>
      <c r="CS834">
        <f t="shared" si="112"/>
        <v>-46.75</v>
      </c>
      <c r="CT834">
        <f t="shared" si="121"/>
        <v>-39.731882499999998</v>
      </c>
      <c r="CU834">
        <f t="shared" si="105"/>
        <v>-6.5683389816498594E-3</v>
      </c>
      <c r="CV834" s="2">
        <f t="shared" si="122"/>
        <v>-5.6613304778667501</v>
      </c>
      <c r="CW834" s="265" t="s">
        <v>1464</v>
      </c>
      <c r="CX834" s="266" t="str">
        <f t="shared" si="96"/>
        <v>reg</v>
      </c>
      <c r="CY834" s="272" t="s">
        <v>745</v>
      </c>
      <c r="DA834" s="143"/>
      <c r="DB834" s="143">
        <v>0</v>
      </c>
      <c r="DC834" t="str">
        <f t="shared" si="97"/>
        <v>0</v>
      </c>
      <c r="DD834">
        <v>0</v>
      </c>
      <c r="DE834">
        <v>1</v>
      </c>
      <c r="DF834">
        <v>0</v>
      </c>
      <c r="DG834">
        <v>0</v>
      </c>
      <c r="DH834">
        <v>0</v>
      </c>
      <c r="DI834">
        <f t="shared" si="123"/>
        <v>1</v>
      </c>
      <c r="DJ834" t="str">
        <f t="shared" si="103"/>
        <v>EnergyInput</v>
      </c>
      <c r="DK834">
        <f t="shared" si="73"/>
        <v>0</v>
      </c>
      <c r="DL834" t="str">
        <f t="shared" si="74"/>
        <v>Energy</v>
      </c>
      <c r="DM834">
        <f t="shared" si="75"/>
        <v>0</v>
      </c>
      <c r="DN834">
        <f t="shared" si="76"/>
        <v>0</v>
      </c>
      <c r="DO834">
        <v>0</v>
      </c>
      <c r="DP834" s="143">
        <v>0</v>
      </c>
      <c r="DQ834" s="143">
        <v>0</v>
      </c>
      <c r="DR834">
        <v>0</v>
      </c>
      <c r="DS834" s="143">
        <v>0</v>
      </c>
      <c r="DT834">
        <f t="shared" si="114"/>
        <v>0</v>
      </c>
      <c r="DU834" s="143" t="str">
        <f t="shared" si="99"/>
        <v>explicit C balance</v>
      </c>
      <c r="DV834" s="143">
        <v>0</v>
      </c>
      <c r="DW834" s="143">
        <v>0</v>
      </c>
      <c r="DX834" s="143">
        <v>0</v>
      </c>
      <c r="DY834" s="143">
        <v>0</v>
      </c>
      <c r="DZ834">
        <v>0</v>
      </c>
      <c r="EA834" s="143">
        <v>0</v>
      </c>
      <c r="EB834" s="143">
        <v>1</v>
      </c>
      <c r="EC834" s="143">
        <v>1</v>
      </c>
      <c r="ED834" s="143">
        <v>0</v>
      </c>
      <c r="EE834">
        <v>1</v>
      </c>
      <c r="EF834">
        <v>0</v>
      </c>
      <c r="EG834" s="143">
        <v>0</v>
      </c>
      <c r="EH834" s="143">
        <v>0</v>
      </c>
      <c r="EI834" s="2">
        <v>0</v>
      </c>
      <c r="EK834" t="str">
        <f t="shared" si="77"/>
        <v/>
      </c>
      <c r="EL834" t="str">
        <f t="shared" si="78"/>
        <v/>
      </c>
      <c r="EM834" s="2" t="str">
        <f t="shared" si="98"/>
        <v>Technology approach</v>
      </c>
      <c r="EP834" t="str">
        <f>IF(ISNUMBER(BU834),IF(ABS(BU834-[1]QC_indicators!$B$2)&gt;3*[1]QC_indicators!$C$2,"C ratio",IF(ISNUMBER(BY834),IF(ABS(BY834-[1]QC_indicators!$B$1)&gt;3*[1]QC_indicators!$C$1,"DF","no"))),IF(ISNUMBER(BY834),IF(ABS(BY834-[1]QC_indicators!$B$1)&gt;3*[1]QC_indicators!$C$1,"DF","no")))</f>
        <v>no</v>
      </c>
      <c r="ER834" s="149"/>
      <c r="ET834" s="266" t="s">
        <v>3409</v>
      </c>
    </row>
    <row r="835" spans="1:150" ht="15" hidden="1" customHeight="1">
      <c r="A835" s="1" t="s">
        <v>588</v>
      </c>
      <c r="B835" t="s">
        <v>1450</v>
      </c>
      <c r="C835" t="s">
        <v>1451</v>
      </c>
      <c r="D835" t="s">
        <v>1452</v>
      </c>
      <c r="E835" t="s">
        <v>1453</v>
      </c>
      <c r="F835" t="s">
        <v>1454</v>
      </c>
      <c r="G835" t="s">
        <v>594</v>
      </c>
      <c r="H835" t="s">
        <v>255</v>
      </c>
      <c r="I835">
        <v>2020</v>
      </c>
      <c r="J835">
        <v>12</v>
      </c>
      <c r="K835" t="s">
        <v>1455</v>
      </c>
      <c r="M835" t="str">
        <f t="shared" si="102"/>
        <v>Elisa_2020</v>
      </c>
      <c r="N835" s="266" t="s">
        <v>223</v>
      </c>
      <c r="O835" s="171" t="s">
        <v>275</v>
      </c>
      <c r="P835" t="s">
        <v>224</v>
      </c>
      <c r="Q835" s="266" t="s">
        <v>390</v>
      </c>
      <c r="R835" s="271" t="s">
        <v>1156</v>
      </c>
      <c r="S835" s="154" t="s">
        <v>1456</v>
      </c>
      <c r="T835" s="296" t="s">
        <v>1457</v>
      </c>
      <c r="U835" s="143" t="s">
        <v>1473</v>
      </c>
      <c r="V835">
        <v>0</v>
      </c>
      <c r="W835">
        <v>0</v>
      </c>
      <c r="X835">
        <v>0</v>
      </c>
      <c r="Y835">
        <v>0</v>
      </c>
      <c r="Z835">
        <v>0</v>
      </c>
      <c r="AA835">
        <v>0</v>
      </c>
      <c r="AB835">
        <v>0</v>
      </c>
      <c r="AC835">
        <v>0</v>
      </c>
      <c r="AD835">
        <v>0</v>
      </c>
      <c r="AE835">
        <v>1</v>
      </c>
      <c r="AF835">
        <v>0</v>
      </c>
      <c r="AG835">
        <v>0</v>
      </c>
      <c r="AH835">
        <v>0</v>
      </c>
      <c r="AI835">
        <v>0</v>
      </c>
      <c r="AJ835">
        <v>0</v>
      </c>
      <c r="AK835">
        <v>0</v>
      </c>
      <c r="AL835">
        <v>0</v>
      </c>
      <c r="AM835">
        <v>0</v>
      </c>
      <c r="AN835">
        <v>0</v>
      </c>
      <c r="AO835">
        <v>0</v>
      </c>
      <c r="AP835">
        <v>0</v>
      </c>
      <c r="AQ835">
        <v>0</v>
      </c>
      <c r="AR835">
        <v>0</v>
      </c>
      <c r="AS835">
        <v>0</v>
      </c>
      <c r="AT835">
        <v>0</v>
      </c>
      <c r="AU835">
        <v>0</v>
      </c>
      <c r="AV835">
        <v>0</v>
      </c>
      <c r="AW835">
        <v>0</v>
      </c>
      <c r="AX835" s="141">
        <f t="shared" si="116"/>
        <v>1</v>
      </c>
      <c r="AY835" s="141">
        <f t="shared" si="88"/>
        <v>1</v>
      </c>
      <c r="AZ835">
        <f t="shared" si="89"/>
        <v>0</v>
      </c>
      <c r="BA835">
        <f t="shared" si="90"/>
        <v>1</v>
      </c>
      <c r="BB835">
        <f t="shared" si="91"/>
        <v>0</v>
      </c>
      <c r="BC835">
        <f t="shared" si="92"/>
        <v>0</v>
      </c>
      <c r="BD835">
        <f t="shared" si="93"/>
        <v>0</v>
      </c>
      <c r="BE835" t="str" cm="1">
        <f t="array" ref="BE835">IF(AY835=1,INDEX($V$7:$AL$7,MATCH(TRUE,INDEX($V835:$AW835&lt;&gt;0,),0)),IF(AY835=0,INDEX($AM$7:$AW$7,MATCH(1,$AM835:$AW835,0)),IF(BF835="Multiple strategies","mixed drivers",IF(BF835="Supply chain","multiple supply","multiple silviculture"))))</f>
        <v>location of industry</v>
      </c>
      <c r="BF835" s="2" t="str" cm="1">
        <f t="array" ref="BF835">IF(COUNTIF(AZ835:BB835,"&lt;&gt;0")=1,INDEX($V$4:$AW$4,MATCH(TRUE,INDEX($V835:$AW835&lt;&gt;0,),0)),IF(COUNTIF(AZ835:BB835,"&lt;&gt;0")=0,INDEX($AM$4:$AW$4,MATCH(1,$AM835:$AW835,0)),"Multiple strategies"))</f>
        <v>Supply chain</v>
      </c>
      <c r="BG835" s="142" t="s">
        <v>322</v>
      </c>
      <c r="BH835" s="160" t="s">
        <v>1459</v>
      </c>
      <c r="BI835" s="160" t="s">
        <v>1460</v>
      </c>
      <c r="BJ835" s="143" t="s">
        <v>499</v>
      </c>
      <c r="BK835" s="143">
        <v>944</v>
      </c>
      <c r="BL835" s="143">
        <v>6993</v>
      </c>
      <c r="BM835">
        <f>IFERROR(BL837/BK835,"")</f>
        <v>1.6949152542372881</v>
      </c>
      <c r="BN835">
        <f t="shared" si="66"/>
        <v>6049</v>
      </c>
      <c r="BO835" s="159">
        <f t="shared" si="117"/>
        <v>6049</v>
      </c>
      <c r="BP835" s="155" t="s">
        <v>233</v>
      </c>
      <c r="BQ835" s="155" t="s">
        <v>1461</v>
      </c>
      <c r="BR835" s="155" t="s">
        <v>827</v>
      </c>
      <c r="BS835" s="143" t="s">
        <v>1465</v>
      </c>
      <c r="BT835" t="s">
        <v>1475</v>
      </c>
      <c r="BU835" s="144">
        <f t="shared" si="118"/>
        <v>6.6543901107764007</v>
      </c>
      <c r="BV835">
        <f t="shared" si="119"/>
        <v>-39.075468611111098</v>
      </c>
      <c r="BX835">
        <f t="shared" si="120"/>
        <v>-39.075468611111098</v>
      </c>
      <c r="BY835">
        <f t="shared" si="94"/>
        <v>-6.459822881651694E-3</v>
      </c>
      <c r="BZ835">
        <v>0</v>
      </c>
      <c r="CA835">
        <v>0</v>
      </c>
      <c r="CB835">
        <v>0</v>
      </c>
      <c r="CC835">
        <v>0</v>
      </c>
      <c r="CD835">
        <v>0</v>
      </c>
      <c r="CE835">
        <v>0</v>
      </c>
      <c r="CF835">
        <v>0</v>
      </c>
      <c r="CG835">
        <v>0</v>
      </c>
      <c r="CH835">
        <v>0</v>
      </c>
      <c r="CI835">
        <v>0</v>
      </c>
      <c r="CJ835">
        <v>0</v>
      </c>
      <c r="CK835">
        <v>0</v>
      </c>
      <c r="CL835">
        <v>0</v>
      </c>
      <c r="CM835">
        <v>0</v>
      </c>
      <c r="CN835" t="str">
        <f t="shared" si="108"/>
        <v>refOK</v>
      </c>
      <c r="CO835">
        <f t="shared" si="109"/>
        <v>944</v>
      </c>
      <c r="CP835">
        <f t="shared" si="110"/>
        <v>6993</v>
      </c>
      <c r="CQ835">
        <f t="shared" si="51"/>
        <v>6049</v>
      </c>
      <c r="CR835">
        <f t="shared" si="111"/>
        <v>-6.9106424999999998</v>
      </c>
      <c r="CS835">
        <f t="shared" si="112"/>
        <v>-45.9861111111111</v>
      </c>
      <c r="CT835">
        <f t="shared" si="121"/>
        <v>-39.075468611111098</v>
      </c>
      <c r="CU835">
        <f t="shared" si="105"/>
        <v>-6.459822881651694E-3</v>
      </c>
      <c r="CV835" s="2">
        <f t="shared" si="122"/>
        <v>-5.6543901107763999</v>
      </c>
      <c r="CW835" s="265" t="s">
        <v>1464</v>
      </c>
      <c r="CX835" s="266" t="str">
        <f t="shared" si="96"/>
        <v>reg</v>
      </c>
      <c r="CY835" s="272" t="s">
        <v>745</v>
      </c>
      <c r="DA835" s="143"/>
      <c r="DB835" s="143">
        <v>0</v>
      </c>
      <c r="DC835" t="str">
        <f t="shared" si="97"/>
        <v>0</v>
      </c>
      <c r="DD835">
        <v>0</v>
      </c>
      <c r="DE835">
        <v>1</v>
      </c>
      <c r="DF835">
        <v>0</v>
      </c>
      <c r="DG835">
        <v>0</v>
      </c>
      <c r="DH835">
        <v>0</v>
      </c>
      <c r="DI835">
        <f t="shared" si="123"/>
        <v>1</v>
      </c>
      <c r="DJ835" t="str">
        <f t="shared" si="103"/>
        <v>EnergyInput</v>
      </c>
      <c r="DK835">
        <f t="shared" si="73"/>
        <v>0</v>
      </c>
      <c r="DL835" t="str">
        <f t="shared" si="74"/>
        <v>Energy</v>
      </c>
      <c r="DM835">
        <f t="shared" si="75"/>
        <v>0</v>
      </c>
      <c r="DN835">
        <f t="shared" si="76"/>
        <v>0</v>
      </c>
      <c r="DO835">
        <v>0</v>
      </c>
      <c r="DP835" s="143">
        <v>0</v>
      </c>
      <c r="DQ835" s="143">
        <v>0</v>
      </c>
      <c r="DR835">
        <v>0</v>
      </c>
      <c r="DS835" s="143">
        <v>0</v>
      </c>
      <c r="DT835">
        <f t="shared" si="114"/>
        <v>0</v>
      </c>
      <c r="DU835" s="143" t="str">
        <f t="shared" si="99"/>
        <v>explicit C balance</v>
      </c>
      <c r="DV835" s="143">
        <v>0</v>
      </c>
      <c r="DW835" s="143">
        <v>0</v>
      </c>
      <c r="DX835" s="143">
        <v>0</v>
      </c>
      <c r="DY835" s="143">
        <v>0</v>
      </c>
      <c r="DZ835">
        <v>0</v>
      </c>
      <c r="EA835" s="143">
        <v>0</v>
      </c>
      <c r="EB835" s="143">
        <v>0</v>
      </c>
      <c r="EC835" s="143">
        <v>1</v>
      </c>
      <c r="ED835" s="143">
        <v>0</v>
      </c>
      <c r="EE835">
        <v>1</v>
      </c>
      <c r="EF835">
        <v>0</v>
      </c>
      <c r="EG835" s="143">
        <v>0</v>
      </c>
      <c r="EH835" s="143">
        <v>0</v>
      </c>
      <c r="EI835" s="2">
        <v>0</v>
      </c>
      <c r="EK835" t="str">
        <f t="shared" si="77"/>
        <v/>
      </c>
      <c r="EL835" t="str">
        <f t="shared" si="78"/>
        <v/>
      </c>
      <c r="EM835" s="2" t="str">
        <f t="shared" si="98"/>
        <v>Technology approach</v>
      </c>
      <c r="EP835" t="str">
        <f>IF(ISNUMBER(BU835),IF(ABS(BU835-[1]QC_indicators!$B$2)&gt;3*[1]QC_indicators!$C$2,"C ratio",IF(ISNUMBER(BY835),IF(ABS(BY835-[1]QC_indicators!$B$1)&gt;3*[1]QC_indicators!$C$1,"DF","no"))),IF(ISNUMBER(BY835),IF(ABS(BY835-[1]QC_indicators!$B$1)&gt;3*[1]QC_indicators!$C$1,"DF","no")))</f>
        <v>no</v>
      </c>
      <c r="ER835" s="149"/>
      <c r="ET835" s="266" t="s">
        <v>3409</v>
      </c>
    </row>
    <row r="836" spans="1:150" ht="15" hidden="1" customHeight="1">
      <c r="A836" s="1" t="s">
        <v>588</v>
      </c>
      <c r="B836" t="s">
        <v>1450</v>
      </c>
      <c r="C836" t="s">
        <v>1451</v>
      </c>
      <c r="D836" t="s">
        <v>1452</v>
      </c>
      <c r="E836" t="s">
        <v>1453</v>
      </c>
      <c r="F836" t="s">
        <v>1454</v>
      </c>
      <c r="G836" t="s">
        <v>594</v>
      </c>
      <c r="H836" t="s">
        <v>255</v>
      </c>
      <c r="I836">
        <v>2020</v>
      </c>
      <c r="J836">
        <v>12</v>
      </c>
      <c r="K836" t="s">
        <v>1455</v>
      </c>
      <c r="M836" t="str">
        <f t="shared" si="102"/>
        <v>Elisa_2020</v>
      </c>
      <c r="N836" s="266" t="s">
        <v>223</v>
      </c>
      <c r="O836" s="171" t="s">
        <v>275</v>
      </c>
      <c r="P836" t="s">
        <v>224</v>
      </c>
      <c r="Q836" s="266" t="s">
        <v>390</v>
      </c>
      <c r="R836" s="271" t="s">
        <v>1156</v>
      </c>
      <c r="S836" s="154" t="s">
        <v>1456</v>
      </c>
      <c r="T836" s="296" t="s">
        <v>1457</v>
      </c>
      <c r="U836" s="143" t="s">
        <v>1476</v>
      </c>
      <c r="V836">
        <v>0</v>
      </c>
      <c r="W836">
        <v>0</v>
      </c>
      <c r="X836">
        <v>0</v>
      </c>
      <c r="Y836">
        <v>0</v>
      </c>
      <c r="Z836">
        <v>0</v>
      </c>
      <c r="AA836">
        <v>0</v>
      </c>
      <c r="AB836">
        <v>0</v>
      </c>
      <c r="AC836">
        <v>0</v>
      </c>
      <c r="AD836">
        <v>0</v>
      </c>
      <c r="AE836">
        <v>1</v>
      </c>
      <c r="AF836">
        <v>0</v>
      </c>
      <c r="AG836">
        <v>0</v>
      </c>
      <c r="AH836">
        <v>0</v>
      </c>
      <c r="AI836">
        <v>0</v>
      </c>
      <c r="AJ836">
        <v>0</v>
      </c>
      <c r="AK836">
        <v>0</v>
      </c>
      <c r="AL836">
        <v>0</v>
      </c>
      <c r="AM836">
        <v>0</v>
      </c>
      <c r="AN836">
        <v>0</v>
      </c>
      <c r="AO836">
        <v>0</v>
      </c>
      <c r="AP836">
        <v>0</v>
      </c>
      <c r="AQ836">
        <v>0</v>
      </c>
      <c r="AR836">
        <v>0</v>
      </c>
      <c r="AS836">
        <v>0</v>
      </c>
      <c r="AT836">
        <v>0</v>
      </c>
      <c r="AU836">
        <v>0</v>
      </c>
      <c r="AV836">
        <v>0</v>
      </c>
      <c r="AW836">
        <v>0</v>
      </c>
      <c r="AX836" s="141">
        <f t="shared" si="116"/>
        <v>1</v>
      </c>
      <c r="AY836" s="141">
        <f t="shared" si="88"/>
        <v>1</v>
      </c>
      <c r="AZ836">
        <f t="shared" si="89"/>
        <v>0</v>
      </c>
      <c r="BA836">
        <f t="shared" si="90"/>
        <v>1</v>
      </c>
      <c r="BB836">
        <f t="shared" si="91"/>
        <v>0</v>
      </c>
      <c r="BC836">
        <f t="shared" si="92"/>
        <v>0</v>
      </c>
      <c r="BD836">
        <f t="shared" si="93"/>
        <v>0</v>
      </c>
      <c r="BE836" t="str" cm="1">
        <f t="array" ref="BE836">IF(AY836=1,INDEX($V$7:$AL$7,MATCH(TRUE,INDEX($V836:$AW836&lt;&gt;0,),0)),IF(AY836=0,INDEX($AM$7:$AW$7,MATCH(1,$AM836:$AW836,0)),IF(BF836="Multiple strategies","mixed drivers",IF(BF836="Supply chain","multiple supply","multiple silviculture"))))</f>
        <v>location of industry</v>
      </c>
      <c r="BF836" s="2" t="str" cm="1">
        <f t="array" ref="BF836">IF(COUNTIF(AZ836:BB836,"&lt;&gt;0")=1,INDEX($V$4:$AW$4,MATCH(TRUE,INDEX($V836:$AW836&lt;&gt;0,),0)),IF(COUNTIF(AZ836:BB836,"&lt;&gt;0")=0,INDEX($AM$4:$AW$4,MATCH(1,$AM836:$AW836,0)),"Multiple strategies"))</f>
        <v>Supply chain</v>
      </c>
      <c r="BG836" s="142" t="s">
        <v>322</v>
      </c>
      <c r="BH836" s="160" t="s">
        <v>1459</v>
      </c>
      <c r="BI836" s="160" t="s">
        <v>1460</v>
      </c>
      <c r="BJ836" s="143" t="s">
        <v>499</v>
      </c>
      <c r="BK836" s="143">
        <v>944</v>
      </c>
      <c r="BL836" s="143">
        <v>1600</v>
      </c>
      <c r="BM836">
        <f>IFERROR(BL836/BK836,"")</f>
        <v>1.6949152542372881</v>
      </c>
      <c r="BN836">
        <f t="shared" si="66"/>
        <v>656</v>
      </c>
      <c r="BO836" s="159">
        <f t="shared" si="117"/>
        <v>656</v>
      </c>
      <c r="BP836" s="155" t="s">
        <v>233</v>
      </c>
      <c r="BQ836" s="155" t="s">
        <v>1461</v>
      </c>
      <c r="BR836" s="155" t="s">
        <v>827</v>
      </c>
      <c r="BS836" s="143" t="s">
        <v>1462</v>
      </c>
      <c r="BT836" t="s">
        <v>1477</v>
      </c>
      <c r="BU836" s="144">
        <f t="shared" si="118"/>
        <v>1.5980464530235923</v>
      </c>
      <c r="BV836">
        <f t="shared" si="119"/>
        <v>-4.1971602777778001</v>
      </c>
      <c r="BX836">
        <f t="shared" si="120"/>
        <v>-4.1971602777778001</v>
      </c>
      <c r="BY836">
        <f t="shared" si="94"/>
        <v>-6.3981101795393298E-3</v>
      </c>
      <c r="BZ836">
        <v>0</v>
      </c>
      <c r="CA836">
        <v>0</v>
      </c>
      <c r="CB836">
        <v>0</v>
      </c>
      <c r="CC836">
        <v>0</v>
      </c>
      <c r="CD836">
        <v>0</v>
      </c>
      <c r="CE836">
        <v>0</v>
      </c>
      <c r="CF836">
        <v>0</v>
      </c>
      <c r="CG836">
        <v>0</v>
      </c>
      <c r="CH836">
        <v>0</v>
      </c>
      <c r="CI836">
        <v>0</v>
      </c>
      <c r="CJ836">
        <v>0</v>
      </c>
      <c r="CK836">
        <v>0</v>
      </c>
      <c r="CL836">
        <v>0</v>
      </c>
      <c r="CM836">
        <v>0</v>
      </c>
      <c r="CN836" t="str">
        <f t="shared" si="108"/>
        <v>refOK</v>
      </c>
      <c r="CO836">
        <f t="shared" si="109"/>
        <v>944</v>
      </c>
      <c r="CP836">
        <f t="shared" si="110"/>
        <v>1600</v>
      </c>
      <c r="CQ836">
        <f t="shared" ref="CQ836:CQ899" si="124">IF($CN836="refOK",$BO836,-$BO836)</f>
        <v>656</v>
      </c>
      <c r="CR836">
        <f t="shared" si="111"/>
        <v>-7.0181174999999998</v>
      </c>
      <c r="CS836">
        <f t="shared" si="112"/>
        <v>-11.2152777777778</v>
      </c>
      <c r="CT836">
        <f t="shared" si="121"/>
        <v>-4.1971602777778001</v>
      </c>
      <c r="CU836">
        <f t="shared" si="105"/>
        <v>-6.3981101795393298E-3</v>
      </c>
      <c r="CV836" s="2">
        <f t="shared" si="122"/>
        <v>-0.59804645302359216</v>
      </c>
      <c r="CW836" s="265" t="s">
        <v>1464</v>
      </c>
      <c r="CX836" s="266" t="str">
        <f t="shared" si="96"/>
        <v>reg</v>
      </c>
      <c r="CY836" s="272" t="s">
        <v>745</v>
      </c>
      <c r="DA836" s="143"/>
      <c r="DB836" s="143">
        <v>0</v>
      </c>
      <c r="DC836" t="str">
        <f t="shared" si="97"/>
        <v>0</v>
      </c>
      <c r="DD836">
        <v>0</v>
      </c>
      <c r="DE836">
        <v>1</v>
      </c>
      <c r="DF836">
        <v>0</v>
      </c>
      <c r="DG836">
        <v>0</v>
      </c>
      <c r="DH836">
        <v>0</v>
      </c>
      <c r="DI836">
        <f t="shared" si="123"/>
        <v>1</v>
      </c>
      <c r="DJ836" t="str">
        <f t="shared" si="103"/>
        <v>EnergyInput</v>
      </c>
      <c r="DK836">
        <f t="shared" si="73"/>
        <v>0</v>
      </c>
      <c r="DL836" t="str">
        <f t="shared" si="74"/>
        <v>Energy</v>
      </c>
      <c r="DM836">
        <f t="shared" si="75"/>
        <v>0</v>
      </c>
      <c r="DN836">
        <f t="shared" si="76"/>
        <v>0</v>
      </c>
      <c r="DO836">
        <v>0</v>
      </c>
      <c r="DP836" s="143">
        <v>0</v>
      </c>
      <c r="DQ836" s="143">
        <v>0</v>
      </c>
      <c r="DR836">
        <v>0</v>
      </c>
      <c r="DS836" s="143">
        <v>0</v>
      </c>
      <c r="DT836">
        <f t="shared" si="114"/>
        <v>0</v>
      </c>
      <c r="DU836" s="143" t="str">
        <f t="shared" si="99"/>
        <v>explicit C balance</v>
      </c>
      <c r="DV836" s="143">
        <v>0</v>
      </c>
      <c r="DW836" s="143">
        <v>0</v>
      </c>
      <c r="DX836" s="143">
        <v>0</v>
      </c>
      <c r="DY836" s="143">
        <v>0</v>
      </c>
      <c r="DZ836">
        <v>0</v>
      </c>
      <c r="EA836" s="143">
        <v>0</v>
      </c>
      <c r="EB836" s="143">
        <v>1</v>
      </c>
      <c r="EC836" s="143">
        <v>1</v>
      </c>
      <c r="ED836" s="143">
        <v>0</v>
      </c>
      <c r="EE836">
        <v>1</v>
      </c>
      <c r="EF836">
        <v>0</v>
      </c>
      <c r="EG836" s="143">
        <v>0</v>
      </c>
      <c r="EH836" s="143">
        <v>0</v>
      </c>
      <c r="EI836" s="2">
        <v>0</v>
      </c>
      <c r="EK836" t="str">
        <f t="shared" si="77"/>
        <v/>
      </c>
      <c r="EL836" t="str">
        <f t="shared" si="78"/>
        <v/>
      </c>
      <c r="EM836" s="2" t="str">
        <f t="shared" si="98"/>
        <v>Technology approach</v>
      </c>
      <c r="EP836" t="str">
        <f>IF(ISNUMBER(BU836),IF(ABS(BU836-[1]QC_indicators!$B$2)&gt;3*[1]QC_indicators!$C$2,"C ratio",IF(ISNUMBER(BY836),IF(ABS(BY836-[1]QC_indicators!$B$1)&gt;3*[1]QC_indicators!$C$1,"DF","no"))),IF(ISNUMBER(BY836),IF(ABS(BY836-[1]QC_indicators!$B$1)&gt;3*[1]QC_indicators!$C$1,"DF","no")))</f>
        <v>no</v>
      </c>
      <c r="ER836" s="149"/>
      <c r="ET836" s="266" t="s">
        <v>3409</v>
      </c>
    </row>
    <row r="837" spans="1:150" ht="15" hidden="1" customHeight="1">
      <c r="A837" s="1" t="s">
        <v>588</v>
      </c>
      <c r="B837" t="s">
        <v>1450</v>
      </c>
      <c r="C837" t="s">
        <v>1451</v>
      </c>
      <c r="D837" t="s">
        <v>1452</v>
      </c>
      <c r="E837" t="s">
        <v>1453</v>
      </c>
      <c r="F837" t="s">
        <v>1454</v>
      </c>
      <c r="G837" t="s">
        <v>594</v>
      </c>
      <c r="H837" t="s">
        <v>255</v>
      </c>
      <c r="I837">
        <v>2020</v>
      </c>
      <c r="J837">
        <v>12</v>
      </c>
      <c r="K837" t="s">
        <v>1455</v>
      </c>
      <c r="M837" t="str">
        <f t="shared" si="102"/>
        <v>Elisa_2020</v>
      </c>
      <c r="N837" s="266" t="s">
        <v>223</v>
      </c>
      <c r="O837" s="171" t="s">
        <v>275</v>
      </c>
      <c r="P837" t="s">
        <v>224</v>
      </c>
      <c r="Q837" s="266" t="s">
        <v>390</v>
      </c>
      <c r="R837" s="271" t="s">
        <v>1156</v>
      </c>
      <c r="S837" s="154" t="s">
        <v>1456</v>
      </c>
      <c r="T837" s="296" t="s">
        <v>1457</v>
      </c>
      <c r="U837" s="143" t="s">
        <v>1476</v>
      </c>
      <c r="V837">
        <v>0</v>
      </c>
      <c r="W837">
        <v>0</v>
      </c>
      <c r="X837">
        <v>0</v>
      </c>
      <c r="Y837">
        <v>0</v>
      </c>
      <c r="Z837">
        <v>0</v>
      </c>
      <c r="AA837">
        <v>0</v>
      </c>
      <c r="AB837">
        <v>0</v>
      </c>
      <c r="AC837">
        <v>0</v>
      </c>
      <c r="AD837">
        <v>0</v>
      </c>
      <c r="AE837">
        <v>1</v>
      </c>
      <c r="AF837">
        <v>0</v>
      </c>
      <c r="AG837">
        <v>0</v>
      </c>
      <c r="AH837">
        <v>0</v>
      </c>
      <c r="AI837">
        <v>0</v>
      </c>
      <c r="AJ837">
        <v>0</v>
      </c>
      <c r="AK837">
        <v>0</v>
      </c>
      <c r="AL837">
        <v>0</v>
      </c>
      <c r="AM837">
        <v>0</v>
      </c>
      <c r="AN837">
        <v>0</v>
      </c>
      <c r="AO837">
        <v>0</v>
      </c>
      <c r="AP837">
        <v>0</v>
      </c>
      <c r="AQ837">
        <v>0</v>
      </c>
      <c r="AR837">
        <v>0</v>
      </c>
      <c r="AS837">
        <v>0</v>
      </c>
      <c r="AT837">
        <v>0</v>
      </c>
      <c r="AU837">
        <v>0</v>
      </c>
      <c r="AV837">
        <v>0</v>
      </c>
      <c r="AW837">
        <v>0</v>
      </c>
      <c r="AX837" s="141">
        <f t="shared" si="116"/>
        <v>1</v>
      </c>
      <c r="AY837" s="141">
        <f t="shared" si="88"/>
        <v>1</v>
      </c>
      <c r="AZ837">
        <f t="shared" si="89"/>
        <v>0</v>
      </c>
      <c r="BA837">
        <f t="shared" si="90"/>
        <v>1</v>
      </c>
      <c r="BB837">
        <f t="shared" si="91"/>
        <v>0</v>
      </c>
      <c r="BC837">
        <f t="shared" si="92"/>
        <v>0</v>
      </c>
      <c r="BD837">
        <f t="shared" si="93"/>
        <v>0</v>
      </c>
      <c r="BE837" t="str" cm="1">
        <f t="array" ref="BE837">IF(AY837=1,INDEX($V$7:$AL$7,MATCH(TRUE,INDEX($V837:$AW837&lt;&gt;0,),0)),IF(AY837=0,INDEX($AM$7:$AW$7,MATCH(1,$AM837:$AW837,0)),IF(BF837="Multiple strategies","mixed drivers",IF(BF837="Supply chain","multiple supply","multiple silviculture"))))</f>
        <v>location of industry</v>
      </c>
      <c r="BF837" s="2" t="str" cm="1">
        <f t="array" ref="BF837">IF(COUNTIF(AZ837:BB837,"&lt;&gt;0")=1,INDEX($V$4:$AW$4,MATCH(TRUE,INDEX($V837:$AW837&lt;&gt;0,),0)),IF(COUNTIF(AZ837:BB837,"&lt;&gt;0")=0,INDEX($AM$4:$AW$4,MATCH(1,$AM837:$AW837,0)),"Multiple strategies"))</f>
        <v>Supply chain</v>
      </c>
      <c r="BG837" s="142" t="s">
        <v>322</v>
      </c>
      <c r="BH837" s="160" t="s">
        <v>1459</v>
      </c>
      <c r="BI837" s="160" t="s">
        <v>1460</v>
      </c>
      <c r="BJ837" s="143" t="s">
        <v>499</v>
      </c>
      <c r="BK837" s="143">
        <v>944</v>
      </c>
      <c r="BL837" s="143">
        <v>1600</v>
      </c>
      <c r="BM837">
        <f>IFERROR(BL839/BK837,"")</f>
        <v>1.6154661016949152</v>
      </c>
      <c r="BN837">
        <f t="shared" ref="BN837:BN900" si="125">BL837-BK837</f>
        <v>656</v>
      </c>
      <c r="BO837" s="159">
        <f t="shared" si="117"/>
        <v>656</v>
      </c>
      <c r="BP837" s="155" t="s">
        <v>233</v>
      </c>
      <c r="BQ837" s="155" t="s">
        <v>1461</v>
      </c>
      <c r="BR837" s="155" t="s">
        <v>827</v>
      </c>
      <c r="BS837" s="143" t="s">
        <v>1465</v>
      </c>
      <c r="BT837" t="s">
        <v>1478</v>
      </c>
      <c r="BU837" s="144">
        <f t="shared" si="118"/>
        <v>1.588532148461999</v>
      </c>
      <c r="BV837">
        <f t="shared" si="119"/>
        <v>-4.0671352777777994</v>
      </c>
      <c r="BX837">
        <f t="shared" si="120"/>
        <v>-4.0671352777777994</v>
      </c>
      <c r="BY837">
        <f t="shared" si="94"/>
        <v>-6.1999013380759135E-3</v>
      </c>
      <c r="BZ837">
        <v>0</v>
      </c>
      <c r="CA837">
        <v>0</v>
      </c>
      <c r="CB837">
        <v>0</v>
      </c>
      <c r="CC837">
        <v>0</v>
      </c>
      <c r="CD837">
        <v>0</v>
      </c>
      <c r="CE837">
        <v>0</v>
      </c>
      <c r="CF837">
        <v>0</v>
      </c>
      <c r="CG837">
        <v>0</v>
      </c>
      <c r="CH837">
        <v>0</v>
      </c>
      <c r="CI837">
        <v>0</v>
      </c>
      <c r="CJ837">
        <v>0</v>
      </c>
      <c r="CK837">
        <v>0</v>
      </c>
      <c r="CL837">
        <v>0</v>
      </c>
      <c r="CM837">
        <v>0</v>
      </c>
      <c r="CN837" t="str">
        <f t="shared" si="108"/>
        <v>refOK</v>
      </c>
      <c r="CO837">
        <f t="shared" si="109"/>
        <v>944</v>
      </c>
      <c r="CP837">
        <f t="shared" si="110"/>
        <v>1600</v>
      </c>
      <c r="CQ837">
        <f t="shared" si="124"/>
        <v>656</v>
      </c>
      <c r="CR837">
        <f t="shared" si="111"/>
        <v>-6.9106424999999998</v>
      </c>
      <c r="CS837">
        <f t="shared" si="112"/>
        <v>-10.977777777777799</v>
      </c>
      <c r="CT837">
        <f t="shared" si="121"/>
        <v>-4.0671352777777994</v>
      </c>
      <c r="CU837">
        <f t="shared" si="105"/>
        <v>-6.1999013380759135E-3</v>
      </c>
      <c r="CV837" s="2">
        <f t="shared" si="122"/>
        <v>-0.58853214846199897</v>
      </c>
      <c r="CW837" s="265" t="s">
        <v>1464</v>
      </c>
      <c r="CX837" s="266" t="str">
        <f t="shared" si="96"/>
        <v>reg</v>
      </c>
      <c r="CY837" s="272" t="s">
        <v>745</v>
      </c>
      <c r="DA837" s="143"/>
      <c r="DB837" s="143">
        <v>0</v>
      </c>
      <c r="DC837" t="str">
        <f t="shared" si="97"/>
        <v>0</v>
      </c>
      <c r="DD837">
        <v>0</v>
      </c>
      <c r="DE837">
        <v>1</v>
      </c>
      <c r="DF837">
        <v>0</v>
      </c>
      <c r="DG837">
        <v>0</v>
      </c>
      <c r="DH837">
        <v>0</v>
      </c>
      <c r="DI837">
        <f t="shared" si="123"/>
        <v>1</v>
      </c>
      <c r="DJ837" t="str">
        <f t="shared" si="103"/>
        <v>EnergyInput</v>
      </c>
      <c r="DK837">
        <f t="shared" si="73"/>
        <v>0</v>
      </c>
      <c r="DL837" t="str">
        <f t="shared" si="74"/>
        <v>Energy</v>
      </c>
      <c r="DM837">
        <f t="shared" si="75"/>
        <v>0</v>
      </c>
      <c r="DN837">
        <f t="shared" si="76"/>
        <v>0</v>
      </c>
      <c r="DO837">
        <v>0</v>
      </c>
      <c r="DP837" s="143">
        <v>0</v>
      </c>
      <c r="DQ837" s="143">
        <v>0</v>
      </c>
      <c r="DR837">
        <v>0</v>
      </c>
      <c r="DS837" s="143">
        <v>0</v>
      </c>
      <c r="DT837">
        <f t="shared" si="114"/>
        <v>0</v>
      </c>
      <c r="DU837" s="143" t="str">
        <f t="shared" si="99"/>
        <v>explicit C balance</v>
      </c>
      <c r="DV837" s="143">
        <v>0</v>
      </c>
      <c r="DW837" s="143">
        <v>0</v>
      </c>
      <c r="DX837" s="143">
        <v>0</v>
      </c>
      <c r="DY837" s="143">
        <v>0</v>
      </c>
      <c r="DZ837">
        <v>0</v>
      </c>
      <c r="EA837" s="143">
        <v>0</v>
      </c>
      <c r="EB837" s="143">
        <v>0</v>
      </c>
      <c r="EC837" s="143">
        <v>1</v>
      </c>
      <c r="ED837" s="143">
        <v>0</v>
      </c>
      <c r="EE837">
        <v>1</v>
      </c>
      <c r="EF837">
        <v>0</v>
      </c>
      <c r="EG837" s="143">
        <v>0</v>
      </c>
      <c r="EH837" s="143">
        <v>0</v>
      </c>
      <c r="EI837" s="2">
        <v>0</v>
      </c>
      <c r="EK837" t="str">
        <f t="shared" si="77"/>
        <v/>
      </c>
      <c r="EL837" t="str">
        <f t="shared" si="78"/>
        <v/>
      </c>
      <c r="EM837" s="2" t="str">
        <f t="shared" si="98"/>
        <v>Technology approach</v>
      </c>
      <c r="EP837" t="str">
        <f>IF(ISNUMBER(BU837),IF(ABS(BU837-[1]QC_indicators!$B$2)&gt;3*[1]QC_indicators!$C$2,"C ratio",IF(ISNUMBER(BY837),IF(ABS(BY837-[1]QC_indicators!$B$1)&gt;3*[1]QC_indicators!$C$1,"DF","no"))),IF(ISNUMBER(BY837),IF(ABS(BY837-[1]QC_indicators!$B$1)&gt;3*[1]QC_indicators!$C$1,"DF","no")))</f>
        <v>no</v>
      </c>
      <c r="ER837" s="149"/>
      <c r="ET837" s="266" t="s">
        <v>3409</v>
      </c>
    </row>
    <row r="838" spans="1:150" ht="15" hidden="1" customHeight="1">
      <c r="A838" s="1" t="s">
        <v>588</v>
      </c>
      <c r="B838" t="s">
        <v>1450</v>
      </c>
      <c r="C838" t="s">
        <v>1451</v>
      </c>
      <c r="D838" t="s">
        <v>1452</v>
      </c>
      <c r="E838" t="s">
        <v>1453</v>
      </c>
      <c r="F838" t="s">
        <v>1454</v>
      </c>
      <c r="G838" t="s">
        <v>594</v>
      </c>
      <c r="H838" t="s">
        <v>255</v>
      </c>
      <c r="I838">
        <v>2020</v>
      </c>
      <c r="J838">
        <v>12</v>
      </c>
      <c r="K838" t="s">
        <v>1455</v>
      </c>
      <c r="M838" t="str">
        <f t="shared" si="102"/>
        <v>Elisa_2020</v>
      </c>
      <c r="N838" s="266" t="s">
        <v>223</v>
      </c>
      <c r="O838" s="171" t="s">
        <v>275</v>
      </c>
      <c r="P838" t="s">
        <v>224</v>
      </c>
      <c r="Q838" s="266" t="s">
        <v>390</v>
      </c>
      <c r="R838" s="271" t="s">
        <v>1156</v>
      </c>
      <c r="S838" s="154" t="s">
        <v>1456</v>
      </c>
      <c r="T838" s="296" t="s">
        <v>1457</v>
      </c>
      <c r="U838" s="143" t="s">
        <v>1476</v>
      </c>
      <c r="V838">
        <v>0</v>
      </c>
      <c r="W838">
        <v>0</v>
      </c>
      <c r="X838">
        <v>0</v>
      </c>
      <c r="Y838">
        <v>0</v>
      </c>
      <c r="Z838">
        <v>0</v>
      </c>
      <c r="AA838">
        <v>0</v>
      </c>
      <c r="AB838">
        <v>0</v>
      </c>
      <c r="AC838">
        <v>0</v>
      </c>
      <c r="AD838">
        <v>0</v>
      </c>
      <c r="AE838">
        <v>1</v>
      </c>
      <c r="AF838">
        <v>0</v>
      </c>
      <c r="AG838">
        <v>0</v>
      </c>
      <c r="AH838">
        <v>0</v>
      </c>
      <c r="AI838">
        <v>0</v>
      </c>
      <c r="AJ838">
        <v>0</v>
      </c>
      <c r="AK838">
        <v>0</v>
      </c>
      <c r="AL838">
        <v>0</v>
      </c>
      <c r="AM838">
        <v>0</v>
      </c>
      <c r="AN838">
        <v>0</v>
      </c>
      <c r="AO838">
        <v>0</v>
      </c>
      <c r="AP838">
        <v>0</v>
      </c>
      <c r="AQ838">
        <v>0</v>
      </c>
      <c r="AR838">
        <v>0</v>
      </c>
      <c r="AS838">
        <v>0</v>
      </c>
      <c r="AT838">
        <v>0</v>
      </c>
      <c r="AU838">
        <v>0</v>
      </c>
      <c r="AV838">
        <v>0</v>
      </c>
      <c r="AW838">
        <v>0</v>
      </c>
      <c r="AX838" s="141">
        <f t="shared" si="116"/>
        <v>1</v>
      </c>
      <c r="AY838" s="141">
        <f t="shared" si="88"/>
        <v>1</v>
      </c>
      <c r="AZ838">
        <f t="shared" si="89"/>
        <v>0</v>
      </c>
      <c r="BA838">
        <f t="shared" si="90"/>
        <v>1</v>
      </c>
      <c r="BB838">
        <f t="shared" si="91"/>
        <v>0</v>
      </c>
      <c r="BC838">
        <f t="shared" si="92"/>
        <v>0</v>
      </c>
      <c r="BD838">
        <f t="shared" si="93"/>
        <v>0</v>
      </c>
      <c r="BE838" t="str" cm="1">
        <f t="array" ref="BE838">IF(AY838=1,INDEX($V$7:$AL$7,MATCH(TRUE,INDEX($V838:$AW838&lt;&gt;0,),0)),IF(AY838=0,INDEX($AM$7:$AW$7,MATCH(1,$AM838:$AW838,0)),IF(BF838="Multiple strategies","mixed drivers",IF(BF838="Supply chain","multiple supply","multiple silviculture"))))</f>
        <v>location of industry</v>
      </c>
      <c r="BF838" s="2" t="str" cm="1">
        <f t="array" ref="BF838">IF(COUNTIF(AZ838:BB838,"&lt;&gt;0")=1,INDEX($V$4:$AW$4,MATCH(TRUE,INDEX($V838:$AW838&lt;&gt;0,),0)),IF(COUNTIF(AZ838:BB838,"&lt;&gt;0")=0,INDEX($AM$4:$AW$4,MATCH(1,$AM838:$AW838,0)),"Multiple strategies"))</f>
        <v>Supply chain</v>
      </c>
      <c r="BG838" s="142" t="s">
        <v>322</v>
      </c>
      <c r="BH838" s="160" t="s">
        <v>1459</v>
      </c>
      <c r="BI838" s="160" t="s">
        <v>1460</v>
      </c>
      <c r="BJ838" s="143" t="s">
        <v>499</v>
      </c>
      <c r="BK838" s="143">
        <v>944</v>
      </c>
      <c r="BL838" s="143">
        <v>1600</v>
      </c>
      <c r="BM838">
        <f>IFERROR(BL839/BK838,"")</f>
        <v>1.6154661016949152</v>
      </c>
      <c r="BN838">
        <f t="shared" si="125"/>
        <v>656</v>
      </c>
      <c r="BO838" s="159">
        <f t="shared" si="117"/>
        <v>656</v>
      </c>
      <c r="BP838" s="155" t="s">
        <v>233</v>
      </c>
      <c r="BQ838" s="155" t="s">
        <v>1461</v>
      </c>
      <c r="BR838" s="155" t="s">
        <v>827</v>
      </c>
      <c r="BS838" s="143" t="s">
        <v>1479</v>
      </c>
      <c r="BT838" t="s">
        <v>1480</v>
      </c>
      <c r="BU838" s="144">
        <f t="shared" si="118"/>
        <v>2.209816236334031</v>
      </c>
      <c r="BV838">
        <f t="shared" si="119"/>
        <v>-0.130025</v>
      </c>
      <c r="BX838">
        <f t="shared" si="120"/>
        <v>-0.130025</v>
      </c>
      <c r="BY838">
        <f t="shared" si="94"/>
        <v>-1.9820884146341464E-4</v>
      </c>
      <c r="BZ838">
        <v>0</v>
      </c>
      <c r="CA838">
        <v>0</v>
      </c>
      <c r="CB838">
        <v>0</v>
      </c>
      <c r="CC838">
        <v>0</v>
      </c>
      <c r="CD838">
        <v>0</v>
      </c>
      <c r="CE838">
        <v>0</v>
      </c>
      <c r="CF838">
        <v>0</v>
      </c>
      <c r="CG838">
        <v>0</v>
      </c>
      <c r="CH838">
        <v>0</v>
      </c>
      <c r="CI838">
        <v>0</v>
      </c>
      <c r="CJ838">
        <v>0</v>
      </c>
      <c r="CK838">
        <v>0</v>
      </c>
      <c r="CL838">
        <v>0</v>
      </c>
      <c r="CM838">
        <v>0</v>
      </c>
      <c r="CN838" t="str">
        <f t="shared" si="108"/>
        <v>refOK</v>
      </c>
      <c r="CO838">
        <f t="shared" si="109"/>
        <v>944</v>
      </c>
      <c r="CP838">
        <f t="shared" si="110"/>
        <v>1600</v>
      </c>
      <c r="CQ838">
        <f t="shared" si="124"/>
        <v>656</v>
      </c>
      <c r="CR838">
        <f t="shared" si="111"/>
        <v>-0.107475</v>
      </c>
      <c r="CS838">
        <f t="shared" si="112"/>
        <v>-0.23749999999999999</v>
      </c>
      <c r="CT838">
        <f t="shared" si="121"/>
        <v>-0.130025</v>
      </c>
      <c r="CU838">
        <f t="shared" si="105"/>
        <v>-1.9820884146341464E-4</v>
      </c>
      <c r="CV838" s="2">
        <f t="shared" si="122"/>
        <v>-1.2098162363340312</v>
      </c>
      <c r="CW838" s="265" t="s">
        <v>1464</v>
      </c>
      <c r="CX838" s="266" t="str">
        <f t="shared" si="96"/>
        <v>reg</v>
      </c>
      <c r="CY838" s="272" t="s">
        <v>745</v>
      </c>
      <c r="DA838" s="143"/>
      <c r="DB838" s="143">
        <v>0</v>
      </c>
      <c r="DC838" t="str">
        <f t="shared" si="97"/>
        <v>0</v>
      </c>
      <c r="DD838">
        <v>0</v>
      </c>
      <c r="DE838">
        <v>1</v>
      </c>
      <c r="DF838">
        <v>0</v>
      </c>
      <c r="DG838">
        <v>0</v>
      </c>
      <c r="DH838">
        <v>0</v>
      </c>
      <c r="DI838">
        <f t="shared" si="123"/>
        <v>1</v>
      </c>
      <c r="DJ838" t="str">
        <f t="shared" si="103"/>
        <v>EnergyInput</v>
      </c>
      <c r="DK838">
        <f t="shared" si="73"/>
        <v>0</v>
      </c>
      <c r="DL838" t="str">
        <f t="shared" si="74"/>
        <v>Energy</v>
      </c>
      <c r="DM838">
        <f t="shared" si="75"/>
        <v>0</v>
      </c>
      <c r="DN838">
        <f t="shared" si="76"/>
        <v>0</v>
      </c>
      <c r="DO838">
        <v>0</v>
      </c>
      <c r="DP838" s="143">
        <v>0</v>
      </c>
      <c r="DQ838" s="143">
        <v>0</v>
      </c>
      <c r="DR838">
        <v>0</v>
      </c>
      <c r="DS838" s="143">
        <v>0</v>
      </c>
      <c r="DT838">
        <f t="shared" si="114"/>
        <v>0</v>
      </c>
      <c r="DU838" s="143" t="str">
        <f t="shared" si="99"/>
        <v>explicit C balance</v>
      </c>
      <c r="DV838" s="143">
        <v>0</v>
      </c>
      <c r="DW838" s="143">
        <v>0</v>
      </c>
      <c r="DX838" s="143">
        <v>0</v>
      </c>
      <c r="DY838" s="143">
        <v>0</v>
      </c>
      <c r="DZ838">
        <v>0</v>
      </c>
      <c r="EA838" s="143">
        <v>0</v>
      </c>
      <c r="EB838" s="143">
        <v>1</v>
      </c>
      <c r="EC838" s="143">
        <v>0</v>
      </c>
      <c r="ED838" s="143">
        <v>0</v>
      </c>
      <c r="EE838">
        <v>0</v>
      </c>
      <c r="EF838">
        <v>0</v>
      </c>
      <c r="EG838" s="143">
        <v>0</v>
      </c>
      <c r="EH838" s="143">
        <v>0</v>
      </c>
      <c r="EI838" s="2">
        <v>0</v>
      </c>
      <c r="EK838" t="str">
        <f t="shared" si="77"/>
        <v/>
      </c>
      <c r="EL838" t="str">
        <f t="shared" si="78"/>
        <v/>
      </c>
      <c r="EM838" s="2" t="str">
        <f t="shared" si="98"/>
        <v/>
      </c>
      <c r="EP838" t="str">
        <f>IF(ISNUMBER(BU838),IF(ABS(BU838-[1]QC_indicators!$B$2)&gt;3*[1]QC_indicators!$C$2,"C ratio",IF(ISNUMBER(BY838),IF(ABS(BY838-[1]QC_indicators!$B$1)&gt;3*[1]QC_indicators!$C$1,"DF","no"))),IF(ISNUMBER(BY838),IF(ABS(BY838-[1]QC_indicators!$B$1)&gt;3*[1]QC_indicators!$C$1,"DF","no")))</f>
        <v>no</v>
      </c>
      <c r="ER838" s="149"/>
      <c r="ET838" s="266" t="s">
        <v>3409</v>
      </c>
    </row>
    <row r="839" spans="1:150" ht="15" hidden="1" customHeight="1">
      <c r="A839" s="1" t="s">
        <v>588</v>
      </c>
      <c r="B839" t="s">
        <v>1450</v>
      </c>
      <c r="C839" t="s">
        <v>1451</v>
      </c>
      <c r="D839" t="s">
        <v>1452</v>
      </c>
      <c r="E839" t="s">
        <v>1453</v>
      </c>
      <c r="F839" t="s">
        <v>1454</v>
      </c>
      <c r="G839" t="s">
        <v>594</v>
      </c>
      <c r="H839" t="s">
        <v>255</v>
      </c>
      <c r="I839">
        <v>2020</v>
      </c>
      <c r="J839">
        <v>12</v>
      </c>
      <c r="K839" t="s">
        <v>1455</v>
      </c>
      <c r="M839" t="str">
        <f t="shared" si="102"/>
        <v>Elisa_2020</v>
      </c>
      <c r="N839" s="266" t="s">
        <v>223</v>
      </c>
      <c r="O839" s="171" t="s">
        <v>275</v>
      </c>
      <c r="P839" t="s">
        <v>224</v>
      </c>
      <c r="Q839" s="266" t="s">
        <v>390</v>
      </c>
      <c r="R839" s="271" t="s">
        <v>1156</v>
      </c>
      <c r="S839" s="154" t="s">
        <v>1456</v>
      </c>
      <c r="T839" s="296" t="s">
        <v>1457</v>
      </c>
      <c r="U839" s="143" t="s">
        <v>1467</v>
      </c>
      <c r="V839">
        <v>0</v>
      </c>
      <c r="W839">
        <v>0</v>
      </c>
      <c r="X839">
        <v>0</v>
      </c>
      <c r="Y839">
        <v>0</v>
      </c>
      <c r="Z839">
        <v>0</v>
      </c>
      <c r="AA839">
        <v>0</v>
      </c>
      <c r="AB839">
        <v>0</v>
      </c>
      <c r="AC839">
        <v>0</v>
      </c>
      <c r="AD839">
        <v>0</v>
      </c>
      <c r="AE839">
        <v>1</v>
      </c>
      <c r="AF839">
        <v>0</v>
      </c>
      <c r="AG839">
        <v>0</v>
      </c>
      <c r="AH839">
        <v>0</v>
      </c>
      <c r="AI839">
        <v>0</v>
      </c>
      <c r="AJ839">
        <v>0</v>
      </c>
      <c r="AK839">
        <v>0</v>
      </c>
      <c r="AL839">
        <v>0</v>
      </c>
      <c r="AM839">
        <v>0</v>
      </c>
      <c r="AN839">
        <v>0</v>
      </c>
      <c r="AO839">
        <v>0</v>
      </c>
      <c r="AP839">
        <v>0</v>
      </c>
      <c r="AQ839">
        <v>0</v>
      </c>
      <c r="AR839">
        <v>0</v>
      </c>
      <c r="AS839">
        <v>0</v>
      </c>
      <c r="AT839">
        <v>0</v>
      </c>
      <c r="AU839">
        <v>0</v>
      </c>
      <c r="AV839">
        <v>0</v>
      </c>
      <c r="AW839">
        <v>0</v>
      </c>
      <c r="AX839" s="141">
        <f t="shared" si="116"/>
        <v>1</v>
      </c>
      <c r="AY839" s="141">
        <f t="shared" si="88"/>
        <v>1</v>
      </c>
      <c r="AZ839">
        <f t="shared" si="89"/>
        <v>0</v>
      </c>
      <c r="BA839">
        <f t="shared" si="90"/>
        <v>1</v>
      </c>
      <c r="BB839">
        <f t="shared" si="91"/>
        <v>0</v>
      </c>
      <c r="BC839">
        <f t="shared" si="92"/>
        <v>0</v>
      </c>
      <c r="BD839">
        <f t="shared" si="93"/>
        <v>0</v>
      </c>
      <c r="BE839" t="str" cm="1">
        <f t="array" ref="BE839">IF(AY839=1,INDEX($V$7:$AL$7,MATCH(TRUE,INDEX($V839:$AW839&lt;&gt;0,),0)),IF(AY839=0,INDEX($AM$7:$AW$7,MATCH(1,$AM839:$AW839,0)),IF(BF839="Multiple strategies","mixed drivers",IF(BF839="Supply chain","multiple supply","multiple silviculture"))))</f>
        <v>location of industry</v>
      </c>
      <c r="BF839" s="2" t="str" cm="1">
        <f t="array" ref="BF839">IF(COUNTIF(AZ839:BB839,"&lt;&gt;0")=1,INDEX($V$4:$AW$4,MATCH(TRUE,INDEX($V839:$AW839&lt;&gt;0,),0)),IF(COUNTIF(AZ839:BB839,"&lt;&gt;0")=0,INDEX($AM$4:$AW$4,MATCH(1,$AM839:$AW839,0)),"Multiple strategies"))</f>
        <v>Supply chain</v>
      </c>
      <c r="BG839" s="142" t="s">
        <v>322</v>
      </c>
      <c r="BH839" s="160" t="s">
        <v>1459</v>
      </c>
      <c r="BI839" s="160" t="s">
        <v>1460</v>
      </c>
      <c r="BJ839" s="143" t="s">
        <v>499</v>
      </c>
      <c r="BK839" s="143">
        <v>944</v>
      </c>
      <c r="BL839" s="143">
        <v>1525</v>
      </c>
      <c r="BM839">
        <f>IFERROR(BL840/BK839,"")</f>
        <v>1.6949152542372881</v>
      </c>
      <c r="BN839">
        <f t="shared" si="125"/>
        <v>581</v>
      </c>
      <c r="BO839" s="159">
        <f t="shared" si="117"/>
        <v>581</v>
      </c>
      <c r="BP839" s="155" t="s">
        <v>233</v>
      </c>
      <c r="BQ839" s="155" t="s">
        <v>1461</v>
      </c>
      <c r="BR839" s="155" t="s">
        <v>827</v>
      </c>
      <c r="BS839" s="143" t="s">
        <v>1479</v>
      </c>
      <c r="BT839" t="s">
        <v>1481</v>
      </c>
      <c r="BU839" s="144">
        <f t="shared" si="118"/>
        <v>1.6182450699129007</v>
      </c>
      <c r="BV839">
        <f t="shared" si="119"/>
        <v>-6.6445888888889013E-2</v>
      </c>
      <c r="BX839">
        <f t="shared" si="120"/>
        <v>-6.6445888888889013E-2</v>
      </c>
      <c r="BY839">
        <f t="shared" si="94"/>
        <v>-1.1436469688276939E-4</v>
      </c>
      <c r="BZ839">
        <v>0</v>
      </c>
      <c r="CA839">
        <v>0</v>
      </c>
      <c r="CB839">
        <v>0</v>
      </c>
      <c r="CC839">
        <v>0</v>
      </c>
      <c r="CD839">
        <v>0</v>
      </c>
      <c r="CE839">
        <v>0</v>
      </c>
      <c r="CF839">
        <v>0</v>
      </c>
      <c r="CG839">
        <v>0</v>
      </c>
      <c r="CH839">
        <v>0</v>
      </c>
      <c r="CI839">
        <v>0</v>
      </c>
      <c r="CJ839">
        <v>0</v>
      </c>
      <c r="CK839">
        <v>0</v>
      </c>
      <c r="CL839">
        <v>0</v>
      </c>
      <c r="CM839">
        <v>0</v>
      </c>
      <c r="CN839" t="str">
        <f t="shared" si="108"/>
        <v>refOK</v>
      </c>
      <c r="CO839">
        <f t="shared" si="109"/>
        <v>944</v>
      </c>
      <c r="CP839">
        <f t="shared" si="110"/>
        <v>1525</v>
      </c>
      <c r="CQ839">
        <f t="shared" si="124"/>
        <v>581</v>
      </c>
      <c r="CR839">
        <f t="shared" si="111"/>
        <v>-0.107475</v>
      </c>
      <c r="CS839">
        <f t="shared" si="112"/>
        <v>-0.17392088888888901</v>
      </c>
      <c r="CT839">
        <f t="shared" si="121"/>
        <v>-6.6445888888889013E-2</v>
      </c>
      <c r="CU839">
        <f t="shared" si="105"/>
        <v>-1.1436469688276939E-4</v>
      </c>
      <c r="CV839" s="2">
        <f t="shared" si="122"/>
        <v>-0.61824506991290074</v>
      </c>
      <c r="CW839" s="265" t="s">
        <v>1464</v>
      </c>
      <c r="CX839" s="266" t="str">
        <f t="shared" si="96"/>
        <v>reg</v>
      </c>
      <c r="CY839" s="272" t="s">
        <v>745</v>
      </c>
      <c r="DA839" s="143"/>
      <c r="DB839" s="143">
        <v>0</v>
      </c>
      <c r="DC839" t="str">
        <f t="shared" si="97"/>
        <v>0</v>
      </c>
      <c r="DD839">
        <v>0</v>
      </c>
      <c r="DE839">
        <v>1</v>
      </c>
      <c r="DF839">
        <v>0</v>
      </c>
      <c r="DG839">
        <v>0</v>
      </c>
      <c r="DH839">
        <v>0</v>
      </c>
      <c r="DI839">
        <f t="shared" si="123"/>
        <v>1</v>
      </c>
      <c r="DJ839" t="str">
        <f t="shared" si="103"/>
        <v>EnergyInput</v>
      </c>
      <c r="DK839">
        <f t="shared" si="73"/>
        <v>0</v>
      </c>
      <c r="DL839" t="str">
        <f t="shared" si="74"/>
        <v>Energy</v>
      </c>
      <c r="DM839">
        <f t="shared" si="75"/>
        <v>0</v>
      </c>
      <c r="DN839">
        <f t="shared" si="76"/>
        <v>0</v>
      </c>
      <c r="DO839">
        <v>0</v>
      </c>
      <c r="DP839" s="143">
        <v>0</v>
      </c>
      <c r="DQ839" s="143">
        <v>0</v>
      </c>
      <c r="DR839">
        <v>0</v>
      </c>
      <c r="DS839" s="143">
        <v>0</v>
      </c>
      <c r="DT839">
        <f t="shared" si="114"/>
        <v>0</v>
      </c>
      <c r="DU839" s="143" t="str">
        <f t="shared" si="99"/>
        <v>explicit C balance</v>
      </c>
      <c r="DV839" s="143">
        <v>0</v>
      </c>
      <c r="DW839" s="143">
        <v>0</v>
      </c>
      <c r="DX839" s="143">
        <v>0</v>
      </c>
      <c r="DY839" s="143">
        <v>0</v>
      </c>
      <c r="DZ839">
        <v>0</v>
      </c>
      <c r="EA839" s="143">
        <v>0</v>
      </c>
      <c r="EB839" s="143">
        <v>1</v>
      </c>
      <c r="EC839" s="143">
        <v>0</v>
      </c>
      <c r="ED839" s="143">
        <v>0</v>
      </c>
      <c r="EE839">
        <v>0</v>
      </c>
      <c r="EF839">
        <v>0</v>
      </c>
      <c r="EG839" s="143">
        <v>0</v>
      </c>
      <c r="EH839" s="143">
        <v>0</v>
      </c>
      <c r="EI839" s="2">
        <v>0</v>
      </c>
      <c r="EK839" t="str">
        <f t="shared" si="77"/>
        <v/>
      </c>
      <c r="EL839" t="str">
        <f t="shared" si="78"/>
        <v/>
      </c>
      <c r="EM839" s="2" t="str">
        <f t="shared" si="98"/>
        <v/>
      </c>
      <c r="EP839" t="str">
        <f>IF(ISNUMBER(BU839),IF(ABS(BU839-[1]QC_indicators!$B$2)&gt;3*[1]QC_indicators!$C$2,"C ratio",IF(ISNUMBER(BY839),IF(ABS(BY839-[1]QC_indicators!$B$1)&gt;3*[1]QC_indicators!$C$1,"DF","no"))),IF(ISNUMBER(BY839),IF(ABS(BY839-[1]QC_indicators!$B$1)&gt;3*[1]QC_indicators!$C$1,"DF","no")))</f>
        <v>no</v>
      </c>
      <c r="ER839" s="149"/>
      <c r="ET839" s="266" t="s">
        <v>3409</v>
      </c>
    </row>
    <row r="840" spans="1:150" ht="15" hidden="1" customHeight="1">
      <c r="A840" s="1" t="s">
        <v>588</v>
      </c>
      <c r="B840" t="s">
        <v>1450</v>
      </c>
      <c r="C840" t="s">
        <v>1451</v>
      </c>
      <c r="D840" t="s">
        <v>1452</v>
      </c>
      <c r="E840" t="s">
        <v>1453</v>
      </c>
      <c r="F840" t="s">
        <v>1454</v>
      </c>
      <c r="G840" t="s">
        <v>594</v>
      </c>
      <c r="H840" t="s">
        <v>255</v>
      </c>
      <c r="I840">
        <v>2020</v>
      </c>
      <c r="J840">
        <v>12</v>
      </c>
      <c r="K840" t="s">
        <v>1455</v>
      </c>
      <c r="M840" t="str">
        <f t="shared" si="102"/>
        <v>Elisa_2020</v>
      </c>
      <c r="N840" s="266" t="s">
        <v>223</v>
      </c>
      <c r="O840" s="171" t="s">
        <v>275</v>
      </c>
      <c r="P840" t="s">
        <v>224</v>
      </c>
      <c r="Q840" s="266" t="s">
        <v>390</v>
      </c>
      <c r="R840" s="271" t="s">
        <v>1156</v>
      </c>
      <c r="S840" s="154" t="s">
        <v>1456</v>
      </c>
      <c r="T840" s="296" t="s">
        <v>1457</v>
      </c>
      <c r="U840" s="143" t="s">
        <v>1458</v>
      </c>
      <c r="V840">
        <v>0</v>
      </c>
      <c r="W840">
        <v>0</v>
      </c>
      <c r="X840">
        <v>0</v>
      </c>
      <c r="Y840">
        <v>0</v>
      </c>
      <c r="Z840">
        <v>0</v>
      </c>
      <c r="AA840">
        <v>0</v>
      </c>
      <c r="AB840">
        <v>0</v>
      </c>
      <c r="AC840">
        <v>0</v>
      </c>
      <c r="AD840">
        <v>0</v>
      </c>
      <c r="AE840">
        <v>1</v>
      </c>
      <c r="AF840">
        <v>0</v>
      </c>
      <c r="AG840">
        <v>0</v>
      </c>
      <c r="AH840">
        <v>0</v>
      </c>
      <c r="AI840">
        <v>0</v>
      </c>
      <c r="AJ840">
        <v>0</v>
      </c>
      <c r="AK840">
        <v>0</v>
      </c>
      <c r="AL840">
        <v>0</v>
      </c>
      <c r="AM840">
        <v>0</v>
      </c>
      <c r="AN840">
        <v>0</v>
      </c>
      <c r="AO840">
        <v>0</v>
      </c>
      <c r="AP840">
        <v>0</v>
      </c>
      <c r="AQ840">
        <v>0</v>
      </c>
      <c r="AR840">
        <v>0</v>
      </c>
      <c r="AS840">
        <v>0</v>
      </c>
      <c r="AT840">
        <v>0</v>
      </c>
      <c r="AU840">
        <v>0</v>
      </c>
      <c r="AV840">
        <v>0</v>
      </c>
      <c r="AW840">
        <v>0</v>
      </c>
      <c r="AX840" s="141">
        <f t="shared" si="116"/>
        <v>1</v>
      </c>
      <c r="AY840" s="141">
        <f t="shared" si="88"/>
        <v>1</v>
      </c>
      <c r="AZ840">
        <f t="shared" si="89"/>
        <v>0</v>
      </c>
      <c r="BA840">
        <f t="shared" si="90"/>
        <v>1</v>
      </c>
      <c r="BB840">
        <f t="shared" si="91"/>
        <v>0</v>
      </c>
      <c r="BC840">
        <f t="shared" si="92"/>
        <v>0</v>
      </c>
      <c r="BD840">
        <f t="shared" si="93"/>
        <v>0</v>
      </c>
      <c r="BE840" t="str" cm="1">
        <f t="array" ref="BE840">IF(AY840=1,INDEX($V$7:$AL$7,MATCH(TRUE,INDEX($V840:$AW840&lt;&gt;0,),0)),IF(AY840=0,INDEX($AM$7:$AW$7,MATCH(1,$AM840:$AW840,0)),IF(BF840="Multiple strategies","mixed drivers",IF(BF840="Supply chain","multiple supply","multiple silviculture"))))</f>
        <v>location of industry</v>
      </c>
      <c r="BF840" s="2" t="str" cm="1">
        <f t="array" ref="BF840">IF(COUNTIF(AZ840:BB840,"&lt;&gt;0")=1,INDEX($V$4:$AW$4,MATCH(TRUE,INDEX($V840:$AW840&lt;&gt;0,),0)),IF(COUNTIF(AZ840:BB840,"&lt;&gt;0")=0,INDEX($AM$4:$AW$4,MATCH(1,$AM840:$AW840,0)),"Multiple strategies"))</f>
        <v>Supply chain</v>
      </c>
      <c r="BG840" s="142" t="s">
        <v>322</v>
      </c>
      <c r="BH840" s="160" t="s">
        <v>1459</v>
      </c>
      <c r="BI840" s="160" t="s">
        <v>1460</v>
      </c>
      <c r="BJ840" s="143" t="s">
        <v>499</v>
      </c>
      <c r="BK840" s="143">
        <v>944</v>
      </c>
      <c r="BL840" s="143">
        <v>1600</v>
      </c>
      <c r="BM840">
        <f>IFERROR(BL841/BK840,"")</f>
        <v>7.4078389830508478</v>
      </c>
      <c r="BN840">
        <f t="shared" si="125"/>
        <v>656</v>
      </c>
      <c r="BO840" s="159">
        <f t="shared" si="117"/>
        <v>656</v>
      </c>
      <c r="BP840" s="155" t="s">
        <v>233</v>
      </c>
      <c r="BQ840" s="155" t="s">
        <v>1461</v>
      </c>
      <c r="BR840" s="155" t="s">
        <v>827</v>
      </c>
      <c r="BS840" s="143" t="s">
        <v>1479</v>
      </c>
      <c r="BT840" t="s">
        <v>1482</v>
      </c>
      <c r="BU840" s="144">
        <f t="shared" si="118"/>
        <v>1.6872140807939802</v>
      </c>
      <c r="BV840">
        <f t="shared" si="119"/>
        <v>-7.3858333333333012E-2</v>
      </c>
      <c r="BX840">
        <f t="shared" si="120"/>
        <v>-7.3858333333333012E-2</v>
      </c>
      <c r="BY840">
        <f t="shared" si="94"/>
        <v>-1.1258892276422716E-4</v>
      </c>
      <c r="BZ840">
        <v>0</v>
      </c>
      <c r="CA840">
        <v>0</v>
      </c>
      <c r="CB840">
        <v>0</v>
      </c>
      <c r="CC840">
        <v>0</v>
      </c>
      <c r="CD840">
        <v>0</v>
      </c>
      <c r="CE840">
        <v>0</v>
      </c>
      <c r="CF840">
        <v>0</v>
      </c>
      <c r="CG840">
        <v>0</v>
      </c>
      <c r="CH840">
        <v>0</v>
      </c>
      <c r="CI840">
        <v>0</v>
      </c>
      <c r="CJ840">
        <v>0</v>
      </c>
      <c r="CK840">
        <v>0</v>
      </c>
      <c r="CL840">
        <v>0</v>
      </c>
      <c r="CM840">
        <v>0</v>
      </c>
      <c r="CN840" t="str">
        <f t="shared" si="108"/>
        <v>refOK</v>
      </c>
      <c r="CO840">
        <f t="shared" si="109"/>
        <v>944</v>
      </c>
      <c r="CP840">
        <f t="shared" si="110"/>
        <v>1600</v>
      </c>
      <c r="CQ840">
        <f t="shared" si="124"/>
        <v>656</v>
      </c>
      <c r="CR840">
        <f t="shared" si="111"/>
        <v>-0.107475</v>
      </c>
      <c r="CS840">
        <f t="shared" si="112"/>
        <v>-0.18133333333333301</v>
      </c>
      <c r="CT840">
        <f t="shared" si="121"/>
        <v>-7.3858333333333012E-2</v>
      </c>
      <c r="CU840">
        <f t="shared" si="105"/>
        <v>-1.1258892276422716E-4</v>
      </c>
      <c r="CV840" s="2">
        <f t="shared" si="122"/>
        <v>-0.68721408079398005</v>
      </c>
      <c r="CW840" s="265" t="s">
        <v>1464</v>
      </c>
      <c r="CX840" s="266" t="str">
        <f t="shared" si="96"/>
        <v>reg</v>
      </c>
      <c r="CY840" s="272" t="s">
        <v>745</v>
      </c>
      <c r="DA840" s="143"/>
      <c r="DB840" s="143">
        <v>0</v>
      </c>
      <c r="DC840" t="str">
        <f t="shared" si="97"/>
        <v>0</v>
      </c>
      <c r="DD840">
        <v>0</v>
      </c>
      <c r="DE840">
        <v>1</v>
      </c>
      <c r="DF840">
        <v>0</v>
      </c>
      <c r="DG840">
        <v>0</v>
      </c>
      <c r="DH840">
        <v>0</v>
      </c>
      <c r="DI840">
        <f t="shared" si="123"/>
        <v>1</v>
      </c>
      <c r="DJ840" t="str">
        <f t="shared" si="103"/>
        <v>EnergyInput</v>
      </c>
      <c r="DK840">
        <f t="shared" ref="DK840:DK903" si="126">IF(DD840=1,DK$7,0)</f>
        <v>0</v>
      </c>
      <c r="DL840" t="str">
        <f t="shared" ref="DL840:DL903" si="127">IF(DE840=1,DL$7,0)</f>
        <v>Energy</v>
      </c>
      <c r="DM840">
        <f t="shared" ref="DM840:DM903" si="128">IF(DF840=1,DM$7,0)</f>
        <v>0</v>
      </c>
      <c r="DN840">
        <f t="shared" ref="DN840:DN903" si="129">IF(DG840=1,DN$7,0)</f>
        <v>0</v>
      </c>
      <c r="DO840">
        <v>0</v>
      </c>
      <c r="DP840" s="143">
        <v>0</v>
      </c>
      <c r="DQ840" s="143">
        <v>0</v>
      </c>
      <c r="DR840">
        <v>0</v>
      </c>
      <c r="DS840" s="143">
        <v>0</v>
      </c>
      <c r="DT840">
        <f t="shared" si="114"/>
        <v>0</v>
      </c>
      <c r="DU840" s="143" t="str">
        <f t="shared" si="99"/>
        <v>explicit C balance</v>
      </c>
      <c r="DV840" s="143">
        <v>0</v>
      </c>
      <c r="DW840" s="143">
        <v>0</v>
      </c>
      <c r="DX840" s="143">
        <v>0</v>
      </c>
      <c r="DY840" s="143">
        <v>0</v>
      </c>
      <c r="DZ840">
        <v>0</v>
      </c>
      <c r="EA840" s="143">
        <v>0</v>
      </c>
      <c r="EB840" s="143">
        <v>1</v>
      </c>
      <c r="EC840" s="143">
        <v>0</v>
      </c>
      <c r="ED840" s="143">
        <v>0</v>
      </c>
      <c r="EE840">
        <v>0</v>
      </c>
      <c r="EF840">
        <v>0</v>
      </c>
      <c r="EG840" s="143">
        <v>0</v>
      </c>
      <c r="EH840" s="143">
        <v>0</v>
      </c>
      <c r="EI840" s="2">
        <v>0</v>
      </c>
      <c r="EK840" t="str">
        <f t="shared" ref="EK840:EK903" si="130">IF(AND(AND(AND(OR($DX840=1,$DW840=1),OR($EC840=1,$EA840=1)),SUM($DV840:$DZ840,$EF840)&gt;=4),SUM($EA840:$EE840)&gt;=2),"Whole sector","")</f>
        <v/>
      </c>
      <c r="EL840" t="str">
        <f t="shared" ref="EL840:EL903" si="131">IF(AND(AND(OR($DX840=1,$DW840=1),AND($EC840=0,$EA840=0)),SUM($DV840:$DZ840,$EF840)&gt;=4),"Ecosystem approach","")</f>
        <v/>
      </c>
      <c r="EM840" s="2" t="str">
        <f t="shared" si="98"/>
        <v/>
      </c>
      <c r="EP840" t="str">
        <f>IF(ISNUMBER(BU840),IF(ABS(BU840-[1]QC_indicators!$B$2)&gt;3*[1]QC_indicators!$C$2,"C ratio",IF(ISNUMBER(BY840),IF(ABS(BY840-[1]QC_indicators!$B$1)&gt;3*[1]QC_indicators!$C$1,"DF","no"))),IF(ISNUMBER(BY840),IF(ABS(BY840-[1]QC_indicators!$B$1)&gt;3*[1]QC_indicators!$C$1,"DF","no")))</f>
        <v>no</v>
      </c>
      <c r="ER840" s="149"/>
      <c r="ET840" s="266" t="s">
        <v>3409</v>
      </c>
    </row>
    <row r="841" spans="1:150" ht="15" hidden="1" customHeight="1">
      <c r="A841" s="1" t="s">
        <v>588</v>
      </c>
      <c r="B841" t="s">
        <v>1450</v>
      </c>
      <c r="C841" t="s">
        <v>1451</v>
      </c>
      <c r="D841" t="s">
        <v>1452</v>
      </c>
      <c r="E841" t="s">
        <v>1453</v>
      </c>
      <c r="F841" t="s">
        <v>1454</v>
      </c>
      <c r="G841" t="s">
        <v>594</v>
      </c>
      <c r="H841" t="s">
        <v>255</v>
      </c>
      <c r="I841">
        <v>2020</v>
      </c>
      <c r="J841">
        <v>12</v>
      </c>
      <c r="K841" t="s">
        <v>1455</v>
      </c>
      <c r="M841" t="str">
        <f t="shared" si="102"/>
        <v>Elisa_2020</v>
      </c>
      <c r="N841" s="266" t="s">
        <v>223</v>
      </c>
      <c r="O841" s="171" t="s">
        <v>275</v>
      </c>
      <c r="P841" t="s">
        <v>224</v>
      </c>
      <c r="Q841" s="266" t="s">
        <v>390</v>
      </c>
      <c r="R841" s="271" t="s">
        <v>1156</v>
      </c>
      <c r="S841" s="154" t="s">
        <v>1456</v>
      </c>
      <c r="T841" s="296" t="s">
        <v>1457</v>
      </c>
      <c r="U841" s="143" t="s">
        <v>1473</v>
      </c>
      <c r="V841">
        <v>0</v>
      </c>
      <c r="W841">
        <v>0</v>
      </c>
      <c r="X841">
        <v>0</v>
      </c>
      <c r="Y841">
        <v>0</v>
      </c>
      <c r="Z841">
        <v>0</v>
      </c>
      <c r="AA841">
        <v>0</v>
      </c>
      <c r="AB841">
        <v>0</v>
      </c>
      <c r="AC841">
        <v>0</v>
      </c>
      <c r="AD841">
        <v>0</v>
      </c>
      <c r="AE841">
        <v>1</v>
      </c>
      <c r="AF841">
        <v>0</v>
      </c>
      <c r="AG841">
        <v>0</v>
      </c>
      <c r="AH841">
        <v>0</v>
      </c>
      <c r="AI841">
        <v>0</v>
      </c>
      <c r="AJ841">
        <v>0</v>
      </c>
      <c r="AK841">
        <v>0</v>
      </c>
      <c r="AL841">
        <v>0</v>
      </c>
      <c r="AM841">
        <v>0</v>
      </c>
      <c r="AN841">
        <v>0</v>
      </c>
      <c r="AO841">
        <v>0</v>
      </c>
      <c r="AP841">
        <v>0</v>
      </c>
      <c r="AQ841">
        <v>0</v>
      </c>
      <c r="AR841">
        <v>0</v>
      </c>
      <c r="AS841">
        <v>0</v>
      </c>
      <c r="AT841">
        <v>0</v>
      </c>
      <c r="AU841">
        <v>0</v>
      </c>
      <c r="AV841">
        <v>0</v>
      </c>
      <c r="AW841">
        <v>0</v>
      </c>
      <c r="AX841" s="141">
        <f t="shared" si="116"/>
        <v>1</v>
      </c>
      <c r="AY841" s="141">
        <f t="shared" si="88"/>
        <v>1</v>
      </c>
      <c r="AZ841">
        <f t="shared" si="89"/>
        <v>0</v>
      </c>
      <c r="BA841">
        <f t="shared" si="90"/>
        <v>1</v>
      </c>
      <c r="BB841">
        <f t="shared" si="91"/>
        <v>0</v>
      </c>
      <c r="BC841">
        <f t="shared" si="92"/>
        <v>0</v>
      </c>
      <c r="BD841">
        <f t="shared" si="93"/>
        <v>0</v>
      </c>
      <c r="BE841" t="str" cm="1">
        <f t="array" ref="BE841">IF(AY841=1,INDEX($V$7:$AL$7,MATCH(TRUE,INDEX($V841:$AW841&lt;&gt;0,),0)),IF(AY841=0,INDEX($AM$7:$AW$7,MATCH(1,$AM841:$AW841,0)),IF(BF841="Multiple strategies","mixed drivers",IF(BF841="Supply chain","multiple supply","multiple silviculture"))))</f>
        <v>location of industry</v>
      </c>
      <c r="BF841" s="2" t="str" cm="1">
        <f t="array" ref="BF841">IF(COUNTIF(AZ841:BB841,"&lt;&gt;0")=1,INDEX($V$4:$AW$4,MATCH(TRUE,INDEX($V841:$AW841&lt;&gt;0,),0)),IF(COUNTIF(AZ841:BB841,"&lt;&gt;0")=0,INDEX($AM$4:$AW$4,MATCH(1,$AM841:$AW841,0)),"Multiple strategies"))</f>
        <v>Supply chain</v>
      </c>
      <c r="BG841" s="142" t="s">
        <v>322</v>
      </c>
      <c r="BH841" s="160" t="s">
        <v>1459</v>
      </c>
      <c r="BI841" s="160" t="s">
        <v>1460</v>
      </c>
      <c r="BJ841" s="143" t="s">
        <v>499</v>
      </c>
      <c r="BK841" s="143">
        <v>944</v>
      </c>
      <c r="BL841" s="143">
        <v>6993</v>
      </c>
      <c r="BM841">
        <f>IFERROR(BL842/BK841,"")</f>
        <v>21.1864406779661</v>
      </c>
      <c r="BN841">
        <f t="shared" si="125"/>
        <v>6049</v>
      </c>
      <c r="BO841" s="159">
        <f t="shared" si="117"/>
        <v>6049</v>
      </c>
      <c r="BP841" s="155" t="s">
        <v>233</v>
      </c>
      <c r="BQ841" s="155" t="s">
        <v>1461</v>
      </c>
      <c r="BR841" s="155" t="s">
        <v>827</v>
      </c>
      <c r="BS841" s="143" t="s">
        <v>1479</v>
      </c>
      <c r="BT841" t="s">
        <v>1483</v>
      </c>
      <c r="BU841" s="144">
        <f t="shared" si="118"/>
        <v>7.1075960817761246</v>
      </c>
      <c r="BV841">
        <f t="shared" si="119"/>
        <v>-0.65641388888888896</v>
      </c>
      <c r="BX841">
        <f t="shared" si="120"/>
        <v>-0.65641388888888896</v>
      </c>
      <c r="BY841">
        <f t="shared" si="94"/>
        <v>-1.0851609999816317E-4</v>
      </c>
      <c r="BZ841">
        <v>0</v>
      </c>
      <c r="CA841">
        <v>0</v>
      </c>
      <c r="CB841">
        <v>0</v>
      </c>
      <c r="CC841">
        <v>0</v>
      </c>
      <c r="CD841">
        <v>0</v>
      </c>
      <c r="CE841">
        <v>0</v>
      </c>
      <c r="CF841">
        <v>0</v>
      </c>
      <c r="CG841">
        <v>0</v>
      </c>
      <c r="CH841">
        <v>0</v>
      </c>
      <c r="CI841">
        <v>0</v>
      </c>
      <c r="CJ841">
        <v>0</v>
      </c>
      <c r="CK841">
        <v>0</v>
      </c>
      <c r="CL841">
        <v>0</v>
      </c>
      <c r="CM841">
        <v>0</v>
      </c>
      <c r="CN841" t="str">
        <f t="shared" si="108"/>
        <v>refOK</v>
      </c>
      <c r="CO841">
        <f t="shared" si="109"/>
        <v>944</v>
      </c>
      <c r="CP841">
        <f t="shared" si="110"/>
        <v>6993</v>
      </c>
      <c r="CQ841">
        <f t="shared" si="124"/>
        <v>6049</v>
      </c>
      <c r="CR841">
        <f t="shared" si="111"/>
        <v>-0.107475</v>
      </c>
      <c r="CS841">
        <f t="shared" si="112"/>
        <v>-0.76388888888888895</v>
      </c>
      <c r="CT841">
        <f t="shared" si="121"/>
        <v>-0.65641388888888896</v>
      </c>
      <c r="CU841">
        <f t="shared" si="105"/>
        <v>-1.0851609999816317E-4</v>
      </c>
      <c r="CV841" s="2">
        <f t="shared" si="122"/>
        <v>-6.1075960817761246</v>
      </c>
      <c r="CW841" s="265" t="s">
        <v>1464</v>
      </c>
      <c r="CX841" s="266" t="str">
        <f t="shared" si="96"/>
        <v>reg</v>
      </c>
      <c r="CY841" s="272" t="s">
        <v>745</v>
      </c>
      <c r="DA841" s="143"/>
      <c r="DB841" s="143">
        <v>0</v>
      </c>
      <c r="DC841" t="str">
        <f t="shared" si="97"/>
        <v>0</v>
      </c>
      <c r="DD841">
        <v>0</v>
      </c>
      <c r="DE841">
        <v>1</v>
      </c>
      <c r="DF841">
        <v>0</v>
      </c>
      <c r="DG841">
        <v>0</v>
      </c>
      <c r="DH841">
        <v>0</v>
      </c>
      <c r="DI841">
        <f t="shared" si="123"/>
        <v>1</v>
      </c>
      <c r="DJ841" t="str">
        <f t="shared" si="103"/>
        <v>EnergyInput</v>
      </c>
      <c r="DK841">
        <f t="shared" si="126"/>
        <v>0</v>
      </c>
      <c r="DL841" t="str">
        <f t="shared" si="127"/>
        <v>Energy</v>
      </c>
      <c r="DM841">
        <f t="shared" si="128"/>
        <v>0</v>
      </c>
      <c r="DN841">
        <f t="shared" si="129"/>
        <v>0</v>
      </c>
      <c r="DO841">
        <v>0</v>
      </c>
      <c r="DP841" s="143">
        <v>0</v>
      </c>
      <c r="DQ841" s="143">
        <v>0</v>
      </c>
      <c r="DR841">
        <v>0</v>
      </c>
      <c r="DS841" s="143">
        <v>0</v>
      </c>
      <c r="DT841">
        <f t="shared" si="114"/>
        <v>0</v>
      </c>
      <c r="DU841" s="143" t="str">
        <f t="shared" si="99"/>
        <v>explicit C balance</v>
      </c>
      <c r="DV841" s="143">
        <v>0</v>
      </c>
      <c r="DW841" s="143">
        <v>0</v>
      </c>
      <c r="DX841" s="143">
        <v>0</v>
      </c>
      <c r="DY841" s="143">
        <v>0</v>
      </c>
      <c r="DZ841">
        <v>0</v>
      </c>
      <c r="EA841" s="143">
        <v>0</v>
      </c>
      <c r="EB841" s="143">
        <v>1</v>
      </c>
      <c r="EC841" s="143">
        <v>0</v>
      </c>
      <c r="ED841" s="143">
        <v>0</v>
      </c>
      <c r="EE841">
        <v>0</v>
      </c>
      <c r="EF841">
        <v>0</v>
      </c>
      <c r="EG841" s="143">
        <v>0</v>
      </c>
      <c r="EH841" s="143">
        <v>0</v>
      </c>
      <c r="EI841" s="2">
        <v>0</v>
      </c>
      <c r="EK841" t="str">
        <f t="shared" si="130"/>
        <v/>
      </c>
      <c r="EL841" t="str">
        <f t="shared" si="131"/>
        <v/>
      </c>
      <c r="EM841" s="2" t="str">
        <f t="shared" si="98"/>
        <v/>
      </c>
      <c r="EP841" t="str">
        <f>IF(ISNUMBER(BU841),IF(ABS(BU841-[1]QC_indicators!$B$2)&gt;3*[1]QC_indicators!$C$2,"C ratio",IF(ISNUMBER(BY841),IF(ABS(BY841-[1]QC_indicators!$B$1)&gt;3*[1]QC_indicators!$C$1,"DF","no"))),IF(ISNUMBER(BY841),IF(ABS(BY841-[1]QC_indicators!$B$1)&gt;3*[1]QC_indicators!$C$1,"DF","no")))</f>
        <v>no</v>
      </c>
      <c r="ER841" s="149"/>
      <c r="ET841" s="266" t="s">
        <v>3409</v>
      </c>
    </row>
    <row r="842" spans="1:150" ht="15" hidden="1" customHeight="1">
      <c r="A842" s="1" t="s">
        <v>588</v>
      </c>
      <c r="B842" t="s">
        <v>1450</v>
      </c>
      <c r="C842" t="s">
        <v>1451</v>
      </c>
      <c r="D842" t="s">
        <v>1452</v>
      </c>
      <c r="E842" t="s">
        <v>1453</v>
      </c>
      <c r="F842" t="s">
        <v>1454</v>
      </c>
      <c r="G842" t="s">
        <v>594</v>
      </c>
      <c r="H842" t="s">
        <v>255</v>
      </c>
      <c r="I842">
        <v>2020</v>
      </c>
      <c r="J842">
        <v>12</v>
      </c>
      <c r="K842" t="s">
        <v>1455</v>
      </c>
      <c r="M842" t="str">
        <f t="shared" si="102"/>
        <v>Elisa_2020</v>
      </c>
      <c r="N842" s="266" t="s">
        <v>223</v>
      </c>
      <c r="O842" s="171" t="s">
        <v>275</v>
      </c>
      <c r="P842" t="s">
        <v>224</v>
      </c>
      <c r="Q842" s="266" t="s">
        <v>390</v>
      </c>
      <c r="R842" s="271" t="s">
        <v>1156</v>
      </c>
      <c r="S842" s="154" t="s">
        <v>1456</v>
      </c>
      <c r="T842" s="296" t="s">
        <v>1457</v>
      </c>
      <c r="U842" s="143" t="s">
        <v>1470</v>
      </c>
      <c r="V842">
        <v>0</v>
      </c>
      <c r="W842">
        <v>0</v>
      </c>
      <c r="X842">
        <v>0</v>
      </c>
      <c r="Y842">
        <v>0</v>
      </c>
      <c r="Z842">
        <v>0</v>
      </c>
      <c r="AA842">
        <v>0</v>
      </c>
      <c r="AB842">
        <v>0</v>
      </c>
      <c r="AC842">
        <v>0</v>
      </c>
      <c r="AD842">
        <v>0</v>
      </c>
      <c r="AE842">
        <v>1</v>
      </c>
      <c r="AF842">
        <v>0</v>
      </c>
      <c r="AG842">
        <v>0</v>
      </c>
      <c r="AH842">
        <v>0</v>
      </c>
      <c r="AI842">
        <v>0</v>
      </c>
      <c r="AJ842">
        <v>0</v>
      </c>
      <c r="AK842">
        <v>0</v>
      </c>
      <c r="AL842">
        <v>0</v>
      </c>
      <c r="AM842">
        <v>0</v>
      </c>
      <c r="AN842">
        <v>0</v>
      </c>
      <c r="AO842">
        <v>0</v>
      </c>
      <c r="AP842">
        <v>0</v>
      </c>
      <c r="AQ842">
        <v>0</v>
      </c>
      <c r="AR842">
        <v>0</v>
      </c>
      <c r="AS842">
        <v>0</v>
      </c>
      <c r="AT842">
        <v>0</v>
      </c>
      <c r="AU842">
        <v>0</v>
      </c>
      <c r="AV842">
        <v>0</v>
      </c>
      <c r="AW842">
        <v>0</v>
      </c>
      <c r="AX842" s="141">
        <f t="shared" si="116"/>
        <v>1</v>
      </c>
      <c r="AY842" s="141">
        <f t="shared" si="88"/>
        <v>1</v>
      </c>
      <c r="AZ842">
        <f t="shared" si="89"/>
        <v>0</v>
      </c>
      <c r="BA842">
        <f t="shared" si="90"/>
        <v>1</v>
      </c>
      <c r="BB842">
        <f t="shared" si="91"/>
        <v>0</v>
      </c>
      <c r="BC842">
        <f t="shared" si="92"/>
        <v>0</v>
      </c>
      <c r="BD842">
        <f t="shared" si="93"/>
        <v>0</v>
      </c>
      <c r="BE842" t="str" cm="1">
        <f t="array" ref="BE842">IF(AY842=1,INDEX($V$7:$AL$7,MATCH(TRUE,INDEX($V842:$AW842&lt;&gt;0,),0)),IF(AY842=0,INDEX($AM$7:$AW$7,MATCH(1,$AM842:$AW842,0)),IF(BF842="Multiple strategies","mixed drivers",IF(BF842="Supply chain","multiple supply","multiple silviculture"))))</f>
        <v>location of industry</v>
      </c>
      <c r="BF842" s="2" t="str" cm="1">
        <f t="array" ref="BF842">IF(COUNTIF(AZ842:BB842,"&lt;&gt;0")=1,INDEX($V$4:$AW$4,MATCH(TRUE,INDEX($V842:$AW842&lt;&gt;0,),0)),IF(COUNTIF(AZ842:BB842,"&lt;&gt;0")=0,INDEX($AM$4:$AW$4,MATCH(1,$AM842:$AW842,0)),"Multiple strategies"))</f>
        <v>Supply chain</v>
      </c>
      <c r="BG842" s="142" t="s">
        <v>322</v>
      </c>
      <c r="BH842" s="160" t="s">
        <v>1459</v>
      </c>
      <c r="BI842" s="160" t="s">
        <v>1460</v>
      </c>
      <c r="BJ842" s="143" t="s">
        <v>499</v>
      </c>
      <c r="BK842" s="143">
        <v>944</v>
      </c>
      <c r="BL842" s="143">
        <v>20000</v>
      </c>
      <c r="BM842">
        <f>IFERROR(BL843/BK842,"")</f>
        <v>0.2412212607930925</v>
      </c>
      <c r="BN842">
        <f t="shared" si="125"/>
        <v>19056</v>
      </c>
      <c r="BO842" s="159">
        <f t="shared" si="117"/>
        <v>19056</v>
      </c>
      <c r="BP842" s="155" t="s">
        <v>233</v>
      </c>
      <c r="BQ842" s="155" t="s">
        <v>1461</v>
      </c>
      <c r="BR842" s="155" t="s">
        <v>827</v>
      </c>
      <c r="BS842" s="143" t="s">
        <v>1479</v>
      </c>
      <c r="BT842" t="s">
        <v>1484</v>
      </c>
      <c r="BU842" s="144">
        <f t="shared" si="118"/>
        <v>19.384352950298489</v>
      </c>
      <c r="BV842">
        <f t="shared" si="119"/>
        <v>-1.9758583333333299</v>
      </c>
      <c r="BX842">
        <f t="shared" si="120"/>
        <v>-1.9758583333333299</v>
      </c>
      <c r="BY842">
        <f t="shared" si="94"/>
        <v>-1.0368694024629145E-4</v>
      </c>
      <c r="BZ842">
        <v>0</v>
      </c>
      <c r="CA842">
        <v>0</v>
      </c>
      <c r="CB842">
        <v>0</v>
      </c>
      <c r="CC842">
        <v>0</v>
      </c>
      <c r="CD842">
        <v>0</v>
      </c>
      <c r="CE842">
        <v>0</v>
      </c>
      <c r="CF842">
        <v>0</v>
      </c>
      <c r="CG842">
        <v>0</v>
      </c>
      <c r="CH842">
        <v>0</v>
      </c>
      <c r="CI842">
        <v>0</v>
      </c>
      <c r="CJ842">
        <v>0</v>
      </c>
      <c r="CK842">
        <v>0</v>
      </c>
      <c r="CL842">
        <v>0</v>
      </c>
      <c r="CM842">
        <v>0</v>
      </c>
      <c r="CN842" t="str">
        <f t="shared" si="108"/>
        <v>refOK</v>
      </c>
      <c r="CO842">
        <f t="shared" si="109"/>
        <v>944</v>
      </c>
      <c r="CP842">
        <f t="shared" si="110"/>
        <v>20000</v>
      </c>
      <c r="CQ842">
        <f t="shared" si="124"/>
        <v>19056</v>
      </c>
      <c r="CR842">
        <f t="shared" si="111"/>
        <v>-0.107475</v>
      </c>
      <c r="CS842">
        <f t="shared" si="112"/>
        <v>-2.0833333333333299</v>
      </c>
      <c r="CT842">
        <f t="shared" si="121"/>
        <v>-1.9758583333333299</v>
      </c>
      <c r="CU842">
        <f t="shared" si="105"/>
        <v>-1.0368694024629145E-4</v>
      </c>
      <c r="CV842" s="2">
        <f t="shared" si="122"/>
        <v>-18.384352950298489</v>
      </c>
      <c r="CW842" s="265" t="s">
        <v>1464</v>
      </c>
      <c r="CX842" s="266" t="str">
        <f t="shared" si="96"/>
        <v>reg</v>
      </c>
      <c r="CY842" s="272" t="s">
        <v>745</v>
      </c>
      <c r="DA842" s="143"/>
      <c r="DB842" s="143">
        <v>0</v>
      </c>
      <c r="DC842" t="str">
        <f t="shared" si="97"/>
        <v>0</v>
      </c>
      <c r="DD842">
        <v>0</v>
      </c>
      <c r="DE842">
        <v>1</v>
      </c>
      <c r="DF842">
        <v>0</v>
      </c>
      <c r="DG842">
        <v>0</v>
      </c>
      <c r="DH842">
        <v>0</v>
      </c>
      <c r="DI842">
        <f t="shared" si="123"/>
        <v>1</v>
      </c>
      <c r="DJ842" t="str">
        <f t="shared" si="103"/>
        <v>EnergyInput</v>
      </c>
      <c r="DK842">
        <f t="shared" si="126"/>
        <v>0</v>
      </c>
      <c r="DL842" t="str">
        <f t="shared" si="127"/>
        <v>Energy</v>
      </c>
      <c r="DM842">
        <f t="shared" si="128"/>
        <v>0</v>
      </c>
      <c r="DN842">
        <f t="shared" si="129"/>
        <v>0</v>
      </c>
      <c r="DO842">
        <v>0</v>
      </c>
      <c r="DP842" s="143">
        <v>0</v>
      </c>
      <c r="DQ842" s="143">
        <v>0</v>
      </c>
      <c r="DR842">
        <v>0</v>
      </c>
      <c r="DS842" s="143">
        <v>0</v>
      </c>
      <c r="DT842">
        <f t="shared" si="114"/>
        <v>0</v>
      </c>
      <c r="DU842" s="143" t="str">
        <f t="shared" si="99"/>
        <v>explicit C balance</v>
      </c>
      <c r="DV842" s="143">
        <v>0</v>
      </c>
      <c r="DW842" s="143">
        <v>0</v>
      </c>
      <c r="DX842" s="143">
        <v>0</v>
      </c>
      <c r="DY842" s="143">
        <v>0</v>
      </c>
      <c r="DZ842">
        <v>0</v>
      </c>
      <c r="EA842" s="143">
        <v>0</v>
      </c>
      <c r="EB842" s="143">
        <v>1</v>
      </c>
      <c r="EC842" s="143">
        <v>0</v>
      </c>
      <c r="ED842" s="143">
        <v>0</v>
      </c>
      <c r="EE842">
        <v>0</v>
      </c>
      <c r="EF842">
        <v>0</v>
      </c>
      <c r="EG842" s="143">
        <v>0</v>
      </c>
      <c r="EH842" s="143">
        <v>0</v>
      </c>
      <c r="EI842" s="2">
        <v>0</v>
      </c>
      <c r="EK842" t="str">
        <f t="shared" si="130"/>
        <v/>
      </c>
      <c r="EL842" t="str">
        <f t="shared" si="131"/>
        <v/>
      </c>
      <c r="EM842" s="2" t="str">
        <f t="shared" si="98"/>
        <v/>
      </c>
      <c r="EP842" t="str">
        <f>IF(ISNUMBER(BU842),IF(ABS(BU842-[1]QC_indicators!$B$2)&gt;3*[1]QC_indicators!$C$2,"C ratio",IF(ISNUMBER(BY842),IF(ABS(BY842-[1]QC_indicators!$B$1)&gt;3*[1]QC_indicators!$C$1,"DF","no"))),IF(ISNUMBER(BY842),IF(ABS(BY842-[1]QC_indicators!$B$1)&gt;3*[1]QC_indicators!$C$1,"DF","no")))</f>
        <v>no</v>
      </c>
      <c r="ER842" s="149"/>
      <c r="ET842" s="266" t="s">
        <v>3409</v>
      </c>
    </row>
    <row r="843" spans="1:150" ht="15" hidden="1" customHeight="1">
      <c r="A843" s="1" t="s">
        <v>266</v>
      </c>
      <c r="B843" t="s">
        <v>267</v>
      </c>
      <c r="C843" t="s">
        <v>268</v>
      </c>
      <c r="D843" t="s">
        <v>269</v>
      </c>
      <c r="E843" t="s">
        <v>270</v>
      </c>
      <c r="F843" t="s">
        <v>271</v>
      </c>
      <c r="G843" t="s">
        <v>272</v>
      </c>
      <c r="H843" t="s">
        <v>255</v>
      </c>
      <c r="I843">
        <v>2022</v>
      </c>
      <c r="J843">
        <v>0</v>
      </c>
      <c r="K843" t="s">
        <v>273</v>
      </c>
      <c r="M843" t="str">
        <f t="shared" si="102"/>
        <v>Aryapratama_2022</v>
      </c>
      <c r="N843" t="s">
        <v>223</v>
      </c>
      <c r="O843" s="145" t="s">
        <v>275</v>
      </c>
      <c r="Q843" t="s">
        <v>225</v>
      </c>
      <c r="R843" s="264" t="s">
        <v>224</v>
      </c>
      <c r="S843" s="265" t="s">
        <v>3107</v>
      </c>
      <c r="T843" t="s">
        <v>328</v>
      </c>
      <c r="U843" t="s">
        <v>327</v>
      </c>
      <c r="V843">
        <v>0</v>
      </c>
      <c r="W843">
        <v>0</v>
      </c>
      <c r="X843">
        <v>0</v>
      </c>
      <c r="Y843">
        <v>0</v>
      </c>
      <c r="Z843">
        <v>0</v>
      </c>
      <c r="AA843">
        <v>0</v>
      </c>
      <c r="AB843">
        <v>0</v>
      </c>
      <c r="AC843">
        <v>0</v>
      </c>
      <c r="AD843">
        <v>0</v>
      </c>
      <c r="AE843">
        <v>0</v>
      </c>
      <c r="AF843">
        <v>0</v>
      </c>
      <c r="AG843">
        <v>0</v>
      </c>
      <c r="AH843">
        <v>0</v>
      </c>
      <c r="AI843">
        <v>0</v>
      </c>
      <c r="AJ843">
        <v>0</v>
      </c>
      <c r="AK843">
        <v>1</v>
      </c>
      <c r="AL843">
        <v>0</v>
      </c>
      <c r="AM843">
        <v>0</v>
      </c>
      <c r="AN843">
        <v>0</v>
      </c>
      <c r="AO843">
        <v>0</v>
      </c>
      <c r="AP843">
        <v>0</v>
      </c>
      <c r="AQ843">
        <v>0</v>
      </c>
      <c r="AR843">
        <v>0</v>
      </c>
      <c r="AS843">
        <v>0</v>
      </c>
      <c r="AT843">
        <v>0</v>
      </c>
      <c r="AU843">
        <v>0</v>
      </c>
      <c r="AV843">
        <v>0</v>
      </c>
      <c r="AW843">
        <v>0</v>
      </c>
      <c r="AX843" s="141">
        <f t="shared" si="116"/>
        <v>1</v>
      </c>
      <c r="AY843" s="141">
        <f t="shared" si="88"/>
        <v>1</v>
      </c>
      <c r="AZ843">
        <f t="shared" si="89"/>
        <v>0</v>
      </c>
      <c r="BA843">
        <f t="shared" si="90"/>
        <v>0</v>
      </c>
      <c r="BB843">
        <f t="shared" si="91"/>
        <v>1</v>
      </c>
      <c r="BC843">
        <f t="shared" si="92"/>
        <v>0</v>
      </c>
      <c r="BD843">
        <f t="shared" si="93"/>
        <v>0</v>
      </c>
      <c r="BE843" t="str">
        <f t="array" ref="BE843">IF(AY843=1,INDEX($V$7:$AL$7,MATCH(TRUE,INDEX($V843:$AW843&lt;&gt;0,),0)),IF(AY843=0,INDEX($AM$7:$AW$7,MATCH(1,$AM843:$AW843,0)),IF(BF843="Multiple strategies","mixed drivers",IF(BF843="Supply chain","multiple supply","multiple silviculture"))))</f>
        <v>technologies/design switch</v>
      </c>
      <c r="BF843" s="2" t="str" cm="1">
        <f t="array" ref="BF843">IF(COUNTIF(AZ843:BB843,"&lt;&gt;0")=1,INDEX($V$4:$AW$4,MATCH(TRUE,INDEX($V843:$AW843&lt;&gt;0,),0)),IF(COUNTIF(AZ843:BB843,"&lt;&gt;0")=0,INDEX($AM$4:$AW$4,MATCH(1,$AM843:$AW843,0)),"Multiple strategies"))</f>
        <v>Technology</v>
      </c>
      <c r="BG843" s="1" t="s">
        <v>230</v>
      </c>
      <c r="BH843" t="s">
        <v>278</v>
      </c>
      <c r="BI843" s="266" t="s">
        <v>3108</v>
      </c>
      <c r="BJ843" t="s">
        <v>279</v>
      </c>
      <c r="BK843">
        <v>0</v>
      </c>
      <c r="BL843">
        <v>227.71287018867932</v>
      </c>
      <c r="BN843">
        <f t="shared" si="125"/>
        <v>227.71287018867932</v>
      </c>
      <c r="BO843">
        <f t="shared" ref="BO843:BO858" si="132">BN843*tC_to_m3</f>
        <v>988.76626221745255</v>
      </c>
      <c r="BP843" t="s">
        <v>233</v>
      </c>
      <c r="BQ843" s="153" t="s">
        <v>3109</v>
      </c>
      <c r="BR843" t="s">
        <v>280</v>
      </c>
      <c r="BS843">
        <v>-640.9681065668517</v>
      </c>
      <c r="BT843">
        <v>-1049.6296143500765</v>
      </c>
      <c r="BU843" s="144">
        <f t="shared" ref="BU843:BU858" si="133">IFERROR(BT843/BS843,"")</f>
        <v>1.6375691763699356</v>
      </c>
      <c r="BV843">
        <f t="shared" si="119"/>
        <v>-408.66150778322481</v>
      </c>
      <c r="BX843">
        <f t="shared" si="120"/>
        <v>-408.66150778322481</v>
      </c>
      <c r="BY843">
        <f t="shared" si="94"/>
        <v>-0.41330446173066399</v>
      </c>
      <c r="BZ843">
        <v>0</v>
      </c>
      <c r="CA843">
        <v>0</v>
      </c>
      <c r="CB843">
        <v>0</v>
      </c>
      <c r="CC843">
        <v>0</v>
      </c>
      <c r="CD843">
        <v>0</v>
      </c>
      <c r="CE843">
        <v>0</v>
      </c>
      <c r="CF843">
        <v>0</v>
      </c>
      <c r="CG843">
        <v>0</v>
      </c>
      <c r="CH843">
        <v>0</v>
      </c>
      <c r="CI843">
        <v>0</v>
      </c>
      <c r="CJ843">
        <v>0</v>
      </c>
      <c r="CK843">
        <v>0</v>
      </c>
      <c r="CL843">
        <v>0</v>
      </c>
      <c r="CM843">
        <v>0</v>
      </c>
      <c r="CN843" t="str">
        <f t="shared" si="108"/>
        <v>refOK</v>
      </c>
      <c r="CO843">
        <f t="shared" si="109"/>
        <v>0</v>
      </c>
      <c r="CP843">
        <f t="shared" si="110"/>
        <v>227.71287018867932</v>
      </c>
      <c r="CQ843">
        <f t="shared" si="124"/>
        <v>988.76626221745255</v>
      </c>
      <c r="CR843">
        <f t="shared" si="111"/>
        <v>-640.9681065668517</v>
      </c>
      <c r="CS843">
        <f t="shared" si="112"/>
        <v>-1049.6296143500765</v>
      </c>
      <c r="CT843">
        <f t="shared" si="121"/>
        <v>-408.66150778322481</v>
      </c>
      <c r="CU843">
        <f t="shared" si="105"/>
        <v>-0.41330446173066399</v>
      </c>
      <c r="CV843" s="2">
        <f t="shared" si="122"/>
        <v>-0.63756917636993571</v>
      </c>
      <c r="CW843" s="1" t="s">
        <v>235</v>
      </c>
      <c r="CX843" t="str">
        <f t="shared" si="96"/>
        <v>loc</v>
      </c>
      <c r="CY843" t="s">
        <v>281</v>
      </c>
      <c r="DB843">
        <v>100</v>
      </c>
      <c r="DC843" t="str">
        <f t="shared" si="97"/>
        <v>71-100</v>
      </c>
      <c r="DD843">
        <v>0</v>
      </c>
      <c r="DE843">
        <v>1</v>
      </c>
      <c r="DF843">
        <v>0</v>
      </c>
      <c r="DG843">
        <v>0</v>
      </c>
      <c r="DI843">
        <f t="shared" ref="DI843:DI874" si="134">SUM(DD843:DG843)</f>
        <v>1</v>
      </c>
      <c r="DJ843" t="str">
        <f t="shared" si="103"/>
        <v>EnergyInput</v>
      </c>
      <c r="DK843">
        <f t="shared" si="126"/>
        <v>0</v>
      </c>
      <c r="DL843" t="str">
        <f t="shared" si="127"/>
        <v>Energy</v>
      </c>
      <c r="DM843">
        <f t="shared" si="128"/>
        <v>0</v>
      </c>
      <c r="DN843">
        <f t="shared" si="129"/>
        <v>0</v>
      </c>
      <c r="DO843">
        <v>0</v>
      </c>
      <c r="DP843">
        <v>1</v>
      </c>
      <c r="DQ843" t="s">
        <v>305</v>
      </c>
      <c r="DR843">
        <v>0</v>
      </c>
      <c r="DS843">
        <v>0</v>
      </c>
      <c r="DT843">
        <f t="shared" si="114"/>
        <v>1</v>
      </c>
      <c r="DU843" s="143" t="str">
        <f t="shared" si="99"/>
        <v>external DF used</v>
      </c>
      <c r="DV843">
        <v>0</v>
      </c>
      <c r="DW843">
        <v>1</v>
      </c>
      <c r="DX843">
        <v>1</v>
      </c>
      <c r="DY843">
        <v>1</v>
      </c>
      <c r="DZ843">
        <v>1</v>
      </c>
      <c r="EA843" s="143">
        <v>0</v>
      </c>
      <c r="EB843">
        <v>1</v>
      </c>
      <c r="EC843">
        <v>1</v>
      </c>
      <c r="ED843">
        <v>0</v>
      </c>
      <c r="EE843">
        <v>1</v>
      </c>
      <c r="EF843">
        <v>1</v>
      </c>
      <c r="EG843">
        <v>1</v>
      </c>
      <c r="EH843">
        <v>0</v>
      </c>
      <c r="EI843" s="2">
        <v>0</v>
      </c>
      <c r="EK843" t="str">
        <f t="shared" si="130"/>
        <v>Whole sector</v>
      </c>
      <c r="EL843" t="str">
        <f t="shared" si="131"/>
        <v/>
      </c>
      <c r="EM843" s="2" t="str">
        <f t="shared" si="98"/>
        <v/>
      </c>
      <c r="EP843" t="str">
        <f>IF(ISNUMBER(BU843),IF(ABS(BU843-[2]QC_indicators!$B$2)&gt;3*[2]QC_indicators!$C$2,"C ratio",IF(ISNUMBER(BY843),IF(ABS(BY843-[2]QC_indicators!$B$1)&gt;3*[2]QC_indicators!$C$1,"DF","no"))),IF(ISNUMBER(BY843),IF(ABS(BY843-[2]QC_indicators!$B$1)&gt;3*[2]QC_indicators!$C$1,"DF","no")))</f>
        <v>no</v>
      </c>
      <c r="EQ843" t="s">
        <v>287</v>
      </c>
      <c r="ET843" s="266" t="s">
        <v>3275</v>
      </c>
    </row>
    <row r="844" spans="1:150" ht="15" hidden="1" customHeight="1">
      <c r="A844" s="1" t="s">
        <v>266</v>
      </c>
      <c r="B844" t="s">
        <v>267</v>
      </c>
      <c r="C844" t="s">
        <v>268</v>
      </c>
      <c r="D844" t="s">
        <v>269</v>
      </c>
      <c r="E844" t="s">
        <v>270</v>
      </c>
      <c r="F844" t="s">
        <v>271</v>
      </c>
      <c r="G844" t="s">
        <v>272</v>
      </c>
      <c r="H844" t="s">
        <v>255</v>
      </c>
      <c r="I844">
        <v>2022</v>
      </c>
      <c r="J844">
        <v>0</v>
      </c>
      <c r="K844" t="s">
        <v>273</v>
      </c>
      <c r="M844" t="str">
        <f t="shared" si="102"/>
        <v>Aryapratama_2022</v>
      </c>
      <c r="N844" t="s">
        <v>223</v>
      </c>
      <c r="O844" s="145" t="s">
        <v>275</v>
      </c>
      <c r="Q844" t="s">
        <v>225</v>
      </c>
      <c r="R844" s="264" t="s">
        <v>224</v>
      </c>
      <c r="S844" s="265" t="s">
        <v>3107</v>
      </c>
      <c r="T844" t="s">
        <v>329</v>
      </c>
      <c r="U844" t="s">
        <v>321</v>
      </c>
      <c r="V844">
        <v>0</v>
      </c>
      <c r="W844">
        <v>0</v>
      </c>
      <c r="X844">
        <v>0</v>
      </c>
      <c r="Y844">
        <v>0</v>
      </c>
      <c r="Z844">
        <v>0</v>
      </c>
      <c r="AA844">
        <v>0</v>
      </c>
      <c r="AB844">
        <v>0</v>
      </c>
      <c r="AC844">
        <v>0</v>
      </c>
      <c r="AD844">
        <v>0</v>
      </c>
      <c r="AE844">
        <v>0</v>
      </c>
      <c r="AF844">
        <v>0</v>
      </c>
      <c r="AG844">
        <v>0</v>
      </c>
      <c r="AH844">
        <v>0</v>
      </c>
      <c r="AI844">
        <v>0</v>
      </c>
      <c r="AJ844">
        <v>0</v>
      </c>
      <c r="AK844">
        <v>1</v>
      </c>
      <c r="AL844">
        <v>0</v>
      </c>
      <c r="AM844">
        <v>0</v>
      </c>
      <c r="AN844">
        <v>0</v>
      </c>
      <c r="AO844">
        <v>0</v>
      </c>
      <c r="AP844">
        <v>0</v>
      </c>
      <c r="AQ844">
        <v>0</v>
      </c>
      <c r="AR844">
        <v>0</v>
      </c>
      <c r="AS844">
        <v>0</v>
      </c>
      <c r="AT844">
        <v>0</v>
      </c>
      <c r="AU844">
        <v>0</v>
      </c>
      <c r="AV844">
        <v>0</v>
      </c>
      <c r="AW844">
        <v>0</v>
      </c>
      <c r="AX844" s="141">
        <f t="shared" si="116"/>
        <v>1</v>
      </c>
      <c r="AY844" s="141">
        <f t="shared" si="88"/>
        <v>1</v>
      </c>
      <c r="AZ844">
        <f t="shared" si="89"/>
        <v>0</v>
      </c>
      <c r="BA844">
        <f t="shared" si="90"/>
        <v>0</v>
      </c>
      <c r="BB844">
        <f t="shared" si="91"/>
        <v>1</v>
      </c>
      <c r="BC844">
        <f t="shared" si="92"/>
        <v>0</v>
      </c>
      <c r="BD844">
        <f t="shared" si="93"/>
        <v>0</v>
      </c>
      <c r="BE844" t="str">
        <f t="array" ref="BE844">IF(AY844=1,INDEX($V$7:$AL$7,MATCH(TRUE,INDEX($V844:$AW844&lt;&gt;0,),0)),IF(AY844=0,INDEX($AM$7:$AW$7,MATCH(1,$AM844:$AW844,0)),IF(BF844="Multiple strategies","mixed drivers",IF(BF844="Supply chain","multiple supply","multiple silviculture"))))</f>
        <v>technologies/design switch</v>
      </c>
      <c r="BF844" s="2" t="str" cm="1">
        <f t="array" ref="BF844">IF(COUNTIF(AZ844:BB844,"&lt;&gt;0")=1,INDEX($V$4:$AW$4,MATCH(TRUE,INDEX($V844:$AW844&lt;&gt;0,),0)),IF(COUNTIF(AZ844:BB844,"&lt;&gt;0")=0,INDEX($AM$4:$AW$4,MATCH(1,$AM844:$AW844,0)),"Multiple strategies"))</f>
        <v>Technology</v>
      </c>
      <c r="BG844" s="1" t="s">
        <v>230</v>
      </c>
      <c r="BH844" t="s">
        <v>278</v>
      </c>
      <c r="BI844" s="266" t="s">
        <v>3108</v>
      </c>
      <c r="BJ844" t="s">
        <v>279</v>
      </c>
      <c r="BK844">
        <v>0</v>
      </c>
      <c r="BL844">
        <v>180.77283018867931</v>
      </c>
      <c r="BN844">
        <f t="shared" si="125"/>
        <v>180.77283018867931</v>
      </c>
      <c r="BO844">
        <f t="shared" si="132"/>
        <v>784.94498562170781</v>
      </c>
      <c r="BP844" t="s">
        <v>233</v>
      </c>
      <c r="BQ844" s="153" t="s">
        <v>3109</v>
      </c>
      <c r="BR844" t="s">
        <v>280</v>
      </c>
      <c r="BS844">
        <v>-389.94196865720068</v>
      </c>
      <c r="BT844">
        <v>-588.42624598329485</v>
      </c>
      <c r="BU844" s="144">
        <f t="shared" si="133"/>
        <v>1.5090097842240273</v>
      </c>
      <c r="BV844">
        <f t="shared" si="119"/>
        <v>-198.48427732609417</v>
      </c>
      <c r="BX844">
        <f t="shared" si="120"/>
        <v>-198.48427732609417</v>
      </c>
      <c r="BY844">
        <f t="shared" si="94"/>
        <v>-0.25286393436717947</v>
      </c>
      <c r="BZ844">
        <v>0</v>
      </c>
      <c r="CA844">
        <v>0</v>
      </c>
      <c r="CB844">
        <v>0</v>
      </c>
      <c r="CC844">
        <v>0</v>
      </c>
      <c r="CD844">
        <v>0</v>
      </c>
      <c r="CE844">
        <v>0</v>
      </c>
      <c r="CF844">
        <v>0</v>
      </c>
      <c r="CG844">
        <v>0</v>
      </c>
      <c r="CH844">
        <v>0</v>
      </c>
      <c r="CI844">
        <v>0</v>
      </c>
      <c r="CJ844">
        <v>0</v>
      </c>
      <c r="CK844">
        <v>0</v>
      </c>
      <c r="CL844">
        <v>0</v>
      </c>
      <c r="CM844">
        <v>0</v>
      </c>
      <c r="CN844" t="str">
        <f t="shared" si="108"/>
        <v>refOK</v>
      </c>
      <c r="CO844">
        <f t="shared" si="109"/>
        <v>0</v>
      </c>
      <c r="CP844">
        <f t="shared" si="110"/>
        <v>180.77283018867931</v>
      </c>
      <c r="CQ844">
        <f t="shared" si="124"/>
        <v>784.94498562170781</v>
      </c>
      <c r="CR844">
        <f t="shared" si="111"/>
        <v>-389.94196865720068</v>
      </c>
      <c r="CS844">
        <f t="shared" si="112"/>
        <v>-588.42624598329485</v>
      </c>
      <c r="CT844">
        <f t="shared" si="121"/>
        <v>-198.48427732609417</v>
      </c>
      <c r="CU844">
        <f t="shared" si="105"/>
        <v>-0.25286393436717947</v>
      </c>
      <c r="CV844" s="2">
        <f t="shared" si="122"/>
        <v>-0.50900978422402743</v>
      </c>
      <c r="CW844" s="1" t="s">
        <v>235</v>
      </c>
      <c r="CX844" t="str">
        <f t="shared" si="96"/>
        <v>loc</v>
      </c>
      <c r="CY844" t="s">
        <v>281</v>
      </c>
      <c r="DB844">
        <v>100</v>
      </c>
      <c r="DC844" t="str">
        <f t="shared" si="97"/>
        <v>71-100</v>
      </c>
      <c r="DD844">
        <v>0</v>
      </c>
      <c r="DE844">
        <v>1</v>
      </c>
      <c r="DF844">
        <v>0</v>
      </c>
      <c r="DG844">
        <v>0</v>
      </c>
      <c r="DI844">
        <f t="shared" si="134"/>
        <v>1</v>
      </c>
      <c r="DJ844" t="str">
        <f t="shared" si="103"/>
        <v>EnergyInput</v>
      </c>
      <c r="DK844">
        <f t="shared" si="126"/>
        <v>0</v>
      </c>
      <c r="DL844" t="str">
        <f t="shared" si="127"/>
        <v>Energy</v>
      </c>
      <c r="DM844">
        <f t="shared" si="128"/>
        <v>0</v>
      </c>
      <c r="DN844">
        <f t="shared" si="129"/>
        <v>0</v>
      </c>
      <c r="DO844">
        <v>0</v>
      </c>
      <c r="DP844">
        <v>1</v>
      </c>
      <c r="DQ844" t="s">
        <v>305</v>
      </c>
      <c r="DR844">
        <v>0</v>
      </c>
      <c r="DS844">
        <v>0</v>
      </c>
      <c r="DT844">
        <f t="shared" si="114"/>
        <v>1</v>
      </c>
      <c r="DU844" s="143" t="str">
        <f t="shared" si="99"/>
        <v>external DF used</v>
      </c>
      <c r="DV844">
        <v>0</v>
      </c>
      <c r="DW844">
        <v>1</v>
      </c>
      <c r="DX844">
        <v>1</v>
      </c>
      <c r="DY844">
        <v>1</v>
      </c>
      <c r="DZ844">
        <v>1</v>
      </c>
      <c r="EA844" s="143">
        <v>0</v>
      </c>
      <c r="EB844">
        <v>1</v>
      </c>
      <c r="EC844">
        <v>1</v>
      </c>
      <c r="ED844">
        <v>0</v>
      </c>
      <c r="EE844">
        <v>1</v>
      </c>
      <c r="EF844">
        <v>1</v>
      </c>
      <c r="EG844">
        <v>1</v>
      </c>
      <c r="EH844">
        <v>0</v>
      </c>
      <c r="EI844" s="2">
        <v>0</v>
      </c>
      <c r="EK844" t="str">
        <f t="shared" si="130"/>
        <v>Whole sector</v>
      </c>
      <c r="EL844" t="str">
        <f t="shared" si="131"/>
        <v/>
      </c>
      <c r="EM844" s="2" t="str">
        <f t="shared" si="98"/>
        <v/>
      </c>
      <c r="EP844" t="str">
        <f>IF(ISNUMBER(BU844),IF(ABS(BU844-[2]QC_indicators!$B$2)&gt;3*[2]QC_indicators!$C$2,"C ratio",IF(ISNUMBER(BY844),IF(ABS(BY844-[2]QC_indicators!$B$1)&gt;3*[2]QC_indicators!$C$1,"DF","no"))),IF(ISNUMBER(BY844),IF(ABS(BY844-[2]QC_indicators!$B$1)&gt;3*[2]QC_indicators!$C$1,"DF","no")))</f>
        <v>no</v>
      </c>
      <c r="EQ844" t="s">
        <v>287</v>
      </c>
      <c r="ET844" s="266" t="s">
        <v>3275</v>
      </c>
    </row>
    <row r="845" spans="1:150" ht="15" hidden="1" customHeight="1">
      <c r="A845" s="1" t="s">
        <v>266</v>
      </c>
      <c r="B845" t="s">
        <v>267</v>
      </c>
      <c r="C845" t="s">
        <v>268</v>
      </c>
      <c r="D845" t="s">
        <v>269</v>
      </c>
      <c r="E845" t="s">
        <v>270</v>
      </c>
      <c r="F845" t="s">
        <v>271</v>
      </c>
      <c r="G845" t="s">
        <v>272</v>
      </c>
      <c r="H845" t="s">
        <v>255</v>
      </c>
      <c r="I845">
        <v>2022</v>
      </c>
      <c r="J845">
        <v>0</v>
      </c>
      <c r="K845" t="s">
        <v>273</v>
      </c>
      <c r="M845" t="str">
        <f t="shared" si="102"/>
        <v>Aryapratama_2022</v>
      </c>
      <c r="N845" t="s">
        <v>223</v>
      </c>
      <c r="O845" s="145" t="s">
        <v>275</v>
      </c>
      <c r="Q845" t="s">
        <v>225</v>
      </c>
      <c r="R845" s="264" t="s">
        <v>224</v>
      </c>
      <c r="S845" s="265" t="s">
        <v>3107</v>
      </c>
      <c r="T845" t="s">
        <v>330</v>
      </c>
      <c r="U845" t="s">
        <v>331</v>
      </c>
      <c r="V845">
        <v>0</v>
      </c>
      <c r="W845">
        <v>0</v>
      </c>
      <c r="X845">
        <v>0</v>
      </c>
      <c r="Y845">
        <v>0</v>
      </c>
      <c r="Z845">
        <v>0</v>
      </c>
      <c r="AA845">
        <v>0</v>
      </c>
      <c r="AB845">
        <v>0</v>
      </c>
      <c r="AC845">
        <v>0</v>
      </c>
      <c r="AD845">
        <v>0</v>
      </c>
      <c r="AE845">
        <v>0</v>
      </c>
      <c r="AF845">
        <v>0</v>
      </c>
      <c r="AG845">
        <v>0</v>
      </c>
      <c r="AH845">
        <v>0</v>
      </c>
      <c r="AI845">
        <v>0</v>
      </c>
      <c r="AJ845">
        <v>0</v>
      </c>
      <c r="AK845">
        <v>1</v>
      </c>
      <c r="AL845">
        <v>0</v>
      </c>
      <c r="AM845">
        <v>0</v>
      </c>
      <c r="AN845">
        <v>0</v>
      </c>
      <c r="AO845">
        <v>0</v>
      </c>
      <c r="AP845">
        <v>0</v>
      </c>
      <c r="AQ845">
        <v>0</v>
      </c>
      <c r="AR845">
        <v>0</v>
      </c>
      <c r="AS845">
        <v>0</v>
      </c>
      <c r="AT845">
        <v>0</v>
      </c>
      <c r="AU845">
        <v>0</v>
      </c>
      <c r="AV845">
        <v>0</v>
      </c>
      <c r="AW845">
        <v>0</v>
      </c>
      <c r="AX845" s="141">
        <f t="shared" si="116"/>
        <v>1</v>
      </c>
      <c r="AY845" s="141">
        <f t="shared" si="88"/>
        <v>1</v>
      </c>
      <c r="AZ845">
        <f t="shared" si="89"/>
        <v>0</v>
      </c>
      <c r="BA845">
        <f t="shared" si="90"/>
        <v>0</v>
      </c>
      <c r="BB845">
        <f t="shared" si="91"/>
        <v>1</v>
      </c>
      <c r="BC845">
        <f t="shared" si="92"/>
        <v>0</v>
      </c>
      <c r="BD845">
        <f t="shared" si="93"/>
        <v>0</v>
      </c>
      <c r="BE845" t="str">
        <f t="array" ref="BE845">IF(AY845=1,INDEX($V$7:$AL$7,MATCH(TRUE,INDEX($V845:$AW845&lt;&gt;0,),0)),IF(AY845=0,INDEX($AM$7:$AW$7,MATCH(1,$AM845:$AW845,0)),IF(BF845="Multiple strategies","mixed drivers",IF(BF845="Supply chain","multiple supply","multiple silviculture"))))</f>
        <v>technologies/design switch</v>
      </c>
      <c r="BF845" s="2" t="str" cm="1">
        <f t="array" ref="BF845">IF(COUNTIF(AZ845:BB845,"&lt;&gt;0")=1,INDEX($V$4:$AW$4,MATCH(TRUE,INDEX($V845:$AW845&lt;&gt;0,),0)),IF(COUNTIF(AZ845:BB845,"&lt;&gt;0")=0,INDEX($AM$4:$AW$4,MATCH(1,$AM845:$AW845,0)),"Multiple strategies"))</f>
        <v>Technology</v>
      </c>
      <c r="BG845" s="1" t="s">
        <v>230</v>
      </c>
      <c r="BH845" t="s">
        <v>278</v>
      </c>
      <c r="BI845" s="266" t="s">
        <v>3108</v>
      </c>
      <c r="BJ845" t="s">
        <v>279</v>
      </c>
      <c r="BK845">
        <v>0</v>
      </c>
      <c r="BL845">
        <v>276.97811320754715</v>
      </c>
      <c r="BN845">
        <f t="shared" si="125"/>
        <v>276.97811320754715</v>
      </c>
      <c r="BO845">
        <f t="shared" si="132"/>
        <v>1202.6839479268224</v>
      </c>
      <c r="BP845" t="s">
        <v>233</v>
      </c>
      <c r="BQ845" s="153" t="s">
        <v>3109</v>
      </c>
      <c r="BR845" t="s">
        <v>280</v>
      </c>
      <c r="BS845">
        <v>-627.22269789912832</v>
      </c>
      <c r="BT845">
        <v>-832.29941220987405</v>
      </c>
      <c r="BU845" s="144">
        <f t="shared" si="133"/>
        <v>1.3269599697167316</v>
      </c>
      <c r="BV845">
        <f t="shared" si="119"/>
        <v>-205.07671431074573</v>
      </c>
      <c r="BX845">
        <f t="shared" si="120"/>
        <v>-205.07671431074573</v>
      </c>
      <c r="BY845">
        <f t="shared" si="94"/>
        <v>-0.17051588213533192</v>
      </c>
      <c r="BZ845">
        <v>0</v>
      </c>
      <c r="CA845">
        <v>0</v>
      </c>
      <c r="CB845">
        <v>0</v>
      </c>
      <c r="CC845">
        <v>0</v>
      </c>
      <c r="CD845">
        <v>0</v>
      </c>
      <c r="CE845">
        <v>0</v>
      </c>
      <c r="CF845">
        <v>0</v>
      </c>
      <c r="CG845">
        <v>0</v>
      </c>
      <c r="CH845">
        <v>0</v>
      </c>
      <c r="CI845">
        <v>0</v>
      </c>
      <c r="CJ845">
        <v>0</v>
      </c>
      <c r="CK845">
        <v>0</v>
      </c>
      <c r="CL845">
        <v>0</v>
      </c>
      <c r="CM845">
        <v>0</v>
      </c>
      <c r="CN845" t="str">
        <f t="shared" si="108"/>
        <v>refOK</v>
      </c>
      <c r="CO845">
        <f t="shared" si="109"/>
        <v>0</v>
      </c>
      <c r="CP845">
        <f t="shared" si="110"/>
        <v>276.97811320754715</v>
      </c>
      <c r="CQ845">
        <f t="shared" si="124"/>
        <v>1202.6839479268224</v>
      </c>
      <c r="CR845">
        <f t="shared" si="111"/>
        <v>-627.22269789912832</v>
      </c>
      <c r="CS845">
        <f t="shared" si="112"/>
        <v>-832.29941220987405</v>
      </c>
      <c r="CT845">
        <f t="shared" si="121"/>
        <v>-205.07671431074573</v>
      </c>
      <c r="CU845">
        <f t="shared" si="105"/>
        <v>-0.17051588213533192</v>
      </c>
      <c r="CV845" s="2">
        <f t="shared" si="122"/>
        <v>-0.32695996971673169</v>
      </c>
      <c r="CW845" s="1" t="s">
        <v>235</v>
      </c>
      <c r="CX845" t="str">
        <f t="shared" si="96"/>
        <v>loc</v>
      </c>
      <c r="CY845" t="s">
        <v>281</v>
      </c>
      <c r="DB845">
        <v>100</v>
      </c>
      <c r="DC845" t="str">
        <f t="shared" si="97"/>
        <v>71-100</v>
      </c>
      <c r="DD845">
        <v>0</v>
      </c>
      <c r="DE845">
        <v>1</v>
      </c>
      <c r="DF845">
        <v>0</v>
      </c>
      <c r="DG845">
        <v>0</v>
      </c>
      <c r="DI845">
        <f t="shared" si="134"/>
        <v>1</v>
      </c>
      <c r="DJ845" t="str">
        <f t="shared" si="103"/>
        <v>EnergyInput</v>
      </c>
      <c r="DK845">
        <f t="shared" si="126"/>
        <v>0</v>
      </c>
      <c r="DL845" t="str">
        <f t="shared" si="127"/>
        <v>Energy</v>
      </c>
      <c r="DM845">
        <f t="shared" si="128"/>
        <v>0</v>
      </c>
      <c r="DN845">
        <f t="shared" si="129"/>
        <v>0</v>
      </c>
      <c r="DO845">
        <v>0</v>
      </c>
      <c r="DP845">
        <v>1</v>
      </c>
      <c r="DQ845" t="s">
        <v>305</v>
      </c>
      <c r="DR845">
        <v>0</v>
      </c>
      <c r="DS845">
        <v>0</v>
      </c>
      <c r="DT845">
        <f t="shared" si="114"/>
        <v>1</v>
      </c>
      <c r="DU845" s="143" t="str">
        <f t="shared" si="99"/>
        <v>external DF used</v>
      </c>
      <c r="DV845">
        <v>0</v>
      </c>
      <c r="DW845">
        <v>1</v>
      </c>
      <c r="DX845">
        <v>1</v>
      </c>
      <c r="DY845">
        <v>1</v>
      </c>
      <c r="DZ845">
        <v>1</v>
      </c>
      <c r="EA845" s="143">
        <v>0</v>
      </c>
      <c r="EB845">
        <v>1</v>
      </c>
      <c r="EC845">
        <v>1</v>
      </c>
      <c r="ED845">
        <v>0</v>
      </c>
      <c r="EE845">
        <v>1</v>
      </c>
      <c r="EF845">
        <v>1</v>
      </c>
      <c r="EG845">
        <v>1</v>
      </c>
      <c r="EH845">
        <v>0</v>
      </c>
      <c r="EI845" s="2">
        <v>0</v>
      </c>
      <c r="EK845" t="str">
        <f t="shared" si="130"/>
        <v>Whole sector</v>
      </c>
      <c r="EL845" t="str">
        <f t="shared" si="131"/>
        <v/>
      </c>
      <c r="EM845" s="2" t="str">
        <f t="shared" si="98"/>
        <v/>
      </c>
      <c r="EP845" t="str">
        <f>IF(ISNUMBER(BU845),IF(ABS(BU845-[2]QC_indicators!$B$2)&gt;3*[2]QC_indicators!$C$2,"C ratio",IF(ISNUMBER(BY845),IF(ABS(BY845-[2]QC_indicators!$B$1)&gt;3*[2]QC_indicators!$C$1,"DF","no"))),IF(ISNUMBER(BY845),IF(ABS(BY845-[2]QC_indicators!$B$1)&gt;3*[2]QC_indicators!$C$1,"DF","no")))</f>
        <v>no</v>
      </c>
      <c r="EQ845" t="s">
        <v>287</v>
      </c>
      <c r="ET845" s="266" t="s">
        <v>3275</v>
      </c>
    </row>
    <row r="846" spans="1:150" ht="15" hidden="1" customHeight="1">
      <c r="A846" s="1" t="s">
        <v>266</v>
      </c>
      <c r="B846" t="s">
        <v>267</v>
      </c>
      <c r="C846" t="s">
        <v>268</v>
      </c>
      <c r="D846" t="s">
        <v>269</v>
      </c>
      <c r="E846" t="s">
        <v>270</v>
      </c>
      <c r="F846" t="s">
        <v>271</v>
      </c>
      <c r="G846" t="s">
        <v>272</v>
      </c>
      <c r="H846" t="s">
        <v>255</v>
      </c>
      <c r="I846">
        <v>2022</v>
      </c>
      <c r="J846">
        <v>0</v>
      </c>
      <c r="K846" t="s">
        <v>273</v>
      </c>
      <c r="M846" t="str">
        <f t="shared" si="102"/>
        <v>Aryapratama_2022</v>
      </c>
      <c r="N846" t="s">
        <v>223</v>
      </c>
      <c r="O846" s="145" t="s">
        <v>275</v>
      </c>
      <c r="Q846" t="s">
        <v>225</v>
      </c>
      <c r="R846" s="264" t="s">
        <v>224</v>
      </c>
      <c r="S846" s="265" t="s">
        <v>3107</v>
      </c>
      <c r="T846" t="s">
        <v>332</v>
      </c>
      <c r="U846" t="s">
        <v>333</v>
      </c>
      <c r="V846">
        <v>0</v>
      </c>
      <c r="W846">
        <v>0</v>
      </c>
      <c r="X846">
        <v>0</v>
      </c>
      <c r="Y846">
        <v>0</v>
      </c>
      <c r="Z846">
        <v>0</v>
      </c>
      <c r="AA846">
        <v>0</v>
      </c>
      <c r="AB846">
        <v>0</v>
      </c>
      <c r="AC846">
        <v>0</v>
      </c>
      <c r="AD846">
        <v>0</v>
      </c>
      <c r="AE846">
        <v>0</v>
      </c>
      <c r="AF846">
        <v>0</v>
      </c>
      <c r="AG846">
        <v>0</v>
      </c>
      <c r="AH846">
        <v>0</v>
      </c>
      <c r="AI846">
        <v>0</v>
      </c>
      <c r="AJ846">
        <v>0</v>
      </c>
      <c r="AK846">
        <v>1</v>
      </c>
      <c r="AL846">
        <v>0</v>
      </c>
      <c r="AM846">
        <v>0</v>
      </c>
      <c r="AN846">
        <v>0</v>
      </c>
      <c r="AO846">
        <v>0</v>
      </c>
      <c r="AP846">
        <v>0</v>
      </c>
      <c r="AQ846">
        <v>0</v>
      </c>
      <c r="AR846">
        <v>0</v>
      </c>
      <c r="AS846">
        <v>0</v>
      </c>
      <c r="AT846">
        <v>0</v>
      </c>
      <c r="AU846">
        <v>0</v>
      </c>
      <c r="AV846">
        <v>0</v>
      </c>
      <c r="AW846">
        <v>0</v>
      </c>
      <c r="AX846" s="141">
        <f t="shared" si="116"/>
        <v>1</v>
      </c>
      <c r="AY846" s="141">
        <f t="shared" si="88"/>
        <v>1</v>
      </c>
      <c r="AZ846">
        <f t="shared" si="89"/>
        <v>0</v>
      </c>
      <c r="BA846">
        <f t="shared" si="90"/>
        <v>0</v>
      </c>
      <c r="BB846">
        <f t="shared" si="91"/>
        <v>1</v>
      </c>
      <c r="BC846">
        <f t="shared" si="92"/>
        <v>0</v>
      </c>
      <c r="BD846">
        <f t="shared" si="93"/>
        <v>0</v>
      </c>
      <c r="BE846" t="str">
        <f t="array" ref="BE846">IF(AY846=1,INDEX($V$7:$AL$7,MATCH(TRUE,INDEX($V846:$AW846&lt;&gt;0,),0)),IF(AY846=0,INDEX($AM$7:$AW$7,MATCH(1,$AM846:$AW846,0)),IF(BF846="Multiple strategies","mixed drivers",IF(BF846="Supply chain","multiple supply","multiple silviculture"))))</f>
        <v>technologies/design switch</v>
      </c>
      <c r="BF846" s="2" t="str" cm="1">
        <f t="array" ref="BF846">IF(COUNTIF(AZ846:BB846,"&lt;&gt;0")=1,INDEX($V$4:$AW$4,MATCH(TRUE,INDEX($V846:$AW846&lt;&gt;0,),0)),IF(COUNTIF(AZ846:BB846,"&lt;&gt;0")=0,INDEX($AM$4:$AW$4,MATCH(1,$AM846:$AW846,0)),"Multiple strategies"))</f>
        <v>Technology</v>
      </c>
      <c r="BG846" s="1" t="s">
        <v>230</v>
      </c>
      <c r="BH846" t="s">
        <v>278</v>
      </c>
      <c r="BI846" s="266" t="s">
        <v>3108</v>
      </c>
      <c r="BJ846" t="s">
        <v>279</v>
      </c>
      <c r="BK846">
        <v>0</v>
      </c>
      <c r="BL846">
        <v>96.205283018867945</v>
      </c>
      <c r="BN846">
        <f t="shared" si="125"/>
        <v>96.205283018867945</v>
      </c>
      <c r="BO846">
        <f t="shared" si="132"/>
        <v>417.73896230511485</v>
      </c>
      <c r="BP846" t="s">
        <v>233</v>
      </c>
      <c r="BQ846" s="153" t="s">
        <v>3109</v>
      </c>
      <c r="BR846" t="s">
        <v>280</v>
      </c>
      <c r="BS846">
        <v>-235.2392539982188</v>
      </c>
      <c r="BT846">
        <v>42.123869249720393</v>
      </c>
      <c r="BU846" s="144">
        <f t="shared" si="133"/>
        <v>-0.17906819773386695</v>
      </c>
      <c r="BV846">
        <f t="shared" si="119"/>
        <v>277.3631232479392</v>
      </c>
      <c r="BX846">
        <f t="shared" si="120"/>
        <v>277.3631232479392</v>
      </c>
      <c r="BY846">
        <f t="shared" si="94"/>
        <v>0.663962781248435</v>
      </c>
      <c r="BZ846">
        <v>0</v>
      </c>
      <c r="CA846">
        <v>0</v>
      </c>
      <c r="CB846">
        <v>0</v>
      </c>
      <c r="CC846">
        <v>0</v>
      </c>
      <c r="CD846">
        <v>0</v>
      </c>
      <c r="CE846">
        <v>0</v>
      </c>
      <c r="CF846">
        <v>0</v>
      </c>
      <c r="CG846">
        <v>0</v>
      </c>
      <c r="CH846">
        <v>0</v>
      </c>
      <c r="CI846">
        <v>0</v>
      </c>
      <c r="CJ846">
        <v>0</v>
      </c>
      <c r="CK846">
        <v>0</v>
      </c>
      <c r="CL846">
        <v>0</v>
      </c>
      <c r="CM846">
        <v>0</v>
      </c>
      <c r="CN846" t="str">
        <f t="shared" si="108"/>
        <v>refOK</v>
      </c>
      <c r="CO846">
        <f t="shared" si="109"/>
        <v>0</v>
      </c>
      <c r="CP846">
        <f t="shared" si="110"/>
        <v>96.205283018867945</v>
      </c>
      <c r="CQ846">
        <f t="shared" si="124"/>
        <v>417.73896230511485</v>
      </c>
      <c r="CR846">
        <f t="shared" si="111"/>
        <v>-235.2392539982188</v>
      </c>
      <c r="CS846">
        <f t="shared" si="112"/>
        <v>42.123869249720393</v>
      </c>
      <c r="CT846">
        <f t="shared" si="121"/>
        <v>277.3631232479392</v>
      </c>
      <c r="CU846">
        <f t="shared" si="105"/>
        <v>0.663962781248435</v>
      </c>
      <c r="CV846" s="2">
        <f t="shared" si="122"/>
        <v>1.1790681977338671</v>
      </c>
      <c r="CW846" s="1" t="s">
        <v>235</v>
      </c>
      <c r="CX846" t="str">
        <f t="shared" si="96"/>
        <v>loc</v>
      </c>
      <c r="CY846" t="s">
        <v>281</v>
      </c>
      <c r="DB846">
        <v>100</v>
      </c>
      <c r="DC846" t="str">
        <f t="shared" si="97"/>
        <v>71-100</v>
      </c>
      <c r="DD846">
        <v>0</v>
      </c>
      <c r="DE846">
        <v>1</v>
      </c>
      <c r="DF846">
        <v>0</v>
      </c>
      <c r="DG846">
        <v>0</v>
      </c>
      <c r="DI846">
        <f t="shared" si="134"/>
        <v>1</v>
      </c>
      <c r="DJ846" t="str">
        <f t="shared" si="103"/>
        <v>EnergyInput</v>
      </c>
      <c r="DK846">
        <f t="shared" si="126"/>
        <v>0</v>
      </c>
      <c r="DL846" t="str">
        <f t="shared" si="127"/>
        <v>Energy</v>
      </c>
      <c r="DM846">
        <f t="shared" si="128"/>
        <v>0</v>
      </c>
      <c r="DN846">
        <f t="shared" si="129"/>
        <v>0</v>
      </c>
      <c r="DO846">
        <v>0</v>
      </c>
      <c r="DP846">
        <v>1</v>
      </c>
      <c r="DQ846" t="s">
        <v>305</v>
      </c>
      <c r="DR846">
        <v>0</v>
      </c>
      <c r="DS846">
        <v>0</v>
      </c>
      <c r="DT846">
        <f t="shared" si="114"/>
        <v>1</v>
      </c>
      <c r="DU846" s="143" t="str">
        <f t="shared" si="99"/>
        <v>external DF used</v>
      </c>
      <c r="DV846">
        <v>0</v>
      </c>
      <c r="DW846">
        <v>1</v>
      </c>
      <c r="DX846">
        <v>1</v>
      </c>
      <c r="DY846">
        <v>1</v>
      </c>
      <c r="DZ846">
        <v>1</v>
      </c>
      <c r="EA846" s="143">
        <v>0</v>
      </c>
      <c r="EB846">
        <v>1</v>
      </c>
      <c r="EC846">
        <v>1</v>
      </c>
      <c r="ED846">
        <v>0</v>
      </c>
      <c r="EE846">
        <v>1</v>
      </c>
      <c r="EF846">
        <v>1</v>
      </c>
      <c r="EG846">
        <v>1</v>
      </c>
      <c r="EH846">
        <v>0</v>
      </c>
      <c r="EI846" s="2">
        <v>0</v>
      </c>
      <c r="EK846" t="str">
        <f t="shared" si="130"/>
        <v>Whole sector</v>
      </c>
      <c r="EL846" t="str">
        <f t="shared" si="131"/>
        <v/>
      </c>
      <c r="EM846" s="2" t="str">
        <f t="shared" si="98"/>
        <v/>
      </c>
      <c r="EP846" t="str">
        <f>IF(ISNUMBER(BU846),IF(ABS(BU846-[2]QC_indicators!$B$2)&gt;3*[2]QC_indicators!$C$2,"C ratio",IF(ISNUMBER(BY846),IF(ABS(BY846-[2]QC_indicators!$B$1)&gt;3*[2]QC_indicators!$C$1,"DF","no"))),IF(ISNUMBER(BY846),IF(ABS(BY846-[2]QC_indicators!$B$1)&gt;3*[2]QC_indicators!$C$1,"DF","no")))</f>
        <v>no</v>
      </c>
      <c r="EQ846" t="s">
        <v>287</v>
      </c>
      <c r="ET846" s="266" t="s">
        <v>3275</v>
      </c>
    </row>
    <row r="847" spans="1:150" ht="15" hidden="1" customHeight="1">
      <c r="A847" s="1" t="s">
        <v>266</v>
      </c>
      <c r="B847" t="s">
        <v>267</v>
      </c>
      <c r="C847" t="s">
        <v>268</v>
      </c>
      <c r="D847" t="s">
        <v>269</v>
      </c>
      <c r="E847" t="s">
        <v>270</v>
      </c>
      <c r="F847" t="s">
        <v>271</v>
      </c>
      <c r="G847" t="s">
        <v>272</v>
      </c>
      <c r="H847" t="s">
        <v>255</v>
      </c>
      <c r="I847">
        <v>2022</v>
      </c>
      <c r="J847">
        <v>0</v>
      </c>
      <c r="K847" t="s">
        <v>273</v>
      </c>
      <c r="M847" t="str">
        <f t="shared" si="102"/>
        <v>Aryapratama_2022</v>
      </c>
      <c r="N847" t="s">
        <v>223</v>
      </c>
      <c r="O847" s="145" t="s">
        <v>275</v>
      </c>
      <c r="Q847" t="s">
        <v>225</v>
      </c>
      <c r="R847" s="264" t="s">
        <v>224</v>
      </c>
      <c r="S847" s="265" t="s">
        <v>3107</v>
      </c>
      <c r="T847" t="s">
        <v>292</v>
      </c>
      <c r="U847" t="s">
        <v>277</v>
      </c>
      <c r="V847">
        <v>0</v>
      </c>
      <c r="W847">
        <v>0</v>
      </c>
      <c r="X847">
        <v>0</v>
      </c>
      <c r="Y847">
        <v>0</v>
      </c>
      <c r="Z847">
        <v>0</v>
      </c>
      <c r="AA847">
        <v>0</v>
      </c>
      <c r="AB847">
        <v>0</v>
      </c>
      <c r="AC847">
        <v>0</v>
      </c>
      <c r="AD847">
        <v>0</v>
      </c>
      <c r="AE847">
        <v>0</v>
      </c>
      <c r="AF847">
        <v>0</v>
      </c>
      <c r="AG847">
        <v>0</v>
      </c>
      <c r="AH847">
        <v>0</v>
      </c>
      <c r="AI847">
        <v>0</v>
      </c>
      <c r="AJ847">
        <v>0</v>
      </c>
      <c r="AK847">
        <v>1</v>
      </c>
      <c r="AL847">
        <v>0</v>
      </c>
      <c r="AM847">
        <v>0</v>
      </c>
      <c r="AN847">
        <v>0</v>
      </c>
      <c r="AO847">
        <v>0</v>
      </c>
      <c r="AP847">
        <v>0</v>
      </c>
      <c r="AQ847">
        <v>0</v>
      </c>
      <c r="AR847">
        <v>0</v>
      </c>
      <c r="AS847">
        <v>0</v>
      </c>
      <c r="AT847">
        <v>0</v>
      </c>
      <c r="AU847">
        <v>0</v>
      </c>
      <c r="AV847">
        <v>0</v>
      </c>
      <c r="AW847">
        <v>0</v>
      </c>
      <c r="AX847" s="141">
        <f t="shared" si="116"/>
        <v>1</v>
      </c>
      <c r="AY847" s="141">
        <f t="shared" si="88"/>
        <v>1</v>
      </c>
      <c r="AZ847">
        <f t="shared" si="89"/>
        <v>0</v>
      </c>
      <c r="BA847">
        <f t="shared" si="90"/>
        <v>0</v>
      </c>
      <c r="BB847">
        <f t="shared" si="91"/>
        <v>1</v>
      </c>
      <c r="BC847">
        <f t="shared" si="92"/>
        <v>0</v>
      </c>
      <c r="BD847">
        <f t="shared" si="93"/>
        <v>0</v>
      </c>
      <c r="BE847" t="str">
        <f t="array" ref="BE847">IF(AY847=1,INDEX($V$7:$AL$7,MATCH(TRUE,INDEX($V847:$AW847&lt;&gt;0,),0)),IF(AY847=0,INDEX($AM$7:$AW$7,MATCH(1,$AM847:$AW847,0)),IF(BF847="Multiple strategies","mixed drivers",IF(BF847="Supply chain","multiple supply","multiple silviculture"))))</f>
        <v>technologies/design switch</v>
      </c>
      <c r="BF847" s="2" t="str" cm="1">
        <f t="array" ref="BF847">IF(COUNTIF(AZ847:BB847,"&lt;&gt;0")=1,INDEX($V$4:$AW$4,MATCH(TRUE,INDEX($V847:$AW847&lt;&gt;0,),0)),IF(COUNTIF(AZ847:BB847,"&lt;&gt;0")=0,INDEX($AM$4:$AW$4,MATCH(1,$AM847:$AW847,0)),"Multiple strategies"))</f>
        <v>Technology</v>
      </c>
      <c r="BG847" s="1" t="s">
        <v>230</v>
      </c>
      <c r="BH847" t="s">
        <v>278</v>
      </c>
      <c r="BI847" s="266" t="s">
        <v>3108</v>
      </c>
      <c r="BJ847" t="s">
        <v>279</v>
      </c>
      <c r="BK847">
        <v>0</v>
      </c>
      <c r="BL847">
        <v>164.91714764150942</v>
      </c>
      <c r="BN847">
        <f t="shared" si="125"/>
        <v>164.91714764150942</v>
      </c>
      <c r="BO847">
        <f t="shared" si="132"/>
        <v>716.09703708862105</v>
      </c>
      <c r="BP847" t="s">
        <v>233</v>
      </c>
      <c r="BQ847" s="153" t="s">
        <v>3109</v>
      </c>
      <c r="BR847" t="s">
        <v>280</v>
      </c>
      <c r="BS847">
        <v>-476.23317385650159</v>
      </c>
      <c r="BT847">
        <v>-922.29525217943831</v>
      </c>
      <c r="BU847" s="144">
        <f t="shared" si="133"/>
        <v>1.9366463799881022</v>
      </c>
      <c r="BV847">
        <f t="shared" si="119"/>
        <v>-446.06207832293671</v>
      </c>
      <c r="BX847">
        <f t="shared" si="120"/>
        <v>-446.06207832293671</v>
      </c>
      <c r="BY847">
        <f t="shared" si="94"/>
        <v>-0.622907308954183</v>
      </c>
      <c r="BZ847">
        <v>0</v>
      </c>
      <c r="CA847">
        <v>0</v>
      </c>
      <c r="CB847">
        <v>0</v>
      </c>
      <c r="CC847">
        <v>0</v>
      </c>
      <c r="CD847">
        <v>0</v>
      </c>
      <c r="CE847">
        <v>0</v>
      </c>
      <c r="CF847">
        <v>0</v>
      </c>
      <c r="CG847">
        <v>0</v>
      </c>
      <c r="CH847">
        <v>0</v>
      </c>
      <c r="CI847">
        <v>0</v>
      </c>
      <c r="CJ847">
        <v>0</v>
      </c>
      <c r="CK847">
        <v>0</v>
      </c>
      <c r="CL847">
        <v>0</v>
      </c>
      <c r="CM847">
        <v>0</v>
      </c>
      <c r="CN847" t="str">
        <f t="shared" si="108"/>
        <v>refOK</v>
      </c>
      <c r="CO847">
        <f t="shared" si="109"/>
        <v>0</v>
      </c>
      <c r="CP847">
        <f t="shared" si="110"/>
        <v>164.91714764150942</v>
      </c>
      <c r="CQ847">
        <f t="shared" si="124"/>
        <v>716.09703708862105</v>
      </c>
      <c r="CR847">
        <f t="shared" si="111"/>
        <v>-476.23317385650159</v>
      </c>
      <c r="CS847">
        <f t="shared" si="112"/>
        <v>-922.29525217943831</v>
      </c>
      <c r="CT847">
        <f t="shared" si="121"/>
        <v>-446.06207832293671</v>
      </c>
      <c r="CU847">
        <f t="shared" si="105"/>
        <v>-0.622907308954183</v>
      </c>
      <c r="CV847" s="2">
        <f t="shared" si="122"/>
        <v>-0.93664637998810218</v>
      </c>
      <c r="CW847" s="1" t="s">
        <v>235</v>
      </c>
      <c r="CX847" t="str">
        <f t="shared" si="96"/>
        <v>loc</v>
      </c>
      <c r="CY847" t="s">
        <v>281</v>
      </c>
      <c r="DB847">
        <v>100</v>
      </c>
      <c r="DC847" t="str">
        <f t="shared" si="97"/>
        <v>71-100</v>
      </c>
      <c r="DD847">
        <v>0</v>
      </c>
      <c r="DE847">
        <v>0</v>
      </c>
      <c r="DF847">
        <v>0</v>
      </c>
      <c r="DG847">
        <v>1</v>
      </c>
      <c r="DI847">
        <f t="shared" si="134"/>
        <v>1</v>
      </c>
      <c r="DJ847" t="str">
        <f t="shared" si="103"/>
        <v>TimberInput</v>
      </c>
      <c r="DK847">
        <f t="shared" si="126"/>
        <v>0</v>
      </c>
      <c r="DL847">
        <f t="shared" si="127"/>
        <v>0</v>
      </c>
      <c r="DM847">
        <f t="shared" si="128"/>
        <v>0</v>
      </c>
      <c r="DN847" t="str">
        <f t="shared" si="129"/>
        <v>Timber</v>
      </c>
      <c r="DO847">
        <v>0</v>
      </c>
      <c r="DP847">
        <v>1</v>
      </c>
      <c r="DQ847">
        <v>0</v>
      </c>
      <c r="DR847" t="s">
        <v>293</v>
      </c>
      <c r="DS847">
        <v>0</v>
      </c>
      <c r="DT847">
        <f t="shared" si="114"/>
        <v>1</v>
      </c>
      <c r="DU847" s="143" t="str">
        <f t="shared" si="99"/>
        <v>external DF used</v>
      </c>
      <c r="DV847">
        <v>0</v>
      </c>
      <c r="DW847">
        <v>1</v>
      </c>
      <c r="DX847">
        <v>1</v>
      </c>
      <c r="DY847">
        <v>1</v>
      </c>
      <c r="DZ847">
        <v>1</v>
      </c>
      <c r="EA847" s="143">
        <v>0</v>
      </c>
      <c r="EB847">
        <v>1</v>
      </c>
      <c r="EC847">
        <v>1</v>
      </c>
      <c r="ED847">
        <v>0</v>
      </c>
      <c r="EE847">
        <v>1</v>
      </c>
      <c r="EF847">
        <v>1</v>
      </c>
      <c r="EG847">
        <v>1</v>
      </c>
      <c r="EH847">
        <v>0</v>
      </c>
      <c r="EI847" s="2">
        <v>0</v>
      </c>
      <c r="EK847" t="str">
        <f t="shared" si="130"/>
        <v>Whole sector</v>
      </c>
      <c r="EL847" t="str">
        <f t="shared" si="131"/>
        <v/>
      </c>
      <c r="EM847" s="2" t="str">
        <f t="shared" si="98"/>
        <v/>
      </c>
      <c r="EP847" t="str">
        <f>IF(ISNUMBER(BU847),IF(ABS(BU847-[2]QC_indicators!$B$2)&gt;3*[2]QC_indicators!$C$2,"C ratio",IF(ISNUMBER(BY847),IF(ABS(BY847-[2]QC_indicators!$B$1)&gt;3*[2]QC_indicators!$C$1,"DF","no"))),IF(ISNUMBER(BY847),IF(ABS(BY847-[2]QC_indicators!$B$1)&gt;3*[2]QC_indicators!$C$1,"DF","no")))</f>
        <v>no</v>
      </c>
      <c r="EQ847" t="s">
        <v>287</v>
      </c>
      <c r="ET847" s="266" t="s">
        <v>3275</v>
      </c>
    </row>
    <row r="848" spans="1:150" ht="15" hidden="1" customHeight="1">
      <c r="A848" s="1" t="s">
        <v>266</v>
      </c>
      <c r="B848" t="s">
        <v>267</v>
      </c>
      <c r="C848" t="s">
        <v>268</v>
      </c>
      <c r="D848" t="s">
        <v>269</v>
      </c>
      <c r="E848" t="s">
        <v>270</v>
      </c>
      <c r="F848" t="s">
        <v>271</v>
      </c>
      <c r="G848" t="s">
        <v>272</v>
      </c>
      <c r="H848" t="s">
        <v>255</v>
      </c>
      <c r="I848">
        <v>2022</v>
      </c>
      <c r="J848">
        <v>0</v>
      </c>
      <c r="K848" t="s">
        <v>273</v>
      </c>
      <c r="M848" t="str">
        <f t="shared" si="102"/>
        <v>Aryapratama_2022</v>
      </c>
      <c r="N848" t="s">
        <v>223</v>
      </c>
      <c r="O848" s="145" t="s">
        <v>275</v>
      </c>
      <c r="Q848" t="s">
        <v>225</v>
      </c>
      <c r="R848" s="264" t="s">
        <v>224</v>
      </c>
      <c r="S848" s="265" t="s">
        <v>3107</v>
      </c>
      <c r="T848" t="s">
        <v>294</v>
      </c>
      <c r="U848" t="s">
        <v>276</v>
      </c>
      <c r="V848">
        <v>0</v>
      </c>
      <c r="W848">
        <v>0</v>
      </c>
      <c r="X848">
        <v>0</v>
      </c>
      <c r="Y848">
        <v>0</v>
      </c>
      <c r="Z848">
        <v>0</v>
      </c>
      <c r="AA848">
        <v>0</v>
      </c>
      <c r="AB848">
        <v>0</v>
      </c>
      <c r="AC848">
        <v>0</v>
      </c>
      <c r="AD848">
        <v>0</v>
      </c>
      <c r="AE848">
        <v>0</v>
      </c>
      <c r="AF848">
        <v>0</v>
      </c>
      <c r="AG848">
        <v>0</v>
      </c>
      <c r="AH848">
        <v>0</v>
      </c>
      <c r="AI848">
        <v>0</v>
      </c>
      <c r="AJ848">
        <v>0</v>
      </c>
      <c r="AK848">
        <v>1</v>
      </c>
      <c r="AL848">
        <v>0</v>
      </c>
      <c r="AM848">
        <v>0</v>
      </c>
      <c r="AN848">
        <v>0</v>
      </c>
      <c r="AO848">
        <v>0</v>
      </c>
      <c r="AP848">
        <v>0</v>
      </c>
      <c r="AQ848">
        <v>0</v>
      </c>
      <c r="AR848">
        <v>0</v>
      </c>
      <c r="AS848">
        <v>0</v>
      </c>
      <c r="AT848">
        <v>0</v>
      </c>
      <c r="AU848">
        <v>0</v>
      </c>
      <c r="AV848">
        <v>0</v>
      </c>
      <c r="AW848">
        <v>0</v>
      </c>
      <c r="AX848" s="141">
        <f t="shared" si="116"/>
        <v>1</v>
      </c>
      <c r="AY848" s="141">
        <f t="shared" si="88"/>
        <v>1</v>
      </c>
      <c r="AZ848">
        <f t="shared" si="89"/>
        <v>0</v>
      </c>
      <c r="BA848">
        <f t="shared" si="90"/>
        <v>0</v>
      </c>
      <c r="BB848">
        <f t="shared" si="91"/>
        <v>1</v>
      </c>
      <c r="BC848">
        <f t="shared" si="92"/>
        <v>0</v>
      </c>
      <c r="BD848">
        <f t="shared" si="93"/>
        <v>0</v>
      </c>
      <c r="BE848" t="str">
        <f t="array" ref="BE848">IF(AY848=1,INDEX($V$7:$AL$7,MATCH(TRUE,INDEX($V848:$AW848&lt;&gt;0,),0)),IF(AY848=0,INDEX($AM$7:$AW$7,MATCH(1,$AM848:$AW848,0)),IF(BF848="Multiple strategies","mixed drivers",IF(BF848="Supply chain","multiple supply","multiple silviculture"))))</f>
        <v>technologies/design switch</v>
      </c>
      <c r="BF848" s="2" t="str" cm="1">
        <f t="array" ref="BF848">IF(COUNTIF(AZ848:BB848,"&lt;&gt;0")=1,INDEX($V$4:$AW$4,MATCH(TRUE,INDEX($V848:$AW848&lt;&gt;0,),0)),IF(COUNTIF(AZ848:BB848,"&lt;&gt;0")=0,INDEX($AM$4:$AW$4,MATCH(1,$AM848:$AW848,0)),"Multiple strategies"))</f>
        <v>Technology</v>
      </c>
      <c r="BG848" s="1" t="s">
        <v>230</v>
      </c>
      <c r="BH848" t="s">
        <v>278</v>
      </c>
      <c r="BI848" s="266" t="s">
        <v>3108</v>
      </c>
      <c r="BJ848" t="s">
        <v>279</v>
      </c>
      <c r="BK848">
        <v>0</v>
      </c>
      <c r="BL848">
        <v>135.57962264150939</v>
      </c>
      <c r="BN848">
        <f t="shared" si="125"/>
        <v>135.57962264150939</v>
      </c>
      <c r="BO848">
        <f t="shared" si="132"/>
        <v>588.70873921628049</v>
      </c>
      <c r="BP848" t="s">
        <v>233</v>
      </c>
      <c r="BQ848" s="153" t="s">
        <v>3109</v>
      </c>
      <c r="BR848" t="s">
        <v>280</v>
      </c>
      <c r="BS848">
        <v>-256.36341951965699</v>
      </c>
      <c r="BT848">
        <v>-502.68675849347369</v>
      </c>
      <c r="BU848" s="144">
        <f t="shared" si="133"/>
        <v>1.9608365321204866</v>
      </c>
      <c r="BV848">
        <f t="shared" si="119"/>
        <v>-246.3233389738167</v>
      </c>
      <c r="BX848">
        <f t="shared" si="120"/>
        <v>-246.3233389738167</v>
      </c>
      <c r="BY848">
        <f t="shared" si="94"/>
        <v>-0.41841291383194867</v>
      </c>
      <c r="BZ848">
        <v>0</v>
      </c>
      <c r="CA848">
        <v>0</v>
      </c>
      <c r="CB848">
        <v>0</v>
      </c>
      <c r="CC848">
        <v>0</v>
      </c>
      <c r="CD848">
        <v>0</v>
      </c>
      <c r="CE848">
        <v>0</v>
      </c>
      <c r="CF848">
        <v>0</v>
      </c>
      <c r="CG848">
        <v>0</v>
      </c>
      <c r="CH848">
        <v>0</v>
      </c>
      <c r="CI848">
        <v>0</v>
      </c>
      <c r="CJ848">
        <v>0</v>
      </c>
      <c r="CK848">
        <v>0</v>
      </c>
      <c r="CL848">
        <v>0</v>
      </c>
      <c r="CM848">
        <v>0</v>
      </c>
      <c r="CN848" t="str">
        <f t="shared" si="108"/>
        <v>refOK</v>
      </c>
      <c r="CO848">
        <f t="shared" si="109"/>
        <v>0</v>
      </c>
      <c r="CP848">
        <f t="shared" si="110"/>
        <v>135.57962264150939</v>
      </c>
      <c r="CQ848">
        <f t="shared" si="124"/>
        <v>588.70873921628049</v>
      </c>
      <c r="CR848">
        <f t="shared" si="111"/>
        <v>-256.36341951965699</v>
      </c>
      <c r="CS848">
        <f t="shared" si="112"/>
        <v>-502.68675849347369</v>
      </c>
      <c r="CT848">
        <f t="shared" si="121"/>
        <v>-246.3233389738167</v>
      </c>
      <c r="CU848">
        <f t="shared" si="105"/>
        <v>-0.41841291383194867</v>
      </c>
      <c r="CV848" s="2">
        <f t="shared" si="122"/>
        <v>-0.9608365321204867</v>
      </c>
      <c r="CW848" s="1" t="s">
        <v>235</v>
      </c>
      <c r="CX848" t="str">
        <f t="shared" si="96"/>
        <v>loc</v>
      </c>
      <c r="CY848" t="s">
        <v>281</v>
      </c>
      <c r="DB848">
        <v>100</v>
      </c>
      <c r="DC848" t="str">
        <f t="shared" si="97"/>
        <v>71-100</v>
      </c>
      <c r="DD848">
        <v>0</v>
      </c>
      <c r="DE848">
        <v>0</v>
      </c>
      <c r="DF848">
        <v>0</v>
      </c>
      <c r="DG848">
        <v>1</v>
      </c>
      <c r="DI848">
        <f t="shared" si="134"/>
        <v>1</v>
      </c>
      <c r="DJ848" t="str">
        <f t="shared" si="103"/>
        <v>TimberInput</v>
      </c>
      <c r="DK848">
        <f t="shared" si="126"/>
        <v>0</v>
      </c>
      <c r="DL848">
        <f t="shared" si="127"/>
        <v>0</v>
      </c>
      <c r="DM848">
        <f t="shared" si="128"/>
        <v>0</v>
      </c>
      <c r="DN848" t="str">
        <f t="shared" si="129"/>
        <v>Timber</v>
      </c>
      <c r="DO848">
        <v>0</v>
      </c>
      <c r="DP848">
        <v>1</v>
      </c>
      <c r="DQ848">
        <v>0</v>
      </c>
      <c r="DR848" t="s">
        <v>293</v>
      </c>
      <c r="DS848">
        <v>0</v>
      </c>
      <c r="DT848">
        <f t="shared" si="114"/>
        <v>1</v>
      </c>
      <c r="DU848" s="143" t="str">
        <f t="shared" si="99"/>
        <v>external DF used</v>
      </c>
      <c r="DV848">
        <v>0</v>
      </c>
      <c r="DW848">
        <v>1</v>
      </c>
      <c r="DX848">
        <v>1</v>
      </c>
      <c r="DY848">
        <v>1</v>
      </c>
      <c r="DZ848">
        <v>1</v>
      </c>
      <c r="EA848" s="143">
        <v>0</v>
      </c>
      <c r="EB848">
        <v>1</v>
      </c>
      <c r="EC848">
        <v>1</v>
      </c>
      <c r="ED848">
        <v>0</v>
      </c>
      <c r="EE848">
        <v>1</v>
      </c>
      <c r="EF848">
        <v>1</v>
      </c>
      <c r="EG848">
        <v>1</v>
      </c>
      <c r="EH848">
        <v>0</v>
      </c>
      <c r="EI848" s="2">
        <v>0</v>
      </c>
      <c r="EK848" t="str">
        <f t="shared" si="130"/>
        <v>Whole sector</v>
      </c>
      <c r="EL848" t="str">
        <f t="shared" si="131"/>
        <v/>
      </c>
      <c r="EM848" s="2" t="str">
        <f t="shared" si="98"/>
        <v/>
      </c>
      <c r="EP848" t="str">
        <f>IF(ISNUMBER(BU848),IF(ABS(BU848-[2]QC_indicators!$B$2)&gt;3*[2]QC_indicators!$C$2,"C ratio",IF(ISNUMBER(BY848),IF(ABS(BY848-[2]QC_indicators!$B$1)&gt;3*[2]QC_indicators!$C$1,"DF","no"))),IF(ISNUMBER(BY848),IF(ABS(BY848-[2]QC_indicators!$B$1)&gt;3*[2]QC_indicators!$C$1,"DF","no")))</f>
        <v>no</v>
      </c>
      <c r="EQ848" t="s">
        <v>287</v>
      </c>
      <c r="ET848" s="266" t="s">
        <v>3275</v>
      </c>
    </row>
    <row r="849" spans="1:150" ht="15" hidden="1" customHeight="1">
      <c r="A849" s="1" t="s">
        <v>266</v>
      </c>
      <c r="B849" t="s">
        <v>267</v>
      </c>
      <c r="C849" t="s">
        <v>268</v>
      </c>
      <c r="D849" t="s">
        <v>269</v>
      </c>
      <c r="E849" t="s">
        <v>270</v>
      </c>
      <c r="F849" t="s">
        <v>271</v>
      </c>
      <c r="G849" t="s">
        <v>272</v>
      </c>
      <c r="H849" t="s">
        <v>255</v>
      </c>
      <c r="I849">
        <v>2022</v>
      </c>
      <c r="J849">
        <v>0</v>
      </c>
      <c r="K849" t="s">
        <v>273</v>
      </c>
      <c r="M849" t="str">
        <f t="shared" si="102"/>
        <v>Aryapratama_2022</v>
      </c>
      <c r="N849" t="s">
        <v>223</v>
      </c>
      <c r="O849" s="145" t="s">
        <v>275</v>
      </c>
      <c r="Q849" t="s">
        <v>225</v>
      </c>
      <c r="R849" s="264" t="s">
        <v>224</v>
      </c>
      <c r="S849" s="265" t="s">
        <v>3107</v>
      </c>
      <c r="T849" t="s">
        <v>298</v>
      </c>
      <c r="U849" t="s">
        <v>299</v>
      </c>
      <c r="V849">
        <v>0</v>
      </c>
      <c r="W849">
        <v>0</v>
      </c>
      <c r="X849">
        <v>0</v>
      </c>
      <c r="Y849">
        <v>0</v>
      </c>
      <c r="Z849">
        <v>0</v>
      </c>
      <c r="AA849">
        <v>0</v>
      </c>
      <c r="AB849">
        <v>0</v>
      </c>
      <c r="AC849">
        <v>0</v>
      </c>
      <c r="AD849">
        <v>0</v>
      </c>
      <c r="AE849">
        <v>0</v>
      </c>
      <c r="AF849">
        <v>0</v>
      </c>
      <c r="AG849">
        <v>0</v>
      </c>
      <c r="AH849">
        <v>0</v>
      </c>
      <c r="AI849">
        <v>0</v>
      </c>
      <c r="AJ849">
        <v>0</v>
      </c>
      <c r="AK849">
        <v>1</v>
      </c>
      <c r="AL849">
        <v>0</v>
      </c>
      <c r="AM849">
        <v>0</v>
      </c>
      <c r="AN849">
        <v>0</v>
      </c>
      <c r="AO849">
        <v>0</v>
      </c>
      <c r="AP849">
        <v>0</v>
      </c>
      <c r="AQ849">
        <v>0</v>
      </c>
      <c r="AR849">
        <v>0</v>
      </c>
      <c r="AS849">
        <v>0</v>
      </c>
      <c r="AT849">
        <v>0</v>
      </c>
      <c r="AU849">
        <v>0</v>
      </c>
      <c r="AV849">
        <v>0</v>
      </c>
      <c r="AW849">
        <v>0</v>
      </c>
      <c r="AX849" s="141">
        <f t="shared" si="116"/>
        <v>1</v>
      </c>
      <c r="AY849" s="141">
        <f t="shared" si="88"/>
        <v>1</v>
      </c>
      <c r="AZ849">
        <f t="shared" si="89"/>
        <v>0</v>
      </c>
      <c r="BA849">
        <f t="shared" si="90"/>
        <v>0</v>
      </c>
      <c r="BB849">
        <f t="shared" si="91"/>
        <v>1</v>
      </c>
      <c r="BC849">
        <f t="shared" si="92"/>
        <v>0</v>
      </c>
      <c r="BD849">
        <f t="shared" si="93"/>
        <v>0</v>
      </c>
      <c r="BE849" t="str">
        <f t="array" ref="BE849">IF(AY849=1,INDEX($V$7:$AL$7,MATCH(TRUE,INDEX($V849:$AW849&lt;&gt;0,),0)),IF(AY849=0,INDEX($AM$7:$AW$7,MATCH(1,$AM849:$AW849,0)),IF(BF849="Multiple strategies","mixed drivers",IF(BF849="Supply chain","multiple supply","multiple silviculture"))))</f>
        <v>technologies/design switch</v>
      </c>
      <c r="BF849" s="2" t="str" cm="1">
        <f t="array" ref="BF849">IF(COUNTIF(AZ849:BB849,"&lt;&gt;0")=1,INDEX($V$4:$AW$4,MATCH(TRUE,INDEX($V849:$AW849&lt;&gt;0,),0)),IF(COUNTIF(AZ849:BB849,"&lt;&gt;0")=0,INDEX($AM$4:$AW$4,MATCH(1,$AM849:$AW849,0)),"Multiple strategies"))</f>
        <v>Technology</v>
      </c>
      <c r="BG849" s="1" t="s">
        <v>230</v>
      </c>
      <c r="BH849" t="s">
        <v>278</v>
      </c>
      <c r="BI849" s="266" t="s">
        <v>3108</v>
      </c>
      <c r="BJ849" t="s">
        <v>279</v>
      </c>
      <c r="BK849">
        <v>0</v>
      </c>
      <c r="BL849">
        <v>193.54702102312467</v>
      </c>
      <c r="BN849">
        <f t="shared" si="125"/>
        <v>193.54702102312467</v>
      </c>
      <c r="BO849">
        <f t="shared" si="132"/>
        <v>840.41259671352441</v>
      </c>
      <c r="BP849" t="s">
        <v>233</v>
      </c>
      <c r="BQ849" s="153" t="s">
        <v>3109</v>
      </c>
      <c r="BR849" t="s">
        <v>280</v>
      </c>
      <c r="BS849">
        <v>-354.25011993341019</v>
      </c>
      <c r="BT849">
        <v>-567.94520592120887</v>
      </c>
      <c r="BU849" s="144">
        <f t="shared" si="133"/>
        <v>1.6032322191675412</v>
      </c>
      <c r="BV849">
        <f t="shared" si="119"/>
        <v>-213.69508598779868</v>
      </c>
      <c r="BX849">
        <f t="shared" si="120"/>
        <v>-213.69508598779868</v>
      </c>
      <c r="BY849">
        <f t="shared" si="94"/>
        <v>-0.25427401591011844</v>
      </c>
      <c r="BZ849">
        <v>0</v>
      </c>
      <c r="CA849">
        <v>0</v>
      </c>
      <c r="CB849">
        <v>0</v>
      </c>
      <c r="CC849">
        <v>0</v>
      </c>
      <c r="CD849">
        <v>0</v>
      </c>
      <c r="CE849">
        <v>0</v>
      </c>
      <c r="CF849">
        <v>0</v>
      </c>
      <c r="CG849">
        <v>0</v>
      </c>
      <c r="CH849">
        <v>0</v>
      </c>
      <c r="CI849">
        <v>0</v>
      </c>
      <c r="CJ849">
        <v>0</v>
      </c>
      <c r="CK849">
        <v>0</v>
      </c>
      <c r="CL849">
        <v>0</v>
      </c>
      <c r="CM849">
        <v>0</v>
      </c>
      <c r="CN849" t="str">
        <f t="shared" ref="CN849:CN880" si="135">IF($BL849&lt;$BK849,"refNeedCorrection","refOK")</f>
        <v>refOK</v>
      </c>
      <c r="CO849">
        <f t="shared" si="109"/>
        <v>0</v>
      </c>
      <c r="CP849">
        <f t="shared" si="110"/>
        <v>193.54702102312467</v>
      </c>
      <c r="CQ849">
        <f t="shared" si="124"/>
        <v>840.41259671352441</v>
      </c>
      <c r="CR849">
        <f t="shared" si="111"/>
        <v>-354.25011993341019</v>
      </c>
      <c r="CS849">
        <f t="shared" ref="CS849:CS880" si="136">IF($CN849="refOK",$BT849,$BS849)*IF($BP849="Emissions positive",-1,1)</f>
        <v>-567.94520592120887</v>
      </c>
      <c r="CT849">
        <f t="shared" si="121"/>
        <v>-213.69508598779868</v>
      </c>
      <c r="CU849">
        <f t="shared" si="105"/>
        <v>-0.25427401591011844</v>
      </c>
      <c r="CV849" s="2">
        <f t="shared" si="122"/>
        <v>-0.60323221916754133</v>
      </c>
      <c r="CW849" s="1" t="s">
        <v>235</v>
      </c>
      <c r="CX849" t="str">
        <f t="shared" si="96"/>
        <v>loc</v>
      </c>
      <c r="CY849" t="s">
        <v>281</v>
      </c>
      <c r="DB849">
        <v>100</v>
      </c>
      <c r="DC849" t="str">
        <f t="shared" si="97"/>
        <v>71-100</v>
      </c>
      <c r="DD849">
        <v>0</v>
      </c>
      <c r="DE849">
        <v>0</v>
      </c>
      <c r="DF849">
        <v>0</v>
      </c>
      <c r="DG849">
        <v>1</v>
      </c>
      <c r="DI849">
        <f t="shared" si="134"/>
        <v>1</v>
      </c>
      <c r="DJ849" t="str">
        <f t="shared" si="103"/>
        <v>TimberInput</v>
      </c>
      <c r="DK849">
        <f t="shared" si="126"/>
        <v>0</v>
      </c>
      <c r="DL849">
        <f t="shared" si="127"/>
        <v>0</v>
      </c>
      <c r="DM849">
        <f t="shared" si="128"/>
        <v>0</v>
      </c>
      <c r="DN849" t="str">
        <f t="shared" si="129"/>
        <v>Timber</v>
      </c>
      <c r="DO849">
        <v>0</v>
      </c>
      <c r="DP849">
        <v>1</v>
      </c>
      <c r="DQ849">
        <v>0</v>
      </c>
      <c r="DR849" t="s">
        <v>282</v>
      </c>
      <c r="DS849">
        <v>0</v>
      </c>
      <c r="DT849">
        <f t="shared" si="114"/>
        <v>1</v>
      </c>
      <c r="DU849" s="143" t="str">
        <f t="shared" si="99"/>
        <v>external DF used</v>
      </c>
      <c r="DV849">
        <v>0</v>
      </c>
      <c r="DW849">
        <v>1</v>
      </c>
      <c r="DX849">
        <v>1</v>
      </c>
      <c r="DY849">
        <v>1</v>
      </c>
      <c r="DZ849">
        <v>1</v>
      </c>
      <c r="EA849" s="143">
        <v>0</v>
      </c>
      <c r="EB849">
        <v>1</v>
      </c>
      <c r="EC849">
        <v>1</v>
      </c>
      <c r="ED849">
        <v>0</v>
      </c>
      <c r="EE849">
        <v>1</v>
      </c>
      <c r="EF849">
        <v>1</v>
      </c>
      <c r="EG849">
        <v>1</v>
      </c>
      <c r="EH849">
        <v>0</v>
      </c>
      <c r="EI849" s="2">
        <v>0</v>
      </c>
      <c r="EK849" t="str">
        <f t="shared" si="130"/>
        <v>Whole sector</v>
      </c>
      <c r="EL849" t="str">
        <f t="shared" si="131"/>
        <v/>
      </c>
      <c r="EM849" s="2" t="str">
        <f t="shared" si="98"/>
        <v/>
      </c>
      <c r="EP849" t="str">
        <f>IF(ISNUMBER(BU849),IF(ABS(BU849-[2]QC_indicators!$B$2)&gt;3*[2]QC_indicators!$C$2,"C ratio",IF(ISNUMBER(BY849),IF(ABS(BY849-[2]QC_indicators!$B$1)&gt;3*[2]QC_indicators!$C$1,"DF","no"))),IF(ISNUMBER(BY849),IF(ABS(BY849-[2]QC_indicators!$B$1)&gt;3*[2]QC_indicators!$C$1,"DF","no")))</f>
        <v>no</v>
      </c>
      <c r="EQ849" t="s">
        <v>287</v>
      </c>
      <c r="ET849" s="266" t="s">
        <v>3275</v>
      </c>
    </row>
    <row r="850" spans="1:150" ht="15" hidden="1" customHeight="1">
      <c r="A850" s="1" t="s">
        <v>266</v>
      </c>
      <c r="B850" t="s">
        <v>267</v>
      </c>
      <c r="C850" t="s">
        <v>268</v>
      </c>
      <c r="D850" t="s">
        <v>269</v>
      </c>
      <c r="E850" t="s">
        <v>270</v>
      </c>
      <c r="F850" t="s">
        <v>271</v>
      </c>
      <c r="G850" t="s">
        <v>272</v>
      </c>
      <c r="H850" t="s">
        <v>255</v>
      </c>
      <c r="I850">
        <v>2022</v>
      </c>
      <c r="J850">
        <v>0</v>
      </c>
      <c r="K850" t="s">
        <v>273</v>
      </c>
      <c r="M850" t="str">
        <f t="shared" si="102"/>
        <v>Aryapratama_2022</v>
      </c>
      <c r="N850" t="s">
        <v>223</v>
      </c>
      <c r="O850" s="145" t="s">
        <v>275</v>
      </c>
      <c r="Q850" t="s">
        <v>225</v>
      </c>
      <c r="R850" s="264" t="s">
        <v>224</v>
      </c>
      <c r="S850" s="265" t="s">
        <v>3107</v>
      </c>
      <c r="T850" t="s">
        <v>296</v>
      </c>
      <c r="U850" t="s">
        <v>290</v>
      </c>
      <c r="V850">
        <v>0</v>
      </c>
      <c r="W850">
        <v>0</v>
      </c>
      <c r="X850">
        <v>0</v>
      </c>
      <c r="Y850">
        <v>0</v>
      </c>
      <c r="Z850">
        <v>0</v>
      </c>
      <c r="AA850">
        <v>0</v>
      </c>
      <c r="AB850">
        <v>0</v>
      </c>
      <c r="AC850">
        <v>0</v>
      </c>
      <c r="AD850">
        <v>0</v>
      </c>
      <c r="AE850">
        <v>0</v>
      </c>
      <c r="AF850">
        <v>0</v>
      </c>
      <c r="AG850">
        <v>0</v>
      </c>
      <c r="AH850">
        <v>0</v>
      </c>
      <c r="AI850">
        <v>0</v>
      </c>
      <c r="AJ850">
        <v>0</v>
      </c>
      <c r="AK850">
        <v>1</v>
      </c>
      <c r="AL850">
        <v>0</v>
      </c>
      <c r="AM850">
        <v>0</v>
      </c>
      <c r="AN850">
        <v>0</v>
      </c>
      <c r="AO850">
        <v>0</v>
      </c>
      <c r="AP850">
        <v>0</v>
      </c>
      <c r="AQ850">
        <v>0</v>
      </c>
      <c r="AR850">
        <v>0</v>
      </c>
      <c r="AS850">
        <v>0</v>
      </c>
      <c r="AT850">
        <v>0</v>
      </c>
      <c r="AU850">
        <v>0</v>
      </c>
      <c r="AV850">
        <v>0</v>
      </c>
      <c r="AW850">
        <v>0</v>
      </c>
      <c r="AX850" s="141">
        <f t="shared" si="116"/>
        <v>1</v>
      </c>
      <c r="AY850" s="141">
        <f t="shared" si="88"/>
        <v>1</v>
      </c>
      <c r="AZ850">
        <f t="shared" si="89"/>
        <v>0</v>
      </c>
      <c r="BA850">
        <f t="shared" si="90"/>
        <v>0</v>
      </c>
      <c r="BB850">
        <f t="shared" si="91"/>
        <v>1</v>
      </c>
      <c r="BC850">
        <f t="shared" si="92"/>
        <v>0</v>
      </c>
      <c r="BD850">
        <f t="shared" si="93"/>
        <v>0</v>
      </c>
      <c r="BE850" t="str">
        <f t="array" ref="BE850">IF(AY850=1,INDEX($V$7:$AL$7,MATCH(TRUE,INDEX($V850:$AW850&lt;&gt;0,),0)),IF(AY850=0,INDEX($AM$7:$AW$7,MATCH(1,$AM850:$AW850,0)),IF(BF850="Multiple strategies","mixed drivers",IF(BF850="Supply chain","multiple supply","multiple silviculture"))))</f>
        <v>technologies/design switch</v>
      </c>
      <c r="BF850" s="2" t="str" cm="1">
        <f t="array" ref="BF850">IF(COUNTIF(AZ850:BB850,"&lt;&gt;0")=1,INDEX($V$4:$AW$4,MATCH(TRUE,INDEX($V850:$AW850&lt;&gt;0,),0)),IF(COUNTIF(AZ850:BB850,"&lt;&gt;0")=0,INDEX($AM$4:$AW$4,MATCH(1,$AM850:$AW850,0)),"Multiple strategies"))</f>
        <v>Technology</v>
      </c>
      <c r="BG850" s="1" t="s">
        <v>230</v>
      </c>
      <c r="BH850" t="s">
        <v>278</v>
      </c>
      <c r="BI850" s="266" t="s">
        <v>3108</v>
      </c>
      <c r="BJ850" t="s">
        <v>279</v>
      </c>
      <c r="BK850">
        <v>0</v>
      </c>
      <c r="BL850">
        <v>429.73725876073206</v>
      </c>
      <c r="BN850">
        <f t="shared" si="125"/>
        <v>429.73725876073206</v>
      </c>
      <c r="BO850">
        <f t="shared" si="132"/>
        <v>1865.9889655264094</v>
      </c>
      <c r="BP850" t="s">
        <v>233</v>
      </c>
      <c r="BQ850" s="153" t="s">
        <v>3109</v>
      </c>
      <c r="BR850" t="s">
        <v>280</v>
      </c>
      <c r="BS850">
        <v>-808.82207371160791</v>
      </c>
      <c r="BT850">
        <v>-990.65809626676389</v>
      </c>
      <c r="BU850" s="144">
        <f t="shared" si="133"/>
        <v>1.224815850686082</v>
      </c>
      <c r="BV850">
        <f t="shared" si="119"/>
        <v>-181.83602255515598</v>
      </c>
      <c r="BX850">
        <f t="shared" si="120"/>
        <v>-181.83602255515598</v>
      </c>
      <c r="BY850">
        <f t="shared" si="94"/>
        <v>-9.7447533674915751E-2</v>
      </c>
      <c r="BZ850">
        <v>0</v>
      </c>
      <c r="CA850">
        <v>0</v>
      </c>
      <c r="CB850">
        <v>0</v>
      </c>
      <c r="CC850">
        <v>0</v>
      </c>
      <c r="CD850">
        <v>0</v>
      </c>
      <c r="CE850">
        <v>0</v>
      </c>
      <c r="CF850">
        <v>0</v>
      </c>
      <c r="CG850">
        <v>0</v>
      </c>
      <c r="CH850">
        <v>0</v>
      </c>
      <c r="CI850">
        <v>0</v>
      </c>
      <c r="CJ850">
        <v>0</v>
      </c>
      <c r="CK850">
        <v>0</v>
      </c>
      <c r="CL850">
        <v>0</v>
      </c>
      <c r="CM850">
        <v>0</v>
      </c>
      <c r="CN850" t="str">
        <f t="shared" si="135"/>
        <v>refOK</v>
      </c>
      <c r="CO850">
        <f t="shared" si="109"/>
        <v>0</v>
      </c>
      <c r="CP850">
        <f t="shared" si="110"/>
        <v>429.73725876073206</v>
      </c>
      <c r="CQ850">
        <f t="shared" si="124"/>
        <v>1865.9889655264094</v>
      </c>
      <c r="CR850">
        <f t="shared" si="111"/>
        <v>-808.82207371160791</v>
      </c>
      <c r="CS850">
        <f t="shared" si="136"/>
        <v>-990.65809626676389</v>
      </c>
      <c r="CT850">
        <f t="shared" si="121"/>
        <v>-181.83602255515598</v>
      </c>
      <c r="CU850">
        <f t="shared" si="105"/>
        <v>-9.7447533674915751E-2</v>
      </c>
      <c r="CV850" s="2">
        <f t="shared" si="122"/>
        <v>-0.2248158506860819</v>
      </c>
      <c r="CW850" s="1" t="s">
        <v>235</v>
      </c>
      <c r="CX850" t="str">
        <f t="shared" si="96"/>
        <v>loc</v>
      </c>
      <c r="CY850" t="s">
        <v>281</v>
      </c>
      <c r="DB850">
        <v>100</v>
      </c>
      <c r="DC850" t="str">
        <f t="shared" si="97"/>
        <v>71-100</v>
      </c>
      <c r="DD850">
        <v>0</v>
      </c>
      <c r="DE850">
        <v>0</v>
      </c>
      <c r="DF850">
        <v>0</v>
      </c>
      <c r="DG850">
        <v>1</v>
      </c>
      <c r="DI850">
        <f t="shared" si="134"/>
        <v>1</v>
      </c>
      <c r="DJ850" t="str">
        <f t="shared" si="103"/>
        <v>TimberInput</v>
      </c>
      <c r="DK850">
        <f t="shared" si="126"/>
        <v>0</v>
      </c>
      <c r="DL850">
        <f t="shared" si="127"/>
        <v>0</v>
      </c>
      <c r="DM850">
        <f t="shared" si="128"/>
        <v>0</v>
      </c>
      <c r="DN850" t="str">
        <f t="shared" si="129"/>
        <v>Timber</v>
      </c>
      <c r="DO850">
        <v>0</v>
      </c>
      <c r="DP850">
        <v>1</v>
      </c>
      <c r="DQ850">
        <v>0</v>
      </c>
      <c r="DR850" t="s">
        <v>293</v>
      </c>
      <c r="DS850">
        <v>0</v>
      </c>
      <c r="DT850">
        <f t="shared" si="114"/>
        <v>1</v>
      </c>
      <c r="DU850" s="143" t="str">
        <f t="shared" si="99"/>
        <v>external DF used</v>
      </c>
      <c r="DV850">
        <v>0</v>
      </c>
      <c r="DW850">
        <v>1</v>
      </c>
      <c r="DX850">
        <v>1</v>
      </c>
      <c r="DY850">
        <v>1</v>
      </c>
      <c r="DZ850">
        <v>1</v>
      </c>
      <c r="EA850" s="143">
        <v>0</v>
      </c>
      <c r="EB850">
        <v>1</v>
      </c>
      <c r="EC850">
        <v>1</v>
      </c>
      <c r="ED850">
        <v>0</v>
      </c>
      <c r="EE850">
        <v>1</v>
      </c>
      <c r="EF850">
        <v>1</v>
      </c>
      <c r="EG850">
        <v>1</v>
      </c>
      <c r="EH850">
        <v>0</v>
      </c>
      <c r="EI850" s="2">
        <v>0</v>
      </c>
      <c r="EK850" t="str">
        <f t="shared" si="130"/>
        <v>Whole sector</v>
      </c>
      <c r="EL850" t="str">
        <f t="shared" si="131"/>
        <v/>
      </c>
      <c r="EM850" s="2" t="str">
        <f t="shared" si="98"/>
        <v/>
      </c>
      <c r="EP850" t="str">
        <f>IF(ISNUMBER(BU850),IF(ABS(BU850-[2]QC_indicators!$B$2)&gt;3*[2]QC_indicators!$C$2,"C ratio",IF(ISNUMBER(BY850),IF(ABS(BY850-[2]QC_indicators!$B$1)&gt;3*[2]QC_indicators!$C$1,"DF","no"))),IF(ISNUMBER(BY850),IF(ABS(BY850-[2]QC_indicators!$B$1)&gt;3*[2]QC_indicators!$C$1,"DF","no")))</f>
        <v>no</v>
      </c>
      <c r="EQ850" t="s">
        <v>287</v>
      </c>
      <c r="ER850" t="s">
        <v>297</v>
      </c>
      <c r="ET850" s="266" t="s">
        <v>3275</v>
      </c>
    </row>
    <row r="851" spans="1:150" ht="15" hidden="1" customHeight="1">
      <c r="A851" s="1" t="s">
        <v>266</v>
      </c>
      <c r="B851" t="s">
        <v>267</v>
      </c>
      <c r="C851" t="s">
        <v>268</v>
      </c>
      <c r="D851" t="s">
        <v>269</v>
      </c>
      <c r="E851" t="s">
        <v>270</v>
      </c>
      <c r="F851" t="s">
        <v>271</v>
      </c>
      <c r="G851" t="s">
        <v>272</v>
      </c>
      <c r="H851" t="s">
        <v>255</v>
      </c>
      <c r="I851">
        <v>2022</v>
      </c>
      <c r="J851">
        <v>0</v>
      </c>
      <c r="K851" t="s">
        <v>273</v>
      </c>
      <c r="M851" t="str">
        <f t="shared" si="102"/>
        <v>Aryapratama_2022</v>
      </c>
      <c r="N851" t="s">
        <v>223</v>
      </c>
      <c r="O851" s="145" t="s">
        <v>275</v>
      </c>
      <c r="Q851" t="s">
        <v>225</v>
      </c>
      <c r="R851" s="264" t="s">
        <v>224</v>
      </c>
      <c r="S851" s="265" t="s">
        <v>3107</v>
      </c>
      <c r="T851" t="s">
        <v>300</v>
      </c>
      <c r="U851" t="s">
        <v>301</v>
      </c>
      <c r="V851">
        <v>0</v>
      </c>
      <c r="W851">
        <v>0</v>
      </c>
      <c r="X851">
        <v>0</v>
      </c>
      <c r="Y851">
        <v>0</v>
      </c>
      <c r="Z851">
        <v>0</v>
      </c>
      <c r="AA851">
        <v>0</v>
      </c>
      <c r="AB851">
        <v>0</v>
      </c>
      <c r="AC851">
        <v>0</v>
      </c>
      <c r="AD851">
        <v>0</v>
      </c>
      <c r="AE851">
        <v>0</v>
      </c>
      <c r="AF851">
        <v>0</v>
      </c>
      <c r="AG851">
        <v>0</v>
      </c>
      <c r="AH851">
        <v>0</v>
      </c>
      <c r="AI851">
        <v>0</v>
      </c>
      <c r="AJ851">
        <v>0</v>
      </c>
      <c r="AK851">
        <v>1</v>
      </c>
      <c r="AL851">
        <v>0</v>
      </c>
      <c r="AM851">
        <v>0</v>
      </c>
      <c r="AN851">
        <v>0</v>
      </c>
      <c r="AO851">
        <v>0</v>
      </c>
      <c r="AP851">
        <v>0</v>
      </c>
      <c r="AQ851">
        <v>0</v>
      </c>
      <c r="AR851">
        <v>0</v>
      </c>
      <c r="AS851">
        <v>0</v>
      </c>
      <c r="AT851">
        <v>0</v>
      </c>
      <c r="AU851">
        <v>0</v>
      </c>
      <c r="AV851">
        <v>0</v>
      </c>
      <c r="AW851">
        <v>0</v>
      </c>
      <c r="AX851" s="141">
        <f t="shared" si="116"/>
        <v>1</v>
      </c>
      <c r="AY851" s="141">
        <f t="shared" si="88"/>
        <v>1</v>
      </c>
      <c r="AZ851">
        <f t="shared" si="89"/>
        <v>0</v>
      </c>
      <c r="BA851">
        <f t="shared" si="90"/>
        <v>0</v>
      </c>
      <c r="BB851">
        <f t="shared" si="91"/>
        <v>1</v>
      </c>
      <c r="BC851">
        <f t="shared" si="92"/>
        <v>0</v>
      </c>
      <c r="BD851">
        <f t="shared" si="93"/>
        <v>0</v>
      </c>
      <c r="BE851" t="str">
        <f t="array" ref="BE851">IF(AY851=1,INDEX($V$7:$AL$7,MATCH(TRUE,INDEX($V851:$AW851&lt;&gt;0,),0)),IF(AY851=0,INDEX($AM$7:$AW$7,MATCH(1,$AM851:$AW851,0)),IF(BF851="Multiple strategies","mixed drivers",IF(BF851="Supply chain","multiple supply","multiple silviculture"))))</f>
        <v>technologies/design switch</v>
      </c>
      <c r="BF851" s="2" t="str" cm="1">
        <f t="array" ref="BF851">IF(COUNTIF(AZ851:BB851,"&lt;&gt;0")=1,INDEX($V$4:$AW$4,MATCH(TRUE,INDEX($V851:$AW851&lt;&gt;0,),0)),IF(COUNTIF(AZ851:BB851,"&lt;&gt;0")=0,INDEX($AM$4:$AW$4,MATCH(1,$AM851:$AW851,0)),"Multiple strategies"))</f>
        <v>Technology</v>
      </c>
      <c r="BG851" s="1" t="s">
        <v>230</v>
      </c>
      <c r="BH851" t="s">
        <v>278</v>
      </c>
      <c r="BI851" s="266" t="s">
        <v>3108</v>
      </c>
      <c r="BJ851" t="s">
        <v>279</v>
      </c>
      <c r="BK851">
        <v>0</v>
      </c>
      <c r="BL851">
        <v>363.45340303763226</v>
      </c>
      <c r="BN851">
        <f t="shared" si="125"/>
        <v>363.45340303763226</v>
      </c>
      <c r="BO851">
        <f t="shared" si="132"/>
        <v>1578.1736996857676</v>
      </c>
      <c r="BP851" t="s">
        <v>233</v>
      </c>
      <c r="BQ851" s="153" t="s">
        <v>3109</v>
      </c>
      <c r="BR851" t="s">
        <v>280</v>
      </c>
      <c r="BS851">
        <v>-642.71245617211093</v>
      </c>
      <c r="BT851">
        <v>-768.12774512252213</v>
      </c>
      <c r="BU851" s="144">
        <f t="shared" si="133"/>
        <v>1.1951343680148412</v>
      </c>
      <c r="BV851">
        <f t="shared" si="119"/>
        <v>-125.4152889504112</v>
      </c>
      <c r="BX851">
        <f t="shared" si="120"/>
        <v>-125.4152889504112</v>
      </c>
      <c r="BY851">
        <f t="shared" si="94"/>
        <v>-7.9468621847761628E-2</v>
      </c>
      <c r="BZ851">
        <v>0</v>
      </c>
      <c r="CA851">
        <v>0</v>
      </c>
      <c r="CB851">
        <v>0</v>
      </c>
      <c r="CC851">
        <v>0</v>
      </c>
      <c r="CD851">
        <v>0</v>
      </c>
      <c r="CE851">
        <v>0</v>
      </c>
      <c r="CF851">
        <v>0</v>
      </c>
      <c r="CG851">
        <v>0</v>
      </c>
      <c r="CH851">
        <v>0</v>
      </c>
      <c r="CI851">
        <v>0</v>
      </c>
      <c r="CJ851">
        <v>0</v>
      </c>
      <c r="CK851">
        <v>0</v>
      </c>
      <c r="CL851">
        <v>0</v>
      </c>
      <c r="CM851">
        <v>0</v>
      </c>
      <c r="CN851" t="str">
        <f t="shared" si="135"/>
        <v>refOK</v>
      </c>
      <c r="CO851">
        <f t="shared" si="109"/>
        <v>0</v>
      </c>
      <c r="CP851">
        <f t="shared" si="110"/>
        <v>363.45340303763226</v>
      </c>
      <c r="CQ851">
        <f t="shared" si="124"/>
        <v>1578.1736996857676</v>
      </c>
      <c r="CR851">
        <f t="shared" si="111"/>
        <v>-642.71245617211093</v>
      </c>
      <c r="CS851">
        <f t="shared" si="136"/>
        <v>-768.12774512252213</v>
      </c>
      <c r="CT851">
        <f t="shared" si="121"/>
        <v>-125.4152889504112</v>
      </c>
      <c r="CU851">
        <f t="shared" si="105"/>
        <v>-7.9468621847761628E-2</v>
      </c>
      <c r="CV851" s="2">
        <f t="shared" si="122"/>
        <v>-0.19513436801484121</v>
      </c>
      <c r="CW851" s="1" t="s">
        <v>235</v>
      </c>
      <c r="CX851" t="str">
        <f t="shared" si="96"/>
        <v>loc</v>
      </c>
      <c r="CY851" t="s">
        <v>281</v>
      </c>
      <c r="DB851">
        <v>100</v>
      </c>
      <c r="DC851" t="str">
        <f t="shared" si="97"/>
        <v>71-100</v>
      </c>
      <c r="DD851">
        <v>0</v>
      </c>
      <c r="DE851">
        <v>0</v>
      </c>
      <c r="DF851">
        <v>0</v>
      </c>
      <c r="DG851">
        <v>1</v>
      </c>
      <c r="DI851">
        <f t="shared" si="134"/>
        <v>1</v>
      </c>
      <c r="DJ851" t="str">
        <f t="shared" si="103"/>
        <v>TimberInput</v>
      </c>
      <c r="DK851">
        <f t="shared" si="126"/>
        <v>0</v>
      </c>
      <c r="DL851">
        <f t="shared" si="127"/>
        <v>0</v>
      </c>
      <c r="DM851">
        <f t="shared" si="128"/>
        <v>0</v>
      </c>
      <c r="DN851" t="str">
        <f t="shared" si="129"/>
        <v>Timber</v>
      </c>
      <c r="DO851">
        <v>0</v>
      </c>
      <c r="DP851">
        <v>1</v>
      </c>
      <c r="DQ851">
        <v>0</v>
      </c>
      <c r="DR851" t="s">
        <v>302</v>
      </c>
      <c r="DS851">
        <v>0</v>
      </c>
      <c r="DT851">
        <f t="shared" si="114"/>
        <v>1</v>
      </c>
      <c r="DU851" s="143" t="str">
        <f t="shared" si="99"/>
        <v>external DF used</v>
      </c>
      <c r="DV851">
        <v>0</v>
      </c>
      <c r="DW851">
        <v>1</v>
      </c>
      <c r="DX851">
        <v>1</v>
      </c>
      <c r="DY851">
        <v>1</v>
      </c>
      <c r="DZ851">
        <v>1</v>
      </c>
      <c r="EA851" s="143">
        <v>0</v>
      </c>
      <c r="EB851">
        <v>1</v>
      </c>
      <c r="EC851">
        <v>1</v>
      </c>
      <c r="ED851">
        <v>0</v>
      </c>
      <c r="EE851">
        <v>1</v>
      </c>
      <c r="EF851">
        <v>1</v>
      </c>
      <c r="EG851">
        <v>1</v>
      </c>
      <c r="EH851">
        <v>0</v>
      </c>
      <c r="EI851" s="2">
        <v>0</v>
      </c>
      <c r="EK851" t="str">
        <f t="shared" si="130"/>
        <v>Whole sector</v>
      </c>
      <c r="EL851" t="str">
        <f t="shared" si="131"/>
        <v/>
      </c>
      <c r="EM851" s="2" t="str">
        <f t="shared" si="98"/>
        <v/>
      </c>
      <c r="EP851" t="str">
        <f>IF(ISNUMBER(BU851),IF(ABS(BU851-[2]QC_indicators!$B$2)&gt;3*[2]QC_indicators!$C$2,"C ratio",IF(ISNUMBER(BY851),IF(ABS(BY851-[2]QC_indicators!$B$1)&gt;3*[2]QC_indicators!$C$1,"DF","no"))),IF(ISNUMBER(BY851),IF(ABS(BY851-[2]QC_indicators!$B$1)&gt;3*[2]QC_indicators!$C$1,"DF","no")))</f>
        <v>no</v>
      </c>
      <c r="EQ851" t="s">
        <v>287</v>
      </c>
      <c r="ER851" t="s">
        <v>297</v>
      </c>
      <c r="ET851" s="266" t="s">
        <v>3275</v>
      </c>
    </row>
    <row r="852" spans="1:150" ht="15" hidden="1" customHeight="1">
      <c r="A852" s="1" t="s">
        <v>266</v>
      </c>
      <c r="B852" t="s">
        <v>267</v>
      </c>
      <c r="C852" t="s">
        <v>268</v>
      </c>
      <c r="D852" t="s">
        <v>269</v>
      </c>
      <c r="E852" t="s">
        <v>270</v>
      </c>
      <c r="F852" t="s">
        <v>271</v>
      </c>
      <c r="G852" t="s">
        <v>272</v>
      </c>
      <c r="H852" t="s">
        <v>255</v>
      </c>
      <c r="I852">
        <v>2022</v>
      </c>
      <c r="J852">
        <v>0</v>
      </c>
      <c r="K852" t="s">
        <v>273</v>
      </c>
      <c r="M852" t="str">
        <f t="shared" si="102"/>
        <v>Aryapratama_2022</v>
      </c>
      <c r="N852" t="s">
        <v>223</v>
      </c>
      <c r="O852" s="145" t="s">
        <v>275</v>
      </c>
      <c r="Q852" t="s">
        <v>225</v>
      </c>
      <c r="R852" s="264" t="s">
        <v>224</v>
      </c>
      <c r="S852" s="265" t="s">
        <v>3107</v>
      </c>
      <c r="T852" t="s">
        <v>303</v>
      </c>
      <c r="U852" t="s">
        <v>304</v>
      </c>
      <c r="V852">
        <v>0</v>
      </c>
      <c r="W852">
        <v>0</v>
      </c>
      <c r="X852">
        <v>0</v>
      </c>
      <c r="Y852">
        <v>0</v>
      </c>
      <c r="Z852">
        <v>0</v>
      </c>
      <c r="AA852">
        <v>0</v>
      </c>
      <c r="AB852">
        <v>0</v>
      </c>
      <c r="AC852">
        <v>0</v>
      </c>
      <c r="AD852">
        <v>0</v>
      </c>
      <c r="AE852">
        <v>0</v>
      </c>
      <c r="AF852">
        <v>0</v>
      </c>
      <c r="AG852">
        <v>0</v>
      </c>
      <c r="AH852">
        <v>0</v>
      </c>
      <c r="AI852">
        <v>0</v>
      </c>
      <c r="AJ852">
        <v>0</v>
      </c>
      <c r="AK852">
        <v>1</v>
      </c>
      <c r="AL852">
        <v>0</v>
      </c>
      <c r="AM852">
        <v>0</v>
      </c>
      <c r="AN852">
        <v>0</v>
      </c>
      <c r="AO852">
        <v>0</v>
      </c>
      <c r="AP852">
        <v>0</v>
      </c>
      <c r="AQ852">
        <v>0</v>
      </c>
      <c r="AR852">
        <v>0</v>
      </c>
      <c r="AS852">
        <v>0</v>
      </c>
      <c r="AT852">
        <v>0</v>
      </c>
      <c r="AU852">
        <v>0</v>
      </c>
      <c r="AV852">
        <v>0</v>
      </c>
      <c r="AW852">
        <v>0</v>
      </c>
      <c r="AX852" s="141">
        <f t="shared" si="116"/>
        <v>1</v>
      </c>
      <c r="AY852" s="141">
        <f t="shared" si="88"/>
        <v>1</v>
      </c>
      <c r="AZ852">
        <f t="shared" si="89"/>
        <v>0</v>
      </c>
      <c r="BA852">
        <f t="shared" si="90"/>
        <v>0</v>
      </c>
      <c r="BB852">
        <f t="shared" si="91"/>
        <v>1</v>
      </c>
      <c r="BC852">
        <f t="shared" si="92"/>
        <v>0</v>
      </c>
      <c r="BD852">
        <f t="shared" si="93"/>
        <v>0</v>
      </c>
      <c r="BE852" t="str">
        <f t="array" ref="BE852">IF(AY852=1,INDEX($V$7:$AL$7,MATCH(TRUE,INDEX($V852:$AW852&lt;&gt;0,),0)),IF(AY852=0,INDEX($AM$7:$AW$7,MATCH(1,$AM852:$AW852,0)),IF(BF852="Multiple strategies","mixed drivers",IF(BF852="Supply chain","multiple supply","multiple silviculture"))))</f>
        <v>technologies/design switch</v>
      </c>
      <c r="BF852" s="2" t="str" cm="1">
        <f t="array" ref="BF852">IF(COUNTIF(AZ852:BB852,"&lt;&gt;0")=1,INDEX($V$4:$AW$4,MATCH(TRUE,INDEX($V852:$AW852&lt;&gt;0,),0)),IF(COUNTIF(AZ852:BB852,"&lt;&gt;0")=0,INDEX($AM$4:$AW$4,MATCH(1,$AM852:$AW852,0)),"Multiple strategies"))</f>
        <v>Technology</v>
      </c>
      <c r="BG852" s="1" t="s">
        <v>230</v>
      </c>
      <c r="BH852" t="s">
        <v>278</v>
      </c>
      <c r="BI852" s="266" t="s">
        <v>3108</v>
      </c>
      <c r="BJ852" t="s">
        <v>279</v>
      </c>
      <c r="BK852">
        <v>0</v>
      </c>
      <c r="BL852">
        <v>23.12907189695861</v>
      </c>
      <c r="BN852">
        <f t="shared" si="125"/>
        <v>23.12907189695861</v>
      </c>
      <c r="BO852">
        <f t="shared" si="132"/>
        <v>100.43018626556062</v>
      </c>
      <c r="BP852" t="s">
        <v>233</v>
      </c>
      <c r="BQ852" s="153" t="s">
        <v>3109</v>
      </c>
      <c r="BR852" t="s">
        <v>280</v>
      </c>
      <c r="BS852">
        <v>152.02211024415089</v>
      </c>
      <c r="BT852">
        <v>176.62110895178901</v>
      </c>
      <c r="BU852" s="144">
        <f t="shared" si="133"/>
        <v>1.161811980297679</v>
      </c>
      <c r="BV852">
        <f t="shared" si="119"/>
        <v>24.598998707638117</v>
      </c>
      <c r="BX852">
        <f t="shared" si="120"/>
        <v>24.598998707638117</v>
      </c>
      <c r="BY852">
        <f t="shared" si="94"/>
        <v>0.2449363047340436</v>
      </c>
      <c r="BZ852">
        <v>0</v>
      </c>
      <c r="CA852">
        <v>0</v>
      </c>
      <c r="CB852">
        <v>0</v>
      </c>
      <c r="CC852">
        <v>0</v>
      </c>
      <c r="CD852">
        <v>0</v>
      </c>
      <c r="CE852">
        <v>0</v>
      </c>
      <c r="CF852">
        <v>0</v>
      </c>
      <c r="CG852">
        <v>0</v>
      </c>
      <c r="CH852">
        <v>0</v>
      </c>
      <c r="CI852">
        <v>0</v>
      </c>
      <c r="CJ852">
        <v>0</v>
      </c>
      <c r="CK852">
        <v>0</v>
      </c>
      <c r="CL852">
        <v>0</v>
      </c>
      <c r="CM852">
        <v>0</v>
      </c>
      <c r="CN852" t="str">
        <f t="shared" si="135"/>
        <v>refOK</v>
      </c>
      <c r="CO852">
        <f t="shared" si="109"/>
        <v>0</v>
      </c>
      <c r="CP852">
        <f t="shared" si="110"/>
        <v>23.12907189695861</v>
      </c>
      <c r="CQ852">
        <f t="shared" si="124"/>
        <v>100.43018626556062</v>
      </c>
      <c r="CR852">
        <f t="shared" si="111"/>
        <v>152.02211024415089</v>
      </c>
      <c r="CS852">
        <f t="shared" si="136"/>
        <v>176.62110895178901</v>
      </c>
      <c r="CT852">
        <f t="shared" si="121"/>
        <v>24.598998707638117</v>
      </c>
      <c r="CU852">
        <f t="shared" si="105"/>
        <v>0.2449363047340436</v>
      </c>
      <c r="CV852" s="2">
        <f t="shared" si="122"/>
        <v>0.16181198029767893</v>
      </c>
      <c r="CW852" s="1" t="s">
        <v>235</v>
      </c>
      <c r="CX852" t="str">
        <f t="shared" si="96"/>
        <v>loc</v>
      </c>
      <c r="CY852" t="s">
        <v>281</v>
      </c>
      <c r="DB852">
        <v>100</v>
      </c>
      <c r="DC852" t="str">
        <f t="shared" si="97"/>
        <v>71-100</v>
      </c>
      <c r="DD852">
        <v>0</v>
      </c>
      <c r="DE852">
        <v>0</v>
      </c>
      <c r="DF852">
        <v>0</v>
      </c>
      <c r="DG852">
        <v>1</v>
      </c>
      <c r="DI852">
        <f t="shared" si="134"/>
        <v>1</v>
      </c>
      <c r="DJ852" t="str">
        <f t="shared" si="103"/>
        <v>TimberInput</v>
      </c>
      <c r="DK852">
        <f t="shared" si="126"/>
        <v>0</v>
      </c>
      <c r="DL852">
        <f t="shared" si="127"/>
        <v>0</v>
      </c>
      <c r="DM852">
        <f t="shared" si="128"/>
        <v>0</v>
      </c>
      <c r="DN852" t="str">
        <f t="shared" si="129"/>
        <v>Timber</v>
      </c>
      <c r="DO852">
        <v>0</v>
      </c>
      <c r="DP852">
        <v>1</v>
      </c>
      <c r="DQ852" t="s">
        <v>305</v>
      </c>
      <c r="DR852">
        <v>0</v>
      </c>
      <c r="DS852">
        <v>0</v>
      </c>
      <c r="DT852">
        <f t="shared" si="114"/>
        <v>1</v>
      </c>
      <c r="DU852" s="143" t="str">
        <f t="shared" si="99"/>
        <v>external DF used</v>
      </c>
      <c r="DV852">
        <v>0</v>
      </c>
      <c r="DW852">
        <v>1</v>
      </c>
      <c r="DX852">
        <v>1</v>
      </c>
      <c r="DY852">
        <v>1</v>
      </c>
      <c r="DZ852">
        <v>1</v>
      </c>
      <c r="EA852" s="143">
        <v>0</v>
      </c>
      <c r="EB852">
        <v>1</v>
      </c>
      <c r="EC852">
        <v>1</v>
      </c>
      <c r="ED852">
        <v>0</v>
      </c>
      <c r="EE852">
        <v>1</v>
      </c>
      <c r="EF852">
        <v>1</v>
      </c>
      <c r="EG852">
        <v>1</v>
      </c>
      <c r="EH852">
        <v>0</v>
      </c>
      <c r="EI852" s="2">
        <v>0</v>
      </c>
      <c r="EK852" t="str">
        <f t="shared" si="130"/>
        <v>Whole sector</v>
      </c>
      <c r="EL852" t="str">
        <f t="shared" si="131"/>
        <v/>
      </c>
      <c r="EM852" s="2" t="str">
        <f t="shared" si="98"/>
        <v/>
      </c>
      <c r="EP852" t="str">
        <f>IF(ISNUMBER(BU852),IF(ABS(BU852-[2]QC_indicators!$B$2)&gt;3*[2]QC_indicators!$C$2,"C ratio",IF(ISNUMBER(BY852),IF(ABS(BY852-[2]QC_indicators!$B$1)&gt;3*[2]QC_indicators!$C$1,"DF","no"))),IF(ISNUMBER(BY852),IF(ABS(BY852-[2]QC_indicators!$B$1)&gt;3*[2]QC_indicators!$C$1,"DF","no")))</f>
        <v>no</v>
      </c>
      <c r="EQ852" t="s">
        <v>287</v>
      </c>
      <c r="ET852" s="266" t="s">
        <v>3275</v>
      </c>
    </row>
    <row r="853" spans="1:150" ht="15" hidden="1" customHeight="1">
      <c r="A853" s="1" t="s">
        <v>266</v>
      </c>
      <c r="B853" t="s">
        <v>267</v>
      </c>
      <c r="C853" t="s">
        <v>268</v>
      </c>
      <c r="D853" t="s">
        <v>269</v>
      </c>
      <c r="E853" t="s">
        <v>270</v>
      </c>
      <c r="F853" t="s">
        <v>271</v>
      </c>
      <c r="G853" t="s">
        <v>272</v>
      </c>
      <c r="H853" t="s">
        <v>255</v>
      </c>
      <c r="I853">
        <v>2022</v>
      </c>
      <c r="J853">
        <v>0</v>
      </c>
      <c r="K853" t="s">
        <v>273</v>
      </c>
      <c r="M853" t="str">
        <f t="shared" si="102"/>
        <v>Aryapratama_2022</v>
      </c>
      <c r="N853" t="s">
        <v>223</v>
      </c>
      <c r="O853" s="145" t="s">
        <v>275</v>
      </c>
      <c r="Q853" t="s">
        <v>225</v>
      </c>
      <c r="R853" s="264" t="s">
        <v>224</v>
      </c>
      <c r="S853" s="265" t="s">
        <v>3107</v>
      </c>
      <c r="T853" t="s">
        <v>306</v>
      </c>
      <c r="U853" t="s">
        <v>285</v>
      </c>
      <c r="V853">
        <v>0</v>
      </c>
      <c r="W853">
        <v>0</v>
      </c>
      <c r="X853">
        <v>0</v>
      </c>
      <c r="Y853">
        <v>0</v>
      </c>
      <c r="Z853">
        <v>0</v>
      </c>
      <c r="AA853">
        <v>0</v>
      </c>
      <c r="AB853">
        <v>0</v>
      </c>
      <c r="AC853">
        <v>0</v>
      </c>
      <c r="AD853">
        <v>0</v>
      </c>
      <c r="AE853">
        <v>0</v>
      </c>
      <c r="AF853">
        <v>0</v>
      </c>
      <c r="AG853">
        <v>0</v>
      </c>
      <c r="AH853">
        <v>0</v>
      </c>
      <c r="AI853">
        <v>0</v>
      </c>
      <c r="AJ853">
        <v>0</v>
      </c>
      <c r="AK853">
        <v>1</v>
      </c>
      <c r="AL853">
        <v>0</v>
      </c>
      <c r="AM853">
        <v>0</v>
      </c>
      <c r="AN853">
        <v>0</v>
      </c>
      <c r="AO853">
        <v>0</v>
      </c>
      <c r="AP853">
        <v>0</v>
      </c>
      <c r="AQ853">
        <v>0</v>
      </c>
      <c r="AR853">
        <v>0</v>
      </c>
      <c r="AS853">
        <v>0</v>
      </c>
      <c r="AT853">
        <v>0</v>
      </c>
      <c r="AU853">
        <v>0</v>
      </c>
      <c r="AV853">
        <v>0</v>
      </c>
      <c r="AW853">
        <v>0</v>
      </c>
      <c r="AX853" s="141">
        <f t="shared" si="116"/>
        <v>1</v>
      </c>
      <c r="AY853" s="141">
        <f t="shared" si="88"/>
        <v>1</v>
      </c>
      <c r="AZ853">
        <f t="shared" si="89"/>
        <v>0</v>
      </c>
      <c r="BA853">
        <f t="shared" si="90"/>
        <v>0</v>
      </c>
      <c r="BB853">
        <f t="shared" si="91"/>
        <v>1</v>
      </c>
      <c r="BC853">
        <f t="shared" si="92"/>
        <v>0</v>
      </c>
      <c r="BD853">
        <f t="shared" si="93"/>
        <v>0</v>
      </c>
      <c r="BE853" t="str">
        <f t="array" ref="BE853">IF(AY853=1,INDEX($V$7:$AL$7,MATCH(TRUE,INDEX($V853:$AW853&lt;&gt;0,),0)),IF(AY853=0,INDEX($AM$7:$AW$7,MATCH(1,$AM853:$AW853,0)),IF(BF853="Multiple strategies","mixed drivers",IF(BF853="Supply chain","multiple supply","multiple silviculture"))))</f>
        <v>technologies/design switch</v>
      </c>
      <c r="BF853" s="2" t="str" cm="1">
        <f t="array" ref="BF853">IF(COUNTIF(AZ853:BB853,"&lt;&gt;0")=1,INDEX($V$4:$AW$4,MATCH(TRUE,INDEX($V853:$AW853&lt;&gt;0,),0)),IF(COUNTIF(AZ853:BB853,"&lt;&gt;0")=0,INDEX($AM$4:$AW$4,MATCH(1,$AM853:$AW853,0)),"Multiple strategies"))</f>
        <v>Technology</v>
      </c>
      <c r="BG853" s="1" t="s">
        <v>230</v>
      </c>
      <c r="BH853" t="s">
        <v>278</v>
      </c>
      <c r="BI853" s="266" t="s">
        <v>3108</v>
      </c>
      <c r="BJ853" t="s">
        <v>279</v>
      </c>
      <c r="BK853">
        <v>0</v>
      </c>
      <c r="BL853">
        <v>17.346803922718955</v>
      </c>
      <c r="BN853">
        <f t="shared" si="125"/>
        <v>17.346803922718955</v>
      </c>
      <c r="BO853">
        <f t="shared" si="132"/>
        <v>75.322639699170452</v>
      </c>
      <c r="BP853" t="s">
        <v>233</v>
      </c>
      <c r="BQ853" s="153" t="s">
        <v>3109</v>
      </c>
      <c r="BR853" t="s">
        <v>280</v>
      </c>
      <c r="BS853">
        <v>163.96310441836951</v>
      </c>
      <c r="BT853">
        <v>192.24097622198209</v>
      </c>
      <c r="BU853" s="144">
        <f t="shared" si="133"/>
        <v>1.1724648475272739</v>
      </c>
      <c r="BV853">
        <f t="shared" si="119"/>
        <v>28.277871803612584</v>
      </c>
      <c r="BX853">
        <f t="shared" si="120"/>
        <v>28.277871803612584</v>
      </c>
      <c r="BY853">
        <f t="shared" si="94"/>
        <v>0.37542327136370945</v>
      </c>
      <c r="BZ853">
        <v>0</v>
      </c>
      <c r="CA853">
        <v>0</v>
      </c>
      <c r="CB853">
        <v>0</v>
      </c>
      <c r="CC853">
        <v>0</v>
      </c>
      <c r="CD853">
        <v>0</v>
      </c>
      <c r="CE853">
        <v>0</v>
      </c>
      <c r="CF853">
        <v>0</v>
      </c>
      <c r="CG853">
        <v>0</v>
      </c>
      <c r="CH853">
        <v>0</v>
      </c>
      <c r="CI853">
        <v>0</v>
      </c>
      <c r="CJ853">
        <v>0</v>
      </c>
      <c r="CK853">
        <v>0</v>
      </c>
      <c r="CL853">
        <v>0</v>
      </c>
      <c r="CM853">
        <v>0</v>
      </c>
      <c r="CN853" t="str">
        <f t="shared" si="135"/>
        <v>refOK</v>
      </c>
      <c r="CO853">
        <f t="shared" si="109"/>
        <v>0</v>
      </c>
      <c r="CP853">
        <f t="shared" si="110"/>
        <v>17.346803922718955</v>
      </c>
      <c r="CQ853">
        <f t="shared" si="124"/>
        <v>75.322639699170452</v>
      </c>
      <c r="CR853">
        <f t="shared" si="111"/>
        <v>163.96310441836951</v>
      </c>
      <c r="CS853">
        <f t="shared" si="136"/>
        <v>192.24097622198209</v>
      </c>
      <c r="CT853">
        <f t="shared" si="121"/>
        <v>28.277871803612584</v>
      </c>
      <c r="CU853">
        <f t="shared" si="105"/>
        <v>0.37542327136370945</v>
      </c>
      <c r="CV853" s="2">
        <f t="shared" si="122"/>
        <v>0.17246484752727387</v>
      </c>
      <c r="CW853" s="1" t="s">
        <v>235</v>
      </c>
      <c r="CX853" t="str">
        <f t="shared" si="96"/>
        <v>loc</v>
      </c>
      <c r="CY853" t="s">
        <v>281</v>
      </c>
      <c r="DB853">
        <v>100</v>
      </c>
      <c r="DC853" t="str">
        <f t="shared" si="97"/>
        <v>71-100</v>
      </c>
      <c r="DD853">
        <v>0</v>
      </c>
      <c r="DE853">
        <v>0</v>
      </c>
      <c r="DF853">
        <v>0</v>
      </c>
      <c r="DG853">
        <v>1</v>
      </c>
      <c r="DI853">
        <f t="shared" si="134"/>
        <v>1</v>
      </c>
      <c r="DJ853" t="str">
        <f t="shared" si="103"/>
        <v>TimberInput</v>
      </c>
      <c r="DK853">
        <f t="shared" si="126"/>
        <v>0</v>
      </c>
      <c r="DL853">
        <f t="shared" si="127"/>
        <v>0</v>
      </c>
      <c r="DM853">
        <f t="shared" si="128"/>
        <v>0</v>
      </c>
      <c r="DN853" t="str">
        <f t="shared" si="129"/>
        <v>Timber</v>
      </c>
      <c r="DO853">
        <v>0</v>
      </c>
      <c r="DP853">
        <v>1</v>
      </c>
      <c r="DQ853">
        <v>0</v>
      </c>
      <c r="DR853" t="s">
        <v>282</v>
      </c>
      <c r="DS853">
        <v>0</v>
      </c>
      <c r="DT853">
        <f t="shared" si="114"/>
        <v>1</v>
      </c>
      <c r="DU853" s="143" t="str">
        <f t="shared" si="99"/>
        <v>external DF used</v>
      </c>
      <c r="DV853">
        <v>0</v>
      </c>
      <c r="DW853">
        <v>1</v>
      </c>
      <c r="DX853">
        <v>1</v>
      </c>
      <c r="DY853">
        <v>1</v>
      </c>
      <c r="DZ853">
        <v>1</v>
      </c>
      <c r="EA853" s="143">
        <v>0</v>
      </c>
      <c r="EB853">
        <v>1</v>
      </c>
      <c r="EC853">
        <v>1</v>
      </c>
      <c r="ED853">
        <v>0</v>
      </c>
      <c r="EE853">
        <v>1</v>
      </c>
      <c r="EF853">
        <v>1</v>
      </c>
      <c r="EG853">
        <v>1</v>
      </c>
      <c r="EH853">
        <v>0</v>
      </c>
      <c r="EI853" s="2">
        <v>0</v>
      </c>
      <c r="EK853" t="str">
        <f t="shared" si="130"/>
        <v>Whole sector</v>
      </c>
      <c r="EL853" t="str">
        <f t="shared" si="131"/>
        <v/>
      </c>
      <c r="EM853" s="2" t="str">
        <f t="shared" si="98"/>
        <v/>
      </c>
      <c r="EP853" t="str">
        <f>IF(ISNUMBER(BU853),IF(ABS(BU853-[2]QC_indicators!$B$2)&gt;3*[2]QC_indicators!$C$2,"C ratio",IF(ISNUMBER(BY853),IF(ABS(BY853-[2]QC_indicators!$B$1)&gt;3*[2]QC_indicators!$C$1,"DF","no"))),IF(ISNUMBER(BY853),IF(ABS(BY853-[2]QC_indicators!$B$1)&gt;3*[2]QC_indicators!$C$1,"DF","no")))</f>
        <v>no</v>
      </c>
      <c r="EQ853" t="s">
        <v>287</v>
      </c>
      <c r="ET853" s="266" t="s">
        <v>3275</v>
      </c>
    </row>
    <row r="854" spans="1:150" ht="15" hidden="1" customHeight="1">
      <c r="A854" s="1" t="s">
        <v>266</v>
      </c>
      <c r="B854" t="s">
        <v>267</v>
      </c>
      <c r="C854" t="s">
        <v>268</v>
      </c>
      <c r="D854" t="s">
        <v>269</v>
      </c>
      <c r="E854" t="s">
        <v>270</v>
      </c>
      <c r="F854" t="s">
        <v>271</v>
      </c>
      <c r="G854" t="s">
        <v>272</v>
      </c>
      <c r="H854" t="s">
        <v>255</v>
      </c>
      <c r="I854">
        <v>2022</v>
      </c>
      <c r="J854">
        <v>0</v>
      </c>
      <c r="K854" t="s">
        <v>273</v>
      </c>
      <c r="M854" t="str">
        <f t="shared" si="102"/>
        <v>Aryapratama_2022</v>
      </c>
      <c r="N854" t="s">
        <v>223</v>
      </c>
      <c r="O854" s="145" t="s">
        <v>275</v>
      </c>
      <c r="Q854" t="s">
        <v>225</v>
      </c>
      <c r="R854" s="264" t="s">
        <v>224</v>
      </c>
      <c r="S854" s="265" t="s">
        <v>3107</v>
      </c>
      <c r="T854" t="s">
        <v>307</v>
      </c>
      <c r="U854" t="s">
        <v>289</v>
      </c>
      <c r="V854">
        <v>0</v>
      </c>
      <c r="W854">
        <v>0</v>
      </c>
      <c r="X854">
        <v>0</v>
      </c>
      <c r="Y854">
        <v>0</v>
      </c>
      <c r="Z854">
        <v>0</v>
      </c>
      <c r="AA854">
        <v>0</v>
      </c>
      <c r="AB854">
        <v>0</v>
      </c>
      <c r="AC854">
        <v>0</v>
      </c>
      <c r="AD854">
        <v>0</v>
      </c>
      <c r="AE854">
        <v>0</v>
      </c>
      <c r="AF854">
        <v>0</v>
      </c>
      <c r="AG854">
        <v>0</v>
      </c>
      <c r="AH854">
        <v>0</v>
      </c>
      <c r="AI854">
        <v>0</v>
      </c>
      <c r="AJ854">
        <v>0</v>
      </c>
      <c r="AK854">
        <v>1</v>
      </c>
      <c r="AL854">
        <v>0</v>
      </c>
      <c r="AM854">
        <v>0</v>
      </c>
      <c r="AN854">
        <v>0</v>
      </c>
      <c r="AO854">
        <v>0</v>
      </c>
      <c r="AP854">
        <v>0</v>
      </c>
      <c r="AQ854">
        <v>0</v>
      </c>
      <c r="AR854">
        <v>0</v>
      </c>
      <c r="AS854">
        <v>0</v>
      </c>
      <c r="AT854">
        <v>0</v>
      </c>
      <c r="AU854">
        <v>0</v>
      </c>
      <c r="AV854">
        <v>0</v>
      </c>
      <c r="AW854">
        <v>0</v>
      </c>
      <c r="AX854" s="141">
        <f t="shared" si="116"/>
        <v>1</v>
      </c>
      <c r="AY854" s="141">
        <f t="shared" si="88"/>
        <v>1</v>
      </c>
      <c r="AZ854">
        <f t="shared" si="89"/>
        <v>0</v>
      </c>
      <c r="BA854">
        <f t="shared" si="90"/>
        <v>0</v>
      </c>
      <c r="BB854">
        <f t="shared" si="91"/>
        <v>1</v>
      </c>
      <c r="BC854">
        <f t="shared" si="92"/>
        <v>0</v>
      </c>
      <c r="BD854">
        <f t="shared" si="93"/>
        <v>0</v>
      </c>
      <c r="BE854" t="str">
        <f t="array" ref="BE854">IF(AY854=1,INDEX($V$7:$AL$7,MATCH(TRUE,INDEX($V854:$AW854&lt;&gt;0,),0)),IF(AY854=0,INDEX($AM$7:$AW$7,MATCH(1,$AM854:$AW854,0)),IF(BF854="Multiple strategies","mixed drivers",IF(BF854="Supply chain","multiple supply","multiple silviculture"))))</f>
        <v>technologies/design switch</v>
      </c>
      <c r="BF854" s="2" t="str" cm="1">
        <f t="array" ref="BF854">IF(COUNTIF(AZ854:BB854,"&lt;&gt;0")=1,INDEX($V$4:$AW$4,MATCH(TRUE,INDEX($V854:$AW854&lt;&gt;0,),0)),IF(COUNTIF(AZ854:BB854,"&lt;&gt;0")=0,INDEX($AM$4:$AW$4,MATCH(1,$AM854:$AW854,0)),"Multiple strategies"))</f>
        <v>Technology</v>
      </c>
      <c r="BG854" s="1" t="s">
        <v>230</v>
      </c>
      <c r="BH854" t="s">
        <v>278</v>
      </c>
      <c r="BI854" s="266" t="s">
        <v>3108</v>
      </c>
      <c r="BJ854" t="s">
        <v>279</v>
      </c>
      <c r="BK854">
        <v>0</v>
      </c>
      <c r="BL854">
        <v>328.05254177959995</v>
      </c>
      <c r="BN854">
        <f t="shared" si="125"/>
        <v>328.05254177959995</v>
      </c>
      <c r="BO854">
        <f t="shared" si="132"/>
        <v>1424.4574111141987</v>
      </c>
      <c r="BP854" t="s">
        <v>233</v>
      </c>
      <c r="BQ854" s="153" t="s">
        <v>3109</v>
      </c>
      <c r="BR854" t="s">
        <v>280</v>
      </c>
      <c r="BS854">
        <v>-645.67518499586413</v>
      </c>
      <c r="BT854">
        <v>-41.927947193381058</v>
      </c>
      <c r="BU854" s="144">
        <f t="shared" si="133"/>
        <v>6.4936593766801845E-2</v>
      </c>
      <c r="BV854">
        <f t="shared" si="119"/>
        <v>603.74723780248303</v>
      </c>
      <c r="BX854">
        <f t="shared" si="120"/>
        <v>603.74723780248303</v>
      </c>
      <c r="BY854">
        <f t="shared" si="94"/>
        <v>0.42384365660341994</v>
      </c>
      <c r="BZ854">
        <v>0</v>
      </c>
      <c r="CA854">
        <v>0</v>
      </c>
      <c r="CB854">
        <v>0</v>
      </c>
      <c r="CC854">
        <v>0</v>
      </c>
      <c r="CD854">
        <v>0</v>
      </c>
      <c r="CE854">
        <v>0</v>
      </c>
      <c r="CF854">
        <v>0</v>
      </c>
      <c r="CG854">
        <v>0</v>
      </c>
      <c r="CH854">
        <v>0</v>
      </c>
      <c r="CI854">
        <v>0</v>
      </c>
      <c r="CJ854">
        <v>0</v>
      </c>
      <c r="CK854">
        <v>0</v>
      </c>
      <c r="CL854">
        <v>0</v>
      </c>
      <c r="CM854">
        <v>0</v>
      </c>
      <c r="CN854" t="str">
        <f t="shared" si="135"/>
        <v>refOK</v>
      </c>
      <c r="CO854">
        <f t="shared" si="109"/>
        <v>0</v>
      </c>
      <c r="CP854">
        <f t="shared" si="110"/>
        <v>328.05254177959995</v>
      </c>
      <c r="CQ854">
        <f t="shared" si="124"/>
        <v>1424.4574111141987</v>
      </c>
      <c r="CR854">
        <f t="shared" si="111"/>
        <v>-645.67518499586413</v>
      </c>
      <c r="CS854">
        <f t="shared" si="136"/>
        <v>-41.927947193381058</v>
      </c>
      <c r="CT854">
        <f t="shared" si="121"/>
        <v>603.74723780248303</v>
      </c>
      <c r="CU854">
        <f t="shared" si="105"/>
        <v>0.42384365660341994</v>
      </c>
      <c r="CV854" s="2">
        <f t="shared" si="122"/>
        <v>0.93506340623319806</v>
      </c>
      <c r="CW854" s="1" t="s">
        <v>235</v>
      </c>
      <c r="CX854" t="str">
        <f t="shared" si="96"/>
        <v>loc</v>
      </c>
      <c r="CY854" t="s">
        <v>281</v>
      </c>
      <c r="DB854">
        <v>100</v>
      </c>
      <c r="DC854" t="str">
        <f t="shared" si="97"/>
        <v>71-100</v>
      </c>
      <c r="DD854">
        <v>0</v>
      </c>
      <c r="DE854">
        <v>0</v>
      </c>
      <c r="DF854">
        <v>0</v>
      </c>
      <c r="DG854">
        <v>1</v>
      </c>
      <c r="DI854">
        <f t="shared" si="134"/>
        <v>1</v>
      </c>
      <c r="DJ854" t="str">
        <f t="shared" si="103"/>
        <v>TimberInput</v>
      </c>
      <c r="DK854">
        <f t="shared" si="126"/>
        <v>0</v>
      </c>
      <c r="DL854">
        <f t="shared" si="127"/>
        <v>0</v>
      </c>
      <c r="DM854">
        <f t="shared" si="128"/>
        <v>0</v>
      </c>
      <c r="DN854" t="str">
        <f t="shared" si="129"/>
        <v>Timber</v>
      </c>
      <c r="DO854">
        <v>0</v>
      </c>
      <c r="DP854">
        <v>1</v>
      </c>
      <c r="DQ854">
        <v>0</v>
      </c>
      <c r="DR854" t="s">
        <v>282</v>
      </c>
      <c r="DS854">
        <v>0</v>
      </c>
      <c r="DT854">
        <f t="shared" si="114"/>
        <v>1</v>
      </c>
      <c r="DU854" s="143" t="str">
        <f t="shared" si="99"/>
        <v>external DF used</v>
      </c>
      <c r="DV854">
        <v>0</v>
      </c>
      <c r="DW854">
        <v>1</v>
      </c>
      <c r="DX854">
        <v>1</v>
      </c>
      <c r="DY854">
        <v>1</v>
      </c>
      <c r="DZ854">
        <v>1</v>
      </c>
      <c r="EA854" s="143">
        <v>0</v>
      </c>
      <c r="EB854">
        <v>1</v>
      </c>
      <c r="EC854">
        <v>1</v>
      </c>
      <c r="ED854">
        <v>0</v>
      </c>
      <c r="EE854">
        <v>1</v>
      </c>
      <c r="EF854">
        <v>1</v>
      </c>
      <c r="EG854">
        <v>1</v>
      </c>
      <c r="EH854">
        <v>0</v>
      </c>
      <c r="EI854" s="2">
        <v>0</v>
      </c>
      <c r="EK854" t="str">
        <f t="shared" si="130"/>
        <v>Whole sector</v>
      </c>
      <c r="EL854" t="str">
        <f t="shared" si="131"/>
        <v/>
      </c>
      <c r="EM854" s="2" t="str">
        <f t="shared" si="98"/>
        <v/>
      </c>
      <c r="EP854" t="str">
        <f>IF(ISNUMBER(BU854),IF(ABS(BU854-[2]QC_indicators!$B$2)&gt;3*[2]QC_indicators!$C$2,"C ratio",IF(ISNUMBER(BY854),IF(ABS(BY854-[2]QC_indicators!$B$1)&gt;3*[2]QC_indicators!$C$1,"DF","no"))),IF(ISNUMBER(BY854),IF(ABS(BY854-[2]QC_indicators!$B$1)&gt;3*[2]QC_indicators!$C$1,"DF","no")))</f>
        <v>no</v>
      </c>
      <c r="EQ854" t="s">
        <v>287</v>
      </c>
      <c r="ER854" t="s">
        <v>297</v>
      </c>
      <c r="ET854" s="266" t="s">
        <v>3275</v>
      </c>
    </row>
    <row r="855" spans="1:150" ht="15" hidden="1" customHeight="1">
      <c r="A855" s="1" t="s">
        <v>266</v>
      </c>
      <c r="B855" t="s">
        <v>267</v>
      </c>
      <c r="C855" t="s">
        <v>268</v>
      </c>
      <c r="D855" t="s">
        <v>269</v>
      </c>
      <c r="E855" t="s">
        <v>270</v>
      </c>
      <c r="F855" t="s">
        <v>271</v>
      </c>
      <c r="G855" t="s">
        <v>272</v>
      </c>
      <c r="H855" t="s">
        <v>255</v>
      </c>
      <c r="I855">
        <v>2022</v>
      </c>
      <c r="J855">
        <v>0</v>
      </c>
      <c r="K855" t="s">
        <v>273</v>
      </c>
      <c r="M855" t="str">
        <f t="shared" si="102"/>
        <v>Aryapratama_2022</v>
      </c>
      <c r="N855" t="s">
        <v>223</v>
      </c>
      <c r="O855" s="145" t="s">
        <v>275</v>
      </c>
      <c r="Q855" t="s">
        <v>225</v>
      </c>
      <c r="R855" s="264" t="s">
        <v>224</v>
      </c>
      <c r="S855" s="265" t="s">
        <v>3107</v>
      </c>
      <c r="T855" t="s">
        <v>308</v>
      </c>
      <c r="U855" t="s">
        <v>309</v>
      </c>
      <c r="V855">
        <v>0</v>
      </c>
      <c r="W855">
        <v>0</v>
      </c>
      <c r="X855">
        <v>0</v>
      </c>
      <c r="Y855">
        <v>0</v>
      </c>
      <c r="Z855">
        <v>0</v>
      </c>
      <c r="AA855">
        <v>0</v>
      </c>
      <c r="AB855">
        <v>0</v>
      </c>
      <c r="AC855">
        <v>0</v>
      </c>
      <c r="AD855">
        <v>0</v>
      </c>
      <c r="AE855">
        <v>0</v>
      </c>
      <c r="AF855">
        <v>0</v>
      </c>
      <c r="AG855">
        <v>0</v>
      </c>
      <c r="AH855">
        <v>0</v>
      </c>
      <c r="AI855">
        <v>0</v>
      </c>
      <c r="AJ855">
        <v>0</v>
      </c>
      <c r="AK855">
        <v>1</v>
      </c>
      <c r="AL855">
        <v>0</v>
      </c>
      <c r="AM855">
        <v>0</v>
      </c>
      <c r="AN855">
        <v>0</v>
      </c>
      <c r="AO855">
        <v>0</v>
      </c>
      <c r="AP855">
        <v>0</v>
      </c>
      <c r="AQ855">
        <v>0</v>
      </c>
      <c r="AR855">
        <v>0</v>
      </c>
      <c r="AS855">
        <v>0</v>
      </c>
      <c r="AT855">
        <v>0</v>
      </c>
      <c r="AU855">
        <v>0</v>
      </c>
      <c r="AV855">
        <v>0</v>
      </c>
      <c r="AW855">
        <v>0</v>
      </c>
      <c r="AX855" s="141">
        <f t="shared" si="116"/>
        <v>1</v>
      </c>
      <c r="AY855" s="141">
        <f t="shared" si="88"/>
        <v>1</v>
      </c>
      <c r="AZ855">
        <f t="shared" si="89"/>
        <v>0</v>
      </c>
      <c r="BA855">
        <f t="shared" si="90"/>
        <v>0</v>
      </c>
      <c r="BB855">
        <f t="shared" si="91"/>
        <v>1</v>
      </c>
      <c r="BC855">
        <f t="shared" si="92"/>
        <v>0</v>
      </c>
      <c r="BD855">
        <f t="shared" si="93"/>
        <v>0</v>
      </c>
      <c r="BE855" t="str">
        <f t="array" ref="BE855">IF(AY855=1,INDEX($V$7:$AL$7,MATCH(TRUE,INDEX($V855:$AW855&lt;&gt;0,),0)),IF(AY855=0,INDEX($AM$7:$AW$7,MATCH(1,$AM855:$AW855,0)),IF(BF855="Multiple strategies","mixed drivers",IF(BF855="Supply chain","multiple supply","multiple silviculture"))))</f>
        <v>technologies/design switch</v>
      </c>
      <c r="BF855" s="2" t="str" cm="1">
        <f t="array" ref="BF855">IF(COUNTIF(AZ855:BB855,"&lt;&gt;0")=1,INDEX($V$4:$AW$4,MATCH(TRUE,INDEX($V855:$AW855&lt;&gt;0,),0)),IF(COUNTIF(AZ855:BB855,"&lt;&gt;0")=0,INDEX($AM$4:$AW$4,MATCH(1,$AM855:$AW855,0)),"Multiple strategies"))</f>
        <v>Technology</v>
      </c>
      <c r="BG855" s="1" t="s">
        <v>230</v>
      </c>
      <c r="BH855" t="s">
        <v>278</v>
      </c>
      <c r="BI855" s="266" t="s">
        <v>3108</v>
      </c>
      <c r="BJ855" t="s">
        <v>279</v>
      </c>
      <c r="BK855">
        <v>0</v>
      </c>
      <c r="BL855">
        <v>227.87378039612278</v>
      </c>
      <c r="BN855">
        <f t="shared" si="125"/>
        <v>227.87378039612278</v>
      </c>
      <c r="BO855">
        <f t="shared" si="132"/>
        <v>989.46496046948675</v>
      </c>
      <c r="BP855" t="s">
        <v>233</v>
      </c>
      <c r="BQ855" s="153" t="s">
        <v>3109</v>
      </c>
      <c r="BR855" t="s">
        <v>280</v>
      </c>
      <c r="BS855">
        <v>-385.00157645914061</v>
      </c>
      <c r="BT855">
        <v>185.53811788022131</v>
      </c>
      <c r="BU855" s="144">
        <f t="shared" si="133"/>
        <v>-0.48191521600149101</v>
      </c>
      <c r="BV855">
        <f t="shared" si="119"/>
        <v>570.53969433936186</v>
      </c>
      <c r="BX855">
        <f t="shared" si="120"/>
        <v>570.53969433936186</v>
      </c>
      <c r="BY855">
        <f t="shared" si="94"/>
        <v>0.57661434930313149</v>
      </c>
      <c r="BZ855">
        <v>0</v>
      </c>
      <c r="CA855">
        <v>0</v>
      </c>
      <c r="CB855">
        <v>0</v>
      </c>
      <c r="CC855">
        <v>0</v>
      </c>
      <c r="CD855">
        <v>0</v>
      </c>
      <c r="CE855">
        <v>0</v>
      </c>
      <c r="CF855">
        <v>0</v>
      </c>
      <c r="CG855">
        <v>0</v>
      </c>
      <c r="CH855">
        <v>0</v>
      </c>
      <c r="CI855">
        <v>0</v>
      </c>
      <c r="CJ855">
        <v>0</v>
      </c>
      <c r="CK855">
        <v>0</v>
      </c>
      <c r="CL855">
        <v>0</v>
      </c>
      <c r="CM855">
        <v>0</v>
      </c>
      <c r="CN855" t="str">
        <f t="shared" si="135"/>
        <v>refOK</v>
      </c>
      <c r="CO855">
        <f t="shared" si="109"/>
        <v>0</v>
      </c>
      <c r="CP855">
        <f t="shared" si="110"/>
        <v>227.87378039612278</v>
      </c>
      <c r="CQ855">
        <f t="shared" si="124"/>
        <v>989.46496046948675</v>
      </c>
      <c r="CR855">
        <f t="shared" si="111"/>
        <v>-385.00157645914061</v>
      </c>
      <c r="CS855">
        <f t="shared" si="136"/>
        <v>185.53811788022131</v>
      </c>
      <c r="CT855">
        <f t="shared" si="121"/>
        <v>570.53969433936186</v>
      </c>
      <c r="CU855">
        <f t="shared" si="105"/>
        <v>0.57661434930313149</v>
      </c>
      <c r="CV855" s="2">
        <f t="shared" si="122"/>
        <v>1.4819152160014908</v>
      </c>
      <c r="CW855" s="1" t="s">
        <v>235</v>
      </c>
      <c r="CX855" t="str">
        <f t="shared" si="96"/>
        <v>loc</v>
      </c>
      <c r="CY855" t="s">
        <v>281</v>
      </c>
      <c r="DB855">
        <v>100</v>
      </c>
      <c r="DC855" t="str">
        <f t="shared" si="97"/>
        <v>71-100</v>
      </c>
      <c r="DD855">
        <v>0</v>
      </c>
      <c r="DE855">
        <v>0</v>
      </c>
      <c r="DF855">
        <v>0</v>
      </c>
      <c r="DG855">
        <v>1</v>
      </c>
      <c r="DI855">
        <f t="shared" si="134"/>
        <v>1</v>
      </c>
      <c r="DJ855" t="str">
        <f t="shared" si="103"/>
        <v>TimberInput</v>
      </c>
      <c r="DK855">
        <f t="shared" si="126"/>
        <v>0</v>
      </c>
      <c r="DL855">
        <f t="shared" si="127"/>
        <v>0</v>
      </c>
      <c r="DM855">
        <f t="shared" si="128"/>
        <v>0</v>
      </c>
      <c r="DN855" t="str">
        <f t="shared" si="129"/>
        <v>Timber</v>
      </c>
      <c r="DO855">
        <v>0</v>
      </c>
      <c r="DP855">
        <v>1</v>
      </c>
      <c r="DQ855" t="s">
        <v>305</v>
      </c>
      <c r="DR855">
        <v>0</v>
      </c>
      <c r="DS855">
        <v>0</v>
      </c>
      <c r="DT855">
        <f t="shared" si="114"/>
        <v>1</v>
      </c>
      <c r="DU855" s="143" t="str">
        <f t="shared" si="99"/>
        <v>external DF used</v>
      </c>
      <c r="DV855">
        <v>0</v>
      </c>
      <c r="DW855">
        <v>1</v>
      </c>
      <c r="DX855">
        <v>1</v>
      </c>
      <c r="DY855">
        <v>1</v>
      </c>
      <c r="DZ855">
        <v>1</v>
      </c>
      <c r="EA855" s="143">
        <v>0</v>
      </c>
      <c r="EB855">
        <v>1</v>
      </c>
      <c r="EC855">
        <v>1</v>
      </c>
      <c r="ED855">
        <v>0</v>
      </c>
      <c r="EE855">
        <v>1</v>
      </c>
      <c r="EF855">
        <v>1</v>
      </c>
      <c r="EG855">
        <v>1</v>
      </c>
      <c r="EH855">
        <v>0</v>
      </c>
      <c r="EI855" s="2">
        <v>0</v>
      </c>
      <c r="EK855" t="str">
        <f t="shared" si="130"/>
        <v>Whole sector</v>
      </c>
      <c r="EL855" t="str">
        <f t="shared" si="131"/>
        <v/>
      </c>
      <c r="EM855" s="2" t="str">
        <f t="shared" si="98"/>
        <v/>
      </c>
      <c r="EP855" t="str">
        <f>IF(ISNUMBER(BU855),IF(ABS(BU855-[2]QC_indicators!$B$2)&gt;3*[2]QC_indicators!$C$2,"C ratio",IF(ISNUMBER(BY855),IF(ABS(BY855-[2]QC_indicators!$B$1)&gt;3*[2]QC_indicators!$C$1,"DF","no"))),IF(ISNUMBER(BY855),IF(ABS(BY855-[2]QC_indicators!$B$1)&gt;3*[2]QC_indicators!$C$1,"DF","no")))</f>
        <v>no</v>
      </c>
      <c r="EQ855" t="s">
        <v>287</v>
      </c>
      <c r="ER855" t="s">
        <v>297</v>
      </c>
      <c r="ET855" s="266" t="s">
        <v>3275</v>
      </c>
    </row>
    <row r="856" spans="1:150" ht="15" hidden="1" customHeight="1">
      <c r="A856" s="1" t="s">
        <v>266</v>
      </c>
      <c r="B856" t="s">
        <v>267</v>
      </c>
      <c r="C856" t="s">
        <v>268</v>
      </c>
      <c r="D856" t="s">
        <v>269</v>
      </c>
      <c r="E856" t="s">
        <v>270</v>
      </c>
      <c r="F856" t="s">
        <v>271</v>
      </c>
      <c r="G856" t="s">
        <v>272</v>
      </c>
      <c r="H856" t="s">
        <v>255</v>
      </c>
      <c r="I856">
        <v>2022</v>
      </c>
      <c r="J856">
        <v>0</v>
      </c>
      <c r="K856" t="s">
        <v>273</v>
      </c>
      <c r="M856" t="str">
        <f t="shared" si="102"/>
        <v>Aryapratama_2022</v>
      </c>
      <c r="N856" t="s">
        <v>223</v>
      </c>
      <c r="O856" s="145" t="s">
        <v>275</v>
      </c>
      <c r="Q856" t="s">
        <v>225</v>
      </c>
      <c r="R856" s="264" t="s">
        <v>224</v>
      </c>
      <c r="S856" s="265" t="s">
        <v>3107</v>
      </c>
      <c r="T856" t="s">
        <v>310</v>
      </c>
      <c r="U856" t="s">
        <v>311</v>
      </c>
      <c r="V856">
        <v>0</v>
      </c>
      <c r="W856">
        <v>0</v>
      </c>
      <c r="X856">
        <v>0</v>
      </c>
      <c r="Y856">
        <v>0</v>
      </c>
      <c r="Z856">
        <v>0</v>
      </c>
      <c r="AA856">
        <v>0</v>
      </c>
      <c r="AB856">
        <v>0</v>
      </c>
      <c r="AC856">
        <v>0</v>
      </c>
      <c r="AD856">
        <v>0</v>
      </c>
      <c r="AE856">
        <v>0</v>
      </c>
      <c r="AF856">
        <v>0</v>
      </c>
      <c r="AG856">
        <v>0</v>
      </c>
      <c r="AH856">
        <v>0</v>
      </c>
      <c r="AI856">
        <v>0</v>
      </c>
      <c r="AJ856">
        <v>0</v>
      </c>
      <c r="AK856">
        <v>1</v>
      </c>
      <c r="AL856">
        <v>0</v>
      </c>
      <c r="AM856">
        <v>0</v>
      </c>
      <c r="AN856">
        <v>0</v>
      </c>
      <c r="AO856">
        <v>0</v>
      </c>
      <c r="AP856">
        <v>0</v>
      </c>
      <c r="AQ856">
        <v>0</v>
      </c>
      <c r="AR856">
        <v>0</v>
      </c>
      <c r="AS856">
        <v>0</v>
      </c>
      <c r="AT856">
        <v>0</v>
      </c>
      <c r="AU856">
        <v>0</v>
      </c>
      <c r="AV856">
        <v>0</v>
      </c>
      <c r="AW856">
        <v>0</v>
      </c>
      <c r="AX856" s="141">
        <f t="shared" si="116"/>
        <v>1</v>
      </c>
      <c r="AY856" s="141">
        <f t="shared" si="88"/>
        <v>1</v>
      </c>
      <c r="AZ856">
        <f t="shared" si="89"/>
        <v>0</v>
      </c>
      <c r="BA856">
        <f t="shared" si="90"/>
        <v>0</v>
      </c>
      <c r="BB856">
        <f t="shared" si="91"/>
        <v>1</v>
      </c>
      <c r="BC856">
        <f t="shared" si="92"/>
        <v>0</v>
      </c>
      <c r="BD856">
        <f t="shared" si="93"/>
        <v>0</v>
      </c>
      <c r="BE856" t="str">
        <f t="array" ref="BE856">IF(AY856=1,INDEX($V$7:$AL$7,MATCH(TRUE,INDEX($V856:$AW856&lt;&gt;0,),0)),IF(AY856=0,INDEX($AM$7:$AW$7,MATCH(1,$AM856:$AW856,0)),IF(BF856="Multiple strategies","mixed drivers",IF(BF856="Supply chain","multiple supply","multiple silviculture"))))</f>
        <v>technologies/design switch</v>
      </c>
      <c r="BF856" s="2" t="str" cm="1">
        <f t="array" ref="BF856">IF(COUNTIF(AZ856:BB856,"&lt;&gt;0")=1,INDEX($V$4:$AW$4,MATCH(TRUE,INDEX($V856:$AW856&lt;&gt;0,),0)),IF(COUNTIF(AZ856:BB856,"&lt;&gt;0")=0,INDEX($AM$4:$AW$4,MATCH(1,$AM856:$AW856,0)),"Multiple strategies"))</f>
        <v>Technology</v>
      </c>
      <c r="BG856" s="1" t="s">
        <v>230</v>
      </c>
      <c r="BH856" t="s">
        <v>278</v>
      </c>
      <c r="BI856" s="266" t="s">
        <v>3108</v>
      </c>
      <c r="BJ856" t="s">
        <v>279</v>
      </c>
      <c r="BK856">
        <v>0</v>
      </c>
      <c r="BL856">
        <v>57.967398381615283</v>
      </c>
      <c r="BN856">
        <f t="shared" si="125"/>
        <v>57.967398381615283</v>
      </c>
      <c r="BO856">
        <f t="shared" si="132"/>
        <v>251.70385749724397</v>
      </c>
      <c r="BP856" t="s">
        <v>233</v>
      </c>
      <c r="BQ856" s="153" t="s">
        <v>3109</v>
      </c>
      <c r="BR856" t="s">
        <v>280</v>
      </c>
      <c r="BS856">
        <v>-95.845225170043378</v>
      </c>
      <c r="BT856">
        <v>219.23948667931481</v>
      </c>
      <c r="BU856" s="144">
        <f t="shared" si="133"/>
        <v>-2.287432538140028</v>
      </c>
      <c r="BV856">
        <f t="shared" si="119"/>
        <v>315.0847118493582</v>
      </c>
      <c r="BX856">
        <f t="shared" si="120"/>
        <v>315.0847118493582</v>
      </c>
      <c r="BY856">
        <f t="shared" si="94"/>
        <v>1.2518072427746094</v>
      </c>
      <c r="BZ856">
        <v>0</v>
      </c>
      <c r="CA856">
        <v>0</v>
      </c>
      <c r="CB856">
        <v>0</v>
      </c>
      <c r="CC856">
        <v>0</v>
      </c>
      <c r="CD856">
        <v>0</v>
      </c>
      <c r="CE856">
        <v>0</v>
      </c>
      <c r="CF856">
        <v>0</v>
      </c>
      <c r="CG856">
        <v>0</v>
      </c>
      <c r="CH856">
        <v>0</v>
      </c>
      <c r="CI856">
        <v>0</v>
      </c>
      <c r="CJ856">
        <v>0</v>
      </c>
      <c r="CK856">
        <v>0</v>
      </c>
      <c r="CL856">
        <v>0</v>
      </c>
      <c r="CM856">
        <v>0</v>
      </c>
      <c r="CN856" t="str">
        <f t="shared" si="135"/>
        <v>refOK</v>
      </c>
      <c r="CO856">
        <f t="shared" si="109"/>
        <v>0</v>
      </c>
      <c r="CP856">
        <f t="shared" si="110"/>
        <v>57.967398381615283</v>
      </c>
      <c r="CQ856">
        <f t="shared" si="124"/>
        <v>251.70385749724397</v>
      </c>
      <c r="CR856">
        <f t="shared" si="111"/>
        <v>-95.845225170043378</v>
      </c>
      <c r="CS856">
        <f t="shared" si="136"/>
        <v>219.23948667931481</v>
      </c>
      <c r="CT856">
        <f t="shared" si="121"/>
        <v>315.0847118493582</v>
      </c>
      <c r="CU856">
        <f t="shared" si="105"/>
        <v>1.2518072427746094</v>
      </c>
      <c r="CV856" s="2">
        <f t="shared" si="122"/>
        <v>3.287432538140028</v>
      </c>
      <c r="CW856" s="1" t="s">
        <v>235</v>
      </c>
      <c r="CX856" t="str">
        <f t="shared" si="96"/>
        <v>loc</v>
      </c>
      <c r="CY856" t="s">
        <v>281</v>
      </c>
      <c r="DB856">
        <v>100</v>
      </c>
      <c r="DC856" t="str">
        <f t="shared" si="97"/>
        <v>71-100</v>
      </c>
      <c r="DD856">
        <v>0</v>
      </c>
      <c r="DE856">
        <v>0</v>
      </c>
      <c r="DF856">
        <v>0</v>
      </c>
      <c r="DG856">
        <v>1</v>
      </c>
      <c r="DI856">
        <f t="shared" si="134"/>
        <v>1</v>
      </c>
      <c r="DJ856" t="str">
        <f t="shared" si="103"/>
        <v>TimberInput</v>
      </c>
      <c r="DK856">
        <f t="shared" si="126"/>
        <v>0</v>
      </c>
      <c r="DL856">
        <f t="shared" si="127"/>
        <v>0</v>
      </c>
      <c r="DM856">
        <f t="shared" si="128"/>
        <v>0</v>
      </c>
      <c r="DN856" t="str">
        <f t="shared" si="129"/>
        <v>Timber</v>
      </c>
      <c r="DO856">
        <v>0</v>
      </c>
      <c r="DP856">
        <v>1</v>
      </c>
      <c r="DQ856" t="s">
        <v>305</v>
      </c>
      <c r="DR856">
        <v>0</v>
      </c>
      <c r="DS856">
        <v>0</v>
      </c>
      <c r="DT856">
        <f t="shared" si="114"/>
        <v>1</v>
      </c>
      <c r="DU856" s="143" t="str">
        <f t="shared" si="99"/>
        <v>external DF used</v>
      </c>
      <c r="DV856">
        <v>0</v>
      </c>
      <c r="DW856">
        <v>1</v>
      </c>
      <c r="DX856">
        <v>1</v>
      </c>
      <c r="DY856">
        <v>1</v>
      </c>
      <c r="DZ856">
        <v>1</v>
      </c>
      <c r="EA856" s="143">
        <v>0</v>
      </c>
      <c r="EB856">
        <v>1</v>
      </c>
      <c r="EC856">
        <v>1</v>
      </c>
      <c r="ED856">
        <v>0</v>
      </c>
      <c r="EE856">
        <v>1</v>
      </c>
      <c r="EF856">
        <v>1</v>
      </c>
      <c r="EG856">
        <v>1</v>
      </c>
      <c r="EH856">
        <v>0</v>
      </c>
      <c r="EI856" s="2">
        <v>0</v>
      </c>
      <c r="EK856" t="str">
        <f t="shared" si="130"/>
        <v>Whole sector</v>
      </c>
      <c r="EL856" t="str">
        <f t="shared" si="131"/>
        <v/>
      </c>
      <c r="EM856" s="2" t="str">
        <f t="shared" si="98"/>
        <v/>
      </c>
      <c r="EP856" t="str">
        <f>IF(ISNUMBER(BU856),IF(ABS(BU856-[2]QC_indicators!$B$2)&gt;3*[2]QC_indicators!$C$2,"C ratio",IF(ISNUMBER(BY856),IF(ABS(BY856-[2]QC_indicators!$B$1)&gt;3*[2]QC_indicators!$C$1,"DF","no"))),IF(ISNUMBER(BY856),IF(ABS(BY856-[2]QC_indicators!$B$1)&gt;3*[2]QC_indicators!$C$1,"DF","no")))</f>
        <v>no</v>
      </c>
      <c r="EQ856" t="s">
        <v>287</v>
      </c>
      <c r="ET856" s="266" t="s">
        <v>3275</v>
      </c>
    </row>
    <row r="857" spans="1:150" ht="15" hidden="1" customHeight="1">
      <c r="A857" s="1" t="s">
        <v>266</v>
      </c>
      <c r="B857" t="s">
        <v>267</v>
      </c>
      <c r="C857" t="s">
        <v>268</v>
      </c>
      <c r="D857" t="s">
        <v>269</v>
      </c>
      <c r="E857" t="s">
        <v>270</v>
      </c>
      <c r="F857" t="s">
        <v>271</v>
      </c>
      <c r="G857" t="s">
        <v>272</v>
      </c>
      <c r="H857" t="s">
        <v>255</v>
      </c>
      <c r="I857">
        <v>2022</v>
      </c>
      <c r="J857">
        <v>0</v>
      </c>
      <c r="K857" t="s">
        <v>273</v>
      </c>
      <c r="M857" t="str">
        <f t="shared" si="102"/>
        <v>Aryapratama_2022</v>
      </c>
      <c r="N857" t="s">
        <v>223</v>
      </c>
      <c r="O857" s="145" t="s">
        <v>275</v>
      </c>
      <c r="Q857" t="s">
        <v>225</v>
      </c>
      <c r="R857" s="264" t="s">
        <v>224</v>
      </c>
      <c r="S857" s="265" t="s">
        <v>3107</v>
      </c>
      <c r="T857" t="s">
        <v>312</v>
      </c>
      <c r="U857" t="s">
        <v>313</v>
      </c>
      <c r="V857">
        <v>0</v>
      </c>
      <c r="W857">
        <v>0</v>
      </c>
      <c r="X857">
        <v>0</v>
      </c>
      <c r="Y857">
        <v>0</v>
      </c>
      <c r="Z857">
        <v>0</v>
      </c>
      <c r="AA857">
        <v>0</v>
      </c>
      <c r="AB857">
        <v>0</v>
      </c>
      <c r="AC857">
        <v>0</v>
      </c>
      <c r="AD857">
        <v>0</v>
      </c>
      <c r="AE857">
        <v>0</v>
      </c>
      <c r="AF857">
        <v>0</v>
      </c>
      <c r="AG857">
        <v>0</v>
      </c>
      <c r="AH857">
        <v>0</v>
      </c>
      <c r="AI857">
        <v>0</v>
      </c>
      <c r="AJ857">
        <v>0</v>
      </c>
      <c r="AK857">
        <v>1</v>
      </c>
      <c r="AL857">
        <v>0</v>
      </c>
      <c r="AM857">
        <v>0</v>
      </c>
      <c r="AN857">
        <v>0</v>
      </c>
      <c r="AO857">
        <v>0</v>
      </c>
      <c r="AP857">
        <v>0</v>
      </c>
      <c r="AQ857">
        <v>0</v>
      </c>
      <c r="AR857">
        <v>0</v>
      </c>
      <c r="AS857">
        <v>0</v>
      </c>
      <c r="AT857">
        <v>0</v>
      </c>
      <c r="AU857">
        <v>0</v>
      </c>
      <c r="AV857">
        <v>0</v>
      </c>
      <c r="AW857">
        <v>0</v>
      </c>
      <c r="AX857" s="141">
        <f t="shared" si="116"/>
        <v>1</v>
      </c>
      <c r="AY857" s="141">
        <f t="shared" si="88"/>
        <v>1</v>
      </c>
      <c r="AZ857">
        <f t="shared" si="89"/>
        <v>0</v>
      </c>
      <c r="BA857">
        <f t="shared" si="90"/>
        <v>0</v>
      </c>
      <c r="BB857">
        <f t="shared" si="91"/>
        <v>1</v>
      </c>
      <c r="BC857">
        <f t="shared" si="92"/>
        <v>0</v>
      </c>
      <c r="BD857">
        <f t="shared" si="93"/>
        <v>0</v>
      </c>
      <c r="BE857" t="str">
        <f t="array" ref="BE857">IF(AY857=1,INDEX($V$7:$AL$7,MATCH(TRUE,INDEX($V857:$AW857&lt;&gt;0,),0)),IF(AY857=0,INDEX($AM$7:$AW$7,MATCH(1,$AM857:$AW857,0)),IF(BF857="Multiple strategies","mixed drivers",IF(BF857="Supply chain","multiple supply","multiple silviculture"))))</f>
        <v>technologies/design switch</v>
      </c>
      <c r="BF857" s="2" t="str" cm="1">
        <f t="array" ref="BF857">IF(COUNTIF(AZ857:BB857,"&lt;&gt;0")=1,INDEX($V$4:$AW$4,MATCH(TRUE,INDEX($V857:$AW857&lt;&gt;0,),0)),IF(COUNTIF(AZ857:BB857,"&lt;&gt;0")=0,INDEX($AM$4:$AW$4,MATCH(1,$AM857:$AW857,0)),"Multiple strategies"))</f>
        <v>Technology</v>
      </c>
      <c r="BG857" s="1" t="s">
        <v>230</v>
      </c>
      <c r="BH857" t="s">
        <v>278</v>
      </c>
      <c r="BI857" s="266" t="s">
        <v>3108</v>
      </c>
      <c r="BJ857" t="s">
        <v>279</v>
      </c>
      <c r="BK857">
        <v>0</v>
      </c>
      <c r="BL857">
        <v>23.12907189695861</v>
      </c>
      <c r="BN857">
        <f t="shared" si="125"/>
        <v>23.12907189695861</v>
      </c>
      <c r="BO857">
        <f t="shared" si="132"/>
        <v>100.43018626556062</v>
      </c>
      <c r="BP857" t="s">
        <v>233</v>
      </c>
      <c r="BQ857" s="153" t="s">
        <v>3109</v>
      </c>
      <c r="BR857" t="s">
        <v>280</v>
      </c>
      <c r="BS857">
        <v>152.02211024415089</v>
      </c>
      <c r="BT857">
        <v>354.30409954781243</v>
      </c>
      <c r="BU857" s="144">
        <f t="shared" si="133"/>
        <v>2.3306090079843789</v>
      </c>
      <c r="BV857">
        <f t="shared" si="119"/>
        <v>202.28198930366153</v>
      </c>
      <c r="BX857">
        <f t="shared" si="120"/>
        <v>202.28198930366153</v>
      </c>
      <c r="BY857">
        <f t="shared" si="94"/>
        <v>2.0141552736821695</v>
      </c>
      <c r="BZ857">
        <v>0</v>
      </c>
      <c r="CA857">
        <v>0</v>
      </c>
      <c r="CB857">
        <v>0</v>
      </c>
      <c r="CC857">
        <v>0</v>
      </c>
      <c r="CD857">
        <v>0</v>
      </c>
      <c r="CE857">
        <v>0</v>
      </c>
      <c r="CF857">
        <v>0</v>
      </c>
      <c r="CG857">
        <v>0</v>
      </c>
      <c r="CH857">
        <v>0</v>
      </c>
      <c r="CI857">
        <v>0</v>
      </c>
      <c r="CJ857">
        <v>0</v>
      </c>
      <c r="CK857">
        <v>0</v>
      </c>
      <c r="CL857">
        <v>0</v>
      </c>
      <c r="CM857">
        <v>0</v>
      </c>
      <c r="CN857" t="str">
        <f t="shared" si="135"/>
        <v>refOK</v>
      </c>
      <c r="CO857">
        <f t="shared" si="109"/>
        <v>0</v>
      </c>
      <c r="CP857">
        <f t="shared" si="110"/>
        <v>23.12907189695861</v>
      </c>
      <c r="CQ857">
        <f t="shared" si="124"/>
        <v>100.43018626556062</v>
      </c>
      <c r="CR857">
        <f t="shared" si="111"/>
        <v>152.02211024415089</v>
      </c>
      <c r="CS857">
        <f t="shared" si="136"/>
        <v>354.30409954781243</v>
      </c>
      <c r="CT857">
        <f t="shared" si="121"/>
        <v>202.28198930366153</v>
      </c>
      <c r="CU857">
        <f t="shared" si="105"/>
        <v>2.0141552736821695</v>
      </c>
      <c r="CV857" s="2">
        <f t="shared" si="122"/>
        <v>1.3306090079843791</v>
      </c>
      <c r="CW857" s="1" t="s">
        <v>235</v>
      </c>
      <c r="CX857" t="str">
        <f t="shared" si="96"/>
        <v>loc</v>
      </c>
      <c r="CY857" t="s">
        <v>281</v>
      </c>
      <c r="DB857">
        <v>100</v>
      </c>
      <c r="DC857" t="str">
        <f t="shared" si="97"/>
        <v>71-100</v>
      </c>
      <c r="DD857">
        <v>0</v>
      </c>
      <c r="DE857">
        <v>0</v>
      </c>
      <c r="DF857">
        <v>0</v>
      </c>
      <c r="DG857">
        <v>1</v>
      </c>
      <c r="DI857">
        <f t="shared" si="134"/>
        <v>1</v>
      </c>
      <c r="DJ857" t="str">
        <f t="shared" si="103"/>
        <v>TimberInput</v>
      </c>
      <c r="DK857">
        <f t="shared" si="126"/>
        <v>0</v>
      </c>
      <c r="DL857">
        <f t="shared" si="127"/>
        <v>0</v>
      </c>
      <c r="DM857">
        <f t="shared" si="128"/>
        <v>0</v>
      </c>
      <c r="DN857" t="str">
        <f t="shared" si="129"/>
        <v>Timber</v>
      </c>
      <c r="DO857">
        <v>0</v>
      </c>
      <c r="DP857">
        <v>1</v>
      </c>
      <c r="DQ857" t="s">
        <v>305</v>
      </c>
      <c r="DR857">
        <v>0</v>
      </c>
      <c r="DS857">
        <v>0</v>
      </c>
      <c r="DT857">
        <f t="shared" si="114"/>
        <v>1</v>
      </c>
      <c r="DU857" s="143" t="str">
        <f t="shared" si="99"/>
        <v>external DF used</v>
      </c>
      <c r="DV857">
        <v>0</v>
      </c>
      <c r="DW857">
        <v>1</v>
      </c>
      <c r="DX857">
        <v>1</v>
      </c>
      <c r="DY857">
        <v>1</v>
      </c>
      <c r="DZ857">
        <v>1</v>
      </c>
      <c r="EA857" s="143">
        <v>0</v>
      </c>
      <c r="EB857">
        <v>1</v>
      </c>
      <c r="EC857">
        <v>1</v>
      </c>
      <c r="ED857">
        <v>0</v>
      </c>
      <c r="EE857">
        <v>1</v>
      </c>
      <c r="EF857">
        <v>1</v>
      </c>
      <c r="EG857">
        <v>1</v>
      </c>
      <c r="EH857">
        <v>0</v>
      </c>
      <c r="EI857" s="2">
        <v>0</v>
      </c>
      <c r="EK857" t="str">
        <f t="shared" si="130"/>
        <v>Whole sector</v>
      </c>
      <c r="EL857" t="str">
        <f t="shared" si="131"/>
        <v/>
      </c>
      <c r="EM857" s="2" t="str">
        <f t="shared" si="98"/>
        <v/>
      </c>
      <c r="EP857" t="str">
        <f>IF(ISNUMBER(BU857),IF(ABS(BU857-[2]QC_indicators!$B$2)&gt;3*[2]QC_indicators!$C$2,"C ratio",IF(ISNUMBER(BY857),IF(ABS(BY857-[2]QC_indicators!$B$1)&gt;3*[2]QC_indicators!$C$1,"DF","no"))),IF(ISNUMBER(BY857),IF(ABS(BY857-[2]QC_indicators!$B$1)&gt;3*[2]QC_indicators!$C$1,"DF","no")))</f>
        <v>no</v>
      </c>
      <c r="EQ857" t="s">
        <v>287</v>
      </c>
      <c r="ET857" s="266" t="s">
        <v>3275</v>
      </c>
    </row>
    <row r="858" spans="1:150" ht="15" hidden="1" customHeight="1">
      <c r="A858" s="1" t="s">
        <v>266</v>
      </c>
      <c r="B858" t="s">
        <v>267</v>
      </c>
      <c r="C858" t="s">
        <v>268</v>
      </c>
      <c r="D858" t="s">
        <v>269</v>
      </c>
      <c r="E858" t="s">
        <v>270</v>
      </c>
      <c r="F858" t="s">
        <v>271</v>
      </c>
      <c r="G858" t="s">
        <v>272</v>
      </c>
      <c r="H858" t="s">
        <v>255</v>
      </c>
      <c r="I858">
        <v>2022</v>
      </c>
      <c r="J858">
        <v>0</v>
      </c>
      <c r="K858" t="s">
        <v>273</v>
      </c>
      <c r="M858" t="str">
        <f t="shared" si="102"/>
        <v>Aryapratama_2022</v>
      </c>
      <c r="N858" t="s">
        <v>223</v>
      </c>
      <c r="O858" s="145" t="s">
        <v>275</v>
      </c>
      <c r="Q858" t="s">
        <v>225</v>
      </c>
      <c r="R858" s="264" t="s">
        <v>224</v>
      </c>
      <c r="S858" s="265" t="s">
        <v>3107</v>
      </c>
      <c r="T858" t="s">
        <v>314</v>
      </c>
      <c r="U858" t="s">
        <v>284</v>
      </c>
      <c r="V858">
        <v>0</v>
      </c>
      <c r="W858">
        <v>0</v>
      </c>
      <c r="X858">
        <v>0</v>
      </c>
      <c r="Y858">
        <v>0</v>
      </c>
      <c r="Z858">
        <v>0</v>
      </c>
      <c r="AA858">
        <v>0</v>
      </c>
      <c r="AB858">
        <v>0</v>
      </c>
      <c r="AC858">
        <v>0</v>
      </c>
      <c r="AD858">
        <v>0</v>
      </c>
      <c r="AE858">
        <v>0</v>
      </c>
      <c r="AF858">
        <v>0</v>
      </c>
      <c r="AG858">
        <v>0</v>
      </c>
      <c r="AH858">
        <v>0</v>
      </c>
      <c r="AI858">
        <v>0</v>
      </c>
      <c r="AJ858">
        <v>0</v>
      </c>
      <c r="AK858">
        <v>1</v>
      </c>
      <c r="AL858">
        <v>0</v>
      </c>
      <c r="AM858">
        <v>0</v>
      </c>
      <c r="AN858">
        <v>0</v>
      </c>
      <c r="AO858">
        <v>0</v>
      </c>
      <c r="AP858">
        <v>0</v>
      </c>
      <c r="AQ858">
        <v>0</v>
      </c>
      <c r="AR858">
        <v>0</v>
      </c>
      <c r="AS858">
        <v>0</v>
      </c>
      <c r="AT858">
        <v>0</v>
      </c>
      <c r="AU858">
        <v>0</v>
      </c>
      <c r="AV858">
        <v>0</v>
      </c>
      <c r="AW858">
        <v>0</v>
      </c>
      <c r="AX858" s="141">
        <f t="shared" si="116"/>
        <v>1</v>
      </c>
      <c r="AY858" s="141">
        <f t="shared" ref="AY858:AY921" si="137">COUNTIF(V858:AL858,"&lt;&gt;0")</f>
        <v>1</v>
      </c>
      <c r="AZ858">
        <f t="shared" ref="AZ858:AZ921" si="138">COUNTIF(V858:AC858,"&lt;&gt;0")</f>
        <v>0</v>
      </c>
      <c r="BA858">
        <f t="shared" ref="BA858:BA921" si="139">COUNTIF(AD858:AI858,"&lt;&gt;0")</f>
        <v>0</v>
      </c>
      <c r="BB858">
        <f t="shared" ref="BB858:BB921" si="140">COUNTIF(AJ858:AL858,"&lt;&gt;0")</f>
        <v>1</v>
      </c>
      <c r="BC858">
        <f t="shared" ref="BC858:BC921" si="141">COUNTIF(AS858:AW858,"&lt;&gt;0")</f>
        <v>0</v>
      </c>
      <c r="BD858">
        <f t="shared" ref="BD858:BD921" si="142">COUNTIF(AM858:AR858,"&lt;&gt;0")</f>
        <v>0</v>
      </c>
      <c r="BE858" t="str">
        <f t="array" ref="BE858">IF(AY858=1,INDEX($V$7:$AL$7,MATCH(TRUE,INDEX($V858:$AW858&lt;&gt;0,),0)),IF(AY858=0,INDEX($AM$7:$AW$7,MATCH(1,$AM858:$AW858,0)),IF(BF858="Multiple strategies","mixed drivers",IF(BF858="Supply chain","multiple supply","multiple silviculture"))))</f>
        <v>technologies/design switch</v>
      </c>
      <c r="BF858" s="2" t="str" cm="1">
        <f t="array" ref="BF858">IF(COUNTIF(AZ858:BB858,"&lt;&gt;0")=1,INDEX($V$4:$AW$4,MATCH(TRUE,INDEX($V858:$AW858&lt;&gt;0,),0)),IF(COUNTIF(AZ858:BB858,"&lt;&gt;0")=0,INDEX($AM$4:$AW$4,MATCH(1,$AM858:$AW858,0)),"Multiple strategies"))</f>
        <v>Technology</v>
      </c>
      <c r="BG858" s="1" t="s">
        <v>230</v>
      </c>
      <c r="BH858" t="s">
        <v>278</v>
      </c>
      <c r="BI858" s="266" t="s">
        <v>3108</v>
      </c>
      <c r="BJ858" t="s">
        <v>279</v>
      </c>
      <c r="BK858">
        <v>0</v>
      </c>
      <c r="BL858">
        <v>17.346803922718955</v>
      </c>
      <c r="BN858">
        <f t="shared" si="125"/>
        <v>17.346803922718955</v>
      </c>
      <c r="BO858">
        <f t="shared" si="132"/>
        <v>75.322639699170452</v>
      </c>
      <c r="BP858" t="s">
        <v>233</v>
      </c>
      <c r="BQ858" s="153" t="s">
        <v>3109</v>
      </c>
      <c r="BR858" t="s">
        <v>280</v>
      </c>
      <c r="BS858">
        <v>163.96310441836951</v>
      </c>
      <c r="BT858">
        <v>369.9239668180054</v>
      </c>
      <c r="BU858" s="144">
        <f t="shared" si="133"/>
        <v>2.2561415150697841</v>
      </c>
      <c r="BV858">
        <f t="shared" si="119"/>
        <v>205.96086239963589</v>
      </c>
      <c r="BX858">
        <f t="shared" si="120"/>
        <v>205.96086239963589</v>
      </c>
      <c r="BY858">
        <f t="shared" ref="BY858:BY921" si="143">IFERROR(BX858/BO858,"")</f>
        <v>2.7343818966278763</v>
      </c>
      <c r="BZ858">
        <v>0</v>
      </c>
      <c r="CA858">
        <v>0</v>
      </c>
      <c r="CB858">
        <v>0</v>
      </c>
      <c r="CC858">
        <v>0</v>
      </c>
      <c r="CD858">
        <v>0</v>
      </c>
      <c r="CE858">
        <v>0</v>
      </c>
      <c r="CF858">
        <v>0</v>
      </c>
      <c r="CG858">
        <v>0</v>
      </c>
      <c r="CH858">
        <v>0</v>
      </c>
      <c r="CI858">
        <v>0</v>
      </c>
      <c r="CJ858">
        <v>0</v>
      </c>
      <c r="CK858">
        <v>0</v>
      </c>
      <c r="CL858">
        <v>0</v>
      </c>
      <c r="CM858">
        <v>0</v>
      </c>
      <c r="CN858" t="str">
        <f t="shared" si="135"/>
        <v>refOK</v>
      </c>
      <c r="CO858">
        <f t="shared" si="109"/>
        <v>0</v>
      </c>
      <c r="CP858">
        <f t="shared" si="110"/>
        <v>17.346803922718955</v>
      </c>
      <c r="CQ858">
        <f t="shared" si="124"/>
        <v>75.322639699170452</v>
      </c>
      <c r="CR858">
        <f t="shared" si="111"/>
        <v>163.96310441836951</v>
      </c>
      <c r="CS858">
        <f t="shared" si="136"/>
        <v>369.9239668180054</v>
      </c>
      <c r="CT858">
        <f t="shared" si="121"/>
        <v>205.96086239963589</v>
      </c>
      <c r="CU858">
        <f t="shared" si="105"/>
        <v>2.7343818966278763</v>
      </c>
      <c r="CV858" s="2">
        <f t="shared" si="122"/>
        <v>1.2561415150697841</v>
      </c>
      <c r="CW858" s="1" t="s">
        <v>235</v>
      </c>
      <c r="CX858" t="str">
        <f t="shared" ref="CX858:CX921" si="144">IF(OR($CW858="prd",$CW858="std",$CW858="cit"),"loc",IF(OR($CW858="eur",$CW858="reg",$CW858="coy"),"reg",$CW858))</f>
        <v>loc</v>
      </c>
      <c r="CY858" t="s">
        <v>281</v>
      </c>
      <c r="DB858">
        <v>100</v>
      </c>
      <c r="DC858" t="str">
        <f t="shared" ref="DC858:DC921" si="145">IF(DB858=0,"0",IF(AND(DB858&gt;=1,DB858&lt;=30),"1-30",IF(AND(DB858&gt;30,DB858&lt;=70),"31-70",IF(AND(DB858&gt;70,DB858&lt;=100),"71-100",IF(DB858&gt;100,"+100")))))</f>
        <v>71-100</v>
      </c>
      <c r="DD858">
        <v>0</v>
      </c>
      <c r="DE858">
        <v>0</v>
      </c>
      <c r="DF858">
        <v>0</v>
      </c>
      <c r="DG858">
        <v>1</v>
      </c>
      <c r="DI858">
        <f t="shared" si="134"/>
        <v>1</v>
      </c>
      <c r="DJ858" t="str">
        <f t="shared" si="103"/>
        <v>TimberInput</v>
      </c>
      <c r="DK858">
        <f t="shared" si="126"/>
        <v>0</v>
      </c>
      <c r="DL858">
        <f t="shared" si="127"/>
        <v>0</v>
      </c>
      <c r="DM858">
        <f t="shared" si="128"/>
        <v>0</v>
      </c>
      <c r="DN858" t="str">
        <f t="shared" si="129"/>
        <v>Timber</v>
      </c>
      <c r="DO858">
        <v>0</v>
      </c>
      <c r="DP858">
        <v>1</v>
      </c>
      <c r="DQ858">
        <v>0</v>
      </c>
      <c r="DR858" t="s">
        <v>282</v>
      </c>
      <c r="DS858">
        <v>0</v>
      </c>
      <c r="DT858">
        <f t="shared" si="114"/>
        <v>1</v>
      </c>
      <c r="DU858" s="143" t="str">
        <f t="shared" si="99"/>
        <v>external DF used</v>
      </c>
      <c r="DV858">
        <v>0</v>
      </c>
      <c r="DW858">
        <v>1</v>
      </c>
      <c r="DX858">
        <v>1</v>
      </c>
      <c r="DY858">
        <v>1</v>
      </c>
      <c r="DZ858">
        <v>1</v>
      </c>
      <c r="EA858" s="143">
        <v>0</v>
      </c>
      <c r="EB858">
        <v>1</v>
      </c>
      <c r="EC858">
        <v>1</v>
      </c>
      <c r="ED858">
        <v>0</v>
      </c>
      <c r="EE858">
        <v>1</v>
      </c>
      <c r="EF858">
        <v>1</v>
      </c>
      <c r="EG858">
        <v>1</v>
      </c>
      <c r="EH858">
        <v>0</v>
      </c>
      <c r="EI858" s="2">
        <v>0</v>
      </c>
      <c r="EK858" t="str">
        <f t="shared" si="130"/>
        <v>Whole sector</v>
      </c>
      <c r="EL858" t="str">
        <f t="shared" si="131"/>
        <v/>
      </c>
      <c r="EM858" s="2" t="str">
        <f t="shared" ref="EM858:EM921" si="146">IF(AND(AND(AND($DX858=0,$DW858=0),OR($EC858=1,$EA858=1)),SUM($EB858:$EE858)&gt;=2),"Technology approach","")</f>
        <v/>
      </c>
      <c r="EP858" t="str">
        <f>IF(ISNUMBER(BU858),IF(ABS(BU858-[2]QC_indicators!$B$2)&gt;3*[2]QC_indicators!$C$2,"C ratio",IF(ISNUMBER(BY858),IF(ABS(BY858-[2]QC_indicators!$B$1)&gt;3*[2]QC_indicators!$C$1,"DF","no"))),IF(ISNUMBER(BY858),IF(ABS(BY858-[2]QC_indicators!$B$1)&gt;3*[2]QC_indicators!$C$1,"DF","no")))</f>
        <v>no</v>
      </c>
      <c r="EQ858" t="s">
        <v>287</v>
      </c>
      <c r="ET858" s="266" t="s">
        <v>3275</v>
      </c>
    </row>
    <row r="859" spans="1:150" ht="15" hidden="1" customHeight="1">
      <c r="A859" s="1" t="s">
        <v>266</v>
      </c>
      <c r="B859" t="s">
        <v>1533</v>
      </c>
      <c r="C859" t="s">
        <v>1534</v>
      </c>
      <c r="D859" t="s">
        <v>1535</v>
      </c>
      <c r="E859" t="s">
        <v>1536</v>
      </c>
      <c r="F859" t="s">
        <v>1537</v>
      </c>
      <c r="G859" t="s">
        <v>272</v>
      </c>
      <c r="H859" t="s">
        <v>255</v>
      </c>
      <c r="I859">
        <v>2019</v>
      </c>
      <c r="J859">
        <v>26</v>
      </c>
      <c r="K859" t="s">
        <v>1538</v>
      </c>
      <c r="M859" t="str">
        <f t="shared" si="102"/>
        <v>Faraca_2019</v>
      </c>
      <c r="N859" t="s">
        <v>223</v>
      </c>
      <c r="O859" s="145" t="s">
        <v>275</v>
      </c>
      <c r="P859" s="180" t="s">
        <v>224</v>
      </c>
      <c r="Q859" t="s">
        <v>257</v>
      </c>
      <c r="R859" s="264" t="s">
        <v>224</v>
      </c>
      <c r="S859" s="265" t="s">
        <v>3132</v>
      </c>
      <c r="T859" t="s">
        <v>1540</v>
      </c>
      <c r="U859" t="s">
        <v>971</v>
      </c>
      <c r="V859">
        <v>0</v>
      </c>
      <c r="W859">
        <v>0</v>
      </c>
      <c r="X859">
        <v>0</v>
      </c>
      <c r="Y859">
        <v>0</v>
      </c>
      <c r="Z859">
        <v>0</v>
      </c>
      <c r="AA859">
        <v>0</v>
      </c>
      <c r="AB859">
        <v>0</v>
      </c>
      <c r="AC859">
        <v>0</v>
      </c>
      <c r="AD859">
        <v>0</v>
      </c>
      <c r="AE859">
        <v>0</v>
      </c>
      <c r="AF859">
        <v>0</v>
      </c>
      <c r="AG859">
        <v>0</v>
      </c>
      <c r="AH859">
        <v>0</v>
      </c>
      <c r="AI859">
        <v>0</v>
      </c>
      <c r="AJ859">
        <v>1</v>
      </c>
      <c r="AK859">
        <v>0</v>
      </c>
      <c r="AL859">
        <v>0</v>
      </c>
      <c r="AM859">
        <v>0</v>
      </c>
      <c r="AN859">
        <v>0</v>
      </c>
      <c r="AO859">
        <v>0</v>
      </c>
      <c r="AP859">
        <v>0</v>
      </c>
      <c r="AQ859">
        <v>0</v>
      </c>
      <c r="AR859">
        <v>0</v>
      </c>
      <c r="AS859">
        <v>0</v>
      </c>
      <c r="AT859">
        <v>0</v>
      </c>
      <c r="AU859">
        <v>0</v>
      </c>
      <c r="AV859">
        <v>0</v>
      </c>
      <c r="AW859">
        <v>0</v>
      </c>
      <c r="AX859" s="141">
        <f t="shared" si="116"/>
        <v>1</v>
      </c>
      <c r="AY859" s="141">
        <f t="shared" si="137"/>
        <v>1</v>
      </c>
      <c r="AZ859">
        <f t="shared" si="138"/>
        <v>0</v>
      </c>
      <c r="BA859">
        <f t="shared" si="139"/>
        <v>0</v>
      </c>
      <c r="BB859">
        <f t="shared" si="140"/>
        <v>1</v>
      </c>
      <c r="BC859">
        <f t="shared" si="141"/>
        <v>0</v>
      </c>
      <c r="BD859">
        <f t="shared" si="142"/>
        <v>0</v>
      </c>
      <c r="BE859" t="str">
        <f t="array" ref="BE859">IF(AY859=1,INDEX($V$7:$AL$7,MATCH(TRUE,INDEX($V859:$AW859&lt;&gt;0,),0)),IF(AY859=0,INDEX($AM$7:$AW$7,MATCH(1,$AM859:$AW859,0)),IF(BF859="Multiple strategies","mixed drivers",IF(BF859="Supply chain","multiple supply","multiple silviculture"))))</f>
        <v>efficiency improvement</v>
      </c>
      <c r="BF859" s="2" t="str" cm="1">
        <f t="array" ref="BF859">IF(COUNTIF(AZ859:BB859,"&lt;&gt;0")=1,INDEX($V$4:$AW$4,MATCH(TRUE,INDEX($V859:$AW859&lt;&gt;0,),0)),IF(COUNTIF(AZ859:BB859,"&lt;&gt;0")=0,INDEX($AM$4:$AW$4,MATCH(1,$AM859:$AW859,0)),"Multiple strategies"))</f>
        <v>Technology</v>
      </c>
      <c r="BG859" s="1" t="s">
        <v>230</v>
      </c>
      <c r="BH859" t="s">
        <v>1550</v>
      </c>
      <c r="BI859" s="266" t="s">
        <v>3123</v>
      </c>
      <c r="BJ859" t="s">
        <v>346</v>
      </c>
      <c r="BK859">
        <v>562</v>
      </c>
      <c r="BL859">
        <v>562</v>
      </c>
      <c r="BM859">
        <v>1</v>
      </c>
      <c r="BN859">
        <f t="shared" si="125"/>
        <v>0</v>
      </c>
      <c r="BO859">
        <f>BN859*kg_to_m3</f>
        <v>0</v>
      </c>
      <c r="BP859" s="266" t="s">
        <v>396</v>
      </c>
      <c r="BQ859" t="s">
        <v>427</v>
      </c>
      <c r="BR859" t="s">
        <v>730</v>
      </c>
      <c r="BS859">
        <v>515.29999999999995</v>
      </c>
      <c r="BT859">
        <v>474.6</v>
      </c>
      <c r="BU859" s="144"/>
      <c r="BV859">
        <f t="shared" si="119"/>
        <v>-40.699999999999932</v>
      </c>
      <c r="BX859">
        <f>BV859/1000</f>
        <v>-4.0699999999999931E-2</v>
      </c>
      <c r="BY859" t="str">
        <f t="shared" si="143"/>
        <v/>
      </c>
      <c r="BZ859">
        <v>0</v>
      </c>
      <c r="CA859">
        <v>0</v>
      </c>
      <c r="CB859">
        <v>0</v>
      </c>
      <c r="CC859">
        <v>0</v>
      </c>
      <c r="CD859">
        <v>0</v>
      </c>
      <c r="CE859">
        <v>0</v>
      </c>
      <c r="CF859">
        <v>0</v>
      </c>
      <c r="CG859">
        <v>0</v>
      </c>
      <c r="CH859">
        <v>0</v>
      </c>
      <c r="CI859">
        <v>0</v>
      </c>
      <c r="CJ859">
        <v>0</v>
      </c>
      <c r="CK859">
        <v>0</v>
      </c>
      <c r="CL859">
        <v>0</v>
      </c>
      <c r="CM859">
        <v>0</v>
      </c>
      <c r="CN859" t="str">
        <f t="shared" si="135"/>
        <v>refOK</v>
      </c>
      <c r="CO859">
        <f t="shared" ref="CO859:CO883" si="147">IF($CN859="refNeedCorrection",BL859,BK859)</f>
        <v>562</v>
      </c>
      <c r="CP859">
        <f t="shared" ref="CP859:CP883" si="148">IF($CN859="refNeedCorrection",BK859,BL859)</f>
        <v>562</v>
      </c>
      <c r="CQ859">
        <f t="shared" si="124"/>
        <v>0</v>
      </c>
      <c r="CR859">
        <f t="shared" si="111"/>
        <v>-515.29999999999995</v>
      </c>
      <c r="CS859">
        <f t="shared" si="136"/>
        <v>-474.6</v>
      </c>
      <c r="CT859">
        <f t="shared" si="121"/>
        <v>4.0699999999999931E-2</v>
      </c>
      <c r="CU859" t="str">
        <f t="shared" si="105"/>
        <v/>
      </c>
      <c r="CV859" s="2">
        <f t="shared" si="122"/>
        <v>7.8983116631088562E-2</v>
      </c>
      <c r="CW859" s="1" t="s">
        <v>1201</v>
      </c>
      <c r="CX859" t="str">
        <f t="shared" si="144"/>
        <v>reg</v>
      </c>
      <c r="CY859" t="s">
        <v>1542</v>
      </c>
      <c r="DB859">
        <v>100</v>
      </c>
      <c r="DC859" t="str">
        <f t="shared" si="145"/>
        <v>71-100</v>
      </c>
      <c r="DD859">
        <v>0</v>
      </c>
      <c r="DE859">
        <v>0</v>
      </c>
      <c r="DF859">
        <v>0</v>
      </c>
      <c r="DG859">
        <v>1</v>
      </c>
      <c r="DI859">
        <f t="shared" si="134"/>
        <v>1</v>
      </c>
      <c r="DJ859" t="str">
        <f t="shared" si="103"/>
        <v>TimberInput</v>
      </c>
      <c r="DK859">
        <f t="shared" si="126"/>
        <v>0</v>
      </c>
      <c r="DL859">
        <f t="shared" si="127"/>
        <v>0</v>
      </c>
      <c r="DM859">
        <f t="shared" si="128"/>
        <v>0</v>
      </c>
      <c r="DN859" t="str">
        <f t="shared" si="129"/>
        <v>Timber</v>
      </c>
      <c r="DO859">
        <v>0</v>
      </c>
      <c r="DP859">
        <v>0</v>
      </c>
      <c r="DQ859">
        <v>0</v>
      </c>
      <c r="DR859">
        <v>0</v>
      </c>
      <c r="DS859">
        <v>0</v>
      </c>
      <c r="DT859">
        <f t="shared" si="114"/>
        <v>0</v>
      </c>
      <c r="DU859" s="143" t="str">
        <f t="shared" ref="DU859:DU922" si="149">IF(DO859=1,"self-calculated DF",IF(DP859=1,"external DF used","explicit C balance"))</f>
        <v>explicit C balance</v>
      </c>
      <c r="DV859">
        <v>0</v>
      </c>
      <c r="DW859">
        <v>0</v>
      </c>
      <c r="DX859">
        <v>0</v>
      </c>
      <c r="DY859">
        <v>0</v>
      </c>
      <c r="DZ859">
        <v>1</v>
      </c>
      <c r="EA859" s="143">
        <v>0</v>
      </c>
      <c r="EB859">
        <v>0</v>
      </c>
      <c r="EC859">
        <v>1</v>
      </c>
      <c r="ED859">
        <v>0</v>
      </c>
      <c r="EE859">
        <v>1</v>
      </c>
      <c r="EF859">
        <v>1</v>
      </c>
      <c r="EG859">
        <v>1</v>
      </c>
      <c r="EH859">
        <v>0</v>
      </c>
      <c r="EI859" s="2">
        <v>0</v>
      </c>
      <c r="EK859" t="str">
        <f t="shared" si="130"/>
        <v/>
      </c>
      <c r="EL859" t="str">
        <f t="shared" si="131"/>
        <v/>
      </c>
      <c r="EM859" s="2" t="str">
        <f t="shared" si="146"/>
        <v>Technology approach</v>
      </c>
      <c r="EP859" t="b">
        <f>IF(ISNUMBER(BU859),IF(ABS(BU859-[2]QC_indicators!$B$2)&gt;3*[2]QC_indicators!$C$2,"C ratio",IF(ISNUMBER(BY859),IF(ABS(BY859-[2]QC_indicators!$B$1)&gt;3*[2]QC_indicators!$C$1,"DF","no"))),IF(ISNUMBER(BY859),IF(ABS(BY859-[2]QC_indicators!$B$1)&gt;3*[2]QC_indicators!$C$1,"DF","no")))</f>
        <v>0</v>
      </c>
      <c r="ET859" s="266" t="s">
        <v>3275</v>
      </c>
    </row>
    <row r="860" spans="1:150" ht="15" hidden="1" customHeight="1">
      <c r="A860" s="1" t="s">
        <v>266</v>
      </c>
      <c r="B860" t="s">
        <v>1533</v>
      </c>
      <c r="C860" t="s">
        <v>1534</v>
      </c>
      <c r="D860" t="s">
        <v>1535</v>
      </c>
      <c r="E860" t="s">
        <v>1536</v>
      </c>
      <c r="F860" t="s">
        <v>1537</v>
      </c>
      <c r="G860" t="s">
        <v>272</v>
      </c>
      <c r="H860" t="s">
        <v>255</v>
      </c>
      <c r="I860">
        <v>2019</v>
      </c>
      <c r="J860">
        <v>26</v>
      </c>
      <c r="K860" t="s">
        <v>1538</v>
      </c>
      <c r="M860" t="str">
        <f t="shared" si="102"/>
        <v>Faraca_2019</v>
      </c>
      <c r="N860" t="s">
        <v>223</v>
      </c>
      <c r="O860" s="145" t="s">
        <v>275</v>
      </c>
      <c r="P860" s="180" t="s">
        <v>224</v>
      </c>
      <c r="Q860" t="s">
        <v>257</v>
      </c>
      <c r="R860" s="264" t="s">
        <v>224</v>
      </c>
      <c r="S860" s="265" t="s">
        <v>3133</v>
      </c>
      <c r="T860" t="s">
        <v>1540</v>
      </c>
      <c r="U860" t="s">
        <v>971</v>
      </c>
      <c r="V860">
        <v>0</v>
      </c>
      <c r="W860">
        <v>0</v>
      </c>
      <c r="X860">
        <v>0</v>
      </c>
      <c r="Y860">
        <v>0</v>
      </c>
      <c r="Z860">
        <v>0</v>
      </c>
      <c r="AA860">
        <v>0</v>
      </c>
      <c r="AB860">
        <v>0</v>
      </c>
      <c r="AC860">
        <v>0</v>
      </c>
      <c r="AD860">
        <v>0</v>
      </c>
      <c r="AE860">
        <v>0</v>
      </c>
      <c r="AF860">
        <v>0</v>
      </c>
      <c r="AG860">
        <v>0</v>
      </c>
      <c r="AH860">
        <v>0</v>
      </c>
      <c r="AI860">
        <v>0</v>
      </c>
      <c r="AJ860">
        <v>1</v>
      </c>
      <c r="AK860">
        <v>0</v>
      </c>
      <c r="AL860">
        <v>0</v>
      </c>
      <c r="AM860">
        <v>0</v>
      </c>
      <c r="AN860">
        <v>0</v>
      </c>
      <c r="AO860">
        <v>0</v>
      </c>
      <c r="AP860">
        <v>0</v>
      </c>
      <c r="AQ860">
        <v>0</v>
      </c>
      <c r="AR860">
        <v>0</v>
      </c>
      <c r="AS860">
        <v>0</v>
      </c>
      <c r="AT860">
        <v>0</v>
      </c>
      <c r="AU860">
        <v>0</v>
      </c>
      <c r="AV860">
        <v>0</v>
      </c>
      <c r="AW860">
        <v>0</v>
      </c>
      <c r="AX860" s="141">
        <f t="shared" si="116"/>
        <v>1</v>
      </c>
      <c r="AY860" s="141">
        <f t="shared" si="137"/>
        <v>1</v>
      </c>
      <c r="AZ860">
        <f t="shared" si="138"/>
        <v>0</v>
      </c>
      <c r="BA860">
        <f t="shared" si="139"/>
        <v>0</v>
      </c>
      <c r="BB860">
        <f t="shared" si="140"/>
        <v>1</v>
      </c>
      <c r="BC860">
        <f t="shared" si="141"/>
        <v>0</v>
      </c>
      <c r="BD860">
        <f t="shared" si="142"/>
        <v>0</v>
      </c>
      <c r="BE860" t="str">
        <f t="array" ref="BE860">IF(AY860=1,INDEX($V$7:$AL$7,MATCH(TRUE,INDEX($V860:$AW860&lt;&gt;0,),0)),IF(AY860=0,INDEX($AM$7:$AW$7,MATCH(1,$AM860:$AW860,0)),IF(BF860="Multiple strategies","mixed drivers",IF(BF860="Supply chain","multiple supply","multiple silviculture"))))</f>
        <v>efficiency improvement</v>
      </c>
      <c r="BF860" s="2" t="str" cm="1">
        <f t="array" ref="BF860">IF(COUNTIF(AZ860:BB860,"&lt;&gt;0")=1,INDEX($V$4:$AW$4,MATCH(TRUE,INDEX($V860:$AW860&lt;&gt;0,),0)),IF(COUNTIF(AZ860:BB860,"&lt;&gt;0")=0,INDEX($AM$4:$AW$4,MATCH(1,$AM860:$AW860,0)),"Multiple strategies"))</f>
        <v>Technology</v>
      </c>
      <c r="BG860" s="1" t="s">
        <v>230</v>
      </c>
      <c r="BH860" t="s">
        <v>1550</v>
      </c>
      <c r="BI860" s="266" t="s">
        <v>3123</v>
      </c>
      <c r="BJ860" t="s">
        <v>346</v>
      </c>
      <c r="BK860">
        <v>562</v>
      </c>
      <c r="BL860">
        <v>562</v>
      </c>
      <c r="BM860">
        <v>1</v>
      </c>
      <c r="BN860">
        <f t="shared" si="125"/>
        <v>0</v>
      </c>
      <c r="BO860">
        <f>BN860*kg_to_m3</f>
        <v>0</v>
      </c>
      <c r="BP860" s="266" t="s">
        <v>396</v>
      </c>
      <c r="BQ860" t="s">
        <v>427</v>
      </c>
      <c r="BR860" t="s">
        <v>730</v>
      </c>
      <c r="BS860">
        <v>33.9</v>
      </c>
      <c r="BT860">
        <v>-40.700000000000003</v>
      </c>
      <c r="BU860" s="144">
        <v>1</v>
      </c>
      <c r="BV860">
        <f t="shared" si="119"/>
        <v>-74.599999999999994</v>
      </c>
      <c r="BX860">
        <f>BV860/1000</f>
        <v>-7.46E-2</v>
      </c>
      <c r="BY860" t="str">
        <f t="shared" si="143"/>
        <v/>
      </c>
      <c r="BZ860">
        <v>0</v>
      </c>
      <c r="CA860">
        <v>0</v>
      </c>
      <c r="CB860">
        <v>0</v>
      </c>
      <c r="CC860">
        <v>0</v>
      </c>
      <c r="CD860">
        <v>0</v>
      </c>
      <c r="CE860">
        <v>0</v>
      </c>
      <c r="CF860">
        <v>0</v>
      </c>
      <c r="CG860">
        <v>0</v>
      </c>
      <c r="CH860">
        <v>0</v>
      </c>
      <c r="CI860">
        <v>0</v>
      </c>
      <c r="CJ860">
        <v>0</v>
      </c>
      <c r="CK860">
        <v>0</v>
      </c>
      <c r="CL860">
        <v>0</v>
      </c>
      <c r="CM860">
        <v>0</v>
      </c>
      <c r="CN860" t="str">
        <f t="shared" si="135"/>
        <v>refOK</v>
      </c>
      <c r="CO860">
        <f t="shared" si="147"/>
        <v>562</v>
      </c>
      <c r="CP860">
        <f t="shared" si="148"/>
        <v>562</v>
      </c>
      <c r="CQ860">
        <f t="shared" si="124"/>
        <v>0</v>
      </c>
      <c r="CR860">
        <f t="shared" si="111"/>
        <v>-33.9</v>
      </c>
      <c r="CS860">
        <f t="shared" si="136"/>
        <v>40.700000000000003</v>
      </c>
      <c r="CT860">
        <f t="shared" si="121"/>
        <v>7.46E-2</v>
      </c>
      <c r="CU860" t="str">
        <f t="shared" si="105"/>
        <v/>
      </c>
      <c r="CV860" s="2">
        <f t="shared" si="122"/>
        <v>2.2005899705014746</v>
      </c>
      <c r="CW860" s="1" t="s">
        <v>1201</v>
      </c>
      <c r="CX860" t="str">
        <f t="shared" si="144"/>
        <v>reg</v>
      </c>
      <c r="CY860" t="s">
        <v>1542</v>
      </c>
      <c r="DB860">
        <v>100</v>
      </c>
      <c r="DC860" t="str">
        <f t="shared" si="145"/>
        <v>71-100</v>
      </c>
      <c r="DD860">
        <v>0</v>
      </c>
      <c r="DE860">
        <v>0</v>
      </c>
      <c r="DF860">
        <v>0</v>
      </c>
      <c r="DG860">
        <v>1</v>
      </c>
      <c r="DI860">
        <f t="shared" si="134"/>
        <v>1</v>
      </c>
      <c r="DJ860" t="str">
        <f t="shared" si="103"/>
        <v>TimberInput</v>
      </c>
      <c r="DK860">
        <f t="shared" si="126"/>
        <v>0</v>
      </c>
      <c r="DL860">
        <f t="shared" si="127"/>
        <v>0</v>
      </c>
      <c r="DM860">
        <f t="shared" si="128"/>
        <v>0</v>
      </c>
      <c r="DN860" t="str">
        <f t="shared" si="129"/>
        <v>Timber</v>
      </c>
      <c r="DO860">
        <v>0</v>
      </c>
      <c r="DP860">
        <v>1</v>
      </c>
      <c r="DQ860">
        <v>0</v>
      </c>
      <c r="DR860">
        <v>0</v>
      </c>
      <c r="DS860" t="s">
        <v>1543</v>
      </c>
      <c r="DT860">
        <f t="shared" si="114"/>
        <v>1</v>
      </c>
      <c r="DU860" s="143" t="str">
        <f t="shared" si="149"/>
        <v>external DF used</v>
      </c>
      <c r="DV860">
        <v>0</v>
      </c>
      <c r="DW860">
        <v>0</v>
      </c>
      <c r="DX860">
        <v>0</v>
      </c>
      <c r="DY860">
        <v>0</v>
      </c>
      <c r="DZ860">
        <v>1</v>
      </c>
      <c r="EA860" s="143">
        <v>1</v>
      </c>
      <c r="EB860">
        <v>0</v>
      </c>
      <c r="EC860">
        <v>1</v>
      </c>
      <c r="ED860">
        <v>0</v>
      </c>
      <c r="EE860">
        <v>1</v>
      </c>
      <c r="EF860">
        <v>1</v>
      </c>
      <c r="EG860">
        <v>1</v>
      </c>
      <c r="EH860">
        <v>0</v>
      </c>
      <c r="EI860" s="2">
        <v>0</v>
      </c>
      <c r="EK860" t="str">
        <f t="shared" si="130"/>
        <v/>
      </c>
      <c r="EL860" t="str">
        <f t="shared" si="131"/>
        <v/>
      </c>
      <c r="EM860" s="2" t="str">
        <f t="shared" si="146"/>
        <v>Technology approach</v>
      </c>
      <c r="EP860" t="b">
        <f>IF(ISNUMBER(BU860),IF(ABS(BU860-[2]QC_indicators!$B$2)&gt;3*[2]QC_indicators!$C$2,"C ratio",IF(ISNUMBER(BY860),IF(ABS(BY860-[2]QC_indicators!$B$1)&gt;3*[2]QC_indicators!$C$1,"DF","no"))),IF(ISNUMBER(BY860),IF(ABS(BY860-[2]QC_indicators!$B$1)&gt;3*[2]QC_indicators!$C$1,"DF","no")))</f>
        <v>0</v>
      </c>
      <c r="ET860" s="266" t="s">
        <v>3275</v>
      </c>
    </row>
    <row r="861" spans="1:150" ht="15" hidden="1" customHeight="1">
      <c r="A861" s="1" t="s">
        <v>783</v>
      </c>
      <c r="D861" t="s">
        <v>1158</v>
      </c>
      <c r="E861" t="s">
        <v>1159</v>
      </c>
      <c r="G861" t="s">
        <v>784</v>
      </c>
      <c r="I861">
        <v>2008</v>
      </c>
      <c r="K861" t="s">
        <v>1160</v>
      </c>
      <c r="M861" t="str">
        <f t="shared" si="102"/>
        <v>Upton_2008</v>
      </c>
      <c r="N861" t="s">
        <v>223</v>
      </c>
      <c r="O861" s="145" t="s">
        <v>226</v>
      </c>
      <c r="Q861" t="s">
        <v>257</v>
      </c>
      <c r="R861" s="264" t="s">
        <v>224</v>
      </c>
      <c r="S861" s="1" t="s">
        <v>1161</v>
      </c>
      <c r="T861" t="s">
        <v>1162</v>
      </c>
      <c r="U861" t="s">
        <v>1163</v>
      </c>
      <c r="V861">
        <v>0</v>
      </c>
      <c r="W861">
        <v>0</v>
      </c>
      <c r="X861">
        <v>0</v>
      </c>
      <c r="Y861">
        <v>0</v>
      </c>
      <c r="Z861">
        <v>0</v>
      </c>
      <c r="AA861">
        <v>0</v>
      </c>
      <c r="AB861">
        <v>0</v>
      </c>
      <c r="AC861">
        <v>0</v>
      </c>
      <c r="AD861">
        <v>0</v>
      </c>
      <c r="AE861">
        <v>0</v>
      </c>
      <c r="AF861">
        <v>0</v>
      </c>
      <c r="AG861">
        <v>0</v>
      </c>
      <c r="AH861">
        <v>0</v>
      </c>
      <c r="AI861">
        <v>0</v>
      </c>
      <c r="AJ861">
        <v>0</v>
      </c>
      <c r="AK861">
        <v>1</v>
      </c>
      <c r="AL861">
        <v>0</v>
      </c>
      <c r="AM861">
        <v>0</v>
      </c>
      <c r="AN861">
        <v>0</v>
      </c>
      <c r="AO861">
        <v>0</v>
      </c>
      <c r="AP861">
        <v>0</v>
      </c>
      <c r="AQ861">
        <v>0</v>
      </c>
      <c r="AR861">
        <v>0</v>
      </c>
      <c r="AS861">
        <v>0</v>
      </c>
      <c r="AT861">
        <v>0</v>
      </c>
      <c r="AU861">
        <v>0</v>
      </c>
      <c r="AV861">
        <v>0</v>
      </c>
      <c r="AW861">
        <v>0</v>
      </c>
      <c r="AX861" s="141">
        <f t="shared" si="116"/>
        <v>1</v>
      </c>
      <c r="AY861" s="141">
        <f t="shared" si="137"/>
        <v>1</v>
      </c>
      <c r="AZ861">
        <f t="shared" si="138"/>
        <v>0</v>
      </c>
      <c r="BA861">
        <f t="shared" si="139"/>
        <v>0</v>
      </c>
      <c r="BB861">
        <f t="shared" si="140"/>
        <v>1</v>
      </c>
      <c r="BC861">
        <f t="shared" si="141"/>
        <v>0</v>
      </c>
      <c r="BD861">
        <f t="shared" si="142"/>
        <v>0</v>
      </c>
      <c r="BE861" t="str">
        <f t="array" ref="BE861">IF(AY861=1,INDEX($V$7:$AL$7,MATCH(TRUE,INDEX($V861:$AW861&lt;&gt;0,),0)),IF(AY861=0,INDEX($AM$7:$AW$7,MATCH(1,$AM861:$AW861,0)),IF(BF861="Multiple strategies","mixed drivers",IF(BF861="Supply chain","multiple supply","multiple silviculture"))))</f>
        <v>technologies/design switch</v>
      </c>
      <c r="BF861" s="2" t="str" cm="1">
        <f t="array" ref="BF861">IF(COUNTIF(AZ861:BB861,"&lt;&gt;0")=1,INDEX($V$4:$AW$4,MATCH(TRUE,INDEX($V861:$AW861&lt;&gt;0,),0)),IF(COUNTIF(AZ861:BB861,"&lt;&gt;0")=0,INDEX($AM$4:$AW$4,MATCH(1,$AM861:$AW861,0)),"Multiple strategies"))</f>
        <v>Technology</v>
      </c>
      <c r="BG861" s="1" t="s">
        <v>230</v>
      </c>
      <c r="BH861" t="s">
        <v>1164</v>
      </c>
      <c r="BJ861" t="s">
        <v>599</v>
      </c>
      <c r="BK861">
        <v>1106</v>
      </c>
      <c r="BL861">
        <v>2051</v>
      </c>
      <c r="BN861">
        <f t="shared" si="125"/>
        <v>945</v>
      </c>
      <c r="BO861">
        <f>BN861/C_to_CO2*tC_to_m3*10^6</f>
        <v>1118077238.4320416</v>
      </c>
      <c r="BP861" t="s">
        <v>233</v>
      </c>
      <c r="BR861" t="s">
        <v>1165</v>
      </c>
      <c r="BS861">
        <v>-3731</v>
      </c>
      <c r="BT861">
        <v>-3095</v>
      </c>
      <c r="BU861" s="144">
        <v>0.82953631734119537</v>
      </c>
      <c r="BV861">
        <v>636</v>
      </c>
      <c r="BX861">
        <f>BV861*10^6</f>
        <v>636000000</v>
      </c>
      <c r="BY861">
        <f t="shared" si="143"/>
        <v>0.56883368888888886</v>
      </c>
      <c r="BZ861">
        <v>0</v>
      </c>
      <c r="CA861">
        <v>1</v>
      </c>
      <c r="CB861">
        <v>0</v>
      </c>
      <c r="CC861">
        <v>0</v>
      </c>
      <c r="CD861">
        <v>0</v>
      </c>
      <c r="CE861">
        <v>0</v>
      </c>
      <c r="CF861">
        <v>0</v>
      </c>
      <c r="CG861">
        <v>0</v>
      </c>
      <c r="CH861">
        <v>0</v>
      </c>
      <c r="CI861">
        <v>0</v>
      </c>
      <c r="CJ861">
        <v>0</v>
      </c>
      <c r="CK861">
        <v>0</v>
      </c>
      <c r="CL861">
        <v>0</v>
      </c>
      <c r="CM861">
        <v>0</v>
      </c>
      <c r="CN861" t="str">
        <f t="shared" si="135"/>
        <v>refOK</v>
      </c>
      <c r="CO861">
        <f t="shared" si="147"/>
        <v>1106</v>
      </c>
      <c r="CP861">
        <f t="shared" si="148"/>
        <v>2051</v>
      </c>
      <c r="CQ861">
        <f t="shared" si="124"/>
        <v>1118077238.4320416</v>
      </c>
      <c r="CR861">
        <f t="shared" si="111"/>
        <v>-3731</v>
      </c>
      <c r="CS861">
        <f t="shared" si="136"/>
        <v>-3095</v>
      </c>
      <c r="CT861">
        <f t="shared" si="121"/>
        <v>636000000</v>
      </c>
      <c r="CU861">
        <f t="shared" si="105"/>
        <v>0.56883368888888886</v>
      </c>
      <c r="CV861" s="2">
        <f t="shared" si="122"/>
        <v>0.1704636826588046</v>
      </c>
      <c r="CW861" s="1" t="s">
        <v>264</v>
      </c>
      <c r="CX861" t="str">
        <f t="shared" si="144"/>
        <v>loc</v>
      </c>
      <c r="CY861" t="s">
        <v>429</v>
      </c>
      <c r="CZ861">
        <v>2008</v>
      </c>
      <c r="DA861">
        <f>CZ861+DB861</f>
        <v>2108</v>
      </c>
      <c r="DB861">
        <v>100</v>
      </c>
      <c r="DC861" t="str">
        <f t="shared" si="145"/>
        <v>71-100</v>
      </c>
      <c r="DD861">
        <v>0</v>
      </c>
      <c r="DE861">
        <v>0</v>
      </c>
      <c r="DF861">
        <v>0</v>
      </c>
      <c r="DG861">
        <v>1</v>
      </c>
      <c r="DI861">
        <f t="shared" si="134"/>
        <v>1</v>
      </c>
      <c r="DJ861" t="str">
        <f t="shared" si="103"/>
        <v>TimberInput</v>
      </c>
      <c r="DK861">
        <f t="shared" si="126"/>
        <v>0</v>
      </c>
      <c r="DL861">
        <f t="shared" si="127"/>
        <v>0</v>
      </c>
      <c r="DM861">
        <f t="shared" si="128"/>
        <v>0</v>
      </c>
      <c r="DN861" t="str">
        <f t="shared" si="129"/>
        <v>Timber</v>
      </c>
      <c r="DO861">
        <v>0</v>
      </c>
      <c r="DP861" s="143">
        <v>0</v>
      </c>
      <c r="DQ861">
        <v>0</v>
      </c>
      <c r="DR861">
        <v>0</v>
      </c>
      <c r="DS861">
        <v>0</v>
      </c>
      <c r="DT861">
        <f t="shared" si="114"/>
        <v>0</v>
      </c>
      <c r="DU861" s="143" t="str">
        <f t="shared" si="149"/>
        <v>explicit C balance</v>
      </c>
      <c r="DV861">
        <v>1</v>
      </c>
      <c r="DW861">
        <v>0</v>
      </c>
      <c r="DX861">
        <v>1</v>
      </c>
      <c r="DY861">
        <v>1</v>
      </c>
      <c r="DZ861">
        <v>1</v>
      </c>
      <c r="EA861">
        <v>0</v>
      </c>
      <c r="EB861">
        <v>1</v>
      </c>
      <c r="EC861">
        <v>1</v>
      </c>
      <c r="ED861">
        <v>0</v>
      </c>
      <c r="EE861">
        <v>1</v>
      </c>
      <c r="EF861">
        <v>0</v>
      </c>
      <c r="EG861">
        <v>0</v>
      </c>
      <c r="EH861">
        <v>0</v>
      </c>
      <c r="EI861" s="2">
        <v>0</v>
      </c>
      <c r="EK861" t="str">
        <f t="shared" si="130"/>
        <v>Whole sector</v>
      </c>
      <c r="EL861" t="str">
        <f t="shared" si="131"/>
        <v/>
      </c>
      <c r="EM861" s="2" t="str">
        <f t="shared" si="146"/>
        <v/>
      </c>
      <c r="EP861" t="str">
        <f>IF(ISNUMBER(BU861),IF(ABS(BU861-[2]QC_indicators!$B$2)&gt;3*[2]QC_indicators!$C$2,"C ratio",IF(ISNUMBER(BY861),IF(ABS(BY861-[2]QC_indicators!$B$1)&gt;3*[2]QC_indicators!$C$1,"DF","no"))),IF(ISNUMBER(BY861),IF(ABS(BY861-[2]QC_indicators!$B$1)&gt;3*[2]QC_indicators!$C$1,"DF","no")))</f>
        <v>no</v>
      </c>
      <c r="EQ861" t="s">
        <v>1166</v>
      </c>
      <c r="ER861" t="s">
        <v>1167</v>
      </c>
      <c r="ET861" s="266" t="s">
        <v>3253</v>
      </c>
    </row>
    <row r="862" spans="1:150" ht="15" hidden="1" customHeight="1">
      <c r="A862" s="1" t="s">
        <v>783</v>
      </c>
      <c r="D862" t="s">
        <v>1158</v>
      </c>
      <c r="E862" t="s">
        <v>1159</v>
      </c>
      <c r="G862" t="s">
        <v>784</v>
      </c>
      <c r="I862">
        <v>2008</v>
      </c>
      <c r="K862" t="s">
        <v>1160</v>
      </c>
      <c r="M862" t="str">
        <f t="shared" si="102"/>
        <v>Upton_2008</v>
      </c>
      <c r="N862" t="s">
        <v>223</v>
      </c>
      <c r="O862" s="145" t="s">
        <v>226</v>
      </c>
      <c r="Q862" t="s">
        <v>257</v>
      </c>
      <c r="R862" s="264" t="s">
        <v>224</v>
      </c>
      <c r="S862" s="1" t="s">
        <v>1161</v>
      </c>
      <c r="T862" t="s">
        <v>1162</v>
      </c>
      <c r="U862" t="s">
        <v>1163</v>
      </c>
      <c r="V862">
        <v>0</v>
      </c>
      <c r="W862">
        <v>0</v>
      </c>
      <c r="X862">
        <v>0</v>
      </c>
      <c r="Y862">
        <v>0</v>
      </c>
      <c r="Z862">
        <v>0</v>
      </c>
      <c r="AA862">
        <v>0</v>
      </c>
      <c r="AB862">
        <v>0</v>
      </c>
      <c r="AC862">
        <v>0</v>
      </c>
      <c r="AD862">
        <v>0</v>
      </c>
      <c r="AE862">
        <v>0</v>
      </c>
      <c r="AF862">
        <v>0</v>
      </c>
      <c r="AG862">
        <v>0</v>
      </c>
      <c r="AH862">
        <v>0</v>
      </c>
      <c r="AI862">
        <v>0</v>
      </c>
      <c r="AJ862">
        <v>0</v>
      </c>
      <c r="AK862">
        <v>1</v>
      </c>
      <c r="AL862">
        <v>0</v>
      </c>
      <c r="AM862">
        <v>0</v>
      </c>
      <c r="AN862">
        <v>0</v>
      </c>
      <c r="AO862">
        <v>0</v>
      </c>
      <c r="AP862">
        <v>0</v>
      </c>
      <c r="AQ862">
        <v>0</v>
      </c>
      <c r="AR862">
        <v>0</v>
      </c>
      <c r="AS862">
        <v>0</v>
      </c>
      <c r="AT862">
        <v>0</v>
      </c>
      <c r="AU862">
        <v>0</v>
      </c>
      <c r="AV862">
        <v>0</v>
      </c>
      <c r="AW862">
        <v>0</v>
      </c>
      <c r="AX862" s="141">
        <f t="shared" si="116"/>
        <v>1</v>
      </c>
      <c r="AY862" s="141">
        <f t="shared" si="137"/>
        <v>1</v>
      </c>
      <c r="AZ862">
        <f t="shared" si="138"/>
        <v>0</v>
      </c>
      <c r="BA862">
        <f t="shared" si="139"/>
        <v>0</v>
      </c>
      <c r="BB862">
        <f t="shared" si="140"/>
        <v>1</v>
      </c>
      <c r="BC862">
        <f t="shared" si="141"/>
        <v>0</v>
      </c>
      <c r="BD862">
        <f t="shared" si="142"/>
        <v>0</v>
      </c>
      <c r="BE862" t="str">
        <f t="array" ref="BE862">IF(AY862=1,INDEX($V$7:$AL$7,MATCH(TRUE,INDEX($V862:$AW862&lt;&gt;0,),0)),IF(AY862=0,INDEX($AM$7:$AW$7,MATCH(1,$AM862:$AW862,0)),IF(BF862="Multiple strategies","mixed drivers",IF(BF862="Supply chain","multiple supply","multiple silviculture"))))</f>
        <v>technologies/design switch</v>
      </c>
      <c r="BF862" s="2" t="str" cm="1">
        <f t="array" ref="BF862">IF(COUNTIF(AZ862:BB862,"&lt;&gt;0")=1,INDEX($V$4:$AW$4,MATCH(TRUE,INDEX($V862:$AW862&lt;&gt;0,),0)),IF(COUNTIF(AZ862:BB862,"&lt;&gt;0")=0,INDEX($AM$4:$AW$4,MATCH(1,$AM862:$AW862,0)),"Multiple strategies"))</f>
        <v>Technology</v>
      </c>
      <c r="BG862" s="1" t="s">
        <v>230</v>
      </c>
      <c r="BH862" t="s">
        <v>1164</v>
      </c>
      <c r="BJ862" t="s">
        <v>599</v>
      </c>
      <c r="BK862">
        <v>1106</v>
      </c>
      <c r="BL862">
        <v>2051</v>
      </c>
      <c r="BN862">
        <f t="shared" si="125"/>
        <v>945</v>
      </c>
      <c r="BO862">
        <f>BN862/C_to_CO2*tC_to_m3*10^6</f>
        <v>1118077238.4320416</v>
      </c>
      <c r="BP862" t="s">
        <v>233</v>
      </c>
      <c r="BR862" t="s">
        <v>1165</v>
      </c>
      <c r="BU862" s="144"/>
      <c r="BV862">
        <v>540.6</v>
      </c>
      <c r="BX862">
        <f>BV862*10^6</f>
        <v>540600000</v>
      </c>
      <c r="BY862">
        <f t="shared" si="143"/>
        <v>0.48350863555555557</v>
      </c>
      <c r="BZ862">
        <v>0</v>
      </c>
      <c r="CA862">
        <v>1</v>
      </c>
      <c r="CB862">
        <v>0</v>
      </c>
      <c r="CC862">
        <v>0</v>
      </c>
      <c r="CD862">
        <v>0</v>
      </c>
      <c r="CE862">
        <v>0</v>
      </c>
      <c r="CF862">
        <v>0</v>
      </c>
      <c r="CG862">
        <v>0</v>
      </c>
      <c r="CH862">
        <v>0</v>
      </c>
      <c r="CI862">
        <v>0</v>
      </c>
      <c r="CJ862">
        <v>0</v>
      </c>
      <c r="CK862">
        <v>0</v>
      </c>
      <c r="CL862">
        <v>0</v>
      </c>
      <c r="CM862">
        <v>0</v>
      </c>
      <c r="CN862" t="str">
        <f t="shared" si="135"/>
        <v>refOK</v>
      </c>
      <c r="CO862">
        <f t="shared" si="147"/>
        <v>1106</v>
      </c>
      <c r="CP862">
        <f t="shared" si="148"/>
        <v>2051</v>
      </c>
      <c r="CQ862">
        <f t="shared" si="124"/>
        <v>1118077238.4320416</v>
      </c>
      <c r="CR862">
        <f t="shared" si="111"/>
        <v>0</v>
      </c>
      <c r="CS862">
        <f t="shared" si="136"/>
        <v>0</v>
      </c>
      <c r="CT862">
        <f t="shared" si="121"/>
        <v>540600000</v>
      </c>
      <c r="CU862">
        <f t="shared" si="105"/>
        <v>0.48350863555555557</v>
      </c>
      <c r="CV862" s="2" t="str">
        <f t="shared" si="122"/>
        <v/>
      </c>
      <c r="CW862" s="1" t="s">
        <v>264</v>
      </c>
      <c r="CX862" t="str">
        <f t="shared" si="144"/>
        <v>loc</v>
      </c>
      <c r="CY862" t="s">
        <v>429</v>
      </c>
      <c r="CZ862">
        <v>2008</v>
      </c>
      <c r="DA862">
        <f>CZ862+DB862</f>
        <v>2108</v>
      </c>
      <c r="DB862">
        <v>100</v>
      </c>
      <c r="DC862" t="str">
        <f t="shared" si="145"/>
        <v>71-100</v>
      </c>
      <c r="DD862">
        <v>0</v>
      </c>
      <c r="DE862">
        <v>0</v>
      </c>
      <c r="DF862">
        <v>0</v>
      </c>
      <c r="DG862">
        <v>1</v>
      </c>
      <c r="DI862">
        <f t="shared" si="134"/>
        <v>1</v>
      </c>
      <c r="DJ862" t="str">
        <f t="shared" si="103"/>
        <v>TimberInput</v>
      </c>
      <c r="DK862">
        <f t="shared" si="126"/>
        <v>0</v>
      </c>
      <c r="DL862">
        <f t="shared" si="127"/>
        <v>0</v>
      </c>
      <c r="DM862">
        <f t="shared" si="128"/>
        <v>0</v>
      </c>
      <c r="DN862" t="str">
        <f t="shared" si="129"/>
        <v>Timber</v>
      </c>
      <c r="DO862">
        <v>0</v>
      </c>
      <c r="DP862" s="143">
        <v>0</v>
      </c>
      <c r="DQ862">
        <v>0</v>
      </c>
      <c r="DR862">
        <v>0</v>
      </c>
      <c r="DS862">
        <v>0</v>
      </c>
      <c r="DT862">
        <f t="shared" si="114"/>
        <v>0</v>
      </c>
      <c r="DU862" s="143" t="str">
        <f t="shared" si="149"/>
        <v>explicit C balance</v>
      </c>
      <c r="DV862">
        <v>1</v>
      </c>
      <c r="DW862">
        <v>0</v>
      </c>
      <c r="DX862">
        <v>1</v>
      </c>
      <c r="DY862">
        <v>1</v>
      </c>
      <c r="DZ862">
        <v>1</v>
      </c>
      <c r="EA862">
        <v>1</v>
      </c>
      <c r="EB862">
        <v>1</v>
      </c>
      <c r="EC862">
        <v>1</v>
      </c>
      <c r="ED862">
        <v>0</v>
      </c>
      <c r="EE862">
        <v>1</v>
      </c>
      <c r="EF862">
        <v>0</v>
      </c>
      <c r="EG862">
        <v>0</v>
      </c>
      <c r="EH862">
        <v>0</v>
      </c>
      <c r="EI862" s="2">
        <v>0</v>
      </c>
      <c r="EK862" t="str">
        <f t="shared" si="130"/>
        <v>Whole sector</v>
      </c>
      <c r="EL862" t="str">
        <f t="shared" si="131"/>
        <v/>
      </c>
      <c r="EM862" s="2" t="str">
        <f t="shared" si="146"/>
        <v/>
      </c>
      <c r="EP862" t="str">
        <f>IF(ISNUMBER(BU862),IF(ABS(BU862-[2]QC_indicators!$B$2)&gt;3*[2]QC_indicators!$C$2,"C ratio",IF(ISNUMBER(BY862),IF(ABS(BY862-[2]QC_indicators!$B$1)&gt;3*[2]QC_indicators!$C$1,"DF","no"))),IF(ISNUMBER(BY862),IF(ABS(BY862-[2]QC_indicators!$B$1)&gt;3*[2]QC_indicators!$C$1,"DF","no")))</f>
        <v>no</v>
      </c>
      <c r="EQ862" t="s">
        <v>1166</v>
      </c>
      <c r="ER862" t="s">
        <v>1167</v>
      </c>
      <c r="ET862" s="266" t="s">
        <v>3253</v>
      </c>
    </row>
    <row r="863" spans="1:150" ht="15" hidden="1" customHeight="1">
      <c r="A863" s="1" t="s">
        <v>783</v>
      </c>
      <c r="D863" t="s">
        <v>1158</v>
      </c>
      <c r="E863" t="s">
        <v>1159</v>
      </c>
      <c r="G863" t="s">
        <v>784</v>
      </c>
      <c r="I863">
        <v>2008</v>
      </c>
      <c r="K863" t="s">
        <v>1160</v>
      </c>
      <c r="M863" t="str">
        <f t="shared" si="102"/>
        <v>Upton_2008</v>
      </c>
      <c r="N863" t="s">
        <v>223</v>
      </c>
      <c r="O863" s="145" t="s">
        <v>226</v>
      </c>
      <c r="Q863" t="s">
        <v>257</v>
      </c>
      <c r="R863" s="264" t="s">
        <v>224</v>
      </c>
      <c r="S863" s="1" t="s">
        <v>1168</v>
      </c>
      <c r="T863" t="s">
        <v>1169</v>
      </c>
      <c r="U863" t="s">
        <v>1163</v>
      </c>
      <c r="V863">
        <v>0</v>
      </c>
      <c r="W863">
        <v>0</v>
      </c>
      <c r="X863">
        <v>0</v>
      </c>
      <c r="Y863">
        <v>0</v>
      </c>
      <c r="Z863">
        <v>0</v>
      </c>
      <c r="AA863">
        <v>0</v>
      </c>
      <c r="AB863">
        <v>0</v>
      </c>
      <c r="AC863">
        <v>0</v>
      </c>
      <c r="AD863">
        <v>0</v>
      </c>
      <c r="AE863">
        <v>0</v>
      </c>
      <c r="AF863">
        <v>0</v>
      </c>
      <c r="AG863">
        <v>0</v>
      </c>
      <c r="AH863">
        <v>0</v>
      </c>
      <c r="AI863">
        <v>0</v>
      </c>
      <c r="AJ863">
        <v>0</v>
      </c>
      <c r="AK863">
        <v>1</v>
      </c>
      <c r="AL863">
        <v>0</v>
      </c>
      <c r="AM863">
        <v>0</v>
      </c>
      <c r="AN863">
        <v>0</v>
      </c>
      <c r="AO863">
        <v>0</v>
      </c>
      <c r="AP863">
        <v>0</v>
      </c>
      <c r="AQ863">
        <v>0</v>
      </c>
      <c r="AR863">
        <v>0</v>
      </c>
      <c r="AS863">
        <v>0</v>
      </c>
      <c r="AT863">
        <v>0</v>
      </c>
      <c r="AU863">
        <v>0</v>
      </c>
      <c r="AV863">
        <v>0</v>
      </c>
      <c r="AW863">
        <v>0</v>
      </c>
      <c r="AX863" s="141">
        <f t="shared" si="116"/>
        <v>1</v>
      </c>
      <c r="AY863" s="141">
        <f t="shared" si="137"/>
        <v>1</v>
      </c>
      <c r="AZ863">
        <f t="shared" si="138"/>
        <v>0</v>
      </c>
      <c r="BA863">
        <f t="shared" si="139"/>
        <v>0</v>
      </c>
      <c r="BB863">
        <f t="shared" si="140"/>
        <v>1</v>
      </c>
      <c r="BC863">
        <f t="shared" si="141"/>
        <v>0</v>
      </c>
      <c r="BD863">
        <f t="shared" si="142"/>
        <v>0</v>
      </c>
      <c r="BE863" t="str">
        <f t="array" ref="BE863">IF(AY863=1,INDEX($V$7:$AL$7,MATCH(TRUE,INDEX($V863:$AW863&lt;&gt;0,),0)),IF(AY863=0,INDEX($AM$7:$AW$7,MATCH(1,$AM863:$AW863,0)),IF(BF863="Multiple strategies","mixed drivers",IF(BF863="Supply chain","multiple supply","multiple silviculture"))))</f>
        <v>technologies/design switch</v>
      </c>
      <c r="BF863" s="2" t="str" cm="1">
        <f t="array" ref="BF863">IF(COUNTIF(AZ863:BB863,"&lt;&gt;0")=1,INDEX($V$4:$AW$4,MATCH(TRUE,INDEX($V863:$AW863&lt;&gt;0,),0)),IF(COUNTIF(AZ863:BB863,"&lt;&gt;0")=0,INDEX($AM$4:$AW$4,MATCH(1,$AM863:$AW863,0)),"Multiple strategies"))</f>
        <v>Technology</v>
      </c>
      <c r="BG863" s="1" t="s">
        <v>230</v>
      </c>
      <c r="BH863" t="s">
        <v>1164</v>
      </c>
      <c r="BJ863" t="s">
        <v>599</v>
      </c>
      <c r="BK863">
        <v>1338</v>
      </c>
      <c r="BL863">
        <v>1623</v>
      </c>
      <c r="BN863">
        <f t="shared" si="125"/>
        <v>285</v>
      </c>
      <c r="BO863">
        <f>BN863/C_to_CO2*tC_to_m3*10^6</f>
        <v>337197897.30490154</v>
      </c>
      <c r="BP863" t="s">
        <v>233</v>
      </c>
      <c r="BR863" t="s">
        <v>1165</v>
      </c>
      <c r="BU863" s="144"/>
      <c r="BV863">
        <v>1253.8</v>
      </c>
      <c r="BX863">
        <f>BV863*10^6</f>
        <v>1253800000</v>
      </c>
      <c r="BY863">
        <f t="shared" si="143"/>
        <v>3.718291276491227</v>
      </c>
      <c r="BZ863">
        <v>0</v>
      </c>
      <c r="CA863">
        <v>1</v>
      </c>
      <c r="CB863">
        <v>0</v>
      </c>
      <c r="CC863">
        <v>0</v>
      </c>
      <c r="CD863">
        <v>0</v>
      </c>
      <c r="CE863">
        <v>0</v>
      </c>
      <c r="CF863">
        <v>0</v>
      </c>
      <c r="CG863">
        <v>0</v>
      </c>
      <c r="CH863">
        <v>0</v>
      </c>
      <c r="CI863">
        <v>0</v>
      </c>
      <c r="CJ863">
        <v>0</v>
      </c>
      <c r="CK863">
        <v>0</v>
      </c>
      <c r="CL863">
        <v>0</v>
      </c>
      <c r="CM863">
        <v>0</v>
      </c>
      <c r="CN863" t="str">
        <f t="shared" si="135"/>
        <v>refOK</v>
      </c>
      <c r="CO863">
        <f t="shared" si="147"/>
        <v>1338</v>
      </c>
      <c r="CP863">
        <f t="shared" si="148"/>
        <v>1623</v>
      </c>
      <c r="CQ863">
        <f t="shared" si="124"/>
        <v>337197897.30490154</v>
      </c>
      <c r="CR863">
        <f t="shared" si="111"/>
        <v>0</v>
      </c>
      <c r="CS863">
        <f t="shared" si="136"/>
        <v>0</v>
      </c>
      <c r="CT863">
        <f t="shared" si="121"/>
        <v>1253800000</v>
      </c>
      <c r="CU863">
        <f t="shared" si="105"/>
        <v>3.718291276491227</v>
      </c>
      <c r="CV863" s="2" t="str">
        <f t="shared" si="122"/>
        <v/>
      </c>
      <c r="CW863" s="1" t="s">
        <v>264</v>
      </c>
      <c r="CX863" t="str">
        <f t="shared" si="144"/>
        <v>loc</v>
      </c>
      <c r="CY863" t="s">
        <v>429</v>
      </c>
      <c r="CZ863">
        <v>2008</v>
      </c>
      <c r="DA863">
        <f>CZ863+DB863</f>
        <v>2108</v>
      </c>
      <c r="DB863">
        <v>100</v>
      </c>
      <c r="DC863" t="str">
        <f t="shared" si="145"/>
        <v>71-100</v>
      </c>
      <c r="DD863">
        <v>0</v>
      </c>
      <c r="DE863">
        <v>0</v>
      </c>
      <c r="DF863">
        <v>0</v>
      </c>
      <c r="DG863">
        <v>1</v>
      </c>
      <c r="DI863">
        <f t="shared" si="134"/>
        <v>1</v>
      </c>
      <c r="DJ863" t="str">
        <f t="shared" si="103"/>
        <v>TimberInput</v>
      </c>
      <c r="DK863">
        <f t="shared" si="126"/>
        <v>0</v>
      </c>
      <c r="DL863">
        <f t="shared" si="127"/>
        <v>0</v>
      </c>
      <c r="DM863">
        <f t="shared" si="128"/>
        <v>0</v>
      </c>
      <c r="DN863" t="str">
        <f t="shared" si="129"/>
        <v>Timber</v>
      </c>
      <c r="DO863">
        <v>0</v>
      </c>
      <c r="DP863" s="143">
        <v>0</v>
      </c>
      <c r="DQ863">
        <v>0</v>
      </c>
      <c r="DR863">
        <v>0</v>
      </c>
      <c r="DS863">
        <v>0</v>
      </c>
      <c r="DT863">
        <f t="shared" si="114"/>
        <v>0</v>
      </c>
      <c r="DU863" s="143" t="str">
        <f t="shared" si="149"/>
        <v>explicit C balance</v>
      </c>
      <c r="DV863">
        <v>1</v>
      </c>
      <c r="DW863">
        <v>0</v>
      </c>
      <c r="DX863">
        <v>1</v>
      </c>
      <c r="DY863">
        <v>1</v>
      </c>
      <c r="DZ863">
        <v>1</v>
      </c>
      <c r="EA863">
        <v>1</v>
      </c>
      <c r="EB863">
        <v>1</v>
      </c>
      <c r="EC863">
        <v>1</v>
      </c>
      <c r="ED863">
        <v>0</v>
      </c>
      <c r="EE863">
        <v>1</v>
      </c>
      <c r="EF863">
        <v>0</v>
      </c>
      <c r="EG863">
        <v>0</v>
      </c>
      <c r="EH863">
        <v>0</v>
      </c>
      <c r="EI863" s="2">
        <v>0</v>
      </c>
      <c r="EK863" t="str">
        <f t="shared" si="130"/>
        <v>Whole sector</v>
      </c>
      <c r="EL863" t="str">
        <f t="shared" si="131"/>
        <v/>
      </c>
      <c r="EM863" s="2" t="str">
        <f t="shared" si="146"/>
        <v/>
      </c>
      <c r="EP863" t="str">
        <f>IF(ISNUMBER(BU863),IF(ABS(BU863-[2]QC_indicators!$B$2)&gt;3*[2]QC_indicators!$C$2,"C ratio",IF(ISNUMBER(BY863),IF(ABS(BY863-[2]QC_indicators!$B$1)&gt;3*[2]QC_indicators!$C$1,"DF","no"))),IF(ISNUMBER(BY863),IF(ABS(BY863-[2]QC_indicators!$B$1)&gt;3*[2]QC_indicators!$C$1,"DF","no")))</f>
        <v>no</v>
      </c>
      <c r="EQ863" t="s">
        <v>1166</v>
      </c>
      <c r="ER863" t="s">
        <v>1167</v>
      </c>
      <c r="ET863" s="266" t="s">
        <v>3253</v>
      </c>
    </row>
    <row r="864" spans="1:150" ht="15" hidden="1" customHeight="1">
      <c r="A864" s="1" t="s">
        <v>783</v>
      </c>
      <c r="D864" t="s">
        <v>1158</v>
      </c>
      <c r="E864" t="s">
        <v>1159</v>
      </c>
      <c r="G864" t="s">
        <v>784</v>
      </c>
      <c r="I864">
        <v>2008</v>
      </c>
      <c r="K864" t="s">
        <v>1160</v>
      </c>
      <c r="M864" t="str">
        <f t="shared" si="102"/>
        <v>Upton_2008</v>
      </c>
      <c r="N864" t="s">
        <v>223</v>
      </c>
      <c r="O864" s="145" t="s">
        <v>226</v>
      </c>
      <c r="Q864" t="s">
        <v>257</v>
      </c>
      <c r="R864" s="264" t="s">
        <v>224</v>
      </c>
      <c r="S864" s="1" t="s">
        <v>1168</v>
      </c>
      <c r="T864" t="s">
        <v>1169</v>
      </c>
      <c r="U864" t="s">
        <v>1163</v>
      </c>
      <c r="V864">
        <v>0</v>
      </c>
      <c r="W864">
        <v>0</v>
      </c>
      <c r="X864">
        <v>0</v>
      </c>
      <c r="Y864">
        <v>0</v>
      </c>
      <c r="Z864">
        <v>0</v>
      </c>
      <c r="AA864">
        <v>0</v>
      </c>
      <c r="AB864">
        <v>0</v>
      </c>
      <c r="AC864">
        <v>0</v>
      </c>
      <c r="AD864">
        <v>0</v>
      </c>
      <c r="AE864">
        <v>0</v>
      </c>
      <c r="AF864">
        <v>0</v>
      </c>
      <c r="AG864">
        <v>0</v>
      </c>
      <c r="AH864">
        <v>0</v>
      </c>
      <c r="AI864">
        <v>0</v>
      </c>
      <c r="AJ864">
        <v>0</v>
      </c>
      <c r="AK864">
        <v>1</v>
      </c>
      <c r="AL864">
        <v>0</v>
      </c>
      <c r="AM864">
        <v>0</v>
      </c>
      <c r="AN864">
        <v>0</v>
      </c>
      <c r="AO864">
        <v>0</v>
      </c>
      <c r="AP864">
        <v>0</v>
      </c>
      <c r="AQ864">
        <v>0</v>
      </c>
      <c r="AR864">
        <v>0</v>
      </c>
      <c r="AS864">
        <v>0</v>
      </c>
      <c r="AT864">
        <v>0</v>
      </c>
      <c r="AU864">
        <v>0</v>
      </c>
      <c r="AV864">
        <v>0</v>
      </c>
      <c r="AW864">
        <v>0</v>
      </c>
      <c r="AX864" s="141">
        <f t="shared" si="116"/>
        <v>1</v>
      </c>
      <c r="AY864" s="141">
        <f t="shared" si="137"/>
        <v>1</v>
      </c>
      <c r="AZ864">
        <f t="shared" si="138"/>
        <v>0</v>
      </c>
      <c r="BA864">
        <f t="shared" si="139"/>
        <v>0</v>
      </c>
      <c r="BB864">
        <f t="shared" si="140"/>
        <v>1</v>
      </c>
      <c r="BC864">
        <f t="shared" si="141"/>
        <v>0</v>
      </c>
      <c r="BD864">
        <f t="shared" si="142"/>
        <v>0</v>
      </c>
      <c r="BE864" t="str">
        <f t="array" ref="BE864">IF(AY864=1,INDEX($V$7:$AL$7,MATCH(TRUE,INDEX($V864:$AW864&lt;&gt;0,),0)),IF(AY864=0,INDEX($AM$7:$AW$7,MATCH(1,$AM864:$AW864,0)),IF(BF864="Multiple strategies","mixed drivers",IF(BF864="Supply chain","multiple supply","multiple silviculture"))))</f>
        <v>technologies/design switch</v>
      </c>
      <c r="BF864" s="2" t="str" cm="1">
        <f t="array" ref="BF864">IF(COUNTIF(AZ864:BB864,"&lt;&gt;0")=1,INDEX($V$4:$AW$4,MATCH(TRUE,INDEX($V864:$AW864&lt;&gt;0,),0)),IF(COUNTIF(AZ864:BB864,"&lt;&gt;0")=0,INDEX($AM$4:$AW$4,MATCH(1,$AM864:$AW864,0)),"Multiple strategies"))</f>
        <v>Technology</v>
      </c>
      <c r="BG864" s="1" t="s">
        <v>230</v>
      </c>
      <c r="BH864" t="s">
        <v>1164</v>
      </c>
      <c r="BJ864" t="s">
        <v>599</v>
      </c>
      <c r="BK864">
        <v>1338</v>
      </c>
      <c r="BL864">
        <v>1623</v>
      </c>
      <c r="BN864">
        <f t="shared" si="125"/>
        <v>285</v>
      </c>
      <c r="BO864">
        <f>BN864/C_to_CO2*tC_to_m3*10^6</f>
        <v>337197897.30490154</v>
      </c>
      <c r="BP864" t="s">
        <v>233</v>
      </c>
      <c r="BR864" t="s">
        <v>1165</v>
      </c>
      <c r="BS864">
        <v>-2538</v>
      </c>
      <c r="BT864">
        <v>-1256</v>
      </c>
      <c r="BU864" s="144">
        <v>0.49487785657998423</v>
      </c>
      <c r="BV864">
        <v>1282</v>
      </c>
      <c r="BX864">
        <f>BV864*10^6</f>
        <v>1282000000</v>
      </c>
      <c r="BY864">
        <f t="shared" si="143"/>
        <v>3.8019216912280691</v>
      </c>
      <c r="BZ864">
        <v>0</v>
      </c>
      <c r="CA864">
        <v>1</v>
      </c>
      <c r="CB864">
        <v>0</v>
      </c>
      <c r="CC864">
        <v>0</v>
      </c>
      <c r="CD864">
        <v>0</v>
      </c>
      <c r="CE864">
        <v>0</v>
      </c>
      <c r="CF864">
        <v>0</v>
      </c>
      <c r="CG864">
        <v>0</v>
      </c>
      <c r="CH864">
        <v>0</v>
      </c>
      <c r="CI864">
        <v>0</v>
      </c>
      <c r="CJ864">
        <v>0</v>
      </c>
      <c r="CK864">
        <v>0</v>
      </c>
      <c r="CL864">
        <v>0</v>
      </c>
      <c r="CM864">
        <v>0</v>
      </c>
      <c r="CN864" t="str">
        <f t="shared" si="135"/>
        <v>refOK</v>
      </c>
      <c r="CO864">
        <f t="shared" si="147"/>
        <v>1338</v>
      </c>
      <c r="CP864">
        <f t="shared" si="148"/>
        <v>1623</v>
      </c>
      <c r="CQ864">
        <f t="shared" si="124"/>
        <v>337197897.30490154</v>
      </c>
      <c r="CR864">
        <f t="shared" si="111"/>
        <v>-2538</v>
      </c>
      <c r="CS864">
        <f t="shared" si="136"/>
        <v>-1256</v>
      </c>
      <c r="CT864">
        <f t="shared" si="121"/>
        <v>1282000000</v>
      </c>
      <c r="CU864">
        <f t="shared" si="105"/>
        <v>3.8019216912280691</v>
      </c>
      <c r="CV864" s="2">
        <f t="shared" si="122"/>
        <v>0.50512214342001571</v>
      </c>
      <c r="CW864" s="1" t="s">
        <v>264</v>
      </c>
      <c r="CX864" t="str">
        <f t="shared" si="144"/>
        <v>loc</v>
      </c>
      <c r="CY864" t="s">
        <v>429</v>
      </c>
      <c r="CZ864">
        <v>2008</v>
      </c>
      <c r="DA864">
        <f>CZ864+DB864</f>
        <v>2108</v>
      </c>
      <c r="DB864">
        <v>100</v>
      </c>
      <c r="DC864" t="str">
        <f t="shared" si="145"/>
        <v>71-100</v>
      </c>
      <c r="DD864">
        <v>0</v>
      </c>
      <c r="DE864">
        <v>0</v>
      </c>
      <c r="DF864">
        <v>0</v>
      </c>
      <c r="DG864">
        <v>1</v>
      </c>
      <c r="DI864">
        <f t="shared" si="134"/>
        <v>1</v>
      </c>
      <c r="DJ864" t="str">
        <f t="shared" si="103"/>
        <v>TimberInput</v>
      </c>
      <c r="DK864">
        <f t="shared" si="126"/>
        <v>0</v>
      </c>
      <c r="DL864">
        <f t="shared" si="127"/>
        <v>0</v>
      </c>
      <c r="DM864">
        <f t="shared" si="128"/>
        <v>0</v>
      </c>
      <c r="DN864" t="str">
        <f t="shared" si="129"/>
        <v>Timber</v>
      </c>
      <c r="DO864">
        <v>0</v>
      </c>
      <c r="DP864" s="143">
        <v>0</v>
      </c>
      <c r="DQ864">
        <v>0</v>
      </c>
      <c r="DR864">
        <v>0</v>
      </c>
      <c r="DS864">
        <v>0</v>
      </c>
      <c r="DT864">
        <f t="shared" si="114"/>
        <v>0</v>
      </c>
      <c r="DU864" s="143" t="str">
        <f t="shared" si="149"/>
        <v>explicit C balance</v>
      </c>
      <c r="DV864">
        <v>1</v>
      </c>
      <c r="DW864">
        <v>0</v>
      </c>
      <c r="DX864">
        <v>1</v>
      </c>
      <c r="DY864">
        <v>1</v>
      </c>
      <c r="DZ864">
        <v>1</v>
      </c>
      <c r="EA864">
        <v>0</v>
      </c>
      <c r="EB864">
        <v>1</v>
      </c>
      <c r="EC864">
        <v>1</v>
      </c>
      <c r="ED864">
        <v>0</v>
      </c>
      <c r="EE864">
        <v>1</v>
      </c>
      <c r="EF864">
        <v>0</v>
      </c>
      <c r="EG864">
        <v>0</v>
      </c>
      <c r="EH864">
        <v>0</v>
      </c>
      <c r="EI864" s="2">
        <v>0</v>
      </c>
      <c r="EK864" t="str">
        <f t="shared" si="130"/>
        <v>Whole sector</v>
      </c>
      <c r="EL864" t="str">
        <f t="shared" si="131"/>
        <v/>
      </c>
      <c r="EM864" s="2" t="str">
        <f t="shared" si="146"/>
        <v/>
      </c>
      <c r="EP864" t="str">
        <f>IF(ISNUMBER(BU864),IF(ABS(BU864-[2]QC_indicators!$B$2)&gt;3*[2]QC_indicators!$C$2,"C ratio",IF(ISNUMBER(BY864),IF(ABS(BY864-[2]QC_indicators!$B$1)&gt;3*[2]QC_indicators!$C$1,"DF","no"))),IF(ISNUMBER(BY864),IF(ABS(BY864-[2]QC_indicators!$B$1)&gt;3*[2]QC_indicators!$C$1,"DF","no")))</f>
        <v>no</v>
      </c>
      <c r="EQ864" t="s">
        <v>1166</v>
      </c>
      <c r="ER864" t="s">
        <v>1167</v>
      </c>
      <c r="ET864" s="266" t="s">
        <v>3253</v>
      </c>
    </row>
    <row r="865" spans="1:150" ht="15" hidden="1" customHeight="1">
      <c r="A865" s="1" t="s">
        <v>334</v>
      </c>
      <c r="B865" t="s">
        <v>335</v>
      </c>
      <c r="C865" t="s">
        <v>336</v>
      </c>
      <c r="D865" t="s">
        <v>337</v>
      </c>
      <c r="E865" t="s">
        <v>338</v>
      </c>
      <c r="F865" t="s">
        <v>339</v>
      </c>
      <c r="G865" t="s">
        <v>340</v>
      </c>
      <c r="I865">
        <v>2017</v>
      </c>
      <c r="K865" t="s">
        <v>341</v>
      </c>
      <c r="M865" t="str">
        <f t="shared" si="102"/>
        <v>Balasbaneh_2017</v>
      </c>
      <c r="N865" t="s">
        <v>223</v>
      </c>
      <c r="O865" s="140" t="s">
        <v>342</v>
      </c>
      <c r="Q865" t="s">
        <v>225</v>
      </c>
      <c r="R865" s="264" t="s">
        <v>224</v>
      </c>
      <c r="S865" s="1" t="s">
        <v>380</v>
      </c>
      <c r="T865" t="s">
        <v>372</v>
      </c>
      <c r="U865" t="s">
        <v>352</v>
      </c>
      <c r="V865">
        <v>0</v>
      </c>
      <c r="W865">
        <v>0</v>
      </c>
      <c r="X865">
        <v>0</v>
      </c>
      <c r="Y865">
        <v>0</v>
      </c>
      <c r="Z865">
        <v>0</v>
      </c>
      <c r="AA865">
        <v>0</v>
      </c>
      <c r="AB865">
        <v>0</v>
      </c>
      <c r="AC865">
        <v>0</v>
      </c>
      <c r="AD865">
        <v>0</v>
      </c>
      <c r="AE865">
        <v>0</v>
      </c>
      <c r="AF865">
        <v>0</v>
      </c>
      <c r="AG865">
        <v>0</v>
      </c>
      <c r="AH865">
        <v>0</v>
      </c>
      <c r="AI865">
        <v>0</v>
      </c>
      <c r="AJ865">
        <v>0</v>
      </c>
      <c r="AK865">
        <v>1</v>
      </c>
      <c r="AL865">
        <v>0</v>
      </c>
      <c r="AM865">
        <v>0</v>
      </c>
      <c r="AN865">
        <v>0</v>
      </c>
      <c r="AO865">
        <v>0</v>
      </c>
      <c r="AP865">
        <v>0</v>
      </c>
      <c r="AQ865">
        <v>0</v>
      </c>
      <c r="AR865">
        <v>0</v>
      </c>
      <c r="AS865">
        <v>0</v>
      </c>
      <c r="AT865">
        <v>0</v>
      </c>
      <c r="AU865">
        <v>0</v>
      </c>
      <c r="AV865">
        <v>0</v>
      </c>
      <c r="AW865">
        <v>0</v>
      </c>
      <c r="AX865" s="141">
        <f t="shared" si="116"/>
        <v>1</v>
      </c>
      <c r="AY865" s="141">
        <f t="shared" si="137"/>
        <v>1</v>
      </c>
      <c r="AZ865">
        <f t="shared" si="138"/>
        <v>0</v>
      </c>
      <c r="BA865">
        <f t="shared" si="139"/>
        <v>0</v>
      </c>
      <c r="BB865">
        <f t="shared" si="140"/>
        <v>1</v>
      </c>
      <c r="BC865">
        <f t="shared" si="141"/>
        <v>0</v>
      </c>
      <c r="BD865">
        <f t="shared" si="142"/>
        <v>0</v>
      </c>
      <c r="BE865" t="str">
        <f t="array" ref="BE865">IF(AY865=1,INDEX($V$7:$AL$7,MATCH(TRUE,INDEX($V865:$AW865&lt;&gt;0,),0)),IF(AY865=0,INDEX($AM$7:$AW$7,MATCH(1,$AM865:$AW865,0)),IF(BF865="Multiple strategies","mixed drivers",IF(BF865="Supply chain","multiple supply","multiple silviculture"))))</f>
        <v>technologies/design switch</v>
      </c>
      <c r="BF865" s="2" t="str" cm="1">
        <f t="array" ref="BF865">IF(COUNTIF(AZ865:BB865,"&lt;&gt;0")=1,INDEX($V$4:$AW$4,MATCH(TRUE,INDEX($V865:$AW865&lt;&gt;0,),0)),IF(COUNTIF(AZ865:BB865,"&lt;&gt;0")=0,INDEX($AM$4:$AW$4,MATCH(1,$AM865:$AW865,0)),"Multiple strategies"))</f>
        <v>Technology</v>
      </c>
      <c r="BG865" s="1" t="s">
        <v>230</v>
      </c>
      <c r="BH865" t="s">
        <v>230</v>
      </c>
      <c r="BI865" s="266" t="s">
        <v>411</v>
      </c>
      <c r="BJ865" t="s">
        <v>346</v>
      </c>
      <c r="BK865">
        <v>0</v>
      </c>
      <c r="BL865">
        <v>23500</v>
      </c>
      <c r="BM865" s="143"/>
      <c r="BN865">
        <f t="shared" si="125"/>
        <v>23500</v>
      </c>
      <c r="BO865" s="143">
        <f t="shared" ref="BO865:BO883" si="150">BN865*kg_to_m3</f>
        <v>47.95918367346939</v>
      </c>
      <c r="BP865" t="s">
        <v>233</v>
      </c>
      <c r="BQ865" s="266" t="s">
        <v>397</v>
      </c>
      <c r="BR865" t="s">
        <v>347</v>
      </c>
      <c r="BS865">
        <v>-32500</v>
      </c>
      <c r="BT865">
        <v>-5830</v>
      </c>
      <c r="BU865" s="144">
        <v>0.17938461538461539</v>
      </c>
      <c r="BV865">
        <f t="shared" ref="BV865:BV873" si="151">BT865-BS865</f>
        <v>26670</v>
      </c>
      <c r="BX865">
        <f t="shared" ref="BX865:BX883" si="152">BV865/1000</f>
        <v>26.67</v>
      </c>
      <c r="BY865">
        <f t="shared" si="143"/>
        <v>0.55609787234042551</v>
      </c>
      <c r="BZ865">
        <v>0</v>
      </c>
      <c r="CA865">
        <v>0</v>
      </c>
      <c r="CB865">
        <v>0</v>
      </c>
      <c r="CC865">
        <v>0</v>
      </c>
      <c r="CD865">
        <v>0</v>
      </c>
      <c r="CE865">
        <v>0</v>
      </c>
      <c r="CF865">
        <v>0</v>
      </c>
      <c r="CG865">
        <v>0</v>
      </c>
      <c r="CH865">
        <v>0</v>
      </c>
      <c r="CI865">
        <v>0</v>
      </c>
      <c r="CJ865">
        <v>0</v>
      </c>
      <c r="CK865">
        <v>0</v>
      </c>
      <c r="CL865">
        <v>0</v>
      </c>
      <c r="CM865">
        <v>0</v>
      </c>
      <c r="CN865" t="str">
        <f t="shared" si="135"/>
        <v>refOK</v>
      </c>
      <c r="CO865">
        <f t="shared" si="147"/>
        <v>0</v>
      </c>
      <c r="CP865">
        <f t="shared" si="148"/>
        <v>23500</v>
      </c>
      <c r="CQ865">
        <f t="shared" si="124"/>
        <v>47.95918367346939</v>
      </c>
      <c r="CR865">
        <f t="shared" si="111"/>
        <v>-32500</v>
      </c>
      <c r="CS865">
        <f t="shared" si="136"/>
        <v>-5830</v>
      </c>
      <c r="CT865">
        <f t="shared" si="121"/>
        <v>26.67</v>
      </c>
      <c r="CU865">
        <f t="shared" si="105"/>
        <v>0.55609787234042551</v>
      </c>
      <c r="CV865" s="2">
        <f t="shared" si="122"/>
        <v>0.82061538461538464</v>
      </c>
      <c r="CW865" s="1" t="s">
        <v>348</v>
      </c>
      <c r="CX865" t="str">
        <f t="shared" si="144"/>
        <v>loc</v>
      </c>
      <c r="CY865" t="s">
        <v>349</v>
      </c>
      <c r="CZ865">
        <v>2014</v>
      </c>
      <c r="DA865">
        <v>2114</v>
      </c>
      <c r="DB865">
        <v>100</v>
      </c>
      <c r="DC865" t="str">
        <f t="shared" si="145"/>
        <v>71-100</v>
      </c>
      <c r="DD865">
        <v>0</v>
      </c>
      <c r="DE865">
        <v>0</v>
      </c>
      <c r="DF865">
        <v>0</v>
      </c>
      <c r="DG865">
        <v>1</v>
      </c>
      <c r="DI865">
        <f t="shared" si="134"/>
        <v>1</v>
      </c>
      <c r="DJ865" t="str">
        <f t="shared" si="103"/>
        <v>TimberInput</v>
      </c>
      <c r="DK865">
        <f t="shared" si="126"/>
        <v>0</v>
      </c>
      <c r="DL865">
        <f t="shared" si="127"/>
        <v>0</v>
      </c>
      <c r="DM865">
        <f t="shared" si="128"/>
        <v>0</v>
      </c>
      <c r="DN865" t="str">
        <f t="shared" si="129"/>
        <v>Timber</v>
      </c>
      <c r="DO865">
        <v>0</v>
      </c>
      <c r="DP865">
        <v>0</v>
      </c>
      <c r="DQ865">
        <v>0</v>
      </c>
      <c r="DR865">
        <v>0</v>
      </c>
      <c r="DS865">
        <v>0</v>
      </c>
      <c r="DT865">
        <f t="shared" si="114"/>
        <v>0</v>
      </c>
      <c r="DU865" s="143" t="str">
        <f t="shared" si="149"/>
        <v>explicit C balance</v>
      </c>
      <c r="DV865">
        <v>0</v>
      </c>
      <c r="DW865">
        <v>0</v>
      </c>
      <c r="DX865">
        <v>0</v>
      </c>
      <c r="DY865">
        <v>1</v>
      </c>
      <c r="DZ865">
        <v>0</v>
      </c>
      <c r="EA865" s="143">
        <v>1</v>
      </c>
      <c r="EB865">
        <v>0</v>
      </c>
      <c r="EC865">
        <v>1</v>
      </c>
      <c r="ED865">
        <v>1</v>
      </c>
      <c r="EE865">
        <v>1</v>
      </c>
      <c r="EF865">
        <v>0</v>
      </c>
      <c r="EG865">
        <v>0</v>
      </c>
      <c r="EH865">
        <v>0</v>
      </c>
      <c r="EI865" s="2">
        <v>0</v>
      </c>
      <c r="EK865" t="str">
        <f t="shared" si="130"/>
        <v/>
      </c>
      <c r="EL865" t="str">
        <f t="shared" si="131"/>
        <v/>
      </c>
      <c r="EM865" s="2" t="str">
        <f t="shared" si="146"/>
        <v>Technology approach</v>
      </c>
      <c r="EP865" t="str">
        <f>IF(ISNUMBER(BU865),IF(ABS(BU865-[2]QC_indicators!$B$2)&gt;3*[2]QC_indicators!$C$2,"C ratio",IF(ISNUMBER(BY865),IF(ABS(BY865-[2]QC_indicators!$B$1)&gt;3*[2]QC_indicators!$C$1,"DF","no"))),IF(ISNUMBER(BY865),IF(ABS(BY865-[2]QC_indicators!$B$1)&gt;3*[2]QC_indicators!$C$1,"DF","no")))</f>
        <v>no</v>
      </c>
      <c r="ER865" s="149" t="s">
        <v>350</v>
      </c>
      <c r="ET865" s="266" t="s">
        <v>3275</v>
      </c>
    </row>
    <row r="866" spans="1:150" ht="15" hidden="1" customHeight="1">
      <c r="A866" s="1" t="s">
        <v>334</v>
      </c>
      <c r="B866" t="s">
        <v>335</v>
      </c>
      <c r="C866" t="s">
        <v>336</v>
      </c>
      <c r="D866" t="s">
        <v>337</v>
      </c>
      <c r="E866" t="s">
        <v>338</v>
      </c>
      <c r="F866" t="s">
        <v>339</v>
      </c>
      <c r="G866" t="s">
        <v>340</v>
      </c>
      <c r="I866">
        <v>2017</v>
      </c>
      <c r="K866" t="s">
        <v>341</v>
      </c>
      <c r="M866" t="str">
        <f t="shared" si="102"/>
        <v>Balasbaneh_2017</v>
      </c>
      <c r="N866" t="s">
        <v>223</v>
      </c>
      <c r="O866" s="140" t="s">
        <v>342</v>
      </c>
      <c r="Q866" t="s">
        <v>225</v>
      </c>
      <c r="R866" s="264" t="s">
        <v>224</v>
      </c>
      <c r="S866" s="1" t="s">
        <v>378</v>
      </c>
      <c r="T866" t="s">
        <v>372</v>
      </c>
      <c r="U866" t="s">
        <v>352</v>
      </c>
      <c r="V866">
        <v>0</v>
      </c>
      <c r="W866">
        <v>0</v>
      </c>
      <c r="X866">
        <v>0</v>
      </c>
      <c r="Y866">
        <v>0</v>
      </c>
      <c r="Z866">
        <v>0</v>
      </c>
      <c r="AA866">
        <v>0</v>
      </c>
      <c r="AB866">
        <v>0</v>
      </c>
      <c r="AC866">
        <v>0</v>
      </c>
      <c r="AD866">
        <v>0</v>
      </c>
      <c r="AE866">
        <v>0</v>
      </c>
      <c r="AF866">
        <v>0</v>
      </c>
      <c r="AG866">
        <v>0</v>
      </c>
      <c r="AH866">
        <v>0</v>
      </c>
      <c r="AI866">
        <v>0</v>
      </c>
      <c r="AJ866">
        <v>0</v>
      </c>
      <c r="AK866">
        <v>1</v>
      </c>
      <c r="AL866">
        <v>0</v>
      </c>
      <c r="AM866">
        <v>0</v>
      </c>
      <c r="AN866">
        <v>0</v>
      </c>
      <c r="AO866">
        <v>0</v>
      </c>
      <c r="AP866">
        <v>0</v>
      </c>
      <c r="AQ866">
        <v>0</v>
      </c>
      <c r="AR866">
        <v>0</v>
      </c>
      <c r="AS866">
        <v>0</v>
      </c>
      <c r="AT866">
        <v>0</v>
      </c>
      <c r="AU866">
        <v>0</v>
      </c>
      <c r="AV866">
        <v>0</v>
      </c>
      <c r="AW866">
        <v>0</v>
      </c>
      <c r="AX866" s="141">
        <f t="shared" si="116"/>
        <v>1</v>
      </c>
      <c r="AY866" s="141">
        <f t="shared" si="137"/>
        <v>1</v>
      </c>
      <c r="AZ866">
        <f t="shared" si="138"/>
        <v>0</v>
      </c>
      <c r="BA866">
        <f t="shared" si="139"/>
        <v>0</v>
      </c>
      <c r="BB866">
        <f t="shared" si="140"/>
        <v>1</v>
      </c>
      <c r="BC866">
        <f t="shared" si="141"/>
        <v>0</v>
      </c>
      <c r="BD866">
        <f t="shared" si="142"/>
        <v>0</v>
      </c>
      <c r="BE866" t="str">
        <f t="array" ref="BE866">IF(AY866=1,INDEX($V$7:$AL$7,MATCH(TRUE,INDEX($V866:$AW866&lt;&gt;0,),0)),IF(AY866=0,INDEX($AM$7:$AW$7,MATCH(1,$AM866:$AW866,0)),IF(BF866="Multiple strategies","mixed drivers",IF(BF866="Supply chain","multiple supply","multiple silviculture"))))</f>
        <v>technologies/design switch</v>
      </c>
      <c r="BF866" s="2" t="str" cm="1">
        <f t="array" ref="BF866">IF(COUNTIF(AZ866:BB866,"&lt;&gt;0")=1,INDEX($V$4:$AW$4,MATCH(TRUE,INDEX($V866:$AW866&lt;&gt;0,),0)),IF(COUNTIF(AZ866:BB866,"&lt;&gt;0")=0,INDEX($AM$4:$AW$4,MATCH(1,$AM866:$AW866,0)),"Multiple strategies"))</f>
        <v>Technology</v>
      </c>
      <c r="BG866" s="1" t="s">
        <v>230</v>
      </c>
      <c r="BH866" t="s">
        <v>230</v>
      </c>
      <c r="BI866" s="266" t="s">
        <v>411</v>
      </c>
      <c r="BJ866" t="s">
        <v>346</v>
      </c>
      <c r="BK866">
        <v>0</v>
      </c>
      <c r="BL866">
        <v>23500</v>
      </c>
      <c r="BM866" s="143"/>
      <c r="BN866">
        <f t="shared" si="125"/>
        <v>23500</v>
      </c>
      <c r="BO866" s="143">
        <f t="shared" si="150"/>
        <v>47.95918367346939</v>
      </c>
      <c r="BP866" t="s">
        <v>233</v>
      </c>
      <c r="BQ866" s="266" t="s">
        <v>397</v>
      </c>
      <c r="BR866" t="s">
        <v>347</v>
      </c>
      <c r="BS866">
        <v>-30600</v>
      </c>
      <c r="BT866">
        <v>-5800</v>
      </c>
      <c r="BU866" s="144">
        <v>0.18954248366013071</v>
      </c>
      <c r="BV866">
        <f t="shared" si="151"/>
        <v>24800</v>
      </c>
      <c r="BX866">
        <f t="shared" si="152"/>
        <v>24.8</v>
      </c>
      <c r="BY866">
        <f t="shared" si="143"/>
        <v>0.51710638297872336</v>
      </c>
      <c r="BZ866">
        <v>0</v>
      </c>
      <c r="CA866">
        <v>0</v>
      </c>
      <c r="CB866">
        <v>0</v>
      </c>
      <c r="CC866">
        <v>0</v>
      </c>
      <c r="CD866">
        <v>0</v>
      </c>
      <c r="CE866">
        <v>0</v>
      </c>
      <c r="CF866">
        <v>0</v>
      </c>
      <c r="CG866">
        <v>0</v>
      </c>
      <c r="CH866">
        <v>0</v>
      </c>
      <c r="CI866">
        <v>0</v>
      </c>
      <c r="CJ866">
        <v>0</v>
      </c>
      <c r="CK866">
        <v>0</v>
      </c>
      <c r="CL866">
        <v>0</v>
      </c>
      <c r="CM866">
        <v>0</v>
      </c>
      <c r="CN866" t="str">
        <f t="shared" si="135"/>
        <v>refOK</v>
      </c>
      <c r="CO866">
        <f t="shared" si="147"/>
        <v>0</v>
      </c>
      <c r="CP866">
        <f t="shared" si="148"/>
        <v>23500</v>
      </c>
      <c r="CQ866">
        <f t="shared" si="124"/>
        <v>47.95918367346939</v>
      </c>
      <c r="CR866">
        <f t="shared" si="111"/>
        <v>-30600</v>
      </c>
      <c r="CS866">
        <f t="shared" si="136"/>
        <v>-5800</v>
      </c>
      <c r="CT866">
        <f t="shared" si="121"/>
        <v>24.8</v>
      </c>
      <c r="CU866">
        <f t="shared" si="105"/>
        <v>0.51710638297872336</v>
      </c>
      <c r="CV866" s="2">
        <f t="shared" si="122"/>
        <v>0.81045751633986929</v>
      </c>
      <c r="CW866" s="1" t="s">
        <v>348</v>
      </c>
      <c r="CX866" t="str">
        <f t="shared" si="144"/>
        <v>loc</v>
      </c>
      <c r="CY866" t="s">
        <v>349</v>
      </c>
      <c r="CZ866">
        <v>2014</v>
      </c>
      <c r="DA866">
        <v>2114</v>
      </c>
      <c r="DB866">
        <v>100</v>
      </c>
      <c r="DC866" t="str">
        <f t="shared" si="145"/>
        <v>71-100</v>
      </c>
      <c r="DD866">
        <v>0</v>
      </c>
      <c r="DE866">
        <v>0</v>
      </c>
      <c r="DF866">
        <v>0</v>
      </c>
      <c r="DG866">
        <v>1</v>
      </c>
      <c r="DI866">
        <f t="shared" si="134"/>
        <v>1</v>
      </c>
      <c r="DJ866" t="str">
        <f t="shared" si="103"/>
        <v>TimberInput</v>
      </c>
      <c r="DK866">
        <f t="shared" si="126"/>
        <v>0</v>
      </c>
      <c r="DL866">
        <f t="shared" si="127"/>
        <v>0</v>
      </c>
      <c r="DM866">
        <f t="shared" si="128"/>
        <v>0</v>
      </c>
      <c r="DN866" t="str">
        <f t="shared" si="129"/>
        <v>Timber</v>
      </c>
      <c r="DO866">
        <v>0</v>
      </c>
      <c r="DP866">
        <v>0</v>
      </c>
      <c r="DQ866">
        <v>0</v>
      </c>
      <c r="DR866">
        <v>0</v>
      </c>
      <c r="DS866">
        <v>0</v>
      </c>
      <c r="DT866">
        <f t="shared" si="114"/>
        <v>0</v>
      </c>
      <c r="DU866" s="143" t="str">
        <f t="shared" si="149"/>
        <v>explicit C balance</v>
      </c>
      <c r="DV866">
        <v>0</v>
      </c>
      <c r="DW866">
        <v>0</v>
      </c>
      <c r="DX866">
        <v>0</v>
      </c>
      <c r="DY866">
        <v>1</v>
      </c>
      <c r="DZ866">
        <v>0</v>
      </c>
      <c r="EA866" s="143">
        <v>1</v>
      </c>
      <c r="EB866">
        <v>0</v>
      </c>
      <c r="EC866">
        <v>1</v>
      </c>
      <c r="ED866">
        <v>1</v>
      </c>
      <c r="EE866">
        <v>1</v>
      </c>
      <c r="EF866">
        <v>0</v>
      </c>
      <c r="EG866">
        <v>0</v>
      </c>
      <c r="EH866">
        <v>0</v>
      </c>
      <c r="EI866" s="2">
        <v>0</v>
      </c>
      <c r="EK866" t="str">
        <f t="shared" si="130"/>
        <v/>
      </c>
      <c r="EL866" t="str">
        <f t="shared" si="131"/>
        <v/>
      </c>
      <c r="EM866" s="2" t="str">
        <f t="shared" si="146"/>
        <v>Technology approach</v>
      </c>
      <c r="EP866" t="str">
        <f>IF(ISNUMBER(BU866),IF(ABS(BU866-[2]QC_indicators!$B$2)&gt;3*[2]QC_indicators!$C$2,"C ratio",IF(ISNUMBER(BY866),IF(ABS(BY866-[2]QC_indicators!$B$1)&gt;3*[2]QC_indicators!$C$1,"DF","no"))),IF(ISNUMBER(BY866),IF(ABS(BY866-[2]QC_indicators!$B$1)&gt;3*[2]QC_indicators!$C$1,"DF","no")))</f>
        <v>no</v>
      </c>
      <c r="ER866" s="149" t="s">
        <v>350</v>
      </c>
      <c r="ET866" s="266" t="s">
        <v>3275</v>
      </c>
    </row>
    <row r="867" spans="1:150" ht="15" hidden="1" customHeight="1">
      <c r="A867" s="1" t="s">
        <v>334</v>
      </c>
      <c r="B867" t="s">
        <v>335</v>
      </c>
      <c r="C867" t="s">
        <v>336</v>
      </c>
      <c r="D867" t="s">
        <v>337</v>
      </c>
      <c r="E867" t="s">
        <v>338</v>
      </c>
      <c r="F867" t="s">
        <v>339</v>
      </c>
      <c r="G867" t="s">
        <v>340</v>
      </c>
      <c r="I867">
        <v>2017</v>
      </c>
      <c r="K867" t="s">
        <v>341</v>
      </c>
      <c r="M867" t="str">
        <f t="shared" si="102"/>
        <v>Balasbaneh_2017</v>
      </c>
      <c r="N867" t="s">
        <v>223</v>
      </c>
      <c r="O867" s="140" t="s">
        <v>342</v>
      </c>
      <c r="Q867" t="s">
        <v>225</v>
      </c>
      <c r="R867" s="264" t="s">
        <v>224</v>
      </c>
      <c r="S867" s="1" t="s">
        <v>374</v>
      </c>
      <c r="T867" t="s">
        <v>372</v>
      </c>
      <c r="U867" t="s">
        <v>352</v>
      </c>
      <c r="V867">
        <v>0</v>
      </c>
      <c r="W867">
        <v>0</v>
      </c>
      <c r="X867">
        <v>0</v>
      </c>
      <c r="Y867">
        <v>0</v>
      </c>
      <c r="Z867">
        <v>0</v>
      </c>
      <c r="AA867">
        <v>0</v>
      </c>
      <c r="AB867">
        <v>0</v>
      </c>
      <c r="AC867">
        <v>0</v>
      </c>
      <c r="AD867">
        <v>0</v>
      </c>
      <c r="AE867">
        <v>0</v>
      </c>
      <c r="AF867">
        <v>0</v>
      </c>
      <c r="AG867">
        <v>0</v>
      </c>
      <c r="AH867">
        <v>0</v>
      </c>
      <c r="AI867">
        <v>0</v>
      </c>
      <c r="AJ867">
        <v>0</v>
      </c>
      <c r="AK867">
        <v>1</v>
      </c>
      <c r="AL867">
        <v>0</v>
      </c>
      <c r="AM867">
        <v>0</v>
      </c>
      <c r="AN867">
        <v>0</v>
      </c>
      <c r="AO867">
        <v>0</v>
      </c>
      <c r="AP867">
        <v>0</v>
      </c>
      <c r="AQ867">
        <v>0</v>
      </c>
      <c r="AR867">
        <v>0</v>
      </c>
      <c r="AS867">
        <v>0</v>
      </c>
      <c r="AT867">
        <v>0</v>
      </c>
      <c r="AU867">
        <v>0</v>
      </c>
      <c r="AV867">
        <v>0</v>
      </c>
      <c r="AW867">
        <v>0</v>
      </c>
      <c r="AX867" s="141">
        <f t="shared" si="116"/>
        <v>1</v>
      </c>
      <c r="AY867" s="141">
        <f t="shared" si="137"/>
        <v>1</v>
      </c>
      <c r="AZ867">
        <f t="shared" si="138"/>
        <v>0</v>
      </c>
      <c r="BA867">
        <f t="shared" si="139"/>
        <v>0</v>
      </c>
      <c r="BB867">
        <f t="shared" si="140"/>
        <v>1</v>
      </c>
      <c r="BC867">
        <f t="shared" si="141"/>
        <v>0</v>
      </c>
      <c r="BD867">
        <f t="shared" si="142"/>
        <v>0</v>
      </c>
      <c r="BE867" t="str">
        <f t="array" ref="BE867">IF(AY867=1,INDEX($V$7:$AL$7,MATCH(TRUE,INDEX($V867:$AW867&lt;&gt;0,),0)),IF(AY867=0,INDEX($AM$7:$AW$7,MATCH(1,$AM867:$AW867,0)),IF(BF867="Multiple strategies","mixed drivers",IF(BF867="Supply chain","multiple supply","multiple silviculture"))))</f>
        <v>technologies/design switch</v>
      </c>
      <c r="BF867" s="2" t="str" cm="1">
        <f t="array" ref="BF867">IF(COUNTIF(AZ867:BB867,"&lt;&gt;0")=1,INDEX($V$4:$AW$4,MATCH(TRUE,INDEX($V867:$AW867&lt;&gt;0,),0)),IF(COUNTIF(AZ867:BB867,"&lt;&gt;0")=0,INDEX($AM$4:$AW$4,MATCH(1,$AM867:$AW867,0)),"Multiple strategies"))</f>
        <v>Technology</v>
      </c>
      <c r="BG867" s="1" t="s">
        <v>230</v>
      </c>
      <c r="BH867" t="s">
        <v>230</v>
      </c>
      <c r="BI867" s="266" t="s">
        <v>411</v>
      </c>
      <c r="BJ867" t="s">
        <v>346</v>
      </c>
      <c r="BK867">
        <v>0</v>
      </c>
      <c r="BL867">
        <v>23500</v>
      </c>
      <c r="BM867" s="143"/>
      <c r="BN867">
        <f t="shared" si="125"/>
        <v>23500</v>
      </c>
      <c r="BO867" s="143">
        <f t="shared" si="150"/>
        <v>47.95918367346939</v>
      </c>
      <c r="BP867" t="s">
        <v>233</v>
      </c>
      <c r="BQ867" s="266" t="s">
        <v>397</v>
      </c>
      <c r="BR867" t="s">
        <v>347</v>
      </c>
      <c r="BS867">
        <v>-26000</v>
      </c>
      <c r="BT867">
        <v>-5650</v>
      </c>
      <c r="BU867" s="144">
        <v>0.21730769230769231</v>
      </c>
      <c r="BV867">
        <f t="shared" si="151"/>
        <v>20350</v>
      </c>
      <c r="BX867">
        <f t="shared" si="152"/>
        <v>20.350000000000001</v>
      </c>
      <c r="BY867">
        <f t="shared" si="143"/>
        <v>0.42431914893617023</v>
      </c>
      <c r="BZ867">
        <v>0</v>
      </c>
      <c r="CA867">
        <v>0</v>
      </c>
      <c r="CB867">
        <v>0</v>
      </c>
      <c r="CC867">
        <v>0</v>
      </c>
      <c r="CD867">
        <v>0</v>
      </c>
      <c r="CE867">
        <v>0</v>
      </c>
      <c r="CF867">
        <v>0</v>
      </c>
      <c r="CG867">
        <v>0</v>
      </c>
      <c r="CH867">
        <v>0</v>
      </c>
      <c r="CI867">
        <v>0</v>
      </c>
      <c r="CJ867">
        <v>0</v>
      </c>
      <c r="CK867">
        <v>0</v>
      </c>
      <c r="CL867">
        <v>0</v>
      </c>
      <c r="CM867">
        <v>0</v>
      </c>
      <c r="CN867" t="str">
        <f t="shared" si="135"/>
        <v>refOK</v>
      </c>
      <c r="CO867">
        <f t="shared" si="147"/>
        <v>0</v>
      </c>
      <c r="CP867">
        <f t="shared" si="148"/>
        <v>23500</v>
      </c>
      <c r="CQ867">
        <f t="shared" si="124"/>
        <v>47.95918367346939</v>
      </c>
      <c r="CR867">
        <f t="shared" si="111"/>
        <v>-26000</v>
      </c>
      <c r="CS867">
        <f t="shared" si="136"/>
        <v>-5650</v>
      </c>
      <c r="CT867">
        <f t="shared" si="121"/>
        <v>20.350000000000001</v>
      </c>
      <c r="CU867">
        <f t="shared" si="105"/>
        <v>0.42431914893617023</v>
      </c>
      <c r="CV867" s="2">
        <f t="shared" si="122"/>
        <v>0.78269230769230769</v>
      </c>
      <c r="CW867" s="1" t="s">
        <v>348</v>
      </c>
      <c r="CX867" t="str">
        <f t="shared" si="144"/>
        <v>loc</v>
      </c>
      <c r="CY867" t="s">
        <v>349</v>
      </c>
      <c r="CZ867">
        <v>2014</v>
      </c>
      <c r="DA867">
        <v>2114</v>
      </c>
      <c r="DB867">
        <v>100</v>
      </c>
      <c r="DC867" t="str">
        <f t="shared" si="145"/>
        <v>71-100</v>
      </c>
      <c r="DD867">
        <v>0</v>
      </c>
      <c r="DE867">
        <v>0</v>
      </c>
      <c r="DF867">
        <v>0</v>
      </c>
      <c r="DG867">
        <v>1</v>
      </c>
      <c r="DI867">
        <f t="shared" si="134"/>
        <v>1</v>
      </c>
      <c r="DJ867" t="str">
        <f t="shared" si="103"/>
        <v>TimberInput</v>
      </c>
      <c r="DK867">
        <f t="shared" si="126"/>
        <v>0</v>
      </c>
      <c r="DL867">
        <f t="shared" si="127"/>
        <v>0</v>
      </c>
      <c r="DM867">
        <f t="shared" si="128"/>
        <v>0</v>
      </c>
      <c r="DN867" t="str">
        <f t="shared" si="129"/>
        <v>Timber</v>
      </c>
      <c r="DO867">
        <v>0</v>
      </c>
      <c r="DP867">
        <v>0</v>
      </c>
      <c r="DQ867">
        <v>0</v>
      </c>
      <c r="DR867">
        <v>0</v>
      </c>
      <c r="DS867">
        <v>0</v>
      </c>
      <c r="DT867">
        <f t="shared" si="114"/>
        <v>0</v>
      </c>
      <c r="DU867" s="143" t="str">
        <f t="shared" si="149"/>
        <v>explicit C balance</v>
      </c>
      <c r="DV867">
        <v>0</v>
      </c>
      <c r="DW867">
        <v>0</v>
      </c>
      <c r="DX867">
        <v>0</v>
      </c>
      <c r="DY867">
        <v>1</v>
      </c>
      <c r="DZ867">
        <v>0</v>
      </c>
      <c r="EA867" s="143">
        <v>1</v>
      </c>
      <c r="EB867">
        <v>0</v>
      </c>
      <c r="EC867">
        <v>1</v>
      </c>
      <c r="ED867">
        <v>1</v>
      </c>
      <c r="EE867">
        <v>1</v>
      </c>
      <c r="EF867">
        <v>0</v>
      </c>
      <c r="EG867">
        <v>0</v>
      </c>
      <c r="EH867">
        <v>0</v>
      </c>
      <c r="EI867" s="2">
        <v>0</v>
      </c>
      <c r="EK867" t="str">
        <f t="shared" si="130"/>
        <v/>
      </c>
      <c r="EL867" t="str">
        <f t="shared" si="131"/>
        <v/>
      </c>
      <c r="EM867" s="2" t="str">
        <f t="shared" si="146"/>
        <v>Technology approach</v>
      </c>
      <c r="EP867" t="str">
        <f>IF(ISNUMBER(BU867),IF(ABS(BU867-[2]QC_indicators!$B$2)&gt;3*[2]QC_indicators!$C$2,"C ratio",IF(ISNUMBER(BY867),IF(ABS(BY867-[2]QC_indicators!$B$1)&gt;3*[2]QC_indicators!$C$1,"DF","no"))),IF(ISNUMBER(BY867),IF(ABS(BY867-[2]QC_indicators!$B$1)&gt;3*[2]QC_indicators!$C$1,"DF","no")))</f>
        <v>no</v>
      </c>
      <c r="ER867" s="149" t="s">
        <v>350</v>
      </c>
      <c r="ET867" s="266" t="s">
        <v>3275</v>
      </c>
    </row>
    <row r="868" spans="1:150" ht="15" hidden="1" customHeight="1">
      <c r="A868" s="1" t="s">
        <v>334</v>
      </c>
      <c r="B868" t="s">
        <v>335</v>
      </c>
      <c r="C868" t="s">
        <v>336</v>
      </c>
      <c r="D868" t="s">
        <v>337</v>
      </c>
      <c r="E868" t="s">
        <v>338</v>
      </c>
      <c r="F868" t="s">
        <v>339</v>
      </c>
      <c r="G868" t="s">
        <v>340</v>
      </c>
      <c r="I868">
        <v>2017</v>
      </c>
      <c r="K868" t="s">
        <v>341</v>
      </c>
      <c r="M868" t="str">
        <f t="shared" si="102"/>
        <v>Balasbaneh_2017</v>
      </c>
      <c r="N868" t="s">
        <v>223</v>
      </c>
      <c r="O868" s="140" t="s">
        <v>342</v>
      </c>
      <c r="Q868" t="s">
        <v>225</v>
      </c>
      <c r="R868" s="264" t="s">
        <v>224</v>
      </c>
      <c r="S868" s="1" t="s">
        <v>370</v>
      </c>
      <c r="T868" t="s">
        <v>362</v>
      </c>
      <c r="U868" t="s">
        <v>352</v>
      </c>
      <c r="V868">
        <v>0</v>
      </c>
      <c r="W868">
        <v>0</v>
      </c>
      <c r="X868">
        <v>0</v>
      </c>
      <c r="Y868">
        <v>0</v>
      </c>
      <c r="Z868">
        <v>0</v>
      </c>
      <c r="AA868">
        <v>0</v>
      </c>
      <c r="AB868">
        <v>0</v>
      </c>
      <c r="AC868">
        <v>0</v>
      </c>
      <c r="AD868">
        <v>0</v>
      </c>
      <c r="AE868">
        <v>0</v>
      </c>
      <c r="AF868">
        <v>0</v>
      </c>
      <c r="AG868">
        <v>0</v>
      </c>
      <c r="AH868">
        <v>0</v>
      </c>
      <c r="AI868">
        <v>0</v>
      </c>
      <c r="AJ868">
        <v>0</v>
      </c>
      <c r="AK868">
        <v>1</v>
      </c>
      <c r="AL868">
        <v>0</v>
      </c>
      <c r="AM868">
        <v>0</v>
      </c>
      <c r="AN868">
        <v>0</v>
      </c>
      <c r="AO868">
        <v>0</v>
      </c>
      <c r="AP868">
        <v>0</v>
      </c>
      <c r="AQ868">
        <v>0</v>
      </c>
      <c r="AR868">
        <v>0</v>
      </c>
      <c r="AS868">
        <v>0</v>
      </c>
      <c r="AT868">
        <v>0</v>
      </c>
      <c r="AU868">
        <v>0</v>
      </c>
      <c r="AV868">
        <v>0</v>
      </c>
      <c r="AW868">
        <v>0</v>
      </c>
      <c r="AX868" s="141">
        <f t="shared" si="116"/>
        <v>1</v>
      </c>
      <c r="AY868" s="141">
        <f t="shared" si="137"/>
        <v>1</v>
      </c>
      <c r="AZ868">
        <f t="shared" si="138"/>
        <v>0</v>
      </c>
      <c r="BA868">
        <f t="shared" si="139"/>
        <v>0</v>
      </c>
      <c r="BB868">
        <f t="shared" si="140"/>
        <v>1</v>
      </c>
      <c r="BC868">
        <f t="shared" si="141"/>
        <v>0</v>
      </c>
      <c r="BD868">
        <f t="shared" si="142"/>
        <v>0</v>
      </c>
      <c r="BE868" t="str">
        <f t="array" ref="BE868">IF(AY868=1,INDEX($V$7:$AL$7,MATCH(TRUE,INDEX($V868:$AW868&lt;&gt;0,),0)),IF(AY868=0,INDEX($AM$7:$AW$7,MATCH(1,$AM868:$AW868,0)),IF(BF868="Multiple strategies","mixed drivers",IF(BF868="Supply chain","multiple supply","multiple silviculture"))))</f>
        <v>technologies/design switch</v>
      </c>
      <c r="BF868" s="2" t="str" cm="1">
        <f t="array" ref="BF868">IF(COUNTIF(AZ868:BB868,"&lt;&gt;0")=1,INDEX($V$4:$AW$4,MATCH(TRUE,INDEX($V868:$AW868&lt;&gt;0,),0)),IF(COUNTIF(AZ868:BB868,"&lt;&gt;0")=0,INDEX($AM$4:$AW$4,MATCH(1,$AM868:$AW868,0)),"Multiple strategies"))</f>
        <v>Technology</v>
      </c>
      <c r="BG868" s="1" t="s">
        <v>230</v>
      </c>
      <c r="BH868" t="s">
        <v>230</v>
      </c>
      <c r="BI868" s="266" t="s">
        <v>411</v>
      </c>
      <c r="BJ868" t="s">
        <v>346</v>
      </c>
      <c r="BK868">
        <v>0</v>
      </c>
      <c r="BL868">
        <v>23500</v>
      </c>
      <c r="BM868" s="143"/>
      <c r="BN868">
        <f t="shared" si="125"/>
        <v>23500</v>
      </c>
      <c r="BO868" s="143">
        <f t="shared" si="150"/>
        <v>47.95918367346939</v>
      </c>
      <c r="BP868" t="s">
        <v>233</v>
      </c>
      <c r="BQ868" s="266" t="s">
        <v>397</v>
      </c>
      <c r="BR868" t="s">
        <v>347</v>
      </c>
      <c r="BS868">
        <v>-24200</v>
      </c>
      <c r="BT868">
        <v>-5830</v>
      </c>
      <c r="BU868" s="144">
        <v>0.24090909090909091</v>
      </c>
      <c r="BV868">
        <f t="shared" si="151"/>
        <v>18370</v>
      </c>
      <c r="BX868">
        <f t="shared" si="152"/>
        <v>18.37</v>
      </c>
      <c r="BY868">
        <f t="shared" si="143"/>
        <v>0.38303404255319151</v>
      </c>
      <c r="BZ868">
        <v>0</v>
      </c>
      <c r="CA868">
        <v>0</v>
      </c>
      <c r="CB868">
        <v>0</v>
      </c>
      <c r="CC868">
        <v>0</v>
      </c>
      <c r="CD868">
        <v>0</v>
      </c>
      <c r="CE868">
        <v>0</v>
      </c>
      <c r="CF868">
        <v>0</v>
      </c>
      <c r="CG868">
        <v>0</v>
      </c>
      <c r="CH868">
        <v>0</v>
      </c>
      <c r="CI868">
        <v>0</v>
      </c>
      <c r="CJ868">
        <v>0</v>
      </c>
      <c r="CK868">
        <v>0</v>
      </c>
      <c r="CL868">
        <v>0</v>
      </c>
      <c r="CM868">
        <v>0</v>
      </c>
      <c r="CN868" t="str">
        <f t="shared" si="135"/>
        <v>refOK</v>
      </c>
      <c r="CO868">
        <f t="shared" si="147"/>
        <v>0</v>
      </c>
      <c r="CP868">
        <f t="shared" si="148"/>
        <v>23500</v>
      </c>
      <c r="CQ868">
        <f t="shared" si="124"/>
        <v>47.95918367346939</v>
      </c>
      <c r="CR868">
        <f t="shared" si="111"/>
        <v>-24200</v>
      </c>
      <c r="CS868">
        <f t="shared" si="136"/>
        <v>-5830</v>
      </c>
      <c r="CT868">
        <f t="shared" si="121"/>
        <v>18.37</v>
      </c>
      <c r="CU868">
        <f t="shared" si="105"/>
        <v>0.38303404255319151</v>
      </c>
      <c r="CV868" s="2">
        <f t="shared" si="122"/>
        <v>0.75909090909090904</v>
      </c>
      <c r="CW868" s="1" t="s">
        <v>348</v>
      </c>
      <c r="CX868" t="str">
        <f t="shared" si="144"/>
        <v>loc</v>
      </c>
      <c r="CY868" t="s">
        <v>349</v>
      </c>
      <c r="CZ868">
        <v>2014</v>
      </c>
      <c r="DA868">
        <v>2114</v>
      </c>
      <c r="DB868">
        <v>100</v>
      </c>
      <c r="DC868" t="str">
        <f t="shared" si="145"/>
        <v>71-100</v>
      </c>
      <c r="DD868">
        <v>0</v>
      </c>
      <c r="DE868">
        <v>0</v>
      </c>
      <c r="DF868">
        <v>0</v>
      </c>
      <c r="DG868">
        <v>1</v>
      </c>
      <c r="DI868">
        <f t="shared" si="134"/>
        <v>1</v>
      </c>
      <c r="DJ868" t="str">
        <f t="shared" si="103"/>
        <v>TimberInput</v>
      </c>
      <c r="DK868">
        <f t="shared" si="126"/>
        <v>0</v>
      </c>
      <c r="DL868">
        <f t="shared" si="127"/>
        <v>0</v>
      </c>
      <c r="DM868">
        <f t="shared" si="128"/>
        <v>0</v>
      </c>
      <c r="DN868" t="str">
        <f t="shared" si="129"/>
        <v>Timber</v>
      </c>
      <c r="DO868">
        <v>0</v>
      </c>
      <c r="DP868">
        <v>0</v>
      </c>
      <c r="DQ868">
        <v>0</v>
      </c>
      <c r="DR868">
        <v>0</v>
      </c>
      <c r="DS868">
        <v>0</v>
      </c>
      <c r="DT868">
        <f t="shared" si="114"/>
        <v>0</v>
      </c>
      <c r="DU868" s="143" t="str">
        <f t="shared" si="149"/>
        <v>explicit C balance</v>
      </c>
      <c r="DV868">
        <v>0</v>
      </c>
      <c r="DW868">
        <v>0</v>
      </c>
      <c r="DX868">
        <v>0</v>
      </c>
      <c r="DY868">
        <v>1</v>
      </c>
      <c r="DZ868">
        <v>0</v>
      </c>
      <c r="EA868" s="143">
        <v>1</v>
      </c>
      <c r="EB868">
        <v>0</v>
      </c>
      <c r="EC868">
        <v>1</v>
      </c>
      <c r="ED868">
        <v>1</v>
      </c>
      <c r="EE868">
        <v>1</v>
      </c>
      <c r="EF868">
        <v>0</v>
      </c>
      <c r="EG868">
        <v>0</v>
      </c>
      <c r="EH868">
        <v>0</v>
      </c>
      <c r="EI868" s="2">
        <v>0</v>
      </c>
      <c r="EK868" t="str">
        <f t="shared" si="130"/>
        <v/>
      </c>
      <c r="EL868" t="str">
        <f t="shared" si="131"/>
        <v/>
      </c>
      <c r="EM868" s="2" t="str">
        <f t="shared" si="146"/>
        <v>Technology approach</v>
      </c>
      <c r="EP868" t="str">
        <f>IF(ISNUMBER(BU868),IF(ABS(BU868-[2]QC_indicators!$B$2)&gt;3*[2]QC_indicators!$C$2,"C ratio",IF(ISNUMBER(BY868),IF(ABS(BY868-[2]QC_indicators!$B$1)&gt;3*[2]QC_indicators!$C$1,"DF","no"))),IF(ISNUMBER(BY868),IF(ABS(BY868-[2]QC_indicators!$B$1)&gt;3*[2]QC_indicators!$C$1,"DF","no")))</f>
        <v>no</v>
      </c>
      <c r="ER868" s="149" t="s">
        <v>350</v>
      </c>
      <c r="ET868" s="266" t="s">
        <v>3275</v>
      </c>
    </row>
    <row r="869" spans="1:150" ht="15" hidden="1" customHeight="1">
      <c r="A869" s="1" t="s">
        <v>334</v>
      </c>
      <c r="B869" t="s">
        <v>335</v>
      </c>
      <c r="C869" t="s">
        <v>336</v>
      </c>
      <c r="D869" t="s">
        <v>337</v>
      </c>
      <c r="E869" t="s">
        <v>338</v>
      </c>
      <c r="F869" t="s">
        <v>339</v>
      </c>
      <c r="G869" t="s">
        <v>340</v>
      </c>
      <c r="I869">
        <v>2017</v>
      </c>
      <c r="K869" t="s">
        <v>341</v>
      </c>
      <c r="M869" t="str">
        <f t="shared" si="102"/>
        <v>Balasbaneh_2017</v>
      </c>
      <c r="N869" t="s">
        <v>223</v>
      </c>
      <c r="O869" s="140" t="s">
        <v>342</v>
      </c>
      <c r="Q869" t="s">
        <v>225</v>
      </c>
      <c r="R869" s="264" t="s">
        <v>224</v>
      </c>
      <c r="S869" s="1" t="s">
        <v>369</v>
      </c>
      <c r="T869" t="s">
        <v>362</v>
      </c>
      <c r="U869" t="s">
        <v>352</v>
      </c>
      <c r="V869">
        <v>0</v>
      </c>
      <c r="W869">
        <v>0</v>
      </c>
      <c r="X869">
        <v>0</v>
      </c>
      <c r="Y869">
        <v>0</v>
      </c>
      <c r="Z869">
        <v>0</v>
      </c>
      <c r="AA869">
        <v>0</v>
      </c>
      <c r="AB869">
        <v>0</v>
      </c>
      <c r="AC869">
        <v>0</v>
      </c>
      <c r="AD869">
        <v>0</v>
      </c>
      <c r="AE869">
        <v>0</v>
      </c>
      <c r="AF869">
        <v>0</v>
      </c>
      <c r="AG869">
        <v>0</v>
      </c>
      <c r="AH869">
        <v>0</v>
      </c>
      <c r="AI869">
        <v>0</v>
      </c>
      <c r="AJ869">
        <v>0</v>
      </c>
      <c r="AK869">
        <v>1</v>
      </c>
      <c r="AL869">
        <v>0</v>
      </c>
      <c r="AM869">
        <v>0</v>
      </c>
      <c r="AN869">
        <v>0</v>
      </c>
      <c r="AO869">
        <v>0</v>
      </c>
      <c r="AP869">
        <v>0</v>
      </c>
      <c r="AQ869">
        <v>0</v>
      </c>
      <c r="AR869">
        <v>0</v>
      </c>
      <c r="AS869">
        <v>0</v>
      </c>
      <c r="AT869">
        <v>0</v>
      </c>
      <c r="AU869">
        <v>0</v>
      </c>
      <c r="AV869">
        <v>0</v>
      </c>
      <c r="AW869">
        <v>0</v>
      </c>
      <c r="AX869" s="141">
        <f t="shared" si="116"/>
        <v>1</v>
      </c>
      <c r="AY869" s="141">
        <f t="shared" si="137"/>
        <v>1</v>
      </c>
      <c r="AZ869">
        <f t="shared" si="138"/>
        <v>0</v>
      </c>
      <c r="BA869">
        <f t="shared" si="139"/>
        <v>0</v>
      </c>
      <c r="BB869">
        <f t="shared" si="140"/>
        <v>1</v>
      </c>
      <c r="BC869">
        <f t="shared" si="141"/>
        <v>0</v>
      </c>
      <c r="BD869">
        <f t="shared" si="142"/>
        <v>0</v>
      </c>
      <c r="BE869" t="str">
        <f t="array" ref="BE869">IF(AY869=1,INDEX($V$7:$AL$7,MATCH(TRUE,INDEX($V869:$AW869&lt;&gt;0,),0)),IF(AY869=0,INDEX($AM$7:$AW$7,MATCH(1,$AM869:$AW869,0)),IF(BF869="Multiple strategies","mixed drivers",IF(BF869="Supply chain","multiple supply","multiple silviculture"))))</f>
        <v>technologies/design switch</v>
      </c>
      <c r="BF869" s="2" t="str" cm="1">
        <f t="array" ref="BF869">IF(COUNTIF(AZ869:BB869,"&lt;&gt;0")=1,INDEX($V$4:$AW$4,MATCH(TRUE,INDEX($V869:$AW869&lt;&gt;0,),0)),IF(COUNTIF(AZ869:BB869,"&lt;&gt;0")=0,INDEX($AM$4:$AW$4,MATCH(1,$AM869:$AW869,0)),"Multiple strategies"))</f>
        <v>Technology</v>
      </c>
      <c r="BG869" s="1" t="s">
        <v>230</v>
      </c>
      <c r="BH869" t="s">
        <v>230</v>
      </c>
      <c r="BI869" s="266" t="s">
        <v>411</v>
      </c>
      <c r="BJ869" t="s">
        <v>346</v>
      </c>
      <c r="BK869">
        <v>0</v>
      </c>
      <c r="BL869">
        <v>23500</v>
      </c>
      <c r="BM869" s="143"/>
      <c r="BN869">
        <f t="shared" si="125"/>
        <v>23500</v>
      </c>
      <c r="BO869" s="143">
        <f t="shared" si="150"/>
        <v>47.95918367346939</v>
      </c>
      <c r="BP869" t="s">
        <v>233</v>
      </c>
      <c r="BQ869" s="266" t="s">
        <v>397</v>
      </c>
      <c r="BR869" t="s">
        <v>347</v>
      </c>
      <c r="BS869">
        <v>-23800</v>
      </c>
      <c r="BT869">
        <v>-5800</v>
      </c>
      <c r="BU869" s="144">
        <v>0.24369747899159663</v>
      </c>
      <c r="BV869">
        <f t="shared" si="151"/>
        <v>18000</v>
      </c>
      <c r="BX869">
        <f t="shared" si="152"/>
        <v>18</v>
      </c>
      <c r="BY869">
        <f t="shared" si="143"/>
        <v>0.37531914893617019</v>
      </c>
      <c r="BZ869">
        <v>0</v>
      </c>
      <c r="CA869">
        <v>0</v>
      </c>
      <c r="CB869">
        <v>0</v>
      </c>
      <c r="CC869">
        <v>0</v>
      </c>
      <c r="CD869">
        <v>0</v>
      </c>
      <c r="CE869">
        <v>0</v>
      </c>
      <c r="CF869">
        <v>0</v>
      </c>
      <c r="CG869">
        <v>0</v>
      </c>
      <c r="CH869">
        <v>0</v>
      </c>
      <c r="CI869">
        <v>0</v>
      </c>
      <c r="CJ869">
        <v>0</v>
      </c>
      <c r="CK869">
        <v>0</v>
      </c>
      <c r="CL869">
        <v>0</v>
      </c>
      <c r="CM869">
        <v>0</v>
      </c>
      <c r="CN869" t="str">
        <f t="shared" si="135"/>
        <v>refOK</v>
      </c>
      <c r="CO869">
        <f t="shared" si="147"/>
        <v>0</v>
      </c>
      <c r="CP869">
        <f t="shared" si="148"/>
        <v>23500</v>
      </c>
      <c r="CQ869">
        <f t="shared" si="124"/>
        <v>47.95918367346939</v>
      </c>
      <c r="CR869">
        <f t="shared" si="111"/>
        <v>-23800</v>
      </c>
      <c r="CS869">
        <f t="shared" si="136"/>
        <v>-5800</v>
      </c>
      <c r="CT869">
        <f t="shared" si="121"/>
        <v>18</v>
      </c>
      <c r="CU869">
        <f t="shared" si="105"/>
        <v>0.37531914893617019</v>
      </c>
      <c r="CV869" s="2">
        <f t="shared" si="122"/>
        <v>0.75630252100840334</v>
      </c>
      <c r="CW869" s="1" t="s">
        <v>348</v>
      </c>
      <c r="CX869" t="str">
        <f t="shared" si="144"/>
        <v>loc</v>
      </c>
      <c r="CY869" t="s">
        <v>349</v>
      </c>
      <c r="CZ869">
        <v>2014</v>
      </c>
      <c r="DA869">
        <v>2114</v>
      </c>
      <c r="DB869">
        <v>100</v>
      </c>
      <c r="DC869" t="str">
        <f t="shared" si="145"/>
        <v>71-100</v>
      </c>
      <c r="DD869">
        <v>0</v>
      </c>
      <c r="DE869">
        <v>0</v>
      </c>
      <c r="DF869">
        <v>0</v>
      </c>
      <c r="DG869">
        <v>1</v>
      </c>
      <c r="DI869">
        <f t="shared" si="134"/>
        <v>1</v>
      </c>
      <c r="DJ869" t="str">
        <f t="shared" si="103"/>
        <v>TimberInput</v>
      </c>
      <c r="DK869">
        <f t="shared" si="126"/>
        <v>0</v>
      </c>
      <c r="DL869">
        <f t="shared" si="127"/>
        <v>0</v>
      </c>
      <c r="DM869">
        <f t="shared" si="128"/>
        <v>0</v>
      </c>
      <c r="DN869" t="str">
        <f t="shared" si="129"/>
        <v>Timber</v>
      </c>
      <c r="DO869">
        <v>0</v>
      </c>
      <c r="DP869">
        <v>0</v>
      </c>
      <c r="DQ869">
        <v>0</v>
      </c>
      <c r="DR869">
        <v>0</v>
      </c>
      <c r="DS869">
        <v>0</v>
      </c>
      <c r="DT869">
        <f t="shared" si="114"/>
        <v>0</v>
      </c>
      <c r="DU869" s="143" t="str">
        <f t="shared" si="149"/>
        <v>explicit C balance</v>
      </c>
      <c r="DV869">
        <v>0</v>
      </c>
      <c r="DW869">
        <v>0</v>
      </c>
      <c r="DX869">
        <v>0</v>
      </c>
      <c r="DY869">
        <v>1</v>
      </c>
      <c r="DZ869">
        <v>0</v>
      </c>
      <c r="EA869" s="143">
        <v>1</v>
      </c>
      <c r="EB869">
        <v>0</v>
      </c>
      <c r="EC869">
        <v>1</v>
      </c>
      <c r="ED869">
        <v>1</v>
      </c>
      <c r="EE869">
        <v>1</v>
      </c>
      <c r="EF869">
        <v>0</v>
      </c>
      <c r="EG869">
        <v>0</v>
      </c>
      <c r="EH869">
        <v>0</v>
      </c>
      <c r="EI869" s="2">
        <v>0</v>
      </c>
      <c r="EK869" t="str">
        <f t="shared" si="130"/>
        <v/>
      </c>
      <c r="EL869" t="str">
        <f t="shared" si="131"/>
        <v/>
      </c>
      <c r="EM869" s="2" t="str">
        <f t="shared" si="146"/>
        <v>Technology approach</v>
      </c>
      <c r="EP869" t="str">
        <f>IF(ISNUMBER(BU869),IF(ABS(BU869-[2]QC_indicators!$B$2)&gt;3*[2]QC_indicators!$C$2,"C ratio",IF(ISNUMBER(BY869),IF(ABS(BY869-[2]QC_indicators!$B$1)&gt;3*[2]QC_indicators!$C$1,"DF","no"))),IF(ISNUMBER(BY869),IF(ABS(BY869-[2]QC_indicators!$B$1)&gt;3*[2]QC_indicators!$C$1,"DF","no")))</f>
        <v>no</v>
      </c>
      <c r="ER869" s="149" t="s">
        <v>350</v>
      </c>
      <c r="ET869" s="266" t="s">
        <v>3275</v>
      </c>
    </row>
    <row r="870" spans="1:150" ht="15" hidden="1" customHeight="1">
      <c r="A870" s="1" t="s">
        <v>334</v>
      </c>
      <c r="B870" t="s">
        <v>335</v>
      </c>
      <c r="C870" t="s">
        <v>336</v>
      </c>
      <c r="D870" t="s">
        <v>337</v>
      </c>
      <c r="E870" t="s">
        <v>338</v>
      </c>
      <c r="F870" t="s">
        <v>339</v>
      </c>
      <c r="G870" t="s">
        <v>340</v>
      </c>
      <c r="I870">
        <v>2017</v>
      </c>
      <c r="K870" t="s">
        <v>341</v>
      </c>
      <c r="M870" t="str">
        <f t="shared" si="102"/>
        <v>Balasbaneh_2017</v>
      </c>
      <c r="N870" t="s">
        <v>223</v>
      </c>
      <c r="O870" s="140" t="s">
        <v>342</v>
      </c>
      <c r="Q870" t="s">
        <v>225</v>
      </c>
      <c r="R870" s="264" t="s">
        <v>224</v>
      </c>
      <c r="S870" s="1" t="s">
        <v>364</v>
      </c>
      <c r="T870" t="s">
        <v>362</v>
      </c>
      <c r="U870" t="s">
        <v>352</v>
      </c>
      <c r="V870">
        <v>0</v>
      </c>
      <c r="W870">
        <v>0</v>
      </c>
      <c r="X870">
        <v>0</v>
      </c>
      <c r="Y870">
        <v>0</v>
      </c>
      <c r="Z870">
        <v>0</v>
      </c>
      <c r="AA870">
        <v>0</v>
      </c>
      <c r="AB870">
        <v>0</v>
      </c>
      <c r="AC870">
        <v>0</v>
      </c>
      <c r="AD870">
        <v>0</v>
      </c>
      <c r="AE870">
        <v>0</v>
      </c>
      <c r="AF870">
        <v>0</v>
      </c>
      <c r="AG870">
        <v>0</v>
      </c>
      <c r="AH870">
        <v>0</v>
      </c>
      <c r="AI870">
        <v>0</v>
      </c>
      <c r="AJ870">
        <v>0</v>
      </c>
      <c r="AK870">
        <v>1</v>
      </c>
      <c r="AL870">
        <v>0</v>
      </c>
      <c r="AM870">
        <v>0</v>
      </c>
      <c r="AN870">
        <v>0</v>
      </c>
      <c r="AO870">
        <v>0</v>
      </c>
      <c r="AP870">
        <v>0</v>
      </c>
      <c r="AQ870">
        <v>0</v>
      </c>
      <c r="AR870">
        <v>0</v>
      </c>
      <c r="AS870">
        <v>0</v>
      </c>
      <c r="AT870">
        <v>0</v>
      </c>
      <c r="AU870">
        <v>0</v>
      </c>
      <c r="AV870">
        <v>0</v>
      </c>
      <c r="AW870">
        <v>0</v>
      </c>
      <c r="AX870" s="141">
        <f t="shared" si="116"/>
        <v>1</v>
      </c>
      <c r="AY870" s="141">
        <f t="shared" si="137"/>
        <v>1</v>
      </c>
      <c r="AZ870">
        <f t="shared" si="138"/>
        <v>0</v>
      </c>
      <c r="BA870">
        <f t="shared" si="139"/>
        <v>0</v>
      </c>
      <c r="BB870">
        <f t="shared" si="140"/>
        <v>1</v>
      </c>
      <c r="BC870">
        <f t="shared" si="141"/>
        <v>0</v>
      </c>
      <c r="BD870">
        <f t="shared" si="142"/>
        <v>0</v>
      </c>
      <c r="BE870" t="str">
        <f t="array" ref="BE870">IF(AY870=1,INDEX($V$7:$AL$7,MATCH(TRUE,INDEX($V870:$AW870&lt;&gt;0,),0)),IF(AY870=0,INDEX($AM$7:$AW$7,MATCH(1,$AM870:$AW870,0)),IF(BF870="Multiple strategies","mixed drivers",IF(BF870="Supply chain","multiple supply","multiple silviculture"))))</f>
        <v>technologies/design switch</v>
      </c>
      <c r="BF870" s="2" t="str" cm="1">
        <f t="array" ref="BF870">IF(COUNTIF(AZ870:BB870,"&lt;&gt;0")=1,INDEX($V$4:$AW$4,MATCH(TRUE,INDEX($V870:$AW870&lt;&gt;0,),0)),IF(COUNTIF(AZ870:BB870,"&lt;&gt;0")=0,INDEX($AM$4:$AW$4,MATCH(1,$AM870:$AW870,0)),"Multiple strategies"))</f>
        <v>Technology</v>
      </c>
      <c r="BG870" s="1" t="s">
        <v>230</v>
      </c>
      <c r="BH870" t="s">
        <v>230</v>
      </c>
      <c r="BI870" s="266" t="s">
        <v>411</v>
      </c>
      <c r="BJ870" t="s">
        <v>346</v>
      </c>
      <c r="BK870">
        <v>0</v>
      </c>
      <c r="BL870">
        <v>23500</v>
      </c>
      <c r="BM870" s="143"/>
      <c r="BN870">
        <f t="shared" si="125"/>
        <v>23500</v>
      </c>
      <c r="BO870" s="143">
        <f t="shared" si="150"/>
        <v>47.95918367346939</v>
      </c>
      <c r="BP870" t="s">
        <v>233</v>
      </c>
      <c r="BQ870" s="266" t="s">
        <v>397</v>
      </c>
      <c r="BR870" t="s">
        <v>347</v>
      </c>
      <c r="BS870">
        <v>-23000</v>
      </c>
      <c r="BT870">
        <v>-5650</v>
      </c>
      <c r="BU870" s="144">
        <v>0.24565217391304348</v>
      </c>
      <c r="BV870">
        <f t="shared" si="151"/>
        <v>17350</v>
      </c>
      <c r="BX870">
        <f t="shared" si="152"/>
        <v>17.350000000000001</v>
      </c>
      <c r="BY870">
        <f t="shared" si="143"/>
        <v>0.36176595744680851</v>
      </c>
      <c r="BZ870">
        <v>0</v>
      </c>
      <c r="CA870">
        <v>0</v>
      </c>
      <c r="CB870">
        <v>0</v>
      </c>
      <c r="CC870">
        <v>0</v>
      </c>
      <c r="CD870">
        <v>0</v>
      </c>
      <c r="CE870">
        <v>0</v>
      </c>
      <c r="CF870">
        <v>0</v>
      </c>
      <c r="CG870">
        <v>0</v>
      </c>
      <c r="CH870">
        <v>0</v>
      </c>
      <c r="CI870">
        <v>0</v>
      </c>
      <c r="CJ870">
        <v>0</v>
      </c>
      <c r="CK870">
        <v>0</v>
      </c>
      <c r="CL870">
        <v>0</v>
      </c>
      <c r="CM870">
        <v>0</v>
      </c>
      <c r="CN870" t="str">
        <f t="shared" si="135"/>
        <v>refOK</v>
      </c>
      <c r="CO870">
        <f t="shared" si="147"/>
        <v>0</v>
      </c>
      <c r="CP870">
        <f t="shared" si="148"/>
        <v>23500</v>
      </c>
      <c r="CQ870">
        <f t="shared" si="124"/>
        <v>47.95918367346939</v>
      </c>
      <c r="CR870">
        <f t="shared" si="111"/>
        <v>-23000</v>
      </c>
      <c r="CS870">
        <f t="shared" si="136"/>
        <v>-5650</v>
      </c>
      <c r="CT870">
        <f t="shared" si="121"/>
        <v>17.350000000000001</v>
      </c>
      <c r="CU870">
        <f t="shared" si="105"/>
        <v>0.36176595744680851</v>
      </c>
      <c r="CV870" s="2">
        <f t="shared" si="122"/>
        <v>0.7543478260869565</v>
      </c>
      <c r="CW870" s="1" t="s">
        <v>348</v>
      </c>
      <c r="CX870" t="str">
        <f t="shared" si="144"/>
        <v>loc</v>
      </c>
      <c r="CY870" t="s">
        <v>349</v>
      </c>
      <c r="CZ870">
        <v>2014</v>
      </c>
      <c r="DA870">
        <v>2114</v>
      </c>
      <c r="DB870">
        <v>100</v>
      </c>
      <c r="DC870" t="str">
        <f t="shared" si="145"/>
        <v>71-100</v>
      </c>
      <c r="DD870">
        <v>0</v>
      </c>
      <c r="DE870">
        <v>0</v>
      </c>
      <c r="DF870">
        <v>0</v>
      </c>
      <c r="DG870">
        <v>1</v>
      </c>
      <c r="DI870">
        <f t="shared" si="134"/>
        <v>1</v>
      </c>
      <c r="DJ870" t="str">
        <f t="shared" si="103"/>
        <v>TimberInput</v>
      </c>
      <c r="DK870">
        <f t="shared" si="126"/>
        <v>0</v>
      </c>
      <c r="DL870">
        <f t="shared" si="127"/>
        <v>0</v>
      </c>
      <c r="DM870">
        <f t="shared" si="128"/>
        <v>0</v>
      </c>
      <c r="DN870" t="str">
        <f t="shared" si="129"/>
        <v>Timber</v>
      </c>
      <c r="DO870">
        <v>0</v>
      </c>
      <c r="DP870">
        <v>0</v>
      </c>
      <c r="DQ870">
        <v>0</v>
      </c>
      <c r="DR870">
        <v>0</v>
      </c>
      <c r="DS870">
        <v>0</v>
      </c>
      <c r="DT870">
        <f t="shared" si="114"/>
        <v>0</v>
      </c>
      <c r="DU870" s="143" t="str">
        <f t="shared" si="149"/>
        <v>explicit C balance</v>
      </c>
      <c r="DV870">
        <v>0</v>
      </c>
      <c r="DW870">
        <v>0</v>
      </c>
      <c r="DX870">
        <v>0</v>
      </c>
      <c r="DY870">
        <v>1</v>
      </c>
      <c r="DZ870">
        <v>0</v>
      </c>
      <c r="EA870" s="143">
        <v>1</v>
      </c>
      <c r="EB870">
        <v>0</v>
      </c>
      <c r="EC870">
        <v>1</v>
      </c>
      <c r="ED870">
        <v>1</v>
      </c>
      <c r="EE870">
        <v>1</v>
      </c>
      <c r="EF870">
        <v>0</v>
      </c>
      <c r="EG870">
        <v>0</v>
      </c>
      <c r="EH870">
        <v>0</v>
      </c>
      <c r="EI870" s="2">
        <v>0</v>
      </c>
      <c r="EK870" t="str">
        <f t="shared" si="130"/>
        <v/>
      </c>
      <c r="EL870" t="str">
        <f t="shared" si="131"/>
        <v/>
      </c>
      <c r="EM870" s="2" t="str">
        <f t="shared" si="146"/>
        <v>Technology approach</v>
      </c>
      <c r="EP870" t="str">
        <f>IF(ISNUMBER(BU870),IF(ABS(BU870-[2]QC_indicators!$B$2)&gt;3*[2]QC_indicators!$C$2,"C ratio",IF(ISNUMBER(BY870),IF(ABS(BY870-[2]QC_indicators!$B$1)&gt;3*[2]QC_indicators!$C$1,"DF","no"))),IF(ISNUMBER(BY870),IF(ABS(BY870-[2]QC_indicators!$B$1)&gt;3*[2]QC_indicators!$C$1,"DF","no")))</f>
        <v>no</v>
      </c>
      <c r="ER870" s="149" t="s">
        <v>350</v>
      </c>
      <c r="ET870" s="266" t="s">
        <v>3275</v>
      </c>
    </row>
    <row r="871" spans="1:150" ht="15" hidden="1" customHeight="1">
      <c r="A871" s="1" t="s">
        <v>334</v>
      </c>
      <c r="B871" t="s">
        <v>335</v>
      </c>
      <c r="C871" t="s">
        <v>336</v>
      </c>
      <c r="D871" t="s">
        <v>337</v>
      </c>
      <c r="E871" t="s">
        <v>338</v>
      </c>
      <c r="F871" t="s">
        <v>339</v>
      </c>
      <c r="G871" t="s">
        <v>340</v>
      </c>
      <c r="I871">
        <v>2017</v>
      </c>
      <c r="K871" t="s">
        <v>341</v>
      </c>
      <c r="M871" t="str">
        <f t="shared" si="102"/>
        <v>Balasbaneh_2017</v>
      </c>
      <c r="N871" t="s">
        <v>223</v>
      </c>
      <c r="O871" s="140" t="s">
        <v>342</v>
      </c>
      <c r="Q871" t="s">
        <v>225</v>
      </c>
      <c r="R871" s="264" t="s">
        <v>224</v>
      </c>
      <c r="S871" s="1" t="s">
        <v>356</v>
      </c>
      <c r="T871" t="s">
        <v>344</v>
      </c>
      <c r="U871" t="s">
        <v>352</v>
      </c>
      <c r="V871">
        <v>0</v>
      </c>
      <c r="W871">
        <v>0</v>
      </c>
      <c r="X871">
        <v>0</v>
      </c>
      <c r="Y871">
        <v>0</v>
      </c>
      <c r="Z871">
        <v>0</v>
      </c>
      <c r="AA871">
        <v>0</v>
      </c>
      <c r="AB871">
        <v>0</v>
      </c>
      <c r="AC871">
        <v>0</v>
      </c>
      <c r="AD871">
        <v>0</v>
      </c>
      <c r="AE871">
        <v>0</v>
      </c>
      <c r="AF871">
        <v>0</v>
      </c>
      <c r="AG871">
        <v>0</v>
      </c>
      <c r="AH871">
        <v>0</v>
      </c>
      <c r="AI871">
        <v>0</v>
      </c>
      <c r="AJ871">
        <v>0</v>
      </c>
      <c r="AK871">
        <v>1</v>
      </c>
      <c r="AL871">
        <v>0</v>
      </c>
      <c r="AM871">
        <v>0</v>
      </c>
      <c r="AN871">
        <v>0</v>
      </c>
      <c r="AO871">
        <v>0</v>
      </c>
      <c r="AP871">
        <v>0</v>
      </c>
      <c r="AQ871">
        <v>0</v>
      </c>
      <c r="AR871">
        <v>0</v>
      </c>
      <c r="AS871">
        <v>0</v>
      </c>
      <c r="AT871">
        <v>0</v>
      </c>
      <c r="AU871">
        <v>0</v>
      </c>
      <c r="AV871">
        <v>0</v>
      </c>
      <c r="AW871">
        <v>0</v>
      </c>
      <c r="AX871" s="141">
        <f t="shared" si="116"/>
        <v>1</v>
      </c>
      <c r="AY871" s="141">
        <f t="shared" si="137"/>
        <v>1</v>
      </c>
      <c r="AZ871">
        <f t="shared" si="138"/>
        <v>0</v>
      </c>
      <c r="BA871">
        <f t="shared" si="139"/>
        <v>0</v>
      </c>
      <c r="BB871">
        <f t="shared" si="140"/>
        <v>1</v>
      </c>
      <c r="BC871">
        <f t="shared" si="141"/>
        <v>0</v>
      </c>
      <c r="BD871">
        <f t="shared" si="142"/>
        <v>0</v>
      </c>
      <c r="BE871" t="str">
        <f t="array" ref="BE871">IF(AY871=1,INDEX($V$7:$AL$7,MATCH(TRUE,INDEX($V871:$AW871&lt;&gt;0,),0)),IF(AY871=0,INDEX($AM$7:$AW$7,MATCH(1,$AM871:$AW871,0)),IF(BF871="Multiple strategies","mixed drivers",IF(BF871="Supply chain","multiple supply","multiple silviculture"))))</f>
        <v>technologies/design switch</v>
      </c>
      <c r="BF871" s="2" t="str" cm="1">
        <f t="array" ref="BF871">IF(COUNTIF(AZ871:BB871,"&lt;&gt;0")=1,INDEX($V$4:$AW$4,MATCH(TRUE,INDEX($V871:$AW871&lt;&gt;0,),0)),IF(COUNTIF(AZ871:BB871,"&lt;&gt;0")=0,INDEX($AM$4:$AW$4,MATCH(1,$AM871:$AW871,0)),"Multiple strategies"))</f>
        <v>Technology</v>
      </c>
      <c r="BG871" s="1" t="s">
        <v>230</v>
      </c>
      <c r="BH871" t="s">
        <v>230</v>
      </c>
      <c r="BI871" s="266" t="s">
        <v>411</v>
      </c>
      <c r="BJ871" t="s">
        <v>346</v>
      </c>
      <c r="BK871">
        <v>0</v>
      </c>
      <c r="BL871">
        <v>23500</v>
      </c>
      <c r="BM871" s="143"/>
      <c r="BN871">
        <f t="shared" si="125"/>
        <v>23500</v>
      </c>
      <c r="BO871" s="143">
        <f t="shared" si="150"/>
        <v>47.95918367346939</v>
      </c>
      <c r="BP871" t="s">
        <v>233</v>
      </c>
      <c r="BQ871" s="266" t="s">
        <v>397</v>
      </c>
      <c r="BR871" t="s">
        <v>347</v>
      </c>
      <c r="BS871">
        <v>-12100</v>
      </c>
      <c r="BT871">
        <v>-5830</v>
      </c>
      <c r="BU871" s="144">
        <v>0.48181818181818181</v>
      </c>
      <c r="BV871">
        <f t="shared" si="151"/>
        <v>6270</v>
      </c>
      <c r="BX871">
        <f t="shared" si="152"/>
        <v>6.27</v>
      </c>
      <c r="BY871">
        <f t="shared" si="143"/>
        <v>0.13073617021276596</v>
      </c>
      <c r="BZ871">
        <v>0</v>
      </c>
      <c r="CA871">
        <v>0</v>
      </c>
      <c r="CB871">
        <v>0</v>
      </c>
      <c r="CC871">
        <v>0</v>
      </c>
      <c r="CD871">
        <v>0</v>
      </c>
      <c r="CE871">
        <v>0</v>
      </c>
      <c r="CF871">
        <v>0</v>
      </c>
      <c r="CG871">
        <v>0</v>
      </c>
      <c r="CH871">
        <v>0</v>
      </c>
      <c r="CI871">
        <v>0</v>
      </c>
      <c r="CJ871">
        <v>0</v>
      </c>
      <c r="CK871">
        <v>0</v>
      </c>
      <c r="CL871">
        <v>0</v>
      </c>
      <c r="CM871">
        <v>0</v>
      </c>
      <c r="CN871" t="str">
        <f t="shared" si="135"/>
        <v>refOK</v>
      </c>
      <c r="CO871">
        <f t="shared" si="147"/>
        <v>0</v>
      </c>
      <c r="CP871">
        <f t="shared" si="148"/>
        <v>23500</v>
      </c>
      <c r="CQ871">
        <f t="shared" si="124"/>
        <v>47.95918367346939</v>
      </c>
      <c r="CR871">
        <f t="shared" si="111"/>
        <v>-12100</v>
      </c>
      <c r="CS871">
        <f t="shared" si="136"/>
        <v>-5830</v>
      </c>
      <c r="CT871">
        <f t="shared" si="121"/>
        <v>6.27</v>
      </c>
      <c r="CU871">
        <f t="shared" si="105"/>
        <v>0.13073617021276596</v>
      </c>
      <c r="CV871" s="2">
        <f t="shared" si="122"/>
        <v>0.51818181818181819</v>
      </c>
      <c r="CW871" s="1" t="s">
        <v>348</v>
      </c>
      <c r="CX871" t="str">
        <f t="shared" si="144"/>
        <v>loc</v>
      </c>
      <c r="CY871" t="s">
        <v>349</v>
      </c>
      <c r="CZ871">
        <v>2014</v>
      </c>
      <c r="DA871">
        <v>2114</v>
      </c>
      <c r="DB871">
        <v>100</v>
      </c>
      <c r="DC871" t="str">
        <f t="shared" si="145"/>
        <v>71-100</v>
      </c>
      <c r="DD871">
        <v>0</v>
      </c>
      <c r="DE871">
        <v>0</v>
      </c>
      <c r="DF871">
        <v>0</v>
      </c>
      <c r="DG871">
        <v>1</v>
      </c>
      <c r="DI871">
        <f t="shared" si="134"/>
        <v>1</v>
      </c>
      <c r="DJ871" t="str">
        <f t="shared" si="103"/>
        <v>TimberInput</v>
      </c>
      <c r="DK871">
        <f t="shared" si="126"/>
        <v>0</v>
      </c>
      <c r="DL871">
        <f t="shared" si="127"/>
        <v>0</v>
      </c>
      <c r="DM871">
        <f t="shared" si="128"/>
        <v>0</v>
      </c>
      <c r="DN871" t="str">
        <f t="shared" si="129"/>
        <v>Timber</v>
      </c>
      <c r="DO871">
        <v>0</v>
      </c>
      <c r="DP871">
        <v>0</v>
      </c>
      <c r="DQ871">
        <v>0</v>
      </c>
      <c r="DR871">
        <v>0</v>
      </c>
      <c r="DS871">
        <v>0</v>
      </c>
      <c r="DT871">
        <f t="shared" si="114"/>
        <v>0</v>
      </c>
      <c r="DU871" s="143" t="str">
        <f t="shared" si="149"/>
        <v>explicit C balance</v>
      </c>
      <c r="DV871">
        <v>0</v>
      </c>
      <c r="DW871">
        <v>0</v>
      </c>
      <c r="DX871">
        <v>0</v>
      </c>
      <c r="DY871">
        <v>1</v>
      </c>
      <c r="DZ871">
        <v>0</v>
      </c>
      <c r="EA871" s="143">
        <v>1</v>
      </c>
      <c r="EB871">
        <v>0</v>
      </c>
      <c r="EC871">
        <v>1</v>
      </c>
      <c r="ED871">
        <v>1</v>
      </c>
      <c r="EE871">
        <v>1</v>
      </c>
      <c r="EF871">
        <v>0</v>
      </c>
      <c r="EG871">
        <v>0</v>
      </c>
      <c r="EH871">
        <v>0</v>
      </c>
      <c r="EI871" s="2">
        <v>0</v>
      </c>
      <c r="EK871" t="str">
        <f t="shared" si="130"/>
        <v/>
      </c>
      <c r="EL871" t="str">
        <f t="shared" si="131"/>
        <v/>
      </c>
      <c r="EM871" s="2" t="str">
        <f t="shared" si="146"/>
        <v>Technology approach</v>
      </c>
      <c r="EP871" t="str">
        <f>IF(ISNUMBER(BU871),IF(ABS(BU871-[2]QC_indicators!$B$2)&gt;3*[2]QC_indicators!$C$2,"C ratio",IF(ISNUMBER(BY871),IF(ABS(BY871-[2]QC_indicators!$B$1)&gt;3*[2]QC_indicators!$C$1,"DF","no"))),IF(ISNUMBER(BY871),IF(ABS(BY871-[2]QC_indicators!$B$1)&gt;3*[2]QC_indicators!$C$1,"DF","no")))</f>
        <v>no</v>
      </c>
      <c r="ER871" s="149" t="s">
        <v>350</v>
      </c>
      <c r="ET871" s="266" t="s">
        <v>3275</v>
      </c>
    </row>
    <row r="872" spans="1:150" ht="15" hidden="1" customHeight="1">
      <c r="A872" s="1" t="s">
        <v>334</v>
      </c>
      <c r="B872" t="s">
        <v>335</v>
      </c>
      <c r="C872" t="s">
        <v>336</v>
      </c>
      <c r="D872" t="s">
        <v>337</v>
      </c>
      <c r="E872" t="s">
        <v>338</v>
      </c>
      <c r="F872" t="s">
        <v>339</v>
      </c>
      <c r="G872" t="s">
        <v>340</v>
      </c>
      <c r="I872">
        <v>2017</v>
      </c>
      <c r="K872" t="s">
        <v>341</v>
      </c>
      <c r="M872" t="str">
        <f t="shared" si="102"/>
        <v>Balasbaneh_2017</v>
      </c>
      <c r="N872" t="s">
        <v>223</v>
      </c>
      <c r="O872" s="140" t="s">
        <v>342</v>
      </c>
      <c r="Q872" t="s">
        <v>225</v>
      </c>
      <c r="R872" s="264" t="s">
        <v>224</v>
      </c>
      <c r="S872" s="1" t="s">
        <v>355</v>
      </c>
      <c r="T872" t="s">
        <v>344</v>
      </c>
      <c r="U872" t="s">
        <v>352</v>
      </c>
      <c r="V872">
        <v>0</v>
      </c>
      <c r="W872">
        <v>0</v>
      </c>
      <c r="X872">
        <v>0</v>
      </c>
      <c r="Y872">
        <v>0</v>
      </c>
      <c r="Z872">
        <v>0</v>
      </c>
      <c r="AA872">
        <v>0</v>
      </c>
      <c r="AB872">
        <v>0</v>
      </c>
      <c r="AC872">
        <v>0</v>
      </c>
      <c r="AD872">
        <v>0</v>
      </c>
      <c r="AE872">
        <v>0</v>
      </c>
      <c r="AF872">
        <v>0</v>
      </c>
      <c r="AG872">
        <v>0</v>
      </c>
      <c r="AH872">
        <v>0</v>
      </c>
      <c r="AI872">
        <v>0</v>
      </c>
      <c r="AJ872">
        <v>0</v>
      </c>
      <c r="AK872">
        <v>1</v>
      </c>
      <c r="AL872">
        <v>0</v>
      </c>
      <c r="AM872">
        <v>0</v>
      </c>
      <c r="AN872">
        <v>0</v>
      </c>
      <c r="AO872">
        <v>0</v>
      </c>
      <c r="AP872">
        <v>0</v>
      </c>
      <c r="AQ872">
        <v>0</v>
      </c>
      <c r="AR872">
        <v>0</v>
      </c>
      <c r="AS872">
        <v>0</v>
      </c>
      <c r="AT872">
        <v>0</v>
      </c>
      <c r="AU872">
        <v>0</v>
      </c>
      <c r="AV872">
        <v>0</v>
      </c>
      <c r="AW872">
        <v>0</v>
      </c>
      <c r="AX872" s="141">
        <f t="shared" si="116"/>
        <v>1</v>
      </c>
      <c r="AY872" s="141">
        <f t="shared" si="137"/>
        <v>1</v>
      </c>
      <c r="AZ872">
        <f t="shared" si="138"/>
        <v>0</v>
      </c>
      <c r="BA872">
        <f t="shared" si="139"/>
        <v>0</v>
      </c>
      <c r="BB872">
        <f t="shared" si="140"/>
        <v>1</v>
      </c>
      <c r="BC872">
        <f t="shared" si="141"/>
        <v>0</v>
      </c>
      <c r="BD872">
        <f t="shared" si="142"/>
        <v>0</v>
      </c>
      <c r="BE872" t="str">
        <f t="array" ref="BE872">IF(AY872=1,INDEX($V$7:$AL$7,MATCH(TRUE,INDEX($V872:$AW872&lt;&gt;0,),0)),IF(AY872=0,INDEX($AM$7:$AW$7,MATCH(1,$AM872:$AW872,0)),IF(BF872="Multiple strategies","mixed drivers",IF(BF872="Supply chain","multiple supply","multiple silviculture"))))</f>
        <v>technologies/design switch</v>
      </c>
      <c r="BF872" s="2" t="str" cm="1">
        <f t="array" ref="BF872">IF(COUNTIF(AZ872:BB872,"&lt;&gt;0")=1,INDEX($V$4:$AW$4,MATCH(TRUE,INDEX($V872:$AW872&lt;&gt;0,),0)),IF(COUNTIF(AZ872:BB872,"&lt;&gt;0")=0,INDEX($AM$4:$AW$4,MATCH(1,$AM872:$AW872,0)),"Multiple strategies"))</f>
        <v>Technology</v>
      </c>
      <c r="BG872" s="1" t="s">
        <v>230</v>
      </c>
      <c r="BH872" t="s">
        <v>230</v>
      </c>
      <c r="BI872" s="266" t="s">
        <v>411</v>
      </c>
      <c r="BJ872" t="s">
        <v>346</v>
      </c>
      <c r="BK872">
        <v>0</v>
      </c>
      <c r="BL872">
        <v>23500</v>
      </c>
      <c r="BM872" s="143"/>
      <c r="BN872">
        <f t="shared" si="125"/>
        <v>23500</v>
      </c>
      <c r="BO872" s="143">
        <f t="shared" si="150"/>
        <v>47.95918367346939</v>
      </c>
      <c r="BP872" t="s">
        <v>233</v>
      </c>
      <c r="BQ872" s="266" t="s">
        <v>397</v>
      </c>
      <c r="BR872" t="s">
        <v>347</v>
      </c>
      <c r="BS872">
        <v>-11900</v>
      </c>
      <c r="BT872">
        <v>-5800</v>
      </c>
      <c r="BU872" s="144">
        <v>0.48739495798319327</v>
      </c>
      <c r="BV872">
        <f t="shared" si="151"/>
        <v>6100</v>
      </c>
      <c r="BX872">
        <f t="shared" si="152"/>
        <v>6.1</v>
      </c>
      <c r="BY872">
        <f t="shared" si="143"/>
        <v>0.1271914893617021</v>
      </c>
      <c r="BZ872">
        <v>0</v>
      </c>
      <c r="CA872">
        <v>0</v>
      </c>
      <c r="CB872">
        <v>0</v>
      </c>
      <c r="CC872">
        <v>0</v>
      </c>
      <c r="CD872">
        <v>0</v>
      </c>
      <c r="CE872">
        <v>0</v>
      </c>
      <c r="CF872">
        <v>0</v>
      </c>
      <c r="CG872">
        <v>0</v>
      </c>
      <c r="CH872">
        <v>0</v>
      </c>
      <c r="CI872">
        <v>0</v>
      </c>
      <c r="CJ872">
        <v>0</v>
      </c>
      <c r="CK872">
        <v>0</v>
      </c>
      <c r="CL872">
        <v>0</v>
      </c>
      <c r="CM872">
        <v>0</v>
      </c>
      <c r="CN872" t="str">
        <f t="shared" si="135"/>
        <v>refOK</v>
      </c>
      <c r="CO872">
        <f t="shared" si="147"/>
        <v>0</v>
      </c>
      <c r="CP872">
        <f t="shared" si="148"/>
        <v>23500</v>
      </c>
      <c r="CQ872">
        <f t="shared" si="124"/>
        <v>47.95918367346939</v>
      </c>
      <c r="CR872">
        <f t="shared" si="111"/>
        <v>-11900</v>
      </c>
      <c r="CS872">
        <f t="shared" si="136"/>
        <v>-5800</v>
      </c>
      <c r="CT872">
        <f t="shared" si="121"/>
        <v>6.1</v>
      </c>
      <c r="CU872">
        <f t="shared" si="105"/>
        <v>0.1271914893617021</v>
      </c>
      <c r="CV872" s="2">
        <f t="shared" si="122"/>
        <v>0.51260504201680668</v>
      </c>
      <c r="CW872" s="1" t="s">
        <v>348</v>
      </c>
      <c r="CX872" t="str">
        <f t="shared" si="144"/>
        <v>loc</v>
      </c>
      <c r="CY872" t="s">
        <v>349</v>
      </c>
      <c r="CZ872">
        <v>2014</v>
      </c>
      <c r="DA872">
        <v>2114</v>
      </c>
      <c r="DB872">
        <v>100</v>
      </c>
      <c r="DC872" t="str">
        <f t="shared" si="145"/>
        <v>71-100</v>
      </c>
      <c r="DD872">
        <v>0</v>
      </c>
      <c r="DE872">
        <v>0</v>
      </c>
      <c r="DF872">
        <v>0</v>
      </c>
      <c r="DG872">
        <v>1</v>
      </c>
      <c r="DI872">
        <f t="shared" si="134"/>
        <v>1</v>
      </c>
      <c r="DJ872" t="str">
        <f t="shared" si="103"/>
        <v>TimberInput</v>
      </c>
      <c r="DK872">
        <f t="shared" si="126"/>
        <v>0</v>
      </c>
      <c r="DL872">
        <f t="shared" si="127"/>
        <v>0</v>
      </c>
      <c r="DM872">
        <f t="shared" si="128"/>
        <v>0</v>
      </c>
      <c r="DN872" t="str">
        <f t="shared" si="129"/>
        <v>Timber</v>
      </c>
      <c r="DO872">
        <v>0</v>
      </c>
      <c r="DP872">
        <v>0</v>
      </c>
      <c r="DQ872">
        <v>0</v>
      </c>
      <c r="DR872">
        <v>0</v>
      </c>
      <c r="DS872">
        <v>0</v>
      </c>
      <c r="DT872">
        <f t="shared" si="114"/>
        <v>0</v>
      </c>
      <c r="DU872" s="143" t="str">
        <f t="shared" si="149"/>
        <v>explicit C balance</v>
      </c>
      <c r="DV872">
        <v>0</v>
      </c>
      <c r="DW872">
        <v>0</v>
      </c>
      <c r="DX872">
        <v>0</v>
      </c>
      <c r="DY872">
        <v>1</v>
      </c>
      <c r="DZ872">
        <v>0</v>
      </c>
      <c r="EA872" s="143">
        <v>1</v>
      </c>
      <c r="EB872">
        <v>0</v>
      </c>
      <c r="EC872">
        <v>1</v>
      </c>
      <c r="ED872">
        <v>1</v>
      </c>
      <c r="EE872">
        <v>1</v>
      </c>
      <c r="EF872">
        <v>0</v>
      </c>
      <c r="EG872">
        <v>0</v>
      </c>
      <c r="EH872">
        <v>0</v>
      </c>
      <c r="EI872" s="2">
        <v>0</v>
      </c>
      <c r="EK872" t="str">
        <f t="shared" si="130"/>
        <v/>
      </c>
      <c r="EL872" t="str">
        <f t="shared" si="131"/>
        <v/>
      </c>
      <c r="EM872" s="2" t="str">
        <f t="shared" si="146"/>
        <v>Technology approach</v>
      </c>
      <c r="EP872" t="str">
        <f>IF(ISNUMBER(BU872),IF(ABS(BU872-[2]QC_indicators!$B$2)&gt;3*[2]QC_indicators!$C$2,"C ratio",IF(ISNUMBER(BY872),IF(ABS(BY872-[2]QC_indicators!$B$1)&gt;3*[2]QC_indicators!$C$1,"DF","no"))),IF(ISNUMBER(BY872),IF(ABS(BY872-[2]QC_indicators!$B$1)&gt;3*[2]QC_indicators!$C$1,"DF","no")))</f>
        <v>no</v>
      </c>
      <c r="ER872" s="149" t="s">
        <v>350</v>
      </c>
      <c r="ET872" s="266" t="s">
        <v>3275</v>
      </c>
    </row>
    <row r="873" spans="1:150" ht="15" hidden="1" customHeight="1">
      <c r="A873" s="1" t="s">
        <v>334</v>
      </c>
      <c r="B873" t="s">
        <v>335</v>
      </c>
      <c r="C873" t="s">
        <v>336</v>
      </c>
      <c r="D873" t="s">
        <v>337</v>
      </c>
      <c r="E873" t="s">
        <v>338</v>
      </c>
      <c r="F873" t="s">
        <v>339</v>
      </c>
      <c r="G873" t="s">
        <v>340</v>
      </c>
      <c r="I873">
        <v>2017</v>
      </c>
      <c r="K873" t="s">
        <v>341</v>
      </c>
      <c r="M873" t="str">
        <f t="shared" si="102"/>
        <v>Balasbaneh_2017</v>
      </c>
      <c r="N873" t="s">
        <v>223</v>
      </c>
      <c r="O873" s="140" t="s">
        <v>342</v>
      </c>
      <c r="Q873" t="s">
        <v>225</v>
      </c>
      <c r="R873" s="264" t="s">
        <v>224</v>
      </c>
      <c r="S873" s="1" t="s">
        <v>351</v>
      </c>
      <c r="T873" t="s">
        <v>344</v>
      </c>
      <c r="U873" t="s">
        <v>352</v>
      </c>
      <c r="V873">
        <v>0</v>
      </c>
      <c r="W873">
        <v>0</v>
      </c>
      <c r="X873">
        <v>0</v>
      </c>
      <c r="Y873">
        <v>0</v>
      </c>
      <c r="Z873">
        <v>0</v>
      </c>
      <c r="AA873">
        <v>0</v>
      </c>
      <c r="AB873">
        <v>0</v>
      </c>
      <c r="AC873">
        <v>0</v>
      </c>
      <c r="AD873">
        <v>0</v>
      </c>
      <c r="AE873">
        <v>0</v>
      </c>
      <c r="AF873">
        <v>0</v>
      </c>
      <c r="AG873">
        <v>0</v>
      </c>
      <c r="AH873">
        <v>0</v>
      </c>
      <c r="AI873">
        <v>0</v>
      </c>
      <c r="AJ873">
        <v>0</v>
      </c>
      <c r="AK873">
        <v>1</v>
      </c>
      <c r="AL873">
        <v>0</v>
      </c>
      <c r="AM873">
        <v>0</v>
      </c>
      <c r="AN873">
        <v>0</v>
      </c>
      <c r="AO873">
        <v>0</v>
      </c>
      <c r="AP873">
        <v>0</v>
      </c>
      <c r="AQ873">
        <v>0</v>
      </c>
      <c r="AR873">
        <v>0</v>
      </c>
      <c r="AS873">
        <v>0</v>
      </c>
      <c r="AT873">
        <v>0</v>
      </c>
      <c r="AU873">
        <v>0</v>
      </c>
      <c r="AV873">
        <v>0</v>
      </c>
      <c r="AW873">
        <v>0</v>
      </c>
      <c r="AX873" s="141">
        <f t="shared" si="116"/>
        <v>1</v>
      </c>
      <c r="AY873" s="141">
        <f t="shared" si="137"/>
        <v>1</v>
      </c>
      <c r="AZ873">
        <f t="shared" si="138"/>
        <v>0</v>
      </c>
      <c r="BA873">
        <f t="shared" si="139"/>
        <v>0</v>
      </c>
      <c r="BB873">
        <f t="shared" si="140"/>
        <v>1</v>
      </c>
      <c r="BC873">
        <f t="shared" si="141"/>
        <v>0</v>
      </c>
      <c r="BD873">
        <f t="shared" si="142"/>
        <v>0</v>
      </c>
      <c r="BE873" t="str">
        <f t="array" ref="BE873">IF(AY873=1,INDEX($V$7:$AL$7,MATCH(TRUE,INDEX($V873:$AW873&lt;&gt;0,),0)),IF(AY873=0,INDEX($AM$7:$AW$7,MATCH(1,$AM873:$AW873,0)),IF(BF873="Multiple strategies","mixed drivers",IF(BF873="Supply chain","multiple supply","multiple silviculture"))))</f>
        <v>technologies/design switch</v>
      </c>
      <c r="BF873" s="2" t="str" cm="1">
        <f t="array" ref="BF873">IF(COUNTIF(AZ873:BB873,"&lt;&gt;0")=1,INDEX($V$4:$AW$4,MATCH(TRUE,INDEX($V873:$AW873&lt;&gt;0,),0)),IF(COUNTIF(AZ873:BB873,"&lt;&gt;0")=0,INDEX($AM$4:$AW$4,MATCH(1,$AM873:$AW873,0)),"Multiple strategies"))</f>
        <v>Technology</v>
      </c>
      <c r="BG873" s="1" t="s">
        <v>230</v>
      </c>
      <c r="BH873" t="s">
        <v>230</v>
      </c>
      <c r="BI873" s="266" t="s">
        <v>411</v>
      </c>
      <c r="BJ873" t="s">
        <v>346</v>
      </c>
      <c r="BK873">
        <v>0</v>
      </c>
      <c r="BL873">
        <v>23500</v>
      </c>
      <c r="BM873" s="143"/>
      <c r="BN873">
        <f t="shared" si="125"/>
        <v>23500</v>
      </c>
      <c r="BO873" s="143">
        <f t="shared" si="150"/>
        <v>47.95918367346939</v>
      </c>
      <c r="BP873" t="s">
        <v>233</v>
      </c>
      <c r="BQ873" s="266" t="s">
        <v>397</v>
      </c>
      <c r="BR873" t="s">
        <v>347</v>
      </c>
      <c r="BS873">
        <v>-11200</v>
      </c>
      <c r="BT873">
        <v>-5650</v>
      </c>
      <c r="BU873" s="144">
        <v>0.5044642857142857</v>
      </c>
      <c r="BV873">
        <f t="shared" si="151"/>
        <v>5550</v>
      </c>
      <c r="BX873">
        <f t="shared" si="152"/>
        <v>5.55</v>
      </c>
      <c r="BY873">
        <f t="shared" si="143"/>
        <v>0.11572340425531914</v>
      </c>
      <c r="BZ873">
        <v>0</v>
      </c>
      <c r="CA873">
        <v>0</v>
      </c>
      <c r="CB873">
        <v>0</v>
      </c>
      <c r="CC873">
        <v>0</v>
      </c>
      <c r="CD873">
        <v>0</v>
      </c>
      <c r="CE873">
        <v>0</v>
      </c>
      <c r="CF873">
        <v>0</v>
      </c>
      <c r="CG873">
        <v>0</v>
      </c>
      <c r="CH873">
        <v>0</v>
      </c>
      <c r="CI873">
        <v>0</v>
      </c>
      <c r="CJ873">
        <v>0</v>
      </c>
      <c r="CK873">
        <v>0</v>
      </c>
      <c r="CL873">
        <v>0</v>
      </c>
      <c r="CM873">
        <v>0</v>
      </c>
      <c r="CN873" t="str">
        <f t="shared" si="135"/>
        <v>refOK</v>
      </c>
      <c r="CO873">
        <f t="shared" si="147"/>
        <v>0</v>
      </c>
      <c r="CP873">
        <f t="shared" si="148"/>
        <v>23500</v>
      </c>
      <c r="CQ873">
        <f t="shared" si="124"/>
        <v>47.95918367346939</v>
      </c>
      <c r="CR873">
        <f t="shared" si="111"/>
        <v>-11200</v>
      </c>
      <c r="CS873">
        <f t="shared" si="136"/>
        <v>-5650</v>
      </c>
      <c r="CT873">
        <f t="shared" si="121"/>
        <v>5.55</v>
      </c>
      <c r="CU873">
        <f t="shared" si="105"/>
        <v>0.11572340425531914</v>
      </c>
      <c r="CV873" s="2">
        <f t="shared" si="122"/>
        <v>0.4955357142857143</v>
      </c>
      <c r="CW873" s="1" t="s">
        <v>348</v>
      </c>
      <c r="CX873" t="str">
        <f t="shared" si="144"/>
        <v>loc</v>
      </c>
      <c r="CY873" t="s">
        <v>349</v>
      </c>
      <c r="CZ873">
        <v>2014</v>
      </c>
      <c r="DA873">
        <v>2114</v>
      </c>
      <c r="DB873">
        <v>100</v>
      </c>
      <c r="DC873" t="str">
        <f t="shared" si="145"/>
        <v>71-100</v>
      </c>
      <c r="DD873">
        <v>0</v>
      </c>
      <c r="DE873">
        <v>0</v>
      </c>
      <c r="DF873">
        <v>0</v>
      </c>
      <c r="DG873">
        <v>1</v>
      </c>
      <c r="DI873">
        <f t="shared" si="134"/>
        <v>1</v>
      </c>
      <c r="DJ873" t="str">
        <f t="shared" si="103"/>
        <v>TimberInput</v>
      </c>
      <c r="DK873">
        <f t="shared" si="126"/>
        <v>0</v>
      </c>
      <c r="DL873">
        <f t="shared" si="127"/>
        <v>0</v>
      </c>
      <c r="DM873">
        <f t="shared" si="128"/>
        <v>0</v>
      </c>
      <c r="DN873" t="str">
        <f t="shared" si="129"/>
        <v>Timber</v>
      </c>
      <c r="DO873">
        <v>0</v>
      </c>
      <c r="DP873">
        <v>0</v>
      </c>
      <c r="DQ873">
        <v>0</v>
      </c>
      <c r="DR873">
        <v>0</v>
      </c>
      <c r="DS873">
        <v>0</v>
      </c>
      <c r="DT873">
        <f t="shared" si="114"/>
        <v>0</v>
      </c>
      <c r="DU873" s="143" t="str">
        <f t="shared" si="149"/>
        <v>explicit C balance</v>
      </c>
      <c r="DV873">
        <v>0</v>
      </c>
      <c r="DW873">
        <v>0</v>
      </c>
      <c r="DX873">
        <v>0</v>
      </c>
      <c r="DY873">
        <v>1</v>
      </c>
      <c r="DZ873">
        <v>0</v>
      </c>
      <c r="EA873" s="143">
        <v>1</v>
      </c>
      <c r="EB873">
        <v>0</v>
      </c>
      <c r="EC873">
        <v>1</v>
      </c>
      <c r="ED873">
        <v>1</v>
      </c>
      <c r="EE873">
        <v>1</v>
      </c>
      <c r="EF873">
        <v>0</v>
      </c>
      <c r="EG873">
        <v>0</v>
      </c>
      <c r="EH873">
        <v>0</v>
      </c>
      <c r="EI873" s="2">
        <v>0</v>
      </c>
      <c r="EK873" t="str">
        <f t="shared" si="130"/>
        <v/>
      </c>
      <c r="EL873" t="str">
        <f t="shared" si="131"/>
        <v/>
      </c>
      <c r="EM873" s="2" t="str">
        <f t="shared" si="146"/>
        <v>Technology approach</v>
      </c>
      <c r="EP873" t="str">
        <f>IF(ISNUMBER(BU873),IF(ABS(BU873-[2]QC_indicators!$B$2)&gt;3*[2]QC_indicators!$C$2,"C ratio",IF(ISNUMBER(BY873),IF(ABS(BY873-[2]QC_indicators!$B$1)&gt;3*[2]QC_indicators!$C$1,"DF","no"))),IF(ISNUMBER(BY873),IF(ABS(BY873-[2]QC_indicators!$B$1)&gt;3*[2]QC_indicators!$C$1,"DF","no")))</f>
        <v>no</v>
      </c>
      <c r="ER873" s="149" t="s">
        <v>350</v>
      </c>
      <c r="ET873" s="266" t="s">
        <v>3275</v>
      </c>
    </row>
    <row r="874" spans="1:150" ht="15" hidden="1" customHeight="1">
      <c r="A874" s="1" t="s">
        <v>1235</v>
      </c>
      <c r="B874" t="s">
        <v>1236</v>
      </c>
      <c r="C874" t="s">
        <v>1237</v>
      </c>
      <c r="D874" t="s">
        <v>337</v>
      </c>
      <c r="E874" t="s">
        <v>1238</v>
      </c>
      <c r="F874" t="s">
        <v>1239</v>
      </c>
      <c r="G874" t="s">
        <v>1240</v>
      </c>
      <c r="I874">
        <v>2018</v>
      </c>
      <c r="K874" t="s">
        <v>1241</v>
      </c>
      <c r="M874" t="str">
        <f t="shared" si="102"/>
        <v>Balasbaneh_2018</v>
      </c>
      <c r="N874" t="s">
        <v>223</v>
      </c>
      <c r="O874" s="140" t="s">
        <v>514</v>
      </c>
      <c r="Q874" t="s">
        <v>225</v>
      </c>
      <c r="R874" s="264" t="s">
        <v>224</v>
      </c>
      <c r="S874" s="1" t="s">
        <v>1270</v>
      </c>
      <c r="T874" s="266" t="s">
        <v>3112</v>
      </c>
      <c r="U874" s="266" t="s">
        <v>3113</v>
      </c>
      <c r="V874">
        <v>0</v>
      </c>
      <c r="W874">
        <v>0</v>
      </c>
      <c r="X874">
        <v>0</v>
      </c>
      <c r="Y874">
        <v>0</v>
      </c>
      <c r="Z874">
        <v>0</v>
      </c>
      <c r="AA874">
        <v>0</v>
      </c>
      <c r="AB874">
        <v>0</v>
      </c>
      <c r="AC874">
        <v>0</v>
      </c>
      <c r="AD874">
        <v>0</v>
      </c>
      <c r="AE874">
        <v>0</v>
      </c>
      <c r="AF874">
        <v>0</v>
      </c>
      <c r="AG874">
        <v>0</v>
      </c>
      <c r="AH874">
        <v>0</v>
      </c>
      <c r="AI874">
        <v>0</v>
      </c>
      <c r="AJ874">
        <v>0</v>
      </c>
      <c r="AK874">
        <v>1</v>
      </c>
      <c r="AL874">
        <v>0</v>
      </c>
      <c r="AM874">
        <v>0</v>
      </c>
      <c r="AN874">
        <v>0</v>
      </c>
      <c r="AO874">
        <v>0</v>
      </c>
      <c r="AP874">
        <v>0</v>
      </c>
      <c r="AQ874">
        <v>0</v>
      </c>
      <c r="AR874">
        <v>0</v>
      </c>
      <c r="AS874">
        <v>0</v>
      </c>
      <c r="AT874">
        <v>0</v>
      </c>
      <c r="AU874">
        <v>0</v>
      </c>
      <c r="AV874">
        <v>0</v>
      </c>
      <c r="AW874">
        <v>0</v>
      </c>
      <c r="AX874" s="141">
        <f t="shared" si="116"/>
        <v>1</v>
      </c>
      <c r="AY874" s="141">
        <f t="shared" si="137"/>
        <v>1</v>
      </c>
      <c r="AZ874">
        <f t="shared" si="138"/>
        <v>0</v>
      </c>
      <c r="BA874">
        <f t="shared" si="139"/>
        <v>0</v>
      </c>
      <c r="BB874">
        <f t="shared" si="140"/>
        <v>1</v>
      </c>
      <c r="BC874">
        <f t="shared" si="141"/>
        <v>0</v>
      </c>
      <c r="BD874">
        <f t="shared" si="142"/>
        <v>0</v>
      </c>
      <c r="BE874" t="str">
        <f t="array" ref="BE874">IF(AY874=1,INDEX($V$7:$AL$7,MATCH(TRUE,INDEX($V874:$AW874&lt;&gt;0,),0)),IF(AY874=0,INDEX($AM$7:$AW$7,MATCH(1,$AM874:$AW874,0)),IF(BF874="Multiple strategies","mixed drivers",IF(BF874="Supply chain","multiple supply","multiple silviculture"))))</f>
        <v>technologies/design switch</v>
      </c>
      <c r="BF874" s="2" t="str" cm="1">
        <f t="array" ref="BF874">IF(COUNTIF(AZ874:BB874,"&lt;&gt;0")=1,INDEX($V$4:$AW$4,MATCH(TRUE,INDEX($V874:$AW874&lt;&gt;0,),0)),IF(COUNTIF(AZ874:BB874,"&lt;&gt;0")=0,INDEX($AM$4:$AW$4,MATCH(1,$AM874:$AW874,0)),"Multiple strategies"))</f>
        <v>Technology</v>
      </c>
      <c r="BG874" s="1" t="s">
        <v>230</v>
      </c>
      <c r="BH874" t="s">
        <v>230</v>
      </c>
      <c r="BJ874" t="s">
        <v>346</v>
      </c>
      <c r="BK874">
        <v>0</v>
      </c>
      <c r="BL874">
        <v>15468</v>
      </c>
      <c r="BM874" s="143"/>
      <c r="BN874">
        <f t="shared" si="125"/>
        <v>15468</v>
      </c>
      <c r="BO874" s="143">
        <f t="shared" si="150"/>
        <v>31.567346938775515</v>
      </c>
      <c r="BP874" t="s">
        <v>233</v>
      </c>
      <c r="BQ874" s="153" t="s">
        <v>1059</v>
      </c>
      <c r="BR874" t="s">
        <v>398</v>
      </c>
      <c r="BS874">
        <v>-25300</v>
      </c>
      <c r="BT874">
        <v>-5370</v>
      </c>
      <c r="BU874" s="144">
        <v>0.21225296442687747</v>
      </c>
      <c r="BV874">
        <v>19930</v>
      </c>
      <c r="BX874">
        <f t="shared" si="152"/>
        <v>19.93</v>
      </c>
      <c r="BY874">
        <f t="shared" si="143"/>
        <v>0.63134859063873794</v>
      </c>
      <c r="BZ874">
        <v>0</v>
      </c>
      <c r="CA874">
        <v>0</v>
      </c>
      <c r="CB874">
        <v>0</v>
      </c>
      <c r="CC874">
        <v>0</v>
      </c>
      <c r="CD874">
        <v>0</v>
      </c>
      <c r="CE874">
        <v>0</v>
      </c>
      <c r="CF874">
        <v>0</v>
      </c>
      <c r="CG874">
        <v>0</v>
      </c>
      <c r="CH874">
        <v>0</v>
      </c>
      <c r="CI874">
        <v>0</v>
      </c>
      <c r="CJ874">
        <v>0</v>
      </c>
      <c r="CK874">
        <v>0</v>
      </c>
      <c r="CL874">
        <v>0</v>
      </c>
      <c r="CM874">
        <v>0</v>
      </c>
      <c r="CN874" t="str">
        <f t="shared" si="135"/>
        <v>refOK</v>
      </c>
      <c r="CO874">
        <f t="shared" si="147"/>
        <v>0</v>
      </c>
      <c r="CP874">
        <f t="shared" si="148"/>
        <v>15468</v>
      </c>
      <c r="CQ874">
        <f t="shared" si="124"/>
        <v>31.567346938775515</v>
      </c>
      <c r="CR874">
        <f t="shared" si="111"/>
        <v>-25300</v>
      </c>
      <c r="CS874">
        <f t="shared" si="136"/>
        <v>-5370</v>
      </c>
      <c r="CT874">
        <f t="shared" si="121"/>
        <v>19.93</v>
      </c>
      <c r="CU874">
        <f t="shared" si="105"/>
        <v>0.63134859063873794</v>
      </c>
      <c r="CV874" s="2">
        <f t="shared" si="122"/>
        <v>0.78774703557312253</v>
      </c>
      <c r="CW874" s="1" t="s">
        <v>1205</v>
      </c>
      <c r="CX874" t="str">
        <f t="shared" si="144"/>
        <v>reg</v>
      </c>
      <c r="CY874" t="s">
        <v>349</v>
      </c>
      <c r="CZ874">
        <v>2014</v>
      </c>
      <c r="DA874">
        <v>2114</v>
      </c>
      <c r="DB874">
        <v>100</v>
      </c>
      <c r="DC874" t="str">
        <f t="shared" si="145"/>
        <v>71-100</v>
      </c>
      <c r="DD874">
        <v>0</v>
      </c>
      <c r="DE874">
        <v>0</v>
      </c>
      <c r="DF874">
        <v>0</v>
      </c>
      <c r="DG874">
        <v>1</v>
      </c>
      <c r="DI874">
        <f t="shared" si="134"/>
        <v>1</v>
      </c>
      <c r="DJ874" t="str">
        <f t="shared" si="103"/>
        <v>TimberInput</v>
      </c>
      <c r="DK874">
        <f t="shared" si="126"/>
        <v>0</v>
      </c>
      <c r="DL874">
        <f t="shared" si="127"/>
        <v>0</v>
      </c>
      <c r="DM874">
        <f t="shared" si="128"/>
        <v>0</v>
      </c>
      <c r="DN874" t="str">
        <f t="shared" si="129"/>
        <v>Timber</v>
      </c>
      <c r="DO874">
        <v>0</v>
      </c>
      <c r="DP874">
        <v>0</v>
      </c>
      <c r="DQ874">
        <v>0</v>
      </c>
      <c r="DR874">
        <v>0</v>
      </c>
      <c r="DS874">
        <v>0</v>
      </c>
      <c r="DT874">
        <f t="shared" si="114"/>
        <v>0</v>
      </c>
      <c r="DU874" s="143" t="str">
        <f t="shared" si="149"/>
        <v>explicit C balance</v>
      </c>
      <c r="DV874">
        <v>0</v>
      </c>
      <c r="DW874">
        <v>0</v>
      </c>
      <c r="DX874">
        <v>0</v>
      </c>
      <c r="DY874">
        <v>0</v>
      </c>
      <c r="DZ874">
        <v>0</v>
      </c>
      <c r="EA874" s="143">
        <v>1</v>
      </c>
      <c r="EB874">
        <v>0</v>
      </c>
      <c r="EC874">
        <v>1</v>
      </c>
      <c r="ED874">
        <v>1</v>
      </c>
      <c r="EE874">
        <v>1</v>
      </c>
      <c r="EF874">
        <v>0</v>
      </c>
      <c r="EG874">
        <v>0</v>
      </c>
      <c r="EH874">
        <v>0</v>
      </c>
      <c r="EI874" s="2">
        <v>0</v>
      </c>
      <c r="EK874" t="str">
        <f t="shared" si="130"/>
        <v/>
      </c>
      <c r="EL874" t="str">
        <f t="shared" si="131"/>
        <v/>
      </c>
      <c r="EM874" s="2" t="str">
        <f t="shared" si="146"/>
        <v>Technology approach</v>
      </c>
      <c r="EP874" t="str">
        <f>IF(ISNUMBER(BU874),IF(ABS(BU874-[2]QC_indicators!$B$2)&gt;3*[2]QC_indicators!$C$2,"C ratio",IF(ISNUMBER(BY874),IF(ABS(BY874-[2]QC_indicators!$B$1)&gt;3*[2]QC_indicators!$C$1,"DF","no"))),IF(ISNUMBER(BY874),IF(ABS(BY874-[2]QC_indicators!$B$1)&gt;3*[2]QC_indicators!$C$1,"DF","no")))</f>
        <v>no</v>
      </c>
      <c r="ER874" s="149" t="s">
        <v>350</v>
      </c>
      <c r="ET874" s="266" t="s">
        <v>3275</v>
      </c>
    </row>
    <row r="875" spans="1:150" ht="15" hidden="1" customHeight="1">
      <c r="A875" s="1" t="s">
        <v>1235</v>
      </c>
      <c r="B875" t="s">
        <v>1236</v>
      </c>
      <c r="C875" t="s">
        <v>1237</v>
      </c>
      <c r="D875" t="s">
        <v>337</v>
      </c>
      <c r="E875" t="s">
        <v>1238</v>
      </c>
      <c r="F875" t="s">
        <v>1239</v>
      </c>
      <c r="G875" t="s">
        <v>1240</v>
      </c>
      <c r="I875">
        <v>2018</v>
      </c>
      <c r="K875" t="s">
        <v>1241</v>
      </c>
      <c r="M875" t="str">
        <f t="shared" ref="M875:M938" si="153">LEFT($D875,FIND(",",$D875)-1)&amp;"_"&amp;I875&amp;L875</f>
        <v>Balasbaneh_2018</v>
      </c>
      <c r="N875" t="s">
        <v>223</v>
      </c>
      <c r="O875" s="140" t="s">
        <v>514</v>
      </c>
      <c r="Q875" t="s">
        <v>225</v>
      </c>
      <c r="R875" s="264" t="s">
        <v>224</v>
      </c>
      <c r="S875" s="1" t="s">
        <v>1257</v>
      </c>
      <c r="T875" s="266" t="s">
        <v>3114</v>
      </c>
      <c r="U875" s="266" t="s">
        <v>3113</v>
      </c>
      <c r="V875">
        <v>0</v>
      </c>
      <c r="W875">
        <v>0</v>
      </c>
      <c r="X875">
        <v>0</v>
      </c>
      <c r="Y875">
        <v>0</v>
      </c>
      <c r="Z875">
        <v>0</v>
      </c>
      <c r="AA875">
        <v>0</v>
      </c>
      <c r="AB875">
        <v>0</v>
      </c>
      <c r="AC875">
        <v>0</v>
      </c>
      <c r="AD875">
        <v>0</v>
      </c>
      <c r="AE875">
        <v>0</v>
      </c>
      <c r="AF875">
        <v>0</v>
      </c>
      <c r="AG875">
        <v>0</v>
      </c>
      <c r="AH875">
        <v>0</v>
      </c>
      <c r="AI875">
        <v>0</v>
      </c>
      <c r="AJ875">
        <v>0</v>
      </c>
      <c r="AK875">
        <v>1</v>
      </c>
      <c r="AL875">
        <v>0</v>
      </c>
      <c r="AM875">
        <v>0</v>
      </c>
      <c r="AN875">
        <v>0</v>
      </c>
      <c r="AO875">
        <v>0</v>
      </c>
      <c r="AP875">
        <v>0</v>
      </c>
      <c r="AQ875">
        <v>0</v>
      </c>
      <c r="AR875">
        <v>0</v>
      </c>
      <c r="AS875">
        <v>0</v>
      </c>
      <c r="AT875">
        <v>0</v>
      </c>
      <c r="AU875">
        <v>0</v>
      </c>
      <c r="AV875">
        <v>0</v>
      </c>
      <c r="AW875">
        <v>0</v>
      </c>
      <c r="AX875" s="141">
        <f t="shared" si="116"/>
        <v>1</v>
      </c>
      <c r="AY875" s="141">
        <f t="shared" si="137"/>
        <v>1</v>
      </c>
      <c r="AZ875">
        <f t="shared" si="138"/>
        <v>0</v>
      </c>
      <c r="BA875">
        <f t="shared" si="139"/>
        <v>0</v>
      </c>
      <c r="BB875">
        <f t="shared" si="140"/>
        <v>1</v>
      </c>
      <c r="BC875">
        <f t="shared" si="141"/>
        <v>0</v>
      </c>
      <c r="BD875">
        <f t="shared" si="142"/>
        <v>0</v>
      </c>
      <c r="BE875" t="str">
        <f t="array" ref="BE875">IF(AY875=1,INDEX($V$7:$AL$7,MATCH(TRUE,INDEX($V875:$AW875&lt;&gt;0,),0)),IF(AY875=0,INDEX($AM$7:$AW$7,MATCH(1,$AM875:$AW875,0)),IF(BF875="Multiple strategies","mixed drivers",IF(BF875="Supply chain","multiple supply","multiple silviculture"))))</f>
        <v>technologies/design switch</v>
      </c>
      <c r="BF875" s="2" t="str" cm="1">
        <f t="array" ref="BF875">IF(COUNTIF(AZ875:BB875,"&lt;&gt;0")=1,INDEX($V$4:$AW$4,MATCH(TRUE,INDEX($V875:$AW875&lt;&gt;0,),0)),IF(COUNTIF(AZ875:BB875,"&lt;&gt;0")=0,INDEX($AM$4:$AW$4,MATCH(1,$AM875:$AW875,0)),"Multiple strategies"))</f>
        <v>Technology</v>
      </c>
      <c r="BG875" s="1" t="s">
        <v>230</v>
      </c>
      <c r="BH875" t="s">
        <v>230</v>
      </c>
      <c r="BJ875" t="s">
        <v>346</v>
      </c>
      <c r="BK875">
        <v>0</v>
      </c>
      <c r="BL875">
        <v>15468</v>
      </c>
      <c r="BM875" s="143"/>
      <c r="BN875">
        <f t="shared" si="125"/>
        <v>15468</v>
      </c>
      <c r="BO875" s="143">
        <f t="shared" si="150"/>
        <v>31.567346938775515</v>
      </c>
      <c r="BP875" t="s">
        <v>233</v>
      </c>
      <c r="BQ875" s="153" t="s">
        <v>1059</v>
      </c>
      <c r="BR875" t="s">
        <v>398</v>
      </c>
      <c r="BS875">
        <v>-14600</v>
      </c>
      <c r="BT875">
        <v>-5370</v>
      </c>
      <c r="BU875" s="144">
        <v>0.36780821917808221</v>
      </c>
      <c r="BV875">
        <v>9230</v>
      </c>
      <c r="BX875">
        <f t="shared" si="152"/>
        <v>9.23</v>
      </c>
      <c r="BY875">
        <f t="shared" si="143"/>
        <v>0.29239074217739847</v>
      </c>
      <c r="BZ875">
        <v>0</v>
      </c>
      <c r="CA875">
        <v>0</v>
      </c>
      <c r="CB875">
        <v>0</v>
      </c>
      <c r="CC875">
        <v>0</v>
      </c>
      <c r="CD875">
        <v>0</v>
      </c>
      <c r="CE875">
        <v>0</v>
      </c>
      <c r="CF875">
        <v>0</v>
      </c>
      <c r="CG875">
        <v>0</v>
      </c>
      <c r="CH875">
        <v>0</v>
      </c>
      <c r="CI875">
        <v>0</v>
      </c>
      <c r="CJ875">
        <v>0</v>
      </c>
      <c r="CK875">
        <v>0</v>
      </c>
      <c r="CL875">
        <v>0</v>
      </c>
      <c r="CM875">
        <v>0</v>
      </c>
      <c r="CN875" t="str">
        <f t="shared" si="135"/>
        <v>refOK</v>
      </c>
      <c r="CO875">
        <f t="shared" si="147"/>
        <v>0</v>
      </c>
      <c r="CP875">
        <f t="shared" si="148"/>
        <v>15468</v>
      </c>
      <c r="CQ875">
        <f t="shared" si="124"/>
        <v>31.567346938775515</v>
      </c>
      <c r="CR875">
        <f t="shared" si="111"/>
        <v>-14600</v>
      </c>
      <c r="CS875">
        <f t="shared" si="136"/>
        <v>-5370</v>
      </c>
      <c r="CT875">
        <f t="shared" si="121"/>
        <v>9.23</v>
      </c>
      <c r="CU875">
        <f t="shared" si="105"/>
        <v>0.29239074217739847</v>
      </c>
      <c r="CV875" s="2">
        <f t="shared" si="122"/>
        <v>0.63219178082191785</v>
      </c>
      <c r="CW875" s="1" t="s">
        <v>1205</v>
      </c>
      <c r="CX875" t="str">
        <f t="shared" si="144"/>
        <v>reg</v>
      </c>
      <c r="CY875" t="s">
        <v>349</v>
      </c>
      <c r="CZ875">
        <v>2014</v>
      </c>
      <c r="DA875">
        <v>2114</v>
      </c>
      <c r="DB875">
        <v>100</v>
      </c>
      <c r="DC875" t="str">
        <f t="shared" si="145"/>
        <v>71-100</v>
      </c>
      <c r="DD875">
        <v>0</v>
      </c>
      <c r="DE875">
        <v>0</v>
      </c>
      <c r="DF875">
        <v>0</v>
      </c>
      <c r="DG875">
        <v>1</v>
      </c>
      <c r="DI875">
        <f t="shared" ref="DI875:DI906" si="154">SUM(DD875:DG875)</f>
        <v>1</v>
      </c>
      <c r="DJ875" t="str">
        <f t="shared" ref="DJ875:DJ938" si="155">IF(DI875=1,INDEX($DD$7:$DG$7,MATCH(1,$DD875:$DG875,0)),"mixedProduct")</f>
        <v>TimberInput</v>
      </c>
      <c r="DK875">
        <f t="shared" si="126"/>
        <v>0</v>
      </c>
      <c r="DL875">
        <f t="shared" si="127"/>
        <v>0</v>
      </c>
      <c r="DM875">
        <f t="shared" si="128"/>
        <v>0</v>
      </c>
      <c r="DN875" t="str">
        <f t="shared" si="129"/>
        <v>Timber</v>
      </c>
      <c r="DO875">
        <v>0</v>
      </c>
      <c r="DP875">
        <v>0</v>
      </c>
      <c r="DQ875">
        <v>0</v>
      </c>
      <c r="DR875">
        <v>0</v>
      </c>
      <c r="DS875">
        <v>0</v>
      </c>
      <c r="DT875">
        <f t="shared" si="114"/>
        <v>0</v>
      </c>
      <c r="DU875" s="143" t="str">
        <f t="shared" si="149"/>
        <v>explicit C balance</v>
      </c>
      <c r="DV875">
        <v>0</v>
      </c>
      <c r="DW875">
        <v>0</v>
      </c>
      <c r="DX875">
        <v>0</v>
      </c>
      <c r="DY875">
        <v>0</v>
      </c>
      <c r="DZ875">
        <v>0</v>
      </c>
      <c r="EA875" s="143">
        <v>1</v>
      </c>
      <c r="EB875">
        <v>0</v>
      </c>
      <c r="EC875">
        <v>1</v>
      </c>
      <c r="ED875">
        <v>1</v>
      </c>
      <c r="EE875">
        <v>1</v>
      </c>
      <c r="EF875">
        <v>0</v>
      </c>
      <c r="EG875">
        <v>0</v>
      </c>
      <c r="EH875">
        <v>0</v>
      </c>
      <c r="EI875" s="2">
        <v>0</v>
      </c>
      <c r="EK875" t="str">
        <f t="shared" si="130"/>
        <v/>
      </c>
      <c r="EL875" t="str">
        <f t="shared" si="131"/>
        <v/>
      </c>
      <c r="EM875" s="2" t="str">
        <f t="shared" si="146"/>
        <v>Technology approach</v>
      </c>
      <c r="EP875" t="str">
        <f>IF(ISNUMBER(BU875),IF(ABS(BU875-[2]QC_indicators!$B$2)&gt;3*[2]QC_indicators!$C$2,"C ratio",IF(ISNUMBER(BY875),IF(ABS(BY875-[2]QC_indicators!$B$1)&gt;3*[2]QC_indicators!$C$1,"DF","no"))),IF(ISNUMBER(BY875),IF(ABS(BY875-[2]QC_indicators!$B$1)&gt;3*[2]QC_indicators!$C$1,"DF","no")))</f>
        <v>no</v>
      </c>
      <c r="ER875" s="149" t="s">
        <v>350</v>
      </c>
      <c r="ET875" s="266" t="s">
        <v>3275</v>
      </c>
    </row>
    <row r="876" spans="1:150" ht="15" hidden="1" customHeight="1">
      <c r="A876" s="1" t="s">
        <v>1235</v>
      </c>
      <c r="B876" t="s">
        <v>1236</v>
      </c>
      <c r="C876" t="s">
        <v>1237</v>
      </c>
      <c r="D876" t="s">
        <v>337</v>
      </c>
      <c r="E876" t="s">
        <v>1238</v>
      </c>
      <c r="F876" t="s">
        <v>1239</v>
      </c>
      <c r="G876" t="s">
        <v>1240</v>
      </c>
      <c r="I876">
        <v>2018</v>
      </c>
      <c r="K876" t="s">
        <v>1241</v>
      </c>
      <c r="M876" t="str">
        <f t="shared" si="153"/>
        <v>Balasbaneh_2018</v>
      </c>
      <c r="N876" t="s">
        <v>223</v>
      </c>
      <c r="O876" s="140" t="s">
        <v>514</v>
      </c>
      <c r="Q876" t="s">
        <v>225</v>
      </c>
      <c r="R876" s="264" t="s">
        <v>224</v>
      </c>
      <c r="S876" s="1" t="s">
        <v>1243</v>
      </c>
      <c r="T876" s="266" t="s">
        <v>3115</v>
      </c>
      <c r="U876" s="266" t="s">
        <v>3113</v>
      </c>
      <c r="V876">
        <v>0</v>
      </c>
      <c r="W876">
        <v>0</v>
      </c>
      <c r="X876">
        <v>0</v>
      </c>
      <c r="Y876">
        <v>0</v>
      </c>
      <c r="Z876">
        <v>0</v>
      </c>
      <c r="AA876">
        <v>0</v>
      </c>
      <c r="AB876">
        <v>0</v>
      </c>
      <c r="AC876">
        <v>0</v>
      </c>
      <c r="AD876">
        <v>0</v>
      </c>
      <c r="AE876">
        <v>0</v>
      </c>
      <c r="AF876">
        <v>0</v>
      </c>
      <c r="AG876">
        <v>0</v>
      </c>
      <c r="AH876">
        <v>0</v>
      </c>
      <c r="AI876">
        <v>0</v>
      </c>
      <c r="AJ876">
        <v>0</v>
      </c>
      <c r="AK876">
        <v>1</v>
      </c>
      <c r="AL876">
        <v>0</v>
      </c>
      <c r="AM876">
        <v>0</v>
      </c>
      <c r="AN876">
        <v>0</v>
      </c>
      <c r="AO876">
        <v>0</v>
      </c>
      <c r="AP876">
        <v>0</v>
      </c>
      <c r="AQ876">
        <v>0</v>
      </c>
      <c r="AR876">
        <v>0</v>
      </c>
      <c r="AS876">
        <v>0</v>
      </c>
      <c r="AT876">
        <v>0</v>
      </c>
      <c r="AU876">
        <v>0</v>
      </c>
      <c r="AV876">
        <v>0</v>
      </c>
      <c r="AW876">
        <v>0</v>
      </c>
      <c r="AX876" s="141">
        <f t="shared" si="116"/>
        <v>1</v>
      </c>
      <c r="AY876" s="141">
        <f t="shared" si="137"/>
        <v>1</v>
      </c>
      <c r="AZ876">
        <f t="shared" si="138"/>
        <v>0</v>
      </c>
      <c r="BA876">
        <f t="shared" si="139"/>
        <v>0</v>
      </c>
      <c r="BB876">
        <f t="shared" si="140"/>
        <v>1</v>
      </c>
      <c r="BC876">
        <f t="shared" si="141"/>
        <v>0</v>
      </c>
      <c r="BD876">
        <f t="shared" si="142"/>
        <v>0</v>
      </c>
      <c r="BE876" t="str">
        <f t="array" ref="BE876">IF(AY876=1,INDEX($V$7:$AL$7,MATCH(TRUE,INDEX($V876:$AW876&lt;&gt;0,),0)),IF(AY876=0,INDEX($AM$7:$AW$7,MATCH(1,$AM876:$AW876,0)),IF(BF876="Multiple strategies","mixed drivers",IF(BF876="Supply chain","multiple supply","multiple silviculture"))))</f>
        <v>technologies/design switch</v>
      </c>
      <c r="BF876" s="2" t="str" cm="1">
        <f t="array" ref="BF876">IF(COUNTIF(AZ876:BB876,"&lt;&gt;0")=1,INDEX($V$4:$AW$4,MATCH(TRUE,INDEX($V876:$AW876&lt;&gt;0,),0)),IF(COUNTIF(AZ876:BB876,"&lt;&gt;0")=0,INDEX($AM$4:$AW$4,MATCH(1,$AM876:$AW876,0)),"Multiple strategies"))</f>
        <v>Technology</v>
      </c>
      <c r="BG876" s="1" t="s">
        <v>230</v>
      </c>
      <c r="BH876" t="s">
        <v>230</v>
      </c>
      <c r="BJ876" t="s">
        <v>346</v>
      </c>
      <c r="BK876">
        <v>0</v>
      </c>
      <c r="BL876">
        <v>15468</v>
      </c>
      <c r="BM876" s="143"/>
      <c r="BN876">
        <f t="shared" si="125"/>
        <v>15468</v>
      </c>
      <c r="BO876" s="143">
        <f t="shared" si="150"/>
        <v>31.567346938775515</v>
      </c>
      <c r="BP876" t="s">
        <v>233</v>
      </c>
      <c r="BQ876" s="153" t="s">
        <v>1059</v>
      </c>
      <c r="BR876" t="s">
        <v>398</v>
      </c>
      <c r="BS876">
        <v>-8200</v>
      </c>
      <c r="BT876">
        <v>-5370</v>
      </c>
      <c r="BU876" s="144">
        <v>0.65487804878048783</v>
      </c>
      <c r="BV876">
        <v>2830</v>
      </c>
      <c r="BX876">
        <f t="shared" si="152"/>
        <v>2.83</v>
      </c>
      <c r="BY876">
        <f t="shared" si="143"/>
        <v>8.964959917248512E-2</v>
      </c>
      <c r="BZ876">
        <v>0</v>
      </c>
      <c r="CA876">
        <v>0</v>
      </c>
      <c r="CB876">
        <v>0</v>
      </c>
      <c r="CC876">
        <v>0</v>
      </c>
      <c r="CD876">
        <v>0</v>
      </c>
      <c r="CE876">
        <v>0</v>
      </c>
      <c r="CF876">
        <v>0</v>
      </c>
      <c r="CG876">
        <v>0</v>
      </c>
      <c r="CH876">
        <v>0</v>
      </c>
      <c r="CI876">
        <v>0</v>
      </c>
      <c r="CJ876">
        <v>0</v>
      </c>
      <c r="CK876">
        <v>0</v>
      </c>
      <c r="CL876">
        <v>0</v>
      </c>
      <c r="CM876">
        <v>0</v>
      </c>
      <c r="CN876" t="str">
        <f t="shared" si="135"/>
        <v>refOK</v>
      </c>
      <c r="CO876">
        <f t="shared" si="147"/>
        <v>0</v>
      </c>
      <c r="CP876">
        <f t="shared" si="148"/>
        <v>15468</v>
      </c>
      <c r="CQ876">
        <f t="shared" si="124"/>
        <v>31.567346938775515</v>
      </c>
      <c r="CR876">
        <f t="shared" si="111"/>
        <v>-8200</v>
      </c>
      <c r="CS876">
        <f t="shared" si="136"/>
        <v>-5370</v>
      </c>
      <c r="CT876">
        <f t="shared" si="121"/>
        <v>2.83</v>
      </c>
      <c r="CU876">
        <f t="shared" si="105"/>
        <v>8.964959917248512E-2</v>
      </c>
      <c r="CV876" s="2">
        <f t="shared" si="122"/>
        <v>0.34512195121951217</v>
      </c>
      <c r="CW876" s="1" t="s">
        <v>1205</v>
      </c>
      <c r="CX876" t="str">
        <f t="shared" si="144"/>
        <v>reg</v>
      </c>
      <c r="CY876" t="s">
        <v>349</v>
      </c>
      <c r="CZ876">
        <v>2014</v>
      </c>
      <c r="DA876">
        <v>2114</v>
      </c>
      <c r="DB876">
        <v>100</v>
      </c>
      <c r="DC876" t="str">
        <f t="shared" si="145"/>
        <v>71-100</v>
      </c>
      <c r="DD876">
        <v>0</v>
      </c>
      <c r="DE876">
        <v>0</v>
      </c>
      <c r="DF876">
        <v>0</v>
      </c>
      <c r="DG876">
        <v>1</v>
      </c>
      <c r="DI876">
        <f t="shared" si="154"/>
        <v>1</v>
      </c>
      <c r="DJ876" t="str">
        <f t="shared" si="155"/>
        <v>TimberInput</v>
      </c>
      <c r="DK876">
        <f t="shared" si="126"/>
        <v>0</v>
      </c>
      <c r="DL876">
        <f t="shared" si="127"/>
        <v>0</v>
      </c>
      <c r="DM876">
        <f t="shared" si="128"/>
        <v>0</v>
      </c>
      <c r="DN876" t="str">
        <f t="shared" si="129"/>
        <v>Timber</v>
      </c>
      <c r="DO876">
        <v>0</v>
      </c>
      <c r="DP876">
        <v>0</v>
      </c>
      <c r="DQ876">
        <v>0</v>
      </c>
      <c r="DR876">
        <v>0</v>
      </c>
      <c r="DS876">
        <v>0</v>
      </c>
      <c r="DT876">
        <f t="shared" si="114"/>
        <v>0</v>
      </c>
      <c r="DU876" s="143" t="str">
        <f t="shared" si="149"/>
        <v>explicit C balance</v>
      </c>
      <c r="DV876">
        <v>0</v>
      </c>
      <c r="DW876">
        <v>0</v>
      </c>
      <c r="DX876">
        <v>0</v>
      </c>
      <c r="DY876">
        <v>0</v>
      </c>
      <c r="DZ876">
        <v>0</v>
      </c>
      <c r="EA876" s="143">
        <v>1</v>
      </c>
      <c r="EB876">
        <v>0</v>
      </c>
      <c r="EC876">
        <v>1</v>
      </c>
      <c r="ED876">
        <v>1</v>
      </c>
      <c r="EE876">
        <v>1</v>
      </c>
      <c r="EF876">
        <v>0</v>
      </c>
      <c r="EG876">
        <v>0</v>
      </c>
      <c r="EH876">
        <v>0</v>
      </c>
      <c r="EI876" s="2">
        <v>0</v>
      </c>
      <c r="EK876" t="str">
        <f t="shared" si="130"/>
        <v/>
      </c>
      <c r="EL876" t="str">
        <f t="shared" si="131"/>
        <v/>
      </c>
      <c r="EM876" s="2" t="str">
        <f t="shared" si="146"/>
        <v>Technology approach</v>
      </c>
      <c r="EP876" t="str">
        <f>IF(ISNUMBER(BU876),IF(ABS(BU876-[2]QC_indicators!$B$2)&gt;3*[2]QC_indicators!$C$2,"C ratio",IF(ISNUMBER(BY876),IF(ABS(BY876-[2]QC_indicators!$B$1)&gt;3*[2]QC_indicators!$C$1,"DF","no"))),IF(ISNUMBER(BY876),IF(ABS(BY876-[2]QC_indicators!$B$1)&gt;3*[2]QC_indicators!$C$1,"DF","no")))</f>
        <v>no</v>
      </c>
      <c r="ER876" s="149" t="s">
        <v>350</v>
      </c>
      <c r="ET876" s="266" t="s">
        <v>3275</v>
      </c>
    </row>
    <row r="877" spans="1:150" ht="15" hidden="1" customHeight="1">
      <c r="A877" s="1" t="s">
        <v>1235</v>
      </c>
      <c r="B877" t="s">
        <v>1236</v>
      </c>
      <c r="C877" t="s">
        <v>1237</v>
      </c>
      <c r="D877" t="s">
        <v>337</v>
      </c>
      <c r="E877" t="s">
        <v>1238</v>
      </c>
      <c r="F877" t="s">
        <v>1239</v>
      </c>
      <c r="G877" t="s">
        <v>1240</v>
      </c>
      <c r="I877">
        <v>2018</v>
      </c>
      <c r="K877" t="s">
        <v>1241</v>
      </c>
      <c r="M877" t="str">
        <f t="shared" si="153"/>
        <v>Balasbaneh_2018</v>
      </c>
      <c r="N877" t="s">
        <v>223</v>
      </c>
      <c r="O877" s="140" t="s">
        <v>514</v>
      </c>
      <c r="Q877" t="s">
        <v>225</v>
      </c>
      <c r="R877" s="264" t="s">
        <v>224</v>
      </c>
      <c r="S877" s="1" t="s">
        <v>1246</v>
      </c>
      <c r="T877" s="266" t="s">
        <v>3116</v>
      </c>
      <c r="U877" s="266" t="s">
        <v>3113</v>
      </c>
      <c r="V877">
        <v>0</v>
      </c>
      <c r="W877">
        <v>0</v>
      </c>
      <c r="X877">
        <v>0</v>
      </c>
      <c r="Y877">
        <v>0</v>
      </c>
      <c r="Z877">
        <v>0</v>
      </c>
      <c r="AA877">
        <v>0</v>
      </c>
      <c r="AB877">
        <v>0</v>
      </c>
      <c r="AC877">
        <v>0</v>
      </c>
      <c r="AD877">
        <v>0</v>
      </c>
      <c r="AE877">
        <v>0</v>
      </c>
      <c r="AF877">
        <v>0</v>
      </c>
      <c r="AG877">
        <v>0</v>
      </c>
      <c r="AH877">
        <v>0</v>
      </c>
      <c r="AI877">
        <v>0</v>
      </c>
      <c r="AJ877">
        <v>0</v>
      </c>
      <c r="AK877">
        <v>1</v>
      </c>
      <c r="AL877">
        <v>0</v>
      </c>
      <c r="AM877">
        <v>0</v>
      </c>
      <c r="AN877">
        <v>0</v>
      </c>
      <c r="AO877">
        <v>0</v>
      </c>
      <c r="AP877">
        <v>0</v>
      </c>
      <c r="AQ877">
        <v>0</v>
      </c>
      <c r="AR877">
        <v>0</v>
      </c>
      <c r="AS877">
        <v>0</v>
      </c>
      <c r="AT877">
        <v>0</v>
      </c>
      <c r="AU877">
        <v>0</v>
      </c>
      <c r="AV877">
        <v>0</v>
      </c>
      <c r="AW877">
        <v>0</v>
      </c>
      <c r="AX877" s="141">
        <f t="shared" si="116"/>
        <v>1</v>
      </c>
      <c r="AY877" s="141">
        <f t="shared" si="137"/>
        <v>1</v>
      </c>
      <c r="AZ877">
        <f t="shared" si="138"/>
        <v>0</v>
      </c>
      <c r="BA877">
        <f t="shared" si="139"/>
        <v>0</v>
      </c>
      <c r="BB877">
        <f t="shared" si="140"/>
        <v>1</v>
      </c>
      <c r="BC877">
        <f t="shared" si="141"/>
        <v>0</v>
      </c>
      <c r="BD877">
        <f t="shared" si="142"/>
        <v>0</v>
      </c>
      <c r="BE877" t="str">
        <f t="array" ref="BE877">IF(AY877=1,INDEX($V$7:$AL$7,MATCH(TRUE,INDEX($V877:$AW877&lt;&gt;0,),0)),IF(AY877=0,INDEX($AM$7:$AW$7,MATCH(1,$AM877:$AW877,0)),IF(BF877="Multiple strategies","mixed drivers",IF(BF877="Supply chain","multiple supply","multiple silviculture"))))</f>
        <v>technologies/design switch</v>
      </c>
      <c r="BF877" s="2" t="str" cm="1">
        <f t="array" ref="BF877">IF(COUNTIF(AZ877:BB877,"&lt;&gt;0")=1,INDEX($V$4:$AW$4,MATCH(TRUE,INDEX($V877:$AW877&lt;&gt;0,),0)),IF(COUNTIF(AZ877:BB877,"&lt;&gt;0")=0,INDEX($AM$4:$AW$4,MATCH(1,$AM877:$AW877,0)),"Multiple strategies"))</f>
        <v>Technology</v>
      </c>
      <c r="BG877" s="1" t="s">
        <v>230</v>
      </c>
      <c r="BH877" t="s">
        <v>230</v>
      </c>
      <c r="BJ877" t="s">
        <v>346</v>
      </c>
      <c r="BK877">
        <v>0</v>
      </c>
      <c r="BL877">
        <v>15468</v>
      </c>
      <c r="BM877" s="143"/>
      <c r="BN877">
        <f t="shared" si="125"/>
        <v>15468</v>
      </c>
      <c r="BO877" s="143">
        <f t="shared" si="150"/>
        <v>31.567346938775515</v>
      </c>
      <c r="BP877" t="s">
        <v>233</v>
      </c>
      <c r="BQ877" s="153" t="s">
        <v>1059</v>
      </c>
      <c r="BR877" t="s">
        <v>398</v>
      </c>
      <c r="BS877">
        <v>-9120</v>
      </c>
      <c r="BT877">
        <v>-5370</v>
      </c>
      <c r="BU877" s="144">
        <v>0.58881578947368418</v>
      </c>
      <c r="BV877">
        <v>3750</v>
      </c>
      <c r="BX877">
        <f t="shared" si="152"/>
        <v>3.75</v>
      </c>
      <c r="BY877">
        <f t="shared" si="143"/>
        <v>0.11879363847944141</v>
      </c>
      <c r="BZ877">
        <v>0</v>
      </c>
      <c r="CA877">
        <v>0</v>
      </c>
      <c r="CB877">
        <v>0</v>
      </c>
      <c r="CC877">
        <v>0</v>
      </c>
      <c r="CD877">
        <v>0</v>
      </c>
      <c r="CE877">
        <v>0</v>
      </c>
      <c r="CF877">
        <v>0</v>
      </c>
      <c r="CG877">
        <v>0</v>
      </c>
      <c r="CH877">
        <v>0</v>
      </c>
      <c r="CI877">
        <v>0</v>
      </c>
      <c r="CJ877">
        <v>0</v>
      </c>
      <c r="CK877">
        <v>0</v>
      </c>
      <c r="CL877">
        <v>0</v>
      </c>
      <c r="CM877">
        <v>0</v>
      </c>
      <c r="CN877" t="str">
        <f t="shared" si="135"/>
        <v>refOK</v>
      </c>
      <c r="CO877">
        <f t="shared" si="147"/>
        <v>0</v>
      </c>
      <c r="CP877">
        <f t="shared" si="148"/>
        <v>15468</v>
      </c>
      <c r="CQ877">
        <f t="shared" si="124"/>
        <v>31.567346938775515</v>
      </c>
      <c r="CR877">
        <f t="shared" si="111"/>
        <v>-9120</v>
      </c>
      <c r="CS877">
        <f t="shared" si="136"/>
        <v>-5370</v>
      </c>
      <c r="CT877">
        <f t="shared" si="121"/>
        <v>3.75</v>
      </c>
      <c r="CU877">
        <f t="shared" ref="CU877:CU940" si="156">IFERROR(CT877/CQ877,"")</f>
        <v>0.11879363847944141</v>
      </c>
      <c r="CV877" s="2">
        <f t="shared" si="122"/>
        <v>0.41118421052631576</v>
      </c>
      <c r="CW877" s="1" t="s">
        <v>1205</v>
      </c>
      <c r="CX877" t="str">
        <f t="shared" si="144"/>
        <v>reg</v>
      </c>
      <c r="CY877" t="s">
        <v>349</v>
      </c>
      <c r="CZ877">
        <v>2014</v>
      </c>
      <c r="DA877">
        <v>2114</v>
      </c>
      <c r="DB877">
        <v>100</v>
      </c>
      <c r="DC877" t="str">
        <f t="shared" si="145"/>
        <v>71-100</v>
      </c>
      <c r="DD877">
        <v>0</v>
      </c>
      <c r="DE877">
        <v>0</v>
      </c>
      <c r="DF877">
        <v>0</v>
      </c>
      <c r="DG877">
        <v>1</v>
      </c>
      <c r="DI877">
        <f t="shared" si="154"/>
        <v>1</v>
      </c>
      <c r="DJ877" t="str">
        <f t="shared" si="155"/>
        <v>TimberInput</v>
      </c>
      <c r="DK877">
        <f t="shared" si="126"/>
        <v>0</v>
      </c>
      <c r="DL877">
        <f t="shared" si="127"/>
        <v>0</v>
      </c>
      <c r="DM877">
        <f t="shared" si="128"/>
        <v>0</v>
      </c>
      <c r="DN877" t="str">
        <f t="shared" si="129"/>
        <v>Timber</v>
      </c>
      <c r="DO877">
        <v>0</v>
      </c>
      <c r="DP877">
        <v>0</v>
      </c>
      <c r="DQ877">
        <v>0</v>
      </c>
      <c r="DR877">
        <v>0</v>
      </c>
      <c r="DS877">
        <v>0</v>
      </c>
      <c r="DT877">
        <f t="shared" si="114"/>
        <v>0</v>
      </c>
      <c r="DU877" s="143" t="str">
        <f t="shared" si="149"/>
        <v>explicit C balance</v>
      </c>
      <c r="DV877">
        <v>0</v>
      </c>
      <c r="DW877">
        <v>0</v>
      </c>
      <c r="DX877">
        <v>0</v>
      </c>
      <c r="DY877">
        <v>0</v>
      </c>
      <c r="DZ877">
        <v>0</v>
      </c>
      <c r="EA877" s="143">
        <v>1</v>
      </c>
      <c r="EB877">
        <v>0</v>
      </c>
      <c r="EC877">
        <v>1</v>
      </c>
      <c r="ED877">
        <v>1</v>
      </c>
      <c r="EE877">
        <v>1</v>
      </c>
      <c r="EF877">
        <v>0</v>
      </c>
      <c r="EG877">
        <v>0</v>
      </c>
      <c r="EH877">
        <v>0</v>
      </c>
      <c r="EI877" s="2">
        <v>0</v>
      </c>
      <c r="EK877" t="str">
        <f t="shared" si="130"/>
        <v/>
      </c>
      <c r="EL877" t="str">
        <f t="shared" si="131"/>
        <v/>
      </c>
      <c r="EM877" s="2" t="str">
        <f t="shared" si="146"/>
        <v>Technology approach</v>
      </c>
      <c r="EP877" t="str">
        <f>IF(ISNUMBER(BU877),IF(ABS(BU877-[2]QC_indicators!$B$2)&gt;3*[2]QC_indicators!$C$2,"C ratio",IF(ISNUMBER(BY877),IF(ABS(BY877-[2]QC_indicators!$B$1)&gt;3*[2]QC_indicators!$C$1,"DF","no"))),IF(ISNUMBER(BY877),IF(ABS(BY877-[2]QC_indicators!$B$1)&gt;3*[2]QC_indicators!$C$1,"DF","no")))</f>
        <v>no</v>
      </c>
      <c r="ER877" s="149" t="s">
        <v>350</v>
      </c>
      <c r="ET877" s="266" t="s">
        <v>3275</v>
      </c>
    </row>
    <row r="878" spans="1:150" ht="15" hidden="1" customHeight="1">
      <c r="A878" s="1" t="s">
        <v>1235</v>
      </c>
      <c r="B878" t="s">
        <v>1236</v>
      </c>
      <c r="C878" t="s">
        <v>1237</v>
      </c>
      <c r="D878" t="s">
        <v>337</v>
      </c>
      <c r="E878" t="s">
        <v>1238</v>
      </c>
      <c r="F878" t="s">
        <v>1239</v>
      </c>
      <c r="G878" t="s">
        <v>1240</v>
      </c>
      <c r="I878">
        <v>2018</v>
      </c>
      <c r="K878" t="s">
        <v>1241</v>
      </c>
      <c r="M878" t="str">
        <f t="shared" si="153"/>
        <v>Balasbaneh_2018</v>
      </c>
      <c r="N878" t="s">
        <v>223</v>
      </c>
      <c r="O878" s="140" t="s">
        <v>514</v>
      </c>
      <c r="Q878" t="s">
        <v>225</v>
      </c>
      <c r="R878" s="264" t="s">
        <v>224</v>
      </c>
      <c r="S878" s="1" t="s">
        <v>1266</v>
      </c>
      <c r="T878" s="266" t="s">
        <v>3117</v>
      </c>
      <c r="U878" s="266" t="s">
        <v>3113</v>
      </c>
      <c r="V878">
        <v>0</v>
      </c>
      <c r="W878">
        <v>0</v>
      </c>
      <c r="X878">
        <v>0</v>
      </c>
      <c r="Y878">
        <v>0</v>
      </c>
      <c r="Z878">
        <v>0</v>
      </c>
      <c r="AA878">
        <v>0</v>
      </c>
      <c r="AB878">
        <v>0</v>
      </c>
      <c r="AC878">
        <v>0</v>
      </c>
      <c r="AD878">
        <v>0</v>
      </c>
      <c r="AE878">
        <v>0</v>
      </c>
      <c r="AF878">
        <v>0</v>
      </c>
      <c r="AG878">
        <v>0</v>
      </c>
      <c r="AH878">
        <v>0</v>
      </c>
      <c r="AI878">
        <v>0</v>
      </c>
      <c r="AJ878">
        <v>0</v>
      </c>
      <c r="AK878">
        <v>1</v>
      </c>
      <c r="AL878">
        <v>0</v>
      </c>
      <c r="AM878">
        <v>0</v>
      </c>
      <c r="AN878">
        <v>0</v>
      </c>
      <c r="AO878">
        <v>0</v>
      </c>
      <c r="AP878">
        <v>0</v>
      </c>
      <c r="AQ878">
        <v>0</v>
      </c>
      <c r="AR878">
        <v>0</v>
      </c>
      <c r="AS878">
        <v>0</v>
      </c>
      <c r="AT878">
        <v>0</v>
      </c>
      <c r="AU878">
        <v>0</v>
      </c>
      <c r="AV878">
        <v>0</v>
      </c>
      <c r="AW878">
        <v>0</v>
      </c>
      <c r="AX878" s="141">
        <f t="shared" si="116"/>
        <v>1</v>
      </c>
      <c r="AY878" s="141">
        <f t="shared" si="137"/>
        <v>1</v>
      </c>
      <c r="AZ878">
        <f t="shared" si="138"/>
        <v>0</v>
      </c>
      <c r="BA878">
        <f t="shared" si="139"/>
        <v>0</v>
      </c>
      <c r="BB878">
        <f t="shared" si="140"/>
        <v>1</v>
      </c>
      <c r="BC878">
        <f t="shared" si="141"/>
        <v>0</v>
      </c>
      <c r="BD878">
        <f t="shared" si="142"/>
        <v>0</v>
      </c>
      <c r="BE878" t="str">
        <f t="array" ref="BE878">IF(AY878=1,INDEX($V$7:$AL$7,MATCH(TRUE,INDEX($V878:$AW878&lt;&gt;0,),0)),IF(AY878=0,INDEX($AM$7:$AW$7,MATCH(1,$AM878:$AW878,0)),IF(BF878="Multiple strategies","mixed drivers",IF(BF878="Supply chain","multiple supply","multiple silviculture"))))</f>
        <v>technologies/design switch</v>
      </c>
      <c r="BF878" s="2" t="str" cm="1">
        <f t="array" ref="BF878">IF(COUNTIF(AZ878:BB878,"&lt;&gt;0")=1,INDEX($V$4:$AW$4,MATCH(TRUE,INDEX($V878:$AW878&lt;&gt;0,),0)),IF(COUNTIF(AZ878:BB878,"&lt;&gt;0")=0,INDEX($AM$4:$AW$4,MATCH(1,$AM878:$AW878,0)),"Multiple strategies"))</f>
        <v>Technology</v>
      </c>
      <c r="BG878" s="1" t="s">
        <v>230</v>
      </c>
      <c r="BH878" t="s">
        <v>230</v>
      </c>
      <c r="BJ878" t="s">
        <v>346</v>
      </c>
      <c r="BK878">
        <v>0</v>
      </c>
      <c r="BL878">
        <v>15468</v>
      </c>
      <c r="BM878" s="143"/>
      <c r="BN878">
        <f t="shared" si="125"/>
        <v>15468</v>
      </c>
      <c r="BO878" s="143">
        <f t="shared" si="150"/>
        <v>31.567346938775515</v>
      </c>
      <c r="BP878" t="s">
        <v>233</v>
      </c>
      <c r="BQ878" s="153" t="s">
        <v>1059</v>
      </c>
      <c r="BR878" t="s">
        <v>398</v>
      </c>
      <c r="BS878">
        <v>-21200</v>
      </c>
      <c r="BT878">
        <v>-5370</v>
      </c>
      <c r="BU878" s="144">
        <v>0.25330188679245286</v>
      </c>
      <c r="BV878">
        <v>15830</v>
      </c>
      <c r="BX878">
        <f t="shared" si="152"/>
        <v>15.83</v>
      </c>
      <c r="BY878">
        <f t="shared" si="143"/>
        <v>0.50146754590121534</v>
      </c>
      <c r="BZ878">
        <v>0</v>
      </c>
      <c r="CA878">
        <v>0</v>
      </c>
      <c r="CB878">
        <v>0</v>
      </c>
      <c r="CC878">
        <v>0</v>
      </c>
      <c r="CD878">
        <v>0</v>
      </c>
      <c r="CE878">
        <v>0</v>
      </c>
      <c r="CF878">
        <v>0</v>
      </c>
      <c r="CG878">
        <v>0</v>
      </c>
      <c r="CH878">
        <v>0</v>
      </c>
      <c r="CI878">
        <v>0</v>
      </c>
      <c r="CJ878">
        <v>0</v>
      </c>
      <c r="CK878">
        <v>0</v>
      </c>
      <c r="CL878">
        <v>0</v>
      </c>
      <c r="CM878">
        <v>0</v>
      </c>
      <c r="CN878" t="str">
        <f t="shared" si="135"/>
        <v>refOK</v>
      </c>
      <c r="CO878">
        <f t="shared" si="147"/>
        <v>0</v>
      </c>
      <c r="CP878">
        <f t="shared" si="148"/>
        <v>15468</v>
      </c>
      <c r="CQ878">
        <f t="shared" si="124"/>
        <v>31.567346938775515</v>
      </c>
      <c r="CR878">
        <f t="shared" si="111"/>
        <v>-21200</v>
      </c>
      <c r="CS878">
        <f t="shared" si="136"/>
        <v>-5370</v>
      </c>
      <c r="CT878">
        <f t="shared" si="121"/>
        <v>15.83</v>
      </c>
      <c r="CU878">
        <f t="shared" si="156"/>
        <v>0.50146754590121534</v>
      </c>
      <c r="CV878" s="2">
        <f t="shared" si="122"/>
        <v>0.7466981132075472</v>
      </c>
      <c r="CW878" s="1" t="s">
        <v>1205</v>
      </c>
      <c r="CX878" t="str">
        <f t="shared" si="144"/>
        <v>reg</v>
      </c>
      <c r="CY878" t="s">
        <v>349</v>
      </c>
      <c r="CZ878">
        <v>2014</v>
      </c>
      <c r="DA878">
        <v>2114</v>
      </c>
      <c r="DB878">
        <v>100</v>
      </c>
      <c r="DC878" t="str">
        <f t="shared" si="145"/>
        <v>71-100</v>
      </c>
      <c r="DD878">
        <v>0</v>
      </c>
      <c r="DE878">
        <v>0</v>
      </c>
      <c r="DF878">
        <v>0</v>
      </c>
      <c r="DG878">
        <v>1</v>
      </c>
      <c r="DI878">
        <f t="shared" si="154"/>
        <v>1</v>
      </c>
      <c r="DJ878" t="str">
        <f t="shared" si="155"/>
        <v>TimberInput</v>
      </c>
      <c r="DK878">
        <f t="shared" si="126"/>
        <v>0</v>
      </c>
      <c r="DL878">
        <f t="shared" si="127"/>
        <v>0</v>
      </c>
      <c r="DM878">
        <f t="shared" si="128"/>
        <v>0</v>
      </c>
      <c r="DN878" t="str">
        <f t="shared" si="129"/>
        <v>Timber</v>
      </c>
      <c r="DO878">
        <v>0</v>
      </c>
      <c r="DP878">
        <v>0</v>
      </c>
      <c r="DQ878">
        <v>0</v>
      </c>
      <c r="DR878">
        <v>0</v>
      </c>
      <c r="DS878">
        <v>0</v>
      </c>
      <c r="DT878">
        <f t="shared" si="114"/>
        <v>0</v>
      </c>
      <c r="DU878" s="143" t="str">
        <f t="shared" si="149"/>
        <v>explicit C balance</v>
      </c>
      <c r="DV878">
        <v>0</v>
      </c>
      <c r="DW878">
        <v>0</v>
      </c>
      <c r="DX878">
        <v>0</v>
      </c>
      <c r="DY878">
        <v>0</v>
      </c>
      <c r="DZ878">
        <v>0</v>
      </c>
      <c r="EA878" s="143">
        <v>1</v>
      </c>
      <c r="EB878">
        <v>0</v>
      </c>
      <c r="EC878">
        <v>1</v>
      </c>
      <c r="ED878">
        <v>1</v>
      </c>
      <c r="EE878">
        <v>1</v>
      </c>
      <c r="EF878">
        <v>0</v>
      </c>
      <c r="EG878">
        <v>0</v>
      </c>
      <c r="EH878">
        <v>0</v>
      </c>
      <c r="EI878" s="2">
        <v>0</v>
      </c>
      <c r="EK878" t="str">
        <f t="shared" si="130"/>
        <v/>
      </c>
      <c r="EL878" t="str">
        <f t="shared" si="131"/>
        <v/>
      </c>
      <c r="EM878" s="2" t="str">
        <f t="shared" si="146"/>
        <v>Technology approach</v>
      </c>
      <c r="EP878" t="str">
        <f>IF(ISNUMBER(BU878),IF(ABS(BU878-[2]QC_indicators!$B$2)&gt;3*[2]QC_indicators!$C$2,"C ratio",IF(ISNUMBER(BY878),IF(ABS(BY878-[2]QC_indicators!$B$1)&gt;3*[2]QC_indicators!$C$1,"DF","no"))),IF(ISNUMBER(BY878),IF(ABS(BY878-[2]QC_indicators!$B$1)&gt;3*[2]QC_indicators!$C$1,"DF","no")))</f>
        <v>no</v>
      </c>
      <c r="ER878" s="149" t="s">
        <v>350</v>
      </c>
      <c r="ET878" s="266" t="s">
        <v>3275</v>
      </c>
    </row>
    <row r="879" spans="1:150" ht="15" hidden="1" customHeight="1">
      <c r="A879" s="1" t="s">
        <v>1235</v>
      </c>
      <c r="B879" t="s">
        <v>1236</v>
      </c>
      <c r="C879" t="s">
        <v>1237</v>
      </c>
      <c r="D879" t="s">
        <v>337</v>
      </c>
      <c r="E879" t="s">
        <v>1238</v>
      </c>
      <c r="F879" t="s">
        <v>1239</v>
      </c>
      <c r="G879" t="s">
        <v>1240</v>
      </c>
      <c r="I879">
        <v>2018</v>
      </c>
      <c r="K879" t="s">
        <v>1241</v>
      </c>
      <c r="M879" t="str">
        <f t="shared" si="153"/>
        <v>Balasbaneh_2018</v>
      </c>
      <c r="N879" t="s">
        <v>223</v>
      </c>
      <c r="O879" s="140" t="s">
        <v>514</v>
      </c>
      <c r="Q879" t="s">
        <v>225</v>
      </c>
      <c r="R879" s="264" t="s">
        <v>224</v>
      </c>
      <c r="S879" s="1" t="s">
        <v>1267</v>
      </c>
      <c r="T879" s="266" t="s">
        <v>3112</v>
      </c>
      <c r="U879" s="266" t="s">
        <v>3118</v>
      </c>
      <c r="V879">
        <v>0</v>
      </c>
      <c r="W879">
        <v>0</v>
      </c>
      <c r="X879">
        <v>0</v>
      </c>
      <c r="Y879">
        <v>0</v>
      </c>
      <c r="Z879">
        <v>0</v>
      </c>
      <c r="AA879">
        <v>0</v>
      </c>
      <c r="AB879">
        <v>0</v>
      </c>
      <c r="AC879">
        <v>0</v>
      </c>
      <c r="AD879">
        <v>0</v>
      </c>
      <c r="AE879">
        <v>0</v>
      </c>
      <c r="AF879">
        <v>0</v>
      </c>
      <c r="AG879">
        <v>0</v>
      </c>
      <c r="AH879">
        <v>0</v>
      </c>
      <c r="AI879">
        <v>0</v>
      </c>
      <c r="AJ879">
        <v>0</v>
      </c>
      <c r="AK879">
        <v>1</v>
      </c>
      <c r="AL879">
        <v>0</v>
      </c>
      <c r="AM879">
        <v>0</v>
      </c>
      <c r="AN879">
        <v>0</v>
      </c>
      <c r="AO879">
        <v>0</v>
      </c>
      <c r="AP879">
        <v>0</v>
      </c>
      <c r="AQ879">
        <v>0</v>
      </c>
      <c r="AR879">
        <v>0</v>
      </c>
      <c r="AS879">
        <v>0</v>
      </c>
      <c r="AT879">
        <v>0</v>
      </c>
      <c r="AU879">
        <v>0</v>
      </c>
      <c r="AV879">
        <v>0</v>
      </c>
      <c r="AW879">
        <v>0</v>
      </c>
      <c r="AX879" s="141">
        <f t="shared" si="116"/>
        <v>1</v>
      </c>
      <c r="AY879" s="141">
        <f t="shared" si="137"/>
        <v>1</v>
      </c>
      <c r="AZ879">
        <f t="shared" si="138"/>
        <v>0</v>
      </c>
      <c r="BA879">
        <f t="shared" si="139"/>
        <v>0</v>
      </c>
      <c r="BB879">
        <f t="shared" si="140"/>
        <v>1</v>
      </c>
      <c r="BC879">
        <f t="shared" si="141"/>
        <v>0</v>
      </c>
      <c r="BD879">
        <f t="shared" si="142"/>
        <v>0</v>
      </c>
      <c r="BE879" t="str">
        <f t="array" ref="BE879">IF(AY879=1,INDEX($V$7:$AL$7,MATCH(TRUE,INDEX($V879:$AW879&lt;&gt;0,),0)),IF(AY879=0,INDEX($AM$7:$AW$7,MATCH(1,$AM879:$AW879,0)),IF(BF879="Multiple strategies","mixed drivers",IF(BF879="Supply chain","multiple supply","multiple silviculture"))))</f>
        <v>technologies/design switch</v>
      </c>
      <c r="BF879" s="2" t="str" cm="1">
        <f t="array" ref="BF879">IF(COUNTIF(AZ879:BB879,"&lt;&gt;0")=1,INDEX($V$4:$AW$4,MATCH(TRUE,INDEX($V879:$AW879&lt;&gt;0,),0)),IF(COUNTIF(AZ879:BB879,"&lt;&gt;0")=0,INDEX($AM$4:$AW$4,MATCH(1,$AM879:$AW879,0)),"Multiple strategies"))</f>
        <v>Technology</v>
      </c>
      <c r="BG879" s="1" t="s">
        <v>230</v>
      </c>
      <c r="BH879" t="s">
        <v>230</v>
      </c>
      <c r="BJ879" t="s">
        <v>346</v>
      </c>
      <c r="BK879">
        <v>0</v>
      </c>
      <c r="BL879">
        <v>23436</v>
      </c>
      <c r="BM879" s="143"/>
      <c r="BN879">
        <f t="shared" si="125"/>
        <v>23436</v>
      </c>
      <c r="BO879" s="143">
        <f t="shared" si="150"/>
        <v>47.828571428571436</v>
      </c>
      <c r="BP879" t="s">
        <v>233</v>
      </c>
      <c r="BQ879" s="153" t="s">
        <v>1059</v>
      </c>
      <c r="BR879" t="s">
        <v>398</v>
      </c>
      <c r="BS879">
        <v>-25300</v>
      </c>
      <c r="BT879">
        <v>-702</v>
      </c>
      <c r="BU879" s="144">
        <v>2.7747035573122528E-2</v>
      </c>
      <c r="BV879">
        <v>24598</v>
      </c>
      <c r="BX879">
        <f t="shared" si="152"/>
        <v>24.597999999999999</v>
      </c>
      <c r="BY879">
        <f t="shared" si="143"/>
        <v>0.51429510155316593</v>
      </c>
      <c r="BZ879">
        <v>0</v>
      </c>
      <c r="CA879">
        <v>0</v>
      </c>
      <c r="CB879">
        <v>0</v>
      </c>
      <c r="CC879">
        <v>0</v>
      </c>
      <c r="CD879">
        <v>0</v>
      </c>
      <c r="CE879">
        <v>0</v>
      </c>
      <c r="CF879">
        <v>0</v>
      </c>
      <c r="CG879">
        <v>0</v>
      </c>
      <c r="CH879">
        <v>0</v>
      </c>
      <c r="CI879">
        <v>0</v>
      </c>
      <c r="CJ879">
        <v>0</v>
      </c>
      <c r="CK879">
        <v>0</v>
      </c>
      <c r="CL879">
        <v>0</v>
      </c>
      <c r="CM879">
        <v>0</v>
      </c>
      <c r="CN879" t="str">
        <f t="shared" si="135"/>
        <v>refOK</v>
      </c>
      <c r="CO879">
        <f t="shared" si="147"/>
        <v>0</v>
      </c>
      <c r="CP879">
        <f t="shared" si="148"/>
        <v>23436</v>
      </c>
      <c r="CQ879">
        <f t="shared" si="124"/>
        <v>47.828571428571436</v>
      </c>
      <c r="CR879">
        <f t="shared" si="111"/>
        <v>-25300</v>
      </c>
      <c r="CS879">
        <f t="shared" si="136"/>
        <v>-702</v>
      </c>
      <c r="CT879">
        <f t="shared" si="121"/>
        <v>24.597999999999999</v>
      </c>
      <c r="CU879">
        <f t="shared" si="156"/>
        <v>0.51429510155316593</v>
      </c>
      <c r="CV879" s="2">
        <f t="shared" si="122"/>
        <v>0.97225296442687748</v>
      </c>
      <c r="CW879" s="1" t="s">
        <v>1205</v>
      </c>
      <c r="CX879" t="str">
        <f t="shared" si="144"/>
        <v>reg</v>
      </c>
      <c r="CY879" t="s">
        <v>349</v>
      </c>
      <c r="CZ879">
        <v>2014</v>
      </c>
      <c r="DA879">
        <v>2114</v>
      </c>
      <c r="DB879">
        <v>100</v>
      </c>
      <c r="DC879" t="str">
        <f t="shared" si="145"/>
        <v>71-100</v>
      </c>
      <c r="DD879">
        <v>0</v>
      </c>
      <c r="DE879">
        <v>0</v>
      </c>
      <c r="DF879">
        <v>0</v>
      </c>
      <c r="DG879">
        <v>1</v>
      </c>
      <c r="DI879">
        <f t="shared" si="154"/>
        <v>1</v>
      </c>
      <c r="DJ879" t="str">
        <f t="shared" si="155"/>
        <v>TimberInput</v>
      </c>
      <c r="DK879">
        <f t="shared" si="126"/>
        <v>0</v>
      </c>
      <c r="DL879">
        <f t="shared" si="127"/>
        <v>0</v>
      </c>
      <c r="DM879">
        <f t="shared" si="128"/>
        <v>0</v>
      </c>
      <c r="DN879" t="str">
        <f t="shared" si="129"/>
        <v>Timber</v>
      </c>
      <c r="DO879">
        <v>0</v>
      </c>
      <c r="DP879">
        <v>0</v>
      </c>
      <c r="DQ879">
        <v>0</v>
      </c>
      <c r="DR879">
        <v>0</v>
      </c>
      <c r="DS879">
        <v>0</v>
      </c>
      <c r="DT879">
        <f t="shared" si="114"/>
        <v>0</v>
      </c>
      <c r="DU879" s="143" t="str">
        <f t="shared" si="149"/>
        <v>explicit C balance</v>
      </c>
      <c r="DV879">
        <v>0</v>
      </c>
      <c r="DW879">
        <v>0</v>
      </c>
      <c r="DX879">
        <v>0</v>
      </c>
      <c r="DY879">
        <v>0</v>
      </c>
      <c r="DZ879">
        <v>0</v>
      </c>
      <c r="EA879" s="143">
        <v>1</v>
      </c>
      <c r="EB879">
        <v>0</v>
      </c>
      <c r="EC879">
        <v>1</v>
      </c>
      <c r="ED879">
        <v>1</v>
      </c>
      <c r="EE879">
        <v>1</v>
      </c>
      <c r="EF879">
        <v>0</v>
      </c>
      <c r="EG879">
        <v>0</v>
      </c>
      <c r="EH879">
        <v>0</v>
      </c>
      <c r="EI879" s="2">
        <v>0</v>
      </c>
      <c r="EK879" t="str">
        <f t="shared" si="130"/>
        <v/>
      </c>
      <c r="EL879" t="str">
        <f t="shared" si="131"/>
        <v/>
      </c>
      <c r="EM879" s="2" t="str">
        <f t="shared" si="146"/>
        <v>Technology approach</v>
      </c>
      <c r="EP879" t="str">
        <f>IF(ISNUMBER(BU879),IF(ABS(BU879-[2]QC_indicators!$B$2)&gt;3*[2]QC_indicators!$C$2,"C ratio",IF(ISNUMBER(BY879),IF(ABS(BY879-[2]QC_indicators!$B$1)&gt;3*[2]QC_indicators!$C$1,"DF","no"))),IF(ISNUMBER(BY879),IF(ABS(BY879-[2]QC_indicators!$B$1)&gt;3*[2]QC_indicators!$C$1,"DF","no")))</f>
        <v>no</v>
      </c>
      <c r="ER879" s="149" t="s">
        <v>350</v>
      </c>
      <c r="ET879" s="266" t="s">
        <v>3275</v>
      </c>
    </row>
    <row r="880" spans="1:150" ht="15" hidden="1" customHeight="1">
      <c r="A880" s="1" t="s">
        <v>1235</v>
      </c>
      <c r="B880" t="s">
        <v>1236</v>
      </c>
      <c r="C880" t="s">
        <v>1237</v>
      </c>
      <c r="D880" t="s">
        <v>337</v>
      </c>
      <c r="E880" t="s">
        <v>1238</v>
      </c>
      <c r="F880" t="s">
        <v>1239</v>
      </c>
      <c r="G880" t="s">
        <v>1240</v>
      </c>
      <c r="I880">
        <v>2018</v>
      </c>
      <c r="K880" t="s">
        <v>1241</v>
      </c>
      <c r="M880" t="str">
        <f t="shared" si="153"/>
        <v>Balasbaneh_2018</v>
      </c>
      <c r="N880" t="s">
        <v>223</v>
      </c>
      <c r="O880" s="140" t="s">
        <v>514</v>
      </c>
      <c r="Q880" t="s">
        <v>225</v>
      </c>
      <c r="R880" s="264" t="s">
        <v>224</v>
      </c>
      <c r="S880" s="1" t="s">
        <v>1256</v>
      </c>
      <c r="T880" s="266" t="s">
        <v>3114</v>
      </c>
      <c r="U880" s="266" t="s">
        <v>3118</v>
      </c>
      <c r="V880">
        <v>0</v>
      </c>
      <c r="W880">
        <v>0</v>
      </c>
      <c r="X880">
        <v>0</v>
      </c>
      <c r="Y880">
        <v>0</v>
      </c>
      <c r="Z880">
        <v>0</v>
      </c>
      <c r="AA880">
        <v>0</v>
      </c>
      <c r="AB880">
        <v>0</v>
      </c>
      <c r="AC880">
        <v>0</v>
      </c>
      <c r="AD880">
        <v>0</v>
      </c>
      <c r="AE880">
        <v>0</v>
      </c>
      <c r="AF880">
        <v>0</v>
      </c>
      <c r="AG880">
        <v>0</v>
      </c>
      <c r="AH880">
        <v>0</v>
      </c>
      <c r="AI880">
        <v>0</v>
      </c>
      <c r="AJ880">
        <v>0</v>
      </c>
      <c r="AK880">
        <v>1</v>
      </c>
      <c r="AL880">
        <v>0</v>
      </c>
      <c r="AM880">
        <v>0</v>
      </c>
      <c r="AN880">
        <v>0</v>
      </c>
      <c r="AO880">
        <v>0</v>
      </c>
      <c r="AP880">
        <v>0</v>
      </c>
      <c r="AQ880">
        <v>0</v>
      </c>
      <c r="AR880">
        <v>0</v>
      </c>
      <c r="AS880">
        <v>0</v>
      </c>
      <c r="AT880">
        <v>0</v>
      </c>
      <c r="AU880">
        <v>0</v>
      </c>
      <c r="AV880">
        <v>0</v>
      </c>
      <c r="AW880">
        <v>0</v>
      </c>
      <c r="AX880" s="141">
        <f t="shared" si="116"/>
        <v>1</v>
      </c>
      <c r="AY880" s="141">
        <f t="shared" si="137"/>
        <v>1</v>
      </c>
      <c r="AZ880">
        <f t="shared" si="138"/>
        <v>0</v>
      </c>
      <c r="BA880">
        <f t="shared" si="139"/>
        <v>0</v>
      </c>
      <c r="BB880">
        <f t="shared" si="140"/>
        <v>1</v>
      </c>
      <c r="BC880">
        <f t="shared" si="141"/>
        <v>0</v>
      </c>
      <c r="BD880">
        <f t="shared" si="142"/>
        <v>0</v>
      </c>
      <c r="BE880" t="str">
        <f t="array" ref="BE880">IF(AY880=1,INDEX($V$7:$AL$7,MATCH(TRUE,INDEX($V880:$AW880&lt;&gt;0,),0)),IF(AY880=0,INDEX($AM$7:$AW$7,MATCH(1,$AM880:$AW880,0)),IF(BF880="Multiple strategies","mixed drivers",IF(BF880="Supply chain","multiple supply","multiple silviculture"))))</f>
        <v>technologies/design switch</v>
      </c>
      <c r="BF880" s="2" t="str" cm="1">
        <f t="array" ref="BF880">IF(COUNTIF(AZ880:BB880,"&lt;&gt;0")=1,INDEX($V$4:$AW$4,MATCH(TRUE,INDEX($V880:$AW880&lt;&gt;0,),0)),IF(COUNTIF(AZ880:BB880,"&lt;&gt;0")=0,INDEX($AM$4:$AW$4,MATCH(1,$AM880:$AW880,0)),"Multiple strategies"))</f>
        <v>Technology</v>
      </c>
      <c r="BG880" s="1" t="s">
        <v>230</v>
      </c>
      <c r="BH880" t="s">
        <v>230</v>
      </c>
      <c r="BJ880" t="s">
        <v>346</v>
      </c>
      <c r="BK880">
        <v>0</v>
      </c>
      <c r="BL880">
        <v>23436</v>
      </c>
      <c r="BM880" s="143"/>
      <c r="BN880">
        <f t="shared" si="125"/>
        <v>23436</v>
      </c>
      <c r="BO880" s="143">
        <f t="shared" si="150"/>
        <v>47.828571428571436</v>
      </c>
      <c r="BP880" t="s">
        <v>233</v>
      </c>
      <c r="BQ880" s="153" t="s">
        <v>1059</v>
      </c>
      <c r="BR880" t="s">
        <v>398</v>
      </c>
      <c r="BS880">
        <v>-14600</v>
      </c>
      <c r="BT880">
        <v>-702</v>
      </c>
      <c r="BU880" s="144">
        <v>4.8082191780821917E-2</v>
      </c>
      <c r="BV880">
        <v>13898</v>
      </c>
      <c r="BX880">
        <f t="shared" si="152"/>
        <v>13.898</v>
      </c>
      <c r="BY880">
        <f t="shared" si="143"/>
        <v>0.29057945041816002</v>
      </c>
      <c r="BZ880">
        <v>0</v>
      </c>
      <c r="CA880">
        <v>0</v>
      </c>
      <c r="CB880">
        <v>0</v>
      </c>
      <c r="CC880">
        <v>0</v>
      </c>
      <c r="CD880">
        <v>0</v>
      </c>
      <c r="CE880">
        <v>0</v>
      </c>
      <c r="CF880">
        <v>0</v>
      </c>
      <c r="CG880">
        <v>0</v>
      </c>
      <c r="CH880">
        <v>0</v>
      </c>
      <c r="CI880">
        <v>0</v>
      </c>
      <c r="CJ880">
        <v>0</v>
      </c>
      <c r="CK880">
        <v>0</v>
      </c>
      <c r="CL880">
        <v>0</v>
      </c>
      <c r="CM880">
        <v>0</v>
      </c>
      <c r="CN880" t="str">
        <f t="shared" si="135"/>
        <v>refOK</v>
      </c>
      <c r="CO880">
        <f t="shared" si="147"/>
        <v>0</v>
      </c>
      <c r="CP880">
        <f t="shared" si="148"/>
        <v>23436</v>
      </c>
      <c r="CQ880">
        <f t="shared" si="124"/>
        <v>47.828571428571436</v>
      </c>
      <c r="CR880">
        <f t="shared" si="111"/>
        <v>-14600</v>
      </c>
      <c r="CS880">
        <f t="shared" si="136"/>
        <v>-702</v>
      </c>
      <c r="CT880">
        <f t="shared" si="121"/>
        <v>13.898</v>
      </c>
      <c r="CU880">
        <f t="shared" si="156"/>
        <v>0.29057945041816002</v>
      </c>
      <c r="CV880" s="2">
        <f t="shared" si="122"/>
        <v>0.95191780821917804</v>
      </c>
      <c r="CW880" s="1" t="s">
        <v>1205</v>
      </c>
      <c r="CX880" t="str">
        <f t="shared" si="144"/>
        <v>reg</v>
      </c>
      <c r="CY880" t="s">
        <v>349</v>
      </c>
      <c r="CZ880">
        <v>2014</v>
      </c>
      <c r="DA880">
        <v>2114</v>
      </c>
      <c r="DB880">
        <v>100</v>
      </c>
      <c r="DC880" t="str">
        <f t="shared" si="145"/>
        <v>71-100</v>
      </c>
      <c r="DD880">
        <v>0</v>
      </c>
      <c r="DE880">
        <v>0</v>
      </c>
      <c r="DF880">
        <v>0</v>
      </c>
      <c r="DG880">
        <v>1</v>
      </c>
      <c r="DI880">
        <f t="shared" si="154"/>
        <v>1</v>
      </c>
      <c r="DJ880" t="str">
        <f t="shared" si="155"/>
        <v>TimberInput</v>
      </c>
      <c r="DK880">
        <f t="shared" si="126"/>
        <v>0</v>
      </c>
      <c r="DL880">
        <f t="shared" si="127"/>
        <v>0</v>
      </c>
      <c r="DM880">
        <f t="shared" si="128"/>
        <v>0</v>
      </c>
      <c r="DN880" t="str">
        <f t="shared" si="129"/>
        <v>Timber</v>
      </c>
      <c r="DO880">
        <v>0</v>
      </c>
      <c r="DP880">
        <v>0</v>
      </c>
      <c r="DQ880">
        <v>0</v>
      </c>
      <c r="DR880">
        <v>0</v>
      </c>
      <c r="DS880">
        <v>0</v>
      </c>
      <c r="DT880">
        <f t="shared" si="114"/>
        <v>0</v>
      </c>
      <c r="DU880" s="143" t="str">
        <f t="shared" si="149"/>
        <v>explicit C balance</v>
      </c>
      <c r="DV880">
        <v>0</v>
      </c>
      <c r="DW880">
        <v>0</v>
      </c>
      <c r="DX880">
        <v>0</v>
      </c>
      <c r="DY880">
        <v>0</v>
      </c>
      <c r="DZ880">
        <v>0</v>
      </c>
      <c r="EA880" s="143">
        <v>1</v>
      </c>
      <c r="EB880">
        <v>0</v>
      </c>
      <c r="EC880">
        <v>1</v>
      </c>
      <c r="ED880">
        <v>1</v>
      </c>
      <c r="EE880">
        <v>1</v>
      </c>
      <c r="EF880">
        <v>0</v>
      </c>
      <c r="EG880">
        <v>0</v>
      </c>
      <c r="EH880">
        <v>0</v>
      </c>
      <c r="EI880" s="2">
        <v>0</v>
      </c>
      <c r="EK880" t="str">
        <f t="shared" si="130"/>
        <v/>
      </c>
      <c r="EL880" t="str">
        <f t="shared" si="131"/>
        <v/>
      </c>
      <c r="EM880" s="2" t="str">
        <f t="shared" si="146"/>
        <v>Technology approach</v>
      </c>
      <c r="EP880" t="str">
        <f>IF(ISNUMBER(BU880),IF(ABS(BU880-[2]QC_indicators!$B$2)&gt;3*[2]QC_indicators!$C$2,"C ratio",IF(ISNUMBER(BY880),IF(ABS(BY880-[2]QC_indicators!$B$1)&gt;3*[2]QC_indicators!$C$1,"DF","no"))),IF(ISNUMBER(BY880),IF(ABS(BY880-[2]QC_indicators!$B$1)&gt;3*[2]QC_indicators!$C$1,"DF","no")))</f>
        <v>no</v>
      </c>
      <c r="ER880" s="149" t="s">
        <v>350</v>
      </c>
      <c r="ET880" s="266" t="s">
        <v>3275</v>
      </c>
    </row>
    <row r="881" spans="1:150" ht="15" hidden="1" customHeight="1">
      <c r="A881" s="1" t="s">
        <v>1235</v>
      </c>
      <c r="B881" t="s">
        <v>1236</v>
      </c>
      <c r="C881" t="s">
        <v>1237</v>
      </c>
      <c r="D881" t="s">
        <v>337</v>
      </c>
      <c r="E881" t="s">
        <v>1238</v>
      </c>
      <c r="F881" t="s">
        <v>1239</v>
      </c>
      <c r="G881" t="s">
        <v>1240</v>
      </c>
      <c r="I881">
        <v>2018</v>
      </c>
      <c r="K881" t="s">
        <v>1241</v>
      </c>
      <c r="M881" t="str">
        <f t="shared" si="153"/>
        <v>Balasbaneh_2018</v>
      </c>
      <c r="N881" t="s">
        <v>223</v>
      </c>
      <c r="O881" s="140" t="s">
        <v>514</v>
      </c>
      <c r="Q881" t="s">
        <v>225</v>
      </c>
      <c r="R881" s="264" t="s">
        <v>224</v>
      </c>
      <c r="S881" s="1" t="s">
        <v>1249</v>
      </c>
      <c r="T881" s="266" t="s">
        <v>3115</v>
      </c>
      <c r="U881" s="266" t="s">
        <v>3118</v>
      </c>
      <c r="V881">
        <v>0</v>
      </c>
      <c r="W881">
        <v>0</v>
      </c>
      <c r="X881">
        <v>0</v>
      </c>
      <c r="Y881">
        <v>0</v>
      </c>
      <c r="Z881">
        <v>0</v>
      </c>
      <c r="AA881">
        <v>0</v>
      </c>
      <c r="AB881">
        <v>0</v>
      </c>
      <c r="AC881">
        <v>0</v>
      </c>
      <c r="AD881">
        <v>0</v>
      </c>
      <c r="AE881">
        <v>0</v>
      </c>
      <c r="AF881">
        <v>0</v>
      </c>
      <c r="AG881">
        <v>0</v>
      </c>
      <c r="AH881">
        <v>0</v>
      </c>
      <c r="AI881">
        <v>0</v>
      </c>
      <c r="AJ881">
        <v>0</v>
      </c>
      <c r="AK881">
        <v>1</v>
      </c>
      <c r="AL881">
        <v>0</v>
      </c>
      <c r="AM881">
        <v>0</v>
      </c>
      <c r="AN881">
        <v>0</v>
      </c>
      <c r="AO881">
        <v>0</v>
      </c>
      <c r="AP881">
        <v>0</v>
      </c>
      <c r="AQ881">
        <v>0</v>
      </c>
      <c r="AR881">
        <v>0</v>
      </c>
      <c r="AS881">
        <v>0</v>
      </c>
      <c r="AT881">
        <v>0</v>
      </c>
      <c r="AU881">
        <v>0</v>
      </c>
      <c r="AV881">
        <v>0</v>
      </c>
      <c r="AW881">
        <v>0</v>
      </c>
      <c r="AX881" s="141">
        <f t="shared" si="116"/>
        <v>1</v>
      </c>
      <c r="AY881" s="141">
        <f t="shared" si="137"/>
        <v>1</v>
      </c>
      <c r="AZ881">
        <f t="shared" si="138"/>
        <v>0</v>
      </c>
      <c r="BA881">
        <f t="shared" si="139"/>
        <v>0</v>
      </c>
      <c r="BB881">
        <f t="shared" si="140"/>
        <v>1</v>
      </c>
      <c r="BC881">
        <f t="shared" si="141"/>
        <v>0</v>
      </c>
      <c r="BD881">
        <f t="shared" si="142"/>
        <v>0</v>
      </c>
      <c r="BE881" t="str">
        <f t="array" ref="BE881">IF(AY881=1,INDEX($V$7:$AL$7,MATCH(TRUE,INDEX($V881:$AW881&lt;&gt;0,),0)),IF(AY881=0,INDEX($AM$7:$AW$7,MATCH(1,$AM881:$AW881,0)),IF(BF881="Multiple strategies","mixed drivers",IF(BF881="Supply chain","multiple supply","multiple silviculture"))))</f>
        <v>technologies/design switch</v>
      </c>
      <c r="BF881" s="2" t="str" cm="1">
        <f t="array" ref="BF881">IF(COUNTIF(AZ881:BB881,"&lt;&gt;0")=1,INDEX($V$4:$AW$4,MATCH(TRUE,INDEX($V881:$AW881&lt;&gt;0,),0)),IF(COUNTIF(AZ881:BB881,"&lt;&gt;0")=0,INDEX($AM$4:$AW$4,MATCH(1,$AM881:$AW881,0)),"Multiple strategies"))</f>
        <v>Technology</v>
      </c>
      <c r="BG881" s="1" t="s">
        <v>230</v>
      </c>
      <c r="BH881" t="s">
        <v>230</v>
      </c>
      <c r="BJ881" t="s">
        <v>346</v>
      </c>
      <c r="BK881">
        <v>0</v>
      </c>
      <c r="BL881">
        <v>23436</v>
      </c>
      <c r="BM881" s="143"/>
      <c r="BN881">
        <f t="shared" si="125"/>
        <v>23436</v>
      </c>
      <c r="BO881" s="143">
        <f t="shared" si="150"/>
        <v>47.828571428571436</v>
      </c>
      <c r="BP881" t="s">
        <v>233</v>
      </c>
      <c r="BQ881" s="153" t="s">
        <v>1059</v>
      </c>
      <c r="BR881" t="s">
        <v>398</v>
      </c>
      <c r="BS881">
        <v>-8200</v>
      </c>
      <c r="BT881">
        <v>-702</v>
      </c>
      <c r="BU881" s="144">
        <v>8.5609756097560982E-2</v>
      </c>
      <c r="BV881">
        <v>7498</v>
      </c>
      <c r="BX881">
        <f t="shared" si="152"/>
        <v>7.4980000000000002</v>
      </c>
      <c r="BY881">
        <f t="shared" si="143"/>
        <v>0.15676821983273595</v>
      </c>
      <c r="BZ881">
        <v>0</v>
      </c>
      <c r="CA881">
        <v>0</v>
      </c>
      <c r="CB881">
        <v>0</v>
      </c>
      <c r="CC881">
        <v>0</v>
      </c>
      <c r="CD881">
        <v>0</v>
      </c>
      <c r="CE881">
        <v>0</v>
      </c>
      <c r="CF881">
        <v>0</v>
      </c>
      <c r="CG881">
        <v>0</v>
      </c>
      <c r="CH881">
        <v>0</v>
      </c>
      <c r="CI881">
        <v>0</v>
      </c>
      <c r="CJ881">
        <v>0</v>
      </c>
      <c r="CK881">
        <v>0</v>
      </c>
      <c r="CL881">
        <v>0</v>
      </c>
      <c r="CM881">
        <v>0</v>
      </c>
      <c r="CN881" t="str">
        <f t="shared" ref="CN881:CN903" si="157">IF($BL881&lt;$BK881,"refNeedCorrection","refOK")</f>
        <v>refOK</v>
      </c>
      <c r="CO881">
        <f t="shared" si="147"/>
        <v>0</v>
      </c>
      <c r="CP881">
        <f t="shared" si="148"/>
        <v>23436</v>
      </c>
      <c r="CQ881">
        <f t="shared" si="124"/>
        <v>47.828571428571436</v>
      </c>
      <c r="CR881">
        <f t="shared" ref="CR881:CR944" si="158">IF($CN881="refOK",$BS881,$BT881)*IF($BP881="Emissions positive",-1,1)</f>
        <v>-8200</v>
      </c>
      <c r="CS881">
        <f t="shared" ref="CS881:CS912" si="159">IF($CN881="refOK",$BT881,$BS881)*IF($BP881="Emissions positive",-1,1)</f>
        <v>-702</v>
      </c>
      <c r="CT881">
        <f t="shared" si="121"/>
        <v>7.4980000000000002</v>
      </c>
      <c r="CU881">
        <f t="shared" si="156"/>
        <v>0.15676821983273595</v>
      </c>
      <c r="CV881" s="2">
        <f t="shared" si="122"/>
        <v>0.91439024390243906</v>
      </c>
      <c r="CW881" s="1" t="s">
        <v>1205</v>
      </c>
      <c r="CX881" t="str">
        <f t="shared" si="144"/>
        <v>reg</v>
      </c>
      <c r="CY881" t="s">
        <v>349</v>
      </c>
      <c r="CZ881">
        <v>2014</v>
      </c>
      <c r="DA881">
        <v>2114</v>
      </c>
      <c r="DB881">
        <v>100</v>
      </c>
      <c r="DC881" t="str">
        <f t="shared" si="145"/>
        <v>71-100</v>
      </c>
      <c r="DD881">
        <v>0</v>
      </c>
      <c r="DE881">
        <v>0</v>
      </c>
      <c r="DF881">
        <v>0</v>
      </c>
      <c r="DG881">
        <v>1</v>
      </c>
      <c r="DI881">
        <f t="shared" si="154"/>
        <v>1</v>
      </c>
      <c r="DJ881" t="str">
        <f t="shared" si="155"/>
        <v>TimberInput</v>
      </c>
      <c r="DK881">
        <f t="shared" si="126"/>
        <v>0</v>
      </c>
      <c r="DL881">
        <f t="shared" si="127"/>
        <v>0</v>
      </c>
      <c r="DM881">
        <f t="shared" si="128"/>
        <v>0</v>
      </c>
      <c r="DN881" t="str">
        <f t="shared" si="129"/>
        <v>Timber</v>
      </c>
      <c r="DO881">
        <v>0</v>
      </c>
      <c r="DP881">
        <v>0</v>
      </c>
      <c r="DQ881">
        <v>0</v>
      </c>
      <c r="DR881">
        <v>0</v>
      </c>
      <c r="DS881">
        <v>0</v>
      </c>
      <c r="DT881">
        <f t="shared" ref="DT881:DT944" si="160">SUM(DO881:DP881)</f>
        <v>0</v>
      </c>
      <c r="DU881" s="143" t="str">
        <f t="shared" si="149"/>
        <v>explicit C balance</v>
      </c>
      <c r="DV881">
        <v>0</v>
      </c>
      <c r="DW881">
        <v>0</v>
      </c>
      <c r="DX881">
        <v>0</v>
      </c>
      <c r="DY881">
        <v>0</v>
      </c>
      <c r="DZ881">
        <v>0</v>
      </c>
      <c r="EA881" s="143">
        <v>1</v>
      </c>
      <c r="EB881">
        <v>0</v>
      </c>
      <c r="EC881">
        <v>1</v>
      </c>
      <c r="ED881">
        <v>1</v>
      </c>
      <c r="EE881">
        <v>1</v>
      </c>
      <c r="EF881">
        <v>0</v>
      </c>
      <c r="EG881">
        <v>0</v>
      </c>
      <c r="EH881">
        <v>0</v>
      </c>
      <c r="EI881" s="2">
        <v>0</v>
      </c>
      <c r="EK881" t="str">
        <f t="shared" si="130"/>
        <v/>
      </c>
      <c r="EL881" t="str">
        <f t="shared" si="131"/>
        <v/>
      </c>
      <c r="EM881" s="2" t="str">
        <f t="shared" si="146"/>
        <v>Technology approach</v>
      </c>
      <c r="EP881" t="str">
        <f>IF(ISNUMBER(BU881),IF(ABS(BU881-[2]QC_indicators!$B$2)&gt;3*[2]QC_indicators!$C$2,"C ratio",IF(ISNUMBER(BY881),IF(ABS(BY881-[2]QC_indicators!$B$1)&gt;3*[2]QC_indicators!$C$1,"DF","no"))),IF(ISNUMBER(BY881),IF(ABS(BY881-[2]QC_indicators!$B$1)&gt;3*[2]QC_indicators!$C$1,"DF","no")))</f>
        <v>no</v>
      </c>
      <c r="ER881" s="149" t="s">
        <v>350</v>
      </c>
      <c r="ET881" s="266" t="s">
        <v>3275</v>
      </c>
    </row>
    <row r="882" spans="1:150" ht="15" hidden="1" customHeight="1">
      <c r="A882" s="1" t="s">
        <v>1235</v>
      </c>
      <c r="B882" t="s">
        <v>1236</v>
      </c>
      <c r="C882" t="s">
        <v>1237</v>
      </c>
      <c r="D882" t="s">
        <v>337</v>
      </c>
      <c r="E882" t="s">
        <v>1238</v>
      </c>
      <c r="F882" t="s">
        <v>1239</v>
      </c>
      <c r="G882" t="s">
        <v>1240</v>
      </c>
      <c r="I882">
        <v>2018</v>
      </c>
      <c r="K882" t="s">
        <v>1241</v>
      </c>
      <c r="M882" t="str">
        <f t="shared" si="153"/>
        <v>Balasbaneh_2018</v>
      </c>
      <c r="N882" t="s">
        <v>223</v>
      </c>
      <c r="O882" s="140" t="s">
        <v>514</v>
      </c>
      <c r="Q882" t="s">
        <v>225</v>
      </c>
      <c r="R882" s="264" t="s">
        <v>224</v>
      </c>
      <c r="S882" s="1" t="s">
        <v>1252</v>
      </c>
      <c r="T882" s="266" t="s">
        <v>3116</v>
      </c>
      <c r="U882" s="266" t="s">
        <v>3118</v>
      </c>
      <c r="V882">
        <v>0</v>
      </c>
      <c r="W882">
        <v>0</v>
      </c>
      <c r="X882">
        <v>0</v>
      </c>
      <c r="Y882">
        <v>0</v>
      </c>
      <c r="Z882">
        <v>0</v>
      </c>
      <c r="AA882">
        <v>0</v>
      </c>
      <c r="AB882">
        <v>0</v>
      </c>
      <c r="AC882">
        <v>0</v>
      </c>
      <c r="AD882">
        <v>0</v>
      </c>
      <c r="AE882">
        <v>0</v>
      </c>
      <c r="AF882">
        <v>0</v>
      </c>
      <c r="AG882">
        <v>0</v>
      </c>
      <c r="AH882">
        <v>0</v>
      </c>
      <c r="AI882">
        <v>0</v>
      </c>
      <c r="AJ882">
        <v>0</v>
      </c>
      <c r="AK882">
        <v>1</v>
      </c>
      <c r="AL882">
        <v>0</v>
      </c>
      <c r="AM882">
        <v>0</v>
      </c>
      <c r="AN882">
        <v>0</v>
      </c>
      <c r="AO882">
        <v>0</v>
      </c>
      <c r="AP882">
        <v>0</v>
      </c>
      <c r="AQ882">
        <v>0</v>
      </c>
      <c r="AR882">
        <v>0</v>
      </c>
      <c r="AS882">
        <v>0</v>
      </c>
      <c r="AT882">
        <v>0</v>
      </c>
      <c r="AU882">
        <v>0</v>
      </c>
      <c r="AV882">
        <v>0</v>
      </c>
      <c r="AW882">
        <v>0</v>
      </c>
      <c r="AX882" s="141">
        <f t="shared" si="116"/>
        <v>1</v>
      </c>
      <c r="AY882" s="141">
        <f t="shared" si="137"/>
        <v>1</v>
      </c>
      <c r="AZ882">
        <f t="shared" si="138"/>
        <v>0</v>
      </c>
      <c r="BA882">
        <f t="shared" si="139"/>
        <v>0</v>
      </c>
      <c r="BB882">
        <f t="shared" si="140"/>
        <v>1</v>
      </c>
      <c r="BC882">
        <f t="shared" si="141"/>
        <v>0</v>
      </c>
      <c r="BD882">
        <f t="shared" si="142"/>
        <v>0</v>
      </c>
      <c r="BE882" t="str">
        <f t="array" ref="BE882">IF(AY882=1,INDEX($V$7:$AL$7,MATCH(TRUE,INDEX($V882:$AW882&lt;&gt;0,),0)),IF(AY882=0,INDEX($AM$7:$AW$7,MATCH(1,$AM882:$AW882,0)),IF(BF882="Multiple strategies","mixed drivers",IF(BF882="Supply chain","multiple supply","multiple silviculture"))))</f>
        <v>technologies/design switch</v>
      </c>
      <c r="BF882" s="2" t="str" cm="1">
        <f t="array" ref="BF882">IF(COUNTIF(AZ882:BB882,"&lt;&gt;0")=1,INDEX($V$4:$AW$4,MATCH(TRUE,INDEX($V882:$AW882&lt;&gt;0,),0)),IF(COUNTIF(AZ882:BB882,"&lt;&gt;0")=0,INDEX($AM$4:$AW$4,MATCH(1,$AM882:$AW882,0)),"Multiple strategies"))</f>
        <v>Technology</v>
      </c>
      <c r="BG882" s="1" t="s">
        <v>230</v>
      </c>
      <c r="BH882" t="s">
        <v>230</v>
      </c>
      <c r="BJ882" t="s">
        <v>346</v>
      </c>
      <c r="BK882">
        <v>0</v>
      </c>
      <c r="BL882">
        <v>23436</v>
      </c>
      <c r="BM882" s="143"/>
      <c r="BN882">
        <f t="shared" si="125"/>
        <v>23436</v>
      </c>
      <c r="BO882" s="143">
        <f t="shared" si="150"/>
        <v>47.828571428571436</v>
      </c>
      <c r="BP882" t="s">
        <v>233</v>
      </c>
      <c r="BQ882" s="153" t="s">
        <v>1059</v>
      </c>
      <c r="BR882" t="s">
        <v>398</v>
      </c>
      <c r="BS882">
        <v>-9120</v>
      </c>
      <c r="BT882">
        <v>-702</v>
      </c>
      <c r="BU882" s="144">
        <v>7.6973684210526319E-2</v>
      </c>
      <c r="BV882">
        <v>8418</v>
      </c>
      <c r="BX882">
        <f t="shared" si="152"/>
        <v>8.4179999999999993</v>
      </c>
      <c r="BY882">
        <f t="shared" si="143"/>
        <v>0.17600358422939064</v>
      </c>
      <c r="BZ882">
        <v>0</v>
      </c>
      <c r="CA882">
        <v>0</v>
      </c>
      <c r="CB882">
        <v>0</v>
      </c>
      <c r="CC882">
        <v>0</v>
      </c>
      <c r="CD882">
        <v>0</v>
      </c>
      <c r="CE882">
        <v>0</v>
      </c>
      <c r="CF882">
        <v>0</v>
      </c>
      <c r="CG882">
        <v>0</v>
      </c>
      <c r="CH882">
        <v>0</v>
      </c>
      <c r="CI882">
        <v>0</v>
      </c>
      <c r="CJ882">
        <v>0</v>
      </c>
      <c r="CK882">
        <v>0</v>
      </c>
      <c r="CL882">
        <v>0</v>
      </c>
      <c r="CM882">
        <v>0</v>
      </c>
      <c r="CN882" t="str">
        <f t="shared" si="157"/>
        <v>refOK</v>
      </c>
      <c r="CO882">
        <f t="shared" si="147"/>
        <v>0</v>
      </c>
      <c r="CP882">
        <f t="shared" si="148"/>
        <v>23436</v>
      </c>
      <c r="CQ882">
        <f t="shared" si="124"/>
        <v>47.828571428571436</v>
      </c>
      <c r="CR882">
        <f t="shared" si="158"/>
        <v>-9120</v>
      </c>
      <c r="CS882">
        <f t="shared" si="159"/>
        <v>-702</v>
      </c>
      <c r="CT882">
        <f t="shared" si="121"/>
        <v>8.4179999999999993</v>
      </c>
      <c r="CU882">
        <f t="shared" si="156"/>
        <v>0.17600358422939064</v>
      </c>
      <c r="CV882" s="2">
        <f t="shared" si="122"/>
        <v>0.92302631578947369</v>
      </c>
      <c r="CW882" s="1" t="s">
        <v>1205</v>
      </c>
      <c r="CX882" t="str">
        <f t="shared" si="144"/>
        <v>reg</v>
      </c>
      <c r="CY882" t="s">
        <v>349</v>
      </c>
      <c r="CZ882">
        <v>2014</v>
      </c>
      <c r="DA882">
        <v>2114</v>
      </c>
      <c r="DB882">
        <v>100</v>
      </c>
      <c r="DC882" t="str">
        <f t="shared" si="145"/>
        <v>71-100</v>
      </c>
      <c r="DD882">
        <v>0</v>
      </c>
      <c r="DE882">
        <v>0</v>
      </c>
      <c r="DF882">
        <v>0</v>
      </c>
      <c r="DG882">
        <v>1</v>
      </c>
      <c r="DI882">
        <f t="shared" si="154"/>
        <v>1</v>
      </c>
      <c r="DJ882" t="str">
        <f t="shared" si="155"/>
        <v>TimberInput</v>
      </c>
      <c r="DK882">
        <f t="shared" si="126"/>
        <v>0</v>
      </c>
      <c r="DL882">
        <f t="shared" si="127"/>
        <v>0</v>
      </c>
      <c r="DM882">
        <f t="shared" si="128"/>
        <v>0</v>
      </c>
      <c r="DN882" t="str">
        <f t="shared" si="129"/>
        <v>Timber</v>
      </c>
      <c r="DO882">
        <v>0</v>
      </c>
      <c r="DP882">
        <v>0</v>
      </c>
      <c r="DQ882">
        <v>0</v>
      </c>
      <c r="DR882">
        <v>0</v>
      </c>
      <c r="DS882">
        <v>0</v>
      </c>
      <c r="DT882">
        <f t="shared" si="160"/>
        <v>0</v>
      </c>
      <c r="DU882" s="143" t="str">
        <f t="shared" si="149"/>
        <v>explicit C balance</v>
      </c>
      <c r="DV882">
        <v>0</v>
      </c>
      <c r="DW882">
        <v>0</v>
      </c>
      <c r="DX882">
        <v>0</v>
      </c>
      <c r="DY882">
        <v>0</v>
      </c>
      <c r="DZ882">
        <v>0</v>
      </c>
      <c r="EA882" s="143">
        <v>1</v>
      </c>
      <c r="EB882">
        <v>0</v>
      </c>
      <c r="EC882">
        <v>1</v>
      </c>
      <c r="ED882">
        <v>1</v>
      </c>
      <c r="EE882">
        <v>1</v>
      </c>
      <c r="EF882">
        <v>0</v>
      </c>
      <c r="EG882">
        <v>0</v>
      </c>
      <c r="EH882">
        <v>0</v>
      </c>
      <c r="EI882" s="2">
        <v>0</v>
      </c>
      <c r="EK882" t="str">
        <f t="shared" si="130"/>
        <v/>
      </c>
      <c r="EL882" t="str">
        <f t="shared" si="131"/>
        <v/>
      </c>
      <c r="EM882" s="2" t="str">
        <f t="shared" si="146"/>
        <v>Technology approach</v>
      </c>
      <c r="EP882" t="str">
        <f>IF(ISNUMBER(BU882),IF(ABS(BU882-[2]QC_indicators!$B$2)&gt;3*[2]QC_indicators!$C$2,"C ratio",IF(ISNUMBER(BY882),IF(ABS(BY882-[2]QC_indicators!$B$1)&gt;3*[2]QC_indicators!$C$1,"DF","no"))),IF(ISNUMBER(BY882),IF(ABS(BY882-[2]QC_indicators!$B$1)&gt;3*[2]QC_indicators!$C$1,"DF","no")))</f>
        <v>no</v>
      </c>
      <c r="ER882" s="149" t="s">
        <v>350</v>
      </c>
      <c r="ET882" s="266" t="s">
        <v>3275</v>
      </c>
    </row>
    <row r="883" spans="1:150" ht="15" hidden="1" customHeight="1">
      <c r="A883" s="1" t="s">
        <v>1235</v>
      </c>
      <c r="B883" t="s">
        <v>1236</v>
      </c>
      <c r="C883" t="s">
        <v>1237</v>
      </c>
      <c r="D883" t="s">
        <v>337</v>
      </c>
      <c r="E883" t="s">
        <v>1238</v>
      </c>
      <c r="F883" t="s">
        <v>1239</v>
      </c>
      <c r="G883" t="s">
        <v>1240</v>
      </c>
      <c r="I883">
        <v>2018</v>
      </c>
      <c r="K883" t="s">
        <v>1241</v>
      </c>
      <c r="M883" t="str">
        <f t="shared" si="153"/>
        <v>Balasbaneh_2018</v>
      </c>
      <c r="N883" t="s">
        <v>223</v>
      </c>
      <c r="O883" s="140" t="s">
        <v>514</v>
      </c>
      <c r="Q883" t="s">
        <v>225</v>
      </c>
      <c r="R883" s="264" t="s">
        <v>224</v>
      </c>
      <c r="S883" s="1" t="s">
        <v>1262</v>
      </c>
      <c r="T883" s="266" t="s">
        <v>3117</v>
      </c>
      <c r="U883" s="266" t="s">
        <v>3118</v>
      </c>
      <c r="V883">
        <v>0</v>
      </c>
      <c r="W883">
        <v>0</v>
      </c>
      <c r="X883">
        <v>0</v>
      </c>
      <c r="Y883">
        <v>0</v>
      </c>
      <c r="Z883">
        <v>0</v>
      </c>
      <c r="AA883">
        <v>0</v>
      </c>
      <c r="AB883">
        <v>0</v>
      </c>
      <c r="AC883">
        <v>0</v>
      </c>
      <c r="AD883">
        <v>0</v>
      </c>
      <c r="AE883">
        <v>0</v>
      </c>
      <c r="AF883">
        <v>0</v>
      </c>
      <c r="AG883">
        <v>0</v>
      </c>
      <c r="AH883">
        <v>0</v>
      </c>
      <c r="AI883">
        <v>0</v>
      </c>
      <c r="AJ883">
        <v>0</v>
      </c>
      <c r="AK883">
        <v>1</v>
      </c>
      <c r="AL883">
        <v>0</v>
      </c>
      <c r="AM883">
        <v>0</v>
      </c>
      <c r="AN883">
        <v>0</v>
      </c>
      <c r="AO883">
        <v>0</v>
      </c>
      <c r="AP883">
        <v>0</v>
      </c>
      <c r="AQ883">
        <v>0</v>
      </c>
      <c r="AR883">
        <v>0</v>
      </c>
      <c r="AS883">
        <v>0</v>
      </c>
      <c r="AT883">
        <v>0</v>
      </c>
      <c r="AU883">
        <v>0</v>
      </c>
      <c r="AV883">
        <v>0</v>
      </c>
      <c r="AW883">
        <v>0</v>
      </c>
      <c r="AX883" s="141">
        <f t="shared" si="116"/>
        <v>1</v>
      </c>
      <c r="AY883" s="141">
        <f t="shared" si="137"/>
        <v>1</v>
      </c>
      <c r="AZ883">
        <f t="shared" si="138"/>
        <v>0</v>
      </c>
      <c r="BA883">
        <f t="shared" si="139"/>
        <v>0</v>
      </c>
      <c r="BB883">
        <f t="shared" si="140"/>
        <v>1</v>
      </c>
      <c r="BC883">
        <f t="shared" si="141"/>
        <v>0</v>
      </c>
      <c r="BD883">
        <f t="shared" si="142"/>
        <v>0</v>
      </c>
      <c r="BE883" t="str">
        <f t="array" ref="BE883">IF(AY883=1,INDEX($V$7:$AL$7,MATCH(TRUE,INDEX($V883:$AW883&lt;&gt;0,),0)),IF(AY883=0,INDEX($AM$7:$AW$7,MATCH(1,$AM883:$AW883,0)),IF(BF883="Multiple strategies","mixed drivers",IF(BF883="Supply chain","multiple supply","multiple silviculture"))))</f>
        <v>technologies/design switch</v>
      </c>
      <c r="BF883" s="2" t="str" cm="1">
        <f t="array" ref="BF883">IF(COUNTIF(AZ883:BB883,"&lt;&gt;0")=1,INDEX($V$4:$AW$4,MATCH(TRUE,INDEX($V883:$AW883&lt;&gt;0,),0)),IF(COUNTIF(AZ883:BB883,"&lt;&gt;0")=0,INDEX($AM$4:$AW$4,MATCH(1,$AM883:$AW883,0)),"Multiple strategies"))</f>
        <v>Technology</v>
      </c>
      <c r="BG883" s="1" t="s">
        <v>230</v>
      </c>
      <c r="BH883" t="s">
        <v>230</v>
      </c>
      <c r="BJ883" t="s">
        <v>346</v>
      </c>
      <c r="BK883">
        <v>0</v>
      </c>
      <c r="BL883">
        <v>23436</v>
      </c>
      <c r="BM883" s="143"/>
      <c r="BN883">
        <f t="shared" si="125"/>
        <v>23436</v>
      </c>
      <c r="BO883" s="143">
        <f t="shared" si="150"/>
        <v>47.828571428571436</v>
      </c>
      <c r="BP883" t="s">
        <v>233</v>
      </c>
      <c r="BQ883" s="153" t="s">
        <v>1059</v>
      </c>
      <c r="BR883" t="s">
        <v>398</v>
      </c>
      <c r="BS883">
        <v>-21200</v>
      </c>
      <c r="BT883">
        <v>-702</v>
      </c>
      <c r="BU883" s="144">
        <v>3.3113207547169808E-2</v>
      </c>
      <c r="BV883">
        <v>20498</v>
      </c>
      <c r="BX883">
        <f t="shared" si="152"/>
        <v>20.498000000000001</v>
      </c>
      <c r="BY883">
        <f t="shared" si="143"/>
        <v>0.42857228195937869</v>
      </c>
      <c r="BZ883">
        <v>0</v>
      </c>
      <c r="CA883">
        <v>0</v>
      </c>
      <c r="CB883">
        <v>0</v>
      </c>
      <c r="CC883">
        <v>0</v>
      </c>
      <c r="CD883">
        <v>0</v>
      </c>
      <c r="CE883">
        <v>0</v>
      </c>
      <c r="CF883">
        <v>0</v>
      </c>
      <c r="CG883">
        <v>0</v>
      </c>
      <c r="CH883">
        <v>0</v>
      </c>
      <c r="CI883">
        <v>0</v>
      </c>
      <c r="CJ883">
        <v>0</v>
      </c>
      <c r="CK883">
        <v>0</v>
      </c>
      <c r="CL883">
        <v>0</v>
      </c>
      <c r="CM883">
        <v>0</v>
      </c>
      <c r="CN883" t="str">
        <f t="shared" si="157"/>
        <v>refOK</v>
      </c>
      <c r="CO883">
        <f t="shared" si="147"/>
        <v>0</v>
      </c>
      <c r="CP883">
        <f t="shared" si="148"/>
        <v>23436</v>
      </c>
      <c r="CQ883">
        <f t="shared" si="124"/>
        <v>47.828571428571436</v>
      </c>
      <c r="CR883">
        <f t="shared" si="158"/>
        <v>-21200</v>
      </c>
      <c r="CS883">
        <f t="shared" si="159"/>
        <v>-702</v>
      </c>
      <c r="CT883">
        <f t="shared" si="121"/>
        <v>20.498000000000001</v>
      </c>
      <c r="CU883">
        <f t="shared" si="156"/>
        <v>0.42857228195937869</v>
      </c>
      <c r="CV883" s="2">
        <f t="shared" si="122"/>
        <v>0.96688679245283016</v>
      </c>
      <c r="CW883" s="1" t="s">
        <v>1205</v>
      </c>
      <c r="CX883" t="str">
        <f t="shared" si="144"/>
        <v>reg</v>
      </c>
      <c r="CY883" t="s">
        <v>349</v>
      </c>
      <c r="CZ883">
        <v>2014</v>
      </c>
      <c r="DA883">
        <v>2114</v>
      </c>
      <c r="DB883">
        <v>100</v>
      </c>
      <c r="DC883" t="str">
        <f t="shared" si="145"/>
        <v>71-100</v>
      </c>
      <c r="DD883">
        <v>0</v>
      </c>
      <c r="DE883">
        <v>0</v>
      </c>
      <c r="DF883">
        <v>0</v>
      </c>
      <c r="DG883">
        <v>1</v>
      </c>
      <c r="DI883">
        <f t="shared" si="154"/>
        <v>1</v>
      </c>
      <c r="DJ883" t="str">
        <f t="shared" si="155"/>
        <v>TimberInput</v>
      </c>
      <c r="DK883">
        <f t="shared" si="126"/>
        <v>0</v>
      </c>
      <c r="DL883">
        <f t="shared" si="127"/>
        <v>0</v>
      </c>
      <c r="DM883">
        <f t="shared" si="128"/>
        <v>0</v>
      </c>
      <c r="DN883" t="str">
        <f t="shared" si="129"/>
        <v>Timber</v>
      </c>
      <c r="DO883">
        <v>0</v>
      </c>
      <c r="DP883">
        <v>0</v>
      </c>
      <c r="DQ883">
        <v>0</v>
      </c>
      <c r="DR883">
        <v>0</v>
      </c>
      <c r="DS883">
        <v>0</v>
      </c>
      <c r="DT883">
        <f t="shared" si="160"/>
        <v>0</v>
      </c>
      <c r="DU883" s="143" t="str">
        <f t="shared" si="149"/>
        <v>explicit C balance</v>
      </c>
      <c r="DV883">
        <v>0</v>
      </c>
      <c r="DW883">
        <v>0</v>
      </c>
      <c r="DX883">
        <v>0</v>
      </c>
      <c r="DY883">
        <v>0</v>
      </c>
      <c r="DZ883">
        <v>0</v>
      </c>
      <c r="EA883" s="143">
        <v>1</v>
      </c>
      <c r="EB883">
        <v>0</v>
      </c>
      <c r="EC883">
        <v>1</v>
      </c>
      <c r="ED883">
        <v>1</v>
      </c>
      <c r="EE883">
        <v>1</v>
      </c>
      <c r="EF883">
        <v>0</v>
      </c>
      <c r="EG883">
        <v>0</v>
      </c>
      <c r="EH883">
        <v>0</v>
      </c>
      <c r="EI883" s="2">
        <v>0</v>
      </c>
      <c r="EK883" t="str">
        <f t="shared" si="130"/>
        <v/>
      </c>
      <c r="EL883" t="str">
        <f t="shared" si="131"/>
        <v/>
      </c>
      <c r="EM883" s="2" t="str">
        <f t="shared" si="146"/>
        <v>Technology approach</v>
      </c>
      <c r="EP883" t="str">
        <f>IF(ISNUMBER(BU883),IF(ABS(BU883-[2]QC_indicators!$B$2)&gt;3*[2]QC_indicators!$C$2,"C ratio",IF(ISNUMBER(BY883),IF(ABS(BY883-[2]QC_indicators!$B$1)&gt;3*[2]QC_indicators!$C$1,"DF","no"))),IF(ISNUMBER(BY883),IF(ABS(BY883-[2]QC_indicators!$B$1)&gt;3*[2]QC_indicators!$C$1,"DF","no")))</f>
        <v>no</v>
      </c>
      <c r="ER883" s="149" t="s">
        <v>350</v>
      </c>
      <c r="ET883" s="266" t="s">
        <v>3275</v>
      </c>
    </row>
    <row r="884" spans="1:150" ht="15" hidden="1" customHeight="1">
      <c r="A884" s="1" t="s">
        <v>248</v>
      </c>
      <c r="B884" t="s">
        <v>1030</v>
      </c>
      <c r="C884" t="s">
        <v>1031</v>
      </c>
      <c r="D884" t="s">
        <v>1032</v>
      </c>
      <c r="E884" t="s">
        <v>1033</v>
      </c>
      <c r="F884" t="s">
        <v>1034</v>
      </c>
      <c r="G884" t="s">
        <v>254</v>
      </c>
      <c r="H884" t="s">
        <v>255</v>
      </c>
      <c r="I884">
        <v>2021</v>
      </c>
      <c r="J884">
        <v>0</v>
      </c>
      <c r="K884" t="s">
        <v>1035</v>
      </c>
      <c r="M884" t="str">
        <f t="shared" si="153"/>
        <v>Piccardo_2021</v>
      </c>
      <c r="N884" t="s">
        <v>223</v>
      </c>
      <c r="O884" s="171" t="s">
        <v>514</v>
      </c>
      <c r="P884" s="141" t="s">
        <v>226</v>
      </c>
      <c r="Q884" t="s">
        <v>390</v>
      </c>
      <c r="R884" s="264" t="s">
        <v>224</v>
      </c>
      <c r="S884" s="1" t="s">
        <v>1043</v>
      </c>
      <c r="T884" s="266" t="s">
        <v>3216</v>
      </c>
      <c r="U884" s="266" t="s">
        <v>3219</v>
      </c>
      <c r="V884">
        <v>0</v>
      </c>
      <c r="W884">
        <v>0</v>
      </c>
      <c r="X884">
        <v>0</v>
      </c>
      <c r="Y884">
        <v>0</v>
      </c>
      <c r="Z884">
        <v>0</v>
      </c>
      <c r="AA884">
        <v>0</v>
      </c>
      <c r="AB884">
        <v>0</v>
      </c>
      <c r="AC884">
        <v>0</v>
      </c>
      <c r="AD884">
        <v>0</v>
      </c>
      <c r="AE884">
        <v>0</v>
      </c>
      <c r="AF884">
        <v>0</v>
      </c>
      <c r="AG884">
        <v>0</v>
      </c>
      <c r="AH884">
        <v>0</v>
      </c>
      <c r="AI884">
        <v>0</v>
      </c>
      <c r="AJ884">
        <v>0</v>
      </c>
      <c r="AK884">
        <v>1</v>
      </c>
      <c r="AL884">
        <v>0</v>
      </c>
      <c r="AM884">
        <v>0</v>
      </c>
      <c r="AN884">
        <v>0</v>
      </c>
      <c r="AO884">
        <v>0</v>
      </c>
      <c r="AP884">
        <v>0</v>
      </c>
      <c r="AQ884">
        <v>0</v>
      </c>
      <c r="AR884">
        <v>0</v>
      </c>
      <c r="AS884">
        <v>0</v>
      </c>
      <c r="AT884">
        <v>0</v>
      </c>
      <c r="AU884">
        <v>0</v>
      </c>
      <c r="AV884">
        <v>0</v>
      </c>
      <c r="AW884">
        <v>0</v>
      </c>
      <c r="AX884" s="141">
        <f t="shared" si="116"/>
        <v>1</v>
      </c>
      <c r="AY884" s="141">
        <f t="shared" si="137"/>
        <v>1</v>
      </c>
      <c r="AZ884">
        <f t="shared" si="138"/>
        <v>0</v>
      </c>
      <c r="BA884">
        <f t="shared" si="139"/>
        <v>0</v>
      </c>
      <c r="BB884">
        <f t="shared" si="140"/>
        <v>1</v>
      </c>
      <c r="BC884">
        <f t="shared" si="141"/>
        <v>0</v>
      </c>
      <c r="BD884">
        <f t="shared" si="142"/>
        <v>0</v>
      </c>
      <c r="BE884" t="str">
        <f t="array" ref="BE884">IF(AY884=1,INDEX($V$7:$AL$7,MATCH(TRUE,INDEX($V884:$AW884&lt;&gt;0,),0)),IF(AY884=0,INDEX($AM$7:$AW$7,MATCH(1,$AM884:$AW884,0)),IF(BF884="Multiple strategies","mixed drivers",IF(BF884="Supply chain","multiple supply","multiple silviculture"))))</f>
        <v>technologies/design switch</v>
      </c>
      <c r="BF884" s="2" t="str" cm="1">
        <f t="array" ref="BF884">IF(COUNTIF(AZ884:BB884,"&lt;&gt;0")=1,INDEX($V$4:$AW$4,MATCH(TRUE,INDEX($V884:$AW884&lt;&gt;0,),0)),IF(COUNTIF(AZ884:BB884,"&lt;&gt;0")=0,INDEX($AM$4:$AW$4,MATCH(1,$AM884:$AW884,0)),"Multiple strategies"))</f>
        <v>Technology</v>
      </c>
      <c r="BG884" s="142" t="s">
        <v>230</v>
      </c>
      <c r="BH884" t="s">
        <v>1037</v>
      </c>
      <c r="BI884" t="s">
        <v>1038</v>
      </c>
      <c r="BJ884" t="s">
        <v>1039</v>
      </c>
      <c r="BK884">
        <f>35+3+20+8+8</f>
        <v>74</v>
      </c>
      <c r="BL884">
        <f>175+40+77+18+35+3+8+8</f>
        <v>364</v>
      </c>
      <c r="BM884">
        <f>IFERROR(BL884/BK884,"")</f>
        <v>4.9189189189189193</v>
      </c>
      <c r="BN884">
        <f t="shared" si="125"/>
        <v>290</v>
      </c>
      <c r="BO884">
        <f>BN884*t_to_m3</f>
        <v>591.83673469387759</v>
      </c>
      <c r="BP884" t="s">
        <v>396</v>
      </c>
      <c r="BQ884" t="s">
        <v>1040</v>
      </c>
      <c r="BR884" t="s">
        <v>1041</v>
      </c>
      <c r="BS884">
        <v>99</v>
      </c>
      <c r="BT884">
        <v>-1415</v>
      </c>
      <c r="BU884" s="144"/>
      <c r="BV884">
        <f>(BT884-BS884)</f>
        <v>-1514</v>
      </c>
      <c r="BX884">
        <f t="shared" ref="BX884:BX910" si="161">BV884</f>
        <v>-1514</v>
      </c>
      <c r="BY884">
        <f t="shared" si="143"/>
        <v>-2.5581379310344827</v>
      </c>
      <c r="BZ884">
        <v>0</v>
      </c>
      <c r="CA884">
        <v>0</v>
      </c>
      <c r="CB884">
        <v>0</v>
      </c>
      <c r="CC884">
        <v>0</v>
      </c>
      <c r="CD884">
        <v>0</v>
      </c>
      <c r="CE884">
        <v>0</v>
      </c>
      <c r="CF884">
        <v>0</v>
      </c>
      <c r="CG884">
        <v>0</v>
      </c>
      <c r="CH884">
        <v>0</v>
      </c>
      <c r="CI884">
        <v>0</v>
      </c>
      <c r="CJ884">
        <v>0</v>
      </c>
      <c r="CK884">
        <v>0</v>
      </c>
      <c r="CL884">
        <v>0</v>
      </c>
      <c r="CM884">
        <v>0</v>
      </c>
      <c r="CN884" t="str">
        <f t="shared" si="157"/>
        <v>refOK</v>
      </c>
      <c r="CO884">
        <f t="shared" ref="CO884:CO918" si="162">IF($CN884="refOK",$BK884,$BL884)</f>
        <v>74</v>
      </c>
      <c r="CP884">
        <f t="shared" ref="CP884:CP918" si="163">IF($CN884="refOK",$BL884,$BK884)</f>
        <v>364</v>
      </c>
      <c r="CQ884">
        <f t="shared" si="124"/>
        <v>591.83673469387759</v>
      </c>
      <c r="CR884">
        <f t="shared" si="158"/>
        <v>-99</v>
      </c>
      <c r="CS884">
        <f t="shared" si="159"/>
        <v>1415</v>
      </c>
      <c r="CT884">
        <f t="shared" si="121"/>
        <v>1514</v>
      </c>
      <c r="CU884">
        <f t="shared" si="156"/>
        <v>2.5581379310344827</v>
      </c>
      <c r="CV884" s="2">
        <f t="shared" si="122"/>
        <v>15.292929292929292</v>
      </c>
      <c r="CW884" s="1" t="s">
        <v>264</v>
      </c>
      <c r="CX884" t="str">
        <f t="shared" si="144"/>
        <v>loc</v>
      </c>
      <c r="CY884" t="s">
        <v>745</v>
      </c>
      <c r="DB884">
        <v>50</v>
      </c>
      <c r="DC884" t="str">
        <f t="shared" si="145"/>
        <v>31-70</v>
      </c>
      <c r="DD884">
        <v>0</v>
      </c>
      <c r="DE884">
        <v>0</v>
      </c>
      <c r="DF884">
        <v>1</v>
      </c>
      <c r="DG884">
        <v>1</v>
      </c>
      <c r="DI884">
        <f t="shared" si="154"/>
        <v>2</v>
      </c>
      <c r="DJ884" t="str">
        <f t="shared" si="155"/>
        <v>mixedProduct</v>
      </c>
      <c r="DK884">
        <f t="shared" si="126"/>
        <v>0</v>
      </c>
      <c r="DL884">
        <f t="shared" si="127"/>
        <v>0</v>
      </c>
      <c r="DM884" t="str">
        <f t="shared" si="128"/>
        <v>Pulp/Paper</v>
      </c>
      <c r="DN884" t="str">
        <f t="shared" si="129"/>
        <v>Timber</v>
      </c>
      <c r="DO884">
        <v>1</v>
      </c>
      <c r="DP884">
        <v>0</v>
      </c>
      <c r="DQ884">
        <v>0</v>
      </c>
      <c r="DR884">
        <v>0</v>
      </c>
      <c r="DS884">
        <v>0</v>
      </c>
      <c r="DT884">
        <f t="shared" si="160"/>
        <v>1</v>
      </c>
      <c r="DU884" s="143" t="str">
        <f t="shared" si="149"/>
        <v>self-calculated DF</v>
      </c>
      <c r="DV884">
        <v>0</v>
      </c>
      <c r="DW884">
        <v>0</v>
      </c>
      <c r="DX884">
        <v>0</v>
      </c>
      <c r="DY884">
        <v>1</v>
      </c>
      <c r="DZ884">
        <v>1</v>
      </c>
      <c r="EA884">
        <v>1</v>
      </c>
      <c r="EB884">
        <v>0</v>
      </c>
      <c r="EC884">
        <v>1</v>
      </c>
      <c r="ED884">
        <v>1</v>
      </c>
      <c r="EE884">
        <v>1</v>
      </c>
      <c r="EF884">
        <v>0</v>
      </c>
      <c r="EG884" s="143">
        <v>0</v>
      </c>
      <c r="EH884" s="143">
        <v>0</v>
      </c>
      <c r="EI884" s="2">
        <v>0</v>
      </c>
      <c r="EK884" t="str">
        <f t="shared" si="130"/>
        <v/>
      </c>
      <c r="EL884" t="str">
        <f t="shared" si="131"/>
        <v/>
      </c>
      <c r="EM884" s="2" t="str">
        <f t="shared" si="146"/>
        <v>Technology approach</v>
      </c>
      <c r="EP884" t="str">
        <f>IF(ISNUMBER(BU884),IF(ABS(BU884-[2]QC_indicators!$B$2)&gt;3*[2]QC_indicators!$C$2,"C ratio",IF(ISNUMBER(BY884),IF(ABS(BY884-[2]QC_indicators!$B$1)&gt;3*[2]QC_indicators!$C$1,"DF","no"))),IF(ISNUMBER(BY884),IF(ABS(BY884-[2]QC_indicators!$B$1)&gt;3*[2]QC_indicators!$C$1,"DF","no")))</f>
        <v>no</v>
      </c>
      <c r="ET884" s="266" t="s">
        <v>3218</v>
      </c>
    </row>
    <row r="885" spans="1:150" ht="15" hidden="1" customHeight="1">
      <c r="A885" s="1" t="s">
        <v>248</v>
      </c>
      <c r="B885" t="s">
        <v>1030</v>
      </c>
      <c r="C885" t="s">
        <v>1031</v>
      </c>
      <c r="D885" t="s">
        <v>1032</v>
      </c>
      <c r="E885" t="s">
        <v>1033</v>
      </c>
      <c r="F885" t="s">
        <v>1034</v>
      </c>
      <c r="G885" t="s">
        <v>254</v>
      </c>
      <c r="H885" t="s">
        <v>255</v>
      </c>
      <c r="I885">
        <v>2021</v>
      </c>
      <c r="J885">
        <v>0</v>
      </c>
      <c r="K885" t="s">
        <v>1035</v>
      </c>
      <c r="M885" t="str">
        <f t="shared" si="153"/>
        <v>Piccardo_2021</v>
      </c>
      <c r="N885" t="s">
        <v>223</v>
      </c>
      <c r="O885" s="171" t="s">
        <v>514</v>
      </c>
      <c r="P885" s="141" t="s">
        <v>226</v>
      </c>
      <c r="Q885" t="s">
        <v>390</v>
      </c>
      <c r="R885" s="264" t="s">
        <v>224</v>
      </c>
      <c r="S885" s="1" t="s">
        <v>1043</v>
      </c>
      <c r="T885" s="266" t="s">
        <v>3216</v>
      </c>
      <c r="U885" s="266" t="s">
        <v>3221</v>
      </c>
      <c r="V885">
        <v>0</v>
      </c>
      <c r="W885">
        <v>0</v>
      </c>
      <c r="X885">
        <v>0</v>
      </c>
      <c r="Y885">
        <v>0</v>
      </c>
      <c r="Z885">
        <v>0</v>
      </c>
      <c r="AA885">
        <v>0</v>
      </c>
      <c r="AB885">
        <v>0</v>
      </c>
      <c r="AC885">
        <v>0</v>
      </c>
      <c r="AD885">
        <v>0</v>
      </c>
      <c r="AE885">
        <v>0</v>
      </c>
      <c r="AF885">
        <v>0</v>
      </c>
      <c r="AG885">
        <v>0</v>
      </c>
      <c r="AH885">
        <v>0</v>
      </c>
      <c r="AI885">
        <v>0</v>
      </c>
      <c r="AJ885">
        <v>0</v>
      </c>
      <c r="AK885">
        <v>1</v>
      </c>
      <c r="AL885">
        <v>0</v>
      </c>
      <c r="AM885">
        <v>0</v>
      </c>
      <c r="AN885">
        <v>0</v>
      </c>
      <c r="AO885">
        <v>0</v>
      </c>
      <c r="AP885">
        <v>0</v>
      </c>
      <c r="AQ885">
        <v>0</v>
      </c>
      <c r="AR885">
        <v>0</v>
      </c>
      <c r="AS885">
        <v>0</v>
      </c>
      <c r="AT885">
        <v>0</v>
      </c>
      <c r="AU885">
        <v>0</v>
      </c>
      <c r="AV885">
        <v>0</v>
      </c>
      <c r="AW885">
        <v>0</v>
      </c>
      <c r="AX885" s="141">
        <f t="shared" si="116"/>
        <v>1</v>
      </c>
      <c r="AY885" s="141">
        <f t="shared" si="137"/>
        <v>1</v>
      </c>
      <c r="AZ885">
        <f t="shared" si="138"/>
        <v>0</v>
      </c>
      <c r="BA885">
        <f t="shared" si="139"/>
        <v>0</v>
      </c>
      <c r="BB885">
        <f t="shared" si="140"/>
        <v>1</v>
      </c>
      <c r="BC885">
        <f t="shared" si="141"/>
        <v>0</v>
      </c>
      <c r="BD885">
        <f t="shared" si="142"/>
        <v>0</v>
      </c>
      <c r="BE885" t="str">
        <f t="array" ref="BE885">IF(AY885=1,INDEX($V$7:$AL$7,MATCH(TRUE,INDEX($V885:$AW885&lt;&gt;0,),0)),IF(AY885=0,INDEX($AM$7:$AW$7,MATCH(1,$AM885:$AW885,0)),IF(BF885="Multiple strategies","mixed drivers",IF(BF885="Supply chain","multiple supply","multiple silviculture"))))</f>
        <v>technologies/design switch</v>
      </c>
      <c r="BF885" s="2" t="str" cm="1">
        <f t="array" ref="BF885">IF(COUNTIF(AZ885:BB885,"&lt;&gt;0")=1,INDEX($V$4:$AW$4,MATCH(TRUE,INDEX($V885:$AW885&lt;&gt;0,),0)),IF(COUNTIF(AZ885:BB885,"&lt;&gt;0")=0,INDEX($AM$4:$AW$4,MATCH(1,$AM885:$AW885,0)),"Multiple strategies"))</f>
        <v>Technology</v>
      </c>
      <c r="BG885" s="142" t="s">
        <v>230</v>
      </c>
      <c r="BH885" t="s">
        <v>1037</v>
      </c>
      <c r="BI885" t="s">
        <v>1038</v>
      </c>
      <c r="BJ885" t="s">
        <v>1039</v>
      </c>
      <c r="BK885">
        <f>35+3+20+8+8</f>
        <v>74</v>
      </c>
      <c r="BL885">
        <f>8+103+26+23+35+3+8+8</f>
        <v>214</v>
      </c>
      <c r="BM885">
        <f>IFERROR(BL885/BK885,"")</f>
        <v>2.8918918918918921</v>
      </c>
      <c r="BN885">
        <f t="shared" si="125"/>
        <v>140</v>
      </c>
      <c r="BO885">
        <f>BN885*t_to_m3</f>
        <v>285.71428571428572</v>
      </c>
      <c r="BP885" t="s">
        <v>396</v>
      </c>
      <c r="BQ885" t="s">
        <v>1040</v>
      </c>
      <c r="BR885" t="s">
        <v>1041</v>
      </c>
      <c r="BS885">
        <v>99</v>
      </c>
      <c r="BT885">
        <v>-747</v>
      </c>
      <c r="BU885" s="144"/>
      <c r="BV885">
        <f>(BT885-BS885)</f>
        <v>-846</v>
      </c>
      <c r="BX885">
        <f t="shared" si="161"/>
        <v>-846</v>
      </c>
      <c r="BY885">
        <f t="shared" si="143"/>
        <v>-2.9609999999999999</v>
      </c>
      <c r="BZ885">
        <v>0</v>
      </c>
      <c r="CA885">
        <v>0</v>
      </c>
      <c r="CB885">
        <v>0</v>
      </c>
      <c r="CC885">
        <v>0</v>
      </c>
      <c r="CD885">
        <v>0</v>
      </c>
      <c r="CE885">
        <v>0</v>
      </c>
      <c r="CF885">
        <v>0</v>
      </c>
      <c r="CG885">
        <v>0</v>
      </c>
      <c r="CH885">
        <v>0</v>
      </c>
      <c r="CI885">
        <v>0</v>
      </c>
      <c r="CJ885">
        <v>0</v>
      </c>
      <c r="CK885">
        <v>0</v>
      </c>
      <c r="CL885">
        <v>0</v>
      </c>
      <c r="CM885">
        <v>0</v>
      </c>
      <c r="CN885" t="str">
        <f t="shared" si="157"/>
        <v>refOK</v>
      </c>
      <c r="CO885">
        <f t="shared" si="162"/>
        <v>74</v>
      </c>
      <c r="CP885">
        <f t="shared" si="163"/>
        <v>214</v>
      </c>
      <c r="CQ885">
        <f t="shared" si="124"/>
        <v>285.71428571428572</v>
      </c>
      <c r="CR885">
        <f t="shared" si="158"/>
        <v>-99</v>
      </c>
      <c r="CS885">
        <f t="shared" si="159"/>
        <v>747</v>
      </c>
      <c r="CT885">
        <f t="shared" si="121"/>
        <v>846</v>
      </c>
      <c r="CU885">
        <f t="shared" si="156"/>
        <v>2.9609999999999999</v>
      </c>
      <c r="CV885" s="2">
        <f t="shared" si="122"/>
        <v>8.545454545454545</v>
      </c>
      <c r="CW885" s="1" t="s">
        <v>264</v>
      </c>
      <c r="CX885" t="str">
        <f t="shared" si="144"/>
        <v>loc</v>
      </c>
      <c r="CY885" t="s">
        <v>745</v>
      </c>
      <c r="DB885">
        <v>50</v>
      </c>
      <c r="DC885" t="str">
        <f t="shared" si="145"/>
        <v>31-70</v>
      </c>
      <c r="DD885">
        <v>0</v>
      </c>
      <c r="DE885">
        <v>0</v>
      </c>
      <c r="DF885">
        <v>1</v>
      </c>
      <c r="DG885">
        <v>1</v>
      </c>
      <c r="DI885">
        <f t="shared" si="154"/>
        <v>2</v>
      </c>
      <c r="DJ885" t="str">
        <f t="shared" si="155"/>
        <v>mixedProduct</v>
      </c>
      <c r="DK885">
        <f t="shared" si="126"/>
        <v>0</v>
      </c>
      <c r="DL885">
        <f t="shared" si="127"/>
        <v>0</v>
      </c>
      <c r="DM885" t="str">
        <f t="shared" si="128"/>
        <v>Pulp/Paper</v>
      </c>
      <c r="DN885" t="str">
        <f t="shared" si="129"/>
        <v>Timber</v>
      </c>
      <c r="DO885">
        <v>1</v>
      </c>
      <c r="DP885">
        <v>0</v>
      </c>
      <c r="DQ885">
        <v>0</v>
      </c>
      <c r="DR885">
        <v>0</v>
      </c>
      <c r="DS885">
        <v>0</v>
      </c>
      <c r="DT885">
        <f t="shared" si="160"/>
        <v>1</v>
      </c>
      <c r="DU885" s="143" t="str">
        <f t="shared" si="149"/>
        <v>self-calculated DF</v>
      </c>
      <c r="DV885">
        <v>0</v>
      </c>
      <c r="DW885">
        <v>0</v>
      </c>
      <c r="DX885">
        <v>0</v>
      </c>
      <c r="DY885">
        <v>1</v>
      </c>
      <c r="DZ885">
        <v>1</v>
      </c>
      <c r="EA885">
        <v>1</v>
      </c>
      <c r="EB885">
        <v>0</v>
      </c>
      <c r="EC885">
        <v>1</v>
      </c>
      <c r="ED885">
        <v>1</v>
      </c>
      <c r="EE885">
        <v>1</v>
      </c>
      <c r="EF885">
        <v>0</v>
      </c>
      <c r="EG885" s="143">
        <v>0</v>
      </c>
      <c r="EH885" s="143">
        <v>0</v>
      </c>
      <c r="EI885" s="2">
        <v>0</v>
      </c>
      <c r="EK885" t="str">
        <f t="shared" si="130"/>
        <v/>
      </c>
      <c r="EL885" t="str">
        <f t="shared" si="131"/>
        <v/>
      </c>
      <c r="EM885" s="2" t="str">
        <f t="shared" si="146"/>
        <v>Technology approach</v>
      </c>
      <c r="EP885" t="str">
        <f>IF(ISNUMBER(BU885),IF(ABS(BU885-[2]QC_indicators!$B$2)&gt;3*[2]QC_indicators!$C$2,"C ratio",IF(ISNUMBER(BY885),IF(ABS(BY885-[2]QC_indicators!$B$1)&gt;3*[2]QC_indicators!$C$1,"DF","no"))),IF(ISNUMBER(BY885),IF(ABS(BY885-[2]QC_indicators!$B$1)&gt;3*[2]QC_indicators!$C$1,"DF","no")))</f>
        <v>no</v>
      </c>
      <c r="ET885" s="266" t="s">
        <v>3218</v>
      </c>
    </row>
    <row r="886" spans="1:150" ht="15" hidden="1" customHeight="1">
      <c r="A886" s="1" t="s">
        <v>248</v>
      </c>
      <c r="B886" t="s">
        <v>1030</v>
      </c>
      <c r="C886" t="s">
        <v>1031</v>
      </c>
      <c r="D886" t="s">
        <v>1032</v>
      </c>
      <c r="E886" t="s">
        <v>1033</v>
      </c>
      <c r="F886" t="s">
        <v>1034</v>
      </c>
      <c r="G886" t="s">
        <v>254</v>
      </c>
      <c r="H886" t="s">
        <v>255</v>
      </c>
      <c r="I886">
        <v>2021</v>
      </c>
      <c r="J886">
        <v>0</v>
      </c>
      <c r="K886" t="s">
        <v>1035</v>
      </c>
      <c r="M886" t="str">
        <f t="shared" si="153"/>
        <v>Piccardo_2021</v>
      </c>
      <c r="N886" t="s">
        <v>223</v>
      </c>
      <c r="O886" s="171" t="s">
        <v>514</v>
      </c>
      <c r="P886" s="141" t="s">
        <v>226</v>
      </c>
      <c r="Q886" t="s">
        <v>390</v>
      </c>
      <c r="R886" s="264" t="s">
        <v>224</v>
      </c>
      <c r="S886" s="1" t="s">
        <v>1044</v>
      </c>
      <c r="T886" s="266" t="s">
        <v>3222</v>
      </c>
      <c r="U886" s="266" t="s">
        <v>3220</v>
      </c>
      <c r="V886">
        <v>0</v>
      </c>
      <c r="W886">
        <v>0</v>
      </c>
      <c r="X886">
        <v>0</v>
      </c>
      <c r="Y886">
        <v>0</v>
      </c>
      <c r="Z886">
        <v>0</v>
      </c>
      <c r="AA886">
        <v>0</v>
      </c>
      <c r="AB886">
        <v>0</v>
      </c>
      <c r="AC886">
        <v>0</v>
      </c>
      <c r="AD886">
        <v>0</v>
      </c>
      <c r="AE886">
        <v>0</v>
      </c>
      <c r="AF886">
        <v>0</v>
      </c>
      <c r="AG886">
        <v>0</v>
      </c>
      <c r="AH886">
        <v>0</v>
      </c>
      <c r="AI886">
        <v>0</v>
      </c>
      <c r="AJ886">
        <v>0</v>
      </c>
      <c r="AK886">
        <v>1</v>
      </c>
      <c r="AL886">
        <v>0</v>
      </c>
      <c r="AM886">
        <v>0</v>
      </c>
      <c r="AN886">
        <v>0</v>
      </c>
      <c r="AO886">
        <v>0</v>
      </c>
      <c r="AP886">
        <v>0</v>
      </c>
      <c r="AQ886">
        <v>0</v>
      </c>
      <c r="AR886">
        <v>0</v>
      </c>
      <c r="AS886">
        <v>0</v>
      </c>
      <c r="AT886">
        <v>0</v>
      </c>
      <c r="AU886">
        <v>0</v>
      </c>
      <c r="AV886">
        <v>0</v>
      </c>
      <c r="AW886">
        <v>0</v>
      </c>
      <c r="AX886" s="141">
        <f t="shared" si="116"/>
        <v>1</v>
      </c>
      <c r="AY886" s="141">
        <f t="shared" si="137"/>
        <v>1</v>
      </c>
      <c r="AZ886">
        <f t="shared" si="138"/>
        <v>0</v>
      </c>
      <c r="BA886">
        <f t="shared" si="139"/>
        <v>0</v>
      </c>
      <c r="BB886">
        <f t="shared" si="140"/>
        <v>1</v>
      </c>
      <c r="BC886">
        <f t="shared" si="141"/>
        <v>0</v>
      </c>
      <c r="BD886">
        <f t="shared" si="142"/>
        <v>0</v>
      </c>
      <c r="BE886" t="str">
        <f t="array" ref="BE886">IF(AY886=1,INDEX($V$7:$AL$7,MATCH(TRUE,INDEX($V886:$AW886&lt;&gt;0,),0)),IF(AY886=0,INDEX($AM$7:$AW$7,MATCH(1,$AM886:$AW886,0)),IF(BF886="Multiple strategies","mixed drivers",IF(BF886="Supply chain","multiple supply","multiple silviculture"))))</f>
        <v>technologies/design switch</v>
      </c>
      <c r="BF886" s="2" t="str" cm="1">
        <f t="array" ref="BF886">IF(COUNTIF(AZ886:BB886,"&lt;&gt;0")=1,INDEX($V$4:$AW$4,MATCH(TRUE,INDEX($V886:$AW886&lt;&gt;0,),0)),IF(COUNTIF(AZ886:BB886,"&lt;&gt;0")=0,INDEX($AM$4:$AW$4,MATCH(1,$AM886:$AW886,0)),"Multiple strategies"))</f>
        <v>Technology</v>
      </c>
      <c r="BG886" s="142" t="s">
        <v>230</v>
      </c>
      <c r="BH886" t="s">
        <v>1037</v>
      </c>
      <c r="BI886" t="s">
        <v>1038</v>
      </c>
      <c r="BJ886" t="s">
        <v>1039</v>
      </c>
      <c r="BK886">
        <f>35+3+20+8+8</f>
        <v>74</v>
      </c>
      <c r="BL886">
        <f>175+40+77+18+35+3+8+8</f>
        <v>364</v>
      </c>
      <c r="BM886">
        <f>IFERROR(BL886/BK886,"")</f>
        <v>4.9189189189189193</v>
      </c>
      <c r="BN886">
        <f t="shared" si="125"/>
        <v>290</v>
      </c>
      <c r="BO886">
        <f>BN886*t_to_m3</f>
        <v>591.83673469387759</v>
      </c>
      <c r="BP886" t="s">
        <v>396</v>
      </c>
      <c r="BQ886" t="s">
        <v>1040</v>
      </c>
      <c r="BR886" t="s">
        <v>1041</v>
      </c>
      <c r="BS886">
        <v>267</v>
      </c>
      <c r="BT886">
        <v>-370</v>
      </c>
      <c r="BU886" s="144"/>
      <c r="BV886">
        <f>(BT886-BS886)</f>
        <v>-637</v>
      </c>
      <c r="BX886">
        <f t="shared" si="161"/>
        <v>-637</v>
      </c>
      <c r="BY886">
        <f t="shared" si="143"/>
        <v>-1.0763103448275861</v>
      </c>
      <c r="BZ886">
        <v>0</v>
      </c>
      <c r="CA886">
        <v>0</v>
      </c>
      <c r="CB886">
        <v>0</v>
      </c>
      <c r="CC886">
        <v>0</v>
      </c>
      <c r="CD886">
        <v>0</v>
      </c>
      <c r="CE886">
        <v>0</v>
      </c>
      <c r="CF886">
        <v>0</v>
      </c>
      <c r="CG886">
        <v>0</v>
      </c>
      <c r="CH886">
        <v>0</v>
      </c>
      <c r="CI886">
        <v>0</v>
      </c>
      <c r="CJ886">
        <v>0</v>
      </c>
      <c r="CK886">
        <v>0</v>
      </c>
      <c r="CL886">
        <v>0</v>
      </c>
      <c r="CM886">
        <v>0</v>
      </c>
      <c r="CN886" t="str">
        <f t="shared" si="157"/>
        <v>refOK</v>
      </c>
      <c r="CO886">
        <f t="shared" si="162"/>
        <v>74</v>
      </c>
      <c r="CP886">
        <f t="shared" si="163"/>
        <v>364</v>
      </c>
      <c r="CQ886">
        <f t="shared" si="124"/>
        <v>591.83673469387759</v>
      </c>
      <c r="CR886">
        <f t="shared" si="158"/>
        <v>-267</v>
      </c>
      <c r="CS886">
        <f t="shared" si="159"/>
        <v>370</v>
      </c>
      <c r="CT886">
        <f t="shared" si="121"/>
        <v>637</v>
      </c>
      <c r="CU886">
        <f t="shared" si="156"/>
        <v>1.0763103448275861</v>
      </c>
      <c r="CV886" s="2">
        <f t="shared" si="122"/>
        <v>2.3857677902621721</v>
      </c>
      <c r="CW886" s="1" t="s">
        <v>264</v>
      </c>
      <c r="CX886" t="str">
        <f t="shared" si="144"/>
        <v>loc</v>
      </c>
      <c r="CY886" t="s">
        <v>745</v>
      </c>
      <c r="DB886">
        <v>50</v>
      </c>
      <c r="DC886" t="str">
        <f t="shared" si="145"/>
        <v>31-70</v>
      </c>
      <c r="DD886">
        <v>0</v>
      </c>
      <c r="DE886">
        <v>0</v>
      </c>
      <c r="DF886">
        <v>1</v>
      </c>
      <c r="DG886">
        <v>1</v>
      </c>
      <c r="DI886">
        <f t="shared" si="154"/>
        <v>2</v>
      </c>
      <c r="DJ886" t="str">
        <f t="shared" si="155"/>
        <v>mixedProduct</v>
      </c>
      <c r="DK886">
        <f t="shared" si="126"/>
        <v>0</v>
      </c>
      <c r="DL886">
        <f t="shared" si="127"/>
        <v>0</v>
      </c>
      <c r="DM886" t="str">
        <f t="shared" si="128"/>
        <v>Pulp/Paper</v>
      </c>
      <c r="DN886" t="str">
        <f t="shared" si="129"/>
        <v>Timber</v>
      </c>
      <c r="DO886">
        <v>1</v>
      </c>
      <c r="DP886">
        <v>0</v>
      </c>
      <c r="DQ886">
        <v>0</v>
      </c>
      <c r="DR886">
        <v>0</v>
      </c>
      <c r="DS886">
        <v>0</v>
      </c>
      <c r="DT886">
        <f t="shared" si="160"/>
        <v>1</v>
      </c>
      <c r="DU886" s="143" t="str">
        <f t="shared" si="149"/>
        <v>self-calculated DF</v>
      </c>
      <c r="DV886">
        <v>0</v>
      </c>
      <c r="DW886">
        <v>0</v>
      </c>
      <c r="DX886">
        <v>0</v>
      </c>
      <c r="DY886">
        <v>1</v>
      </c>
      <c r="DZ886">
        <v>1</v>
      </c>
      <c r="EA886">
        <v>1</v>
      </c>
      <c r="EB886">
        <v>0</v>
      </c>
      <c r="EC886">
        <v>1</v>
      </c>
      <c r="ED886">
        <v>1</v>
      </c>
      <c r="EE886">
        <v>1</v>
      </c>
      <c r="EF886">
        <v>0</v>
      </c>
      <c r="EG886" s="143">
        <v>0</v>
      </c>
      <c r="EH886" s="143">
        <v>0</v>
      </c>
      <c r="EI886" s="2">
        <v>0</v>
      </c>
      <c r="EK886" t="str">
        <f t="shared" si="130"/>
        <v/>
      </c>
      <c r="EL886" t="str">
        <f t="shared" si="131"/>
        <v/>
      </c>
      <c r="EM886" s="2" t="str">
        <f t="shared" si="146"/>
        <v>Technology approach</v>
      </c>
      <c r="EP886" t="str">
        <f>IF(ISNUMBER(BU886),IF(ABS(BU886-[2]QC_indicators!$B$2)&gt;3*[2]QC_indicators!$C$2,"C ratio",IF(ISNUMBER(BY886),IF(ABS(BY886-[2]QC_indicators!$B$1)&gt;3*[2]QC_indicators!$C$1,"DF","no"))),IF(ISNUMBER(BY886),IF(ABS(BY886-[2]QC_indicators!$B$1)&gt;3*[2]QC_indicators!$C$1,"DF","no")))</f>
        <v>no</v>
      </c>
      <c r="ET886" s="266" t="s">
        <v>3218</v>
      </c>
    </row>
    <row r="887" spans="1:150" ht="15" hidden="1" customHeight="1">
      <c r="A887" s="1" t="s">
        <v>248</v>
      </c>
      <c r="B887" t="s">
        <v>1030</v>
      </c>
      <c r="C887" t="s">
        <v>1031</v>
      </c>
      <c r="D887" t="s">
        <v>1032</v>
      </c>
      <c r="E887" t="s">
        <v>1033</v>
      </c>
      <c r="F887" t="s">
        <v>1034</v>
      </c>
      <c r="G887" t="s">
        <v>254</v>
      </c>
      <c r="H887" t="s">
        <v>255</v>
      </c>
      <c r="I887">
        <v>2021</v>
      </c>
      <c r="J887">
        <v>0</v>
      </c>
      <c r="K887" t="s">
        <v>1035</v>
      </c>
      <c r="M887" t="str">
        <f t="shared" si="153"/>
        <v>Piccardo_2021</v>
      </c>
      <c r="N887" t="s">
        <v>223</v>
      </c>
      <c r="O887" s="171" t="s">
        <v>514</v>
      </c>
      <c r="P887" s="141" t="s">
        <v>226</v>
      </c>
      <c r="Q887" t="s">
        <v>390</v>
      </c>
      <c r="R887" s="264" t="s">
        <v>224</v>
      </c>
      <c r="S887" s="1" t="s">
        <v>1043</v>
      </c>
      <c r="T887" s="266" t="s">
        <v>3223</v>
      </c>
      <c r="U887" s="266" t="s">
        <v>3224</v>
      </c>
      <c r="V887">
        <v>0</v>
      </c>
      <c r="W887">
        <v>0</v>
      </c>
      <c r="X887">
        <v>0</v>
      </c>
      <c r="Y887">
        <v>0</v>
      </c>
      <c r="Z887">
        <v>0</v>
      </c>
      <c r="AA887">
        <v>0</v>
      </c>
      <c r="AB887">
        <v>0</v>
      </c>
      <c r="AC887">
        <v>0</v>
      </c>
      <c r="AD887">
        <v>0</v>
      </c>
      <c r="AE887">
        <v>0</v>
      </c>
      <c r="AF887">
        <v>0</v>
      </c>
      <c r="AG887">
        <v>0</v>
      </c>
      <c r="AH887">
        <v>0</v>
      </c>
      <c r="AI887">
        <v>0</v>
      </c>
      <c r="AJ887">
        <v>0</v>
      </c>
      <c r="AK887">
        <v>1</v>
      </c>
      <c r="AL887">
        <v>0</v>
      </c>
      <c r="AM887">
        <v>0</v>
      </c>
      <c r="AN887">
        <v>0</v>
      </c>
      <c r="AO887">
        <v>0</v>
      </c>
      <c r="AP887">
        <v>0</v>
      </c>
      <c r="AQ887">
        <v>0</v>
      </c>
      <c r="AR887">
        <v>0</v>
      </c>
      <c r="AS887">
        <v>0</v>
      </c>
      <c r="AT887">
        <v>0</v>
      </c>
      <c r="AU887">
        <v>0</v>
      </c>
      <c r="AV887">
        <v>0</v>
      </c>
      <c r="AW887">
        <v>0</v>
      </c>
      <c r="AX887" s="141">
        <f t="shared" si="116"/>
        <v>1</v>
      </c>
      <c r="AY887" s="141">
        <f t="shared" si="137"/>
        <v>1</v>
      </c>
      <c r="AZ887">
        <f t="shared" si="138"/>
        <v>0</v>
      </c>
      <c r="BA887">
        <f t="shared" si="139"/>
        <v>0</v>
      </c>
      <c r="BB887">
        <f t="shared" si="140"/>
        <v>1</v>
      </c>
      <c r="BC887">
        <f t="shared" si="141"/>
        <v>0</v>
      </c>
      <c r="BD887">
        <f t="shared" si="142"/>
        <v>0</v>
      </c>
      <c r="BE887" t="str">
        <f t="array" ref="BE887">IF(AY887=1,INDEX($V$7:$AL$7,MATCH(TRUE,INDEX($V887:$AW887&lt;&gt;0,),0)),IF(AY887=0,INDEX($AM$7:$AW$7,MATCH(1,$AM887:$AW887,0)),IF(BF887="Multiple strategies","mixed drivers",IF(BF887="Supply chain","multiple supply","multiple silviculture"))))</f>
        <v>technologies/design switch</v>
      </c>
      <c r="BF887" s="2" t="str" cm="1">
        <f t="array" ref="BF887">IF(COUNTIF(AZ887:BB887,"&lt;&gt;0")=1,INDEX($V$4:$AW$4,MATCH(TRUE,INDEX($V887:$AW887&lt;&gt;0,),0)),IF(COUNTIF(AZ887:BB887,"&lt;&gt;0")=0,INDEX($AM$4:$AW$4,MATCH(1,$AM887:$AW887,0)),"Multiple strategies"))</f>
        <v>Technology</v>
      </c>
      <c r="BG887" s="142" t="s">
        <v>230</v>
      </c>
      <c r="BH887" t="s">
        <v>1037</v>
      </c>
      <c r="BI887" t="s">
        <v>1038</v>
      </c>
      <c r="BJ887" t="s">
        <v>1039</v>
      </c>
      <c r="BK887">
        <f>35+3+20+8+8</f>
        <v>74</v>
      </c>
      <c r="BL887">
        <f>175+40+77+18+35+3+8+8</f>
        <v>364</v>
      </c>
      <c r="BM887">
        <f>IFERROR(BL887/BK887,"")</f>
        <v>4.9189189189189193</v>
      </c>
      <c r="BN887">
        <f t="shared" si="125"/>
        <v>290</v>
      </c>
      <c r="BO887">
        <f>BN887*t_to_m3</f>
        <v>591.83673469387759</v>
      </c>
      <c r="BP887" t="s">
        <v>396</v>
      </c>
      <c r="BQ887" t="s">
        <v>1040</v>
      </c>
      <c r="BR887" t="s">
        <v>1041</v>
      </c>
      <c r="BS887">
        <f>669-126</f>
        <v>543</v>
      </c>
      <c r="BT887">
        <f>357-622</f>
        <v>-265</v>
      </c>
      <c r="BU887" s="144"/>
      <c r="BV887">
        <f>(BT887-BS887)</f>
        <v>-808</v>
      </c>
      <c r="BX887">
        <f t="shared" si="161"/>
        <v>-808</v>
      </c>
      <c r="BY887">
        <f t="shared" si="143"/>
        <v>-1.3652413793103448</v>
      </c>
      <c r="BZ887">
        <v>0</v>
      </c>
      <c r="CA887">
        <v>0</v>
      </c>
      <c r="CB887">
        <v>0</v>
      </c>
      <c r="CC887">
        <v>0</v>
      </c>
      <c r="CD887">
        <v>0</v>
      </c>
      <c r="CE887">
        <v>0</v>
      </c>
      <c r="CF887">
        <v>0</v>
      </c>
      <c r="CG887">
        <v>0</v>
      </c>
      <c r="CH887">
        <v>0</v>
      </c>
      <c r="CI887">
        <v>0</v>
      </c>
      <c r="CJ887">
        <v>0</v>
      </c>
      <c r="CK887">
        <v>0</v>
      </c>
      <c r="CL887">
        <v>0</v>
      </c>
      <c r="CM887">
        <v>0</v>
      </c>
      <c r="CN887" t="str">
        <f t="shared" si="157"/>
        <v>refOK</v>
      </c>
      <c r="CO887">
        <f t="shared" si="162"/>
        <v>74</v>
      </c>
      <c r="CP887">
        <f t="shared" si="163"/>
        <v>364</v>
      </c>
      <c r="CQ887">
        <f t="shared" si="124"/>
        <v>591.83673469387759</v>
      </c>
      <c r="CR887">
        <f t="shared" si="158"/>
        <v>-543</v>
      </c>
      <c r="CS887">
        <f t="shared" si="159"/>
        <v>265</v>
      </c>
      <c r="CT887">
        <f t="shared" si="121"/>
        <v>808</v>
      </c>
      <c r="CU887">
        <f t="shared" si="156"/>
        <v>1.3652413793103448</v>
      </c>
      <c r="CV887" s="2">
        <f t="shared" si="122"/>
        <v>1.4880294659300184</v>
      </c>
      <c r="CW887" s="1" t="s">
        <v>264</v>
      </c>
      <c r="CX887" t="str">
        <f t="shared" si="144"/>
        <v>loc</v>
      </c>
      <c r="CY887" t="s">
        <v>745</v>
      </c>
      <c r="DB887">
        <v>50</v>
      </c>
      <c r="DC887" t="str">
        <f t="shared" si="145"/>
        <v>31-70</v>
      </c>
      <c r="DD887">
        <v>0</v>
      </c>
      <c r="DE887">
        <v>0</v>
      </c>
      <c r="DF887">
        <v>1</v>
      </c>
      <c r="DG887">
        <v>1</v>
      </c>
      <c r="DI887">
        <f t="shared" si="154"/>
        <v>2</v>
      </c>
      <c r="DJ887" t="str">
        <f t="shared" si="155"/>
        <v>mixedProduct</v>
      </c>
      <c r="DK887">
        <f t="shared" si="126"/>
        <v>0</v>
      </c>
      <c r="DL887">
        <f t="shared" si="127"/>
        <v>0</v>
      </c>
      <c r="DM887" t="str">
        <f t="shared" si="128"/>
        <v>Pulp/Paper</v>
      </c>
      <c r="DN887" t="str">
        <f t="shared" si="129"/>
        <v>Timber</v>
      </c>
      <c r="DO887">
        <v>1</v>
      </c>
      <c r="DP887">
        <v>0</v>
      </c>
      <c r="DQ887">
        <v>0</v>
      </c>
      <c r="DR887">
        <v>0</v>
      </c>
      <c r="DS887">
        <v>0</v>
      </c>
      <c r="DT887">
        <f t="shared" si="160"/>
        <v>1</v>
      </c>
      <c r="DU887" s="143" t="str">
        <f t="shared" si="149"/>
        <v>self-calculated DF</v>
      </c>
      <c r="DV887">
        <v>0</v>
      </c>
      <c r="DW887">
        <v>0</v>
      </c>
      <c r="DX887">
        <v>0</v>
      </c>
      <c r="DY887">
        <v>1</v>
      </c>
      <c r="DZ887">
        <v>1</v>
      </c>
      <c r="EA887">
        <v>0</v>
      </c>
      <c r="EB887">
        <v>0</v>
      </c>
      <c r="EC887">
        <v>1</v>
      </c>
      <c r="ED887">
        <v>0</v>
      </c>
      <c r="EE887">
        <v>0</v>
      </c>
      <c r="EF887">
        <v>0</v>
      </c>
      <c r="EG887" s="143">
        <v>0</v>
      </c>
      <c r="EH887" s="143">
        <v>0</v>
      </c>
      <c r="EI887" s="2">
        <v>0</v>
      </c>
      <c r="EK887" t="str">
        <f t="shared" si="130"/>
        <v/>
      </c>
      <c r="EL887" t="str">
        <f t="shared" si="131"/>
        <v/>
      </c>
      <c r="EM887" s="2" t="str">
        <f t="shared" si="146"/>
        <v/>
      </c>
      <c r="EP887" t="str">
        <f>IF(ISNUMBER(BU887),IF(ABS(BU887-[2]QC_indicators!$B$2)&gt;3*[2]QC_indicators!$C$2,"C ratio",IF(ISNUMBER(BY887),IF(ABS(BY887-[2]QC_indicators!$B$1)&gt;3*[2]QC_indicators!$C$1,"DF","no"))),IF(ISNUMBER(BY887),IF(ABS(BY887-[2]QC_indicators!$B$1)&gt;3*[2]QC_indicators!$C$1,"DF","no")))</f>
        <v>no</v>
      </c>
      <c r="ET887" s="266" t="s">
        <v>3218</v>
      </c>
    </row>
    <row r="888" spans="1:150" ht="15" hidden="1" customHeight="1">
      <c r="A888" s="1" t="s">
        <v>248</v>
      </c>
      <c r="B888" t="s">
        <v>1030</v>
      </c>
      <c r="C888" t="s">
        <v>1031</v>
      </c>
      <c r="D888" t="s">
        <v>1032</v>
      </c>
      <c r="E888" t="s">
        <v>1033</v>
      </c>
      <c r="F888" t="s">
        <v>1034</v>
      </c>
      <c r="G888" t="s">
        <v>254</v>
      </c>
      <c r="H888" t="s">
        <v>255</v>
      </c>
      <c r="I888">
        <v>2021</v>
      </c>
      <c r="J888">
        <v>0</v>
      </c>
      <c r="K888" t="s">
        <v>1035</v>
      </c>
      <c r="M888" t="str">
        <f t="shared" si="153"/>
        <v>Piccardo_2021</v>
      </c>
      <c r="N888" t="s">
        <v>223</v>
      </c>
      <c r="O888" s="171" t="s">
        <v>514</v>
      </c>
      <c r="P888" s="141" t="s">
        <v>226</v>
      </c>
      <c r="Q888" t="s">
        <v>390</v>
      </c>
      <c r="R888" s="264" t="s">
        <v>224</v>
      </c>
      <c r="S888" s="1" t="s">
        <v>1043</v>
      </c>
      <c r="T888" s="266" t="s">
        <v>3223</v>
      </c>
      <c r="U888" s="266" t="s">
        <v>1042</v>
      </c>
      <c r="V888">
        <v>0</v>
      </c>
      <c r="W888">
        <v>0</v>
      </c>
      <c r="X888">
        <v>0</v>
      </c>
      <c r="Y888">
        <v>0</v>
      </c>
      <c r="Z888">
        <v>0</v>
      </c>
      <c r="AA888">
        <v>0</v>
      </c>
      <c r="AB888">
        <v>0</v>
      </c>
      <c r="AC888">
        <v>0</v>
      </c>
      <c r="AD888">
        <v>0</v>
      </c>
      <c r="AE888">
        <v>0</v>
      </c>
      <c r="AF888">
        <v>0</v>
      </c>
      <c r="AG888">
        <v>0</v>
      </c>
      <c r="AH888">
        <v>0</v>
      </c>
      <c r="AI888">
        <v>0</v>
      </c>
      <c r="AJ888">
        <v>0</v>
      </c>
      <c r="AK888">
        <v>1</v>
      </c>
      <c r="AL888">
        <v>0</v>
      </c>
      <c r="AM888">
        <v>0</v>
      </c>
      <c r="AN888">
        <v>0</v>
      </c>
      <c r="AO888">
        <v>0</v>
      </c>
      <c r="AP888">
        <v>0</v>
      </c>
      <c r="AQ888">
        <v>0</v>
      </c>
      <c r="AR888">
        <v>0</v>
      </c>
      <c r="AS888">
        <v>0</v>
      </c>
      <c r="AT888">
        <v>0</v>
      </c>
      <c r="AU888">
        <v>0</v>
      </c>
      <c r="AV888">
        <v>0</v>
      </c>
      <c r="AW888">
        <v>0</v>
      </c>
      <c r="AX888" s="141">
        <f t="shared" si="116"/>
        <v>1</v>
      </c>
      <c r="AY888" s="141">
        <f t="shared" si="137"/>
        <v>1</v>
      </c>
      <c r="AZ888">
        <f t="shared" si="138"/>
        <v>0</v>
      </c>
      <c r="BA888">
        <f t="shared" si="139"/>
        <v>0</v>
      </c>
      <c r="BB888">
        <f t="shared" si="140"/>
        <v>1</v>
      </c>
      <c r="BC888">
        <f t="shared" si="141"/>
        <v>0</v>
      </c>
      <c r="BD888">
        <f t="shared" si="142"/>
        <v>0</v>
      </c>
      <c r="BE888" t="str">
        <f t="array" ref="BE888">IF(AY888=1,INDEX($V$7:$AL$7,MATCH(TRUE,INDEX($V888:$AW888&lt;&gt;0,),0)),IF(AY888=0,INDEX($AM$7:$AW$7,MATCH(1,$AM888:$AW888,0)),IF(BF888="Multiple strategies","mixed drivers",IF(BF888="Supply chain","multiple supply","multiple silviculture"))))</f>
        <v>technologies/design switch</v>
      </c>
      <c r="BF888" s="2" t="str" cm="1">
        <f t="array" ref="BF888">IF(COUNTIF(AZ888:BB888,"&lt;&gt;0")=1,INDEX($V$4:$AW$4,MATCH(TRUE,INDEX($V888:$AW888&lt;&gt;0,),0)),IF(COUNTIF(AZ888:BB888,"&lt;&gt;0")=0,INDEX($AM$4:$AW$4,MATCH(1,$AM888:$AW888,0)),"Multiple strategies"))</f>
        <v>Technology</v>
      </c>
      <c r="BG888" s="142" t="s">
        <v>230</v>
      </c>
      <c r="BH888" t="s">
        <v>1037</v>
      </c>
      <c r="BI888" t="s">
        <v>1038</v>
      </c>
      <c r="BJ888" t="s">
        <v>1039</v>
      </c>
      <c r="BK888">
        <f>35+3+20+8+8</f>
        <v>74</v>
      </c>
      <c r="BL888">
        <f>8+103+26+23+35+3+8+8</f>
        <v>214</v>
      </c>
      <c r="BM888">
        <f>IFERROR(BL888/BK888,"")</f>
        <v>2.8918918918918921</v>
      </c>
      <c r="BN888">
        <f t="shared" si="125"/>
        <v>140</v>
      </c>
      <c r="BO888">
        <f>BN888*t_to_m3</f>
        <v>285.71428571428572</v>
      </c>
      <c r="BP888" t="s">
        <v>396</v>
      </c>
      <c r="BQ888" t="s">
        <v>1040</v>
      </c>
      <c r="BR888" t="s">
        <v>1041</v>
      </c>
      <c r="BS888">
        <f>669-126</f>
        <v>543</v>
      </c>
      <c r="BT888">
        <f>303-378</f>
        <v>-75</v>
      </c>
      <c r="BU888" s="144"/>
      <c r="BV888">
        <f>(BT888-BS888)</f>
        <v>-618</v>
      </c>
      <c r="BX888">
        <f t="shared" si="161"/>
        <v>-618</v>
      </c>
      <c r="BY888">
        <f t="shared" si="143"/>
        <v>-2.1629999999999998</v>
      </c>
      <c r="BZ888">
        <v>0</v>
      </c>
      <c r="CA888">
        <v>0</v>
      </c>
      <c r="CB888">
        <v>0</v>
      </c>
      <c r="CC888">
        <v>0</v>
      </c>
      <c r="CD888">
        <v>0</v>
      </c>
      <c r="CE888">
        <v>0</v>
      </c>
      <c r="CF888">
        <v>0</v>
      </c>
      <c r="CG888">
        <v>0</v>
      </c>
      <c r="CH888">
        <v>0</v>
      </c>
      <c r="CI888">
        <v>0</v>
      </c>
      <c r="CJ888">
        <v>0</v>
      </c>
      <c r="CK888">
        <v>0</v>
      </c>
      <c r="CL888">
        <v>0</v>
      </c>
      <c r="CM888">
        <v>0</v>
      </c>
      <c r="CN888" t="str">
        <f t="shared" si="157"/>
        <v>refOK</v>
      </c>
      <c r="CO888">
        <f t="shared" si="162"/>
        <v>74</v>
      </c>
      <c r="CP888">
        <f t="shared" si="163"/>
        <v>214</v>
      </c>
      <c r="CQ888">
        <f t="shared" si="124"/>
        <v>285.71428571428572</v>
      </c>
      <c r="CR888">
        <f t="shared" si="158"/>
        <v>-543</v>
      </c>
      <c r="CS888">
        <f t="shared" si="159"/>
        <v>75</v>
      </c>
      <c r="CT888">
        <f t="shared" si="121"/>
        <v>618</v>
      </c>
      <c r="CU888">
        <f t="shared" si="156"/>
        <v>2.1629999999999998</v>
      </c>
      <c r="CV888" s="2">
        <f t="shared" si="122"/>
        <v>1.1381215469613259</v>
      </c>
      <c r="CW888" s="1" t="s">
        <v>264</v>
      </c>
      <c r="CX888" t="str">
        <f t="shared" si="144"/>
        <v>loc</v>
      </c>
      <c r="CY888" t="s">
        <v>745</v>
      </c>
      <c r="DB888">
        <v>50</v>
      </c>
      <c r="DC888" t="str">
        <f t="shared" si="145"/>
        <v>31-70</v>
      </c>
      <c r="DD888">
        <v>0</v>
      </c>
      <c r="DE888">
        <v>0</v>
      </c>
      <c r="DF888">
        <v>1</v>
      </c>
      <c r="DG888">
        <v>1</v>
      </c>
      <c r="DI888">
        <f t="shared" si="154"/>
        <v>2</v>
      </c>
      <c r="DJ888" t="str">
        <f t="shared" si="155"/>
        <v>mixedProduct</v>
      </c>
      <c r="DK888">
        <f t="shared" si="126"/>
        <v>0</v>
      </c>
      <c r="DL888">
        <f t="shared" si="127"/>
        <v>0</v>
      </c>
      <c r="DM888" t="str">
        <f t="shared" si="128"/>
        <v>Pulp/Paper</v>
      </c>
      <c r="DN888" t="str">
        <f t="shared" si="129"/>
        <v>Timber</v>
      </c>
      <c r="DO888">
        <v>1</v>
      </c>
      <c r="DP888">
        <v>0</v>
      </c>
      <c r="DQ888">
        <v>0</v>
      </c>
      <c r="DR888">
        <v>0</v>
      </c>
      <c r="DS888">
        <v>0</v>
      </c>
      <c r="DT888">
        <f t="shared" si="160"/>
        <v>1</v>
      </c>
      <c r="DU888" s="143" t="str">
        <f t="shared" si="149"/>
        <v>self-calculated DF</v>
      </c>
      <c r="DV888">
        <v>0</v>
      </c>
      <c r="DW888">
        <v>0</v>
      </c>
      <c r="DX888">
        <v>0</v>
      </c>
      <c r="DY888">
        <v>1</v>
      </c>
      <c r="DZ888">
        <v>1</v>
      </c>
      <c r="EA888">
        <v>0</v>
      </c>
      <c r="EB888">
        <v>0</v>
      </c>
      <c r="EC888">
        <v>1</v>
      </c>
      <c r="ED888">
        <v>0</v>
      </c>
      <c r="EE888">
        <v>0</v>
      </c>
      <c r="EF888">
        <v>0</v>
      </c>
      <c r="EG888" s="143">
        <v>0</v>
      </c>
      <c r="EH888" s="143">
        <v>0</v>
      </c>
      <c r="EI888" s="2">
        <v>0</v>
      </c>
      <c r="EK888" t="str">
        <f t="shared" si="130"/>
        <v/>
      </c>
      <c r="EL888" t="str">
        <f t="shared" si="131"/>
        <v/>
      </c>
      <c r="EM888" s="2" t="str">
        <f t="shared" si="146"/>
        <v/>
      </c>
      <c r="EP888" t="str">
        <f>IF(ISNUMBER(BU888),IF(ABS(BU888-[2]QC_indicators!$B$2)&gt;3*[2]QC_indicators!$C$2,"C ratio",IF(ISNUMBER(BY888),IF(ABS(BY888-[2]QC_indicators!$B$1)&gt;3*[2]QC_indicators!$C$1,"DF","no"))),IF(ISNUMBER(BY888),IF(ABS(BY888-[2]QC_indicators!$B$1)&gt;3*[2]QC_indicators!$C$1,"DF","no")))</f>
        <v>no</v>
      </c>
      <c r="ET888" s="266" t="s">
        <v>3218</v>
      </c>
    </row>
    <row r="889" spans="1:150" ht="15" hidden="1" customHeight="1">
      <c r="A889" s="1" t="s">
        <v>266</v>
      </c>
      <c r="B889" t="s">
        <v>267</v>
      </c>
      <c r="C889" t="s">
        <v>268</v>
      </c>
      <c r="D889" t="s">
        <v>269</v>
      </c>
      <c r="E889" t="s">
        <v>270</v>
      </c>
      <c r="F889" t="s">
        <v>271</v>
      </c>
      <c r="G889" t="s">
        <v>272</v>
      </c>
      <c r="H889" t="s">
        <v>255</v>
      </c>
      <c r="I889">
        <v>2022</v>
      </c>
      <c r="J889">
        <v>0</v>
      </c>
      <c r="K889" t="s">
        <v>273</v>
      </c>
      <c r="M889" t="str">
        <f t="shared" si="153"/>
        <v>Aryapratama_2022</v>
      </c>
      <c r="N889" t="s">
        <v>223</v>
      </c>
      <c r="O889" s="145" t="s">
        <v>275</v>
      </c>
      <c r="Q889" t="s">
        <v>225</v>
      </c>
      <c r="R889" s="264" t="s">
        <v>224</v>
      </c>
      <c r="S889" s="265" t="s">
        <v>3107</v>
      </c>
      <c r="T889" t="s">
        <v>328</v>
      </c>
      <c r="U889" t="s">
        <v>327</v>
      </c>
      <c r="V889">
        <v>0</v>
      </c>
      <c r="W889">
        <v>0</v>
      </c>
      <c r="X889">
        <v>0</v>
      </c>
      <c r="Y889">
        <v>0</v>
      </c>
      <c r="Z889">
        <v>0</v>
      </c>
      <c r="AA889">
        <v>0</v>
      </c>
      <c r="AB889">
        <v>0</v>
      </c>
      <c r="AC889">
        <v>0</v>
      </c>
      <c r="AD889">
        <v>0</v>
      </c>
      <c r="AE889">
        <v>0</v>
      </c>
      <c r="AF889">
        <v>0</v>
      </c>
      <c r="AG889">
        <v>0</v>
      </c>
      <c r="AH889">
        <v>0</v>
      </c>
      <c r="AI889">
        <v>0</v>
      </c>
      <c r="AJ889">
        <v>0</v>
      </c>
      <c r="AK889">
        <v>1</v>
      </c>
      <c r="AL889">
        <v>0</v>
      </c>
      <c r="AM889">
        <v>0</v>
      </c>
      <c r="AN889">
        <v>0</v>
      </c>
      <c r="AO889">
        <v>0</v>
      </c>
      <c r="AP889">
        <v>0</v>
      </c>
      <c r="AQ889">
        <v>0</v>
      </c>
      <c r="AR889">
        <v>0</v>
      </c>
      <c r="AS889">
        <v>0</v>
      </c>
      <c r="AT889">
        <v>0</v>
      </c>
      <c r="AU889">
        <v>0</v>
      </c>
      <c r="AV889">
        <v>0</v>
      </c>
      <c r="AW889">
        <v>0</v>
      </c>
      <c r="AX889" s="141">
        <f t="shared" si="116"/>
        <v>1</v>
      </c>
      <c r="AY889" s="141">
        <f t="shared" si="137"/>
        <v>1</v>
      </c>
      <c r="AZ889">
        <f t="shared" si="138"/>
        <v>0</v>
      </c>
      <c r="BA889">
        <f t="shared" si="139"/>
        <v>0</v>
      </c>
      <c r="BB889">
        <f t="shared" si="140"/>
        <v>1</v>
      </c>
      <c r="BC889">
        <f t="shared" si="141"/>
        <v>0</v>
      </c>
      <c r="BD889">
        <f t="shared" si="142"/>
        <v>0</v>
      </c>
      <c r="BE889" t="str">
        <f t="array" ref="BE889">IF(AY889=1,INDEX($V$7:$AL$7,MATCH(TRUE,INDEX($V889:$AW889&lt;&gt;0,),0)),IF(AY889=0,INDEX($AM$7:$AW$7,MATCH(1,$AM889:$AW889,0)),IF(BF889="Multiple strategies","mixed drivers",IF(BF889="Supply chain","multiple supply","multiple silviculture"))))</f>
        <v>technologies/design switch</v>
      </c>
      <c r="BF889" s="2" t="str" cm="1">
        <f t="array" ref="BF889">IF(COUNTIF(AZ889:BB889,"&lt;&gt;0")=1,INDEX($V$4:$AW$4,MATCH(TRUE,INDEX($V889:$AW889&lt;&gt;0,),0)),IF(COUNTIF(AZ889:BB889,"&lt;&gt;0")=0,INDEX($AM$4:$AW$4,MATCH(1,$AM889:$AW889,0)),"Multiple strategies"))</f>
        <v>Technology</v>
      </c>
      <c r="BG889" s="1" t="s">
        <v>230</v>
      </c>
      <c r="BH889" t="s">
        <v>278</v>
      </c>
      <c r="BI889" s="266" t="s">
        <v>3108</v>
      </c>
      <c r="BJ889" t="s">
        <v>279</v>
      </c>
      <c r="BK889">
        <v>0</v>
      </c>
      <c r="BL889">
        <v>196.41951018867931</v>
      </c>
      <c r="BN889">
        <f t="shared" si="125"/>
        <v>196.41951018867931</v>
      </c>
      <c r="BO889">
        <f t="shared" ref="BO889:BO904" si="164">BN889*tC_to_m3</f>
        <v>852.88541115362273</v>
      </c>
      <c r="BP889" t="s">
        <v>233</v>
      </c>
      <c r="BQ889" s="153" t="s">
        <v>3109</v>
      </c>
      <c r="BR889" t="s">
        <v>280</v>
      </c>
      <c r="BS889">
        <v>-601.12201901040225</v>
      </c>
      <c r="BT889">
        <v>-930.07336759388943</v>
      </c>
      <c r="BU889" s="144">
        <f t="shared" ref="BU889:BU904" si="165">IFERROR(BT889/BS889,"")</f>
        <v>1.5472289122348633</v>
      </c>
      <c r="BV889">
        <f t="shared" ref="BV889:BV904" si="166">BT889-BS889</f>
        <v>-328.95134858348717</v>
      </c>
      <c r="BX889">
        <f t="shared" si="161"/>
        <v>-328.95134858348717</v>
      </c>
      <c r="BY889">
        <f t="shared" si="143"/>
        <v>-0.38569231491314143</v>
      </c>
      <c r="BZ889">
        <v>0</v>
      </c>
      <c r="CA889">
        <v>0</v>
      </c>
      <c r="CB889">
        <v>0</v>
      </c>
      <c r="CC889">
        <v>0</v>
      </c>
      <c r="CD889">
        <v>0</v>
      </c>
      <c r="CE889">
        <v>0</v>
      </c>
      <c r="CF889">
        <v>0</v>
      </c>
      <c r="CG889">
        <v>0</v>
      </c>
      <c r="CH889">
        <v>0</v>
      </c>
      <c r="CI889">
        <v>0</v>
      </c>
      <c r="CJ889">
        <v>0</v>
      </c>
      <c r="CK889">
        <v>0</v>
      </c>
      <c r="CL889">
        <v>0</v>
      </c>
      <c r="CM889">
        <v>0</v>
      </c>
      <c r="CN889" t="str">
        <f t="shared" si="157"/>
        <v>refOK</v>
      </c>
      <c r="CO889">
        <f t="shared" si="162"/>
        <v>0</v>
      </c>
      <c r="CP889">
        <f t="shared" si="163"/>
        <v>196.41951018867931</v>
      </c>
      <c r="CQ889">
        <f t="shared" si="124"/>
        <v>852.88541115362273</v>
      </c>
      <c r="CR889">
        <f t="shared" si="158"/>
        <v>-601.12201901040225</v>
      </c>
      <c r="CS889">
        <f t="shared" si="159"/>
        <v>-930.07336759388943</v>
      </c>
      <c r="CT889">
        <f t="shared" si="121"/>
        <v>-328.95134858348717</v>
      </c>
      <c r="CU889">
        <f t="shared" si="156"/>
        <v>-0.38569231491314143</v>
      </c>
      <c r="CV889" s="2">
        <f t="shared" si="122"/>
        <v>-0.54722891223486314</v>
      </c>
      <c r="CW889" s="1" t="s">
        <v>235</v>
      </c>
      <c r="CX889" t="str">
        <f t="shared" si="144"/>
        <v>loc</v>
      </c>
      <c r="CY889" t="s">
        <v>281</v>
      </c>
      <c r="DB889">
        <v>50</v>
      </c>
      <c r="DC889" t="str">
        <f t="shared" si="145"/>
        <v>31-70</v>
      </c>
      <c r="DD889">
        <v>0</v>
      </c>
      <c r="DE889">
        <v>1</v>
      </c>
      <c r="DF889">
        <v>0</v>
      </c>
      <c r="DG889">
        <v>0</v>
      </c>
      <c r="DI889">
        <f t="shared" si="154"/>
        <v>1</v>
      </c>
      <c r="DJ889" t="str">
        <f t="shared" si="155"/>
        <v>EnergyInput</v>
      </c>
      <c r="DK889">
        <f t="shared" si="126"/>
        <v>0</v>
      </c>
      <c r="DL889" t="str">
        <f t="shared" si="127"/>
        <v>Energy</v>
      </c>
      <c r="DM889">
        <f t="shared" si="128"/>
        <v>0</v>
      </c>
      <c r="DN889">
        <f t="shared" si="129"/>
        <v>0</v>
      </c>
      <c r="DO889">
        <v>0</v>
      </c>
      <c r="DP889">
        <v>1</v>
      </c>
      <c r="DQ889" t="s">
        <v>305</v>
      </c>
      <c r="DR889">
        <v>0</v>
      </c>
      <c r="DS889">
        <v>0</v>
      </c>
      <c r="DT889">
        <f t="shared" si="160"/>
        <v>1</v>
      </c>
      <c r="DU889" s="143" t="str">
        <f t="shared" si="149"/>
        <v>external DF used</v>
      </c>
      <c r="DV889">
        <v>0</v>
      </c>
      <c r="DW889">
        <v>1</v>
      </c>
      <c r="DX889">
        <v>1</v>
      </c>
      <c r="DY889">
        <v>1</v>
      </c>
      <c r="DZ889">
        <v>1</v>
      </c>
      <c r="EA889" s="143">
        <v>0</v>
      </c>
      <c r="EB889">
        <v>1</v>
      </c>
      <c r="EC889">
        <v>1</v>
      </c>
      <c r="ED889">
        <v>0</v>
      </c>
      <c r="EE889">
        <v>1</v>
      </c>
      <c r="EF889">
        <v>1</v>
      </c>
      <c r="EG889">
        <v>1</v>
      </c>
      <c r="EH889">
        <v>0</v>
      </c>
      <c r="EI889" s="2">
        <v>0</v>
      </c>
      <c r="EK889" t="str">
        <f t="shared" si="130"/>
        <v>Whole sector</v>
      </c>
      <c r="EL889" t="str">
        <f t="shared" si="131"/>
        <v/>
      </c>
      <c r="EM889" s="2" t="str">
        <f t="shared" si="146"/>
        <v/>
      </c>
      <c r="EP889" t="str">
        <f>IF(ISNUMBER(BU889),IF(ABS(BU889-[2]QC_indicators!$B$2)&gt;3*[2]QC_indicators!$C$2,"C ratio",IF(ISNUMBER(BY889),IF(ABS(BY889-[2]QC_indicators!$B$1)&gt;3*[2]QC_indicators!$C$1,"DF","no"))),IF(ISNUMBER(BY889),IF(ABS(BY889-[2]QC_indicators!$B$1)&gt;3*[2]QC_indicators!$C$1,"DF","no")))</f>
        <v>no</v>
      </c>
      <c r="EQ889" t="s">
        <v>287</v>
      </c>
      <c r="ET889" s="266" t="s">
        <v>3275</v>
      </c>
    </row>
    <row r="890" spans="1:150" ht="18" hidden="1" customHeight="1">
      <c r="A890" s="1" t="s">
        <v>266</v>
      </c>
      <c r="B890" t="s">
        <v>267</v>
      </c>
      <c r="C890" t="s">
        <v>268</v>
      </c>
      <c r="D890" t="s">
        <v>269</v>
      </c>
      <c r="E890" t="s">
        <v>270</v>
      </c>
      <c r="F890" t="s">
        <v>271</v>
      </c>
      <c r="G890" t="s">
        <v>272</v>
      </c>
      <c r="H890" t="s">
        <v>255</v>
      </c>
      <c r="I890">
        <v>2022</v>
      </c>
      <c r="J890">
        <v>0</v>
      </c>
      <c r="K890" t="s">
        <v>273</v>
      </c>
      <c r="M890" t="str">
        <f t="shared" si="153"/>
        <v>Aryapratama_2022</v>
      </c>
      <c r="N890" t="s">
        <v>223</v>
      </c>
      <c r="O890" s="145" t="s">
        <v>275</v>
      </c>
      <c r="Q890" t="s">
        <v>225</v>
      </c>
      <c r="R890" s="264" t="s">
        <v>224</v>
      </c>
      <c r="S890" s="265" t="s">
        <v>3107</v>
      </c>
      <c r="T890" t="s">
        <v>329</v>
      </c>
      <c r="U890" t="s">
        <v>321</v>
      </c>
      <c r="V890">
        <v>0</v>
      </c>
      <c r="W890">
        <v>0</v>
      </c>
      <c r="X890">
        <v>0</v>
      </c>
      <c r="Y890">
        <v>0</v>
      </c>
      <c r="Z890">
        <v>0</v>
      </c>
      <c r="AA890">
        <v>0</v>
      </c>
      <c r="AB890">
        <v>0</v>
      </c>
      <c r="AC890">
        <v>0</v>
      </c>
      <c r="AD890">
        <v>0</v>
      </c>
      <c r="AE890">
        <v>0</v>
      </c>
      <c r="AF890">
        <v>0</v>
      </c>
      <c r="AG890">
        <v>0</v>
      </c>
      <c r="AH890">
        <v>0</v>
      </c>
      <c r="AI890">
        <v>0</v>
      </c>
      <c r="AJ890">
        <v>0</v>
      </c>
      <c r="AK890">
        <v>1</v>
      </c>
      <c r="AL890">
        <v>0</v>
      </c>
      <c r="AM890">
        <v>0</v>
      </c>
      <c r="AN890">
        <v>0</v>
      </c>
      <c r="AO890">
        <v>0</v>
      </c>
      <c r="AP890">
        <v>0</v>
      </c>
      <c r="AQ890">
        <v>0</v>
      </c>
      <c r="AR890">
        <v>0</v>
      </c>
      <c r="AS890">
        <v>0</v>
      </c>
      <c r="AT890">
        <v>0</v>
      </c>
      <c r="AU890">
        <v>0</v>
      </c>
      <c r="AV890">
        <v>0</v>
      </c>
      <c r="AW890">
        <v>0</v>
      </c>
      <c r="AX890" s="141">
        <f t="shared" si="116"/>
        <v>1</v>
      </c>
      <c r="AY890" s="141">
        <f t="shared" si="137"/>
        <v>1</v>
      </c>
      <c r="AZ890">
        <f t="shared" si="138"/>
        <v>0</v>
      </c>
      <c r="BA890">
        <f t="shared" si="139"/>
        <v>0</v>
      </c>
      <c r="BB890">
        <f t="shared" si="140"/>
        <v>1</v>
      </c>
      <c r="BC890">
        <f t="shared" si="141"/>
        <v>0</v>
      </c>
      <c r="BD890">
        <f t="shared" si="142"/>
        <v>0</v>
      </c>
      <c r="BE890" t="str">
        <f t="array" ref="BE890">IF(AY890=1,INDEX($V$7:$AL$7,MATCH(TRUE,INDEX($V890:$AW890&lt;&gt;0,),0)),IF(AY890=0,INDEX($AM$7:$AW$7,MATCH(1,$AM890:$AW890,0)),IF(BF890="Multiple strategies","mixed drivers",IF(BF890="Supply chain","multiple supply","multiple silviculture"))))</f>
        <v>technologies/design switch</v>
      </c>
      <c r="BF890" s="2" t="str" cm="1">
        <f t="array" ref="BF890">IF(COUNTIF(AZ890:BB890,"&lt;&gt;0")=1,INDEX($V$4:$AW$4,MATCH(TRUE,INDEX($V890:$AW890&lt;&gt;0,),0)),IF(COUNTIF(AZ890:BB890,"&lt;&gt;0")=0,INDEX($AM$4:$AW$4,MATCH(1,$AM890:$AW890,0)),"Multiple strategies"))</f>
        <v>Technology</v>
      </c>
      <c r="BG890" s="1" t="s">
        <v>230</v>
      </c>
      <c r="BH890" t="s">
        <v>278</v>
      </c>
      <c r="BI890" s="266" t="s">
        <v>3108</v>
      </c>
      <c r="BJ890" t="s">
        <v>279</v>
      </c>
      <c r="BK890">
        <v>0</v>
      </c>
      <c r="BL890">
        <v>180.77283018867931</v>
      </c>
      <c r="BN890">
        <f t="shared" si="125"/>
        <v>180.77283018867931</v>
      </c>
      <c r="BO890">
        <f t="shared" si="164"/>
        <v>784.94498562170781</v>
      </c>
      <c r="BP890" t="s">
        <v>233</v>
      </c>
      <c r="BQ890" s="153" t="s">
        <v>3109</v>
      </c>
      <c r="BR890" t="s">
        <v>280</v>
      </c>
      <c r="BS890">
        <v>-492.14170694588267</v>
      </c>
      <c r="BT890">
        <v>-683.46368424028469</v>
      </c>
      <c r="BU890" s="144">
        <f t="shared" si="165"/>
        <v>1.3887538377547837</v>
      </c>
      <c r="BV890">
        <f t="shared" si="166"/>
        <v>-191.32197729440202</v>
      </c>
      <c r="BX890">
        <f t="shared" si="161"/>
        <v>-191.32197729440202</v>
      </c>
      <c r="BY890">
        <f t="shared" si="143"/>
        <v>-0.24373934581270987</v>
      </c>
      <c r="BZ890">
        <v>0</v>
      </c>
      <c r="CA890">
        <v>0</v>
      </c>
      <c r="CB890">
        <v>0</v>
      </c>
      <c r="CC890">
        <v>0</v>
      </c>
      <c r="CD890">
        <v>0</v>
      </c>
      <c r="CE890">
        <v>0</v>
      </c>
      <c r="CF890">
        <v>0</v>
      </c>
      <c r="CG890">
        <v>0</v>
      </c>
      <c r="CH890">
        <v>0</v>
      </c>
      <c r="CI890">
        <v>0</v>
      </c>
      <c r="CJ890">
        <v>0</v>
      </c>
      <c r="CK890">
        <v>0</v>
      </c>
      <c r="CL890">
        <v>0</v>
      </c>
      <c r="CM890">
        <v>0</v>
      </c>
      <c r="CN890" t="str">
        <f t="shared" si="157"/>
        <v>refOK</v>
      </c>
      <c r="CO890">
        <f t="shared" si="162"/>
        <v>0</v>
      </c>
      <c r="CP890">
        <f t="shared" si="163"/>
        <v>180.77283018867931</v>
      </c>
      <c r="CQ890">
        <f t="shared" si="124"/>
        <v>784.94498562170781</v>
      </c>
      <c r="CR890">
        <f t="shared" si="158"/>
        <v>-492.14170694588267</v>
      </c>
      <c r="CS890">
        <f t="shared" si="159"/>
        <v>-683.46368424028469</v>
      </c>
      <c r="CT890">
        <f t="shared" si="121"/>
        <v>-191.32197729440202</v>
      </c>
      <c r="CU890">
        <f t="shared" si="156"/>
        <v>-0.24373934581270987</v>
      </c>
      <c r="CV890" s="2">
        <f t="shared" si="122"/>
        <v>-0.38875383775478378</v>
      </c>
      <c r="CW890" s="1" t="s">
        <v>235</v>
      </c>
      <c r="CX890" t="str">
        <f t="shared" si="144"/>
        <v>loc</v>
      </c>
      <c r="CY890" t="s">
        <v>281</v>
      </c>
      <c r="DB890">
        <v>50</v>
      </c>
      <c r="DC890" t="str">
        <f t="shared" si="145"/>
        <v>31-70</v>
      </c>
      <c r="DD890">
        <v>0</v>
      </c>
      <c r="DE890">
        <v>1</v>
      </c>
      <c r="DF890">
        <v>0</v>
      </c>
      <c r="DG890">
        <v>0</v>
      </c>
      <c r="DI890">
        <f t="shared" si="154"/>
        <v>1</v>
      </c>
      <c r="DJ890" t="str">
        <f t="shared" si="155"/>
        <v>EnergyInput</v>
      </c>
      <c r="DK890">
        <f t="shared" si="126"/>
        <v>0</v>
      </c>
      <c r="DL890" t="str">
        <f t="shared" si="127"/>
        <v>Energy</v>
      </c>
      <c r="DM890">
        <f t="shared" si="128"/>
        <v>0</v>
      </c>
      <c r="DN890">
        <f t="shared" si="129"/>
        <v>0</v>
      </c>
      <c r="DO890">
        <v>0</v>
      </c>
      <c r="DP890">
        <v>1</v>
      </c>
      <c r="DQ890" t="s">
        <v>305</v>
      </c>
      <c r="DR890">
        <v>0</v>
      </c>
      <c r="DS890">
        <v>0</v>
      </c>
      <c r="DT890">
        <f t="shared" si="160"/>
        <v>1</v>
      </c>
      <c r="DU890" s="143" t="str">
        <f t="shared" si="149"/>
        <v>external DF used</v>
      </c>
      <c r="DV890">
        <v>0</v>
      </c>
      <c r="DW890">
        <v>1</v>
      </c>
      <c r="DX890">
        <v>1</v>
      </c>
      <c r="DY890">
        <v>1</v>
      </c>
      <c r="DZ890">
        <v>1</v>
      </c>
      <c r="EA890" s="143">
        <v>0</v>
      </c>
      <c r="EB890">
        <v>1</v>
      </c>
      <c r="EC890">
        <v>1</v>
      </c>
      <c r="ED890">
        <v>0</v>
      </c>
      <c r="EE890">
        <v>1</v>
      </c>
      <c r="EF890">
        <v>1</v>
      </c>
      <c r="EG890">
        <v>1</v>
      </c>
      <c r="EH890">
        <v>0</v>
      </c>
      <c r="EI890" s="2">
        <v>0</v>
      </c>
      <c r="EK890" t="str">
        <f t="shared" si="130"/>
        <v>Whole sector</v>
      </c>
      <c r="EL890" t="str">
        <f t="shared" si="131"/>
        <v/>
      </c>
      <c r="EM890" s="2" t="str">
        <f t="shared" si="146"/>
        <v/>
      </c>
      <c r="EP890" t="str">
        <f>IF(ISNUMBER(BU890),IF(ABS(BU890-[2]QC_indicators!$B$2)&gt;3*[2]QC_indicators!$C$2,"C ratio",IF(ISNUMBER(BY890),IF(ABS(BY890-[2]QC_indicators!$B$1)&gt;3*[2]QC_indicators!$C$1,"DF","no"))),IF(ISNUMBER(BY890),IF(ABS(BY890-[2]QC_indicators!$B$1)&gt;3*[2]QC_indicators!$C$1,"DF","no")))</f>
        <v>no</v>
      </c>
      <c r="EQ890" t="s">
        <v>287</v>
      </c>
      <c r="ET890" s="266" t="s">
        <v>3275</v>
      </c>
    </row>
    <row r="891" spans="1:150" ht="15" hidden="1" customHeight="1">
      <c r="A891" s="1" t="s">
        <v>266</v>
      </c>
      <c r="B891" t="s">
        <v>267</v>
      </c>
      <c r="C891" t="s">
        <v>268</v>
      </c>
      <c r="D891" t="s">
        <v>269</v>
      </c>
      <c r="E891" t="s">
        <v>270</v>
      </c>
      <c r="F891" t="s">
        <v>271</v>
      </c>
      <c r="G891" t="s">
        <v>272</v>
      </c>
      <c r="H891" t="s">
        <v>255</v>
      </c>
      <c r="I891">
        <v>2022</v>
      </c>
      <c r="J891">
        <v>0</v>
      </c>
      <c r="K891" t="s">
        <v>273</v>
      </c>
      <c r="M891" t="str">
        <f t="shared" si="153"/>
        <v>Aryapratama_2022</v>
      </c>
      <c r="N891" t="s">
        <v>223</v>
      </c>
      <c r="O891" s="145" t="s">
        <v>275</v>
      </c>
      <c r="Q891" t="s">
        <v>225</v>
      </c>
      <c r="R891" s="264" t="s">
        <v>224</v>
      </c>
      <c r="S891" s="265" t="s">
        <v>3107</v>
      </c>
      <c r="T891" t="s">
        <v>330</v>
      </c>
      <c r="U891" t="s">
        <v>331</v>
      </c>
      <c r="V891">
        <v>0</v>
      </c>
      <c r="W891">
        <v>0</v>
      </c>
      <c r="X891">
        <v>0</v>
      </c>
      <c r="Y891">
        <v>0</v>
      </c>
      <c r="Z891">
        <v>0</v>
      </c>
      <c r="AA891">
        <v>0</v>
      </c>
      <c r="AB891">
        <v>0</v>
      </c>
      <c r="AC891">
        <v>0</v>
      </c>
      <c r="AD891">
        <v>0</v>
      </c>
      <c r="AE891">
        <v>0</v>
      </c>
      <c r="AF891">
        <v>0</v>
      </c>
      <c r="AG891">
        <v>0</v>
      </c>
      <c r="AH891">
        <v>0</v>
      </c>
      <c r="AI891">
        <v>0</v>
      </c>
      <c r="AJ891">
        <v>0</v>
      </c>
      <c r="AK891">
        <v>1</v>
      </c>
      <c r="AL891">
        <v>0</v>
      </c>
      <c r="AM891">
        <v>0</v>
      </c>
      <c r="AN891">
        <v>0</v>
      </c>
      <c r="AO891">
        <v>0</v>
      </c>
      <c r="AP891">
        <v>0</v>
      </c>
      <c r="AQ891">
        <v>0</v>
      </c>
      <c r="AR891">
        <v>0</v>
      </c>
      <c r="AS891">
        <v>0</v>
      </c>
      <c r="AT891">
        <v>0</v>
      </c>
      <c r="AU891">
        <v>0</v>
      </c>
      <c r="AV891">
        <v>0</v>
      </c>
      <c r="AW891">
        <v>0</v>
      </c>
      <c r="AX891" s="141">
        <f t="shared" ref="AX891:AX954" si="167">COUNTIF(V891:AW891,"&lt;&gt;0")</f>
        <v>1</v>
      </c>
      <c r="AY891" s="141">
        <f t="shared" si="137"/>
        <v>1</v>
      </c>
      <c r="AZ891">
        <f t="shared" si="138"/>
        <v>0</v>
      </c>
      <c r="BA891">
        <f t="shared" si="139"/>
        <v>0</v>
      </c>
      <c r="BB891">
        <f t="shared" si="140"/>
        <v>1</v>
      </c>
      <c r="BC891">
        <f t="shared" si="141"/>
        <v>0</v>
      </c>
      <c r="BD891">
        <f t="shared" si="142"/>
        <v>0</v>
      </c>
      <c r="BE891" t="str">
        <f t="array" ref="BE891">IF(AY891=1,INDEX($V$7:$AL$7,MATCH(TRUE,INDEX($V891:$AW891&lt;&gt;0,),0)),IF(AY891=0,INDEX($AM$7:$AW$7,MATCH(1,$AM891:$AW891,0)),IF(BF891="Multiple strategies","mixed drivers",IF(BF891="Supply chain","multiple supply","multiple silviculture"))))</f>
        <v>technologies/design switch</v>
      </c>
      <c r="BF891" s="2" t="str" cm="1">
        <f t="array" ref="BF891">IF(COUNTIF(AZ891:BB891,"&lt;&gt;0")=1,INDEX($V$4:$AW$4,MATCH(TRUE,INDEX($V891:$AW891&lt;&gt;0,),0)),IF(COUNTIF(AZ891:BB891,"&lt;&gt;0")=0,INDEX($AM$4:$AW$4,MATCH(1,$AM891:$AW891,0)),"Multiple strategies"))</f>
        <v>Technology</v>
      </c>
      <c r="BG891" s="1" t="s">
        <v>230</v>
      </c>
      <c r="BH891" t="s">
        <v>278</v>
      </c>
      <c r="BI891" s="266" t="s">
        <v>3108</v>
      </c>
      <c r="BJ891" t="s">
        <v>279</v>
      </c>
      <c r="BK891">
        <v>0</v>
      </c>
      <c r="BL891">
        <v>228.87547169811316</v>
      </c>
      <c r="BN891">
        <f t="shared" si="125"/>
        <v>228.87547169811316</v>
      </c>
      <c r="BO891">
        <f t="shared" si="164"/>
        <v>993.81446677426482</v>
      </c>
      <c r="BP891" t="s">
        <v>233</v>
      </c>
      <c r="BQ891" s="153" t="s">
        <v>3109</v>
      </c>
      <c r="BR891" t="s">
        <v>280</v>
      </c>
      <c r="BS891">
        <v>-574.00406694837011</v>
      </c>
      <c r="BT891">
        <v>-811.16014590587781</v>
      </c>
      <c r="BU891" s="144">
        <f t="shared" si="165"/>
        <v>1.4131609732633466</v>
      </c>
      <c r="BV891">
        <f t="shared" si="166"/>
        <v>-237.1560789575077</v>
      </c>
      <c r="BX891">
        <f t="shared" si="161"/>
        <v>-237.1560789575077</v>
      </c>
      <c r="BY891">
        <f t="shared" si="143"/>
        <v>-0.23863214602547678</v>
      </c>
      <c r="BZ891">
        <v>0</v>
      </c>
      <c r="CA891">
        <v>0</v>
      </c>
      <c r="CB891">
        <v>0</v>
      </c>
      <c r="CC891">
        <v>0</v>
      </c>
      <c r="CD891">
        <v>0</v>
      </c>
      <c r="CE891">
        <v>0</v>
      </c>
      <c r="CF891">
        <v>0</v>
      </c>
      <c r="CG891">
        <v>0</v>
      </c>
      <c r="CH891">
        <v>0</v>
      </c>
      <c r="CI891">
        <v>0</v>
      </c>
      <c r="CJ891">
        <v>0</v>
      </c>
      <c r="CK891">
        <v>0</v>
      </c>
      <c r="CL891">
        <v>0</v>
      </c>
      <c r="CM891">
        <v>0</v>
      </c>
      <c r="CN891" t="str">
        <f t="shared" si="157"/>
        <v>refOK</v>
      </c>
      <c r="CO891">
        <f t="shared" si="162"/>
        <v>0</v>
      </c>
      <c r="CP891">
        <f t="shared" si="163"/>
        <v>228.87547169811316</v>
      </c>
      <c r="CQ891">
        <f t="shared" si="124"/>
        <v>993.81446677426482</v>
      </c>
      <c r="CR891">
        <f t="shared" si="158"/>
        <v>-574.00406694837011</v>
      </c>
      <c r="CS891">
        <f t="shared" si="159"/>
        <v>-811.16014590587781</v>
      </c>
      <c r="CT891">
        <f t="shared" si="121"/>
        <v>-237.1560789575077</v>
      </c>
      <c r="CU891">
        <f t="shared" si="156"/>
        <v>-0.23863214602547678</v>
      </c>
      <c r="CV891" s="2">
        <f t="shared" si="122"/>
        <v>-0.4131609732633465</v>
      </c>
      <c r="CW891" s="1" t="s">
        <v>235</v>
      </c>
      <c r="CX891" t="str">
        <f t="shared" si="144"/>
        <v>loc</v>
      </c>
      <c r="CY891" t="s">
        <v>281</v>
      </c>
      <c r="DB891">
        <v>50</v>
      </c>
      <c r="DC891" t="str">
        <f t="shared" si="145"/>
        <v>31-70</v>
      </c>
      <c r="DD891">
        <v>0</v>
      </c>
      <c r="DE891">
        <v>1</v>
      </c>
      <c r="DF891">
        <v>0</v>
      </c>
      <c r="DG891">
        <v>0</v>
      </c>
      <c r="DI891">
        <f t="shared" si="154"/>
        <v>1</v>
      </c>
      <c r="DJ891" t="str">
        <f t="shared" si="155"/>
        <v>EnergyInput</v>
      </c>
      <c r="DK891">
        <f t="shared" si="126"/>
        <v>0</v>
      </c>
      <c r="DL891" t="str">
        <f t="shared" si="127"/>
        <v>Energy</v>
      </c>
      <c r="DM891">
        <f t="shared" si="128"/>
        <v>0</v>
      </c>
      <c r="DN891">
        <f t="shared" si="129"/>
        <v>0</v>
      </c>
      <c r="DO891">
        <v>0</v>
      </c>
      <c r="DP891">
        <v>1</v>
      </c>
      <c r="DQ891" t="s">
        <v>305</v>
      </c>
      <c r="DR891">
        <v>0</v>
      </c>
      <c r="DS891">
        <v>0</v>
      </c>
      <c r="DT891">
        <f t="shared" si="160"/>
        <v>1</v>
      </c>
      <c r="DU891" s="143" t="str">
        <f t="shared" si="149"/>
        <v>external DF used</v>
      </c>
      <c r="DV891">
        <v>0</v>
      </c>
      <c r="DW891">
        <v>1</v>
      </c>
      <c r="DX891">
        <v>1</v>
      </c>
      <c r="DY891">
        <v>1</v>
      </c>
      <c r="DZ891">
        <v>1</v>
      </c>
      <c r="EA891" s="143">
        <v>0</v>
      </c>
      <c r="EB891">
        <v>1</v>
      </c>
      <c r="EC891">
        <v>1</v>
      </c>
      <c r="ED891">
        <v>0</v>
      </c>
      <c r="EE891">
        <v>1</v>
      </c>
      <c r="EF891">
        <v>1</v>
      </c>
      <c r="EG891">
        <v>1</v>
      </c>
      <c r="EH891">
        <v>0</v>
      </c>
      <c r="EI891" s="2">
        <v>0</v>
      </c>
      <c r="EK891" t="str">
        <f t="shared" si="130"/>
        <v>Whole sector</v>
      </c>
      <c r="EL891" t="str">
        <f t="shared" si="131"/>
        <v/>
      </c>
      <c r="EM891" s="2" t="str">
        <f t="shared" si="146"/>
        <v/>
      </c>
      <c r="EP891" t="str">
        <f>IF(ISNUMBER(BU891),IF(ABS(BU891-[2]QC_indicators!$B$2)&gt;3*[2]QC_indicators!$C$2,"C ratio",IF(ISNUMBER(BY891),IF(ABS(BY891-[2]QC_indicators!$B$1)&gt;3*[2]QC_indicators!$C$1,"DF","no"))),IF(ISNUMBER(BY891),IF(ABS(BY891-[2]QC_indicators!$B$1)&gt;3*[2]QC_indicators!$C$1,"DF","no")))</f>
        <v>no</v>
      </c>
      <c r="EQ891" t="s">
        <v>287</v>
      </c>
      <c r="ET891" s="266" t="s">
        <v>3275</v>
      </c>
    </row>
    <row r="892" spans="1:150" ht="15" hidden="1" customHeight="1">
      <c r="A892" s="1" t="s">
        <v>266</v>
      </c>
      <c r="B892" t="s">
        <v>267</v>
      </c>
      <c r="C892" t="s">
        <v>268</v>
      </c>
      <c r="D892" t="s">
        <v>269</v>
      </c>
      <c r="E892" t="s">
        <v>270</v>
      </c>
      <c r="F892" t="s">
        <v>271</v>
      </c>
      <c r="G892" t="s">
        <v>272</v>
      </c>
      <c r="H892" t="s">
        <v>255</v>
      </c>
      <c r="I892">
        <v>2022</v>
      </c>
      <c r="J892">
        <v>0</v>
      </c>
      <c r="K892" t="s">
        <v>273</v>
      </c>
      <c r="M892" t="str">
        <f t="shared" si="153"/>
        <v>Aryapratama_2022</v>
      </c>
      <c r="N892" t="s">
        <v>223</v>
      </c>
      <c r="O892" s="145" t="s">
        <v>275</v>
      </c>
      <c r="Q892" t="s">
        <v>225</v>
      </c>
      <c r="R892" s="264" t="s">
        <v>224</v>
      </c>
      <c r="S892" s="265" t="s">
        <v>3107</v>
      </c>
      <c r="T892" t="s">
        <v>332</v>
      </c>
      <c r="U892" t="s">
        <v>333</v>
      </c>
      <c r="V892">
        <v>0</v>
      </c>
      <c r="W892">
        <v>0</v>
      </c>
      <c r="X892">
        <v>0</v>
      </c>
      <c r="Y892">
        <v>0</v>
      </c>
      <c r="Z892">
        <v>0</v>
      </c>
      <c r="AA892">
        <v>0</v>
      </c>
      <c r="AB892">
        <v>0</v>
      </c>
      <c r="AC892">
        <v>0</v>
      </c>
      <c r="AD892">
        <v>0</v>
      </c>
      <c r="AE892">
        <v>0</v>
      </c>
      <c r="AF892">
        <v>0</v>
      </c>
      <c r="AG892">
        <v>0</v>
      </c>
      <c r="AH892">
        <v>0</v>
      </c>
      <c r="AI892">
        <v>0</v>
      </c>
      <c r="AJ892">
        <v>0</v>
      </c>
      <c r="AK892">
        <v>1</v>
      </c>
      <c r="AL892">
        <v>0</v>
      </c>
      <c r="AM892">
        <v>0</v>
      </c>
      <c r="AN892">
        <v>0</v>
      </c>
      <c r="AO892">
        <v>0</v>
      </c>
      <c r="AP892">
        <v>0</v>
      </c>
      <c r="AQ892">
        <v>0</v>
      </c>
      <c r="AR892">
        <v>0</v>
      </c>
      <c r="AS892">
        <v>0</v>
      </c>
      <c r="AT892">
        <v>0</v>
      </c>
      <c r="AU892">
        <v>0</v>
      </c>
      <c r="AV892">
        <v>0</v>
      </c>
      <c r="AW892">
        <v>0</v>
      </c>
      <c r="AX892" s="141">
        <f t="shared" si="167"/>
        <v>1</v>
      </c>
      <c r="AY892" s="141">
        <f t="shared" si="137"/>
        <v>1</v>
      </c>
      <c r="AZ892">
        <f t="shared" si="138"/>
        <v>0</v>
      </c>
      <c r="BA892">
        <f t="shared" si="139"/>
        <v>0</v>
      </c>
      <c r="BB892">
        <f t="shared" si="140"/>
        <v>1</v>
      </c>
      <c r="BC892">
        <f t="shared" si="141"/>
        <v>0</v>
      </c>
      <c r="BD892">
        <f t="shared" si="142"/>
        <v>0</v>
      </c>
      <c r="BE892" t="str">
        <f t="array" ref="BE892">IF(AY892=1,INDEX($V$7:$AL$7,MATCH(TRUE,INDEX($V892:$AW892&lt;&gt;0,),0)),IF(AY892=0,INDEX($AM$7:$AW$7,MATCH(1,$AM892:$AW892,0)),IF(BF892="Multiple strategies","mixed drivers",IF(BF892="Supply chain","multiple supply","multiple silviculture"))))</f>
        <v>technologies/design switch</v>
      </c>
      <c r="BF892" s="2" t="str" cm="1">
        <f t="array" ref="BF892">IF(COUNTIF(AZ892:BB892,"&lt;&gt;0")=1,INDEX($V$4:$AW$4,MATCH(TRUE,INDEX($V892:$AW892&lt;&gt;0,),0)),IF(COUNTIF(AZ892:BB892,"&lt;&gt;0")=0,INDEX($AM$4:$AW$4,MATCH(1,$AM892:$AW892,0)),"Multiple strategies"))</f>
        <v>Technology</v>
      </c>
      <c r="BG892" s="1" t="s">
        <v>230</v>
      </c>
      <c r="BH892" t="s">
        <v>278</v>
      </c>
      <c r="BI892" s="266" t="s">
        <v>3108</v>
      </c>
      <c r="BJ892" t="s">
        <v>279</v>
      </c>
      <c r="BK892">
        <v>0</v>
      </c>
      <c r="BL892">
        <v>48.102641509433973</v>
      </c>
      <c r="BN892">
        <f t="shared" si="125"/>
        <v>48.102641509433973</v>
      </c>
      <c r="BO892">
        <f t="shared" si="164"/>
        <v>208.86948115255743</v>
      </c>
      <c r="BP892" t="s">
        <v>233</v>
      </c>
      <c r="BQ892" s="153" t="s">
        <v>3109</v>
      </c>
      <c r="BR892" t="s">
        <v>280</v>
      </c>
      <c r="BS892">
        <v>-79.816497751704446</v>
      </c>
      <c r="BT892">
        <v>69.07494766906801</v>
      </c>
      <c r="BU892" s="144">
        <f t="shared" si="165"/>
        <v>-0.86542193174083415</v>
      </c>
      <c r="BV892">
        <f t="shared" si="166"/>
        <v>148.89144542077247</v>
      </c>
      <c r="BX892">
        <f t="shared" si="161"/>
        <v>148.89144542077247</v>
      </c>
      <c r="BY892">
        <f t="shared" si="143"/>
        <v>0.71284442609412502</v>
      </c>
      <c r="BZ892">
        <v>0</v>
      </c>
      <c r="CA892">
        <v>0</v>
      </c>
      <c r="CB892">
        <v>0</v>
      </c>
      <c r="CC892">
        <v>0</v>
      </c>
      <c r="CD892">
        <v>0</v>
      </c>
      <c r="CE892">
        <v>0</v>
      </c>
      <c r="CF892">
        <v>0</v>
      </c>
      <c r="CG892">
        <v>0</v>
      </c>
      <c r="CH892">
        <v>0</v>
      </c>
      <c r="CI892">
        <v>0</v>
      </c>
      <c r="CJ892">
        <v>0</v>
      </c>
      <c r="CK892">
        <v>0</v>
      </c>
      <c r="CL892">
        <v>0</v>
      </c>
      <c r="CM892">
        <v>0</v>
      </c>
      <c r="CN892" t="str">
        <f t="shared" si="157"/>
        <v>refOK</v>
      </c>
      <c r="CO892">
        <f t="shared" si="162"/>
        <v>0</v>
      </c>
      <c r="CP892">
        <f t="shared" si="163"/>
        <v>48.102641509433973</v>
      </c>
      <c r="CQ892">
        <f t="shared" si="124"/>
        <v>208.86948115255743</v>
      </c>
      <c r="CR892">
        <f t="shared" si="158"/>
        <v>-79.816497751704446</v>
      </c>
      <c r="CS892">
        <f t="shared" si="159"/>
        <v>69.07494766906801</v>
      </c>
      <c r="CT892">
        <f t="shared" ref="CT892:CT955" si="168">IF($CN892="refNeedCorrection",-BX892,BX892)*IF($BP892="Emissions positive",-1,1)</f>
        <v>148.89144542077247</v>
      </c>
      <c r="CU892">
        <f t="shared" si="156"/>
        <v>0.71284442609412502</v>
      </c>
      <c r="CV892" s="2">
        <f t="shared" ref="CV892:CV955" si="169">IFERROR((CS892-CR892)/ABS(CR892),"")</f>
        <v>1.8654219317408343</v>
      </c>
      <c r="CW892" s="1" t="s">
        <v>235</v>
      </c>
      <c r="CX892" t="str">
        <f t="shared" si="144"/>
        <v>loc</v>
      </c>
      <c r="CY892" t="s">
        <v>281</v>
      </c>
      <c r="DB892">
        <v>50</v>
      </c>
      <c r="DC892" t="str">
        <f t="shared" si="145"/>
        <v>31-70</v>
      </c>
      <c r="DD892">
        <v>0</v>
      </c>
      <c r="DE892">
        <v>1</v>
      </c>
      <c r="DF892">
        <v>0</v>
      </c>
      <c r="DG892">
        <v>0</v>
      </c>
      <c r="DI892">
        <f t="shared" si="154"/>
        <v>1</v>
      </c>
      <c r="DJ892" t="str">
        <f t="shared" si="155"/>
        <v>EnergyInput</v>
      </c>
      <c r="DK892">
        <f t="shared" si="126"/>
        <v>0</v>
      </c>
      <c r="DL892" t="str">
        <f t="shared" si="127"/>
        <v>Energy</v>
      </c>
      <c r="DM892">
        <f t="shared" si="128"/>
        <v>0</v>
      </c>
      <c r="DN892">
        <f t="shared" si="129"/>
        <v>0</v>
      </c>
      <c r="DO892">
        <v>0</v>
      </c>
      <c r="DP892">
        <v>1</v>
      </c>
      <c r="DQ892" t="s">
        <v>305</v>
      </c>
      <c r="DR892">
        <v>0</v>
      </c>
      <c r="DS892">
        <v>0</v>
      </c>
      <c r="DT892">
        <f t="shared" si="160"/>
        <v>1</v>
      </c>
      <c r="DU892" s="143" t="str">
        <f t="shared" si="149"/>
        <v>external DF used</v>
      </c>
      <c r="DV892">
        <v>0</v>
      </c>
      <c r="DW892">
        <v>1</v>
      </c>
      <c r="DX892">
        <v>1</v>
      </c>
      <c r="DY892">
        <v>1</v>
      </c>
      <c r="DZ892">
        <v>1</v>
      </c>
      <c r="EA892" s="143">
        <v>0</v>
      </c>
      <c r="EB892">
        <v>1</v>
      </c>
      <c r="EC892">
        <v>1</v>
      </c>
      <c r="ED892">
        <v>0</v>
      </c>
      <c r="EE892">
        <v>1</v>
      </c>
      <c r="EF892">
        <v>1</v>
      </c>
      <c r="EG892">
        <v>1</v>
      </c>
      <c r="EH892">
        <v>0</v>
      </c>
      <c r="EI892" s="2">
        <v>0</v>
      </c>
      <c r="EK892" t="str">
        <f t="shared" si="130"/>
        <v>Whole sector</v>
      </c>
      <c r="EL892" t="str">
        <f t="shared" si="131"/>
        <v/>
      </c>
      <c r="EM892" s="2" t="str">
        <f t="shared" si="146"/>
        <v/>
      </c>
      <c r="EP892" t="str">
        <f>IF(ISNUMBER(BU892),IF(ABS(BU892-[2]QC_indicators!$B$2)&gt;3*[2]QC_indicators!$C$2,"C ratio",IF(ISNUMBER(BY892),IF(ABS(BY892-[2]QC_indicators!$B$1)&gt;3*[2]QC_indicators!$C$1,"DF","no"))),IF(ISNUMBER(BY892),IF(ABS(BY892-[2]QC_indicators!$B$1)&gt;3*[2]QC_indicators!$C$1,"DF","no")))</f>
        <v>no</v>
      </c>
      <c r="EQ892" t="s">
        <v>287</v>
      </c>
      <c r="ET892" s="266" t="s">
        <v>3275</v>
      </c>
    </row>
    <row r="893" spans="1:150" ht="15" hidden="1" customHeight="1">
      <c r="A893" s="1" t="s">
        <v>266</v>
      </c>
      <c r="B893" t="s">
        <v>267</v>
      </c>
      <c r="C893" t="s">
        <v>268</v>
      </c>
      <c r="D893" t="s">
        <v>269</v>
      </c>
      <c r="E893" t="s">
        <v>270</v>
      </c>
      <c r="F893" t="s">
        <v>271</v>
      </c>
      <c r="G893" t="s">
        <v>272</v>
      </c>
      <c r="H893" t="s">
        <v>255</v>
      </c>
      <c r="I893">
        <v>2022</v>
      </c>
      <c r="J893">
        <v>0</v>
      </c>
      <c r="K893" t="s">
        <v>273</v>
      </c>
      <c r="M893" t="str">
        <f t="shared" si="153"/>
        <v>Aryapratama_2022</v>
      </c>
      <c r="N893" t="s">
        <v>223</v>
      </c>
      <c r="O893" s="145" t="s">
        <v>275</v>
      </c>
      <c r="Q893" t="s">
        <v>225</v>
      </c>
      <c r="R893" s="264" t="s">
        <v>224</v>
      </c>
      <c r="S893" s="265" t="s">
        <v>3107</v>
      </c>
      <c r="T893" t="s">
        <v>292</v>
      </c>
      <c r="U893" t="s">
        <v>277</v>
      </c>
      <c r="V893">
        <v>0</v>
      </c>
      <c r="W893">
        <v>0</v>
      </c>
      <c r="X893">
        <v>0</v>
      </c>
      <c r="Y893">
        <v>0</v>
      </c>
      <c r="Z893">
        <v>0</v>
      </c>
      <c r="AA893">
        <v>0</v>
      </c>
      <c r="AB893">
        <v>0</v>
      </c>
      <c r="AC893">
        <v>0</v>
      </c>
      <c r="AD893">
        <v>0</v>
      </c>
      <c r="AE893">
        <v>0</v>
      </c>
      <c r="AF893">
        <v>0</v>
      </c>
      <c r="AG893">
        <v>0</v>
      </c>
      <c r="AH893">
        <v>0</v>
      </c>
      <c r="AI893">
        <v>0</v>
      </c>
      <c r="AJ893">
        <v>0</v>
      </c>
      <c r="AK893">
        <v>1</v>
      </c>
      <c r="AL893">
        <v>0</v>
      </c>
      <c r="AM893">
        <v>0</v>
      </c>
      <c r="AN893">
        <v>0</v>
      </c>
      <c r="AO893">
        <v>0</v>
      </c>
      <c r="AP893">
        <v>0</v>
      </c>
      <c r="AQ893">
        <v>0</v>
      </c>
      <c r="AR893">
        <v>0</v>
      </c>
      <c r="AS893">
        <v>0</v>
      </c>
      <c r="AT893">
        <v>0</v>
      </c>
      <c r="AU893">
        <v>0</v>
      </c>
      <c r="AV893">
        <v>0</v>
      </c>
      <c r="AW893">
        <v>0</v>
      </c>
      <c r="AX893" s="141">
        <f t="shared" si="167"/>
        <v>1</v>
      </c>
      <c r="AY893" s="141">
        <f t="shared" si="137"/>
        <v>1</v>
      </c>
      <c r="AZ893">
        <f t="shared" si="138"/>
        <v>0</v>
      </c>
      <c r="BA893">
        <f t="shared" si="139"/>
        <v>0</v>
      </c>
      <c r="BB893">
        <f t="shared" si="140"/>
        <v>1</v>
      </c>
      <c r="BC893">
        <f t="shared" si="141"/>
        <v>0</v>
      </c>
      <c r="BD893">
        <f t="shared" si="142"/>
        <v>0</v>
      </c>
      <c r="BE893" t="str">
        <f t="array" ref="BE893">IF(AY893=1,INDEX($V$7:$AL$7,MATCH(TRUE,INDEX($V893:$AW893&lt;&gt;0,),0)),IF(AY893=0,INDEX($AM$7:$AW$7,MATCH(1,$AM893:$AW893,0)),IF(BF893="Multiple strategies","mixed drivers",IF(BF893="Supply chain","multiple supply","multiple silviculture"))))</f>
        <v>technologies/design switch</v>
      </c>
      <c r="BF893" s="2" t="str" cm="1">
        <f t="array" ref="BF893">IF(COUNTIF(AZ893:BB893,"&lt;&gt;0")=1,INDEX($V$4:$AW$4,MATCH(TRUE,INDEX($V893:$AW893&lt;&gt;0,),0)),IF(COUNTIF(AZ893:BB893,"&lt;&gt;0")=0,INDEX($AM$4:$AW$4,MATCH(1,$AM893:$AW893,0)),"Multiple strategies"))</f>
        <v>Technology</v>
      </c>
      <c r="BG893" s="1" t="s">
        <v>230</v>
      </c>
      <c r="BH893" t="s">
        <v>278</v>
      </c>
      <c r="BI893" s="266" t="s">
        <v>3108</v>
      </c>
      <c r="BJ893" t="s">
        <v>279</v>
      </c>
      <c r="BK893">
        <v>0</v>
      </c>
      <c r="BL893">
        <v>145.3587976415094</v>
      </c>
      <c r="BN893">
        <f t="shared" si="125"/>
        <v>145.3587976415094</v>
      </c>
      <c r="BO893">
        <f t="shared" si="164"/>
        <v>631.17150517372738</v>
      </c>
      <c r="BP893" t="s">
        <v>233</v>
      </c>
      <c r="BQ893" s="153" t="s">
        <v>3109</v>
      </c>
      <c r="BR893" t="s">
        <v>280</v>
      </c>
      <c r="BS893">
        <v>-456.78692783823215</v>
      </c>
      <c r="BT893">
        <v>-654.85817268246092</v>
      </c>
      <c r="BU893" s="144">
        <f t="shared" si="165"/>
        <v>1.43361846141616</v>
      </c>
      <c r="BV893">
        <f t="shared" si="166"/>
        <v>-198.07124484422877</v>
      </c>
      <c r="BX893">
        <f t="shared" si="161"/>
        <v>-198.07124484422877</v>
      </c>
      <c r="BY893">
        <f t="shared" si="143"/>
        <v>-0.3138152518303412</v>
      </c>
      <c r="BZ893">
        <v>0</v>
      </c>
      <c r="CA893">
        <v>0</v>
      </c>
      <c r="CB893">
        <v>0</v>
      </c>
      <c r="CC893">
        <v>0</v>
      </c>
      <c r="CD893">
        <v>0</v>
      </c>
      <c r="CE893">
        <v>0</v>
      </c>
      <c r="CF893">
        <v>0</v>
      </c>
      <c r="CG893">
        <v>0</v>
      </c>
      <c r="CH893">
        <v>0</v>
      </c>
      <c r="CI893">
        <v>0</v>
      </c>
      <c r="CJ893">
        <v>0</v>
      </c>
      <c r="CK893">
        <v>0</v>
      </c>
      <c r="CL893">
        <v>0</v>
      </c>
      <c r="CM893">
        <v>0</v>
      </c>
      <c r="CN893" t="str">
        <f t="shared" si="157"/>
        <v>refOK</v>
      </c>
      <c r="CO893">
        <f t="shared" si="162"/>
        <v>0</v>
      </c>
      <c r="CP893">
        <f t="shared" si="163"/>
        <v>145.3587976415094</v>
      </c>
      <c r="CQ893">
        <f t="shared" si="124"/>
        <v>631.17150517372738</v>
      </c>
      <c r="CR893">
        <f t="shared" si="158"/>
        <v>-456.78692783823215</v>
      </c>
      <c r="CS893">
        <f t="shared" si="159"/>
        <v>-654.85817268246092</v>
      </c>
      <c r="CT893">
        <f t="shared" si="168"/>
        <v>-198.07124484422877</v>
      </c>
      <c r="CU893">
        <f t="shared" si="156"/>
        <v>-0.3138152518303412</v>
      </c>
      <c r="CV893" s="2">
        <f t="shared" si="169"/>
        <v>-0.43361846141616012</v>
      </c>
      <c r="CW893" s="1" t="s">
        <v>235</v>
      </c>
      <c r="CX893" t="str">
        <f t="shared" si="144"/>
        <v>loc</v>
      </c>
      <c r="CY893" t="s">
        <v>281</v>
      </c>
      <c r="DB893">
        <v>50</v>
      </c>
      <c r="DC893" t="str">
        <f t="shared" si="145"/>
        <v>31-70</v>
      </c>
      <c r="DD893">
        <v>0</v>
      </c>
      <c r="DE893">
        <v>0</v>
      </c>
      <c r="DF893">
        <v>0</v>
      </c>
      <c r="DG893">
        <v>1</v>
      </c>
      <c r="DI893">
        <f t="shared" si="154"/>
        <v>1</v>
      </c>
      <c r="DJ893" t="str">
        <f t="shared" si="155"/>
        <v>TimberInput</v>
      </c>
      <c r="DK893">
        <f t="shared" si="126"/>
        <v>0</v>
      </c>
      <c r="DL893">
        <f t="shared" si="127"/>
        <v>0</v>
      </c>
      <c r="DM893">
        <f t="shared" si="128"/>
        <v>0</v>
      </c>
      <c r="DN893" t="str">
        <f t="shared" si="129"/>
        <v>Timber</v>
      </c>
      <c r="DO893">
        <v>0</v>
      </c>
      <c r="DP893">
        <v>1</v>
      </c>
      <c r="DQ893">
        <v>0</v>
      </c>
      <c r="DR893" t="s">
        <v>293</v>
      </c>
      <c r="DS893">
        <v>0</v>
      </c>
      <c r="DT893">
        <f t="shared" si="160"/>
        <v>1</v>
      </c>
      <c r="DU893" s="143" t="str">
        <f t="shared" si="149"/>
        <v>external DF used</v>
      </c>
      <c r="DV893">
        <v>0</v>
      </c>
      <c r="DW893">
        <v>1</v>
      </c>
      <c r="DX893">
        <v>1</v>
      </c>
      <c r="DY893">
        <v>1</v>
      </c>
      <c r="DZ893">
        <v>1</v>
      </c>
      <c r="EA893" s="143">
        <v>0</v>
      </c>
      <c r="EB893">
        <v>1</v>
      </c>
      <c r="EC893">
        <v>1</v>
      </c>
      <c r="ED893">
        <v>0</v>
      </c>
      <c r="EE893">
        <v>1</v>
      </c>
      <c r="EF893">
        <v>1</v>
      </c>
      <c r="EG893">
        <v>1</v>
      </c>
      <c r="EH893">
        <v>0</v>
      </c>
      <c r="EI893" s="2">
        <v>0</v>
      </c>
      <c r="EK893" t="str">
        <f t="shared" si="130"/>
        <v>Whole sector</v>
      </c>
      <c r="EL893" t="str">
        <f t="shared" si="131"/>
        <v/>
      </c>
      <c r="EM893" s="2" t="str">
        <f t="shared" si="146"/>
        <v/>
      </c>
      <c r="EN893" t="s">
        <v>295</v>
      </c>
      <c r="EP893" t="str">
        <f>IF(ISNUMBER(BU893),IF(ABS(BU893-[2]QC_indicators!$B$2)&gt;3*[2]QC_indicators!$C$2,"C ratio",IF(ISNUMBER(BY893),IF(ABS(BY893-[2]QC_indicators!$B$1)&gt;3*[2]QC_indicators!$C$1,"DF","no"))),IF(ISNUMBER(BY893),IF(ABS(BY893-[2]QC_indicators!$B$1)&gt;3*[2]QC_indicators!$C$1,"DF","no")))</f>
        <v>no</v>
      </c>
      <c r="EQ893" t="s">
        <v>287</v>
      </c>
      <c r="ET893" s="266" t="s">
        <v>3275</v>
      </c>
    </row>
    <row r="894" spans="1:150" ht="15" hidden="1" customHeight="1">
      <c r="A894" s="1" t="s">
        <v>266</v>
      </c>
      <c r="B894" t="s">
        <v>267</v>
      </c>
      <c r="C894" t="s">
        <v>268</v>
      </c>
      <c r="D894" t="s">
        <v>269</v>
      </c>
      <c r="E894" t="s">
        <v>270</v>
      </c>
      <c r="F894" t="s">
        <v>271</v>
      </c>
      <c r="G894" t="s">
        <v>272</v>
      </c>
      <c r="H894" t="s">
        <v>255</v>
      </c>
      <c r="I894">
        <v>2022</v>
      </c>
      <c r="J894">
        <v>0</v>
      </c>
      <c r="K894" t="s">
        <v>273</v>
      </c>
      <c r="M894" t="str">
        <f t="shared" si="153"/>
        <v>Aryapratama_2022</v>
      </c>
      <c r="N894" t="s">
        <v>223</v>
      </c>
      <c r="O894" s="145" t="s">
        <v>275</v>
      </c>
      <c r="Q894" t="s">
        <v>225</v>
      </c>
      <c r="R894" s="264" t="s">
        <v>224</v>
      </c>
      <c r="S894" s="265" t="s">
        <v>3107</v>
      </c>
      <c r="T894" t="s">
        <v>296</v>
      </c>
      <c r="U894" t="s">
        <v>290</v>
      </c>
      <c r="V894">
        <v>0</v>
      </c>
      <c r="W894">
        <v>0</v>
      </c>
      <c r="X894">
        <v>0</v>
      </c>
      <c r="Y894">
        <v>0</v>
      </c>
      <c r="Z894">
        <v>0</v>
      </c>
      <c r="AA894">
        <v>0</v>
      </c>
      <c r="AB894">
        <v>0</v>
      </c>
      <c r="AC894">
        <v>0</v>
      </c>
      <c r="AD894">
        <v>0</v>
      </c>
      <c r="AE894">
        <v>0</v>
      </c>
      <c r="AF894">
        <v>0</v>
      </c>
      <c r="AG894">
        <v>0</v>
      </c>
      <c r="AH894">
        <v>0</v>
      </c>
      <c r="AI894">
        <v>0</v>
      </c>
      <c r="AJ894">
        <v>0</v>
      </c>
      <c r="AK894">
        <v>1</v>
      </c>
      <c r="AL894">
        <v>0</v>
      </c>
      <c r="AM894">
        <v>0</v>
      </c>
      <c r="AN894">
        <v>0</v>
      </c>
      <c r="AO894">
        <v>0</v>
      </c>
      <c r="AP894">
        <v>0</v>
      </c>
      <c r="AQ894">
        <v>0</v>
      </c>
      <c r="AR894">
        <v>0</v>
      </c>
      <c r="AS894">
        <v>0</v>
      </c>
      <c r="AT894">
        <v>0</v>
      </c>
      <c r="AU894">
        <v>0</v>
      </c>
      <c r="AV894">
        <v>0</v>
      </c>
      <c r="AW894">
        <v>0</v>
      </c>
      <c r="AX894" s="141">
        <f t="shared" si="167"/>
        <v>1</v>
      </c>
      <c r="AY894" s="141">
        <f t="shared" si="137"/>
        <v>1</v>
      </c>
      <c r="AZ894">
        <f t="shared" si="138"/>
        <v>0</v>
      </c>
      <c r="BA894">
        <f t="shared" si="139"/>
        <v>0</v>
      </c>
      <c r="BB894">
        <f t="shared" si="140"/>
        <v>1</v>
      </c>
      <c r="BC894">
        <f t="shared" si="141"/>
        <v>0</v>
      </c>
      <c r="BD894">
        <f t="shared" si="142"/>
        <v>0</v>
      </c>
      <c r="BE894" t="str">
        <f t="array" ref="BE894">IF(AY894=1,INDEX($V$7:$AL$7,MATCH(TRUE,INDEX($V894:$AW894&lt;&gt;0,),0)),IF(AY894=0,INDEX($AM$7:$AW$7,MATCH(1,$AM894:$AW894,0)),IF(BF894="Multiple strategies","mixed drivers",IF(BF894="Supply chain","multiple supply","multiple silviculture"))))</f>
        <v>technologies/design switch</v>
      </c>
      <c r="BF894" s="2" t="str" cm="1">
        <f t="array" ref="BF894">IF(COUNTIF(AZ894:BB894,"&lt;&gt;0")=1,INDEX($V$4:$AW$4,MATCH(TRUE,INDEX($V894:$AW894&lt;&gt;0,),0)),IF(COUNTIF(AZ894:BB894,"&lt;&gt;0")=0,INDEX($AM$4:$AW$4,MATCH(1,$AM894:$AW894,0)),"Multiple strategies"))</f>
        <v>Technology</v>
      </c>
      <c r="BG894" s="1" t="s">
        <v>230</v>
      </c>
      <c r="BH894" t="s">
        <v>278</v>
      </c>
      <c r="BI894" s="266" t="s">
        <v>3108</v>
      </c>
      <c r="BJ894" t="s">
        <v>279</v>
      </c>
      <c r="BK894">
        <v>0</v>
      </c>
      <c r="BL894">
        <v>265.71098787093206</v>
      </c>
      <c r="BN894">
        <f t="shared" si="125"/>
        <v>265.71098787093206</v>
      </c>
      <c r="BO894">
        <f t="shared" si="164"/>
        <v>1153.76025996931</v>
      </c>
      <c r="BP894" t="s">
        <v>233</v>
      </c>
      <c r="BQ894" s="153" t="s">
        <v>3109</v>
      </c>
      <c r="BR894" t="s">
        <v>280</v>
      </c>
      <c r="BS894">
        <v>-559.28752781846788</v>
      </c>
      <c r="BT894">
        <v>-870.70033536556764</v>
      </c>
      <c r="BU894" s="144">
        <f t="shared" si="165"/>
        <v>1.556802703542814</v>
      </c>
      <c r="BV894">
        <f t="shared" si="166"/>
        <v>-311.41280754709976</v>
      </c>
      <c r="BX894">
        <f t="shared" si="161"/>
        <v>-311.41280754709976</v>
      </c>
      <c r="BY894">
        <f t="shared" si="143"/>
        <v>-0.26991119243037831</v>
      </c>
      <c r="BZ894">
        <v>0</v>
      </c>
      <c r="CA894">
        <v>0</v>
      </c>
      <c r="CB894">
        <v>0</v>
      </c>
      <c r="CC894">
        <v>0</v>
      </c>
      <c r="CD894">
        <v>0</v>
      </c>
      <c r="CE894">
        <v>0</v>
      </c>
      <c r="CF894">
        <v>0</v>
      </c>
      <c r="CG894">
        <v>0</v>
      </c>
      <c r="CH894">
        <v>0</v>
      </c>
      <c r="CI894">
        <v>0</v>
      </c>
      <c r="CJ894">
        <v>0</v>
      </c>
      <c r="CK894">
        <v>0</v>
      </c>
      <c r="CL894">
        <v>0</v>
      </c>
      <c r="CM894">
        <v>0</v>
      </c>
      <c r="CN894" t="str">
        <f t="shared" si="157"/>
        <v>refOK</v>
      </c>
      <c r="CO894">
        <f t="shared" si="162"/>
        <v>0</v>
      </c>
      <c r="CP894">
        <f t="shared" si="163"/>
        <v>265.71098787093206</v>
      </c>
      <c r="CQ894">
        <f t="shared" si="124"/>
        <v>1153.76025996931</v>
      </c>
      <c r="CR894">
        <f t="shared" si="158"/>
        <v>-559.28752781846788</v>
      </c>
      <c r="CS894">
        <f t="shared" si="159"/>
        <v>-870.70033536556764</v>
      </c>
      <c r="CT894">
        <f t="shared" si="168"/>
        <v>-311.41280754709976</v>
      </c>
      <c r="CU894">
        <f t="shared" si="156"/>
        <v>-0.26991119243037831</v>
      </c>
      <c r="CV894" s="2">
        <f t="shared" si="169"/>
        <v>-0.55680270354281414</v>
      </c>
      <c r="CW894" s="1" t="s">
        <v>235</v>
      </c>
      <c r="CX894" t="str">
        <f t="shared" si="144"/>
        <v>loc</v>
      </c>
      <c r="CY894" t="s">
        <v>281</v>
      </c>
      <c r="DB894">
        <v>50</v>
      </c>
      <c r="DC894" t="str">
        <f t="shared" si="145"/>
        <v>31-70</v>
      </c>
      <c r="DD894">
        <v>0</v>
      </c>
      <c r="DE894">
        <v>0</v>
      </c>
      <c r="DF894">
        <v>0</v>
      </c>
      <c r="DG894">
        <v>1</v>
      </c>
      <c r="DI894">
        <f t="shared" si="154"/>
        <v>1</v>
      </c>
      <c r="DJ894" t="str">
        <f t="shared" si="155"/>
        <v>TimberInput</v>
      </c>
      <c r="DK894">
        <f t="shared" si="126"/>
        <v>0</v>
      </c>
      <c r="DL894">
        <f t="shared" si="127"/>
        <v>0</v>
      </c>
      <c r="DM894">
        <f t="shared" si="128"/>
        <v>0</v>
      </c>
      <c r="DN894" t="str">
        <f t="shared" si="129"/>
        <v>Timber</v>
      </c>
      <c r="DO894">
        <v>0</v>
      </c>
      <c r="DP894">
        <v>1</v>
      </c>
      <c r="DQ894">
        <v>0</v>
      </c>
      <c r="DR894" t="s">
        <v>293</v>
      </c>
      <c r="DS894">
        <v>0</v>
      </c>
      <c r="DT894">
        <f t="shared" si="160"/>
        <v>1</v>
      </c>
      <c r="DU894" s="143" t="str">
        <f t="shared" si="149"/>
        <v>external DF used</v>
      </c>
      <c r="DV894">
        <v>0</v>
      </c>
      <c r="DW894">
        <v>1</v>
      </c>
      <c r="DX894">
        <v>1</v>
      </c>
      <c r="DY894">
        <v>1</v>
      </c>
      <c r="DZ894">
        <v>1</v>
      </c>
      <c r="EA894" s="143">
        <v>0</v>
      </c>
      <c r="EB894">
        <v>1</v>
      </c>
      <c r="EC894">
        <v>1</v>
      </c>
      <c r="ED894">
        <v>0</v>
      </c>
      <c r="EE894">
        <v>1</v>
      </c>
      <c r="EF894">
        <v>1</v>
      </c>
      <c r="EG894">
        <v>1</v>
      </c>
      <c r="EH894">
        <v>0</v>
      </c>
      <c r="EI894" s="2">
        <v>0</v>
      </c>
      <c r="EK894" t="str">
        <f t="shared" si="130"/>
        <v>Whole sector</v>
      </c>
      <c r="EL894" t="str">
        <f t="shared" si="131"/>
        <v/>
      </c>
      <c r="EM894" s="2" t="str">
        <f t="shared" si="146"/>
        <v/>
      </c>
      <c r="EP894" t="str">
        <f>IF(ISNUMBER(BU894),IF(ABS(BU894-[2]QC_indicators!$B$2)&gt;3*[2]QC_indicators!$C$2,"C ratio",IF(ISNUMBER(BY894),IF(ABS(BY894-[2]QC_indicators!$B$1)&gt;3*[2]QC_indicators!$C$1,"DF","no"))),IF(ISNUMBER(BY894),IF(ABS(BY894-[2]QC_indicators!$B$1)&gt;3*[2]QC_indicators!$C$1,"DF","no")))</f>
        <v>no</v>
      </c>
      <c r="EQ894" t="s">
        <v>287</v>
      </c>
      <c r="ER894" t="s">
        <v>297</v>
      </c>
      <c r="ET894" s="266" t="s">
        <v>3275</v>
      </c>
    </row>
    <row r="895" spans="1:150" ht="15" hidden="1" customHeight="1">
      <c r="A895" s="1" t="s">
        <v>266</v>
      </c>
      <c r="B895" t="s">
        <v>267</v>
      </c>
      <c r="C895" t="s">
        <v>268</v>
      </c>
      <c r="D895" t="s">
        <v>269</v>
      </c>
      <c r="E895" t="s">
        <v>270</v>
      </c>
      <c r="F895" t="s">
        <v>271</v>
      </c>
      <c r="G895" t="s">
        <v>272</v>
      </c>
      <c r="H895" t="s">
        <v>255</v>
      </c>
      <c r="I895">
        <v>2022</v>
      </c>
      <c r="J895">
        <v>0</v>
      </c>
      <c r="K895" t="s">
        <v>273</v>
      </c>
      <c r="M895" t="str">
        <f t="shared" si="153"/>
        <v>Aryapratama_2022</v>
      </c>
      <c r="N895" t="s">
        <v>223</v>
      </c>
      <c r="O895" s="145" t="s">
        <v>275</v>
      </c>
      <c r="Q895" t="s">
        <v>225</v>
      </c>
      <c r="R895" s="264" t="s">
        <v>224</v>
      </c>
      <c r="S895" s="265" t="s">
        <v>3107</v>
      </c>
      <c r="T895" t="s">
        <v>298</v>
      </c>
      <c r="U895" t="s">
        <v>299</v>
      </c>
      <c r="V895">
        <v>0</v>
      </c>
      <c r="W895">
        <v>0</v>
      </c>
      <c r="X895">
        <v>0</v>
      </c>
      <c r="Y895">
        <v>0</v>
      </c>
      <c r="Z895">
        <v>0</v>
      </c>
      <c r="AA895">
        <v>0</v>
      </c>
      <c r="AB895">
        <v>0</v>
      </c>
      <c r="AC895">
        <v>0</v>
      </c>
      <c r="AD895">
        <v>0</v>
      </c>
      <c r="AE895">
        <v>0</v>
      </c>
      <c r="AF895">
        <v>0</v>
      </c>
      <c r="AG895">
        <v>0</v>
      </c>
      <c r="AH895">
        <v>0</v>
      </c>
      <c r="AI895">
        <v>0</v>
      </c>
      <c r="AJ895">
        <v>0</v>
      </c>
      <c r="AK895">
        <v>1</v>
      </c>
      <c r="AL895">
        <v>0</v>
      </c>
      <c r="AM895">
        <v>0</v>
      </c>
      <c r="AN895">
        <v>0</v>
      </c>
      <c r="AO895">
        <v>0</v>
      </c>
      <c r="AP895">
        <v>0</v>
      </c>
      <c r="AQ895">
        <v>0</v>
      </c>
      <c r="AR895">
        <v>0</v>
      </c>
      <c r="AS895">
        <v>0</v>
      </c>
      <c r="AT895">
        <v>0</v>
      </c>
      <c r="AU895">
        <v>0</v>
      </c>
      <c r="AV895">
        <v>0</v>
      </c>
      <c r="AW895">
        <v>0</v>
      </c>
      <c r="AX895" s="141">
        <f t="shared" si="167"/>
        <v>1</v>
      </c>
      <c r="AY895" s="141">
        <f t="shared" si="137"/>
        <v>1</v>
      </c>
      <c r="AZ895">
        <f t="shared" si="138"/>
        <v>0</v>
      </c>
      <c r="BA895">
        <f t="shared" si="139"/>
        <v>0</v>
      </c>
      <c r="BB895">
        <f t="shared" si="140"/>
        <v>1</v>
      </c>
      <c r="BC895">
        <f t="shared" si="141"/>
        <v>0</v>
      </c>
      <c r="BD895">
        <f t="shared" si="142"/>
        <v>0</v>
      </c>
      <c r="BE895" t="str">
        <f t="array" ref="BE895">IF(AY895=1,INDEX($V$7:$AL$7,MATCH(TRUE,INDEX($V895:$AW895&lt;&gt;0,),0)),IF(AY895=0,INDEX($AM$7:$AW$7,MATCH(1,$AM895:$AW895,0)),IF(BF895="Multiple strategies","mixed drivers",IF(BF895="Supply chain","multiple supply","multiple silviculture"))))</f>
        <v>technologies/design switch</v>
      </c>
      <c r="BF895" s="2" t="str" cm="1">
        <f t="array" ref="BF895">IF(COUNTIF(AZ895:BB895,"&lt;&gt;0")=1,INDEX($V$4:$AW$4,MATCH(TRUE,INDEX($V895:$AW895&lt;&gt;0,),0)),IF(COUNTIF(AZ895:BB895,"&lt;&gt;0")=0,INDEX($AM$4:$AW$4,MATCH(1,$AM895:$AW895,0)),"Multiple strategies"))</f>
        <v>Technology</v>
      </c>
      <c r="BG895" s="1" t="s">
        <v>230</v>
      </c>
      <c r="BH895" t="s">
        <v>278</v>
      </c>
      <c r="BI895" s="266" t="s">
        <v>3108</v>
      </c>
      <c r="BJ895" t="s">
        <v>279</v>
      </c>
      <c r="BK895">
        <v>0</v>
      </c>
      <c r="BL895">
        <v>135.57962264150939</v>
      </c>
      <c r="BN895">
        <f t="shared" si="125"/>
        <v>135.57962264150939</v>
      </c>
      <c r="BO895">
        <f t="shared" si="164"/>
        <v>588.70873921628049</v>
      </c>
      <c r="BP895" t="s">
        <v>233</v>
      </c>
      <c r="BQ895" s="153" t="s">
        <v>3109</v>
      </c>
      <c r="BR895" t="s">
        <v>280</v>
      </c>
      <c r="BS895">
        <v>-360.60902005912311</v>
      </c>
      <c r="BT895">
        <v>-458.81565081209919</v>
      </c>
      <c r="BU895" s="144">
        <f t="shared" si="165"/>
        <v>1.2723354805070455</v>
      </c>
      <c r="BV895">
        <f t="shared" si="166"/>
        <v>-98.206630752976082</v>
      </c>
      <c r="BX895">
        <f t="shared" si="161"/>
        <v>-98.206630752976082</v>
      </c>
      <c r="BY895">
        <f t="shared" si="143"/>
        <v>-0.16681700849848743</v>
      </c>
      <c r="BZ895">
        <v>0</v>
      </c>
      <c r="CA895">
        <v>0</v>
      </c>
      <c r="CB895">
        <v>0</v>
      </c>
      <c r="CC895">
        <v>0</v>
      </c>
      <c r="CD895">
        <v>0</v>
      </c>
      <c r="CE895">
        <v>0</v>
      </c>
      <c r="CF895">
        <v>0</v>
      </c>
      <c r="CG895">
        <v>0</v>
      </c>
      <c r="CH895">
        <v>0</v>
      </c>
      <c r="CI895">
        <v>0</v>
      </c>
      <c r="CJ895">
        <v>0</v>
      </c>
      <c r="CK895">
        <v>0</v>
      </c>
      <c r="CL895">
        <v>0</v>
      </c>
      <c r="CM895">
        <v>0</v>
      </c>
      <c r="CN895" t="str">
        <f t="shared" si="157"/>
        <v>refOK</v>
      </c>
      <c r="CO895">
        <f t="shared" si="162"/>
        <v>0</v>
      </c>
      <c r="CP895">
        <f t="shared" si="163"/>
        <v>135.57962264150939</v>
      </c>
      <c r="CQ895">
        <f t="shared" si="124"/>
        <v>588.70873921628049</v>
      </c>
      <c r="CR895">
        <f t="shared" si="158"/>
        <v>-360.60902005912311</v>
      </c>
      <c r="CS895">
        <f t="shared" si="159"/>
        <v>-458.81565081209919</v>
      </c>
      <c r="CT895">
        <f t="shared" si="168"/>
        <v>-98.206630752976082</v>
      </c>
      <c r="CU895">
        <f t="shared" si="156"/>
        <v>-0.16681700849848743</v>
      </c>
      <c r="CV895" s="2">
        <f t="shared" si="169"/>
        <v>-0.27233548050704542</v>
      </c>
      <c r="CW895" s="1" t="s">
        <v>235</v>
      </c>
      <c r="CX895" t="str">
        <f t="shared" si="144"/>
        <v>loc</v>
      </c>
      <c r="CY895" t="s">
        <v>281</v>
      </c>
      <c r="DB895">
        <v>50</v>
      </c>
      <c r="DC895" t="str">
        <f t="shared" si="145"/>
        <v>31-70</v>
      </c>
      <c r="DD895">
        <v>0</v>
      </c>
      <c r="DE895">
        <v>0</v>
      </c>
      <c r="DF895">
        <v>0</v>
      </c>
      <c r="DG895">
        <v>1</v>
      </c>
      <c r="DI895">
        <f t="shared" si="154"/>
        <v>1</v>
      </c>
      <c r="DJ895" t="str">
        <f t="shared" si="155"/>
        <v>TimberInput</v>
      </c>
      <c r="DK895">
        <f t="shared" si="126"/>
        <v>0</v>
      </c>
      <c r="DL895">
        <f t="shared" si="127"/>
        <v>0</v>
      </c>
      <c r="DM895">
        <f t="shared" si="128"/>
        <v>0</v>
      </c>
      <c r="DN895" t="str">
        <f t="shared" si="129"/>
        <v>Timber</v>
      </c>
      <c r="DO895">
        <v>0</v>
      </c>
      <c r="DP895">
        <v>1</v>
      </c>
      <c r="DQ895">
        <v>0</v>
      </c>
      <c r="DR895" t="s">
        <v>282</v>
      </c>
      <c r="DS895">
        <v>0</v>
      </c>
      <c r="DT895">
        <f t="shared" si="160"/>
        <v>1</v>
      </c>
      <c r="DU895" s="143" t="str">
        <f t="shared" si="149"/>
        <v>external DF used</v>
      </c>
      <c r="DV895">
        <v>0</v>
      </c>
      <c r="DW895">
        <v>1</v>
      </c>
      <c r="DX895">
        <v>1</v>
      </c>
      <c r="DY895">
        <v>1</v>
      </c>
      <c r="DZ895">
        <v>1</v>
      </c>
      <c r="EA895" s="143">
        <v>0</v>
      </c>
      <c r="EB895">
        <v>1</v>
      </c>
      <c r="EC895">
        <v>1</v>
      </c>
      <c r="ED895">
        <v>0</v>
      </c>
      <c r="EE895">
        <v>1</v>
      </c>
      <c r="EF895">
        <v>1</v>
      </c>
      <c r="EG895">
        <v>1</v>
      </c>
      <c r="EH895">
        <v>0</v>
      </c>
      <c r="EI895" s="2">
        <v>0</v>
      </c>
      <c r="EK895" t="str">
        <f t="shared" si="130"/>
        <v>Whole sector</v>
      </c>
      <c r="EL895" t="str">
        <f t="shared" si="131"/>
        <v/>
      </c>
      <c r="EM895" s="2" t="str">
        <f t="shared" si="146"/>
        <v/>
      </c>
      <c r="EP895" t="str">
        <f>IF(ISNUMBER(BU895),IF(ABS(BU895-[2]QC_indicators!$B$2)&gt;3*[2]QC_indicators!$C$2,"C ratio",IF(ISNUMBER(BY895),IF(ABS(BY895-[2]QC_indicators!$B$1)&gt;3*[2]QC_indicators!$C$1,"DF","no"))),IF(ISNUMBER(BY895),IF(ABS(BY895-[2]QC_indicators!$B$1)&gt;3*[2]QC_indicators!$C$1,"DF","no")))</f>
        <v>no</v>
      </c>
      <c r="EQ895" t="s">
        <v>287</v>
      </c>
      <c r="ET895" s="266" t="s">
        <v>3275</v>
      </c>
    </row>
    <row r="896" spans="1:150" ht="15" hidden="1" customHeight="1">
      <c r="A896" s="1" t="s">
        <v>266</v>
      </c>
      <c r="B896" t="s">
        <v>267</v>
      </c>
      <c r="C896" t="s">
        <v>268</v>
      </c>
      <c r="D896" t="s">
        <v>269</v>
      </c>
      <c r="E896" t="s">
        <v>270</v>
      </c>
      <c r="F896" t="s">
        <v>271</v>
      </c>
      <c r="G896" t="s">
        <v>272</v>
      </c>
      <c r="H896" t="s">
        <v>255</v>
      </c>
      <c r="I896">
        <v>2022</v>
      </c>
      <c r="J896">
        <v>0</v>
      </c>
      <c r="K896" t="s">
        <v>273</v>
      </c>
      <c r="M896" t="str">
        <f t="shared" si="153"/>
        <v>Aryapratama_2022</v>
      </c>
      <c r="N896" t="s">
        <v>223</v>
      </c>
      <c r="O896" s="145" t="s">
        <v>275</v>
      </c>
      <c r="Q896" t="s">
        <v>225</v>
      </c>
      <c r="R896" s="264" t="s">
        <v>224</v>
      </c>
      <c r="S896" s="265" t="s">
        <v>3107</v>
      </c>
      <c r="T896" t="s">
        <v>294</v>
      </c>
      <c r="U896" t="s">
        <v>276</v>
      </c>
      <c r="V896">
        <v>0</v>
      </c>
      <c r="W896">
        <v>0</v>
      </c>
      <c r="X896">
        <v>0</v>
      </c>
      <c r="Y896">
        <v>0</v>
      </c>
      <c r="Z896">
        <v>0</v>
      </c>
      <c r="AA896">
        <v>0</v>
      </c>
      <c r="AB896">
        <v>0</v>
      </c>
      <c r="AC896">
        <v>0</v>
      </c>
      <c r="AD896">
        <v>0</v>
      </c>
      <c r="AE896">
        <v>0</v>
      </c>
      <c r="AF896">
        <v>0</v>
      </c>
      <c r="AG896">
        <v>0</v>
      </c>
      <c r="AH896">
        <v>0</v>
      </c>
      <c r="AI896">
        <v>0</v>
      </c>
      <c r="AJ896">
        <v>0</v>
      </c>
      <c r="AK896">
        <v>1</v>
      </c>
      <c r="AL896">
        <v>0</v>
      </c>
      <c r="AM896">
        <v>0</v>
      </c>
      <c r="AN896">
        <v>0</v>
      </c>
      <c r="AO896">
        <v>0</v>
      </c>
      <c r="AP896">
        <v>0</v>
      </c>
      <c r="AQ896">
        <v>0</v>
      </c>
      <c r="AR896">
        <v>0</v>
      </c>
      <c r="AS896">
        <v>0</v>
      </c>
      <c r="AT896">
        <v>0</v>
      </c>
      <c r="AU896">
        <v>0</v>
      </c>
      <c r="AV896">
        <v>0</v>
      </c>
      <c r="AW896">
        <v>0</v>
      </c>
      <c r="AX896" s="141">
        <f t="shared" si="167"/>
        <v>1</v>
      </c>
      <c r="AY896" s="141">
        <f t="shared" si="137"/>
        <v>1</v>
      </c>
      <c r="AZ896">
        <f t="shared" si="138"/>
        <v>0</v>
      </c>
      <c r="BA896">
        <f t="shared" si="139"/>
        <v>0</v>
      </c>
      <c r="BB896">
        <f t="shared" si="140"/>
        <v>1</v>
      </c>
      <c r="BC896">
        <f t="shared" si="141"/>
        <v>0</v>
      </c>
      <c r="BD896">
        <f t="shared" si="142"/>
        <v>0</v>
      </c>
      <c r="BE896" t="str">
        <f t="array" ref="BE896">IF(AY896=1,INDEX($V$7:$AL$7,MATCH(TRUE,INDEX($V896:$AW896&lt;&gt;0,),0)),IF(AY896=0,INDEX($AM$7:$AW$7,MATCH(1,$AM896:$AW896,0)),IF(BF896="Multiple strategies","mixed drivers",IF(BF896="Supply chain","multiple supply","multiple silviculture"))))</f>
        <v>technologies/design switch</v>
      </c>
      <c r="BF896" s="2" t="str" cm="1">
        <f t="array" ref="BF896">IF(COUNTIF(AZ896:BB896,"&lt;&gt;0")=1,INDEX($V$4:$AW$4,MATCH(TRUE,INDEX($V896:$AW896&lt;&gt;0,),0)),IF(COUNTIF(AZ896:BB896,"&lt;&gt;0")=0,INDEX($AM$4:$AW$4,MATCH(1,$AM896:$AW896,0)),"Multiple strategies"))</f>
        <v>Technology</v>
      </c>
      <c r="BG896" s="1" t="s">
        <v>230</v>
      </c>
      <c r="BH896" t="s">
        <v>278</v>
      </c>
      <c r="BI896" s="266" t="s">
        <v>3108</v>
      </c>
      <c r="BJ896" t="s">
        <v>279</v>
      </c>
      <c r="BK896">
        <v>0</v>
      </c>
      <c r="BL896">
        <v>135.57962264150939</v>
      </c>
      <c r="BN896">
        <f t="shared" si="125"/>
        <v>135.57962264150939</v>
      </c>
      <c r="BO896">
        <f t="shared" si="164"/>
        <v>588.70873921628049</v>
      </c>
      <c r="BP896" t="s">
        <v>233</v>
      </c>
      <c r="BQ896" s="153" t="s">
        <v>3109</v>
      </c>
      <c r="BR896" t="s">
        <v>280</v>
      </c>
      <c r="BS896">
        <v>-358.5631578083391</v>
      </c>
      <c r="BT896">
        <v>-430.22235574765915</v>
      </c>
      <c r="BU896" s="144">
        <f t="shared" si="165"/>
        <v>1.1998509784923963</v>
      </c>
      <c r="BV896">
        <f t="shared" si="166"/>
        <v>-71.659197939320052</v>
      </c>
      <c r="BX896">
        <f t="shared" si="161"/>
        <v>-71.659197939320052</v>
      </c>
      <c r="BY896">
        <f t="shared" si="143"/>
        <v>-0.12172266719654354</v>
      </c>
      <c r="BZ896">
        <v>0</v>
      </c>
      <c r="CA896">
        <v>0</v>
      </c>
      <c r="CB896">
        <v>0</v>
      </c>
      <c r="CC896">
        <v>0</v>
      </c>
      <c r="CD896">
        <v>0</v>
      </c>
      <c r="CE896">
        <v>0</v>
      </c>
      <c r="CF896">
        <v>0</v>
      </c>
      <c r="CG896">
        <v>0</v>
      </c>
      <c r="CH896">
        <v>0</v>
      </c>
      <c r="CI896">
        <v>0</v>
      </c>
      <c r="CJ896">
        <v>0</v>
      </c>
      <c r="CK896">
        <v>0</v>
      </c>
      <c r="CL896">
        <v>0</v>
      </c>
      <c r="CM896">
        <v>0</v>
      </c>
      <c r="CN896" t="str">
        <f t="shared" si="157"/>
        <v>refOK</v>
      </c>
      <c r="CO896">
        <f t="shared" si="162"/>
        <v>0</v>
      </c>
      <c r="CP896">
        <f t="shared" si="163"/>
        <v>135.57962264150939</v>
      </c>
      <c r="CQ896">
        <f t="shared" si="124"/>
        <v>588.70873921628049</v>
      </c>
      <c r="CR896">
        <f t="shared" si="158"/>
        <v>-358.5631578083391</v>
      </c>
      <c r="CS896">
        <f t="shared" si="159"/>
        <v>-430.22235574765915</v>
      </c>
      <c r="CT896">
        <f t="shared" si="168"/>
        <v>-71.659197939320052</v>
      </c>
      <c r="CU896">
        <f t="shared" si="156"/>
        <v>-0.12172266719654354</v>
      </c>
      <c r="CV896" s="2">
        <f t="shared" si="169"/>
        <v>-0.19985097849239622</v>
      </c>
      <c r="CW896" s="1" t="s">
        <v>235</v>
      </c>
      <c r="CX896" t="str">
        <f t="shared" si="144"/>
        <v>loc</v>
      </c>
      <c r="CY896" t="s">
        <v>281</v>
      </c>
      <c r="DB896">
        <v>50</v>
      </c>
      <c r="DC896" t="str">
        <f t="shared" si="145"/>
        <v>31-70</v>
      </c>
      <c r="DD896">
        <v>0</v>
      </c>
      <c r="DE896">
        <v>0</v>
      </c>
      <c r="DF896">
        <v>0</v>
      </c>
      <c r="DG896">
        <v>1</v>
      </c>
      <c r="DI896">
        <f t="shared" si="154"/>
        <v>1</v>
      </c>
      <c r="DJ896" t="str">
        <f t="shared" si="155"/>
        <v>TimberInput</v>
      </c>
      <c r="DK896">
        <f t="shared" si="126"/>
        <v>0</v>
      </c>
      <c r="DL896">
        <f t="shared" si="127"/>
        <v>0</v>
      </c>
      <c r="DM896">
        <f t="shared" si="128"/>
        <v>0</v>
      </c>
      <c r="DN896" t="str">
        <f t="shared" si="129"/>
        <v>Timber</v>
      </c>
      <c r="DO896">
        <v>0</v>
      </c>
      <c r="DP896">
        <v>1</v>
      </c>
      <c r="DQ896">
        <v>0</v>
      </c>
      <c r="DR896" t="s">
        <v>293</v>
      </c>
      <c r="DS896">
        <v>0</v>
      </c>
      <c r="DT896">
        <f t="shared" si="160"/>
        <v>1</v>
      </c>
      <c r="DU896" s="143" t="str">
        <f t="shared" si="149"/>
        <v>external DF used</v>
      </c>
      <c r="DV896">
        <v>0</v>
      </c>
      <c r="DW896">
        <v>1</v>
      </c>
      <c r="DX896">
        <v>1</v>
      </c>
      <c r="DY896">
        <v>1</v>
      </c>
      <c r="DZ896">
        <v>1</v>
      </c>
      <c r="EA896" s="143">
        <v>0</v>
      </c>
      <c r="EB896">
        <v>1</v>
      </c>
      <c r="EC896">
        <v>1</v>
      </c>
      <c r="ED896">
        <v>0</v>
      </c>
      <c r="EE896">
        <v>1</v>
      </c>
      <c r="EF896">
        <v>1</v>
      </c>
      <c r="EG896">
        <v>1</v>
      </c>
      <c r="EH896">
        <v>0</v>
      </c>
      <c r="EI896" s="2">
        <v>0</v>
      </c>
      <c r="EK896" t="str">
        <f t="shared" si="130"/>
        <v>Whole sector</v>
      </c>
      <c r="EL896" t="str">
        <f t="shared" si="131"/>
        <v/>
      </c>
      <c r="EM896" s="2" t="str">
        <f t="shared" si="146"/>
        <v/>
      </c>
      <c r="EP896" t="str">
        <f>IF(ISNUMBER(BU896),IF(ABS(BU896-[2]QC_indicators!$B$2)&gt;3*[2]QC_indicators!$C$2,"C ratio",IF(ISNUMBER(BY896),IF(ABS(BY896-[2]QC_indicators!$B$1)&gt;3*[2]QC_indicators!$C$1,"DF","no"))),IF(ISNUMBER(BY896),IF(ABS(BY896-[2]QC_indicators!$B$1)&gt;3*[2]QC_indicators!$C$1,"DF","no")))</f>
        <v>no</v>
      </c>
      <c r="EQ896" t="s">
        <v>287</v>
      </c>
      <c r="ET896" s="266" t="s">
        <v>3275</v>
      </c>
    </row>
    <row r="897" spans="1:150" ht="15" hidden="1" customHeight="1">
      <c r="A897" s="1" t="s">
        <v>266</v>
      </c>
      <c r="B897" t="s">
        <v>267</v>
      </c>
      <c r="C897" t="s">
        <v>268</v>
      </c>
      <c r="D897" t="s">
        <v>269</v>
      </c>
      <c r="E897" t="s">
        <v>270</v>
      </c>
      <c r="F897" t="s">
        <v>271</v>
      </c>
      <c r="G897" t="s">
        <v>272</v>
      </c>
      <c r="H897" t="s">
        <v>255</v>
      </c>
      <c r="I897">
        <v>2022</v>
      </c>
      <c r="J897">
        <v>0</v>
      </c>
      <c r="K897" t="s">
        <v>273</v>
      </c>
      <c r="M897" t="str">
        <f t="shared" si="153"/>
        <v>Aryapratama_2022</v>
      </c>
      <c r="N897" t="s">
        <v>223</v>
      </c>
      <c r="O897" s="145" t="s">
        <v>275</v>
      </c>
      <c r="Q897" t="s">
        <v>225</v>
      </c>
      <c r="R897" s="264" t="s">
        <v>224</v>
      </c>
      <c r="S897" s="265" t="s">
        <v>3107</v>
      </c>
      <c r="T897" t="s">
        <v>300</v>
      </c>
      <c r="U897" t="s">
        <v>301</v>
      </c>
      <c r="V897">
        <v>0</v>
      </c>
      <c r="W897">
        <v>0</v>
      </c>
      <c r="X897">
        <v>0</v>
      </c>
      <c r="Y897">
        <v>0</v>
      </c>
      <c r="Z897">
        <v>0</v>
      </c>
      <c r="AA897">
        <v>0</v>
      </c>
      <c r="AB897">
        <v>0</v>
      </c>
      <c r="AC897">
        <v>0</v>
      </c>
      <c r="AD897">
        <v>0</v>
      </c>
      <c r="AE897">
        <v>0</v>
      </c>
      <c r="AF897">
        <v>0</v>
      </c>
      <c r="AG897">
        <v>0</v>
      </c>
      <c r="AH897">
        <v>0</v>
      </c>
      <c r="AI897">
        <v>0</v>
      </c>
      <c r="AJ897">
        <v>0</v>
      </c>
      <c r="AK897">
        <v>1</v>
      </c>
      <c r="AL897">
        <v>0</v>
      </c>
      <c r="AM897">
        <v>0</v>
      </c>
      <c r="AN897">
        <v>0</v>
      </c>
      <c r="AO897">
        <v>0</v>
      </c>
      <c r="AP897">
        <v>0</v>
      </c>
      <c r="AQ897">
        <v>0</v>
      </c>
      <c r="AR897">
        <v>0</v>
      </c>
      <c r="AS897">
        <v>0</v>
      </c>
      <c r="AT897">
        <v>0</v>
      </c>
      <c r="AU897">
        <v>0</v>
      </c>
      <c r="AV897">
        <v>0</v>
      </c>
      <c r="AW897">
        <v>0</v>
      </c>
      <c r="AX897" s="141">
        <f t="shared" si="167"/>
        <v>1</v>
      </c>
      <c r="AY897" s="141">
        <f t="shared" si="137"/>
        <v>1</v>
      </c>
      <c r="AZ897">
        <f t="shared" si="138"/>
        <v>0</v>
      </c>
      <c r="BA897">
        <f t="shared" si="139"/>
        <v>0</v>
      </c>
      <c r="BB897">
        <f t="shared" si="140"/>
        <v>1</v>
      </c>
      <c r="BC897">
        <f t="shared" si="141"/>
        <v>0</v>
      </c>
      <c r="BD897">
        <f t="shared" si="142"/>
        <v>0</v>
      </c>
      <c r="BE897" t="str">
        <f t="array" ref="BE897">IF(AY897=1,INDEX($V$7:$AL$7,MATCH(TRUE,INDEX($V897:$AW897&lt;&gt;0,),0)),IF(AY897=0,INDEX($AM$7:$AW$7,MATCH(1,$AM897:$AW897,0)),IF(BF897="Multiple strategies","mixed drivers",IF(BF897="Supply chain","multiple supply","multiple silviculture"))))</f>
        <v>technologies/design switch</v>
      </c>
      <c r="BF897" s="2" t="str" cm="1">
        <f t="array" ref="BF897">IF(COUNTIF(AZ897:BB897,"&lt;&gt;0")=1,INDEX($V$4:$AW$4,MATCH(TRUE,INDEX($V897:$AW897&lt;&gt;0,),0)),IF(COUNTIF(AZ897:BB897,"&lt;&gt;0")=0,INDEX($AM$4:$AW$4,MATCH(1,$AM897:$AW897,0)),"Multiple strategies"))</f>
        <v>Technology</v>
      </c>
      <c r="BG897" s="1" t="s">
        <v>230</v>
      </c>
      <c r="BH897" t="s">
        <v>278</v>
      </c>
      <c r="BI897" s="266" t="s">
        <v>3108</v>
      </c>
      <c r="BJ897" t="s">
        <v>279</v>
      </c>
      <c r="BK897">
        <v>0</v>
      </c>
      <c r="BL897">
        <v>226.7291347999585</v>
      </c>
      <c r="BN897">
        <f t="shared" si="125"/>
        <v>226.7291347999585</v>
      </c>
      <c r="BO897">
        <f t="shared" si="164"/>
        <v>984.49472340407522</v>
      </c>
      <c r="BP897" t="s">
        <v>233</v>
      </c>
      <c r="BQ897" s="153" t="s">
        <v>3109</v>
      </c>
      <c r="BR897" t="s">
        <v>280</v>
      </c>
      <c r="BS897">
        <v>-515.07151116792033</v>
      </c>
      <c r="BT897">
        <v>-617.93246272463909</v>
      </c>
      <c r="BU897" s="144">
        <f t="shared" si="165"/>
        <v>1.1997022730367719</v>
      </c>
      <c r="BV897">
        <f t="shared" si="166"/>
        <v>-102.86095155671876</v>
      </c>
      <c r="BX897">
        <f t="shared" si="161"/>
        <v>-102.86095155671876</v>
      </c>
      <c r="BY897">
        <f t="shared" si="143"/>
        <v>-0.10448095770494099</v>
      </c>
      <c r="BZ897">
        <v>0</v>
      </c>
      <c r="CA897">
        <v>0</v>
      </c>
      <c r="CB897">
        <v>0</v>
      </c>
      <c r="CC897">
        <v>0</v>
      </c>
      <c r="CD897">
        <v>0</v>
      </c>
      <c r="CE897">
        <v>0</v>
      </c>
      <c r="CF897">
        <v>0</v>
      </c>
      <c r="CG897">
        <v>0</v>
      </c>
      <c r="CH897">
        <v>0</v>
      </c>
      <c r="CI897">
        <v>0</v>
      </c>
      <c r="CJ897">
        <v>0</v>
      </c>
      <c r="CK897">
        <v>0</v>
      </c>
      <c r="CL897">
        <v>0</v>
      </c>
      <c r="CM897">
        <v>0</v>
      </c>
      <c r="CN897" t="str">
        <f t="shared" si="157"/>
        <v>refOK</v>
      </c>
      <c r="CO897">
        <f t="shared" si="162"/>
        <v>0</v>
      </c>
      <c r="CP897">
        <f t="shared" si="163"/>
        <v>226.7291347999585</v>
      </c>
      <c r="CQ897">
        <f t="shared" si="124"/>
        <v>984.49472340407522</v>
      </c>
      <c r="CR897">
        <f t="shared" si="158"/>
        <v>-515.07151116792033</v>
      </c>
      <c r="CS897">
        <f t="shared" si="159"/>
        <v>-617.93246272463909</v>
      </c>
      <c r="CT897">
        <f t="shared" si="168"/>
        <v>-102.86095155671876</v>
      </c>
      <c r="CU897">
        <f t="shared" si="156"/>
        <v>-0.10448095770494099</v>
      </c>
      <c r="CV897" s="2">
        <f t="shared" si="169"/>
        <v>-0.19970227303677196</v>
      </c>
      <c r="CW897" s="1" t="s">
        <v>235</v>
      </c>
      <c r="CX897" t="str">
        <f t="shared" si="144"/>
        <v>loc</v>
      </c>
      <c r="CY897" t="s">
        <v>281</v>
      </c>
      <c r="DB897">
        <v>50</v>
      </c>
      <c r="DC897" t="str">
        <f t="shared" si="145"/>
        <v>31-70</v>
      </c>
      <c r="DD897">
        <v>0</v>
      </c>
      <c r="DE897">
        <v>0</v>
      </c>
      <c r="DF897">
        <v>0</v>
      </c>
      <c r="DG897">
        <v>1</v>
      </c>
      <c r="DI897">
        <f t="shared" si="154"/>
        <v>1</v>
      </c>
      <c r="DJ897" t="str">
        <f t="shared" si="155"/>
        <v>TimberInput</v>
      </c>
      <c r="DK897">
        <f t="shared" si="126"/>
        <v>0</v>
      </c>
      <c r="DL897">
        <f t="shared" si="127"/>
        <v>0</v>
      </c>
      <c r="DM897">
        <f t="shared" si="128"/>
        <v>0</v>
      </c>
      <c r="DN897" t="str">
        <f t="shared" si="129"/>
        <v>Timber</v>
      </c>
      <c r="DO897">
        <v>0</v>
      </c>
      <c r="DP897">
        <v>1</v>
      </c>
      <c r="DQ897">
        <v>0</v>
      </c>
      <c r="DR897" t="s">
        <v>302</v>
      </c>
      <c r="DS897">
        <v>0</v>
      </c>
      <c r="DT897">
        <f t="shared" si="160"/>
        <v>1</v>
      </c>
      <c r="DU897" s="143" t="str">
        <f t="shared" si="149"/>
        <v>external DF used</v>
      </c>
      <c r="DV897">
        <v>0</v>
      </c>
      <c r="DW897">
        <v>1</v>
      </c>
      <c r="DX897">
        <v>1</v>
      </c>
      <c r="DY897">
        <v>1</v>
      </c>
      <c r="DZ897">
        <v>1</v>
      </c>
      <c r="EA897" s="143">
        <v>0</v>
      </c>
      <c r="EB897">
        <v>1</v>
      </c>
      <c r="EC897">
        <v>1</v>
      </c>
      <c r="ED897">
        <v>0</v>
      </c>
      <c r="EE897">
        <v>1</v>
      </c>
      <c r="EF897">
        <v>1</v>
      </c>
      <c r="EG897">
        <v>1</v>
      </c>
      <c r="EH897">
        <v>0</v>
      </c>
      <c r="EI897" s="2">
        <v>0</v>
      </c>
      <c r="EK897" t="str">
        <f t="shared" si="130"/>
        <v>Whole sector</v>
      </c>
      <c r="EL897" t="str">
        <f t="shared" si="131"/>
        <v/>
      </c>
      <c r="EM897" s="2" t="str">
        <f t="shared" si="146"/>
        <v/>
      </c>
      <c r="EP897" t="str">
        <f>IF(ISNUMBER(BU897),IF(ABS(BU897-[2]QC_indicators!$B$2)&gt;3*[2]QC_indicators!$C$2,"C ratio",IF(ISNUMBER(BY897),IF(ABS(BY897-[2]QC_indicators!$B$1)&gt;3*[2]QC_indicators!$C$1,"DF","no"))),IF(ISNUMBER(BY897),IF(ABS(BY897-[2]QC_indicators!$B$1)&gt;3*[2]QC_indicators!$C$1,"DF","no")))</f>
        <v>no</v>
      </c>
      <c r="EQ897" t="s">
        <v>287</v>
      </c>
      <c r="ER897" t="s">
        <v>297</v>
      </c>
      <c r="ET897" s="266" t="s">
        <v>3275</v>
      </c>
    </row>
    <row r="898" spans="1:150" ht="15" hidden="1" customHeight="1">
      <c r="A898" s="1" t="s">
        <v>266</v>
      </c>
      <c r="B898" t="s">
        <v>267</v>
      </c>
      <c r="C898" t="s">
        <v>268</v>
      </c>
      <c r="D898" t="s">
        <v>269</v>
      </c>
      <c r="E898" t="s">
        <v>270</v>
      </c>
      <c r="F898" t="s">
        <v>271</v>
      </c>
      <c r="G898" t="s">
        <v>272</v>
      </c>
      <c r="H898" t="s">
        <v>255</v>
      </c>
      <c r="I898">
        <v>2022</v>
      </c>
      <c r="J898">
        <v>0</v>
      </c>
      <c r="K898" t="s">
        <v>273</v>
      </c>
      <c r="M898" t="str">
        <f t="shared" si="153"/>
        <v>Aryapratama_2022</v>
      </c>
      <c r="N898" t="s">
        <v>223</v>
      </c>
      <c r="O898" s="145" t="s">
        <v>275</v>
      </c>
      <c r="Q898" t="s">
        <v>225</v>
      </c>
      <c r="R898" s="264" t="s">
        <v>224</v>
      </c>
      <c r="S898" s="265" t="s">
        <v>3107</v>
      </c>
      <c r="T898" t="s">
        <v>303</v>
      </c>
      <c r="U898" t="s">
        <v>304</v>
      </c>
      <c r="V898">
        <v>0</v>
      </c>
      <c r="W898">
        <v>0</v>
      </c>
      <c r="X898">
        <v>0</v>
      </c>
      <c r="Y898">
        <v>0</v>
      </c>
      <c r="Z898">
        <v>0</v>
      </c>
      <c r="AA898">
        <v>0</v>
      </c>
      <c r="AB898">
        <v>0</v>
      </c>
      <c r="AC898">
        <v>0</v>
      </c>
      <c r="AD898">
        <v>0</v>
      </c>
      <c r="AE898">
        <v>0</v>
      </c>
      <c r="AF898">
        <v>0</v>
      </c>
      <c r="AG898">
        <v>0</v>
      </c>
      <c r="AH898">
        <v>0</v>
      </c>
      <c r="AI898">
        <v>0</v>
      </c>
      <c r="AJ898">
        <v>0</v>
      </c>
      <c r="AK898">
        <v>1</v>
      </c>
      <c r="AL898">
        <v>0</v>
      </c>
      <c r="AM898">
        <v>0</v>
      </c>
      <c r="AN898">
        <v>0</v>
      </c>
      <c r="AO898">
        <v>0</v>
      </c>
      <c r="AP898">
        <v>0</v>
      </c>
      <c r="AQ898">
        <v>0</v>
      </c>
      <c r="AR898">
        <v>0</v>
      </c>
      <c r="AS898">
        <v>0</v>
      </c>
      <c r="AT898">
        <v>0</v>
      </c>
      <c r="AU898">
        <v>0</v>
      </c>
      <c r="AV898">
        <v>0</v>
      </c>
      <c r="AW898">
        <v>0</v>
      </c>
      <c r="AX898" s="141">
        <f t="shared" si="167"/>
        <v>1</v>
      </c>
      <c r="AY898" s="141">
        <f t="shared" si="137"/>
        <v>1</v>
      </c>
      <c r="AZ898">
        <f t="shared" si="138"/>
        <v>0</v>
      </c>
      <c r="BA898">
        <f t="shared" si="139"/>
        <v>0</v>
      </c>
      <c r="BB898">
        <f t="shared" si="140"/>
        <v>1</v>
      </c>
      <c r="BC898">
        <f t="shared" si="141"/>
        <v>0</v>
      </c>
      <c r="BD898">
        <f t="shared" si="142"/>
        <v>0</v>
      </c>
      <c r="BE898" t="str">
        <f t="array" ref="BE898">IF(AY898=1,INDEX($V$7:$AL$7,MATCH(TRUE,INDEX($V898:$AW898&lt;&gt;0,),0)),IF(AY898=0,INDEX($AM$7:$AW$7,MATCH(1,$AM898:$AW898,0)),IF(BF898="Multiple strategies","mixed drivers",IF(BF898="Supply chain","multiple supply","multiple silviculture"))))</f>
        <v>technologies/design switch</v>
      </c>
      <c r="BF898" s="2" t="str" cm="1">
        <f t="array" ref="BF898">IF(COUNTIF(AZ898:BB898,"&lt;&gt;0")=1,INDEX($V$4:$AW$4,MATCH(TRUE,INDEX($V898:$AW898&lt;&gt;0,),0)),IF(COUNTIF(AZ898:BB898,"&lt;&gt;0")=0,INDEX($AM$4:$AW$4,MATCH(1,$AM898:$AW898,0)),"Multiple strategies"))</f>
        <v>Technology</v>
      </c>
      <c r="BG898" s="1" t="s">
        <v>230</v>
      </c>
      <c r="BH898" t="s">
        <v>278</v>
      </c>
      <c r="BI898" s="266" t="s">
        <v>3108</v>
      </c>
      <c r="BJ898" t="s">
        <v>279</v>
      </c>
      <c r="BK898">
        <v>0</v>
      </c>
      <c r="BL898">
        <v>15.419381264639073</v>
      </c>
      <c r="BN898">
        <f t="shared" si="125"/>
        <v>15.419381264639073</v>
      </c>
      <c r="BO898">
        <f t="shared" si="164"/>
        <v>66.953457510373752</v>
      </c>
      <c r="BP898" t="s">
        <v>233</v>
      </c>
      <c r="BQ898" s="153" t="s">
        <v>3109</v>
      </c>
      <c r="BR898" t="s">
        <v>280</v>
      </c>
      <c r="BS898">
        <v>68.167571816623862</v>
      </c>
      <c r="BT898">
        <v>82.450615050179124</v>
      </c>
      <c r="BU898" s="144">
        <f t="shared" si="165"/>
        <v>1.2095284143606841</v>
      </c>
      <c r="BV898">
        <f t="shared" si="166"/>
        <v>14.283043233555262</v>
      </c>
      <c r="BX898">
        <f t="shared" si="161"/>
        <v>14.283043233555262</v>
      </c>
      <c r="BY898">
        <f t="shared" si="143"/>
        <v>0.21332794100054131</v>
      </c>
      <c r="BZ898">
        <v>0</v>
      </c>
      <c r="CA898">
        <v>0</v>
      </c>
      <c r="CB898">
        <v>0</v>
      </c>
      <c r="CC898">
        <v>0</v>
      </c>
      <c r="CD898">
        <v>0</v>
      </c>
      <c r="CE898">
        <v>0</v>
      </c>
      <c r="CF898">
        <v>0</v>
      </c>
      <c r="CG898">
        <v>0</v>
      </c>
      <c r="CH898">
        <v>0</v>
      </c>
      <c r="CI898">
        <v>0</v>
      </c>
      <c r="CJ898">
        <v>0</v>
      </c>
      <c r="CK898">
        <v>0</v>
      </c>
      <c r="CL898">
        <v>0</v>
      </c>
      <c r="CM898">
        <v>0</v>
      </c>
      <c r="CN898" t="str">
        <f t="shared" si="157"/>
        <v>refOK</v>
      </c>
      <c r="CO898">
        <f t="shared" si="162"/>
        <v>0</v>
      </c>
      <c r="CP898">
        <f t="shared" si="163"/>
        <v>15.419381264639073</v>
      </c>
      <c r="CQ898">
        <f t="shared" si="124"/>
        <v>66.953457510373752</v>
      </c>
      <c r="CR898">
        <f t="shared" si="158"/>
        <v>68.167571816623862</v>
      </c>
      <c r="CS898">
        <f t="shared" si="159"/>
        <v>82.450615050179124</v>
      </c>
      <c r="CT898">
        <f t="shared" si="168"/>
        <v>14.283043233555262</v>
      </c>
      <c r="CU898">
        <f t="shared" si="156"/>
        <v>0.21332794100054131</v>
      </c>
      <c r="CV898" s="2">
        <f t="shared" si="169"/>
        <v>0.20952841436068417</v>
      </c>
      <c r="CW898" s="1" t="s">
        <v>235</v>
      </c>
      <c r="CX898" t="str">
        <f t="shared" si="144"/>
        <v>loc</v>
      </c>
      <c r="CY898" t="s">
        <v>281</v>
      </c>
      <c r="DB898">
        <v>50</v>
      </c>
      <c r="DC898" t="str">
        <f t="shared" si="145"/>
        <v>31-70</v>
      </c>
      <c r="DD898">
        <v>0</v>
      </c>
      <c r="DE898">
        <v>0</v>
      </c>
      <c r="DF898">
        <v>0</v>
      </c>
      <c r="DG898">
        <v>1</v>
      </c>
      <c r="DI898">
        <f t="shared" si="154"/>
        <v>1</v>
      </c>
      <c r="DJ898" t="str">
        <f t="shared" si="155"/>
        <v>TimberInput</v>
      </c>
      <c r="DK898">
        <f t="shared" si="126"/>
        <v>0</v>
      </c>
      <c r="DL898">
        <f t="shared" si="127"/>
        <v>0</v>
      </c>
      <c r="DM898">
        <f t="shared" si="128"/>
        <v>0</v>
      </c>
      <c r="DN898" t="str">
        <f t="shared" si="129"/>
        <v>Timber</v>
      </c>
      <c r="DO898">
        <v>0</v>
      </c>
      <c r="DP898">
        <v>1</v>
      </c>
      <c r="DQ898" t="s">
        <v>305</v>
      </c>
      <c r="DR898">
        <v>0</v>
      </c>
      <c r="DS898">
        <v>0</v>
      </c>
      <c r="DT898">
        <f t="shared" si="160"/>
        <v>1</v>
      </c>
      <c r="DU898" s="143" t="str">
        <f t="shared" si="149"/>
        <v>external DF used</v>
      </c>
      <c r="DV898">
        <v>0</v>
      </c>
      <c r="DW898">
        <v>1</v>
      </c>
      <c r="DX898">
        <v>1</v>
      </c>
      <c r="DY898">
        <v>1</v>
      </c>
      <c r="DZ898">
        <v>1</v>
      </c>
      <c r="EA898" s="143">
        <v>0</v>
      </c>
      <c r="EB898">
        <v>1</v>
      </c>
      <c r="EC898">
        <v>1</v>
      </c>
      <c r="ED898">
        <v>0</v>
      </c>
      <c r="EE898">
        <v>1</v>
      </c>
      <c r="EF898">
        <v>1</v>
      </c>
      <c r="EG898">
        <v>1</v>
      </c>
      <c r="EH898">
        <v>0</v>
      </c>
      <c r="EI898" s="2">
        <v>0</v>
      </c>
      <c r="EK898" t="str">
        <f t="shared" si="130"/>
        <v>Whole sector</v>
      </c>
      <c r="EL898" t="str">
        <f t="shared" si="131"/>
        <v/>
      </c>
      <c r="EM898" s="2" t="str">
        <f t="shared" si="146"/>
        <v/>
      </c>
      <c r="EP898" t="str">
        <f>IF(ISNUMBER(BU898),IF(ABS(BU898-[2]QC_indicators!$B$2)&gt;3*[2]QC_indicators!$C$2,"C ratio",IF(ISNUMBER(BY898),IF(ABS(BY898-[2]QC_indicators!$B$1)&gt;3*[2]QC_indicators!$C$1,"DF","no"))),IF(ISNUMBER(BY898),IF(ABS(BY898-[2]QC_indicators!$B$1)&gt;3*[2]QC_indicators!$C$1,"DF","no")))</f>
        <v>no</v>
      </c>
      <c r="EQ898" t="s">
        <v>287</v>
      </c>
      <c r="ET898" s="266" t="s">
        <v>3275</v>
      </c>
    </row>
    <row r="899" spans="1:150" ht="15" hidden="1" customHeight="1">
      <c r="A899" s="1" t="s">
        <v>266</v>
      </c>
      <c r="B899" t="s">
        <v>267</v>
      </c>
      <c r="C899" t="s">
        <v>268</v>
      </c>
      <c r="D899" t="s">
        <v>269</v>
      </c>
      <c r="E899" t="s">
        <v>270</v>
      </c>
      <c r="F899" t="s">
        <v>271</v>
      </c>
      <c r="G899" t="s">
        <v>272</v>
      </c>
      <c r="H899" t="s">
        <v>255</v>
      </c>
      <c r="I899">
        <v>2022</v>
      </c>
      <c r="J899">
        <v>0</v>
      </c>
      <c r="K899" t="s">
        <v>273</v>
      </c>
      <c r="M899" t="str">
        <f t="shared" si="153"/>
        <v>Aryapratama_2022</v>
      </c>
      <c r="N899" t="s">
        <v>223</v>
      </c>
      <c r="O899" s="145" t="s">
        <v>275</v>
      </c>
      <c r="Q899" t="s">
        <v>225</v>
      </c>
      <c r="R899" s="264" t="s">
        <v>224</v>
      </c>
      <c r="S899" s="265" t="s">
        <v>3107</v>
      </c>
      <c r="T899" t="s">
        <v>306</v>
      </c>
      <c r="U899" t="s">
        <v>285</v>
      </c>
      <c r="V899">
        <v>0</v>
      </c>
      <c r="W899">
        <v>0</v>
      </c>
      <c r="X899">
        <v>0</v>
      </c>
      <c r="Y899">
        <v>0</v>
      </c>
      <c r="Z899">
        <v>0</v>
      </c>
      <c r="AA899">
        <v>0</v>
      </c>
      <c r="AB899">
        <v>0</v>
      </c>
      <c r="AC899">
        <v>0</v>
      </c>
      <c r="AD899">
        <v>0</v>
      </c>
      <c r="AE899">
        <v>0</v>
      </c>
      <c r="AF899">
        <v>0</v>
      </c>
      <c r="AG899">
        <v>0</v>
      </c>
      <c r="AH899">
        <v>0</v>
      </c>
      <c r="AI899">
        <v>0</v>
      </c>
      <c r="AJ899">
        <v>0</v>
      </c>
      <c r="AK899">
        <v>1</v>
      </c>
      <c r="AL899">
        <v>0</v>
      </c>
      <c r="AM899">
        <v>0</v>
      </c>
      <c r="AN899">
        <v>0</v>
      </c>
      <c r="AO899">
        <v>0</v>
      </c>
      <c r="AP899">
        <v>0</v>
      </c>
      <c r="AQ899">
        <v>0</v>
      </c>
      <c r="AR899">
        <v>0</v>
      </c>
      <c r="AS899">
        <v>0</v>
      </c>
      <c r="AT899">
        <v>0</v>
      </c>
      <c r="AU899">
        <v>0</v>
      </c>
      <c r="AV899">
        <v>0</v>
      </c>
      <c r="AW899">
        <v>0</v>
      </c>
      <c r="AX899" s="141">
        <f t="shared" si="167"/>
        <v>1</v>
      </c>
      <c r="AY899" s="141">
        <f t="shared" si="137"/>
        <v>1</v>
      </c>
      <c r="AZ899">
        <f t="shared" si="138"/>
        <v>0</v>
      </c>
      <c r="BA899">
        <f t="shared" si="139"/>
        <v>0</v>
      </c>
      <c r="BB899">
        <f t="shared" si="140"/>
        <v>1</v>
      </c>
      <c r="BC899">
        <f t="shared" si="141"/>
        <v>0</v>
      </c>
      <c r="BD899">
        <f t="shared" si="142"/>
        <v>0</v>
      </c>
      <c r="BE899" t="str">
        <f t="array" ref="BE899">IF(AY899=1,INDEX($V$7:$AL$7,MATCH(TRUE,INDEX($V899:$AW899&lt;&gt;0,),0)),IF(AY899=0,INDEX($AM$7:$AW$7,MATCH(1,$AM899:$AW899,0)),IF(BF899="Multiple strategies","mixed drivers",IF(BF899="Supply chain","multiple supply","multiple silviculture"))))</f>
        <v>technologies/design switch</v>
      </c>
      <c r="BF899" s="2" t="str" cm="1">
        <f t="array" ref="BF899">IF(COUNTIF(AZ899:BB899,"&lt;&gt;0")=1,INDEX($V$4:$AW$4,MATCH(TRUE,INDEX($V899:$AW899&lt;&gt;0,),0)),IF(COUNTIF(AZ899:BB899,"&lt;&gt;0")=0,INDEX($AM$4:$AW$4,MATCH(1,$AM899:$AW899,0)),"Multiple strategies"))</f>
        <v>Technology</v>
      </c>
      <c r="BG899" s="1" t="s">
        <v>230</v>
      </c>
      <c r="BH899" t="s">
        <v>278</v>
      </c>
      <c r="BI899" s="266" t="s">
        <v>3108</v>
      </c>
      <c r="BJ899" t="s">
        <v>279</v>
      </c>
      <c r="BK899">
        <v>0</v>
      </c>
      <c r="BL899">
        <v>11.564535948479303</v>
      </c>
      <c r="BN899">
        <f t="shared" si="125"/>
        <v>11.564535948479303</v>
      </c>
      <c r="BO899">
        <f t="shared" si="164"/>
        <v>50.215093132780304</v>
      </c>
      <c r="BP899" t="s">
        <v>233</v>
      </c>
      <c r="BQ899" s="153" t="s">
        <v>3109</v>
      </c>
      <c r="BR899" t="s">
        <v>280</v>
      </c>
      <c r="BS899">
        <v>75.991198542896527</v>
      </c>
      <c r="BT899">
        <v>100.2569126004381</v>
      </c>
      <c r="BU899" s="144">
        <f t="shared" si="165"/>
        <v>1.3193226916120258</v>
      </c>
      <c r="BV899">
        <f t="shared" si="166"/>
        <v>24.265714057541572</v>
      </c>
      <c r="BX899">
        <f t="shared" si="161"/>
        <v>24.265714057541572</v>
      </c>
      <c r="BY899">
        <f t="shared" si="143"/>
        <v>0.48323546853487698</v>
      </c>
      <c r="BZ899">
        <v>0</v>
      </c>
      <c r="CA899">
        <v>0</v>
      </c>
      <c r="CB899">
        <v>0</v>
      </c>
      <c r="CC899">
        <v>0</v>
      </c>
      <c r="CD899">
        <v>0</v>
      </c>
      <c r="CE899">
        <v>0</v>
      </c>
      <c r="CF899">
        <v>0</v>
      </c>
      <c r="CG899">
        <v>0</v>
      </c>
      <c r="CH899">
        <v>0</v>
      </c>
      <c r="CI899">
        <v>0</v>
      </c>
      <c r="CJ899">
        <v>0</v>
      </c>
      <c r="CK899">
        <v>0</v>
      </c>
      <c r="CL899">
        <v>0</v>
      </c>
      <c r="CM899">
        <v>0</v>
      </c>
      <c r="CN899" t="str">
        <f t="shared" si="157"/>
        <v>refOK</v>
      </c>
      <c r="CO899">
        <f t="shared" si="162"/>
        <v>0</v>
      </c>
      <c r="CP899">
        <f t="shared" si="163"/>
        <v>11.564535948479303</v>
      </c>
      <c r="CQ899">
        <f t="shared" si="124"/>
        <v>50.215093132780304</v>
      </c>
      <c r="CR899">
        <f t="shared" si="158"/>
        <v>75.991198542896527</v>
      </c>
      <c r="CS899">
        <f t="shared" si="159"/>
        <v>100.2569126004381</v>
      </c>
      <c r="CT899">
        <f t="shared" si="168"/>
        <v>24.265714057541572</v>
      </c>
      <c r="CU899">
        <f t="shared" si="156"/>
        <v>0.48323546853487698</v>
      </c>
      <c r="CV899" s="2">
        <f t="shared" si="169"/>
        <v>0.31932269161202581</v>
      </c>
      <c r="CW899" s="1" t="s">
        <v>235</v>
      </c>
      <c r="CX899" t="str">
        <f t="shared" si="144"/>
        <v>loc</v>
      </c>
      <c r="CY899" t="s">
        <v>281</v>
      </c>
      <c r="DB899">
        <v>50</v>
      </c>
      <c r="DC899" t="str">
        <f t="shared" si="145"/>
        <v>31-70</v>
      </c>
      <c r="DD899">
        <v>0</v>
      </c>
      <c r="DE899">
        <v>0</v>
      </c>
      <c r="DF899">
        <v>0</v>
      </c>
      <c r="DG899">
        <v>1</v>
      </c>
      <c r="DI899">
        <f t="shared" si="154"/>
        <v>1</v>
      </c>
      <c r="DJ899" t="str">
        <f t="shared" si="155"/>
        <v>TimberInput</v>
      </c>
      <c r="DK899">
        <f t="shared" si="126"/>
        <v>0</v>
      </c>
      <c r="DL899">
        <f t="shared" si="127"/>
        <v>0</v>
      </c>
      <c r="DM899">
        <f t="shared" si="128"/>
        <v>0</v>
      </c>
      <c r="DN899" t="str">
        <f t="shared" si="129"/>
        <v>Timber</v>
      </c>
      <c r="DO899">
        <v>0</v>
      </c>
      <c r="DP899">
        <v>1</v>
      </c>
      <c r="DQ899">
        <v>0</v>
      </c>
      <c r="DR899" t="s">
        <v>282</v>
      </c>
      <c r="DS899">
        <v>0</v>
      </c>
      <c r="DT899">
        <f t="shared" si="160"/>
        <v>1</v>
      </c>
      <c r="DU899" s="143" t="str">
        <f t="shared" si="149"/>
        <v>external DF used</v>
      </c>
      <c r="DV899">
        <v>0</v>
      </c>
      <c r="DW899">
        <v>1</v>
      </c>
      <c r="DX899">
        <v>1</v>
      </c>
      <c r="DY899">
        <v>1</v>
      </c>
      <c r="DZ899">
        <v>1</v>
      </c>
      <c r="EA899" s="143">
        <v>0</v>
      </c>
      <c r="EB899">
        <v>1</v>
      </c>
      <c r="EC899">
        <v>1</v>
      </c>
      <c r="ED899">
        <v>0</v>
      </c>
      <c r="EE899">
        <v>1</v>
      </c>
      <c r="EF899">
        <v>1</v>
      </c>
      <c r="EG899">
        <v>1</v>
      </c>
      <c r="EH899">
        <v>0</v>
      </c>
      <c r="EI899" s="2">
        <v>0</v>
      </c>
      <c r="EK899" t="str">
        <f t="shared" si="130"/>
        <v>Whole sector</v>
      </c>
      <c r="EL899" t="str">
        <f t="shared" si="131"/>
        <v/>
      </c>
      <c r="EM899" s="2" t="str">
        <f t="shared" si="146"/>
        <v/>
      </c>
      <c r="EP899" t="str">
        <f>IF(ISNUMBER(BU899),IF(ABS(BU899-[2]QC_indicators!$B$2)&gt;3*[2]QC_indicators!$C$2,"C ratio",IF(ISNUMBER(BY899),IF(ABS(BY899-[2]QC_indicators!$B$1)&gt;3*[2]QC_indicators!$C$1,"DF","no"))),IF(ISNUMBER(BY899),IF(ABS(BY899-[2]QC_indicators!$B$1)&gt;3*[2]QC_indicators!$C$1,"DF","no")))</f>
        <v>no</v>
      </c>
      <c r="EQ899" t="s">
        <v>287</v>
      </c>
      <c r="ET899" s="266" t="s">
        <v>3275</v>
      </c>
    </row>
    <row r="900" spans="1:150" ht="15" hidden="1" customHeight="1">
      <c r="A900" s="1" t="s">
        <v>266</v>
      </c>
      <c r="B900" t="s">
        <v>267</v>
      </c>
      <c r="C900" t="s">
        <v>268</v>
      </c>
      <c r="D900" t="s">
        <v>269</v>
      </c>
      <c r="E900" t="s">
        <v>270</v>
      </c>
      <c r="F900" t="s">
        <v>271</v>
      </c>
      <c r="G900" t="s">
        <v>272</v>
      </c>
      <c r="H900" t="s">
        <v>255</v>
      </c>
      <c r="I900">
        <v>2022</v>
      </c>
      <c r="J900">
        <v>0</v>
      </c>
      <c r="K900" t="s">
        <v>273</v>
      </c>
      <c r="M900" t="str">
        <f t="shared" si="153"/>
        <v>Aryapratama_2022</v>
      </c>
      <c r="N900" t="s">
        <v>223</v>
      </c>
      <c r="O900" s="145" t="s">
        <v>275</v>
      </c>
      <c r="Q900" t="s">
        <v>225</v>
      </c>
      <c r="R900" s="264" t="s">
        <v>224</v>
      </c>
      <c r="S900" s="265" t="s">
        <v>3107</v>
      </c>
      <c r="T900" t="s">
        <v>307</v>
      </c>
      <c r="U900" t="s">
        <v>289</v>
      </c>
      <c r="V900">
        <v>0</v>
      </c>
      <c r="W900">
        <v>0</v>
      </c>
      <c r="X900">
        <v>0</v>
      </c>
      <c r="Y900">
        <v>0</v>
      </c>
      <c r="Z900">
        <v>0</v>
      </c>
      <c r="AA900">
        <v>0</v>
      </c>
      <c r="AB900">
        <v>0</v>
      </c>
      <c r="AC900">
        <v>0</v>
      </c>
      <c r="AD900">
        <v>0</v>
      </c>
      <c r="AE900">
        <v>0</v>
      </c>
      <c r="AF900">
        <v>0</v>
      </c>
      <c r="AG900">
        <v>0</v>
      </c>
      <c r="AH900">
        <v>0</v>
      </c>
      <c r="AI900">
        <v>0</v>
      </c>
      <c r="AJ900">
        <v>0</v>
      </c>
      <c r="AK900">
        <v>1</v>
      </c>
      <c r="AL900">
        <v>0</v>
      </c>
      <c r="AM900">
        <v>0</v>
      </c>
      <c r="AN900">
        <v>0</v>
      </c>
      <c r="AO900">
        <v>0</v>
      </c>
      <c r="AP900">
        <v>0</v>
      </c>
      <c r="AQ900">
        <v>0</v>
      </c>
      <c r="AR900">
        <v>0</v>
      </c>
      <c r="AS900">
        <v>0</v>
      </c>
      <c r="AT900">
        <v>0</v>
      </c>
      <c r="AU900">
        <v>0</v>
      </c>
      <c r="AV900">
        <v>0</v>
      </c>
      <c r="AW900">
        <v>0</v>
      </c>
      <c r="AX900" s="141">
        <f t="shared" si="167"/>
        <v>1</v>
      </c>
      <c r="AY900" s="141">
        <f t="shared" si="137"/>
        <v>1</v>
      </c>
      <c r="AZ900">
        <f t="shared" si="138"/>
        <v>0</v>
      </c>
      <c r="BA900">
        <f t="shared" si="139"/>
        <v>0</v>
      </c>
      <c r="BB900">
        <f t="shared" si="140"/>
        <v>1</v>
      </c>
      <c r="BC900">
        <f t="shared" si="141"/>
        <v>0</v>
      </c>
      <c r="BD900">
        <f t="shared" si="142"/>
        <v>0</v>
      </c>
      <c r="BE900" t="str">
        <f t="array" ref="BE900">IF(AY900=1,INDEX($V$7:$AL$7,MATCH(TRUE,INDEX($V900:$AW900&lt;&gt;0,),0)),IF(AY900=0,INDEX($AM$7:$AW$7,MATCH(1,$AM900:$AW900,0)),IF(BF900="Multiple strategies","mixed drivers",IF(BF900="Supply chain","multiple supply","multiple silviculture"))))</f>
        <v>technologies/design switch</v>
      </c>
      <c r="BF900" s="2" t="str" cm="1">
        <f t="array" ref="BF900">IF(COUNTIF(AZ900:BB900,"&lt;&gt;0")=1,INDEX($V$4:$AW$4,MATCH(TRUE,INDEX($V900:$AW900&lt;&gt;0,),0)),IF(COUNTIF(AZ900:BB900,"&lt;&gt;0")=0,INDEX($AM$4:$AW$4,MATCH(1,$AM900:$AW900,0)),"Multiple strategies"))</f>
        <v>Technology</v>
      </c>
      <c r="BG900" s="1" t="s">
        <v>230</v>
      </c>
      <c r="BH900" t="s">
        <v>278</v>
      </c>
      <c r="BI900" s="266" t="s">
        <v>3108</v>
      </c>
      <c r="BJ900" t="s">
        <v>279</v>
      </c>
      <c r="BK900">
        <v>0</v>
      </c>
      <c r="BL900">
        <v>164.02627088979997</v>
      </c>
      <c r="BN900">
        <f t="shared" si="125"/>
        <v>164.02627088979997</v>
      </c>
      <c r="BO900">
        <f t="shared" si="164"/>
        <v>712.22870555709937</v>
      </c>
      <c r="BP900" t="s">
        <v>233</v>
      </c>
      <c r="BQ900" s="153" t="s">
        <v>3109</v>
      </c>
      <c r="BR900" t="s">
        <v>280</v>
      </c>
      <c r="BS900">
        <v>-293.93651380696792</v>
      </c>
      <c r="BT900">
        <v>77.331302173432363</v>
      </c>
      <c r="BU900" s="144">
        <f t="shared" si="165"/>
        <v>-0.26308845121643126</v>
      </c>
      <c r="BV900">
        <f t="shared" si="166"/>
        <v>371.26781598040031</v>
      </c>
      <c r="BX900">
        <f t="shared" si="161"/>
        <v>371.26781598040031</v>
      </c>
      <c r="BY900">
        <f t="shared" si="143"/>
        <v>0.52127611971213339</v>
      </c>
      <c r="BZ900">
        <v>0</v>
      </c>
      <c r="CA900">
        <v>0</v>
      </c>
      <c r="CB900">
        <v>0</v>
      </c>
      <c r="CC900">
        <v>0</v>
      </c>
      <c r="CD900">
        <v>0</v>
      </c>
      <c r="CE900">
        <v>0</v>
      </c>
      <c r="CF900">
        <v>0</v>
      </c>
      <c r="CG900">
        <v>0</v>
      </c>
      <c r="CH900">
        <v>0</v>
      </c>
      <c r="CI900">
        <v>0</v>
      </c>
      <c r="CJ900">
        <v>0</v>
      </c>
      <c r="CK900">
        <v>0</v>
      </c>
      <c r="CL900">
        <v>0</v>
      </c>
      <c r="CM900">
        <v>0</v>
      </c>
      <c r="CN900" t="str">
        <f t="shared" si="157"/>
        <v>refOK</v>
      </c>
      <c r="CO900">
        <f t="shared" si="162"/>
        <v>0</v>
      </c>
      <c r="CP900">
        <f t="shared" si="163"/>
        <v>164.02627088979997</v>
      </c>
      <c r="CQ900">
        <f t="shared" ref="CQ900:CQ963" si="170">IF($CN900="refOK",$BO900,-$BO900)</f>
        <v>712.22870555709937</v>
      </c>
      <c r="CR900">
        <f t="shared" si="158"/>
        <v>-293.93651380696792</v>
      </c>
      <c r="CS900">
        <f t="shared" si="159"/>
        <v>77.331302173432363</v>
      </c>
      <c r="CT900">
        <f t="shared" si="168"/>
        <v>371.26781598040031</v>
      </c>
      <c r="CU900">
        <f t="shared" si="156"/>
        <v>0.52127611971213339</v>
      </c>
      <c r="CV900" s="2">
        <f t="shared" si="169"/>
        <v>1.2630884512164313</v>
      </c>
      <c r="CW900" s="1" t="s">
        <v>235</v>
      </c>
      <c r="CX900" t="str">
        <f t="shared" si="144"/>
        <v>loc</v>
      </c>
      <c r="CY900" t="s">
        <v>281</v>
      </c>
      <c r="DB900">
        <v>50</v>
      </c>
      <c r="DC900" t="str">
        <f t="shared" si="145"/>
        <v>31-70</v>
      </c>
      <c r="DD900">
        <v>0</v>
      </c>
      <c r="DE900">
        <v>0</v>
      </c>
      <c r="DF900">
        <v>0</v>
      </c>
      <c r="DG900">
        <v>1</v>
      </c>
      <c r="DI900">
        <f t="shared" si="154"/>
        <v>1</v>
      </c>
      <c r="DJ900" t="str">
        <f t="shared" si="155"/>
        <v>TimberInput</v>
      </c>
      <c r="DK900">
        <f t="shared" si="126"/>
        <v>0</v>
      </c>
      <c r="DL900">
        <f t="shared" si="127"/>
        <v>0</v>
      </c>
      <c r="DM900">
        <f t="shared" si="128"/>
        <v>0</v>
      </c>
      <c r="DN900" t="str">
        <f t="shared" si="129"/>
        <v>Timber</v>
      </c>
      <c r="DO900">
        <v>0</v>
      </c>
      <c r="DP900">
        <v>1</v>
      </c>
      <c r="DQ900">
        <v>0</v>
      </c>
      <c r="DR900" t="s">
        <v>282</v>
      </c>
      <c r="DS900">
        <v>0</v>
      </c>
      <c r="DT900">
        <f t="shared" si="160"/>
        <v>1</v>
      </c>
      <c r="DU900" s="143" t="str">
        <f t="shared" si="149"/>
        <v>external DF used</v>
      </c>
      <c r="DV900">
        <v>0</v>
      </c>
      <c r="DW900">
        <v>1</v>
      </c>
      <c r="DX900">
        <v>1</v>
      </c>
      <c r="DY900">
        <v>1</v>
      </c>
      <c r="DZ900">
        <v>1</v>
      </c>
      <c r="EA900" s="143">
        <v>0</v>
      </c>
      <c r="EB900">
        <v>1</v>
      </c>
      <c r="EC900">
        <v>1</v>
      </c>
      <c r="ED900">
        <v>0</v>
      </c>
      <c r="EE900">
        <v>1</v>
      </c>
      <c r="EF900">
        <v>1</v>
      </c>
      <c r="EG900">
        <v>1</v>
      </c>
      <c r="EH900">
        <v>0</v>
      </c>
      <c r="EI900" s="2">
        <v>0</v>
      </c>
      <c r="EK900" t="str">
        <f t="shared" si="130"/>
        <v>Whole sector</v>
      </c>
      <c r="EL900" t="str">
        <f t="shared" si="131"/>
        <v/>
      </c>
      <c r="EM900" s="2" t="str">
        <f t="shared" si="146"/>
        <v/>
      </c>
      <c r="EP900" t="str">
        <f>IF(ISNUMBER(BU900),IF(ABS(BU900-[2]QC_indicators!$B$2)&gt;3*[2]QC_indicators!$C$2,"C ratio",IF(ISNUMBER(BY900),IF(ABS(BY900-[2]QC_indicators!$B$1)&gt;3*[2]QC_indicators!$C$1,"DF","no"))),IF(ISNUMBER(BY900),IF(ABS(BY900-[2]QC_indicators!$B$1)&gt;3*[2]QC_indicators!$C$1,"DF","no")))</f>
        <v>no</v>
      </c>
      <c r="EQ900" t="s">
        <v>287</v>
      </c>
      <c r="ER900" t="s">
        <v>297</v>
      </c>
      <c r="ET900" s="266" t="s">
        <v>3275</v>
      </c>
    </row>
    <row r="901" spans="1:150" ht="15" hidden="1" customHeight="1">
      <c r="A901" s="1" t="s">
        <v>266</v>
      </c>
      <c r="B901" t="s">
        <v>267</v>
      </c>
      <c r="C901" t="s">
        <v>268</v>
      </c>
      <c r="D901" t="s">
        <v>269</v>
      </c>
      <c r="E901" t="s">
        <v>270</v>
      </c>
      <c r="F901" t="s">
        <v>271</v>
      </c>
      <c r="G901" t="s">
        <v>272</v>
      </c>
      <c r="H901" t="s">
        <v>255</v>
      </c>
      <c r="I901">
        <v>2022</v>
      </c>
      <c r="J901">
        <v>0</v>
      </c>
      <c r="K901" t="s">
        <v>273</v>
      </c>
      <c r="M901" t="str">
        <f t="shared" si="153"/>
        <v>Aryapratama_2022</v>
      </c>
      <c r="N901" t="s">
        <v>223</v>
      </c>
      <c r="O901" s="145" t="s">
        <v>275</v>
      </c>
      <c r="Q901" t="s">
        <v>225</v>
      </c>
      <c r="R901" s="264" t="s">
        <v>224</v>
      </c>
      <c r="S901" s="265" t="s">
        <v>3107</v>
      </c>
      <c r="T901" t="s">
        <v>308</v>
      </c>
      <c r="U901" t="s">
        <v>309</v>
      </c>
      <c r="V901">
        <v>0</v>
      </c>
      <c r="W901">
        <v>0</v>
      </c>
      <c r="X901">
        <v>0</v>
      </c>
      <c r="Y901">
        <v>0</v>
      </c>
      <c r="Z901">
        <v>0</v>
      </c>
      <c r="AA901">
        <v>0</v>
      </c>
      <c r="AB901">
        <v>0</v>
      </c>
      <c r="AC901">
        <v>0</v>
      </c>
      <c r="AD901">
        <v>0</v>
      </c>
      <c r="AE901">
        <v>0</v>
      </c>
      <c r="AF901">
        <v>0</v>
      </c>
      <c r="AG901">
        <v>0</v>
      </c>
      <c r="AH901">
        <v>0</v>
      </c>
      <c r="AI901">
        <v>0</v>
      </c>
      <c r="AJ901">
        <v>0</v>
      </c>
      <c r="AK901">
        <v>1</v>
      </c>
      <c r="AL901">
        <v>0</v>
      </c>
      <c r="AM901">
        <v>0</v>
      </c>
      <c r="AN901">
        <v>0</v>
      </c>
      <c r="AO901">
        <v>0</v>
      </c>
      <c r="AP901">
        <v>0</v>
      </c>
      <c r="AQ901">
        <v>0</v>
      </c>
      <c r="AR901">
        <v>0</v>
      </c>
      <c r="AS901">
        <v>0</v>
      </c>
      <c r="AT901">
        <v>0</v>
      </c>
      <c r="AU901">
        <v>0</v>
      </c>
      <c r="AV901">
        <v>0</v>
      </c>
      <c r="AW901">
        <v>0</v>
      </c>
      <c r="AX901" s="141">
        <f t="shared" si="167"/>
        <v>1</v>
      </c>
      <c r="AY901" s="141">
        <f t="shared" si="137"/>
        <v>1</v>
      </c>
      <c r="AZ901">
        <f t="shared" si="138"/>
        <v>0</v>
      </c>
      <c r="BA901">
        <f t="shared" si="139"/>
        <v>0</v>
      </c>
      <c r="BB901">
        <f t="shared" si="140"/>
        <v>1</v>
      </c>
      <c r="BC901">
        <f t="shared" si="141"/>
        <v>0</v>
      </c>
      <c r="BD901">
        <f t="shared" si="142"/>
        <v>0</v>
      </c>
      <c r="BE901" t="str">
        <f t="array" ref="BE901">IF(AY901=1,INDEX($V$7:$AL$7,MATCH(TRUE,INDEX($V901:$AW901&lt;&gt;0,),0)),IF(AY901=0,INDEX($AM$7:$AW$7,MATCH(1,$AM901:$AW901,0)),IF(BF901="Multiple strategies","mixed drivers",IF(BF901="Supply chain","multiple supply","multiple silviculture"))))</f>
        <v>technologies/design switch</v>
      </c>
      <c r="BF901" s="2" t="str" cm="1">
        <f t="array" ref="BF901">IF(COUNTIF(AZ901:BB901,"&lt;&gt;0")=1,INDEX($V$4:$AW$4,MATCH(TRUE,INDEX($V901:$AW901&lt;&gt;0,),0)),IF(COUNTIF(AZ901:BB901,"&lt;&gt;0")=0,INDEX($AM$4:$AW$4,MATCH(1,$AM901:$AW901,0)),"Multiple strategies"))</f>
        <v>Technology</v>
      </c>
      <c r="BG901" s="1" t="s">
        <v>230</v>
      </c>
      <c r="BH901" t="s">
        <v>278</v>
      </c>
      <c r="BI901" s="266" t="s">
        <v>3108</v>
      </c>
      <c r="BJ901" t="s">
        <v>279</v>
      </c>
      <c r="BK901">
        <v>0</v>
      </c>
      <c r="BL901">
        <v>91.149512158449113</v>
      </c>
      <c r="BN901">
        <f t="shared" ref="BN901:BN964" si="171">BL901-BK901</f>
        <v>91.149512158449113</v>
      </c>
      <c r="BO901">
        <f t="shared" si="164"/>
        <v>395.78598418779472</v>
      </c>
      <c r="BP901" t="s">
        <v>233</v>
      </c>
      <c r="BQ901" s="153" t="s">
        <v>3109</v>
      </c>
      <c r="BR901" t="s">
        <v>280</v>
      </c>
      <c r="BS901">
        <v>-155.15650615919409</v>
      </c>
      <c r="BT901">
        <v>254.21120760929861</v>
      </c>
      <c r="BU901" s="144">
        <f t="shared" si="165"/>
        <v>-1.6384179684251987</v>
      </c>
      <c r="BV901">
        <f t="shared" si="166"/>
        <v>409.36771376849271</v>
      </c>
      <c r="BX901">
        <f t="shared" si="161"/>
        <v>409.36771376849271</v>
      </c>
      <c r="BY901">
        <f t="shared" si="143"/>
        <v>1.0343158427112307</v>
      </c>
      <c r="BZ901">
        <v>0</v>
      </c>
      <c r="CA901">
        <v>0</v>
      </c>
      <c r="CB901">
        <v>0</v>
      </c>
      <c r="CC901">
        <v>0</v>
      </c>
      <c r="CD901">
        <v>0</v>
      </c>
      <c r="CE901">
        <v>0</v>
      </c>
      <c r="CF901">
        <v>0</v>
      </c>
      <c r="CG901">
        <v>0</v>
      </c>
      <c r="CH901">
        <v>0</v>
      </c>
      <c r="CI901">
        <v>0</v>
      </c>
      <c r="CJ901">
        <v>0</v>
      </c>
      <c r="CK901">
        <v>0</v>
      </c>
      <c r="CL901">
        <v>0</v>
      </c>
      <c r="CM901">
        <v>0</v>
      </c>
      <c r="CN901" t="str">
        <f t="shared" si="157"/>
        <v>refOK</v>
      </c>
      <c r="CO901">
        <f t="shared" si="162"/>
        <v>0</v>
      </c>
      <c r="CP901">
        <f t="shared" si="163"/>
        <v>91.149512158449113</v>
      </c>
      <c r="CQ901">
        <f t="shared" si="170"/>
        <v>395.78598418779472</v>
      </c>
      <c r="CR901">
        <f t="shared" si="158"/>
        <v>-155.15650615919409</v>
      </c>
      <c r="CS901">
        <f t="shared" si="159"/>
        <v>254.21120760929861</v>
      </c>
      <c r="CT901">
        <f t="shared" si="168"/>
        <v>409.36771376849271</v>
      </c>
      <c r="CU901">
        <f t="shared" si="156"/>
        <v>1.0343158427112307</v>
      </c>
      <c r="CV901" s="2">
        <f t="shared" si="169"/>
        <v>2.6384179684251987</v>
      </c>
      <c r="CW901" s="1" t="s">
        <v>235</v>
      </c>
      <c r="CX901" t="str">
        <f t="shared" si="144"/>
        <v>loc</v>
      </c>
      <c r="CY901" t="s">
        <v>281</v>
      </c>
      <c r="DB901">
        <v>50</v>
      </c>
      <c r="DC901" t="str">
        <f t="shared" si="145"/>
        <v>31-70</v>
      </c>
      <c r="DD901">
        <v>0</v>
      </c>
      <c r="DE901">
        <v>0</v>
      </c>
      <c r="DF901">
        <v>0</v>
      </c>
      <c r="DG901">
        <v>1</v>
      </c>
      <c r="DI901">
        <f t="shared" si="154"/>
        <v>1</v>
      </c>
      <c r="DJ901" t="str">
        <f t="shared" si="155"/>
        <v>TimberInput</v>
      </c>
      <c r="DK901">
        <f t="shared" si="126"/>
        <v>0</v>
      </c>
      <c r="DL901">
        <f t="shared" si="127"/>
        <v>0</v>
      </c>
      <c r="DM901">
        <f t="shared" si="128"/>
        <v>0</v>
      </c>
      <c r="DN901" t="str">
        <f t="shared" si="129"/>
        <v>Timber</v>
      </c>
      <c r="DO901">
        <v>0</v>
      </c>
      <c r="DP901">
        <v>1</v>
      </c>
      <c r="DQ901" t="s">
        <v>305</v>
      </c>
      <c r="DR901">
        <v>0</v>
      </c>
      <c r="DS901">
        <v>0</v>
      </c>
      <c r="DT901">
        <f t="shared" si="160"/>
        <v>1</v>
      </c>
      <c r="DU901" s="143" t="str">
        <f t="shared" si="149"/>
        <v>external DF used</v>
      </c>
      <c r="DV901">
        <v>0</v>
      </c>
      <c r="DW901">
        <v>1</v>
      </c>
      <c r="DX901">
        <v>1</v>
      </c>
      <c r="DY901">
        <v>1</v>
      </c>
      <c r="DZ901">
        <v>1</v>
      </c>
      <c r="EA901" s="143">
        <v>0</v>
      </c>
      <c r="EB901">
        <v>1</v>
      </c>
      <c r="EC901">
        <v>1</v>
      </c>
      <c r="ED901">
        <v>0</v>
      </c>
      <c r="EE901">
        <v>1</v>
      </c>
      <c r="EF901">
        <v>1</v>
      </c>
      <c r="EG901">
        <v>1</v>
      </c>
      <c r="EH901">
        <v>0</v>
      </c>
      <c r="EI901" s="2">
        <v>0</v>
      </c>
      <c r="EK901" t="str">
        <f t="shared" si="130"/>
        <v>Whole sector</v>
      </c>
      <c r="EL901" t="str">
        <f t="shared" si="131"/>
        <v/>
      </c>
      <c r="EM901" s="2" t="str">
        <f t="shared" si="146"/>
        <v/>
      </c>
      <c r="EP901" t="str">
        <f>IF(ISNUMBER(BU901),IF(ABS(BU901-[2]QC_indicators!$B$2)&gt;3*[2]QC_indicators!$C$2,"C ratio",IF(ISNUMBER(BY901),IF(ABS(BY901-[2]QC_indicators!$B$1)&gt;3*[2]QC_indicators!$C$1,"DF","no"))),IF(ISNUMBER(BY901),IF(ABS(BY901-[2]QC_indicators!$B$1)&gt;3*[2]QC_indicators!$C$1,"DF","no")))</f>
        <v>no</v>
      </c>
      <c r="EQ901" t="s">
        <v>287</v>
      </c>
      <c r="ER901" t="s">
        <v>297</v>
      </c>
      <c r="ET901" s="266" t="s">
        <v>3275</v>
      </c>
    </row>
    <row r="902" spans="1:150" ht="15" hidden="1" customHeight="1">
      <c r="A902" s="1" t="s">
        <v>266</v>
      </c>
      <c r="B902" t="s">
        <v>267</v>
      </c>
      <c r="C902" t="s">
        <v>268</v>
      </c>
      <c r="D902" t="s">
        <v>269</v>
      </c>
      <c r="E902" t="s">
        <v>270</v>
      </c>
      <c r="F902" t="s">
        <v>271</v>
      </c>
      <c r="G902" t="s">
        <v>272</v>
      </c>
      <c r="H902" t="s">
        <v>255</v>
      </c>
      <c r="I902">
        <v>2022</v>
      </c>
      <c r="J902">
        <v>0</v>
      </c>
      <c r="K902" t="s">
        <v>273</v>
      </c>
      <c r="M902" t="str">
        <f t="shared" si="153"/>
        <v>Aryapratama_2022</v>
      </c>
      <c r="N902" t="s">
        <v>223</v>
      </c>
      <c r="O902" s="145" t="s">
        <v>275</v>
      </c>
      <c r="Q902" t="s">
        <v>225</v>
      </c>
      <c r="R902" s="264" t="s">
        <v>224</v>
      </c>
      <c r="S902" s="265" t="s">
        <v>3107</v>
      </c>
      <c r="T902" t="s">
        <v>312</v>
      </c>
      <c r="U902" t="s">
        <v>313</v>
      </c>
      <c r="V902">
        <v>0</v>
      </c>
      <c r="W902">
        <v>0</v>
      </c>
      <c r="X902">
        <v>0</v>
      </c>
      <c r="Y902">
        <v>0</v>
      </c>
      <c r="Z902">
        <v>0</v>
      </c>
      <c r="AA902">
        <v>0</v>
      </c>
      <c r="AB902">
        <v>0</v>
      </c>
      <c r="AC902">
        <v>0</v>
      </c>
      <c r="AD902">
        <v>0</v>
      </c>
      <c r="AE902">
        <v>0</v>
      </c>
      <c r="AF902">
        <v>0</v>
      </c>
      <c r="AG902">
        <v>0</v>
      </c>
      <c r="AH902">
        <v>0</v>
      </c>
      <c r="AI902">
        <v>0</v>
      </c>
      <c r="AJ902">
        <v>0</v>
      </c>
      <c r="AK902">
        <v>1</v>
      </c>
      <c r="AL902">
        <v>0</v>
      </c>
      <c r="AM902">
        <v>0</v>
      </c>
      <c r="AN902">
        <v>0</v>
      </c>
      <c r="AO902">
        <v>0</v>
      </c>
      <c r="AP902">
        <v>0</v>
      </c>
      <c r="AQ902">
        <v>0</v>
      </c>
      <c r="AR902">
        <v>0</v>
      </c>
      <c r="AS902">
        <v>0</v>
      </c>
      <c r="AT902">
        <v>0</v>
      </c>
      <c r="AU902">
        <v>0</v>
      </c>
      <c r="AV902">
        <v>0</v>
      </c>
      <c r="AW902">
        <v>0</v>
      </c>
      <c r="AX902" s="141">
        <f t="shared" si="167"/>
        <v>1</v>
      </c>
      <c r="AY902" s="141">
        <f t="shared" si="137"/>
        <v>1</v>
      </c>
      <c r="AZ902">
        <f t="shared" si="138"/>
        <v>0</v>
      </c>
      <c r="BA902">
        <f t="shared" si="139"/>
        <v>0</v>
      </c>
      <c r="BB902">
        <f t="shared" si="140"/>
        <v>1</v>
      </c>
      <c r="BC902">
        <f t="shared" si="141"/>
        <v>0</v>
      </c>
      <c r="BD902">
        <f t="shared" si="142"/>
        <v>0</v>
      </c>
      <c r="BE902" t="str">
        <f t="array" ref="BE902">IF(AY902=1,INDEX($V$7:$AL$7,MATCH(TRUE,INDEX($V902:$AW902&lt;&gt;0,),0)),IF(AY902=0,INDEX($AM$7:$AW$7,MATCH(1,$AM902:$AW902,0)),IF(BF902="Multiple strategies","mixed drivers",IF(BF902="Supply chain","multiple supply","multiple silviculture"))))</f>
        <v>technologies/design switch</v>
      </c>
      <c r="BF902" s="2" t="str" cm="1">
        <f t="array" ref="BF902">IF(COUNTIF(AZ902:BB902,"&lt;&gt;0")=1,INDEX($V$4:$AW$4,MATCH(TRUE,INDEX($V902:$AW902&lt;&gt;0,),0)),IF(COUNTIF(AZ902:BB902,"&lt;&gt;0")=0,INDEX($AM$4:$AW$4,MATCH(1,$AM902:$AW902,0)),"Multiple strategies"))</f>
        <v>Technology</v>
      </c>
      <c r="BG902" s="1" t="s">
        <v>230</v>
      </c>
      <c r="BH902" t="s">
        <v>278</v>
      </c>
      <c r="BI902" s="266" t="s">
        <v>3108</v>
      </c>
      <c r="BJ902" t="s">
        <v>279</v>
      </c>
      <c r="BK902">
        <v>0</v>
      </c>
      <c r="BL902">
        <v>15.419381264639073</v>
      </c>
      <c r="BN902">
        <f t="shared" si="171"/>
        <v>15.419381264639073</v>
      </c>
      <c r="BO902">
        <f t="shared" si="164"/>
        <v>66.953457510373752</v>
      </c>
      <c r="BP902" t="s">
        <v>233</v>
      </c>
      <c r="BQ902" s="153" t="s">
        <v>3109</v>
      </c>
      <c r="BR902" t="s">
        <v>280</v>
      </c>
      <c r="BS902">
        <v>68.167571816623862</v>
      </c>
      <c r="BT902">
        <v>167.28412809039341</v>
      </c>
      <c r="BU902" s="144">
        <f t="shared" si="165"/>
        <v>2.4540133032815206</v>
      </c>
      <c r="BV902">
        <f t="shared" si="166"/>
        <v>99.116556273769547</v>
      </c>
      <c r="BX902">
        <f t="shared" si="161"/>
        <v>99.116556273769547</v>
      </c>
      <c r="BY902">
        <f t="shared" si="143"/>
        <v>1.4803799528711785</v>
      </c>
      <c r="BZ902">
        <v>0</v>
      </c>
      <c r="CA902">
        <v>0</v>
      </c>
      <c r="CB902">
        <v>0</v>
      </c>
      <c r="CC902">
        <v>0</v>
      </c>
      <c r="CD902">
        <v>0</v>
      </c>
      <c r="CE902">
        <v>0</v>
      </c>
      <c r="CF902">
        <v>0</v>
      </c>
      <c r="CG902">
        <v>0</v>
      </c>
      <c r="CH902">
        <v>0</v>
      </c>
      <c r="CI902">
        <v>0</v>
      </c>
      <c r="CJ902">
        <v>0</v>
      </c>
      <c r="CK902">
        <v>0</v>
      </c>
      <c r="CL902">
        <v>0</v>
      </c>
      <c r="CM902">
        <v>0</v>
      </c>
      <c r="CN902" t="str">
        <f t="shared" si="157"/>
        <v>refOK</v>
      </c>
      <c r="CO902">
        <f t="shared" si="162"/>
        <v>0</v>
      </c>
      <c r="CP902">
        <f t="shared" si="163"/>
        <v>15.419381264639073</v>
      </c>
      <c r="CQ902">
        <f t="shared" si="170"/>
        <v>66.953457510373752</v>
      </c>
      <c r="CR902">
        <f t="shared" si="158"/>
        <v>68.167571816623862</v>
      </c>
      <c r="CS902">
        <f t="shared" si="159"/>
        <v>167.28412809039341</v>
      </c>
      <c r="CT902">
        <f t="shared" si="168"/>
        <v>99.116556273769547</v>
      </c>
      <c r="CU902">
        <f t="shared" si="156"/>
        <v>1.4803799528711785</v>
      </c>
      <c r="CV902" s="2">
        <f t="shared" si="169"/>
        <v>1.4540133032815206</v>
      </c>
      <c r="CW902" s="1" t="s">
        <v>235</v>
      </c>
      <c r="CX902" t="str">
        <f t="shared" si="144"/>
        <v>loc</v>
      </c>
      <c r="CY902" t="s">
        <v>281</v>
      </c>
      <c r="DB902">
        <v>50</v>
      </c>
      <c r="DC902" t="str">
        <f t="shared" si="145"/>
        <v>31-70</v>
      </c>
      <c r="DD902">
        <v>0</v>
      </c>
      <c r="DE902">
        <v>0</v>
      </c>
      <c r="DF902">
        <v>0</v>
      </c>
      <c r="DG902">
        <v>1</v>
      </c>
      <c r="DI902">
        <f t="shared" si="154"/>
        <v>1</v>
      </c>
      <c r="DJ902" t="str">
        <f t="shared" si="155"/>
        <v>TimberInput</v>
      </c>
      <c r="DK902">
        <f t="shared" si="126"/>
        <v>0</v>
      </c>
      <c r="DL902">
        <f t="shared" si="127"/>
        <v>0</v>
      </c>
      <c r="DM902">
        <f t="shared" si="128"/>
        <v>0</v>
      </c>
      <c r="DN902" t="str">
        <f t="shared" si="129"/>
        <v>Timber</v>
      </c>
      <c r="DO902">
        <v>0</v>
      </c>
      <c r="DP902">
        <v>1</v>
      </c>
      <c r="DQ902" t="s">
        <v>305</v>
      </c>
      <c r="DR902">
        <v>0</v>
      </c>
      <c r="DS902">
        <v>0</v>
      </c>
      <c r="DT902">
        <f t="shared" si="160"/>
        <v>1</v>
      </c>
      <c r="DU902" s="143" t="str">
        <f t="shared" si="149"/>
        <v>external DF used</v>
      </c>
      <c r="DV902">
        <v>0</v>
      </c>
      <c r="DW902">
        <v>1</v>
      </c>
      <c r="DX902">
        <v>1</v>
      </c>
      <c r="DY902">
        <v>1</v>
      </c>
      <c r="DZ902">
        <v>1</v>
      </c>
      <c r="EA902" s="143">
        <v>0</v>
      </c>
      <c r="EB902">
        <v>1</v>
      </c>
      <c r="EC902">
        <v>1</v>
      </c>
      <c r="ED902">
        <v>0</v>
      </c>
      <c r="EE902">
        <v>1</v>
      </c>
      <c r="EF902">
        <v>1</v>
      </c>
      <c r="EG902">
        <v>1</v>
      </c>
      <c r="EH902">
        <v>0</v>
      </c>
      <c r="EI902" s="2">
        <v>0</v>
      </c>
      <c r="EK902" t="str">
        <f t="shared" si="130"/>
        <v>Whole sector</v>
      </c>
      <c r="EL902" t="str">
        <f t="shared" si="131"/>
        <v/>
      </c>
      <c r="EM902" s="2" t="str">
        <f t="shared" si="146"/>
        <v/>
      </c>
      <c r="EP902" t="str">
        <f>IF(ISNUMBER(BU902),IF(ABS(BU902-[2]QC_indicators!$B$2)&gt;3*[2]QC_indicators!$C$2,"C ratio",IF(ISNUMBER(BY902),IF(ABS(BY902-[2]QC_indicators!$B$1)&gt;3*[2]QC_indicators!$C$1,"DF","no"))),IF(ISNUMBER(BY902),IF(ABS(BY902-[2]QC_indicators!$B$1)&gt;3*[2]QC_indicators!$C$1,"DF","no")))</f>
        <v>no</v>
      </c>
      <c r="EQ902" t="s">
        <v>287</v>
      </c>
      <c r="ET902" s="266" t="s">
        <v>3275</v>
      </c>
    </row>
    <row r="903" spans="1:150" ht="15" hidden="1" customHeight="1">
      <c r="A903" s="1" t="s">
        <v>266</v>
      </c>
      <c r="B903" t="s">
        <v>267</v>
      </c>
      <c r="C903" t="s">
        <v>268</v>
      </c>
      <c r="D903" t="s">
        <v>269</v>
      </c>
      <c r="E903" t="s">
        <v>270</v>
      </c>
      <c r="F903" t="s">
        <v>271</v>
      </c>
      <c r="G903" t="s">
        <v>272</v>
      </c>
      <c r="H903" t="s">
        <v>255</v>
      </c>
      <c r="I903">
        <v>2022</v>
      </c>
      <c r="J903">
        <v>0</v>
      </c>
      <c r="K903" t="s">
        <v>273</v>
      </c>
      <c r="M903" t="str">
        <f t="shared" si="153"/>
        <v>Aryapratama_2022</v>
      </c>
      <c r="N903" t="s">
        <v>223</v>
      </c>
      <c r="O903" s="145" t="s">
        <v>275</v>
      </c>
      <c r="Q903" t="s">
        <v>225</v>
      </c>
      <c r="R903" s="264" t="s">
        <v>224</v>
      </c>
      <c r="S903" s="265" t="s">
        <v>3107</v>
      </c>
      <c r="T903" t="s">
        <v>314</v>
      </c>
      <c r="U903" t="s">
        <v>284</v>
      </c>
      <c r="V903">
        <v>0</v>
      </c>
      <c r="W903">
        <v>0</v>
      </c>
      <c r="X903">
        <v>0</v>
      </c>
      <c r="Y903">
        <v>0</v>
      </c>
      <c r="Z903">
        <v>0</v>
      </c>
      <c r="AA903">
        <v>0</v>
      </c>
      <c r="AB903">
        <v>0</v>
      </c>
      <c r="AC903">
        <v>0</v>
      </c>
      <c r="AD903">
        <v>0</v>
      </c>
      <c r="AE903">
        <v>0</v>
      </c>
      <c r="AF903">
        <v>0</v>
      </c>
      <c r="AG903">
        <v>0</v>
      </c>
      <c r="AH903">
        <v>0</v>
      </c>
      <c r="AI903">
        <v>0</v>
      </c>
      <c r="AJ903">
        <v>0</v>
      </c>
      <c r="AK903">
        <v>1</v>
      </c>
      <c r="AL903">
        <v>0</v>
      </c>
      <c r="AM903">
        <v>0</v>
      </c>
      <c r="AN903">
        <v>0</v>
      </c>
      <c r="AO903">
        <v>0</v>
      </c>
      <c r="AP903">
        <v>0</v>
      </c>
      <c r="AQ903">
        <v>0</v>
      </c>
      <c r="AR903">
        <v>0</v>
      </c>
      <c r="AS903">
        <v>0</v>
      </c>
      <c r="AT903">
        <v>0</v>
      </c>
      <c r="AU903">
        <v>0</v>
      </c>
      <c r="AV903">
        <v>0</v>
      </c>
      <c r="AW903">
        <v>0</v>
      </c>
      <c r="AX903" s="141">
        <f t="shared" si="167"/>
        <v>1</v>
      </c>
      <c r="AY903" s="141">
        <f t="shared" si="137"/>
        <v>1</v>
      </c>
      <c r="AZ903">
        <f t="shared" si="138"/>
        <v>0</v>
      </c>
      <c r="BA903">
        <f t="shared" si="139"/>
        <v>0</v>
      </c>
      <c r="BB903">
        <f t="shared" si="140"/>
        <v>1</v>
      </c>
      <c r="BC903">
        <f t="shared" si="141"/>
        <v>0</v>
      </c>
      <c r="BD903">
        <f t="shared" si="142"/>
        <v>0</v>
      </c>
      <c r="BE903" t="str">
        <f t="array" ref="BE903">IF(AY903=1,INDEX($V$7:$AL$7,MATCH(TRUE,INDEX($V903:$AW903&lt;&gt;0,),0)),IF(AY903=0,INDEX($AM$7:$AW$7,MATCH(1,$AM903:$AW903,0)),IF(BF903="Multiple strategies","mixed drivers",IF(BF903="Supply chain","multiple supply","multiple silviculture"))))</f>
        <v>technologies/design switch</v>
      </c>
      <c r="BF903" s="2" t="str" cm="1">
        <f t="array" ref="BF903">IF(COUNTIF(AZ903:BB903,"&lt;&gt;0")=1,INDEX($V$4:$AW$4,MATCH(TRUE,INDEX($V903:$AW903&lt;&gt;0,),0)),IF(COUNTIF(AZ903:BB903,"&lt;&gt;0")=0,INDEX($AM$4:$AW$4,MATCH(1,$AM903:$AW903,0)),"Multiple strategies"))</f>
        <v>Technology</v>
      </c>
      <c r="BG903" s="1" t="s">
        <v>230</v>
      </c>
      <c r="BH903" t="s">
        <v>278</v>
      </c>
      <c r="BI903" s="266" t="s">
        <v>3108</v>
      </c>
      <c r="BJ903" t="s">
        <v>279</v>
      </c>
      <c r="BK903">
        <v>0</v>
      </c>
      <c r="BL903">
        <v>11.564535948479303</v>
      </c>
      <c r="BN903">
        <f t="shared" si="171"/>
        <v>11.564535948479303</v>
      </c>
      <c r="BO903">
        <f t="shared" si="164"/>
        <v>50.215093132780304</v>
      </c>
      <c r="BP903" t="s">
        <v>233</v>
      </c>
      <c r="BQ903" s="153" t="s">
        <v>3109</v>
      </c>
      <c r="BR903" t="s">
        <v>280</v>
      </c>
      <c r="BS903">
        <v>75.991198542896527</v>
      </c>
      <c r="BT903">
        <v>185.09042564065231</v>
      </c>
      <c r="BU903" s="144">
        <f t="shared" si="165"/>
        <v>2.4356824104592851</v>
      </c>
      <c r="BV903">
        <f t="shared" si="166"/>
        <v>109.09922709775579</v>
      </c>
      <c r="BX903">
        <f t="shared" si="161"/>
        <v>109.09922709775579</v>
      </c>
      <c r="BY903">
        <f t="shared" si="143"/>
        <v>2.1726381510290587</v>
      </c>
      <c r="BZ903">
        <v>0</v>
      </c>
      <c r="CA903">
        <v>0</v>
      </c>
      <c r="CB903">
        <v>0</v>
      </c>
      <c r="CC903">
        <v>0</v>
      </c>
      <c r="CD903">
        <v>0</v>
      </c>
      <c r="CE903">
        <v>0</v>
      </c>
      <c r="CF903">
        <v>0</v>
      </c>
      <c r="CG903">
        <v>0</v>
      </c>
      <c r="CH903">
        <v>0</v>
      </c>
      <c r="CI903">
        <v>0</v>
      </c>
      <c r="CJ903">
        <v>0</v>
      </c>
      <c r="CK903">
        <v>0</v>
      </c>
      <c r="CL903">
        <v>0</v>
      </c>
      <c r="CM903">
        <v>0</v>
      </c>
      <c r="CN903" t="str">
        <f t="shared" si="157"/>
        <v>refOK</v>
      </c>
      <c r="CO903">
        <f t="shared" si="162"/>
        <v>0</v>
      </c>
      <c r="CP903">
        <f t="shared" si="163"/>
        <v>11.564535948479303</v>
      </c>
      <c r="CQ903">
        <f t="shared" si="170"/>
        <v>50.215093132780304</v>
      </c>
      <c r="CR903">
        <f t="shared" si="158"/>
        <v>75.991198542896527</v>
      </c>
      <c r="CS903">
        <f t="shared" si="159"/>
        <v>185.09042564065231</v>
      </c>
      <c r="CT903">
        <f t="shared" si="168"/>
        <v>109.09922709775579</v>
      </c>
      <c r="CU903">
        <f t="shared" si="156"/>
        <v>2.1726381510290587</v>
      </c>
      <c r="CV903" s="2">
        <f t="shared" si="169"/>
        <v>1.4356824104592849</v>
      </c>
      <c r="CW903" s="1" t="s">
        <v>235</v>
      </c>
      <c r="CX903" t="str">
        <f t="shared" si="144"/>
        <v>loc</v>
      </c>
      <c r="CY903" t="s">
        <v>281</v>
      </c>
      <c r="DB903">
        <v>50</v>
      </c>
      <c r="DC903" t="str">
        <f t="shared" si="145"/>
        <v>31-70</v>
      </c>
      <c r="DD903">
        <v>0</v>
      </c>
      <c r="DE903">
        <v>0</v>
      </c>
      <c r="DF903">
        <v>0</v>
      </c>
      <c r="DG903">
        <v>1</v>
      </c>
      <c r="DI903">
        <f t="shared" si="154"/>
        <v>1</v>
      </c>
      <c r="DJ903" t="str">
        <f t="shared" si="155"/>
        <v>TimberInput</v>
      </c>
      <c r="DK903">
        <f t="shared" si="126"/>
        <v>0</v>
      </c>
      <c r="DL903">
        <f t="shared" si="127"/>
        <v>0</v>
      </c>
      <c r="DM903">
        <f t="shared" si="128"/>
        <v>0</v>
      </c>
      <c r="DN903" t="str">
        <f t="shared" si="129"/>
        <v>Timber</v>
      </c>
      <c r="DO903">
        <v>0</v>
      </c>
      <c r="DP903">
        <v>1</v>
      </c>
      <c r="DQ903">
        <v>0</v>
      </c>
      <c r="DR903" t="s">
        <v>282</v>
      </c>
      <c r="DS903">
        <v>0</v>
      </c>
      <c r="DT903">
        <f t="shared" si="160"/>
        <v>1</v>
      </c>
      <c r="DU903" s="143" t="str">
        <f t="shared" si="149"/>
        <v>external DF used</v>
      </c>
      <c r="DV903">
        <v>0</v>
      </c>
      <c r="DW903">
        <v>1</v>
      </c>
      <c r="DX903">
        <v>1</v>
      </c>
      <c r="DY903">
        <v>1</v>
      </c>
      <c r="DZ903">
        <v>1</v>
      </c>
      <c r="EA903" s="143">
        <v>0</v>
      </c>
      <c r="EB903">
        <v>1</v>
      </c>
      <c r="EC903">
        <v>1</v>
      </c>
      <c r="ED903">
        <v>0</v>
      </c>
      <c r="EE903">
        <v>1</v>
      </c>
      <c r="EF903">
        <v>1</v>
      </c>
      <c r="EG903">
        <v>1</v>
      </c>
      <c r="EH903">
        <v>0</v>
      </c>
      <c r="EI903" s="2">
        <v>0</v>
      </c>
      <c r="EK903" t="str">
        <f t="shared" si="130"/>
        <v>Whole sector</v>
      </c>
      <c r="EL903" t="str">
        <f t="shared" si="131"/>
        <v/>
      </c>
      <c r="EM903" s="2" t="str">
        <f t="shared" si="146"/>
        <v/>
      </c>
      <c r="EP903" t="str">
        <f>IF(ISNUMBER(BU903),IF(ABS(BU903-[2]QC_indicators!$B$2)&gt;3*[2]QC_indicators!$C$2,"C ratio",IF(ISNUMBER(BY903),IF(ABS(BY903-[2]QC_indicators!$B$1)&gt;3*[2]QC_indicators!$C$1,"DF","no"))),IF(ISNUMBER(BY903),IF(ABS(BY903-[2]QC_indicators!$B$1)&gt;3*[2]QC_indicators!$C$1,"DF","no")))</f>
        <v>no</v>
      </c>
      <c r="EQ903" t="s">
        <v>287</v>
      </c>
      <c r="ET903" s="266" t="s">
        <v>3275</v>
      </c>
    </row>
    <row r="904" spans="1:150" ht="15" hidden="1" customHeight="1">
      <c r="A904" s="1" t="s">
        <v>266</v>
      </c>
      <c r="B904" t="s">
        <v>267</v>
      </c>
      <c r="C904" t="s">
        <v>268</v>
      </c>
      <c r="D904" t="s">
        <v>269</v>
      </c>
      <c r="E904" t="s">
        <v>270</v>
      </c>
      <c r="F904" t="s">
        <v>271</v>
      </c>
      <c r="G904" t="s">
        <v>272</v>
      </c>
      <c r="H904" t="s">
        <v>255</v>
      </c>
      <c r="I904">
        <v>2022</v>
      </c>
      <c r="J904">
        <v>0</v>
      </c>
      <c r="K904" t="s">
        <v>273</v>
      </c>
      <c r="M904" t="str">
        <f t="shared" si="153"/>
        <v>Aryapratama_2022</v>
      </c>
      <c r="N904" t="s">
        <v>223</v>
      </c>
      <c r="O904" s="145" t="s">
        <v>275</v>
      </c>
      <c r="Q904" t="s">
        <v>225</v>
      </c>
      <c r="R904" s="264" t="s">
        <v>224</v>
      </c>
      <c r="S904" s="265" t="s">
        <v>3107</v>
      </c>
      <c r="T904" t="s">
        <v>310</v>
      </c>
      <c r="U904" t="s">
        <v>311</v>
      </c>
      <c r="V904">
        <v>0</v>
      </c>
      <c r="W904">
        <v>0</v>
      </c>
      <c r="X904">
        <v>0</v>
      </c>
      <c r="Y904">
        <v>0</v>
      </c>
      <c r="Z904">
        <v>0</v>
      </c>
      <c r="AA904">
        <v>0</v>
      </c>
      <c r="AB904">
        <v>0</v>
      </c>
      <c r="AC904">
        <v>0</v>
      </c>
      <c r="AD904">
        <v>0</v>
      </c>
      <c r="AE904">
        <v>0</v>
      </c>
      <c r="AF904">
        <v>0</v>
      </c>
      <c r="AG904">
        <v>0</v>
      </c>
      <c r="AH904">
        <v>0</v>
      </c>
      <c r="AI904">
        <v>0</v>
      </c>
      <c r="AJ904">
        <v>0</v>
      </c>
      <c r="AK904">
        <v>1</v>
      </c>
      <c r="AL904">
        <v>0</v>
      </c>
      <c r="AM904">
        <v>0</v>
      </c>
      <c r="AN904">
        <v>0</v>
      </c>
      <c r="AO904">
        <v>0</v>
      </c>
      <c r="AP904">
        <v>0</v>
      </c>
      <c r="AQ904">
        <v>0</v>
      </c>
      <c r="AR904">
        <v>0</v>
      </c>
      <c r="AS904">
        <v>0</v>
      </c>
      <c r="AT904">
        <v>0</v>
      </c>
      <c r="AU904">
        <v>0</v>
      </c>
      <c r="AV904">
        <v>0</v>
      </c>
      <c r="AW904">
        <v>0</v>
      </c>
      <c r="AX904" s="141">
        <f t="shared" si="167"/>
        <v>1</v>
      </c>
      <c r="AY904" s="141">
        <f t="shared" si="137"/>
        <v>1</v>
      </c>
      <c r="AZ904">
        <f t="shared" si="138"/>
        <v>0</v>
      </c>
      <c r="BA904">
        <f t="shared" si="139"/>
        <v>0</v>
      </c>
      <c r="BB904">
        <f t="shared" si="140"/>
        <v>1</v>
      </c>
      <c r="BC904">
        <f t="shared" si="141"/>
        <v>0</v>
      </c>
      <c r="BD904">
        <f t="shared" si="142"/>
        <v>0</v>
      </c>
      <c r="BE904" t="str">
        <f t="array" ref="BE904">IF(AY904=1,INDEX($V$7:$AL$7,MATCH(TRUE,INDEX($V904:$AW904&lt;&gt;0,),0)),IF(AY904=0,INDEX($AM$7:$AW$7,MATCH(1,$AM904:$AW904,0)),IF(BF904="Multiple strategies","mixed drivers",IF(BF904="Supply chain","multiple supply","multiple silviculture"))))</f>
        <v>technologies/design switch</v>
      </c>
      <c r="BF904" s="2" t="str" cm="1">
        <f t="array" ref="BF904">IF(COUNTIF(AZ904:BB904,"&lt;&gt;0")=1,INDEX($V$4:$AW$4,MATCH(TRUE,INDEX($V904:$AW904&lt;&gt;0,),0)),IF(COUNTIF(AZ904:BB904,"&lt;&gt;0")=0,INDEX($AM$4:$AW$4,MATCH(1,$AM904:$AW904,0)),"Multiple strategies"))</f>
        <v>Technology</v>
      </c>
      <c r="BG904" s="1" t="s">
        <v>230</v>
      </c>
      <c r="BH904" t="s">
        <v>278</v>
      </c>
      <c r="BJ904" t="s">
        <v>279</v>
      </c>
      <c r="BK904">
        <v>0</v>
      </c>
      <c r="BL904">
        <v>0</v>
      </c>
      <c r="BN904">
        <f t="shared" si="171"/>
        <v>0</v>
      </c>
      <c r="BO904">
        <f t="shared" si="164"/>
        <v>0</v>
      </c>
      <c r="BP904" t="s">
        <v>233</v>
      </c>
      <c r="BQ904" s="153" t="s">
        <v>3109</v>
      </c>
      <c r="BR904" t="s">
        <v>280</v>
      </c>
      <c r="BS904">
        <v>0</v>
      </c>
      <c r="BT904">
        <v>161.1445967933179</v>
      </c>
      <c r="BU904" s="144" t="str">
        <f t="shared" si="165"/>
        <v/>
      </c>
      <c r="BV904">
        <f t="shared" si="166"/>
        <v>161.1445967933179</v>
      </c>
      <c r="BX904">
        <f t="shared" si="161"/>
        <v>161.1445967933179</v>
      </c>
      <c r="BY904" t="str">
        <f t="shared" si="143"/>
        <v/>
      </c>
      <c r="BZ904">
        <v>0</v>
      </c>
      <c r="CA904">
        <v>0</v>
      </c>
      <c r="CB904">
        <v>0</v>
      </c>
      <c r="CC904">
        <v>0</v>
      </c>
      <c r="CD904">
        <v>0</v>
      </c>
      <c r="CE904">
        <v>0</v>
      </c>
      <c r="CF904">
        <v>0</v>
      </c>
      <c r="CG904">
        <v>0</v>
      </c>
      <c r="CH904">
        <v>0</v>
      </c>
      <c r="CI904">
        <v>0</v>
      </c>
      <c r="CJ904">
        <v>0</v>
      </c>
      <c r="CK904">
        <v>0</v>
      </c>
      <c r="CL904">
        <v>0</v>
      </c>
      <c r="CM904">
        <v>0</v>
      </c>
      <c r="CN904" t="str">
        <f>IF(BL904&lt;BK904,"refNeedCorrection","refOK")</f>
        <v>refOK</v>
      </c>
      <c r="CO904">
        <f t="shared" si="162"/>
        <v>0</v>
      </c>
      <c r="CP904">
        <f t="shared" si="163"/>
        <v>0</v>
      </c>
      <c r="CQ904">
        <f t="shared" si="170"/>
        <v>0</v>
      </c>
      <c r="CR904">
        <f t="shared" si="158"/>
        <v>0</v>
      </c>
      <c r="CS904">
        <f t="shared" si="159"/>
        <v>161.1445967933179</v>
      </c>
      <c r="CT904">
        <f t="shared" si="168"/>
        <v>161.1445967933179</v>
      </c>
      <c r="CU904" t="str">
        <f t="shared" si="156"/>
        <v/>
      </c>
      <c r="CV904" s="2" t="str">
        <f t="shared" si="169"/>
        <v/>
      </c>
      <c r="CW904" s="1" t="s">
        <v>235</v>
      </c>
      <c r="CX904" t="str">
        <f t="shared" si="144"/>
        <v>loc</v>
      </c>
      <c r="CY904" t="s">
        <v>281</v>
      </c>
      <c r="DB904">
        <v>50</v>
      </c>
      <c r="DC904" t="str">
        <f t="shared" si="145"/>
        <v>31-70</v>
      </c>
      <c r="DD904">
        <v>0</v>
      </c>
      <c r="DE904">
        <v>0</v>
      </c>
      <c r="DF904">
        <v>0</v>
      </c>
      <c r="DG904">
        <v>1</v>
      </c>
      <c r="DI904">
        <f t="shared" si="154"/>
        <v>1</v>
      </c>
      <c r="DJ904" t="str">
        <f t="shared" si="155"/>
        <v>TimberInput</v>
      </c>
      <c r="DK904">
        <f t="shared" ref="DK904:DK967" si="172">IF(DD904=1,DK$7,0)</f>
        <v>0</v>
      </c>
      <c r="DL904">
        <f t="shared" ref="DL904:DL967" si="173">IF(DE904=1,DL$7,0)</f>
        <v>0</v>
      </c>
      <c r="DM904">
        <f t="shared" ref="DM904:DM967" si="174">IF(DF904=1,DM$7,0)</f>
        <v>0</v>
      </c>
      <c r="DN904" t="str">
        <f t="shared" ref="DN904:DN967" si="175">IF(DG904=1,DN$7,0)</f>
        <v>Timber</v>
      </c>
      <c r="DO904">
        <v>0</v>
      </c>
      <c r="DP904">
        <v>1</v>
      </c>
      <c r="DQ904" t="s">
        <v>305</v>
      </c>
      <c r="DR904">
        <v>0</v>
      </c>
      <c r="DS904">
        <v>0</v>
      </c>
      <c r="DT904">
        <f t="shared" si="160"/>
        <v>1</v>
      </c>
      <c r="DU904" s="143" t="str">
        <f t="shared" si="149"/>
        <v>external DF used</v>
      </c>
      <c r="DV904">
        <v>0</v>
      </c>
      <c r="DW904">
        <v>1</v>
      </c>
      <c r="DX904">
        <v>1</v>
      </c>
      <c r="DY904">
        <v>1</v>
      </c>
      <c r="DZ904">
        <v>1</v>
      </c>
      <c r="EA904" s="143">
        <v>0</v>
      </c>
      <c r="EB904">
        <v>1</v>
      </c>
      <c r="EC904">
        <v>1</v>
      </c>
      <c r="ED904">
        <v>0</v>
      </c>
      <c r="EE904">
        <v>1</v>
      </c>
      <c r="EF904">
        <v>1</v>
      </c>
      <c r="EG904">
        <v>1</v>
      </c>
      <c r="EH904">
        <v>0</v>
      </c>
      <c r="EI904" s="2">
        <v>0</v>
      </c>
      <c r="EK904" t="str">
        <f t="shared" ref="EK904:EK967" si="176">IF(AND(AND(AND(OR($DX904=1,$DW904=1),OR($EC904=1,$EA904=1)),SUM($DV904:$DZ904,$EF904)&gt;=4),SUM($EA904:$EE904)&gt;=2),"Whole sector","")</f>
        <v>Whole sector</v>
      </c>
      <c r="EL904" t="str">
        <f t="shared" ref="EL904:EL967" si="177">IF(AND(AND(OR($DX904=1,$DW904=1),AND($EC904=0,$EA904=0)),SUM($DV904:$DZ904,$EF904)&gt;=4),"Ecosystem approach","")</f>
        <v/>
      </c>
      <c r="EM904" s="2" t="str">
        <f t="shared" si="146"/>
        <v/>
      </c>
      <c r="EP904" t="b">
        <f>IF(ISNUMBER(BU904),IF(ABS(BU904-[2]QC_indicators!$B$2)&gt;3*[2]QC_indicators!$C$2,"C ratio",IF(ISNUMBER(BY904),IF(ABS(BY904-[2]QC_indicators!$B$1)&gt;3*[2]QC_indicators!$C$1,"DF","no"))),IF(ISNUMBER(BY904),IF(ABS(BY904-[2]QC_indicators!$B$1)&gt;3*[2]QC_indicators!$C$1,"DF","no")))</f>
        <v>0</v>
      </c>
      <c r="EQ904" t="s">
        <v>287</v>
      </c>
      <c r="ET904" s="266" t="s">
        <v>3275</v>
      </c>
    </row>
    <row r="905" spans="1:150" ht="15" hidden="1" customHeight="1">
      <c r="D905" t="s">
        <v>965</v>
      </c>
      <c r="E905" t="s">
        <v>1009</v>
      </c>
      <c r="G905" t="s">
        <v>1010</v>
      </c>
      <c r="I905">
        <v>2004</v>
      </c>
      <c r="K905" t="s">
        <v>1011</v>
      </c>
      <c r="M905" t="str">
        <f t="shared" si="153"/>
        <v>Petersen_2004</v>
      </c>
      <c r="N905" t="s">
        <v>223</v>
      </c>
      <c r="O905" s="171" t="s">
        <v>514</v>
      </c>
      <c r="P905" s="141" t="s">
        <v>226</v>
      </c>
      <c r="Q905" t="s">
        <v>390</v>
      </c>
      <c r="R905" s="264" t="s">
        <v>224</v>
      </c>
      <c r="S905" s="1" t="s">
        <v>1016</v>
      </c>
      <c r="T905" t="s">
        <v>1017</v>
      </c>
      <c r="U905" t="s">
        <v>1018</v>
      </c>
      <c r="V905">
        <v>0</v>
      </c>
      <c r="W905">
        <v>0</v>
      </c>
      <c r="X905">
        <v>0</v>
      </c>
      <c r="Y905">
        <v>0</v>
      </c>
      <c r="Z905">
        <v>0</v>
      </c>
      <c r="AA905">
        <v>0</v>
      </c>
      <c r="AB905">
        <v>0</v>
      </c>
      <c r="AC905">
        <v>0</v>
      </c>
      <c r="AD905">
        <v>0</v>
      </c>
      <c r="AE905">
        <v>0</v>
      </c>
      <c r="AF905">
        <v>0</v>
      </c>
      <c r="AG905">
        <v>0</v>
      </c>
      <c r="AH905">
        <v>0</v>
      </c>
      <c r="AI905">
        <v>0</v>
      </c>
      <c r="AJ905">
        <v>0</v>
      </c>
      <c r="AK905">
        <v>1</v>
      </c>
      <c r="AL905">
        <v>0</v>
      </c>
      <c r="AM905">
        <v>0</v>
      </c>
      <c r="AN905">
        <v>0</v>
      </c>
      <c r="AO905">
        <v>0</v>
      </c>
      <c r="AP905">
        <v>0</v>
      </c>
      <c r="AQ905">
        <v>0</v>
      </c>
      <c r="AR905">
        <v>0</v>
      </c>
      <c r="AS905">
        <v>0</v>
      </c>
      <c r="AT905">
        <v>0</v>
      </c>
      <c r="AU905">
        <v>0</v>
      </c>
      <c r="AV905">
        <v>0</v>
      </c>
      <c r="AW905">
        <v>0</v>
      </c>
      <c r="AX905" s="141">
        <f t="shared" si="167"/>
        <v>1</v>
      </c>
      <c r="AY905" s="141">
        <f t="shared" si="137"/>
        <v>1</v>
      </c>
      <c r="AZ905">
        <f t="shared" si="138"/>
        <v>0</v>
      </c>
      <c r="BA905">
        <f t="shared" si="139"/>
        <v>0</v>
      </c>
      <c r="BB905">
        <f t="shared" si="140"/>
        <v>1</v>
      </c>
      <c r="BC905">
        <f t="shared" si="141"/>
        <v>0</v>
      </c>
      <c r="BD905">
        <f t="shared" si="142"/>
        <v>0</v>
      </c>
      <c r="BE905" t="str">
        <f t="array" ref="BE905">IF(AY905=1,INDEX($V$7:$AL$7,MATCH(TRUE,INDEX($V905:$AW905&lt;&gt;0,),0)),IF(AY905=0,INDEX($AM$7:$AW$7,MATCH(1,$AM905:$AW905,0)),IF(BF905="Multiple strategies","mixed drivers",IF(BF905="Supply chain","multiple supply","multiple silviculture"))))</f>
        <v>technologies/design switch</v>
      </c>
      <c r="BF905" s="2" t="str" cm="1">
        <f t="array" ref="BF905">IF(COUNTIF(AZ905:BB905,"&lt;&gt;0")=1,INDEX($V$4:$AW$4,MATCH(TRUE,INDEX($V905:$AW905&lt;&gt;0,),0)),IF(COUNTIF(AZ905:BB905,"&lt;&gt;0")=0,INDEX($AM$4:$AW$4,MATCH(1,$AM905:$AW905,0)),"Multiple strategies"))</f>
        <v>Technology</v>
      </c>
      <c r="BG905" s="142" t="s">
        <v>230</v>
      </c>
      <c r="BH905" t="s">
        <v>972</v>
      </c>
      <c r="BI905" t="s">
        <v>1014</v>
      </c>
      <c r="BJ905" t="s">
        <v>499</v>
      </c>
      <c r="BK905">
        <v>0</v>
      </c>
      <c r="BL905" s="143">
        <v>1</v>
      </c>
      <c r="BM905" t="str">
        <f t="shared" ref="BM905:BM917" si="178">IFERROR(BL905/BK905,"")</f>
        <v/>
      </c>
      <c r="BN905">
        <f t="shared" si="171"/>
        <v>1</v>
      </c>
      <c r="BO905" s="159">
        <v>1</v>
      </c>
      <c r="BP905" t="s">
        <v>233</v>
      </c>
      <c r="BQ905" s="234" t="s">
        <v>1015</v>
      </c>
      <c r="BR905" t="s">
        <v>1004</v>
      </c>
      <c r="BU905" s="144"/>
      <c r="BV905">
        <v>0.1</v>
      </c>
      <c r="BX905">
        <f t="shared" si="161"/>
        <v>0.1</v>
      </c>
      <c r="BY905">
        <f t="shared" si="143"/>
        <v>0.1</v>
      </c>
      <c r="BZ905">
        <v>0</v>
      </c>
      <c r="CA905">
        <v>0</v>
      </c>
      <c r="CB905">
        <v>0</v>
      </c>
      <c r="CC905">
        <v>0</v>
      </c>
      <c r="CD905">
        <v>0</v>
      </c>
      <c r="CE905">
        <v>0</v>
      </c>
      <c r="CF905">
        <v>0</v>
      </c>
      <c r="CG905">
        <v>0</v>
      </c>
      <c r="CH905">
        <v>0</v>
      </c>
      <c r="CI905">
        <v>0</v>
      </c>
      <c r="CJ905">
        <v>0</v>
      </c>
      <c r="CK905">
        <v>0</v>
      </c>
      <c r="CL905">
        <v>0</v>
      </c>
      <c r="CM905">
        <v>0</v>
      </c>
      <c r="CN905" t="str">
        <f t="shared" ref="CN905:CN936" si="179">IF($BL905&lt;$BK905,"refNeedCorrection","refOK")</f>
        <v>refOK</v>
      </c>
      <c r="CO905">
        <f t="shared" si="162"/>
        <v>0</v>
      </c>
      <c r="CP905">
        <f t="shared" si="163"/>
        <v>1</v>
      </c>
      <c r="CQ905">
        <f t="shared" si="170"/>
        <v>1</v>
      </c>
      <c r="CR905">
        <f t="shared" si="158"/>
        <v>0</v>
      </c>
      <c r="CS905">
        <f t="shared" si="159"/>
        <v>0</v>
      </c>
      <c r="CT905">
        <f t="shared" si="168"/>
        <v>0.1</v>
      </c>
      <c r="CU905">
        <f t="shared" si="156"/>
        <v>0.1</v>
      </c>
      <c r="CV905" s="2" t="str">
        <f t="shared" si="169"/>
        <v/>
      </c>
      <c r="CW905" s="1" t="s">
        <v>264</v>
      </c>
      <c r="CX905" t="str">
        <f t="shared" si="144"/>
        <v>loc</v>
      </c>
      <c r="CY905" t="s">
        <v>265</v>
      </c>
      <c r="DA905" s="143"/>
      <c r="DB905" s="143">
        <v>45</v>
      </c>
      <c r="DC905" t="str">
        <f t="shared" si="145"/>
        <v>31-70</v>
      </c>
      <c r="DD905">
        <v>0</v>
      </c>
      <c r="DE905">
        <v>0</v>
      </c>
      <c r="DF905">
        <v>0</v>
      </c>
      <c r="DG905">
        <v>1</v>
      </c>
      <c r="DH905">
        <v>0</v>
      </c>
      <c r="DI905">
        <f t="shared" si="154"/>
        <v>1</v>
      </c>
      <c r="DJ905" t="str">
        <f t="shared" si="155"/>
        <v>TimberInput</v>
      </c>
      <c r="DK905">
        <f t="shared" si="172"/>
        <v>0</v>
      </c>
      <c r="DL905">
        <f t="shared" si="173"/>
        <v>0</v>
      </c>
      <c r="DM905">
        <f t="shared" si="174"/>
        <v>0</v>
      </c>
      <c r="DN905" t="str">
        <f t="shared" si="175"/>
        <v>Timber</v>
      </c>
      <c r="DO905">
        <v>1</v>
      </c>
      <c r="DP905">
        <v>0</v>
      </c>
      <c r="DQ905">
        <v>0</v>
      </c>
      <c r="DR905">
        <v>0</v>
      </c>
      <c r="DS905">
        <v>0</v>
      </c>
      <c r="DT905">
        <f t="shared" si="160"/>
        <v>1</v>
      </c>
      <c r="DU905" s="143" t="str">
        <f t="shared" si="149"/>
        <v>self-calculated DF</v>
      </c>
      <c r="DV905" s="143">
        <v>0</v>
      </c>
      <c r="DW905" s="143">
        <v>0</v>
      </c>
      <c r="DX905" s="143">
        <v>0</v>
      </c>
      <c r="DY905" s="143">
        <v>0</v>
      </c>
      <c r="DZ905">
        <v>0</v>
      </c>
      <c r="EA905" s="143">
        <v>0</v>
      </c>
      <c r="EB905" s="143">
        <v>0</v>
      </c>
      <c r="EC905" s="143">
        <v>1</v>
      </c>
      <c r="ED905" s="143">
        <v>0</v>
      </c>
      <c r="EE905">
        <v>0</v>
      </c>
      <c r="EF905">
        <v>0</v>
      </c>
      <c r="EG905" s="143">
        <v>0</v>
      </c>
      <c r="EH905" s="143">
        <v>0</v>
      </c>
      <c r="EI905" s="2">
        <v>0</v>
      </c>
      <c r="EK905" t="str">
        <f t="shared" si="176"/>
        <v/>
      </c>
      <c r="EL905" t="str">
        <f t="shared" si="177"/>
        <v/>
      </c>
      <c r="EM905" s="2" t="str">
        <f t="shared" si="146"/>
        <v/>
      </c>
      <c r="EP905" t="str">
        <f>IF(ISNUMBER(BU905),IF(ABS(BU905-[2]QC_indicators!$B$2)&gt;3*[2]QC_indicators!$C$2,"C ratio",IF(ISNUMBER(BY905),IF(ABS(BY905-[2]QC_indicators!$B$1)&gt;3*[2]QC_indicators!$C$1,"DF","no"))),IF(ISNUMBER(BY905),IF(ABS(BY905-[2]QC_indicators!$B$1)&gt;3*[2]QC_indicators!$C$1,"DF","no")))</f>
        <v>no</v>
      </c>
      <c r="ER905" t="s">
        <v>997</v>
      </c>
      <c r="ET905" s="266" t="s">
        <v>3214</v>
      </c>
    </row>
    <row r="906" spans="1:150" ht="15" hidden="1" customHeight="1">
      <c r="D906" t="s">
        <v>965</v>
      </c>
      <c r="E906" t="s">
        <v>1009</v>
      </c>
      <c r="G906" t="s">
        <v>1010</v>
      </c>
      <c r="I906">
        <v>2004</v>
      </c>
      <c r="K906" t="s">
        <v>1011</v>
      </c>
      <c r="M906" t="str">
        <f t="shared" si="153"/>
        <v>Petersen_2004</v>
      </c>
      <c r="N906" t="s">
        <v>223</v>
      </c>
      <c r="O906" s="171" t="s">
        <v>514</v>
      </c>
      <c r="P906" s="141" t="s">
        <v>226</v>
      </c>
      <c r="Q906" t="s">
        <v>390</v>
      </c>
      <c r="R906" s="264" t="s">
        <v>224</v>
      </c>
      <c r="S906" s="1" t="s">
        <v>1016</v>
      </c>
      <c r="T906" t="s">
        <v>1019</v>
      </c>
      <c r="U906" t="s">
        <v>1018</v>
      </c>
      <c r="V906">
        <v>0</v>
      </c>
      <c r="W906">
        <v>0</v>
      </c>
      <c r="X906">
        <v>0</v>
      </c>
      <c r="Y906">
        <v>0</v>
      </c>
      <c r="Z906">
        <v>0</v>
      </c>
      <c r="AA906">
        <v>0</v>
      </c>
      <c r="AB906">
        <v>0</v>
      </c>
      <c r="AC906">
        <v>0</v>
      </c>
      <c r="AD906">
        <v>0</v>
      </c>
      <c r="AE906">
        <v>0</v>
      </c>
      <c r="AF906">
        <v>0</v>
      </c>
      <c r="AG906">
        <v>0</v>
      </c>
      <c r="AH906">
        <v>0</v>
      </c>
      <c r="AI906">
        <v>0</v>
      </c>
      <c r="AJ906">
        <v>0</v>
      </c>
      <c r="AK906">
        <v>1</v>
      </c>
      <c r="AL906">
        <v>0</v>
      </c>
      <c r="AM906">
        <v>0</v>
      </c>
      <c r="AN906">
        <v>0</v>
      </c>
      <c r="AO906">
        <v>0</v>
      </c>
      <c r="AP906">
        <v>0</v>
      </c>
      <c r="AQ906">
        <v>0</v>
      </c>
      <c r="AR906">
        <v>0</v>
      </c>
      <c r="AS906">
        <v>0</v>
      </c>
      <c r="AT906">
        <v>0</v>
      </c>
      <c r="AU906">
        <v>0</v>
      </c>
      <c r="AV906">
        <v>0</v>
      </c>
      <c r="AW906">
        <v>0</v>
      </c>
      <c r="AX906" s="141">
        <f t="shared" si="167"/>
        <v>1</v>
      </c>
      <c r="AY906" s="141">
        <f t="shared" si="137"/>
        <v>1</v>
      </c>
      <c r="AZ906">
        <f t="shared" si="138"/>
        <v>0</v>
      </c>
      <c r="BA906">
        <f t="shared" si="139"/>
        <v>0</v>
      </c>
      <c r="BB906">
        <f t="shared" si="140"/>
        <v>1</v>
      </c>
      <c r="BC906">
        <f t="shared" si="141"/>
        <v>0</v>
      </c>
      <c r="BD906">
        <f t="shared" si="142"/>
        <v>0</v>
      </c>
      <c r="BE906" t="str">
        <f t="array" ref="BE906">IF(AY906=1,INDEX($V$7:$AL$7,MATCH(TRUE,INDEX($V906:$AW906&lt;&gt;0,),0)),IF(AY906=0,INDEX($AM$7:$AW$7,MATCH(1,$AM906:$AW906,0)),IF(BF906="Multiple strategies","mixed drivers",IF(BF906="Supply chain","multiple supply","multiple silviculture"))))</f>
        <v>technologies/design switch</v>
      </c>
      <c r="BF906" s="2" t="str" cm="1">
        <f t="array" ref="BF906">IF(COUNTIF(AZ906:BB906,"&lt;&gt;0")=1,INDEX($V$4:$AW$4,MATCH(TRUE,INDEX($V906:$AW906&lt;&gt;0,),0)),IF(COUNTIF(AZ906:BB906,"&lt;&gt;0")=0,INDEX($AM$4:$AW$4,MATCH(1,$AM906:$AW906,0)),"Multiple strategies"))</f>
        <v>Technology</v>
      </c>
      <c r="BG906" s="142" t="s">
        <v>230</v>
      </c>
      <c r="BH906" t="s">
        <v>972</v>
      </c>
      <c r="BI906" t="s">
        <v>1014</v>
      </c>
      <c r="BJ906" t="s">
        <v>499</v>
      </c>
      <c r="BK906">
        <v>0</v>
      </c>
      <c r="BL906" s="143">
        <v>1</v>
      </c>
      <c r="BM906" t="str">
        <f t="shared" si="178"/>
        <v/>
      </c>
      <c r="BN906">
        <f t="shared" si="171"/>
        <v>1</v>
      </c>
      <c r="BO906" s="159">
        <v>1</v>
      </c>
      <c r="BP906" t="s">
        <v>233</v>
      </c>
      <c r="BQ906" s="234" t="s">
        <v>1015</v>
      </c>
      <c r="BR906" t="s">
        <v>1004</v>
      </c>
      <c r="BU906" s="144"/>
      <c r="BV906">
        <v>0.4</v>
      </c>
      <c r="BX906">
        <f t="shared" si="161"/>
        <v>0.4</v>
      </c>
      <c r="BY906">
        <f t="shared" si="143"/>
        <v>0.4</v>
      </c>
      <c r="BZ906">
        <v>0</v>
      </c>
      <c r="CA906">
        <v>0</v>
      </c>
      <c r="CB906">
        <v>0</v>
      </c>
      <c r="CC906">
        <v>0</v>
      </c>
      <c r="CD906">
        <v>0</v>
      </c>
      <c r="CE906">
        <v>0</v>
      </c>
      <c r="CF906">
        <v>0</v>
      </c>
      <c r="CG906">
        <v>0</v>
      </c>
      <c r="CH906">
        <v>0</v>
      </c>
      <c r="CI906">
        <v>0</v>
      </c>
      <c r="CJ906">
        <v>0</v>
      </c>
      <c r="CK906">
        <v>0</v>
      </c>
      <c r="CL906">
        <v>0</v>
      </c>
      <c r="CM906">
        <v>0</v>
      </c>
      <c r="CN906" t="str">
        <f t="shared" si="179"/>
        <v>refOK</v>
      </c>
      <c r="CO906">
        <f t="shared" si="162"/>
        <v>0</v>
      </c>
      <c r="CP906">
        <f t="shared" si="163"/>
        <v>1</v>
      </c>
      <c r="CQ906">
        <f t="shared" si="170"/>
        <v>1</v>
      </c>
      <c r="CR906">
        <f t="shared" si="158"/>
        <v>0</v>
      </c>
      <c r="CS906">
        <f t="shared" si="159"/>
        <v>0</v>
      </c>
      <c r="CT906">
        <f t="shared" si="168"/>
        <v>0.4</v>
      </c>
      <c r="CU906">
        <f t="shared" si="156"/>
        <v>0.4</v>
      </c>
      <c r="CV906" s="2" t="str">
        <f t="shared" si="169"/>
        <v/>
      </c>
      <c r="CW906" s="1" t="s">
        <v>264</v>
      </c>
      <c r="CX906" t="str">
        <f t="shared" si="144"/>
        <v>loc</v>
      </c>
      <c r="CY906" t="s">
        <v>265</v>
      </c>
      <c r="DA906" s="143"/>
      <c r="DB906" s="143">
        <v>45</v>
      </c>
      <c r="DC906" t="str">
        <f t="shared" si="145"/>
        <v>31-70</v>
      </c>
      <c r="DD906">
        <v>0</v>
      </c>
      <c r="DE906">
        <v>0</v>
      </c>
      <c r="DF906">
        <v>0</v>
      </c>
      <c r="DG906">
        <v>1</v>
      </c>
      <c r="DH906">
        <v>0</v>
      </c>
      <c r="DI906">
        <f t="shared" si="154"/>
        <v>1</v>
      </c>
      <c r="DJ906" t="str">
        <f t="shared" si="155"/>
        <v>TimberInput</v>
      </c>
      <c r="DK906">
        <f t="shared" si="172"/>
        <v>0</v>
      </c>
      <c r="DL906">
        <f t="shared" si="173"/>
        <v>0</v>
      </c>
      <c r="DM906">
        <f t="shared" si="174"/>
        <v>0</v>
      </c>
      <c r="DN906" t="str">
        <f t="shared" si="175"/>
        <v>Timber</v>
      </c>
      <c r="DO906">
        <v>1</v>
      </c>
      <c r="DP906">
        <v>0</v>
      </c>
      <c r="DQ906">
        <v>0</v>
      </c>
      <c r="DR906">
        <v>0</v>
      </c>
      <c r="DS906">
        <v>0</v>
      </c>
      <c r="DT906">
        <f t="shared" si="160"/>
        <v>1</v>
      </c>
      <c r="DU906" s="143" t="str">
        <f t="shared" si="149"/>
        <v>self-calculated DF</v>
      </c>
      <c r="DV906" s="143">
        <v>0</v>
      </c>
      <c r="DW906" s="143">
        <v>0</v>
      </c>
      <c r="DX906" s="143">
        <v>0</v>
      </c>
      <c r="DY906" s="143">
        <v>0</v>
      </c>
      <c r="DZ906">
        <v>0</v>
      </c>
      <c r="EA906" s="143">
        <v>0</v>
      </c>
      <c r="EB906" s="143">
        <v>0</v>
      </c>
      <c r="EC906" s="143">
        <v>1</v>
      </c>
      <c r="ED906" s="143">
        <v>0</v>
      </c>
      <c r="EE906">
        <v>0</v>
      </c>
      <c r="EF906">
        <v>0</v>
      </c>
      <c r="EG906" s="143">
        <v>0</v>
      </c>
      <c r="EH906" s="143">
        <v>0</v>
      </c>
      <c r="EI906" s="2">
        <v>0</v>
      </c>
      <c r="EK906" t="str">
        <f t="shared" si="176"/>
        <v/>
      </c>
      <c r="EL906" t="str">
        <f t="shared" si="177"/>
        <v/>
      </c>
      <c r="EM906" s="2" t="str">
        <f t="shared" si="146"/>
        <v/>
      </c>
      <c r="EP906" t="str">
        <f>IF(ISNUMBER(BU906),IF(ABS(BU906-[2]QC_indicators!$B$2)&gt;3*[2]QC_indicators!$C$2,"C ratio",IF(ISNUMBER(BY906),IF(ABS(BY906-[2]QC_indicators!$B$1)&gt;3*[2]QC_indicators!$C$1,"DF","no"))),IF(ISNUMBER(BY906),IF(ABS(BY906-[2]QC_indicators!$B$1)&gt;3*[2]QC_indicators!$C$1,"DF","no")))</f>
        <v>no</v>
      </c>
      <c r="ER906" t="s">
        <v>997</v>
      </c>
      <c r="ET906" s="266" t="s">
        <v>3214</v>
      </c>
    </row>
    <row r="907" spans="1:150" ht="15" hidden="1" customHeight="1">
      <c r="D907" t="s">
        <v>965</v>
      </c>
      <c r="E907" t="s">
        <v>1009</v>
      </c>
      <c r="G907" t="s">
        <v>1010</v>
      </c>
      <c r="I907">
        <v>2004</v>
      </c>
      <c r="K907" t="s">
        <v>1011</v>
      </c>
      <c r="M907" t="str">
        <f t="shared" si="153"/>
        <v>Petersen_2004</v>
      </c>
      <c r="N907" t="s">
        <v>223</v>
      </c>
      <c r="O907" s="171" t="s">
        <v>514</v>
      </c>
      <c r="P907" s="141" t="s">
        <v>226</v>
      </c>
      <c r="Q907" t="s">
        <v>390</v>
      </c>
      <c r="R907" s="264" t="s">
        <v>224</v>
      </c>
      <c r="S907" s="1" t="s">
        <v>1016</v>
      </c>
      <c r="T907" t="s">
        <v>1020</v>
      </c>
      <c r="U907" t="s">
        <v>1018</v>
      </c>
      <c r="V907">
        <v>0</v>
      </c>
      <c r="W907">
        <v>0</v>
      </c>
      <c r="X907">
        <v>0</v>
      </c>
      <c r="Y907">
        <v>0</v>
      </c>
      <c r="Z907">
        <v>0</v>
      </c>
      <c r="AA907">
        <v>0</v>
      </c>
      <c r="AB907">
        <v>0</v>
      </c>
      <c r="AC907">
        <v>0</v>
      </c>
      <c r="AD907">
        <v>0</v>
      </c>
      <c r="AE907">
        <v>0</v>
      </c>
      <c r="AF907">
        <v>0</v>
      </c>
      <c r="AG907">
        <v>0</v>
      </c>
      <c r="AH907">
        <v>0</v>
      </c>
      <c r="AI907">
        <v>0</v>
      </c>
      <c r="AJ907">
        <v>0</v>
      </c>
      <c r="AK907">
        <v>1</v>
      </c>
      <c r="AL907">
        <v>0</v>
      </c>
      <c r="AM907">
        <v>0</v>
      </c>
      <c r="AN907">
        <v>0</v>
      </c>
      <c r="AO907">
        <v>0</v>
      </c>
      <c r="AP907">
        <v>0</v>
      </c>
      <c r="AQ907">
        <v>0</v>
      </c>
      <c r="AR907">
        <v>0</v>
      </c>
      <c r="AS907">
        <v>0</v>
      </c>
      <c r="AT907">
        <v>0</v>
      </c>
      <c r="AU907">
        <v>0</v>
      </c>
      <c r="AV907">
        <v>0</v>
      </c>
      <c r="AW907">
        <v>0</v>
      </c>
      <c r="AX907" s="141">
        <f t="shared" si="167"/>
        <v>1</v>
      </c>
      <c r="AY907" s="141">
        <f t="shared" si="137"/>
        <v>1</v>
      </c>
      <c r="AZ907">
        <f t="shared" si="138"/>
        <v>0</v>
      </c>
      <c r="BA907">
        <f t="shared" si="139"/>
        <v>0</v>
      </c>
      <c r="BB907">
        <f t="shared" si="140"/>
        <v>1</v>
      </c>
      <c r="BC907">
        <f t="shared" si="141"/>
        <v>0</v>
      </c>
      <c r="BD907">
        <f t="shared" si="142"/>
        <v>0</v>
      </c>
      <c r="BE907" t="str">
        <f t="array" ref="BE907">IF(AY907=1,INDEX($V$7:$AL$7,MATCH(TRUE,INDEX($V907:$AW907&lt;&gt;0,),0)),IF(AY907=0,INDEX($AM$7:$AW$7,MATCH(1,$AM907:$AW907,0)),IF(BF907="Multiple strategies","mixed drivers",IF(BF907="Supply chain","multiple supply","multiple silviculture"))))</f>
        <v>technologies/design switch</v>
      </c>
      <c r="BF907" s="2" t="str" cm="1">
        <f t="array" ref="BF907">IF(COUNTIF(AZ907:BB907,"&lt;&gt;0")=1,INDEX($V$4:$AW$4,MATCH(TRUE,INDEX($V907:$AW907&lt;&gt;0,),0)),IF(COUNTIF(AZ907:BB907,"&lt;&gt;0")=0,INDEX($AM$4:$AW$4,MATCH(1,$AM907:$AW907,0)),"Multiple strategies"))</f>
        <v>Technology</v>
      </c>
      <c r="BG907" s="142" t="s">
        <v>230</v>
      </c>
      <c r="BH907" t="s">
        <v>972</v>
      </c>
      <c r="BI907" t="s">
        <v>1014</v>
      </c>
      <c r="BJ907" t="s">
        <v>499</v>
      </c>
      <c r="BK907">
        <v>0</v>
      </c>
      <c r="BL907" s="143">
        <v>1</v>
      </c>
      <c r="BM907" t="str">
        <f t="shared" si="178"/>
        <v/>
      </c>
      <c r="BN907">
        <f t="shared" si="171"/>
        <v>1</v>
      </c>
      <c r="BO907" s="159">
        <v>1</v>
      </c>
      <c r="BP907" t="s">
        <v>233</v>
      </c>
      <c r="BQ907" s="234" t="s">
        <v>1015</v>
      </c>
      <c r="BR907" t="s">
        <v>1004</v>
      </c>
      <c r="BU907" s="144"/>
      <c r="BV907">
        <v>0.4</v>
      </c>
      <c r="BX907">
        <f t="shared" si="161"/>
        <v>0.4</v>
      </c>
      <c r="BY907">
        <f t="shared" si="143"/>
        <v>0.4</v>
      </c>
      <c r="BZ907">
        <v>0</v>
      </c>
      <c r="CA907">
        <v>0</v>
      </c>
      <c r="CB907">
        <v>0</v>
      </c>
      <c r="CC907">
        <v>0</v>
      </c>
      <c r="CD907">
        <v>0</v>
      </c>
      <c r="CE907">
        <v>0</v>
      </c>
      <c r="CF907">
        <v>0</v>
      </c>
      <c r="CG907">
        <v>0</v>
      </c>
      <c r="CH907">
        <v>0</v>
      </c>
      <c r="CI907">
        <v>0</v>
      </c>
      <c r="CJ907">
        <v>0</v>
      </c>
      <c r="CK907">
        <v>0</v>
      </c>
      <c r="CL907">
        <v>0</v>
      </c>
      <c r="CM907">
        <v>0</v>
      </c>
      <c r="CN907" t="str">
        <f t="shared" si="179"/>
        <v>refOK</v>
      </c>
      <c r="CO907">
        <f t="shared" si="162"/>
        <v>0</v>
      </c>
      <c r="CP907">
        <f t="shared" si="163"/>
        <v>1</v>
      </c>
      <c r="CQ907">
        <f t="shared" si="170"/>
        <v>1</v>
      </c>
      <c r="CR907">
        <f t="shared" si="158"/>
        <v>0</v>
      </c>
      <c r="CS907">
        <f t="shared" si="159"/>
        <v>0</v>
      </c>
      <c r="CT907">
        <f t="shared" si="168"/>
        <v>0.4</v>
      </c>
      <c r="CU907">
        <f t="shared" si="156"/>
        <v>0.4</v>
      </c>
      <c r="CV907" s="2" t="str">
        <f t="shared" si="169"/>
        <v/>
      </c>
      <c r="CW907" s="1" t="s">
        <v>264</v>
      </c>
      <c r="CX907" t="str">
        <f t="shared" si="144"/>
        <v>loc</v>
      </c>
      <c r="CY907" t="s">
        <v>265</v>
      </c>
      <c r="DA907" s="143"/>
      <c r="DB907" s="143">
        <v>45</v>
      </c>
      <c r="DC907" t="str">
        <f t="shared" si="145"/>
        <v>31-70</v>
      </c>
      <c r="DD907">
        <v>0</v>
      </c>
      <c r="DE907">
        <v>0</v>
      </c>
      <c r="DF907">
        <v>0</v>
      </c>
      <c r="DG907">
        <v>1</v>
      </c>
      <c r="DH907">
        <v>0</v>
      </c>
      <c r="DI907">
        <f t="shared" ref="DI907:DI938" si="180">SUM(DD907:DG907)</f>
        <v>1</v>
      </c>
      <c r="DJ907" t="str">
        <f t="shared" si="155"/>
        <v>TimberInput</v>
      </c>
      <c r="DK907">
        <f t="shared" si="172"/>
        <v>0</v>
      </c>
      <c r="DL907">
        <f t="shared" si="173"/>
        <v>0</v>
      </c>
      <c r="DM907">
        <f t="shared" si="174"/>
        <v>0</v>
      </c>
      <c r="DN907" t="str">
        <f t="shared" si="175"/>
        <v>Timber</v>
      </c>
      <c r="DO907">
        <v>1</v>
      </c>
      <c r="DP907">
        <v>0</v>
      </c>
      <c r="DQ907">
        <v>0</v>
      </c>
      <c r="DR907">
        <v>0</v>
      </c>
      <c r="DS907">
        <v>0</v>
      </c>
      <c r="DT907">
        <f t="shared" si="160"/>
        <v>1</v>
      </c>
      <c r="DU907" s="143" t="str">
        <f t="shared" si="149"/>
        <v>self-calculated DF</v>
      </c>
      <c r="DV907" s="143">
        <v>0</v>
      </c>
      <c r="DW907" s="143">
        <v>0</v>
      </c>
      <c r="DX907" s="143">
        <v>0</v>
      </c>
      <c r="DY907" s="143">
        <v>0</v>
      </c>
      <c r="DZ907">
        <v>0</v>
      </c>
      <c r="EA907" s="143">
        <v>0</v>
      </c>
      <c r="EB907" s="143">
        <v>0</v>
      </c>
      <c r="EC907" s="143">
        <v>1</v>
      </c>
      <c r="ED907" s="143">
        <v>0</v>
      </c>
      <c r="EE907">
        <v>0</v>
      </c>
      <c r="EF907">
        <v>0</v>
      </c>
      <c r="EG907" s="143">
        <v>0</v>
      </c>
      <c r="EH907" s="143">
        <v>0</v>
      </c>
      <c r="EI907" s="2">
        <v>0</v>
      </c>
      <c r="EK907" t="str">
        <f t="shared" si="176"/>
        <v/>
      </c>
      <c r="EL907" t="str">
        <f t="shared" si="177"/>
        <v/>
      </c>
      <c r="EM907" s="2" t="str">
        <f t="shared" si="146"/>
        <v/>
      </c>
      <c r="EP907" t="str">
        <f>IF(ISNUMBER(BU907),IF(ABS(BU907-[2]QC_indicators!$B$2)&gt;3*[2]QC_indicators!$C$2,"C ratio",IF(ISNUMBER(BY907),IF(ABS(BY907-[2]QC_indicators!$B$1)&gt;3*[2]QC_indicators!$C$1,"DF","no"))),IF(ISNUMBER(BY907),IF(ABS(BY907-[2]QC_indicators!$B$1)&gt;3*[2]QC_indicators!$C$1,"DF","no")))</f>
        <v>no</v>
      </c>
      <c r="ER907" t="s">
        <v>997</v>
      </c>
      <c r="ET907" s="266" t="s">
        <v>3214</v>
      </c>
    </row>
    <row r="908" spans="1:150" ht="15" hidden="1" customHeight="1">
      <c r="D908" t="s">
        <v>965</v>
      </c>
      <c r="E908" t="s">
        <v>1009</v>
      </c>
      <c r="G908" t="s">
        <v>1010</v>
      </c>
      <c r="I908">
        <v>2004</v>
      </c>
      <c r="K908" t="s">
        <v>1011</v>
      </c>
      <c r="M908" t="str">
        <f t="shared" si="153"/>
        <v>Petersen_2004</v>
      </c>
      <c r="N908" t="s">
        <v>223</v>
      </c>
      <c r="O908" s="171" t="s">
        <v>514</v>
      </c>
      <c r="P908" s="141" t="s">
        <v>226</v>
      </c>
      <c r="Q908" t="s">
        <v>390</v>
      </c>
      <c r="R908" s="264" t="s">
        <v>224</v>
      </c>
      <c r="S908" s="1" t="s">
        <v>1016</v>
      </c>
      <c r="T908" t="s">
        <v>1024</v>
      </c>
      <c r="U908" t="s">
        <v>1018</v>
      </c>
      <c r="V908">
        <v>0</v>
      </c>
      <c r="W908">
        <v>0</v>
      </c>
      <c r="X908">
        <v>0</v>
      </c>
      <c r="Y908">
        <v>0</v>
      </c>
      <c r="Z908">
        <v>0</v>
      </c>
      <c r="AA908">
        <v>0</v>
      </c>
      <c r="AB908">
        <v>0</v>
      </c>
      <c r="AC908">
        <v>0</v>
      </c>
      <c r="AD908">
        <v>0</v>
      </c>
      <c r="AE908">
        <v>0</v>
      </c>
      <c r="AF908">
        <v>0</v>
      </c>
      <c r="AG908">
        <v>0</v>
      </c>
      <c r="AH908">
        <v>0</v>
      </c>
      <c r="AI908">
        <v>0</v>
      </c>
      <c r="AJ908">
        <v>0</v>
      </c>
      <c r="AK908">
        <v>1</v>
      </c>
      <c r="AL908">
        <v>0</v>
      </c>
      <c r="AM908">
        <v>0</v>
      </c>
      <c r="AN908">
        <v>0</v>
      </c>
      <c r="AO908">
        <v>0</v>
      </c>
      <c r="AP908">
        <v>0</v>
      </c>
      <c r="AQ908">
        <v>0</v>
      </c>
      <c r="AR908">
        <v>0</v>
      </c>
      <c r="AS908">
        <v>0</v>
      </c>
      <c r="AT908">
        <v>0</v>
      </c>
      <c r="AU908">
        <v>0</v>
      </c>
      <c r="AV908">
        <v>0</v>
      </c>
      <c r="AW908">
        <v>0</v>
      </c>
      <c r="AX908" s="141">
        <f t="shared" si="167"/>
        <v>1</v>
      </c>
      <c r="AY908" s="141">
        <f t="shared" si="137"/>
        <v>1</v>
      </c>
      <c r="AZ908">
        <f t="shared" si="138"/>
        <v>0</v>
      </c>
      <c r="BA908">
        <f t="shared" si="139"/>
        <v>0</v>
      </c>
      <c r="BB908">
        <f t="shared" si="140"/>
        <v>1</v>
      </c>
      <c r="BC908">
        <f t="shared" si="141"/>
        <v>0</v>
      </c>
      <c r="BD908">
        <f t="shared" si="142"/>
        <v>0</v>
      </c>
      <c r="BE908" t="str">
        <f t="array" ref="BE908">IF(AY908=1,INDEX($V$7:$AL$7,MATCH(TRUE,INDEX($V908:$AW908&lt;&gt;0,),0)),IF(AY908=0,INDEX($AM$7:$AW$7,MATCH(1,$AM908:$AW908,0)),IF(BF908="Multiple strategies","mixed drivers",IF(BF908="Supply chain","multiple supply","multiple silviculture"))))</f>
        <v>technologies/design switch</v>
      </c>
      <c r="BF908" s="2" t="str" cm="1">
        <f t="array" ref="BF908">IF(COUNTIF(AZ908:BB908,"&lt;&gt;0")=1,INDEX($V$4:$AW$4,MATCH(TRUE,INDEX($V908:$AW908&lt;&gt;0,),0)),IF(COUNTIF(AZ908:BB908,"&lt;&gt;0")=0,INDEX($AM$4:$AW$4,MATCH(1,$AM908:$AW908,0)),"Multiple strategies"))</f>
        <v>Technology</v>
      </c>
      <c r="BG908" s="142" t="s">
        <v>230</v>
      </c>
      <c r="BH908" t="s">
        <v>972</v>
      </c>
      <c r="BI908" t="s">
        <v>1014</v>
      </c>
      <c r="BJ908" t="s">
        <v>499</v>
      </c>
      <c r="BK908">
        <v>0</v>
      </c>
      <c r="BL908" s="143">
        <v>1</v>
      </c>
      <c r="BM908" t="str">
        <f t="shared" si="178"/>
        <v/>
      </c>
      <c r="BN908">
        <f t="shared" si="171"/>
        <v>1</v>
      </c>
      <c r="BO908" s="159">
        <v>1</v>
      </c>
      <c r="BP908" t="s">
        <v>233</v>
      </c>
      <c r="BQ908" s="234" t="s">
        <v>1015</v>
      </c>
      <c r="BR908" t="s">
        <v>1004</v>
      </c>
      <c r="BU908" s="144"/>
      <c r="BV908">
        <v>1.2</v>
      </c>
      <c r="BX908">
        <f t="shared" si="161"/>
        <v>1.2</v>
      </c>
      <c r="BY908">
        <f t="shared" si="143"/>
        <v>1.2</v>
      </c>
      <c r="BZ908">
        <v>0</v>
      </c>
      <c r="CA908">
        <v>0</v>
      </c>
      <c r="CB908">
        <v>0</v>
      </c>
      <c r="CC908">
        <v>0</v>
      </c>
      <c r="CD908">
        <v>0</v>
      </c>
      <c r="CE908">
        <v>0</v>
      </c>
      <c r="CF908">
        <v>0</v>
      </c>
      <c r="CG908">
        <v>0</v>
      </c>
      <c r="CH908">
        <v>0</v>
      </c>
      <c r="CI908">
        <v>0</v>
      </c>
      <c r="CJ908">
        <v>0</v>
      </c>
      <c r="CK908">
        <v>0</v>
      </c>
      <c r="CL908">
        <v>0</v>
      </c>
      <c r="CM908">
        <v>0</v>
      </c>
      <c r="CN908" t="str">
        <f t="shared" si="179"/>
        <v>refOK</v>
      </c>
      <c r="CO908">
        <f t="shared" si="162"/>
        <v>0</v>
      </c>
      <c r="CP908">
        <f t="shared" si="163"/>
        <v>1</v>
      </c>
      <c r="CQ908">
        <f t="shared" si="170"/>
        <v>1</v>
      </c>
      <c r="CR908">
        <f t="shared" si="158"/>
        <v>0</v>
      </c>
      <c r="CS908">
        <f t="shared" si="159"/>
        <v>0</v>
      </c>
      <c r="CT908">
        <f t="shared" si="168"/>
        <v>1.2</v>
      </c>
      <c r="CU908">
        <f t="shared" si="156"/>
        <v>1.2</v>
      </c>
      <c r="CV908" s="2" t="str">
        <f t="shared" si="169"/>
        <v/>
      </c>
      <c r="CW908" s="1" t="s">
        <v>264</v>
      </c>
      <c r="CX908" t="str">
        <f t="shared" si="144"/>
        <v>loc</v>
      </c>
      <c r="CY908" t="s">
        <v>265</v>
      </c>
      <c r="DA908" s="143"/>
      <c r="DB908" s="143">
        <v>45</v>
      </c>
      <c r="DC908" t="str">
        <f t="shared" si="145"/>
        <v>31-70</v>
      </c>
      <c r="DD908">
        <v>0</v>
      </c>
      <c r="DE908">
        <v>0</v>
      </c>
      <c r="DF908">
        <v>0</v>
      </c>
      <c r="DG908">
        <v>1</v>
      </c>
      <c r="DH908">
        <v>0</v>
      </c>
      <c r="DI908">
        <f t="shared" si="180"/>
        <v>1</v>
      </c>
      <c r="DJ908" t="str">
        <f t="shared" si="155"/>
        <v>TimberInput</v>
      </c>
      <c r="DK908">
        <f t="shared" si="172"/>
        <v>0</v>
      </c>
      <c r="DL908">
        <f t="shared" si="173"/>
        <v>0</v>
      </c>
      <c r="DM908">
        <f t="shared" si="174"/>
        <v>0</v>
      </c>
      <c r="DN908" t="str">
        <f t="shared" si="175"/>
        <v>Timber</v>
      </c>
      <c r="DO908">
        <v>1</v>
      </c>
      <c r="DP908">
        <v>0</v>
      </c>
      <c r="DQ908">
        <v>0</v>
      </c>
      <c r="DR908">
        <v>0</v>
      </c>
      <c r="DS908">
        <v>0</v>
      </c>
      <c r="DT908">
        <f t="shared" si="160"/>
        <v>1</v>
      </c>
      <c r="DU908" s="143" t="str">
        <f t="shared" si="149"/>
        <v>self-calculated DF</v>
      </c>
      <c r="DV908" s="143">
        <v>0</v>
      </c>
      <c r="DW908" s="143">
        <v>0</v>
      </c>
      <c r="DX908" s="143">
        <v>0</v>
      </c>
      <c r="DY908" s="143">
        <v>0</v>
      </c>
      <c r="DZ908">
        <v>0</v>
      </c>
      <c r="EA908" s="143">
        <v>0</v>
      </c>
      <c r="EB908" s="143">
        <v>0</v>
      </c>
      <c r="EC908" s="143">
        <v>1</v>
      </c>
      <c r="ED908" s="143">
        <v>0</v>
      </c>
      <c r="EE908">
        <v>0</v>
      </c>
      <c r="EF908">
        <v>0</v>
      </c>
      <c r="EG908" s="143">
        <v>0</v>
      </c>
      <c r="EH908" s="143">
        <v>0</v>
      </c>
      <c r="EI908" s="2">
        <v>0</v>
      </c>
      <c r="EK908" t="str">
        <f t="shared" si="176"/>
        <v/>
      </c>
      <c r="EL908" t="str">
        <f t="shared" si="177"/>
        <v/>
      </c>
      <c r="EM908" s="2" t="str">
        <f t="shared" si="146"/>
        <v/>
      </c>
      <c r="EP908" t="str">
        <f>IF(ISNUMBER(BU908),IF(ABS(BU908-[2]QC_indicators!$B$2)&gt;3*[2]QC_indicators!$C$2,"C ratio",IF(ISNUMBER(BY908),IF(ABS(BY908-[2]QC_indicators!$B$1)&gt;3*[2]QC_indicators!$C$1,"DF","no"))),IF(ISNUMBER(BY908),IF(ABS(BY908-[2]QC_indicators!$B$1)&gt;3*[2]QC_indicators!$C$1,"DF","no")))</f>
        <v>no</v>
      </c>
      <c r="ER908" t="s">
        <v>997</v>
      </c>
      <c r="ET908" s="266" t="s">
        <v>3214</v>
      </c>
    </row>
    <row r="909" spans="1:150" ht="15" hidden="1" customHeight="1">
      <c r="D909" t="s">
        <v>965</v>
      </c>
      <c r="E909" t="s">
        <v>1009</v>
      </c>
      <c r="G909" t="s">
        <v>1010</v>
      </c>
      <c r="I909">
        <v>2004</v>
      </c>
      <c r="K909" t="s">
        <v>1011</v>
      </c>
      <c r="M909" t="str">
        <f t="shared" si="153"/>
        <v>Petersen_2004</v>
      </c>
      <c r="N909" t="s">
        <v>223</v>
      </c>
      <c r="O909" s="171" t="s">
        <v>514</v>
      </c>
      <c r="P909" s="141" t="s">
        <v>226</v>
      </c>
      <c r="Q909" t="s">
        <v>390</v>
      </c>
      <c r="R909" s="264" t="s">
        <v>224</v>
      </c>
      <c r="S909" s="1" t="s">
        <v>1016</v>
      </c>
      <c r="T909" t="s">
        <v>1027</v>
      </c>
      <c r="U909" t="s">
        <v>1018</v>
      </c>
      <c r="V909">
        <v>0</v>
      </c>
      <c r="W909">
        <v>0</v>
      </c>
      <c r="X909">
        <v>0</v>
      </c>
      <c r="Y909">
        <v>0</v>
      </c>
      <c r="Z909">
        <v>0</v>
      </c>
      <c r="AA909">
        <v>0</v>
      </c>
      <c r="AB909">
        <v>0</v>
      </c>
      <c r="AC909">
        <v>0</v>
      </c>
      <c r="AD909">
        <v>0</v>
      </c>
      <c r="AE909">
        <v>0</v>
      </c>
      <c r="AF909">
        <v>0</v>
      </c>
      <c r="AG909">
        <v>0</v>
      </c>
      <c r="AH909">
        <v>0</v>
      </c>
      <c r="AI909">
        <v>0</v>
      </c>
      <c r="AJ909">
        <v>0</v>
      </c>
      <c r="AK909">
        <v>1</v>
      </c>
      <c r="AL909">
        <v>0</v>
      </c>
      <c r="AM909">
        <v>0</v>
      </c>
      <c r="AN909">
        <v>0</v>
      </c>
      <c r="AO909">
        <v>0</v>
      </c>
      <c r="AP909">
        <v>0</v>
      </c>
      <c r="AQ909">
        <v>0</v>
      </c>
      <c r="AR909">
        <v>0</v>
      </c>
      <c r="AS909">
        <v>0</v>
      </c>
      <c r="AT909">
        <v>0</v>
      </c>
      <c r="AU909">
        <v>0</v>
      </c>
      <c r="AV909">
        <v>0</v>
      </c>
      <c r="AW909">
        <v>0</v>
      </c>
      <c r="AX909" s="141">
        <f t="shared" si="167"/>
        <v>1</v>
      </c>
      <c r="AY909" s="141">
        <f t="shared" si="137"/>
        <v>1</v>
      </c>
      <c r="AZ909">
        <f t="shared" si="138"/>
        <v>0</v>
      </c>
      <c r="BA909">
        <f t="shared" si="139"/>
        <v>0</v>
      </c>
      <c r="BB909">
        <f t="shared" si="140"/>
        <v>1</v>
      </c>
      <c r="BC909">
        <f t="shared" si="141"/>
        <v>0</v>
      </c>
      <c r="BD909">
        <f t="shared" si="142"/>
        <v>0</v>
      </c>
      <c r="BE909" t="str">
        <f t="array" ref="BE909">IF(AY909=1,INDEX($V$7:$AL$7,MATCH(TRUE,INDEX($V909:$AW909&lt;&gt;0,),0)),IF(AY909=0,INDEX($AM$7:$AW$7,MATCH(1,$AM909:$AW909,0)),IF(BF909="Multiple strategies","mixed drivers",IF(BF909="Supply chain","multiple supply","multiple silviculture"))))</f>
        <v>technologies/design switch</v>
      </c>
      <c r="BF909" s="2" t="str" cm="1">
        <f t="array" ref="BF909">IF(COUNTIF(AZ909:BB909,"&lt;&gt;0")=1,INDEX($V$4:$AW$4,MATCH(TRUE,INDEX($V909:$AW909&lt;&gt;0,),0)),IF(COUNTIF(AZ909:BB909,"&lt;&gt;0")=0,INDEX($AM$4:$AW$4,MATCH(1,$AM909:$AW909,0)),"Multiple strategies"))</f>
        <v>Technology</v>
      </c>
      <c r="BG909" s="142" t="s">
        <v>230</v>
      </c>
      <c r="BH909" t="s">
        <v>972</v>
      </c>
      <c r="BI909" t="s">
        <v>1014</v>
      </c>
      <c r="BJ909" t="s">
        <v>499</v>
      </c>
      <c r="BK909">
        <v>0</v>
      </c>
      <c r="BL909" s="143">
        <v>1</v>
      </c>
      <c r="BM909" t="str">
        <f t="shared" si="178"/>
        <v/>
      </c>
      <c r="BN909">
        <f t="shared" si="171"/>
        <v>1</v>
      </c>
      <c r="BO909" s="159">
        <v>1</v>
      </c>
      <c r="BP909" t="s">
        <v>233</v>
      </c>
      <c r="BQ909" s="234" t="s">
        <v>1015</v>
      </c>
      <c r="BR909" t="s">
        <v>1004</v>
      </c>
      <c r="BU909" s="144"/>
      <c r="BV909">
        <v>1.7</v>
      </c>
      <c r="BX909">
        <f t="shared" si="161"/>
        <v>1.7</v>
      </c>
      <c r="BY909">
        <f t="shared" si="143"/>
        <v>1.7</v>
      </c>
      <c r="BZ909">
        <v>0</v>
      </c>
      <c r="CA909">
        <v>0</v>
      </c>
      <c r="CB909">
        <v>0</v>
      </c>
      <c r="CC909">
        <v>0</v>
      </c>
      <c r="CD909">
        <v>0</v>
      </c>
      <c r="CE909">
        <v>0</v>
      </c>
      <c r="CF909">
        <v>0</v>
      </c>
      <c r="CG909">
        <v>0</v>
      </c>
      <c r="CH909">
        <v>0</v>
      </c>
      <c r="CI909">
        <v>0</v>
      </c>
      <c r="CJ909">
        <v>0</v>
      </c>
      <c r="CK909">
        <v>0</v>
      </c>
      <c r="CL909">
        <v>0</v>
      </c>
      <c r="CM909">
        <v>0</v>
      </c>
      <c r="CN909" t="str">
        <f t="shared" si="179"/>
        <v>refOK</v>
      </c>
      <c r="CO909">
        <f t="shared" si="162"/>
        <v>0</v>
      </c>
      <c r="CP909">
        <f t="shared" si="163"/>
        <v>1</v>
      </c>
      <c r="CQ909">
        <f t="shared" si="170"/>
        <v>1</v>
      </c>
      <c r="CR909">
        <f t="shared" si="158"/>
        <v>0</v>
      </c>
      <c r="CS909">
        <f t="shared" si="159"/>
        <v>0</v>
      </c>
      <c r="CT909">
        <f t="shared" si="168"/>
        <v>1.7</v>
      </c>
      <c r="CU909">
        <f t="shared" si="156"/>
        <v>1.7</v>
      </c>
      <c r="CV909" s="2" t="str">
        <f t="shared" si="169"/>
        <v/>
      </c>
      <c r="CW909" s="1" t="s">
        <v>264</v>
      </c>
      <c r="CX909" t="str">
        <f t="shared" si="144"/>
        <v>loc</v>
      </c>
      <c r="CY909" t="s">
        <v>265</v>
      </c>
      <c r="DA909" s="143"/>
      <c r="DB909" s="143">
        <v>45</v>
      </c>
      <c r="DC909" t="str">
        <f t="shared" si="145"/>
        <v>31-70</v>
      </c>
      <c r="DD909">
        <v>0</v>
      </c>
      <c r="DE909">
        <v>0</v>
      </c>
      <c r="DF909">
        <v>0</v>
      </c>
      <c r="DG909">
        <v>1</v>
      </c>
      <c r="DH909">
        <v>0</v>
      </c>
      <c r="DI909">
        <f t="shared" si="180"/>
        <v>1</v>
      </c>
      <c r="DJ909" t="str">
        <f t="shared" si="155"/>
        <v>TimberInput</v>
      </c>
      <c r="DK909">
        <f t="shared" si="172"/>
        <v>0</v>
      </c>
      <c r="DL909">
        <f t="shared" si="173"/>
        <v>0</v>
      </c>
      <c r="DM909">
        <f t="shared" si="174"/>
        <v>0</v>
      </c>
      <c r="DN909" t="str">
        <f t="shared" si="175"/>
        <v>Timber</v>
      </c>
      <c r="DO909">
        <v>1</v>
      </c>
      <c r="DP909">
        <v>0</v>
      </c>
      <c r="DQ909">
        <v>0</v>
      </c>
      <c r="DR909">
        <v>0</v>
      </c>
      <c r="DS909">
        <v>0</v>
      </c>
      <c r="DT909">
        <f t="shared" si="160"/>
        <v>1</v>
      </c>
      <c r="DU909" s="143" t="str">
        <f t="shared" si="149"/>
        <v>self-calculated DF</v>
      </c>
      <c r="DV909" s="143">
        <v>0</v>
      </c>
      <c r="DW909" s="143">
        <v>0</v>
      </c>
      <c r="DX909" s="143">
        <v>0</v>
      </c>
      <c r="DY909" s="143">
        <v>0</v>
      </c>
      <c r="DZ909">
        <v>0</v>
      </c>
      <c r="EA909" s="143">
        <v>0</v>
      </c>
      <c r="EB909" s="143">
        <v>0</v>
      </c>
      <c r="EC909" s="143">
        <v>1</v>
      </c>
      <c r="ED909" s="143">
        <v>0</v>
      </c>
      <c r="EE909">
        <v>0</v>
      </c>
      <c r="EF909">
        <v>0</v>
      </c>
      <c r="EG909" s="143">
        <v>0</v>
      </c>
      <c r="EH909" s="143">
        <v>0</v>
      </c>
      <c r="EI909" s="2">
        <v>0</v>
      </c>
      <c r="EK909" t="str">
        <f t="shared" si="176"/>
        <v/>
      </c>
      <c r="EL909" t="str">
        <f t="shared" si="177"/>
        <v/>
      </c>
      <c r="EM909" s="2" t="str">
        <f t="shared" si="146"/>
        <v/>
      </c>
      <c r="EP909" t="str">
        <f>IF(ISNUMBER(BU909),IF(ABS(BU909-[2]QC_indicators!$B$2)&gt;3*[2]QC_indicators!$C$2,"C ratio",IF(ISNUMBER(BY909),IF(ABS(BY909-[2]QC_indicators!$B$1)&gt;3*[2]QC_indicators!$C$1,"DF","no"))),IF(ISNUMBER(BY909),IF(ABS(BY909-[2]QC_indicators!$B$1)&gt;3*[2]QC_indicators!$C$1,"DF","no")))</f>
        <v>no</v>
      </c>
      <c r="ER909" t="s">
        <v>997</v>
      </c>
      <c r="ET909" s="266" t="s">
        <v>3214</v>
      </c>
    </row>
    <row r="910" spans="1:150" ht="15" hidden="1" customHeight="1">
      <c r="D910" t="s">
        <v>965</v>
      </c>
      <c r="E910" t="s">
        <v>1009</v>
      </c>
      <c r="G910" t="s">
        <v>1010</v>
      </c>
      <c r="I910">
        <v>2004</v>
      </c>
      <c r="K910" t="s">
        <v>1011</v>
      </c>
      <c r="M910" t="str">
        <f t="shared" si="153"/>
        <v>Petersen_2004</v>
      </c>
      <c r="N910" t="s">
        <v>223</v>
      </c>
      <c r="O910" s="171" t="s">
        <v>514</v>
      </c>
      <c r="P910" s="141" t="s">
        <v>226</v>
      </c>
      <c r="Q910" t="s">
        <v>390</v>
      </c>
      <c r="R910" s="264" t="s">
        <v>224</v>
      </c>
      <c r="S910" s="1" t="s">
        <v>1016</v>
      </c>
      <c r="T910" t="s">
        <v>1028</v>
      </c>
      <c r="U910" t="s">
        <v>1018</v>
      </c>
      <c r="V910">
        <v>0</v>
      </c>
      <c r="W910">
        <v>0</v>
      </c>
      <c r="X910">
        <v>0</v>
      </c>
      <c r="Y910">
        <v>0</v>
      </c>
      <c r="Z910">
        <v>0</v>
      </c>
      <c r="AA910">
        <v>0</v>
      </c>
      <c r="AB910">
        <v>0</v>
      </c>
      <c r="AC910">
        <v>0</v>
      </c>
      <c r="AD910">
        <v>0</v>
      </c>
      <c r="AE910">
        <v>0</v>
      </c>
      <c r="AF910">
        <v>0</v>
      </c>
      <c r="AG910">
        <v>0</v>
      </c>
      <c r="AH910">
        <v>0</v>
      </c>
      <c r="AI910">
        <v>0</v>
      </c>
      <c r="AJ910">
        <v>0</v>
      </c>
      <c r="AK910">
        <v>1</v>
      </c>
      <c r="AL910">
        <v>0</v>
      </c>
      <c r="AM910">
        <v>0</v>
      </c>
      <c r="AN910">
        <v>0</v>
      </c>
      <c r="AO910">
        <v>0</v>
      </c>
      <c r="AP910">
        <v>0</v>
      </c>
      <c r="AQ910">
        <v>0</v>
      </c>
      <c r="AR910">
        <v>0</v>
      </c>
      <c r="AS910">
        <v>0</v>
      </c>
      <c r="AT910">
        <v>0</v>
      </c>
      <c r="AU910">
        <v>0</v>
      </c>
      <c r="AV910">
        <v>0</v>
      </c>
      <c r="AW910">
        <v>0</v>
      </c>
      <c r="AX910" s="141">
        <f t="shared" si="167"/>
        <v>1</v>
      </c>
      <c r="AY910" s="141">
        <f t="shared" si="137"/>
        <v>1</v>
      </c>
      <c r="AZ910">
        <f t="shared" si="138"/>
        <v>0</v>
      </c>
      <c r="BA910">
        <f t="shared" si="139"/>
        <v>0</v>
      </c>
      <c r="BB910">
        <f t="shared" si="140"/>
        <v>1</v>
      </c>
      <c r="BC910">
        <f t="shared" si="141"/>
        <v>0</v>
      </c>
      <c r="BD910">
        <f t="shared" si="142"/>
        <v>0</v>
      </c>
      <c r="BE910" t="str">
        <f t="array" ref="BE910">IF(AY910=1,INDEX($V$7:$AL$7,MATCH(TRUE,INDEX($V910:$AW910&lt;&gt;0,),0)),IF(AY910=0,INDEX($AM$7:$AW$7,MATCH(1,$AM910:$AW910,0)),IF(BF910="Multiple strategies","mixed drivers",IF(BF910="Supply chain","multiple supply","multiple silviculture"))))</f>
        <v>technologies/design switch</v>
      </c>
      <c r="BF910" s="2" t="str" cm="1">
        <f t="array" ref="BF910">IF(COUNTIF(AZ910:BB910,"&lt;&gt;0")=1,INDEX($V$4:$AW$4,MATCH(TRUE,INDEX($V910:$AW910&lt;&gt;0,),0)),IF(COUNTIF(AZ910:BB910,"&lt;&gt;0")=0,INDEX($AM$4:$AW$4,MATCH(1,$AM910:$AW910,0)),"Multiple strategies"))</f>
        <v>Technology</v>
      </c>
      <c r="BG910" s="142" t="s">
        <v>230</v>
      </c>
      <c r="BH910" t="s">
        <v>972</v>
      </c>
      <c r="BI910" t="s">
        <v>1014</v>
      </c>
      <c r="BJ910" t="s">
        <v>499</v>
      </c>
      <c r="BK910">
        <v>0</v>
      </c>
      <c r="BL910" s="143">
        <v>1</v>
      </c>
      <c r="BM910" t="str">
        <f t="shared" si="178"/>
        <v/>
      </c>
      <c r="BN910">
        <f t="shared" si="171"/>
        <v>1</v>
      </c>
      <c r="BO910" s="159">
        <v>1</v>
      </c>
      <c r="BP910" t="s">
        <v>233</v>
      </c>
      <c r="BQ910" s="234" t="s">
        <v>1015</v>
      </c>
      <c r="BR910" t="s">
        <v>1004</v>
      </c>
      <c r="BU910" s="144"/>
      <c r="BV910">
        <v>8.4</v>
      </c>
      <c r="BX910">
        <f t="shared" si="161"/>
        <v>8.4</v>
      </c>
      <c r="BY910">
        <f t="shared" si="143"/>
        <v>8.4</v>
      </c>
      <c r="BZ910">
        <v>0</v>
      </c>
      <c r="CA910">
        <v>0</v>
      </c>
      <c r="CB910">
        <v>0</v>
      </c>
      <c r="CC910">
        <v>0</v>
      </c>
      <c r="CD910">
        <v>0</v>
      </c>
      <c r="CE910">
        <v>0</v>
      </c>
      <c r="CF910">
        <v>0</v>
      </c>
      <c r="CG910">
        <v>0</v>
      </c>
      <c r="CH910">
        <v>0</v>
      </c>
      <c r="CI910">
        <v>0</v>
      </c>
      <c r="CJ910">
        <v>0</v>
      </c>
      <c r="CK910">
        <v>0</v>
      </c>
      <c r="CL910">
        <v>0</v>
      </c>
      <c r="CM910">
        <v>0</v>
      </c>
      <c r="CN910" t="str">
        <f t="shared" si="179"/>
        <v>refOK</v>
      </c>
      <c r="CO910">
        <f t="shared" si="162"/>
        <v>0</v>
      </c>
      <c r="CP910">
        <f t="shared" si="163"/>
        <v>1</v>
      </c>
      <c r="CQ910">
        <f t="shared" si="170"/>
        <v>1</v>
      </c>
      <c r="CR910">
        <f t="shared" si="158"/>
        <v>0</v>
      </c>
      <c r="CS910">
        <f t="shared" si="159"/>
        <v>0</v>
      </c>
      <c r="CT910">
        <f t="shared" si="168"/>
        <v>8.4</v>
      </c>
      <c r="CU910">
        <f t="shared" si="156"/>
        <v>8.4</v>
      </c>
      <c r="CV910" s="2" t="str">
        <f t="shared" si="169"/>
        <v/>
      </c>
      <c r="CW910" s="1" t="s">
        <v>264</v>
      </c>
      <c r="CX910" t="str">
        <f t="shared" si="144"/>
        <v>loc</v>
      </c>
      <c r="CY910" t="s">
        <v>265</v>
      </c>
      <c r="DA910" s="143"/>
      <c r="DB910" s="143">
        <v>45</v>
      </c>
      <c r="DC910" t="str">
        <f t="shared" si="145"/>
        <v>31-70</v>
      </c>
      <c r="DD910">
        <v>0</v>
      </c>
      <c r="DE910">
        <v>0</v>
      </c>
      <c r="DF910">
        <v>0</v>
      </c>
      <c r="DG910">
        <v>1</v>
      </c>
      <c r="DH910">
        <v>0</v>
      </c>
      <c r="DI910">
        <f t="shared" si="180"/>
        <v>1</v>
      </c>
      <c r="DJ910" t="str">
        <f t="shared" si="155"/>
        <v>TimberInput</v>
      </c>
      <c r="DK910">
        <f t="shared" si="172"/>
        <v>0</v>
      </c>
      <c r="DL910">
        <f t="shared" si="173"/>
        <v>0</v>
      </c>
      <c r="DM910">
        <f t="shared" si="174"/>
        <v>0</v>
      </c>
      <c r="DN910" t="str">
        <f t="shared" si="175"/>
        <v>Timber</v>
      </c>
      <c r="DO910">
        <v>1</v>
      </c>
      <c r="DP910">
        <v>0</v>
      </c>
      <c r="DQ910">
        <v>0</v>
      </c>
      <c r="DR910">
        <v>0</v>
      </c>
      <c r="DS910">
        <v>0</v>
      </c>
      <c r="DT910">
        <f t="shared" si="160"/>
        <v>1</v>
      </c>
      <c r="DU910" s="143" t="str">
        <f t="shared" si="149"/>
        <v>self-calculated DF</v>
      </c>
      <c r="DV910" s="143">
        <v>0</v>
      </c>
      <c r="DW910" s="143">
        <v>0</v>
      </c>
      <c r="DX910" s="143">
        <v>0</v>
      </c>
      <c r="DY910" s="143">
        <v>0</v>
      </c>
      <c r="DZ910">
        <v>0</v>
      </c>
      <c r="EA910" s="143">
        <v>0</v>
      </c>
      <c r="EB910" s="143">
        <v>0</v>
      </c>
      <c r="EC910" s="143">
        <v>1</v>
      </c>
      <c r="ED910" s="143">
        <v>0</v>
      </c>
      <c r="EE910">
        <v>0</v>
      </c>
      <c r="EF910">
        <v>0</v>
      </c>
      <c r="EG910" s="143">
        <v>0</v>
      </c>
      <c r="EH910" s="143">
        <v>0</v>
      </c>
      <c r="EI910" s="2">
        <v>0</v>
      </c>
      <c r="EK910" t="str">
        <f t="shared" si="176"/>
        <v/>
      </c>
      <c r="EL910" t="str">
        <f t="shared" si="177"/>
        <v/>
      </c>
      <c r="EM910" s="2" t="str">
        <f t="shared" si="146"/>
        <v/>
      </c>
      <c r="EP910" t="str">
        <f>IF(ISNUMBER(BU910),IF(ABS(BU910-[2]QC_indicators!$B$2)&gt;3*[2]QC_indicators!$C$2,"C ratio",IF(ISNUMBER(BY910),IF(ABS(BY910-[2]QC_indicators!$B$1)&gt;3*[2]QC_indicators!$C$1,"DF","no"))),IF(ISNUMBER(BY910),IF(ABS(BY910-[2]QC_indicators!$B$1)&gt;3*[2]QC_indicators!$C$1,"DF","no")))</f>
        <v>no</v>
      </c>
      <c r="EQ910" s="268" t="s">
        <v>3215</v>
      </c>
      <c r="ER910" t="s">
        <v>997</v>
      </c>
      <c r="ET910" s="266" t="s">
        <v>3214</v>
      </c>
    </row>
    <row r="911" spans="1:150" ht="15" hidden="1" customHeight="1">
      <c r="D911" t="s">
        <v>965</v>
      </c>
      <c r="E911" t="s">
        <v>1009</v>
      </c>
      <c r="G911" t="s">
        <v>1010</v>
      </c>
      <c r="I911">
        <v>2004</v>
      </c>
      <c r="K911" t="s">
        <v>1011</v>
      </c>
      <c r="M911" t="str">
        <f t="shared" si="153"/>
        <v>Petersen_2004</v>
      </c>
      <c r="N911" t="s">
        <v>223</v>
      </c>
      <c r="O911" s="171" t="s">
        <v>514</v>
      </c>
      <c r="P911" s="141" t="s">
        <v>226</v>
      </c>
      <c r="Q911" t="s">
        <v>390</v>
      </c>
      <c r="R911" s="264" t="s">
        <v>224</v>
      </c>
      <c r="T911" s="266" t="s">
        <v>1012</v>
      </c>
      <c r="U911" t="s">
        <v>1013</v>
      </c>
      <c r="V911">
        <v>0</v>
      </c>
      <c r="W911">
        <v>0</v>
      </c>
      <c r="X911">
        <v>0</v>
      </c>
      <c r="Y911">
        <v>0</v>
      </c>
      <c r="Z911">
        <v>0</v>
      </c>
      <c r="AA911">
        <v>0</v>
      </c>
      <c r="AB911">
        <v>0</v>
      </c>
      <c r="AC911">
        <v>0</v>
      </c>
      <c r="AD911">
        <v>0</v>
      </c>
      <c r="AE911">
        <v>0</v>
      </c>
      <c r="AF911">
        <v>0</v>
      </c>
      <c r="AG911">
        <v>0</v>
      </c>
      <c r="AH911">
        <v>0</v>
      </c>
      <c r="AI911">
        <v>0</v>
      </c>
      <c r="AJ911">
        <v>1</v>
      </c>
      <c r="AK911">
        <v>0</v>
      </c>
      <c r="AL911">
        <v>0</v>
      </c>
      <c r="AM911">
        <v>0</v>
      </c>
      <c r="AN911">
        <v>0</v>
      </c>
      <c r="AO911">
        <v>0</v>
      </c>
      <c r="AP911">
        <v>0</v>
      </c>
      <c r="AQ911">
        <v>0</v>
      </c>
      <c r="AR911">
        <v>0</v>
      </c>
      <c r="AS911">
        <v>0</v>
      </c>
      <c r="AT911">
        <v>0</v>
      </c>
      <c r="AU911">
        <v>0</v>
      </c>
      <c r="AV911">
        <v>0</v>
      </c>
      <c r="AW911">
        <v>0</v>
      </c>
      <c r="AX911" s="141">
        <f t="shared" si="167"/>
        <v>1</v>
      </c>
      <c r="AY911" s="141">
        <f t="shared" si="137"/>
        <v>1</v>
      </c>
      <c r="AZ911">
        <f t="shared" si="138"/>
        <v>0</v>
      </c>
      <c r="BA911">
        <f t="shared" si="139"/>
        <v>0</v>
      </c>
      <c r="BB911">
        <f t="shared" si="140"/>
        <v>1</v>
      </c>
      <c r="BC911">
        <f t="shared" si="141"/>
        <v>0</v>
      </c>
      <c r="BD911">
        <f t="shared" si="142"/>
        <v>0</v>
      </c>
      <c r="BE911" t="str">
        <f t="array" ref="BE911">IF(AY911=1,INDEX($V$7:$AL$7,MATCH(TRUE,INDEX($V911:$AW911&lt;&gt;0,),0)),IF(AY911=0,INDEX($AM$7:$AW$7,MATCH(1,$AM911:$AW911,0)),IF(BF911="Multiple strategies","mixed drivers",IF(BF911="Supply chain","multiple supply","multiple silviculture"))))</f>
        <v>efficiency improvement</v>
      </c>
      <c r="BF911" s="2" t="str" cm="1">
        <f t="array" ref="BF911">IF(COUNTIF(AZ911:BB911,"&lt;&gt;0")=1,INDEX($V$4:$AW$4,MATCH(TRUE,INDEX($V911:$AW911&lt;&gt;0,),0)),IF(COUNTIF(AZ911:BB911,"&lt;&gt;0")=0,INDEX($AM$4:$AW$4,MATCH(1,$AM911:$AW911,0)),"Multiple strategies"))</f>
        <v>Technology</v>
      </c>
      <c r="BG911" s="142" t="s">
        <v>230</v>
      </c>
      <c r="BH911" t="s">
        <v>972</v>
      </c>
      <c r="BI911" t="s">
        <v>1014</v>
      </c>
      <c r="BJ911" t="s">
        <v>499</v>
      </c>
      <c r="BK911">
        <v>1</v>
      </c>
      <c r="BL911" s="143">
        <v>1</v>
      </c>
      <c r="BM911">
        <f t="shared" si="178"/>
        <v>1</v>
      </c>
      <c r="BN911">
        <f t="shared" si="171"/>
        <v>0</v>
      </c>
      <c r="BO911" s="159">
        <v>1</v>
      </c>
      <c r="BP911" t="s">
        <v>233</v>
      </c>
      <c r="BQ911" s="234" t="s">
        <v>1015</v>
      </c>
      <c r="BR911" t="s">
        <v>975</v>
      </c>
      <c r="BS911">
        <v>0.8</v>
      </c>
      <c r="BT911">
        <v>0.8</v>
      </c>
      <c r="BU911" s="144"/>
      <c r="BV911">
        <v>0</v>
      </c>
      <c r="BX911">
        <f>BV911*C_to_CO2</f>
        <v>0</v>
      </c>
      <c r="BY911">
        <f t="shared" si="143"/>
        <v>0</v>
      </c>
      <c r="BZ911">
        <v>0</v>
      </c>
      <c r="CA911">
        <v>0</v>
      </c>
      <c r="CB911">
        <v>0</v>
      </c>
      <c r="CC911">
        <v>0</v>
      </c>
      <c r="CD911">
        <v>0</v>
      </c>
      <c r="CE911">
        <v>0</v>
      </c>
      <c r="CF911">
        <v>0</v>
      </c>
      <c r="CG911">
        <v>0</v>
      </c>
      <c r="CH911">
        <v>0</v>
      </c>
      <c r="CI911">
        <v>0</v>
      </c>
      <c r="CJ911">
        <v>0</v>
      </c>
      <c r="CK911">
        <v>0</v>
      </c>
      <c r="CL911">
        <v>0</v>
      </c>
      <c r="CM911">
        <v>0</v>
      </c>
      <c r="CN911" t="str">
        <f t="shared" si="179"/>
        <v>refOK</v>
      </c>
      <c r="CO911">
        <f t="shared" si="162"/>
        <v>1</v>
      </c>
      <c r="CP911">
        <f t="shared" si="163"/>
        <v>1</v>
      </c>
      <c r="CQ911">
        <f t="shared" si="170"/>
        <v>1</v>
      </c>
      <c r="CR911">
        <f t="shared" si="158"/>
        <v>0.8</v>
      </c>
      <c r="CS911">
        <f t="shared" si="159"/>
        <v>0.8</v>
      </c>
      <c r="CT911">
        <f t="shared" si="168"/>
        <v>0</v>
      </c>
      <c r="CU911">
        <f t="shared" si="156"/>
        <v>0</v>
      </c>
      <c r="CV911" s="2">
        <f t="shared" si="169"/>
        <v>0</v>
      </c>
      <c r="CW911" s="1" t="s">
        <v>264</v>
      </c>
      <c r="CX911" t="str">
        <f t="shared" si="144"/>
        <v>loc</v>
      </c>
      <c r="CY911" t="s">
        <v>265</v>
      </c>
      <c r="DA911" s="143"/>
      <c r="DB911" s="143">
        <v>45</v>
      </c>
      <c r="DC911" t="str">
        <f t="shared" si="145"/>
        <v>31-70</v>
      </c>
      <c r="DD911">
        <v>0</v>
      </c>
      <c r="DE911">
        <v>0</v>
      </c>
      <c r="DF911">
        <v>0</v>
      </c>
      <c r="DG911">
        <v>1</v>
      </c>
      <c r="DH911">
        <v>0</v>
      </c>
      <c r="DI911">
        <f t="shared" si="180"/>
        <v>1</v>
      </c>
      <c r="DJ911" t="str">
        <f t="shared" si="155"/>
        <v>TimberInput</v>
      </c>
      <c r="DK911">
        <f t="shared" si="172"/>
        <v>0</v>
      </c>
      <c r="DL911">
        <f t="shared" si="173"/>
        <v>0</v>
      </c>
      <c r="DM911">
        <f t="shared" si="174"/>
        <v>0</v>
      </c>
      <c r="DN911" t="str">
        <f t="shared" si="175"/>
        <v>Timber</v>
      </c>
      <c r="DO911">
        <v>1</v>
      </c>
      <c r="DP911">
        <v>0</v>
      </c>
      <c r="DQ911">
        <v>0</v>
      </c>
      <c r="DR911">
        <v>0</v>
      </c>
      <c r="DS911">
        <v>0</v>
      </c>
      <c r="DT911">
        <f t="shared" si="160"/>
        <v>1</v>
      </c>
      <c r="DU911" s="143" t="str">
        <f t="shared" si="149"/>
        <v>self-calculated DF</v>
      </c>
      <c r="DV911" s="143">
        <v>0</v>
      </c>
      <c r="DW911" s="143">
        <v>0</v>
      </c>
      <c r="DX911" s="143">
        <v>0</v>
      </c>
      <c r="DY911" s="143">
        <v>0</v>
      </c>
      <c r="DZ911">
        <v>0</v>
      </c>
      <c r="EA911" s="143">
        <v>1</v>
      </c>
      <c r="EB911" s="143">
        <v>0</v>
      </c>
      <c r="EC911" s="143">
        <v>1</v>
      </c>
      <c r="ED911" s="143">
        <v>0</v>
      </c>
      <c r="EE911">
        <v>0</v>
      </c>
      <c r="EF911">
        <v>0</v>
      </c>
      <c r="EG911" s="143">
        <v>0</v>
      </c>
      <c r="EH911" s="143">
        <v>0</v>
      </c>
      <c r="EI911" s="2">
        <v>0</v>
      </c>
      <c r="EK911" t="str">
        <f t="shared" si="176"/>
        <v/>
      </c>
      <c r="EL911" t="str">
        <f t="shared" si="177"/>
        <v/>
      </c>
      <c r="EM911" s="2" t="str">
        <f t="shared" si="146"/>
        <v/>
      </c>
      <c r="EP911" t="str">
        <f>IF(ISNUMBER(BU911),IF(ABS(BU911-[2]QC_indicators!$B$2)&gt;3*[2]QC_indicators!$C$2,"C ratio",IF(ISNUMBER(BY911),IF(ABS(BY911-[2]QC_indicators!$B$1)&gt;3*[2]QC_indicators!$C$1,"DF","no"))),IF(ISNUMBER(BY911),IF(ABS(BY911-[2]QC_indicators!$B$1)&gt;3*[2]QC_indicators!$C$1,"DF","no")))</f>
        <v>no</v>
      </c>
      <c r="ER911" t="s">
        <v>997</v>
      </c>
      <c r="ET911" s="266" t="s">
        <v>3214</v>
      </c>
    </row>
    <row r="912" spans="1:150" ht="15" hidden="1" customHeight="1">
      <c r="D912" t="s">
        <v>965</v>
      </c>
      <c r="E912" t="s">
        <v>1009</v>
      </c>
      <c r="G912" t="s">
        <v>1010</v>
      </c>
      <c r="I912">
        <v>2004</v>
      </c>
      <c r="K912" t="s">
        <v>1011</v>
      </c>
      <c r="M912" t="str">
        <f t="shared" si="153"/>
        <v>Petersen_2004</v>
      </c>
      <c r="N912" t="s">
        <v>223</v>
      </c>
      <c r="O912" s="171" t="s">
        <v>514</v>
      </c>
      <c r="P912" s="141" t="s">
        <v>226</v>
      </c>
      <c r="Q912" t="s">
        <v>390</v>
      </c>
      <c r="R912" s="264" t="s">
        <v>224</v>
      </c>
      <c r="S912" s="1" t="s">
        <v>985</v>
      </c>
      <c r="T912" t="s">
        <v>1021</v>
      </c>
      <c r="U912" t="s">
        <v>1022</v>
      </c>
      <c r="V912">
        <v>0</v>
      </c>
      <c r="W912">
        <v>0</v>
      </c>
      <c r="X912">
        <v>0</v>
      </c>
      <c r="Y912">
        <v>0</v>
      </c>
      <c r="Z912">
        <v>0</v>
      </c>
      <c r="AA912">
        <v>0</v>
      </c>
      <c r="AB912">
        <v>0</v>
      </c>
      <c r="AC912">
        <v>0</v>
      </c>
      <c r="AD912">
        <v>0</v>
      </c>
      <c r="AE912">
        <v>0</v>
      </c>
      <c r="AF912">
        <v>0</v>
      </c>
      <c r="AG912">
        <v>0</v>
      </c>
      <c r="AH912">
        <v>0</v>
      </c>
      <c r="AI912">
        <v>0</v>
      </c>
      <c r="AJ912">
        <v>0</v>
      </c>
      <c r="AK912">
        <v>1</v>
      </c>
      <c r="AL912">
        <v>0</v>
      </c>
      <c r="AM912">
        <v>0</v>
      </c>
      <c r="AN912">
        <v>0</v>
      </c>
      <c r="AO912">
        <v>0</v>
      </c>
      <c r="AP912">
        <v>0</v>
      </c>
      <c r="AQ912">
        <v>0</v>
      </c>
      <c r="AR912">
        <v>0</v>
      </c>
      <c r="AS912">
        <v>0</v>
      </c>
      <c r="AT912">
        <v>0</v>
      </c>
      <c r="AU912">
        <v>0</v>
      </c>
      <c r="AV912">
        <v>0</v>
      </c>
      <c r="AW912">
        <v>0</v>
      </c>
      <c r="AX912" s="141">
        <f t="shared" si="167"/>
        <v>1</v>
      </c>
      <c r="AY912" s="141">
        <f t="shared" si="137"/>
        <v>1</v>
      </c>
      <c r="AZ912">
        <f t="shared" si="138"/>
        <v>0</v>
      </c>
      <c r="BA912">
        <f t="shared" si="139"/>
        <v>0</v>
      </c>
      <c r="BB912">
        <f t="shared" si="140"/>
        <v>1</v>
      </c>
      <c r="BC912">
        <f t="shared" si="141"/>
        <v>0</v>
      </c>
      <c r="BD912">
        <f t="shared" si="142"/>
        <v>0</v>
      </c>
      <c r="BE912" t="str">
        <f t="array" ref="BE912">IF(AY912=1,INDEX($V$7:$AL$7,MATCH(TRUE,INDEX($V912:$AW912&lt;&gt;0,),0)),IF(AY912=0,INDEX($AM$7:$AW$7,MATCH(1,$AM912:$AW912,0)),IF(BF912="Multiple strategies","mixed drivers",IF(BF912="Supply chain","multiple supply","multiple silviculture"))))</f>
        <v>technologies/design switch</v>
      </c>
      <c r="BF912" s="2" t="str" cm="1">
        <f t="array" ref="BF912">IF(COUNTIF(AZ912:BB912,"&lt;&gt;0")=1,INDEX($V$4:$AW$4,MATCH(TRUE,INDEX($V912:$AW912&lt;&gt;0,),0)),IF(COUNTIF(AZ912:BB912,"&lt;&gt;0")=0,INDEX($AM$4:$AW$4,MATCH(1,$AM912:$AW912,0)),"Multiple strategies"))</f>
        <v>Technology</v>
      </c>
      <c r="BG912" s="142" t="s">
        <v>230</v>
      </c>
      <c r="BH912" t="s">
        <v>972</v>
      </c>
      <c r="BI912" t="s">
        <v>1014</v>
      </c>
      <c r="BJ912" t="s">
        <v>499</v>
      </c>
      <c r="BK912">
        <v>0</v>
      </c>
      <c r="BL912" s="143">
        <v>1</v>
      </c>
      <c r="BM912" t="str">
        <f t="shared" si="178"/>
        <v/>
      </c>
      <c r="BN912">
        <f t="shared" si="171"/>
        <v>1</v>
      </c>
      <c r="BO912" s="159">
        <v>1</v>
      </c>
      <c r="BP912" t="s">
        <v>233</v>
      </c>
      <c r="BQ912" s="234" t="s">
        <v>1015</v>
      </c>
      <c r="BR912" t="s">
        <v>975</v>
      </c>
      <c r="BU912" s="144"/>
      <c r="BV912">
        <v>0.5</v>
      </c>
      <c r="BX912">
        <f t="shared" ref="BX912:BX917" si="181">BV912</f>
        <v>0.5</v>
      </c>
      <c r="BY912">
        <f t="shared" si="143"/>
        <v>0.5</v>
      </c>
      <c r="BZ912">
        <v>0</v>
      </c>
      <c r="CA912">
        <v>0</v>
      </c>
      <c r="CB912">
        <v>0</v>
      </c>
      <c r="CC912">
        <v>0</v>
      </c>
      <c r="CD912">
        <v>0</v>
      </c>
      <c r="CE912">
        <v>0</v>
      </c>
      <c r="CF912">
        <v>0</v>
      </c>
      <c r="CG912">
        <v>0</v>
      </c>
      <c r="CH912">
        <v>0</v>
      </c>
      <c r="CI912">
        <v>0</v>
      </c>
      <c r="CJ912">
        <v>0</v>
      </c>
      <c r="CK912">
        <v>0</v>
      </c>
      <c r="CL912">
        <v>0</v>
      </c>
      <c r="CM912">
        <v>0</v>
      </c>
      <c r="CN912" t="str">
        <f t="shared" si="179"/>
        <v>refOK</v>
      </c>
      <c r="CO912">
        <f t="shared" si="162"/>
        <v>0</v>
      </c>
      <c r="CP912">
        <f t="shared" si="163"/>
        <v>1</v>
      </c>
      <c r="CQ912">
        <f t="shared" si="170"/>
        <v>1</v>
      </c>
      <c r="CR912">
        <f t="shared" si="158"/>
        <v>0</v>
      </c>
      <c r="CS912">
        <f t="shared" si="159"/>
        <v>0</v>
      </c>
      <c r="CT912">
        <f t="shared" si="168"/>
        <v>0.5</v>
      </c>
      <c r="CU912">
        <f t="shared" si="156"/>
        <v>0.5</v>
      </c>
      <c r="CV912" s="2" t="str">
        <f t="shared" si="169"/>
        <v/>
      </c>
      <c r="CW912" s="1" t="s">
        <v>264</v>
      </c>
      <c r="CX912" t="str">
        <f t="shared" si="144"/>
        <v>loc</v>
      </c>
      <c r="CY912" t="s">
        <v>265</v>
      </c>
      <c r="DA912" s="143"/>
      <c r="DB912" s="143">
        <v>45</v>
      </c>
      <c r="DC912" t="str">
        <f t="shared" si="145"/>
        <v>31-70</v>
      </c>
      <c r="DD912">
        <v>0</v>
      </c>
      <c r="DE912">
        <v>0</v>
      </c>
      <c r="DF912">
        <v>0</v>
      </c>
      <c r="DG912">
        <v>1</v>
      </c>
      <c r="DH912">
        <v>0</v>
      </c>
      <c r="DI912">
        <f t="shared" si="180"/>
        <v>1</v>
      </c>
      <c r="DJ912" t="str">
        <f t="shared" si="155"/>
        <v>TimberInput</v>
      </c>
      <c r="DK912">
        <f t="shared" si="172"/>
        <v>0</v>
      </c>
      <c r="DL912">
        <f t="shared" si="173"/>
        <v>0</v>
      </c>
      <c r="DM912">
        <f t="shared" si="174"/>
        <v>0</v>
      </c>
      <c r="DN912" t="str">
        <f t="shared" si="175"/>
        <v>Timber</v>
      </c>
      <c r="DO912">
        <v>1</v>
      </c>
      <c r="DP912">
        <v>0</v>
      </c>
      <c r="DQ912">
        <v>0</v>
      </c>
      <c r="DR912">
        <v>0</v>
      </c>
      <c r="DS912">
        <v>0</v>
      </c>
      <c r="DT912">
        <f t="shared" si="160"/>
        <v>1</v>
      </c>
      <c r="DU912" s="143" t="str">
        <f t="shared" si="149"/>
        <v>self-calculated DF</v>
      </c>
      <c r="DV912" s="143">
        <v>0</v>
      </c>
      <c r="DW912" s="143">
        <v>0</v>
      </c>
      <c r="DX912" s="143">
        <v>0</v>
      </c>
      <c r="DY912" s="143">
        <v>0</v>
      </c>
      <c r="DZ912">
        <v>0</v>
      </c>
      <c r="EA912" s="143">
        <v>1</v>
      </c>
      <c r="EB912" s="143">
        <v>0</v>
      </c>
      <c r="EC912" s="143">
        <v>1</v>
      </c>
      <c r="ED912" s="143">
        <v>0</v>
      </c>
      <c r="EE912">
        <v>0</v>
      </c>
      <c r="EF912">
        <v>0</v>
      </c>
      <c r="EG912" s="143">
        <v>0</v>
      </c>
      <c r="EH912" s="143">
        <v>0</v>
      </c>
      <c r="EI912" s="2">
        <v>0</v>
      </c>
      <c r="EK912" t="str">
        <f t="shared" si="176"/>
        <v/>
      </c>
      <c r="EL912" t="str">
        <f t="shared" si="177"/>
        <v/>
      </c>
      <c r="EM912" s="2" t="str">
        <f t="shared" si="146"/>
        <v/>
      </c>
      <c r="EP912" t="str">
        <f>IF(ISNUMBER(BU912),IF(ABS(BU912-[2]QC_indicators!$B$2)&gt;3*[2]QC_indicators!$C$2,"C ratio",IF(ISNUMBER(BY912),IF(ABS(BY912-[2]QC_indicators!$B$1)&gt;3*[2]QC_indicators!$C$1,"DF","no"))),IF(ISNUMBER(BY912),IF(ABS(BY912-[2]QC_indicators!$B$1)&gt;3*[2]QC_indicators!$C$1,"DF","no")))</f>
        <v>no</v>
      </c>
      <c r="ER912" t="s">
        <v>997</v>
      </c>
      <c r="ET912" s="266" t="s">
        <v>3214</v>
      </c>
    </row>
    <row r="913" spans="1:150" ht="15" hidden="1" customHeight="1">
      <c r="D913" t="s">
        <v>965</v>
      </c>
      <c r="E913" t="s">
        <v>1009</v>
      </c>
      <c r="G913" t="s">
        <v>1010</v>
      </c>
      <c r="I913">
        <v>2004</v>
      </c>
      <c r="K913" t="s">
        <v>1011</v>
      </c>
      <c r="M913" t="str">
        <f t="shared" si="153"/>
        <v>Petersen_2004</v>
      </c>
      <c r="N913" t="s">
        <v>223</v>
      </c>
      <c r="O913" s="171" t="s">
        <v>514</v>
      </c>
      <c r="P913" s="141" t="s">
        <v>226</v>
      </c>
      <c r="Q913" t="s">
        <v>390</v>
      </c>
      <c r="R913" s="264" t="s">
        <v>224</v>
      </c>
      <c r="S913" s="1" t="s">
        <v>985</v>
      </c>
      <c r="T913" t="s">
        <v>1019</v>
      </c>
      <c r="U913" t="s">
        <v>1022</v>
      </c>
      <c r="V913">
        <v>0</v>
      </c>
      <c r="W913">
        <v>0</v>
      </c>
      <c r="X913">
        <v>0</v>
      </c>
      <c r="Y913">
        <v>0</v>
      </c>
      <c r="Z913">
        <v>0</v>
      </c>
      <c r="AA913">
        <v>0</v>
      </c>
      <c r="AB913">
        <v>0</v>
      </c>
      <c r="AC913">
        <v>0</v>
      </c>
      <c r="AD913">
        <v>0</v>
      </c>
      <c r="AE913">
        <v>0</v>
      </c>
      <c r="AF913">
        <v>0</v>
      </c>
      <c r="AG913">
        <v>0</v>
      </c>
      <c r="AH913">
        <v>0</v>
      </c>
      <c r="AI913">
        <v>0</v>
      </c>
      <c r="AJ913">
        <v>0</v>
      </c>
      <c r="AK913">
        <v>1</v>
      </c>
      <c r="AL913">
        <v>0</v>
      </c>
      <c r="AM913">
        <v>0</v>
      </c>
      <c r="AN913">
        <v>0</v>
      </c>
      <c r="AO913">
        <v>0</v>
      </c>
      <c r="AP913">
        <v>0</v>
      </c>
      <c r="AQ913">
        <v>0</v>
      </c>
      <c r="AR913">
        <v>0</v>
      </c>
      <c r="AS913">
        <v>0</v>
      </c>
      <c r="AT913">
        <v>0</v>
      </c>
      <c r="AU913">
        <v>0</v>
      </c>
      <c r="AV913">
        <v>0</v>
      </c>
      <c r="AW913">
        <v>0</v>
      </c>
      <c r="AX913" s="141">
        <f t="shared" si="167"/>
        <v>1</v>
      </c>
      <c r="AY913" s="141">
        <f t="shared" si="137"/>
        <v>1</v>
      </c>
      <c r="AZ913">
        <f t="shared" si="138"/>
        <v>0</v>
      </c>
      <c r="BA913">
        <f t="shared" si="139"/>
        <v>0</v>
      </c>
      <c r="BB913">
        <f t="shared" si="140"/>
        <v>1</v>
      </c>
      <c r="BC913">
        <f t="shared" si="141"/>
        <v>0</v>
      </c>
      <c r="BD913">
        <f t="shared" si="142"/>
        <v>0</v>
      </c>
      <c r="BE913" t="str">
        <f t="array" ref="BE913">IF(AY913=1,INDEX($V$7:$AL$7,MATCH(TRUE,INDEX($V913:$AW913&lt;&gt;0,),0)),IF(AY913=0,INDEX($AM$7:$AW$7,MATCH(1,$AM913:$AW913,0)),IF(BF913="Multiple strategies","mixed drivers",IF(BF913="Supply chain","multiple supply","multiple silviculture"))))</f>
        <v>technologies/design switch</v>
      </c>
      <c r="BF913" s="2" t="str" cm="1">
        <f t="array" ref="BF913">IF(COUNTIF(AZ913:BB913,"&lt;&gt;0")=1,INDEX($V$4:$AW$4,MATCH(TRUE,INDEX($V913:$AW913&lt;&gt;0,),0)),IF(COUNTIF(AZ913:BB913,"&lt;&gt;0")=0,INDEX($AM$4:$AW$4,MATCH(1,$AM913:$AW913,0)),"Multiple strategies"))</f>
        <v>Technology</v>
      </c>
      <c r="BG913" s="142" t="s">
        <v>230</v>
      </c>
      <c r="BH913" t="s">
        <v>972</v>
      </c>
      <c r="BI913" t="s">
        <v>1014</v>
      </c>
      <c r="BJ913" t="s">
        <v>499</v>
      </c>
      <c r="BK913">
        <v>0</v>
      </c>
      <c r="BL913" s="143">
        <v>1</v>
      </c>
      <c r="BM913" t="str">
        <f t="shared" si="178"/>
        <v/>
      </c>
      <c r="BN913">
        <f t="shared" si="171"/>
        <v>1</v>
      </c>
      <c r="BO913" s="159">
        <v>1</v>
      </c>
      <c r="BP913" t="s">
        <v>233</v>
      </c>
      <c r="BQ913" s="234" t="s">
        <v>1015</v>
      </c>
      <c r="BR913" t="s">
        <v>975</v>
      </c>
      <c r="BU913" s="144"/>
      <c r="BV913">
        <v>0.6</v>
      </c>
      <c r="BX913">
        <f t="shared" si="181"/>
        <v>0.6</v>
      </c>
      <c r="BY913">
        <f t="shared" si="143"/>
        <v>0.6</v>
      </c>
      <c r="BZ913">
        <v>0</v>
      </c>
      <c r="CA913">
        <v>0</v>
      </c>
      <c r="CB913">
        <v>0</v>
      </c>
      <c r="CC913">
        <v>0</v>
      </c>
      <c r="CD913">
        <v>0</v>
      </c>
      <c r="CE913">
        <v>0</v>
      </c>
      <c r="CF913">
        <v>0</v>
      </c>
      <c r="CG913">
        <v>0</v>
      </c>
      <c r="CH913">
        <v>0</v>
      </c>
      <c r="CI913">
        <v>0</v>
      </c>
      <c r="CJ913">
        <v>0</v>
      </c>
      <c r="CK913">
        <v>0</v>
      </c>
      <c r="CL913">
        <v>0</v>
      </c>
      <c r="CM913">
        <v>0</v>
      </c>
      <c r="CN913" t="str">
        <f t="shared" si="179"/>
        <v>refOK</v>
      </c>
      <c r="CO913">
        <f t="shared" si="162"/>
        <v>0</v>
      </c>
      <c r="CP913">
        <f t="shared" si="163"/>
        <v>1</v>
      </c>
      <c r="CQ913">
        <f t="shared" si="170"/>
        <v>1</v>
      </c>
      <c r="CR913">
        <f t="shared" si="158"/>
        <v>0</v>
      </c>
      <c r="CS913">
        <f t="shared" ref="CS913:CS944" si="182">IF($CN913="refOK",$BT913,$BS913)*IF($BP913="Emissions positive",-1,1)</f>
        <v>0</v>
      </c>
      <c r="CT913">
        <f t="shared" si="168"/>
        <v>0.6</v>
      </c>
      <c r="CU913">
        <f t="shared" si="156"/>
        <v>0.6</v>
      </c>
      <c r="CV913" s="2" t="str">
        <f t="shared" si="169"/>
        <v/>
      </c>
      <c r="CW913" s="1" t="s">
        <v>264</v>
      </c>
      <c r="CX913" t="str">
        <f t="shared" si="144"/>
        <v>loc</v>
      </c>
      <c r="CY913" t="s">
        <v>265</v>
      </c>
      <c r="DA913" s="143"/>
      <c r="DB913" s="143">
        <v>45</v>
      </c>
      <c r="DC913" t="str">
        <f t="shared" si="145"/>
        <v>31-70</v>
      </c>
      <c r="DD913">
        <v>0</v>
      </c>
      <c r="DE913">
        <v>0</v>
      </c>
      <c r="DF913">
        <v>0</v>
      </c>
      <c r="DG913">
        <v>1</v>
      </c>
      <c r="DH913">
        <v>0</v>
      </c>
      <c r="DI913">
        <f t="shared" si="180"/>
        <v>1</v>
      </c>
      <c r="DJ913" t="str">
        <f t="shared" si="155"/>
        <v>TimberInput</v>
      </c>
      <c r="DK913">
        <f t="shared" si="172"/>
        <v>0</v>
      </c>
      <c r="DL913">
        <f t="shared" si="173"/>
        <v>0</v>
      </c>
      <c r="DM913">
        <f t="shared" si="174"/>
        <v>0</v>
      </c>
      <c r="DN913" t="str">
        <f t="shared" si="175"/>
        <v>Timber</v>
      </c>
      <c r="DO913">
        <v>1</v>
      </c>
      <c r="DP913">
        <v>0</v>
      </c>
      <c r="DQ913">
        <v>0</v>
      </c>
      <c r="DR913">
        <v>0</v>
      </c>
      <c r="DS913">
        <v>0</v>
      </c>
      <c r="DT913">
        <f t="shared" si="160"/>
        <v>1</v>
      </c>
      <c r="DU913" s="143" t="str">
        <f t="shared" si="149"/>
        <v>self-calculated DF</v>
      </c>
      <c r="DV913" s="143">
        <v>0</v>
      </c>
      <c r="DW913" s="143">
        <v>0</v>
      </c>
      <c r="DX913" s="143">
        <v>0</v>
      </c>
      <c r="DY913" s="143">
        <v>0</v>
      </c>
      <c r="DZ913">
        <v>0</v>
      </c>
      <c r="EA913" s="143">
        <v>1</v>
      </c>
      <c r="EB913" s="143">
        <v>0</v>
      </c>
      <c r="EC913" s="143">
        <v>1</v>
      </c>
      <c r="ED913" s="143">
        <v>0</v>
      </c>
      <c r="EE913">
        <v>0</v>
      </c>
      <c r="EF913">
        <v>0</v>
      </c>
      <c r="EG913" s="143">
        <v>0</v>
      </c>
      <c r="EH913" s="143">
        <v>0</v>
      </c>
      <c r="EI913" s="2">
        <v>0</v>
      </c>
      <c r="EK913" t="str">
        <f t="shared" si="176"/>
        <v/>
      </c>
      <c r="EL913" t="str">
        <f t="shared" si="177"/>
        <v/>
      </c>
      <c r="EM913" s="2" t="str">
        <f t="shared" si="146"/>
        <v/>
      </c>
      <c r="EP913" t="str">
        <f>IF(ISNUMBER(BU913),IF(ABS(BU913-[2]QC_indicators!$B$2)&gt;3*[2]QC_indicators!$C$2,"C ratio",IF(ISNUMBER(BY913),IF(ABS(BY913-[2]QC_indicators!$B$1)&gt;3*[2]QC_indicators!$C$1,"DF","no"))),IF(ISNUMBER(BY913),IF(ABS(BY913-[2]QC_indicators!$B$1)&gt;3*[2]QC_indicators!$C$1,"DF","no")))</f>
        <v>no</v>
      </c>
      <c r="ER913" t="s">
        <v>997</v>
      </c>
      <c r="ET913" s="266" t="s">
        <v>3214</v>
      </c>
    </row>
    <row r="914" spans="1:150" ht="15" hidden="1" customHeight="1">
      <c r="D914" t="s">
        <v>965</v>
      </c>
      <c r="E914" t="s">
        <v>1009</v>
      </c>
      <c r="G914" t="s">
        <v>1010</v>
      </c>
      <c r="I914">
        <v>2004</v>
      </c>
      <c r="K914" t="s">
        <v>1011</v>
      </c>
      <c r="M914" t="str">
        <f t="shared" si="153"/>
        <v>Petersen_2004</v>
      </c>
      <c r="N914" t="s">
        <v>223</v>
      </c>
      <c r="O914" s="171" t="s">
        <v>514</v>
      </c>
      <c r="P914" s="141" t="s">
        <v>226</v>
      </c>
      <c r="Q914" t="s">
        <v>390</v>
      </c>
      <c r="R914" s="264" t="s">
        <v>224</v>
      </c>
      <c r="S914" s="1" t="s">
        <v>985</v>
      </c>
      <c r="T914" t="s">
        <v>1023</v>
      </c>
      <c r="U914" t="s">
        <v>1022</v>
      </c>
      <c r="V914">
        <v>0</v>
      </c>
      <c r="W914">
        <v>0</v>
      </c>
      <c r="X914">
        <v>0</v>
      </c>
      <c r="Y914">
        <v>0</v>
      </c>
      <c r="Z914">
        <v>0</v>
      </c>
      <c r="AA914">
        <v>0</v>
      </c>
      <c r="AB914">
        <v>0</v>
      </c>
      <c r="AC914">
        <v>0</v>
      </c>
      <c r="AD914">
        <v>0</v>
      </c>
      <c r="AE914">
        <v>0</v>
      </c>
      <c r="AF914">
        <v>0</v>
      </c>
      <c r="AG914">
        <v>0</v>
      </c>
      <c r="AH914">
        <v>0</v>
      </c>
      <c r="AI914">
        <v>0</v>
      </c>
      <c r="AJ914">
        <v>0</v>
      </c>
      <c r="AK914">
        <v>1</v>
      </c>
      <c r="AL914">
        <v>0</v>
      </c>
      <c r="AM914">
        <v>0</v>
      </c>
      <c r="AN914">
        <v>0</v>
      </c>
      <c r="AO914">
        <v>0</v>
      </c>
      <c r="AP914">
        <v>0</v>
      </c>
      <c r="AQ914">
        <v>0</v>
      </c>
      <c r="AR914">
        <v>0</v>
      </c>
      <c r="AS914">
        <v>0</v>
      </c>
      <c r="AT914">
        <v>0</v>
      </c>
      <c r="AU914">
        <v>0</v>
      </c>
      <c r="AV914">
        <v>0</v>
      </c>
      <c r="AW914">
        <v>0</v>
      </c>
      <c r="AX914" s="141">
        <f t="shared" si="167"/>
        <v>1</v>
      </c>
      <c r="AY914" s="141">
        <f t="shared" si="137"/>
        <v>1</v>
      </c>
      <c r="AZ914">
        <f t="shared" si="138"/>
        <v>0</v>
      </c>
      <c r="BA914">
        <f t="shared" si="139"/>
        <v>0</v>
      </c>
      <c r="BB914">
        <f t="shared" si="140"/>
        <v>1</v>
      </c>
      <c r="BC914">
        <f t="shared" si="141"/>
        <v>0</v>
      </c>
      <c r="BD914">
        <f t="shared" si="142"/>
        <v>0</v>
      </c>
      <c r="BE914" t="str">
        <f t="array" ref="BE914">IF(AY914=1,INDEX($V$7:$AL$7,MATCH(TRUE,INDEX($V914:$AW914&lt;&gt;0,),0)),IF(AY914=0,INDEX($AM$7:$AW$7,MATCH(1,$AM914:$AW914,0)),IF(BF914="Multiple strategies","mixed drivers",IF(BF914="Supply chain","multiple supply","multiple silviculture"))))</f>
        <v>technologies/design switch</v>
      </c>
      <c r="BF914" s="2" t="str" cm="1">
        <f t="array" ref="BF914">IF(COUNTIF(AZ914:BB914,"&lt;&gt;0")=1,INDEX($V$4:$AW$4,MATCH(TRUE,INDEX($V914:$AW914&lt;&gt;0,),0)),IF(COUNTIF(AZ914:BB914,"&lt;&gt;0")=0,INDEX($AM$4:$AW$4,MATCH(1,$AM914:$AW914,0)),"Multiple strategies"))</f>
        <v>Technology</v>
      </c>
      <c r="BG914" s="142" t="s">
        <v>230</v>
      </c>
      <c r="BH914" t="s">
        <v>972</v>
      </c>
      <c r="BI914" t="s">
        <v>1014</v>
      </c>
      <c r="BJ914" t="s">
        <v>499</v>
      </c>
      <c r="BK914">
        <v>0</v>
      </c>
      <c r="BL914" s="143">
        <v>1</v>
      </c>
      <c r="BM914" t="str">
        <f t="shared" si="178"/>
        <v/>
      </c>
      <c r="BN914">
        <f t="shared" si="171"/>
        <v>1</v>
      </c>
      <c r="BO914" s="159">
        <v>1</v>
      </c>
      <c r="BP914" t="s">
        <v>233</v>
      </c>
      <c r="BQ914" s="234" t="s">
        <v>1015</v>
      </c>
      <c r="BR914" t="s">
        <v>975</v>
      </c>
      <c r="BU914" s="144"/>
      <c r="BV914">
        <v>0.8</v>
      </c>
      <c r="BX914">
        <f t="shared" si="181"/>
        <v>0.8</v>
      </c>
      <c r="BY914">
        <f t="shared" si="143"/>
        <v>0.8</v>
      </c>
      <c r="BZ914">
        <v>0</v>
      </c>
      <c r="CA914">
        <v>0</v>
      </c>
      <c r="CB914">
        <v>0</v>
      </c>
      <c r="CC914">
        <v>0</v>
      </c>
      <c r="CD914">
        <v>0</v>
      </c>
      <c r="CE914">
        <v>0</v>
      </c>
      <c r="CF914">
        <v>0</v>
      </c>
      <c r="CG914">
        <v>0</v>
      </c>
      <c r="CH914">
        <v>0</v>
      </c>
      <c r="CI914">
        <v>0</v>
      </c>
      <c r="CJ914">
        <v>0</v>
      </c>
      <c r="CK914">
        <v>0</v>
      </c>
      <c r="CL914">
        <v>0</v>
      </c>
      <c r="CM914">
        <v>0</v>
      </c>
      <c r="CN914" t="str">
        <f t="shared" si="179"/>
        <v>refOK</v>
      </c>
      <c r="CO914">
        <f t="shared" si="162"/>
        <v>0</v>
      </c>
      <c r="CP914">
        <f t="shared" si="163"/>
        <v>1</v>
      </c>
      <c r="CQ914">
        <f t="shared" si="170"/>
        <v>1</v>
      </c>
      <c r="CR914">
        <f t="shared" si="158"/>
        <v>0</v>
      </c>
      <c r="CS914">
        <f t="shared" si="182"/>
        <v>0</v>
      </c>
      <c r="CT914">
        <f t="shared" si="168"/>
        <v>0.8</v>
      </c>
      <c r="CU914">
        <f t="shared" si="156"/>
        <v>0.8</v>
      </c>
      <c r="CV914" s="2" t="str">
        <f t="shared" si="169"/>
        <v/>
      </c>
      <c r="CW914" s="1" t="s">
        <v>264</v>
      </c>
      <c r="CX914" t="str">
        <f t="shared" si="144"/>
        <v>loc</v>
      </c>
      <c r="CY914" t="s">
        <v>265</v>
      </c>
      <c r="DA914" s="143"/>
      <c r="DB914" s="143">
        <v>45</v>
      </c>
      <c r="DC914" t="str">
        <f t="shared" si="145"/>
        <v>31-70</v>
      </c>
      <c r="DD914">
        <v>0</v>
      </c>
      <c r="DE914">
        <v>0</v>
      </c>
      <c r="DF914">
        <v>0</v>
      </c>
      <c r="DG914">
        <v>1</v>
      </c>
      <c r="DH914">
        <v>0</v>
      </c>
      <c r="DI914">
        <f t="shared" si="180"/>
        <v>1</v>
      </c>
      <c r="DJ914" t="str">
        <f t="shared" si="155"/>
        <v>TimberInput</v>
      </c>
      <c r="DK914">
        <f t="shared" si="172"/>
        <v>0</v>
      </c>
      <c r="DL914">
        <f t="shared" si="173"/>
        <v>0</v>
      </c>
      <c r="DM914">
        <f t="shared" si="174"/>
        <v>0</v>
      </c>
      <c r="DN914" t="str">
        <f t="shared" si="175"/>
        <v>Timber</v>
      </c>
      <c r="DO914">
        <v>1</v>
      </c>
      <c r="DP914">
        <v>0</v>
      </c>
      <c r="DQ914">
        <v>0</v>
      </c>
      <c r="DR914">
        <v>0</v>
      </c>
      <c r="DS914">
        <v>0</v>
      </c>
      <c r="DT914">
        <f t="shared" si="160"/>
        <v>1</v>
      </c>
      <c r="DU914" s="143" t="str">
        <f t="shared" si="149"/>
        <v>self-calculated DF</v>
      </c>
      <c r="DV914" s="143">
        <v>0</v>
      </c>
      <c r="DW914" s="143">
        <v>0</v>
      </c>
      <c r="DX914" s="143">
        <v>0</v>
      </c>
      <c r="DY914" s="143">
        <v>0</v>
      </c>
      <c r="DZ914">
        <v>0</v>
      </c>
      <c r="EA914" s="143">
        <v>1</v>
      </c>
      <c r="EB914" s="143">
        <v>0</v>
      </c>
      <c r="EC914" s="143">
        <v>1</v>
      </c>
      <c r="ED914" s="143">
        <v>0</v>
      </c>
      <c r="EE914">
        <v>0</v>
      </c>
      <c r="EF914">
        <v>0</v>
      </c>
      <c r="EG914" s="143">
        <v>0</v>
      </c>
      <c r="EH914" s="143">
        <v>0</v>
      </c>
      <c r="EI914" s="2">
        <v>0</v>
      </c>
      <c r="EK914" t="str">
        <f t="shared" si="176"/>
        <v/>
      </c>
      <c r="EL914" t="str">
        <f t="shared" si="177"/>
        <v/>
      </c>
      <c r="EM914" s="2" t="str">
        <f t="shared" si="146"/>
        <v/>
      </c>
      <c r="EP914" t="str">
        <f>IF(ISNUMBER(BU914),IF(ABS(BU914-[2]QC_indicators!$B$2)&gt;3*[2]QC_indicators!$C$2,"C ratio",IF(ISNUMBER(BY914),IF(ABS(BY914-[2]QC_indicators!$B$1)&gt;3*[2]QC_indicators!$C$1,"DF","no"))),IF(ISNUMBER(BY914),IF(ABS(BY914-[2]QC_indicators!$B$1)&gt;3*[2]QC_indicators!$C$1,"DF","no")))</f>
        <v>no</v>
      </c>
      <c r="ER914" t="s">
        <v>997</v>
      </c>
      <c r="ET914" s="266" t="s">
        <v>3214</v>
      </c>
    </row>
    <row r="915" spans="1:150" ht="15" hidden="1" customHeight="1">
      <c r="D915" t="s">
        <v>965</v>
      </c>
      <c r="E915" t="s">
        <v>1009</v>
      </c>
      <c r="G915" t="s">
        <v>1010</v>
      </c>
      <c r="I915">
        <v>2004</v>
      </c>
      <c r="K915" t="s">
        <v>1011</v>
      </c>
      <c r="M915" t="str">
        <f t="shared" si="153"/>
        <v>Petersen_2004</v>
      </c>
      <c r="N915" t="s">
        <v>223</v>
      </c>
      <c r="O915" s="171" t="s">
        <v>514</v>
      </c>
      <c r="P915" s="141" t="s">
        <v>226</v>
      </c>
      <c r="Q915" t="s">
        <v>390</v>
      </c>
      <c r="R915" s="264" t="s">
        <v>224</v>
      </c>
      <c r="S915" s="1" t="s">
        <v>985</v>
      </c>
      <c r="T915" t="s">
        <v>1025</v>
      </c>
      <c r="U915" t="s">
        <v>1022</v>
      </c>
      <c r="V915">
        <v>0</v>
      </c>
      <c r="W915">
        <v>0</v>
      </c>
      <c r="X915">
        <v>0</v>
      </c>
      <c r="Y915">
        <v>0</v>
      </c>
      <c r="Z915">
        <v>0</v>
      </c>
      <c r="AA915">
        <v>0</v>
      </c>
      <c r="AB915">
        <v>0</v>
      </c>
      <c r="AC915">
        <v>0</v>
      </c>
      <c r="AD915">
        <v>0</v>
      </c>
      <c r="AE915">
        <v>0</v>
      </c>
      <c r="AF915">
        <v>0</v>
      </c>
      <c r="AG915">
        <v>0</v>
      </c>
      <c r="AH915">
        <v>0</v>
      </c>
      <c r="AI915">
        <v>0</v>
      </c>
      <c r="AJ915">
        <v>0</v>
      </c>
      <c r="AK915">
        <v>1</v>
      </c>
      <c r="AL915">
        <v>0</v>
      </c>
      <c r="AM915">
        <v>0</v>
      </c>
      <c r="AN915">
        <v>0</v>
      </c>
      <c r="AO915">
        <v>0</v>
      </c>
      <c r="AP915">
        <v>0</v>
      </c>
      <c r="AQ915">
        <v>0</v>
      </c>
      <c r="AR915">
        <v>0</v>
      </c>
      <c r="AS915">
        <v>0</v>
      </c>
      <c r="AT915">
        <v>0</v>
      </c>
      <c r="AU915">
        <v>0</v>
      </c>
      <c r="AV915">
        <v>0</v>
      </c>
      <c r="AW915">
        <v>0</v>
      </c>
      <c r="AX915" s="141">
        <f t="shared" si="167"/>
        <v>1</v>
      </c>
      <c r="AY915" s="141">
        <f t="shared" si="137"/>
        <v>1</v>
      </c>
      <c r="AZ915">
        <f t="shared" si="138"/>
        <v>0</v>
      </c>
      <c r="BA915">
        <f t="shared" si="139"/>
        <v>0</v>
      </c>
      <c r="BB915">
        <f t="shared" si="140"/>
        <v>1</v>
      </c>
      <c r="BC915">
        <f t="shared" si="141"/>
        <v>0</v>
      </c>
      <c r="BD915">
        <f t="shared" si="142"/>
        <v>0</v>
      </c>
      <c r="BE915" t="str">
        <f t="array" ref="BE915">IF(AY915=1,INDEX($V$7:$AL$7,MATCH(TRUE,INDEX($V915:$AW915&lt;&gt;0,),0)),IF(AY915=0,INDEX($AM$7:$AW$7,MATCH(1,$AM915:$AW915,0)),IF(BF915="Multiple strategies","mixed drivers",IF(BF915="Supply chain","multiple supply","multiple silviculture"))))</f>
        <v>technologies/design switch</v>
      </c>
      <c r="BF915" s="2" t="str" cm="1">
        <f t="array" ref="BF915">IF(COUNTIF(AZ915:BB915,"&lt;&gt;0")=1,INDEX($V$4:$AW$4,MATCH(TRUE,INDEX($V915:$AW915&lt;&gt;0,),0)),IF(COUNTIF(AZ915:BB915,"&lt;&gt;0")=0,INDEX($AM$4:$AW$4,MATCH(1,$AM915:$AW915,0)),"Multiple strategies"))</f>
        <v>Technology</v>
      </c>
      <c r="BG915" s="142" t="s">
        <v>230</v>
      </c>
      <c r="BH915" t="s">
        <v>972</v>
      </c>
      <c r="BI915" t="s">
        <v>1014</v>
      </c>
      <c r="BJ915" t="s">
        <v>499</v>
      </c>
      <c r="BK915">
        <v>0</v>
      </c>
      <c r="BL915" s="143">
        <v>1</v>
      </c>
      <c r="BM915" t="str">
        <f t="shared" si="178"/>
        <v/>
      </c>
      <c r="BN915">
        <f t="shared" si="171"/>
        <v>1</v>
      </c>
      <c r="BO915" s="159">
        <v>1</v>
      </c>
      <c r="BP915" t="s">
        <v>233</v>
      </c>
      <c r="BQ915" s="234" t="s">
        <v>1015</v>
      </c>
      <c r="BR915" t="s">
        <v>975</v>
      </c>
      <c r="BU915" s="144"/>
      <c r="BV915">
        <v>1.3</v>
      </c>
      <c r="BX915">
        <f t="shared" si="181"/>
        <v>1.3</v>
      </c>
      <c r="BY915">
        <f t="shared" si="143"/>
        <v>1.3</v>
      </c>
      <c r="BZ915">
        <v>0</v>
      </c>
      <c r="CA915">
        <v>0</v>
      </c>
      <c r="CB915">
        <v>0</v>
      </c>
      <c r="CC915">
        <v>0</v>
      </c>
      <c r="CD915">
        <v>0</v>
      </c>
      <c r="CE915">
        <v>0</v>
      </c>
      <c r="CF915">
        <v>0</v>
      </c>
      <c r="CG915">
        <v>0</v>
      </c>
      <c r="CH915">
        <v>0</v>
      </c>
      <c r="CI915">
        <v>0</v>
      </c>
      <c r="CJ915">
        <v>0</v>
      </c>
      <c r="CK915">
        <v>0</v>
      </c>
      <c r="CL915">
        <v>0</v>
      </c>
      <c r="CM915">
        <v>0</v>
      </c>
      <c r="CN915" t="str">
        <f t="shared" si="179"/>
        <v>refOK</v>
      </c>
      <c r="CO915">
        <f t="shared" si="162"/>
        <v>0</v>
      </c>
      <c r="CP915">
        <f t="shared" si="163"/>
        <v>1</v>
      </c>
      <c r="CQ915">
        <f t="shared" si="170"/>
        <v>1</v>
      </c>
      <c r="CR915">
        <f t="shared" si="158"/>
        <v>0</v>
      </c>
      <c r="CS915">
        <f t="shared" si="182"/>
        <v>0</v>
      </c>
      <c r="CT915">
        <f t="shared" si="168"/>
        <v>1.3</v>
      </c>
      <c r="CU915">
        <f t="shared" si="156"/>
        <v>1.3</v>
      </c>
      <c r="CV915" s="2" t="str">
        <f t="shared" si="169"/>
        <v/>
      </c>
      <c r="CW915" s="1" t="s">
        <v>264</v>
      </c>
      <c r="CX915" t="str">
        <f t="shared" si="144"/>
        <v>loc</v>
      </c>
      <c r="CY915" t="s">
        <v>265</v>
      </c>
      <c r="DA915" s="143"/>
      <c r="DB915" s="143">
        <v>45</v>
      </c>
      <c r="DC915" t="str">
        <f t="shared" si="145"/>
        <v>31-70</v>
      </c>
      <c r="DD915">
        <v>0</v>
      </c>
      <c r="DE915">
        <v>0</v>
      </c>
      <c r="DF915">
        <v>0</v>
      </c>
      <c r="DG915">
        <v>1</v>
      </c>
      <c r="DH915">
        <v>0</v>
      </c>
      <c r="DI915">
        <f t="shared" si="180"/>
        <v>1</v>
      </c>
      <c r="DJ915" t="str">
        <f t="shared" si="155"/>
        <v>TimberInput</v>
      </c>
      <c r="DK915">
        <f t="shared" si="172"/>
        <v>0</v>
      </c>
      <c r="DL915">
        <f t="shared" si="173"/>
        <v>0</v>
      </c>
      <c r="DM915">
        <f t="shared" si="174"/>
        <v>0</v>
      </c>
      <c r="DN915" t="str">
        <f t="shared" si="175"/>
        <v>Timber</v>
      </c>
      <c r="DO915">
        <v>1</v>
      </c>
      <c r="DP915">
        <v>0</v>
      </c>
      <c r="DQ915">
        <v>0</v>
      </c>
      <c r="DR915">
        <v>0</v>
      </c>
      <c r="DS915">
        <v>0</v>
      </c>
      <c r="DT915">
        <f t="shared" si="160"/>
        <v>1</v>
      </c>
      <c r="DU915" s="143" t="str">
        <f t="shared" si="149"/>
        <v>self-calculated DF</v>
      </c>
      <c r="DV915" s="143">
        <v>0</v>
      </c>
      <c r="DW915" s="143">
        <v>0</v>
      </c>
      <c r="DX915" s="143">
        <v>0</v>
      </c>
      <c r="DY915" s="143">
        <v>0</v>
      </c>
      <c r="DZ915">
        <v>0</v>
      </c>
      <c r="EA915" s="143">
        <v>1</v>
      </c>
      <c r="EB915" s="143">
        <v>0</v>
      </c>
      <c r="EC915" s="143">
        <v>1</v>
      </c>
      <c r="ED915" s="143">
        <v>0</v>
      </c>
      <c r="EE915">
        <v>0</v>
      </c>
      <c r="EF915">
        <v>0</v>
      </c>
      <c r="EG915" s="143">
        <v>0</v>
      </c>
      <c r="EH915" s="143">
        <v>0</v>
      </c>
      <c r="EI915" s="2">
        <v>0</v>
      </c>
      <c r="EK915" t="str">
        <f t="shared" si="176"/>
        <v/>
      </c>
      <c r="EL915" t="str">
        <f t="shared" si="177"/>
        <v/>
      </c>
      <c r="EM915" s="2" t="str">
        <f t="shared" si="146"/>
        <v/>
      </c>
      <c r="EP915" t="str">
        <f>IF(ISNUMBER(BU915),IF(ABS(BU915-[2]QC_indicators!$B$2)&gt;3*[2]QC_indicators!$C$2,"C ratio",IF(ISNUMBER(BY915),IF(ABS(BY915-[2]QC_indicators!$B$1)&gt;3*[2]QC_indicators!$C$1,"DF","no"))),IF(ISNUMBER(BY915),IF(ABS(BY915-[2]QC_indicators!$B$1)&gt;3*[2]QC_indicators!$C$1,"DF","no")))</f>
        <v>no</v>
      </c>
      <c r="ER915" t="s">
        <v>997</v>
      </c>
      <c r="ET915" s="266" t="s">
        <v>3214</v>
      </c>
    </row>
    <row r="916" spans="1:150" ht="15" hidden="1" customHeight="1">
      <c r="D916" t="s">
        <v>965</v>
      </c>
      <c r="E916" t="s">
        <v>1009</v>
      </c>
      <c r="G916" t="s">
        <v>1010</v>
      </c>
      <c r="I916">
        <v>2004</v>
      </c>
      <c r="K916" t="s">
        <v>1011</v>
      </c>
      <c r="M916" t="str">
        <f t="shared" si="153"/>
        <v>Petersen_2004</v>
      </c>
      <c r="N916" t="s">
        <v>223</v>
      </c>
      <c r="O916" s="171" t="s">
        <v>514</v>
      </c>
      <c r="P916" s="141" t="s">
        <v>226</v>
      </c>
      <c r="Q916" t="s">
        <v>390</v>
      </c>
      <c r="R916" s="264" t="s">
        <v>224</v>
      </c>
      <c r="S916" s="1" t="s">
        <v>985</v>
      </c>
      <c r="T916" t="s">
        <v>1026</v>
      </c>
      <c r="U916" t="s">
        <v>1022</v>
      </c>
      <c r="V916">
        <v>0</v>
      </c>
      <c r="W916">
        <v>0</v>
      </c>
      <c r="X916">
        <v>0</v>
      </c>
      <c r="Y916">
        <v>0</v>
      </c>
      <c r="Z916">
        <v>0</v>
      </c>
      <c r="AA916">
        <v>0</v>
      </c>
      <c r="AB916">
        <v>0</v>
      </c>
      <c r="AC916">
        <v>0</v>
      </c>
      <c r="AD916">
        <v>0</v>
      </c>
      <c r="AE916">
        <v>0</v>
      </c>
      <c r="AF916">
        <v>0</v>
      </c>
      <c r="AG916">
        <v>0</v>
      </c>
      <c r="AH916">
        <v>0</v>
      </c>
      <c r="AI916">
        <v>0</v>
      </c>
      <c r="AJ916">
        <v>0</v>
      </c>
      <c r="AK916">
        <v>1</v>
      </c>
      <c r="AL916">
        <v>0</v>
      </c>
      <c r="AM916">
        <v>0</v>
      </c>
      <c r="AN916">
        <v>0</v>
      </c>
      <c r="AO916">
        <v>0</v>
      </c>
      <c r="AP916">
        <v>0</v>
      </c>
      <c r="AQ916">
        <v>0</v>
      </c>
      <c r="AR916">
        <v>0</v>
      </c>
      <c r="AS916">
        <v>0</v>
      </c>
      <c r="AT916">
        <v>0</v>
      </c>
      <c r="AU916">
        <v>0</v>
      </c>
      <c r="AV916">
        <v>0</v>
      </c>
      <c r="AW916">
        <v>0</v>
      </c>
      <c r="AX916" s="141">
        <f t="shared" si="167"/>
        <v>1</v>
      </c>
      <c r="AY916" s="141">
        <f t="shared" si="137"/>
        <v>1</v>
      </c>
      <c r="AZ916">
        <f t="shared" si="138"/>
        <v>0</v>
      </c>
      <c r="BA916">
        <f t="shared" si="139"/>
        <v>0</v>
      </c>
      <c r="BB916">
        <f t="shared" si="140"/>
        <v>1</v>
      </c>
      <c r="BC916">
        <f t="shared" si="141"/>
        <v>0</v>
      </c>
      <c r="BD916">
        <f t="shared" si="142"/>
        <v>0</v>
      </c>
      <c r="BE916" t="str">
        <f t="array" ref="BE916">IF(AY916=1,INDEX($V$7:$AL$7,MATCH(TRUE,INDEX($V916:$AW916&lt;&gt;0,),0)),IF(AY916=0,INDEX($AM$7:$AW$7,MATCH(1,$AM916:$AW916,0)),IF(BF916="Multiple strategies","mixed drivers",IF(BF916="Supply chain","multiple supply","multiple silviculture"))))</f>
        <v>technologies/design switch</v>
      </c>
      <c r="BF916" s="2" t="str" cm="1">
        <f t="array" ref="BF916">IF(COUNTIF(AZ916:BB916,"&lt;&gt;0")=1,INDEX($V$4:$AW$4,MATCH(TRUE,INDEX($V916:$AW916&lt;&gt;0,),0)),IF(COUNTIF(AZ916:BB916,"&lt;&gt;0")=0,INDEX($AM$4:$AW$4,MATCH(1,$AM916:$AW916,0)),"Multiple strategies"))</f>
        <v>Technology</v>
      </c>
      <c r="BG916" s="142" t="s">
        <v>230</v>
      </c>
      <c r="BH916" t="s">
        <v>972</v>
      </c>
      <c r="BI916" t="s">
        <v>1014</v>
      </c>
      <c r="BJ916" t="s">
        <v>499</v>
      </c>
      <c r="BK916">
        <v>0</v>
      </c>
      <c r="BL916" s="143">
        <v>1</v>
      </c>
      <c r="BM916" t="str">
        <f t="shared" si="178"/>
        <v/>
      </c>
      <c r="BN916">
        <f t="shared" si="171"/>
        <v>1</v>
      </c>
      <c r="BO916" s="159">
        <v>1</v>
      </c>
      <c r="BP916" t="s">
        <v>233</v>
      </c>
      <c r="BQ916" s="234" t="s">
        <v>1015</v>
      </c>
      <c r="BR916" t="s">
        <v>975</v>
      </c>
      <c r="BU916" s="144"/>
      <c r="BV916">
        <v>1.6</v>
      </c>
      <c r="BX916">
        <f t="shared" si="181"/>
        <v>1.6</v>
      </c>
      <c r="BY916">
        <f t="shared" si="143"/>
        <v>1.6</v>
      </c>
      <c r="BZ916">
        <v>0</v>
      </c>
      <c r="CA916">
        <v>0</v>
      </c>
      <c r="CB916">
        <v>0</v>
      </c>
      <c r="CC916">
        <v>0</v>
      </c>
      <c r="CD916">
        <v>0</v>
      </c>
      <c r="CE916">
        <v>0</v>
      </c>
      <c r="CF916">
        <v>0</v>
      </c>
      <c r="CG916">
        <v>0</v>
      </c>
      <c r="CH916">
        <v>0</v>
      </c>
      <c r="CI916">
        <v>0</v>
      </c>
      <c r="CJ916">
        <v>0</v>
      </c>
      <c r="CK916">
        <v>0</v>
      </c>
      <c r="CL916">
        <v>0</v>
      </c>
      <c r="CM916">
        <v>0</v>
      </c>
      <c r="CN916" t="str">
        <f t="shared" si="179"/>
        <v>refOK</v>
      </c>
      <c r="CO916">
        <f t="shared" si="162"/>
        <v>0</v>
      </c>
      <c r="CP916">
        <f t="shared" si="163"/>
        <v>1</v>
      </c>
      <c r="CQ916">
        <f t="shared" si="170"/>
        <v>1</v>
      </c>
      <c r="CR916">
        <f t="shared" si="158"/>
        <v>0</v>
      </c>
      <c r="CS916">
        <f t="shared" si="182"/>
        <v>0</v>
      </c>
      <c r="CT916">
        <f t="shared" si="168"/>
        <v>1.6</v>
      </c>
      <c r="CU916">
        <f t="shared" si="156"/>
        <v>1.6</v>
      </c>
      <c r="CV916" s="2" t="str">
        <f t="shared" si="169"/>
        <v/>
      </c>
      <c r="CW916" s="1" t="s">
        <v>264</v>
      </c>
      <c r="CX916" t="str">
        <f t="shared" si="144"/>
        <v>loc</v>
      </c>
      <c r="CY916" t="s">
        <v>265</v>
      </c>
      <c r="DA916" s="143"/>
      <c r="DB916" s="143">
        <v>45</v>
      </c>
      <c r="DC916" t="str">
        <f t="shared" si="145"/>
        <v>31-70</v>
      </c>
      <c r="DD916">
        <v>0</v>
      </c>
      <c r="DE916">
        <v>0</v>
      </c>
      <c r="DF916">
        <v>0</v>
      </c>
      <c r="DG916">
        <v>1</v>
      </c>
      <c r="DH916">
        <v>0</v>
      </c>
      <c r="DI916">
        <f t="shared" si="180"/>
        <v>1</v>
      </c>
      <c r="DJ916" t="str">
        <f t="shared" si="155"/>
        <v>TimberInput</v>
      </c>
      <c r="DK916">
        <f t="shared" si="172"/>
        <v>0</v>
      </c>
      <c r="DL916">
        <f t="shared" si="173"/>
        <v>0</v>
      </c>
      <c r="DM916">
        <f t="shared" si="174"/>
        <v>0</v>
      </c>
      <c r="DN916" t="str">
        <f t="shared" si="175"/>
        <v>Timber</v>
      </c>
      <c r="DO916">
        <v>1</v>
      </c>
      <c r="DP916">
        <v>0</v>
      </c>
      <c r="DQ916">
        <v>0</v>
      </c>
      <c r="DR916">
        <v>0</v>
      </c>
      <c r="DS916">
        <v>0</v>
      </c>
      <c r="DT916">
        <f t="shared" si="160"/>
        <v>1</v>
      </c>
      <c r="DU916" s="143" t="str">
        <f t="shared" si="149"/>
        <v>self-calculated DF</v>
      </c>
      <c r="DV916" s="143">
        <v>0</v>
      </c>
      <c r="DW916" s="143">
        <v>0</v>
      </c>
      <c r="DX916" s="143">
        <v>0</v>
      </c>
      <c r="DY916" s="143">
        <v>0</v>
      </c>
      <c r="DZ916">
        <v>0</v>
      </c>
      <c r="EA916" s="143">
        <v>1</v>
      </c>
      <c r="EB916" s="143">
        <v>0</v>
      </c>
      <c r="EC916" s="143">
        <v>1</v>
      </c>
      <c r="ED916" s="143">
        <v>0</v>
      </c>
      <c r="EE916">
        <v>0</v>
      </c>
      <c r="EF916">
        <v>0</v>
      </c>
      <c r="EG916" s="143">
        <v>0</v>
      </c>
      <c r="EH916" s="143">
        <v>0</v>
      </c>
      <c r="EI916" s="2">
        <v>0</v>
      </c>
      <c r="EK916" t="str">
        <f t="shared" si="176"/>
        <v/>
      </c>
      <c r="EL916" t="str">
        <f t="shared" si="177"/>
        <v/>
      </c>
      <c r="EM916" s="2" t="str">
        <f t="shared" si="146"/>
        <v/>
      </c>
      <c r="EP916" t="str">
        <f>IF(ISNUMBER(BU916),IF(ABS(BU916-[2]QC_indicators!$B$2)&gt;3*[2]QC_indicators!$C$2,"C ratio",IF(ISNUMBER(BY916),IF(ABS(BY916-[2]QC_indicators!$B$1)&gt;3*[2]QC_indicators!$C$1,"DF","no"))),IF(ISNUMBER(BY916),IF(ABS(BY916-[2]QC_indicators!$B$1)&gt;3*[2]QC_indicators!$C$1,"DF","no")))</f>
        <v>no</v>
      </c>
      <c r="ER916" t="s">
        <v>997</v>
      </c>
      <c r="ET916" s="266" t="s">
        <v>3214</v>
      </c>
    </row>
    <row r="917" spans="1:150" ht="15" hidden="1" customHeight="1">
      <c r="D917" t="s">
        <v>965</v>
      </c>
      <c r="E917" t="s">
        <v>1009</v>
      </c>
      <c r="G917" t="s">
        <v>1010</v>
      </c>
      <c r="I917">
        <v>2004</v>
      </c>
      <c r="K917" t="s">
        <v>1011</v>
      </c>
      <c r="M917" t="str">
        <f t="shared" si="153"/>
        <v>Petersen_2004</v>
      </c>
      <c r="N917" t="s">
        <v>223</v>
      </c>
      <c r="O917" s="171" t="s">
        <v>514</v>
      </c>
      <c r="P917" s="141" t="s">
        <v>226</v>
      </c>
      <c r="Q917" t="s">
        <v>390</v>
      </c>
      <c r="R917" s="264" t="s">
        <v>224</v>
      </c>
      <c r="S917" s="1" t="s">
        <v>985</v>
      </c>
      <c r="T917" t="s">
        <v>1029</v>
      </c>
      <c r="U917" t="s">
        <v>1022</v>
      </c>
      <c r="V917">
        <v>0</v>
      </c>
      <c r="W917">
        <v>0</v>
      </c>
      <c r="X917">
        <v>0</v>
      </c>
      <c r="Y917">
        <v>0</v>
      </c>
      <c r="Z917">
        <v>0</v>
      </c>
      <c r="AA917">
        <v>0</v>
      </c>
      <c r="AB917">
        <v>0</v>
      </c>
      <c r="AC917">
        <v>0</v>
      </c>
      <c r="AD917">
        <v>0</v>
      </c>
      <c r="AE917">
        <v>0</v>
      </c>
      <c r="AF917">
        <v>0</v>
      </c>
      <c r="AG917">
        <v>0</v>
      </c>
      <c r="AH917">
        <v>0</v>
      </c>
      <c r="AI917">
        <v>0</v>
      </c>
      <c r="AJ917">
        <v>0</v>
      </c>
      <c r="AK917">
        <v>1</v>
      </c>
      <c r="AL917">
        <v>0</v>
      </c>
      <c r="AM917">
        <v>0</v>
      </c>
      <c r="AN917">
        <v>0</v>
      </c>
      <c r="AO917">
        <v>0</v>
      </c>
      <c r="AP917">
        <v>0</v>
      </c>
      <c r="AQ917">
        <v>0</v>
      </c>
      <c r="AR917">
        <v>0</v>
      </c>
      <c r="AS917">
        <v>0</v>
      </c>
      <c r="AT917">
        <v>0</v>
      </c>
      <c r="AU917">
        <v>0</v>
      </c>
      <c r="AV917">
        <v>0</v>
      </c>
      <c r="AW917">
        <v>0</v>
      </c>
      <c r="AX917" s="141">
        <f t="shared" si="167"/>
        <v>1</v>
      </c>
      <c r="AY917" s="141">
        <f t="shared" si="137"/>
        <v>1</v>
      </c>
      <c r="AZ917">
        <f t="shared" si="138"/>
        <v>0</v>
      </c>
      <c r="BA917">
        <f t="shared" si="139"/>
        <v>0</v>
      </c>
      <c r="BB917">
        <f t="shared" si="140"/>
        <v>1</v>
      </c>
      <c r="BC917">
        <f t="shared" si="141"/>
        <v>0</v>
      </c>
      <c r="BD917">
        <f t="shared" si="142"/>
        <v>0</v>
      </c>
      <c r="BE917" t="str">
        <f t="array" ref="BE917">IF(AY917=1,INDEX($V$7:$AL$7,MATCH(TRUE,INDEX($V917:$AW917&lt;&gt;0,),0)),IF(AY917=0,INDEX($AM$7:$AW$7,MATCH(1,$AM917:$AW917,0)),IF(BF917="Multiple strategies","mixed drivers",IF(BF917="Supply chain","multiple supply","multiple silviculture"))))</f>
        <v>technologies/design switch</v>
      </c>
      <c r="BF917" s="2" t="str" cm="1">
        <f t="array" ref="BF917">IF(COUNTIF(AZ917:BB917,"&lt;&gt;0")=1,INDEX($V$4:$AW$4,MATCH(TRUE,INDEX($V917:$AW917&lt;&gt;0,),0)),IF(COUNTIF(AZ917:BB917,"&lt;&gt;0")=0,INDEX($AM$4:$AW$4,MATCH(1,$AM917:$AW917,0)),"Multiple strategies"))</f>
        <v>Technology</v>
      </c>
      <c r="BG917" s="142" t="s">
        <v>230</v>
      </c>
      <c r="BH917" t="s">
        <v>972</v>
      </c>
      <c r="BI917" t="s">
        <v>1014</v>
      </c>
      <c r="BJ917" t="s">
        <v>499</v>
      </c>
      <c r="BK917">
        <v>0</v>
      </c>
      <c r="BL917" s="143">
        <v>1</v>
      </c>
      <c r="BM917" t="str">
        <f t="shared" si="178"/>
        <v/>
      </c>
      <c r="BN917">
        <f t="shared" si="171"/>
        <v>1</v>
      </c>
      <c r="BO917" s="159">
        <v>1</v>
      </c>
      <c r="BP917" t="s">
        <v>233</v>
      </c>
      <c r="BQ917" s="234" t="s">
        <v>1015</v>
      </c>
      <c r="BR917" t="s">
        <v>975</v>
      </c>
      <c r="BU917" s="144"/>
      <c r="BV917">
        <v>8.4</v>
      </c>
      <c r="BX917">
        <f t="shared" si="181"/>
        <v>8.4</v>
      </c>
      <c r="BY917">
        <f t="shared" si="143"/>
        <v>8.4</v>
      </c>
      <c r="BZ917">
        <v>0</v>
      </c>
      <c r="CA917">
        <v>0</v>
      </c>
      <c r="CB917">
        <v>0</v>
      </c>
      <c r="CC917">
        <v>0</v>
      </c>
      <c r="CD917">
        <v>0</v>
      </c>
      <c r="CE917">
        <v>0</v>
      </c>
      <c r="CF917">
        <v>0</v>
      </c>
      <c r="CG917">
        <v>0</v>
      </c>
      <c r="CH917">
        <v>0</v>
      </c>
      <c r="CI917">
        <v>0</v>
      </c>
      <c r="CJ917">
        <v>0</v>
      </c>
      <c r="CK917">
        <v>0</v>
      </c>
      <c r="CL917">
        <v>0</v>
      </c>
      <c r="CM917">
        <v>0</v>
      </c>
      <c r="CN917" t="str">
        <f t="shared" si="179"/>
        <v>refOK</v>
      </c>
      <c r="CO917">
        <f t="shared" si="162"/>
        <v>0</v>
      </c>
      <c r="CP917">
        <f t="shared" si="163"/>
        <v>1</v>
      </c>
      <c r="CQ917">
        <f t="shared" si="170"/>
        <v>1</v>
      </c>
      <c r="CR917">
        <f t="shared" si="158"/>
        <v>0</v>
      </c>
      <c r="CS917">
        <f t="shared" si="182"/>
        <v>0</v>
      </c>
      <c r="CT917">
        <f t="shared" si="168"/>
        <v>8.4</v>
      </c>
      <c r="CU917">
        <f t="shared" si="156"/>
        <v>8.4</v>
      </c>
      <c r="CV917" s="2" t="str">
        <f t="shared" si="169"/>
        <v/>
      </c>
      <c r="CW917" s="1" t="s">
        <v>264</v>
      </c>
      <c r="CX917" t="str">
        <f t="shared" si="144"/>
        <v>loc</v>
      </c>
      <c r="CY917" t="s">
        <v>265</v>
      </c>
      <c r="DA917" s="143"/>
      <c r="DB917" s="143">
        <v>45</v>
      </c>
      <c r="DC917" t="str">
        <f t="shared" si="145"/>
        <v>31-70</v>
      </c>
      <c r="DD917">
        <v>0</v>
      </c>
      <c r="DE917">
        <v>0</v>
      </c>
      <c r="DF917">
        <v>0</v>
      </c>
      <c r="DG917">
        <v>1</v>
      </c>
      <c r="DH917">
        <v>0</v>
      </c>
      <c r="DI917">
        <f t="shared" si="180"/>
        <v>1</v>
      </c>
      <c r="DJ917" t="str">
        <f t="shared" si="155"/>
        <v>TimberInput</v>
      </c>
      <c r="DK917">
        <f t="shared" si="172"/>
        <v>0</v>
      </c>
      <c r="DL917">
        <f t="shared" si="173"/>
        <v>0</v>
      </c>
      <c r="DM917">
        <f t="shared" si="174"/>
        <v>0</v>
      </c>
      <c r="DN917" t="str">
        <f t="shared" si="175"/>
        <v>Timber</v>
      </c>
      <c r="DO917">
        <v>1</v>
      </c>
      <c r="DP917">
        <v>0</v>
      </c>
      <c r="DQ917">
        <v>0</v>
      </c>
      <c r="DR917">
        <v>0</v>
      </c>
      <c r="DS917">
        <v>0</v>
      </c>
      <c r="DT917">
        <f t="shared" si="160"/>
        <v>1</v>
      </c>
      <c r="DU917" s="143" t="str">
        <f t="shared" si="149"/>
        <v>self-calculated DF</v>
      </c>
      <c r="DV917" s="143">
        <v>0</v>
      </c>
      <c r="DW917" s="143">
        <v>0</v>
      </c>
      <c r="DX917" s="143">
        <v>0</v>
      </c>
      <c r="DY917" s="143">
        <v>0</v>
      </c>
      <c r="DZ917">
        <v>0</v>
      </c>
      <c r="EA917" s="143">
        <v>1</v>
      </c>
      <c r="EB917" s="143">
        <v>0</v>
      </c>
      <c r="EC917" s="143">
        <v>1</v>
      </c>
      <c r="ED917" s="143">
        <v>0</v>
      </c>
      <c r="EE917">
        <v>0</v>
      </c>
      <c r="EF917">
        <v>0</v>
      </c>
      <c r="EG917" s="143">
        <v>0</v>
      </c>
      <c r="EH917" s="143">
        <v>0</v>
      </c>
      <c r="EI917" s="2">
        <v>0</v>
      </c>
      <c r="EK917" t="str">
        <f t="shared" si="176"/>
        <v/>
      </c>
      <c r="EL917" t="str">
        <f t="shared" si="177"/>
        <v/>
      </c>
      <c r="EM917" s="2" t="str">
        <f t="shared" si="146"/>
        <v/>
      </c>
      <c r="EP917" t="str">
        <f>IF(ISNUMBER(BU917),IF(ABS(BU917-[2]QC_indicators!$B$2)&gt;3*[2]QC_indicators!$C$2,"C ratio",IF(ISNUMBER(BY917),IF(ABS(BY917-[2]QC_indicators!$B$1)&gt;3*[2]QC_indicators!$C$1,"DF","no"))),IF(ISNUMBER(BY917),IF(ABS(BY917-[2]QC_indicators!$B$1)&gt;3*[2]QC_indicators!$C$1,"DF","no")))</f>
        <v>no</v>
      </c>
      <c r="EQ917" s="268" t="s">
        <v>3215</v>
      </c>
      <c r="ER917" t="s">
        <v>997</v>
      </c>
      <c r="ET917" s="266" t="s">
        <v>3214</v>
      </c>
    </row>
    <row r="918" spans="1:150" ht="15" hidden="1" customHeight="1">
      <c r="A918" s="1" t="s">
        <v>2433</v>
      </c>
      <c r="B918" t="s">
        <v>2434</v>
      </c>
      <c r="C918" t="s">
        <v>2435</v>
      </c>
      <c r="D918" t="s">
        <v>2436</v>
      </c>
      <c r="E918" t="s">
        <v>2437</v>
      </c>
      <c r="F918" t="s">
        <v>2438</v>
      </c>
      <c r="G918" t="s">
        <v>2439</v>
      </c>
      <c r="H918" t="s">
        <v>255</v>
      </c>
      <c r="I918">
        <v>2010</v>
      </c>
      <c r="J918">
        <v>21</v>
      </c>
      <c r="K918" t="s">
        <v>2440</v>
      </c>
      <c r="M918" t="str">
        <f t="shared" si="153"/>
        <v>Tsunetsugu_2010</v>
      </c>
      <c r="N918" t="s">
        <v>223</v>
      </c>
      <c r="O918" s="145" t="s">
        <v>1156</v>
      </c>
      <c r="Q918" t="s">
        <v>257</v>
      </c>
      <c r="R918" s="264" t="s">
        <v>224</v>
      </c>
      <c r="S918" s="1" t="s">
        <v>2441</v>
      </c>
      <c r="T918" t="s">
        <v>1157</v>
      </c>
      <c r="U918" t="s">
        <v>2442</v>
      </c>
      <c r="V918">
        <v>0</v>
      </c>
      <c r="W918">
        <v>0</v>
      </c>
      <c r="X918">
        <v>0</v>
      </c>
      <c r="Y918">
        <v>0</v>
      </c>
      <c r="Z918">
        <v>0</v>
      </c>
      <c r="AA918">
        <v>0</v>
      </c>
      <c r="AB918">
        <v>0</v>
      </c>
      <c r="AC918">
        <v>0</v>
      </c>
      <c r="AD918">
        <v>0</v>
      </c>
      <c r="AE918">
        <v>0</v>
      </c>
      <c r="AF918">
        <v>0</v>
      </c>
      <c r="AG918">
        <v>0</v>
      </c>
      <c r="AH918">
        <v>0</v>
      </c>
      <c r="AI918">
        <v>0</v>
      </c>
      <c r="AJ918">
        <v>0</v>
      </c>
      <c r="AK918">
        <v>1</v>
      </c>
      <c r="AL918">
        <v>0</v>
      </c>
      <c r="AM918">
        <v>0</v>
      </c>
      <c r="AN918">
        <v>0</v>
      </c>
      <c r="AO918">
        <v>0</v>
      </c>
      <c r="AP918">
        <v>0</v>
      </c>
      <c r="AQ918">
        <v>0</v>
      </c>
      <c r="AR918">
        <v>0</v>
      </c>
      <c r="AS918">
        <v>0</v>
      </c>
      <c r="AT918">
        <v>0</v>
      </c>
      <c r="AU918">
        <v>0</v>
      </c>
      <c r="AV918">
        <v>0</v>
      </c>
      <c r="AW918">
        <v>0</v>
      </c>
      <c r="AX918" s="141">
        <f t="shared" si="167"/>
        <v>1</v>
      </c>
      <c r="AY918" s="141">
        <f t="shared" si="137"/>
        <v>1</v>
      </c>
      <c r="AZ918">
        <f t="shared" si="138"/>
        <v>0</v>
      </c>
      <c r="BA918">
        <f t="shared" si="139"/>
        <v>0</v>
      </c>
      <c r="BB918">
        <f t="shared" si="140"/>
        <v>1</v>
      </c>
      <c r="BC918">
        <f t="shared" si="141"/>
        <v>0</v>
      </c>
      <c r="BD918">
        <f t="shared" si="142"/>
        <v>0</v>
      </c>
      <c r="BE918" t="str">
        <f t="array" ref="BE918">IF(AY918=1,INDEX($V$7:$AL$7,MATCH(TRUE,INDEX($V918:$AW918&lt;&gt;0,),0)),IF(AY918=0,INDEX($AM$7:$AW$7,MATCH(1,$AM918:$AW918,0)),IF(BF918="Multiple strategies","mixed drivers",IF(BF918="Supply chain","multiple supply","multiple silviculture"))))</f>
        <v>technologies/design switch</v>
      </c>
      <c r="BF918" s="2" t="str" cm="1">
        <f t="array" ref="BF918">IF(COUNTIF(AZ918:BB918,"&lt;&gt;0")=1,INDEX($V$4:$AW$4,MATCH(TRUE,INDEX($V918:$AW918&lt;&gt;0,),0)),IF(COUNTIF(AZ918:BB918,"&lt;&gt;0")=0,INDEX($AM$4:$AW$4,MATCH(1,$AM918:$AW918,0)),"Multiple strategies"))</f>
        <v>Technology</v>
      </c>
      <c r="BG918" s="1" t="s">
        <v>322</v>
      </c>
      <c r="BH918" t="s">
        <v>2443</v>
      </c>
      <c r="BI918" s="266" t="s">
        <v>3250</v>
      </c>
      <c r="BJ918" t="s">
        <v>2444</v>
      </c>
      <c r="BK918">
        <v>25</v>
      </c>
      <c r="BL918">
        <v>42</v>
      </c>
      <c r="BM918" s="143">
        <f>BL918/BK918</f>
        <v>1.68</v>
      </c>
      <c r="BN918">
        <f t="shared" si="171"/>
        <v>17</v>
      </c>
      <c r="BO918">
        <f>+BN918*10^6</f>
        <v>17000000</v>
      </c>
      <c r="BP918" t="s">
        <v>233</v>
      </c>
      <c r="BQ918" s="305" t="s">
        <v>3251</v>
      </c>
      <c r="BR918" t="s">
        <v>2445</v>
      </c>
      <c r="BS918">
        <v>1.2916666666666601</v>
      </c>
      <c r="BT918">
        <v>4.9488372093022104</v>
      </c>
      <c r="BU918" s="144">
        <f>IFERROR(BT918/BS918,"")</f>
        <v>3.8313578394597951</v>
      </c>
      <c r="BV918" s="144">
        <f t="shared" ref="BV918:BV927" si="183">BT918-BS918</f>
        <v>3.6571705426355505</v>
      </c>
      <c r="BW918" s="144"/>
      <c r="BX918">
        <f>BV918*10^6*C_to_CO2</f>
        <v>13421815.89147247</v>
      </c>
      <c r="BY918">
        <f t="shared" si="143"/>
        <v>0.78951858185132173</v>
      </c>
      <c r="BZ918">
        <v>0</v>
      </c>
      <c r="CA918">
        <v>0</v>
      </c>
      <c r="CB918">
        <v>0</v>
      </c>
      <c r="CC918">
        <v>0</v>
      </c>
      <c r="CD918">
        <v>0</v>
      </c>
      <c r="CE918">
        <v>0</v>
      </c>
      <c r="CF918">
        <v>0</v>
      </c>
      <c r="CG918">
        <v>0</v>
      </c>
      <c r="CH918">
        <v>0</v>
      </c>
      <c r="CI918">
        <v>0</v>
      </c>
      <c r="CJ918">
        <v>0</v>
      </c>
      <c r="CK918">
        <v>0</v>
      </c>
      <c r="CL918">
        <v>0</v>
      </c>
      <c r="CM918">
        <v>0</v>
      </c>
      <c r="CN918" t="str">
        <f t="shared" si="179"/>
        <v>refOK</v>
      </c>
      <c r="CO918">
        <f t="shared" si="162"/>
        <v>25</v>
      </c>
      <c r="CP918">
        <f t="shared" si="163"/>
        <v>42</v>
      </c>
      <c r="CQ918">
        <f t="shared" si="170"/>
        <v>17000000</v>
      </c>
      <c r="CR918">
        <f t="shared" si="158"/>
        <v>1.2916666666666601</v>
      </c>
      <c r="CS918">
        <f t="shared" si="182"/>
        <v>4.9488372093022104</v>
      </c>
      <c r="CT918">
        <f t="shared" si="168"/>
        <v>13421815.89147247</v>
      </c>
      <c r="CU918">
        <f t="shared" si="156"/>
        <v>0.78951858185132173</v>
      </c>
      <c r="CV918" s="2">
        <f t="shared" si="169"/>
        <v>2.8313578394597956</v>
      </c>
      <c r="CW918" s="1" t="s">
        <v>1205</v>
      </c>
      <c r="CX918" t="str">
        <f t="shared" si="144"/>
        <v>reg</v>
      </c>
      <c r="CY918" t="s">
        <v>963</v>
      </c>
      <c r="CZ918">
        <v>2007</v>
      </c>
      <c r="DA918">
        <v>2050</v>
      </c>
      <c r="DB918">
        <f>DA918-CZ918</f>
        <v>43</v>
      </c>
      <c r="DC918" t="str">
        <f t="shared" si="145"/>
        <v>31-70</v>
      </c>
      <c r="DD918">
        <v>0</v>
      </c>
      <c r="DE918">
        <v>0</v>
      </c>
      <c r="DF918">
        <v>1</v>
      </c>
      <c r="DG918">
        <v>1</v>
      </c>
      <c r="DI918">
        <f t="shared" si="180"/>
        <v>2</v>
      </c>
      <c r="DJ918" t="str">
        <f t="shared" si="155"/>
        <v>mixedProduct</v>
      </c>
      <c r="DK918">
        <f t="shared" si="172"/>
        <v>0</v>
      </c>
      <c r="DL918">
        <f t="shared" si="173"/>
        <v>0</v>
      </c>
      <c r="DM918" t="str">
        <f t="shared" si="174"/>
        <v>Pulp/Paper</v>
      </c>
      <c r="DN918" t="str">
        <f t="shared" si="175"/>
        <v>Timber</v>
      </c>
      <c r="DO918">
        <v>1</v>
      </c>
      <c r="DP918">
        <v>0</v>
      </c>
      <c r="DQ918">
        <v>0</v>
      </c>
      <c r="DR918">
        <v>0</v>
      </c>
      <c r="DS918">
        <v>0</v>
      </c>
      <c r="DT918">
        <f t="shared" si="160"/>
        <v>1</v>
      </c>
      <c r="DU918" s="143" t="str">
        <f t="shared" si="149"/>
        <v>self-calculated DF</v>
      </c>
      <c r="DV918">
        <v>0</v>
      </c>
      <c r="DW918">
        <v>0</v>
      </c>
      <c r="DX918">
        <v>0</v>
      </c>
      <c r="DY918">
        <v>1</v>
      </c>
      <c r="DZ918">
        <v>0</v>
      </c>
      <c r="EA918" s="143">
        <v>1</v>
      </c>
      <c r="EB918">
        <v>1</v>
      </c>
      <c r="EC918">
        <v>1</v>
      </c>
      <c r="ED918">
        <v>0</v>
      </c>
      <c r="EE918">
        <v>0</v>
      </c>
      <c r="EF918">
        <v>0</v>
      </c>
      <c r="EG918">
        <v>0</v>
      </c>
      <c r="EH918">
        <v>0</v>
      </c>
      <c r="EI918" s="2">
        <v>0</v>
      </c>
      <c r="EK918" t="str">
        <f t="shared" si="176"/>
        <v/>
      </c>
      <c r="EL918" t="str">
        <f t="shared" si="177"/>
        <v/>
      </c>
      <c r="EM918" s="2" t="str">
        <f t="shared" si="146"/>
        <v>Technology approach</v>
      </c>
      <c r="EP918" t="str">
        <f>IF(ISNUMBER(BU918),IF(ABS(BU918-[2]QC_indicators!$B$2)&gt;3*[2]QC_indicators!$C$2,"C ratio",IF(ISNUMBER(BY918),IF(ABS(BY918-[2]QC_indicators!$B$1)&gt;3*[2]QC_indicators!$C$1,"DF","no"))),IF(ISNUMBER(BY918),IF(ABS(BY918-[2]QC_indicators!$B$1)&gt;3*[2]QC_indicators!$C$1,"DF","no")))</f>
        <v>no</v>
      </c>
      <c r="ET918" s="266" t="s">
        <v>3252</v>
      </c>
    </row>
    <row r="919" spans="1:150" ht="15" hidden="1" customHeight="1">
      <c r="A919" s="1" t="s">
        <v>334</v>
      </c>
      <c r="B919" t="s">
        <v>335</v>
      </c>
      <c r="C919" t="s">
        <v>336</v>
      </c>
      <c r="D919" t="s">
        <v>337</v>
      </c>
      <c r="E919" t="s">
        <v>338</v>
      </c>
      <c r="F919" t="s">
        <v>339</v>
      </c>
      <c r="G919" t="s">
        <v>340</v>
      </c>
      <c r="I919">
        <v>2017</v>
      </c>
      <c r="K919" t="s">
        <v>341</v>
      </c>
      <c r="M919" t="str">
        <f t="shared" si="153"/>
        <v>Balasbaneh_2017</v>
      </c>
      <c r="N919" t="s">
        <v>223</v>
      </c>
      <c r="O919" s="140" t="s">
        <v>342</v>
      </c>
      <c r="Q919" t="s">
        <v>225</v>
      </c>
      <c r="R919" s="264" t="s">
        <v>224</v>
      </c>
      <c r="S919" s="1" t="s">
        <v>379</v>
      </c>
      <c r="T919" t="s">
        <v>372</v>
      </c>
      <c r="U919" t="s">
        <v>345</v>
      </c>
      <c r="V919">
        <v>0</v>
      </c>
      <c r="W919">
        <v>0</v>
      </c>
      <c r="X919">
        <v>0</v>
      </c>
      <c r="Y919">
        <v>0</v>
      </c>
      <c r="Z919">
        <v>0</v>
      </c>
      <c r="AA919">
        <v>0</v>
      </c>
      <c r="AB919">
        <v>0</v>
      </c>
      <c r="AC919">
        <v>0</v>
      </c>
      <c r="AD919">
        <v>0</v>
      </c>
      <c r="AE919">
        <v>0</v>
      </c>
      <c r="AF919">
        <v>0</v>
      </c>
      <c r="AG919">
        <v>0</v>
      </c>
      <c r="AH919">
        <v>0</v>
      </c>
      <c r="AI919">
        <v>0</v>
      </c>
      <c r="AJ919">
        <v>0</v>
      </c>
      <c r="AK919">
        <v>1</v>
      </c>
      <c r="AL919">
        <v>0</v>
      </c>
      <c r="AM919">
        <v>0</v>
      </c>
      <c r="AN919">
        <v>0</v>
      </c>
      <c r="AO919">
        <v>0</v>
      </c>
      <c r="AP919">
        <v>0</v>
      </c>
      <c r="AQ919">
        <v>0</v>
      </c>
      <c r="AR919">
        <v>0</v>
      </c>
      <c r="AS919">
        <v>0</v>
      </c>
      <c r="AT919">
        <v>0</v>
      </c>
      <c r="AU919">
        <v>0</v>
      </c>
      <c r="AV919">
        <v>0</v>
      </c>
      <c r="AW919">
        <v>0</v>
      </c>
      <c r="AX919" s="141">
        <f t="shared" si="167"/>
        <v>1</v>
      </c>
      <c r="AY919" s="141">
        <f t="shared" si="137"/>
        <v>1</v>
      </c>
      <c r="AZ919">
        <f t="shared" si="138"/>
        <v>0</v>
      </c>
      <c r="BA919">
        <f t="shared" si="139"/>
        <v>0</v>
      </c>
      <c r="BB919">
        <f t="shared" si="140"/>
        <v>1</v>
      </c>
      <c r="BC919">
        <f t="shared" si="141"/>
        <v>0</v>
      </c>
      <c r="BD919">
        <f t="shared" si="142"/>
        <v>0</v>
      </c>
      <c r="BE919" t="str">
        <f t="array" ref="BE919">IF(AY919=1,INDEX($V$7:$AL$7,MATCH(TRUE,INDEX($V919:$AW919&lt;&gt;0,),0)),IF(AY919=0,INDEX($AM$7:$AW$7,MATCH(1,$AM919:$AW919,0)),IF(BF919="Multiple strategies","mixed drivers",IF(BF919="Supply chain","multiple supply","multiple silviculture"))))</f>
        <v>technologies/design switch</v>
      </c>
      <c r="BF919" s="2" t="str" cm="1">
        <f t="array" ref="BF919">IF(COUNTIF(AZ919:BB919,"&lt;&gt;0")=1,INDEX($V$4:$AW$4,MATCH(TRUE,INDEX($V919:$AW919&lt;&gt;0,),0)),IF(COUNTIF(AZ919:BB919,"&lt;&gt;0")=0,INDEX($AM$4:$AW$4,MATCH(1,$AM919:$AW919,0)),"Multiple strategies"))</f>
        <v>Technology</v>
      </c>
      <c r="BG919" s="1" t="s">
        <v>230</v>
      </c>
      <c r="BH919" t="s">
        <v>230</v>
      </c>
      <c r="BI919" s="266" t="s">
        <v>411</v>
      </c>
      <c r="BJ919" t="s">
        <v>346</v>
      </c>
      <c r="BK919">
        <v>0</v>
      </c>
      <c r="BL919">
        <v>23500</v>
      </c>
      <c r="BM919" s="143"/>
      <c r="BN919">
        <f t="shared" si="171"/>
        <v>23500</v>
      </c>
      <c r="BO919" s="143">
        <f t="shared" ref="BO919:BO940" si="184">BN919*kg_to_m3</f>
        <v>47.95918367346939</v>
      </c>
      <c r="BP919" t="s">
        <v>233</v>
      </c>
      <c r="BQ919" s="303" t="s">
        <v>397</v>
      </c>
      <c r="BR919" t="s">
        <v>347</v>
      </c>
      <c r="BS919">
        <v>-32500</v>
      </c>
      <c r="BT919">
        <v>-6250</v>
      </c>
      <c r="BU919" s="144">
        <v>0.19230769230769232</v>
      </c>
      <c r="BV919">
        <f t="shared" si="183"/>
        <v>26250</v>
      </c>
      <c r="BX919">
        <f t="shared" ref="BX919:BX940" si="185">BV919/1000</f>
        <v>26.25</v>
      </c>
      <c r="BY919">
        <f t="shared" si="143"/>
        <v>0.54734042553191486</v>
      </c>
      <c r="BZ919">
        <v>0</v>
      </c>
      <c r="CA919">
        <v>0</v>
      </c>
      <c r="CB919">
        <v>0</v>
      </c>
      <c r="CC919">
        <v>0</v>
      </c>
      <c r="CD919">
        <v>0</v>
      </c>
      <c r="CE919">
        <v>0</v>
      </c>
      <c r="CF919">
        <v>0</v>
      </c>
      <c r="CG919">
        <v>0</v>
      </c>
      <c r="CH919">
        <v>0</v>
      </c>
      <c r="CI919">
        <v>0</v>
      </c>
      <c r="CJ919">
        <v>0</v>
      </c>
      <c r="CK919">
        <v>0</v>
      </c>
      <c r="CL919">
        <v>0</v>
      </c>
      <c r="CM919">
        <v>0</v>
      </c>
      <c r="CN919" t="str">
        <f t="shared" si="179"/>
        <v>refOK</v>
      </c>
      <c r="CO919">
        <f t="shared" ref="CO919:CO937" si="186">IF($CN919="refNeedCorrection",BL919,BK919)</f>
        <v>0</v>
      </c>
      <c r="CP919">
        <f t="shared" ref="CP919:CP937" si="187">IF($CN919="refNeedCorrection",BK919,BL919)</f>
        <v>23500</v>
      </c>
      <c r="CQ919">
        <f t="shared" si="170"/>
        <v>47.95918367346939</v>
      </c>
      <c r="CR919">
        <f t="shared" si="158"/>
        <v>-32500</v>
      </c>
      <c r="CS919">
        <f t="shared" si="182"/>
        <v>-6250</v>
      </c>
      <c r="CT919">
        <f t="shared" si="168"/>
        <v>26.25</v>
      </c>
      <c r="CU919">
        <f t="shared" si="156"/>
        <v>0.54734042553191486</v>
      </c>
      <c r="CV919" s="2">
        <f t="shared" si="169"/>
        <v>0.80769230769230771</v>
      </c>
      <c r="CW919" s="1" t="s">
        <v>348</v>
      </c>
      <c r="CX919" t="str">
        <f t="shared" si="144"/>
        <v>loc</v>
      </c>
      <c r="CY919" t="s">
        <v>349</v>
      </c>
      <c r="CZ919">
        <v>2014</v>
      </c>
      <c r="DA919">
        <v>2034</v>
      </c>
      <c r="DB919">
        <v>20</v>
      </c>
      <c r="DC919" t="str">
        <f t="shared" si="145"/>
        <v>1-30</v>
      </c>
      <c r="DD919">
        <v>0</v>
      </c>
      <c r="DE919">
        <v>0</v>
      </c>
      <c r="DF919">
        <v>0</v>
      </c>
      <c r="DG919">
        <v>1</v>
      </c>
      <c r="DI919">
        <f t="shared" si="180"/>
        <v>1</v>
      </c>
      <c r="DJ919" t="str">
        <f t="shared" si="155"/>
        <v>TimberInput</v>
      </c>
      <c r="DK919">
        <f t="shared" si="172"/>
        <v>0</v>
      </c>
      <c r="DL919">
        <f t="shared" si="173"/>
        <v>0</v>
      </c>
      <c r="DM919">
        <f t="shared" si="174"/>
        <v>0</v>
      </c>
      <c r="DN919" t="str">
        <f t="shared" si="175"/>
        <v>Timber</v>
      </c>
      <c r="DO919">
        <v>0</v>
      </c>
      <c r="DP919">
        <v>0</v>
      </c>
      <c r="DQ919">
        <v>0</v>
      </c>
      <c r="DR919">
        <v>0</v>
      </c>
      <c r="DS919">
        <v>0</v>
      </c>
      <c r="DT919">
        <f t="shared" si="160"/>
        <v>0</v>
      </c>
      <c r="DU919" s="143" t="str">
        <f t="shared" si="149"/>
        <v>explicit C balance</v>
      </c>
      <c r="DV919">
        <v>0</v>
      </c>
      <c r="DW919">
        <v>0</v>
      </c>
      <c r="DX919">
        <v>0</v>
      </c>
      <c r="DY919">
        <v>1</v>
      </c>
      <c r="DZ919">
        <v>0</v>
      </c>
      <c r="EA919" s="143">
        <v>1</v>
      </c>
      <c r="EB919">
        <v>0</v>
      </c>
      <c r="EC919">
        <v>1</v>
      </c>
      <c r="ED919">
        <v>1</v>
      </c>
      <c r="EE919">
        <v>1</v>
      </c>
      <c r="EF919">
        <v>0</v>
      </c>
      <c r="EG919">
        <v>0</v>
      </c>
      <c r="EH919">
        <v>0</v>
      </c>
      <c r="EI919" s="2">
        <v>0</v>
      </c>
      <c r="EK919" t="str">
        <f t="shared" si="176"/>
        <v/>
      </c>
      <c r="EL919" t="str">
        <f t="shared" si="177"/>
        <v/>
      </c>
      <c r="EM919" s="2" t="str">
        <f t="shared" si="146"/>
        <v>Technology approach</v>
      </c>
      <c r="EP919" t="str">
        <f>IF(ISNUMBER(BU919),IF(ABS(BU919-[2]QC_indicators!$B$2)&gt;3*[2]QC_indicators!$C$2,"C ratio",IF(ISNUMBER(BY919),IF(ABS(BY919-[2]QC_indicators!$B$1)&gt;3*[2]QC_indicators!$C$1,"DF","no"))),IF(ISNUMBER(BY919),IF(ABS(BY919-[2]QC_indicators!$B$1)&gt;3*[2]QC_indicators!$C$1,"DF","no")))</f>
        <v>no</v>
      </c>
      <c r="ER919" s="149" t="s">
        <v>350</v>
      </c>
      <c r="ET919" s="266" t="s">
        <v>3275</v>
      </c>
    </row>
    <row r="920" spans="1:150" ht="15" hidden="1" customHeight="1">
      <c r="A920" s="1" t="s">
        <v>334</v>
      </c>
      <c r="B920" t="s">
        <v>335</v>
      </c>
      <c r="C920" t="s">
        <v>336</v>
      </c>
      <c r="D920" t="s">
        <v>337</v>
      </c>
      <c r="E920" t="s">
        <v>338</v>
      </c>
      <c r="F920" t="s">
        <v>339</v>
      </c>
      <c r="G920" t="s">
        <v>340</v>
      </c>
      <c r="I920">
        <v>2017</v>
      </c>
      <c r="K920" t="s">
        <v>341</v>
      </c>
      <c r="M920" t="str">
        <f t="shared" si="153"/>
        <v>Balasbaneh_2017</v>
      </c>
      <c r="N920" t="s">
        <v>223</v>
      </c>
      <c r="O920" s="140" t="s">
        <v>342</v>
      </c>
      <c r="Q920" t="s">
        <v>225</v>
      </c>
      <c r="R920" s="264" t="s">
        <v>224</v>
      </c>
      <c r="S920" s="1" t="s">
        <v>377</v>
      </c>
      <c r="T920" t="s">
        <v>372</v>
      </c>
      <c r="U920" t="s">
        <v>345</v>
      </c>
      <c r="V920">
        <v>0</v>
      </c>
      <c r="W920">
        <v>0</v>
      </c>
      <c r="X920">
        <v>0</v>
      </c>
      <c r="Y920">
        <v>0</v>
      </c>
      <c r="Z920">
        <v>0</v>
      </c>
      <c r="AA920">
        <v>0</v>
      </c>
      <c r="AB920">
        <v>0</v>
      </c>
      <c r="AC920">
        <v>0</v>
      </c>
      <c r="AD920">
        <v>0</v>
      </c>
      <c r="AE920">
        <v>0</v>
      </c>
      <c r="AF920">
        <v>0</v>
      </c>
      <c r="AG920">
        <v>0</v>
      </c>
      <c r="AH920">
        <v>0</v>
      </c>
      <c r="AI920">
        <v>0</v>
      </c>
      <c r="AJ920">
        <v>0</v>
      </c>
      <c r="AK920">
        <v>1</v>
      </c>
      <c r="AL920">
        <v>0</v>
      </c>
      <c r="AM920">
        <v>0</v>
      </c>
      <c r="AN920">
        <v>0</v>
      </c>
      <c r="AO920">
        <v>0</v>
      </c>
      <c r="AP920">
        <v>0</v>
      </c>
      <c r="AQ920">
        <v>0</v>
      </c>
      <c r="AR920">
        <v>0</v>
      </c>
      <c r="AS920">
        <v>0</v>
      </c>
      <c r="AT920">
        <v>0</v>
      </c>
      <c r="AU920">
        <v>0</v>
      </c>
      <c r="AV920">
        <v>0</v>
      </c>
      <c r="AW920">
        <v>0</v>
      </c>
      <c r="AX920" s="141">
        <f t="shared" si="167"/>
        <v>1</v>
      </c>
      <c r="AY920" s="141">
        <f t="shared" si="137"/>
        <v>1</v>
      </c>
      <c r="AZ920">
        <f t="shared" si="138"/>
        <v>0</v>
      </c>
      <c r="BA920">
        <f t="shared" si="139"/>
        <v>0</v>
      </c>
      <c r="BB920">
        <f t="shared" si="140"/>
        <v>1</v>
      </c>
      <c r="BC920">
        <f t="shared" si="141"/>
        <v>0</v>
      </c>
      <c r="BD920">
        <f t="shared" si="142"/>
        <v>0</v>
      </c>
      <c r="BE920" t="str">
        <f t="array" ref="BE920">IF(AY920=1,INDEX($V$7:$AL$7,MATCH(TRUE,INDEX($V920:$AW920&lt;&gt;0,),0)),IF(AY920=0,INDEX($AM$7:$AW$7,MATCH(1,$AM920:$AW920,0)),IF(BF920="Multiple strategies","mixed drivers",IF(BF920="Supply chain","multiple supply","multiple silviculture"))))</f>
        <v>technologies/design switch</v>
      </c>
      <c r="BF920" s="2" t="str" cm="1">
        <f t="array" ref="BF920">IF(COUNTIF(AZ920:BB920,"&lt;&gt;0")=1,INDEX($V$4:$AW$4,MATCH(TRUE,INDEX($V920:$AW920&lt;&gt;0,),0)),IF(COUNTIF(AZ920:BB920,"&lt;&gt;0")=0,INDEX($AM$4:$AW$4,MATCH(1,$AM920:$AW920,0)),"Multiple strategies"))</f>
        <v>Technology</v>
      </c>
      <c r="BG920" s="1" t="s">
        <v>230</v>
      </c>
      <c r="BH920" t="s">
        <v>230</v>
      </c>
      <c r="BI920" s="266" t="s">
        <v>411</v>
      </c>
      <c r="BJ920" t="s">
        <v>346</v>
      </c>
      <c r="BK920">
        <v>0</v>
      </c>
      <c r="BL920">
        <v>23500</v>
      </c>
      <c r="BM920" s="143"/>
      <c r="BN920">
        <f t="shared" si="171"/>
        <v>23500</v>
      </c>
      <c r="BO920" s="143">
        <f t="shared" si="184"/>
        <v>47.95918367346939</v>
      </c>
      <c r="BP920" t="s">
        <v>233</v>
      </c>
      <c r="BQ920" s="303" t="s">
        <v>397</v>
      </c>
      <c r="BR920" t="s">
        <v>347</v>
      </c>
      <c r="BS920">
        <v>-30600</v>
      </c>
      <c r="BT920">
        <v>-6020</v>
      </c>
      <c r="BU920" s="144">
        <v>0.19673202614379084</v>
      </c>
      <c r="BV920">
        <f t="shared" si="183"/>
        <v>24580</v>
      </c>
      <c r="BX920">
        <f t="shared" si="185"/>
        <v>24.58</v>
      </c>
      <c r="BY920">
        <f t="shared" si="143"/>
        <v>0.51251914893617012</v>
      </c>
      <c r="BZ920">
        <v>0</v>
      </c>
      <c r="CA920">
        <v>0</v>
      </c>
      <c r="CB920">
        <v>0</v>
      </c>
      <c r="CC920">
        <v>0</v>
      </c>
      <c r="CD920">
        <v>0</v>
      </c>
      <c r="CE920">
        <v>0</v>
      </c>
      <c r="CF920">
        <v>0</v>
      </c>
      <c r="CG920">
        <v>0</v>
      </c>
      <c r="CH920">
        <v>0</v>
      </c>
      <c r="CI920">
        <v>0</v>
      </c>
      <c r="CJ920">
        <v>0</v>
      </c>
      <c r="CK920">
        <v>0</v>
      </c>
      <c r="CL920">
        <v>0</v>
      </c>
      <c r="CM920">
        <v>0</v>
      </c>
      <c r="CN920" t="str">
        <f t="shared" si="179"/>
        <v>refOK</v>
      </c>
      <c r="CO920">
        <f t="shared" si="186"/>
        <v>0</v>
      </c>
      <c r="CP920">
        <f t="shared" si="187"/>
        <v>23500</v>
      </c>
      <c r="CQ920">
        <f t="shared" si="170"/>
        <v>47.95918367346939</v>
      </c>
      <c r="CR920">
        <f t="shared" si="158"/>
        <v>-30600</v>
      </c>
      <c r="CS920">
        <f t="shared" si="182"/>
        <v>-6020</v>
      </c>
      <c r="CT920">
        <f t="shared" si="168"/>
        <v>24.58</v>
      </c>
      <c r="CU920">
        <f t="shared" si="156"/>
        <v>0.51251914893617012</v>
      </c>
      <c r="CV920" s="2">
        <f t="shared" si="169"/>
        <v>0.80326797385620918</v>
      </c>
      <c r="CW920" s="1" t="s">
        <v>348</v>
      </c>
      <c r="CX920" t="str">
        <f t="shared" si="144"/>
        <v>loc</v>
      </c>
      <c r="CY920" t="s">
        <v>349</v>
      </c>
      <c r="CZ920">
        <v>2014</v>
      </c>
      <c r="DA920">
        <v>2034</v>
      </c>
      <c r="DB920">
        <v>20</v>
      </c>
      <c r="DC920" t="str">
        <f t="shared" si="145"/>
        <v>1-30</v>
      </c>
      <c r="DD920">
        <v>0</v>
      </c>
      <c r="DE920">
        <v>0</v>
      </c>
      <c r="DF920">
        <v>0</v>
      </c>
      <c r="DG920">
        <v>1</v>
      </c>
      <c r="DI920">
        <f t="shared" si="180"/>
        <v>1</v>
      </c>
      <c r="DJ920" t="str">
        <f t="shared" si="155"/>
        <v>TimberInput</v>
      </c>
      <c r="DK920">
        <f t="shared" si="172"/>
        <v>0</v>
      </c>
      <c r="DL920">
        <f t="shared" si="173"/>
        <v>0</v>
      </c>
      <c r="DM920">
        <f t="shared" si="174"/>
        <v>0</v>
      </c>
      <c r="DN920" t="str">
        <f t="shared" si="175"/>
        <v>Timber</v>
      </c>
      <c r="DO920">
        <v>0</v>
      </c>
      <c r="DP920">
        <v>0</v>
      </c>
      <c r="DQ920">
        <v>0</v>
      </c>
      <c r="DR920">
        <v>0</v>
      </c>
      <c r="DS920">
        <v>0</v>
      </c>
      <c r="DT920">
        <f t="shared" si="160"/>
        <v>0</v>
      </c>
      <c r="DU920" s="143" t="str">
        <f t="shared" si="149"/>
        <v>explicit C balance</v>
      </c>
      <c r="DV920">
        <v>0</v>
      </c>
      <c r="DW920">
        <v>0</v>
      </c>
      <c r="DX920">
        <v>0</v>
      </c>
      <c r="DY920">
        <v>1</v>
      </c>
      <c r="DZ920">
        <v>0</v>
      </c>
      <c r="EA920" s="143">
        <v>1</v>
      </c>
      <c r="EB920">
        <v>0</v>
      </c>
      <c r="EC920">
        <v>1</v>
      </c>
      <c r="ED920">
        <v>1</v>
      </c>
      <c r="EE920">
        <v>1</v>
      </c>
      <c r="EF920">
        <v>0</v>
      </c>
      <c r="EG920">
        <v>0</v>
      </c>
      <c r="EH920">
        <v>0</v>
      </c>
      <c r="EI920" s="2">
        <v>0</v>
      </c>
      <c r="EK920" t="str">
        <f t="shared" si="176"/>
        <v/>
      </c>
      <c r="EL920" t="str">
        <f t="shared" si="177"/>
        <v/>
      </c>
      <c r="EM920" s="2" t="str">
        <f t="shared" si="146"/>
        <v>Technology approach</v>
      </c>
      <c r="EP920" t="str">
        <f>IF(ISNUMBER(BU920),IF(ABS(BU920-[2]QC_indicators!$B$2)&gt;3*[2]QC_indicators!$C$2,"C ratio",IF(ISNUMBER(BY920),IF(ABS(BY920-[2]QC_indicators!$B$1)&gt;3*[2]QC_indicators!$C$1,"DF","no"))),IF(ISNUMBER(BY920),IF(ABS(BY920-[2]QC_indicators!$B$1)&gt;3*[2]QC_indicators!$C$1,"DF","no")))</f>
        <v>no</v>
      </c>
      <c r="ER920" s="149" t="s">
        <v>350</v>
      </c>
      <c r="ET920" s="266" t="s">
        <v>3275</v>
      </c>
    </row>
    <row r="921" spans="1:150" ht="15" hidden="1" customHeight="1">
      <c r="A921" s="1" t="s">
        <v>334</v>
      </c>
      <c r="B921" t="s">
        <v>335</v>
      </c>
      <c r="C921" t="s">
        <v>336</v>
      </c>
      <c r="D921" t="s">
        <v>337</v>
      </c>
      <c r="E921" t="s">
        <v>338</v>
      </c>
      <c r="F921" t="s">
        <v>339</v>
      </c>
      <c r="G921" t="s">
        <v>340</v>
      </c>
      <c r="I921">
        <v>2017</v>
      </c>
      <c r="K921" t="s">
        <v>341</v>
      </c>
      <c r="M921" t="str">
        <f t="shared" si="153"/>
        <v>Balasbaneh_2017</v>
      </c>
      <c r="N921" t="s">
        <v>223</v>
      </c>
      <c r="O921" s="140" t="s">
        <v>342</v>
      </c>
      <c r="Q921" t="s">
        <v>225</v>
      </c>
      <c r="R921" s="264" t="s">
        <v>224</v>
      </c>
      <c r="S921" s="1" t="s">
        <v>373</v>
      </c>
      <c r="T921" t="s">
        <v>372</v>
      </c>
      <c r="U921" t="s">
        <v>345</v>
      </c>
      <c r="V921">
        <v>0</v>
      </c>
      <c r="W921">
        <v>0</v>
      </c>
      <c r="X921">
        <v>0</v>
      </c>
      <c r="Y921">
        <v>0</v>
      </c>
      <c r="Z921">
        <v>0</v>
      </c>
      <c r="AA921">
        <v>0</v>
      </c>
      <c r="AB921">
        <v>0</v>
      </c>
      <c r="AC921">
        <v>0</v>
      </c>
      <c r="AD921">
        <v>0</v>
      </c>
      <c r="AE921">
        <v>0</v>
      </c>
      <c r="AF921">
        <v>0</v>
      </c>
      <c r="AG921">
        <v>0</v>
      </c>
      <c r="AH921">
        <v>0</v>
      </c>
      <c r="AI921">
        <v>0</v>
      </c>
      <c r="AJ921">
        <v>0</v>
      </c>
      <c r="AK921">
        <v>1</v>
      </c>
      <c r="AL921">
        <v>0</v>
      </c>
      <c r="AM921">
        <v>0</v>
      </c>
      <c r="AN921">
        <v>0</v>
      </c>
      <c r="AO921">
        <v>0</v>
      </c>
      <c r="AP921">
        <v>0</v>
      </c>
      <c r="AQ921">
        <v>0</v>
      </c>
      <c r="AR921">
        <v>0</v>
      </c>
      <c r="AS921">
        <v>0</v>
      </c>
      <c r="AT921">
        <v>0</v>
      </c>
      <c r="AU921">
        <v>0</v>
      </c>
      <c r="AV921">
        <v>0</v>
      </c>
      <c r="AW921">
        <v>0</v>
      </c>
      <c r="AX921" s="141">
        <f t="shared" si="167"/>
        <v>1</v>
      </c>
      <c r="AY921" s="141">
        <f t="shared" si="137"/>
        <v>1</v>
      </c>
      <c r="AZ921">
        <f t="shared" si="138"/>
        <v>0</v>
      </c>
      <c r="BA921">
        <f t="shared" si="139"/>
        <v>0</v>
      </c>
      <c r="BB921">
        <f t="shared" si="140"/>
        <v>1</v>
      </c>
      <c r="BC921">
        <f t="shared" si="141"/>
        <v>0</v>
      </c>
      <c r="BD921">
        <f t="shared" si="142"/>
        <v>0</v>
      </c>
      <c r="BE921" t="str">
        <f t="array" ref="BE921">IF(AY921=1,INDEX($V$7:$AL$7,MATCH(TRUE,INDEX($V921:$AW921&lt;&gt;0,),0)),IF(AY921=0,INDEX($AM$7:$AW$7,MATCH(1,$AM921:$AW921,0)),IF(BF921="Multiple strategies","mixed drivers",IF(BF921="Supply chain","multiple supply","multiple silviculture"))))</f>
        <v>technologies/design switch</v>
      </c>
      <c r="BF921" s="2" t="str" cm="1">
        <f t="array" ref="BF921">IF(COUNTIF(AZ921:BB921,"&lt;&gt;0")=1,INDEX($V$4:$AW$4,MATCH(TRUE,INDEX($V921:$AW921&lt;&gt;0,),0)),IF(COUNTIF(AZ921:BB921,"&lt;&gt;0")=0,INDEX($AM$4:$AW$4,MATCH(1,$AM921:$AW921,0)),"Multiple strategies"))</f>
        <v>Technology</v>
      </c>
      <c r="BG921" s="1" t="s">
        <v>230</v>
      </c>
      <c r="BH921" t="s">
        <v>230</v>
      </c>
      <c r="BI921" s="266" t="s">
        <v>411</v>
      </c>
      <c r="BJ921" t="s">
        <v>346</v>
      </c>
      <c r="BK921">
        <v>0</v>
      </c>
      <c r="BL921">
        <v>23500</v>
      </c>
      <c r="BM921" s="143"/>
      <c r="BN921">
        <f t="shared" si="171"/>
        <v>23500</v>
      </c>
      <c r="BO921" s="143">
        <f t="shared" si="184"/>
        <v>47.95918367346939</v>
      </c>
      <c r="BP921" t="s">
        <v>233</v>
      </c>
      <c r="BQ921" s="303" t="s">
        <v>397</v>
      </c>
      <c r="BR921" t="s">
        <v>347</v>
      </c>
      <c r="BS921">
        <v>-26000</v>
      </c>
      <c r="BT921">
        <v>-5870</v>
      </c>
      <c r="BU921" s="144">
        <v>0.22576923076923078</v>
      </c>
      <c r="BV921">
        <f t="shared" si="183"/>
        <v>20130</v>
      </c>
      <c r="BX921">
        <f t="shared" si="185"/>
        <v>20.13</v>
      </c>
      <c r="BY921">
        <f t="shared" si="143"/>
        <v>0.419731914893617</v>
      </c>
      <c r="BZ921">
        <v>0</v>
      </c>
      <c r="CA921">
        <v>0</v>
      </c>
      <c r="CB921">
        <v>0</v>
      </c>
      <c r="CC921">
        <v>0</v>
      </c>
      <c r="CD921">
        <v>0</v>
      </c>
      <c r="CE921">
        <v>0</v>
      </c>
      <c r="CF921">
        <v>0</v>
      </c>
      <c r="CG921">
        <v>0</v>
      </c>
      <c r="CH921">
        <v>0</v>
      </c>
      <c r="CI921">
        <v>0</v>
      </c>
      <c r="CJ921">
        <v>0</v>
      </c>
      <c r="CK921">
        <v>0</v>
      </c>
      <c r="CL921">
        <v>0</v>
      </c>
      <c r="CM921">
        <v>0</v>
      </c>
      <c r="CN921" t="str">
        <f t="shared" si="179"/>
        <v>refOK</v>
      </c>
      <c r="CO921">
        <f t="shared" si="186"/>
        <v>0</v>
      </c>
      <c r="CP921">
        <f t="shared" si="187"/>
        <v>23500</v>
      </c>
      <c r="CQ921">
        <f t="shared" si="170"/>
        <v>47.95918367346939</v>
      </c>
      <c r="CR921">
        <f t="shared" si="158"/>
        <v>-26000</v>
      </c>
      <c r="CS921">
        <f t="shared" si="182"/>
        <v>-5870</v>
      </c>
      <c r="CT921">
        <f t="shared" si="168"/>
        <v>20.13</v>
      </c>
      <c r="CU921">
        <f t="shared" si="156"/>
        <v>0.419731914893617</v>
      </c>
      <c r="CV921" s="2">
        <f t="shared" si="169"/>
        <v>0.77423076923076928</v>
      </c>
      <c r="CW921" s="1" t="s">
        <v>348</v>
      </c>
      <c r="CX921" t="str">
        <f t="shared" si="144"/>
        <v>loc</v>
      </c>
      <c r="CY921" t="s">
        <v>349</v>
      </c>
      <c r="CZ921">
        <v>2014</v>
      </c>
      <c r="DA921">
        <v>2034</v>
      </c>
      <c r="DB921">
        <v>20</v>
      </c>
      <c r="DC921" t="str">
        <f t="shared" si="145"/>
        <v>1-30</v>
      </c>
      <c r="DD921">
        <v>0</v>
      </c>
      <c r="DE921">
        <v>0</v>
      </c>
      <c r="DF921">
        <v>0</v>
      </c>
      <c r="DG921">
        <v>1</v>
      </c>
      <c r="DI921">
        <f t="shared" si="180"/>
        <v>1</v>
      </c>
      <c r="DJ921" t="str">
        <f t="shared" si="155"/>
        <v>TimberInput</v>
      </c>
      <c r="DK921">
        <f t="shared" si="172"/>
        <v>0</v>
      </c>
      <c r="DL921">
        <f t="shared" si="173"/>
        <v>0</v>
      </c>
      <c r="DM921">
        <f t="shared" si="174"/>
        <v>0</v>
      </c>
      <c r="DN921" t="str">
        <f t="shared" si="175"/>
        <v>Timber</v>
      </c>
      <c r="DO921">
        <v>0</v>
      </c>
      <c r="DP921">
        <v>0</v>
      </c>
      <c r="DQ921">
        <v>0</v>
      </c>
      <c r="DR921">
        <v>0</v>
      </c>
      <c r="DS921">
        <v>0</v>
      </c>
      <c r="DT921">
        <f t="shared" si="160"/>
        <v>0</v>
      </c>
      <c r="DU921" s="143" t="str">
        <f t="shared" si="149"/>
        <v>explicit C balance</v>
      </c>
      <c r="DV921">
        <v>0</v>
      </c>
      <c r="DW921">
        <v>0</v>
      </c>
      <c r="DX921">
        <v>0</v>
      </c>
      <c r="DY921">
        <v>1</v>
      </c>
      <c r="DZ921">
        <v>0</v>
      </c>
      <c r="EA921" s="143">
        <v>1</v>
      </c>
      <c r="EB921">
        <v>0</v>
      </c>
      <c r="EC921">
        <v>1</v>
      </c>
      <c r="ED921">
        <v>1</v>
      </c>
      <c r="EE921">
        <v>1</v>
      </c>
      <c r="EF921">
        <v>0</v>
      </c>
      <c r="EG921">
        <v>0</v>
      </c>
      <c r="EH921">
        <v>0</v>
      </c>
      <c r="EI921" s="2">
        <v>0</v>
      </c>
      <c r="EK921" t="str">
        <f t="shared" si="176"/>
        <v/>
      </c>
      <c r="EL921" t="str">
        <f t="shared" si="177"/>
        <v/>
      </c>
      <c r="EM921" s="2" t="str">
        <f t="shared" si="146"/>
        <v>Technology approach</v>
      </c>
      <c r="EP921" t="str">
        <f>IF(ISNUMBER(BU921),IF(ABS(BU921-[2]QC_indicators!$B$2)&gt;3*[2]QC_indicators!$C$2,"C ratio",IF(ISNUMBER(BY921),IF(ABS(BY921-[2]QC_indicators!$B$1)&gt;3*[2]QC_indicators!$C$1,"DF","no"))),IF(ISNUMBER(BY921),IF(ABS(BY921-[2]QC_indicators!$B$1)&gt;3*[2]QC_indicators!$C$1,"DF","no")))</f>
        <v>no</v>
      </c>
      <c r="ER921" s="149" t="s">
        <v>350</v>
      </c>
      <c r="ET921" s="266" t="s">
        <v>3275</v>
      </c>
    </row>
    <row r="922" spans="1:150" ht="15" hidden="1" customHeight="1">
      <c r="A922" s="1" t="s">
        <v>334</v>
      </c>
      <c r="B922" t="s">
        <v>335</v>
      </c>
      <c r="C922" t="s">
        <v>336</v>
      </c>
      <c r="D922" t="s">
        <v>337</v>
      </c>
      <c r="E922" t="s">
        <v>338</v>
      </c>
      <c r="F922" t="s">
        <v>339</v>
      </c>
      <c r="G922" t="s">
        <v>340</v>
      </c>
      <c r="I922">
        <v>2017</v>
      </c>
      <c r="K922" t="s">
        <v>341</v>
      </c>
      <c r="M922" t="str">
        <f t="shared" si="153"/>
        <v>Balasbaneh_2017</v>
      </c>
      <c r="N922" t="s">
        <v>223</v>
      </c>
      <c r="O922" s="140" t="s">
        <v>342</v>
      </c>
      <c r="Q922" t="s">
        <v>225</v>
      </c>
      <c r="R922" s="264" t="s">
        <v>224</v>
      </c>
      <c r="S922" s="1" t="s">
        <v>368</v>
      </c>
      <c r="T922" t="s">
        <v>362</v>
      </c>
      <c r="U922" t="s">
        <v>345</v>
      </c>
      <c r="V922">
        <v>0</v>
      </c>
      <c r="W922">
        <v>0</v>
      </c>
      <c r="X922">
        <v>0</v>
      </c>
      <c r="Y922">
        <v>0</v>
      </c>
      <c r="Z922">
        <v>0</v>
      </c>
      <c r="AA922">
        <v>0</v>
      </c>
      <c r="AB922">
        <v>0</v>
      </c>
      <c r="AC922">
        <v>0</v>
      </c>
      <c r="AD922">
        <v>0</v>
      </c>
      <c r="AE922">
        <v>0</v>
      </c>
      <c r="AF922">
        <v>0</v>
      </c>
      <c r="AG922">
        <v>0</v>
      </c>
      <c r="AH922">
        <v>0</v>
      </c>
      <c r="AI922">
        <v>0</v>
      </c>
      <c r="AJ922">
        <v>0</v>
      </c>
      <c r="AK922">
        <v>1</v>
      </c>
      <c r="AL922">
        <v>0</v>
      </c>
      <c r="AM922">
        <v>0</v>
      </c>
      <c r="AN922">
        <v>0</v>
      </c>
      <c r="AO922">
        <v>0</v>
      </c>
      <c r="AP922">
        <v>0</v>
      </c>
      <c r="AQ922">
        <v>0</v>
      </c>
      <c r="AR922">
        <v>0</v>
      </c>
      <c r="AS922">
        <v>0</v>
      </c>
      <c r="AT922">
        <v>0</v>
      </c>
      <c r="AU922">
        <v>0</v>
      </c>
      <c r="AV922">
        <v>0</v>
      </c>
      <c r="AW922">
        <v>0</v>
      </c>
      <c r="AX922" s="141">
        <f t="shared" si="167"/>
        <v>1</v>
      </c>
      <c r="AY922" s="141">
        <f t="shared" ref="AY922:AY985" si="188">COUNTIF(V922:AL922,"&lt;&gt;0")</f>
        <v>1</v>
      </c>
      <c r="AZ922">
        <f t="shared" ref="AZ922:AZ985" si="189">COUNTIF(V922:AC922,"&lt;&gt;0")</f>
        <v>0</v>
      </c>
      <c r="BA922">
        <f t="shared" ref="BA922:BA985" si="190">COUNTIF(AD922:AI922,"&lt;&gt;0")</f>
        <v>0</v>
      </c>
      <c r="BB922">
        <f t="shared" ref="BB922:BB985" si="191">COUNTIF(AJ922:AL922,"&lt;&gt;0")</f>
        <v>1</v>
      </c>
      <c r="BC922">
        <f t="shared" ref="BC922:BC985" si="192">COUNTIF(AS922:AW922,"&lt;&gt;0")</f>
        <v>0</v>
      </c>
      <c r="BD922">
        <f t="shared" ref="BD922:BD985" si="193">COUNTIF(AM922:AR922,"&lt;&gt;0")</f>
        <v>0</v>
      </c>
      <c r="BE922" t="str">
        <f t="array" ref="BE922">IF(AY922=1,INDEX($V$7:$AL$7,MATCH(TRUE,INDEX($V922:$AW922&lt;&gt;0,),0)),IF(AY922=0,INDEX($AM$7:$AW$7,MATCH(1,$AM922:$AW922,0)),IF(BF922="Multiple strategies","mixed drivers",IF(BF922="Supply chain","multiple supply","multiple silviculture"))))</f>
        <v>technologies/design switch</v>
      </c>
      <c r="BF922" s="2" t="str" cm="1">
        <f t="array" ref="BF922">IF(COUNTIF(AZ922:BB922,"&lt;&gt;0")=1,INDEX($V$4:$AW$4,MATCH(TRUE,INDEX($V922:$AW922&lt;&gt;0,),0)),IF(COUNTIF(AZ922:BB922,"&lt;&gt;0")=0,INDEX($AM$4:$AW$4,MATCH(1,$AM922:$AW922,0)),"Multiple strategies"))</f>
        <v>Technology</v>
      </c>
      <c r="BG922" s="1" t="s">
        <v>230</v>
      </c>
      <c r="BH922" t="s">
        <v>230</v>
      </c>
      <c r="BI922" s="266" t="s">
        <v>411</v>
      </c>
      <c r="BJ922" t="s">
        <v>346</v>
      </c>
      <c r="BK922">
        <v>0</v>
      </c>
      <c r="BL922">
        <v>23500</v>
      </c>
      <c r="BM922" s="143"/>
      <c r="BN922">
        <f t="shared" si="171"/>
        <v>23500</v>
      </c>
      <c r="BO922" s="143">
        <f t="shared" si="184"/>
        <v>47.95918367346939</v>
      </c>
      <c r="BP922" t="s">
        <v>233</v>
      </c>
      <c r="BQ922" s="303" t="s">
        <v>397</v>
      </c>
      <c r="BR922" t="s">
        <v>347</v>
      </c>
      <c r="BS922">
        <v>-24200</v>
      </c>
      <c r="BT922">
        <v>-6250</v>
      </c>
      <c r="BU922" s="144">
        <v>0.25826446280991733</v>
      </c>
      <c r="BV922">
        <f t="shared" si="183"/>
        <v>17950</v>
      </c>
      <c r="BX922">
        <f t="shared" si="185"/>
        <v>17.95</v>
      </c>
      <c r="BY922">
        <f t="shared" ref="BY922:BY985" si="194">IFERROR(BX922/BO922,"")</f>
        <v>0.37427659574468081</v>
      </c>
      <c r="BZ922">
        <v>0</v>
      </c>
      <c r="CA922">
        <v>0</v>
      </c>
      <c r="CB922">
        <v>0</v>
      </c>
      <c r="CC922">
        <v>0</v>
      </c>
      <c r="CD922">
        <v>0</v>
      </c>
      <c r="CE922">
        <v>0</v>
      </c>
      <c r="CF922">
        <v>0</v>
      </c>
      <c r="CG922">
        <v>0</v>
      </c>
      <c r="CH922">
        <v>0</v>
      </c>
      <c r="CI922">
        <v>0</v>
      </c>
      <c r="CJ922">
        <v>0</v>
      </c>
      <c r="CK922">
        <v>0</v>
      </c>
      <c r="CL922">
        <v>0</v>
      </c>
      <c r="CM922">
        <v>0</v>
      </c>
      <c r="CN922" t="str">
        <f t="shared" si="179"/>
        <v>refOK</v>
      </c>
      <c r="CO922">
        <f t="shared" si="186"/>
        <v>0</v>
      </c>
      <c r="CP922">
        <f t="shared" si="187"/>
        <v>23500</v>
      </c>
      <c r="CQ922">
        <f t="shared" si="170"/>
        <v>47.95918367346939</v>
      </c>
      <c r="CR922">
        <f t="shared" si="158"/>
        <v>-24200</v>
      </c>
      <c r="CS922">
        <f t="shared" si="182"/>
        <v>-6250</v>
      </c>
      <c r="CT922">
        <f t="shared" si="168"/>
        <v>17.95</v>
      </c>
      <c r="CU922">
        <f t="shared" si="156"/>
        <v>0.37427659574468081</v>
      </c>
      <c r="CV922" s="2">
        <f t="shared" si="169"/>
        <v>0.74173553719008267</v>
      </c>
      <c r="CW922" s="1" t="s">
        <v>348</v>
      </c>
      <c r="CX922" t="str">
        <f t="shared" ref="CX922:CX985" si="195">IF(OR($CW922="prd",$CW922="std",$CW922="cit"),"loc",IF(OR($CW922="eur",$CW922="reg",$CW922="coy"),"reg",$CW922))</f>
        <v>loc</v>
      </c>
      <c r="CY922" t="s">
        <v>349</v>
      </c>
      <c r="CZ922">
        <v>2014</v>
      </c>
      <c r="DA922">
        <v>2034</v>
      </c>
      <c r="DB922">
        <v>20</v>
      </c>
      <c r="DC922" t="str">
        <f t="shared" ref="DC922:DC985" si="196">IF(DB922=0,"0",IF(AND(DB922&gt;=1,DB922&lt;=30),"1-30",IF(AND(DB922&gt;30,DB922&lt;=70),"31-70",IF(AND(DB922&gt;70,DB922&lt;=100),"71-100",IF(DB922&gt;100,"+100")))))</f>
        <v>1-30</v>
      </c>
      <c r="DD922">
        <v>0</v>
      </c>
      <c r="DE922">
        <v>0</v>
      </c>
      <c r="DF922">
        <v>0</v>
      </c>
      <c r="DG922">
        <v>1</v>
      </c>
      <c r="DI922">
        <f t="shared" si="180"/>
        <v>1</v>
      </c>
      <c r="DJ922" t="str">
        <f t="shared" si="155"/>
        <v>TimberInput</v>
      </c>
      <c r="DK922">
        <f t="shared" si="172"/>
        <v>0</v>
      </c>
      <c r="DL922">
        <f t="shared" si="173"/>
        <v>0</v>
      </c>
      <c r="DM922">
        <f t="shared" si="174"/>
        <v>0</v>
      </c>
      <c r="DN922" t="str">
        <f t="shared" si="175"/>
        <v>Timber</v>
      </c>
      <c r="DO922">
        <v>0</v>
      </c>
      <c r="DP922">
        <v>0</v>
      </c>
      <c r="DQ922">
        <v>0</v>
      </c>
      <c r="DR922">
        <v>0</v>
      </c>
      <c r="DS922">
        <v>0</v>
      </c>
      <c r="DT922">
        <f t="shared" si="160"/>
        <v>0</v>
      </c>
      <c r="DU922" s="143" t="str">
        <f t="shared" si="149"/>
        <v>explicit C balance</v>
      </c>
      <c r="DV922">
        <v>0</v>
      </c>
      <c r="DW922">
        <v>0</v>
      </c>
      <c r="DX922">
        <v>0</v>
      </c>
      <c r="DY922">
        <v>1</v>
      </c>
      <c r="DZ922">
        <v>0</v>
      </c>
      <c r="EA922" s="143">
        <v>1</v>
      </c>
      <c r="EB922">
        <v>0</v>
      </c>
      <c r="EC922">
        <v>1</v>
      </c>
      <c r="ED922">
        <v>1</v>
      </c>
      <c r="EE922">
        <v>1</v>
      </c>
      <c r="EF922">
        <v>0</v>
      </c>
      <c r="EG922">
        <v>0</v>
      </c>
      <c r="EH922">
        <v>0</v>
      </c>
      <c r="EI922" s="2">
        <v>0</v>
      </c>
      <c r="EK922" t="str">
        <f t="shared" si="176"/>
        <v/>
      </c>
      <c r="EL922" t="str">
        <f t="shared" si="177"/>
        <v/>
      </c>
      <c r="EM922" s="2" t="str">
        <f t="shared" ref="EM922:EM985" si="197">IF(AND(AND(AND($DX922=0,$DW922=0),OR($EC922=1,$EA922=1)),SUM($EB922:$EE922)&gt;=2),"Technology approach","")</f>
        <v>Technology approach</v>
      </c>
      <c r="EP922" t="str">
        <f>IF(ISNUMBER(BU922),IF(ABS(BU922-[2]QC_indicators!$B$2)&gt;3*[2]QC_indicators!$C$2,"C ratio",IF(ISNUMBER(BY922),IF(ABS(BY922-[2]QC_indicators!$B$1)&gt;3*[2]QC_indicators!$C$1,"DF","no"))),IF(ISNUMBER(BY922),IF(ABS(BY922-[2]QC_indicators!$B$1)&gt;3*[2]QC_indicators!$C$1,"DF","no")))</f>
        <v>no</v>
      </c>
      <c r="ER922" s="149" t="s">
        <v>350</v>
      </c>
      <c r="ET922" s="266" t="s">
        <v>3275</v>
      </c>
    </row>
    <row r="923" spans="1:150" ht="15" hidden="1" customHeight="1">
      <c r="A923" s="1" t="s">
        <v>334</v>
      </c>
      <c r="B923" t="s">
        <v>335</v>
      </c>
      <c r="C923" t="s">
        <v>336</v>
      </c>
      <c r="D923" t="s">
        <v>337</v>
      </c>
      <c r="E923" t="s">
        <v>338</v>
      </c>
      <c r="F923" t="s">
        <v>339</v>
      </c>
      <c r="G923" t="s">
        <v>340</v>
      </c>
      <c r="I923">
        <v>2017</v>
      </c>
      <c r="K923" t="s">
        <v>341</v>
      </c>
      <c r="M923" t="str">
        <f t="shared" si="153"/>
        <v>Balasbaneh_2017</v>
      </c>
      <c r="N923" t="s">
        <v>223</v>
      </c>
      <c r="O923" s="140" t="s">
        <v>342</v>
      </c>
      <c r="Q923" t="s">
        <v>225</v>
      </c>
      <c r="R923" s="264" t="s">
        <v>224</v>
      </c>
      <c r="S923" s="1" t="s">
        <v>367</v>
      </c>
      <c r="T923" t="s">
        <v>362</v>
      </c>
      <c r="U923" t="s">
        <v>345</v>
      </c>
      <c r="V923">
        <v>0</v>
      </c>
      <c r="W923">
        <v>0</v>
      </c>
      <c r="X923">
        <v>0</v>
      </c>
      <c r="Y923">
        <v>0</v>
      </c>
      <c r="Z923">
        <v>0</v>
      </c>
      <c r="AA923">
        <v>0</v>
      </c>
      <c r="AB923">
        <v>0</v>
      </c>
      <c r="AC923">
        <v>0</v>
      </c>
      <c r="AD923">
        <v>0</v>
      </c>
      <c r="AE923">
        <v>0</v>
      </c>
      <c r="AF923">
        <v>0</v>
      </c>
      <c r="AG923">
        <v>0</v>
      </c>
      <c r="AH923">
        <v>0</v>
      </c>
      <c r="AI923">
        <v>0</v>
      </c>
      <c r="AJ923">
        <v>0</v>
      </c>
      <c r="AK923">
        <v>1</v>
      </c>
      <c r="AL923">
        <v>0</v>
      </c>
      <c r="AM923">
        <v>0</v>
      </c>
      <c r="AN923">
        <v>0</v>
      </c>
      <c r="AO923">
        <v>0</v>
      </c>
      <c r="AP923">
        <v>0</v>
      </c>
      <c r="AQ923">
        <v>0</v>
      </c>
      <c r="AR923">
        <v>0</v>
      </c>
      <c r="AS923">
        <v>0</v>
      </c>
      <c r="AT923">
        <v>0</v>
      </c>
      <c r="AU923">
        <v>0</v>
      </c>
      <c r="AV923">
        <v>0</v>
      </c>
      <c r="AW923">
        <v>0</v>
      </c>
      <c r="AX923" s="141">
        <f t="shared" si="167"/>
        <v>1</v>
      </c>
      <c r="AY923" s="141">
        <f t="shared" si="188"/>
        <v>1</v>
      </c>
      <c r="AZ923">
        <f t="shared" si="189"/>
        <v>0</v>
      </c>
      <c r="BA923">
        <f t="shared" si="190"/>
        <v>0</v>
      </c>
      <c r="BB923">
        <f t="shared" si="191"/>
        <v>1</v>
      </c>
      <c r="BC923">
        <f t="shared" si="192"/>
        <v>0</v>
      </c>
      <c r="BD923">
        <f t="shared" si="193"/>
        <v>0</v>
      </c>
      <c r="BE923" t="str">
        <f t="array" ref="BE923">IF(AY923=1,INDEX($V$7:$AL$7,MATCH(TRUE,INDEX($V923:$AW923&lt;&gt;0,),0)),IF(AY923=0,INDEX($AM$7:$AW$7,MATCH(1,$AM923:$AW923,0)),IF(BF923="Multiple strategies","mixed drivers",IF(BF923="Supply chain","multiple supply","multiple silviculture"))))</f>
        <v>technologies/design switch</v>
      </c>
      <c r="BF923" s="2" t="str" cm="1">
        <f t="array" ref="BF923">IF(COUNTIF(AZ923:BB923,"&lt;&gt;0")=1,INDEX($V$4:$AW$4,MATCH(TRUE,INDEX($V923:$AW923&lt;&gt;0,),0)),IF(COUNTIF(AZ923:BB923,"&lt;&gt;0")=0,INDEX($AM$4:$AW$4,MATCH(1,$AM923:$AW923,0)),"Multiple strategies"))</f>
        <v>Technology</v>
      </c>
      <c r="BG923" s="1" t="s">
        <v>230</v>
      </c>
      <c r="BH923" t="s">
        <v>230</v>
      </c>
      <c r="BI923" s="266" t="s">
        <v>411</v>
      </c>
      <c r="BJ923" t="s">
        <v>346</v>
      </c>
      <c r="BK923">
        <v>0</v>
      </c>
      <c r="BL923">
        <v>23500</v>
      </c>
      <c r="BM923" s="143"/>
      <c r="BN923">
        <f t="shared" si="171"/>
        <v>23500</v>
      </c>
      <c r="BO923" s="143">
        <f t="shared" si="184"/>
        <v>47.95918367346939</v>
      </c>
      <c r="BP923" t="s">
        <v>233</v>
      </c>
      <c r="BQ923" s="303" t="s">
        <v>397</v>
      </c>
      <c r="BR923" t="s">
        <v>347</v>
      </c>
      <c r="BS923">
        <v>-23800</v>
      </c>
      <c r="BT923">
        <v>-6020</v>
      </c>
      <c r="BU923" s="144">
        <v>0.25294117647058822</v>
      </c>
      <c r="BV923">
        <f t="shared" si="183"/>
        <v>17780</v>
      </c>
      <c r="BX923">
        <f t="shared" si="185"/>
        <v>17.78</v>
      </c>
      <c r="BY923">
        <f t="shared" si="194"/>
        <v>0.37073191489361701</v>
      </c>
      <c r="BZ923">
        <v>0</v>
      </c>
      <c r="CA923">
        <v>0</v>
      </c>
      <c r="CB923">
        <v>0</v>
      </c>
      <c r="CC923">
        <v>0</v>
      </c>
      <c r="CD923">
        <v>0</v>
      </c>
      <c r="CE923">
        <v>0</v>
      </c>
      <c r="CF923">
        <v>0</v>
      </c>
      <c r="CG923">
        <v>0</v>
      </c>
      <c r="CH923">
        <v>0</v>
      </c>
      <c r="CI923">
        <v>0</v>
      </c>
      <c r="CJ923">
        <v>0</v>
      </c>
      <c r="CK923">
        <v>0</v>
      </c>
      <c r="CL923">
        <v>0</v>
      </c>
      <c r="CM923">
        <v>0</v>
      </c>
      <c r="CN923" t="str">
        <f t="shared" si="179"/>
        <v>refOK</v>
      </c>
      <c r="CO923">
        <f t="shared" si="186"/>
        <v>0</v>
      </c>
      <c r="CP923">
        <f t="shared" si="187"/>
        <v>23500</v>
      </c>
      <c r="CQ923">
        <f t="shared" si="170"/>
        <v>47.95918367346939</v>
      </c>
      <c r="CR923">
        <f t="shared" si="158"/>
        <v>-23800</v>
      </c>
      <c r="CS923">
        <f t="shared" si="182"/>
        <v>-6020</v>
      </c>
      <c r="CT923">
        <f t="shared" si="168"/>
        <v>17.78</v>
      </c>
      <c r="CU923">
        <f t="shared" si="156"/>
        <v>0.37073191489361701</v>
      </c>
      <c r="CV923" s="2">
        <f t="shared" si="169"/>
        <v>0.74705882352941178</v>
      </c>
      <c r="CW923" s="1" t="s">
        <v>348</v>
      </c>
      <c r="CX923" t="str">
        <f t="shared" si="195"/>
        <v>loc</v>
      </c>
      <c r="CY923" t="s">
        <v>349</v>
      </c>
      <c r="CZ923">
        <v>2014</v>
      </c>
      <c r="DA923">
        <v>2034</v>
      </c>
      <c r="DB923">
        <v>20</v>
      </c>
      <c r="DC923" t="str">
        <f t="shared" si="196"/>
        <v>1-30</v>
      </c>
      <c r="DD923">
        <v>0</v>
      </c>
      <c r="DE923">
        <v>0</v>
      </c>
      <c r="DF923">
        <v>0</v>
      </c>
      <c r="DG923">
        <v>1</v>
      </c>
      <c r="DI923">
        <f t="shared" si="180"/>
        <v>1</v>
      </c>
      <c r="DJ923" t="str">
        <f t="shared" si="155"/>
        <v>TimberInput</v>
      </c>
      <c r="DK923">
        <f t="shared" si="172"/>
        <v>0</v>
      </c>
      <c r="DL923">
        <f t="shared" si="173"/>
        <v>0</v>
      </c>
      <c r="DM923">
        <f t="shared" si="174"/>
        <v>0</v>
      </c>
      <c r="DN923" t="str">
        <f t="shared" si="175"/>
        <v>Timber</v>
      </c>
      <c r="DO923">
        <v>0</v>
      </c>
      <c r="DP923">
        <v>0</v>
      </c>
      <c r="DQ923">
        <v>0</v>
      </c>
      <c r="DR923">
        <v>0</v>
      </c>
      <c r="DS923">
        <v>0</v>
      </c>
      <c r="DT923">
        <f t="shared" si="160"/>
        <v>0</v>
      </c>
      <c r="DU923" s="143" t="str">
        <f t="shared" ref="DU923:DU986" si="198">IF(DO923=1,"self-calculated DF",IF(DP923=1,"external DF used","explicit C balance"))</f>
        <v>explicit C balance</v>
      </c>
      <c r="DV923">
        <v>0</v>
      </c>
      <c r="DW923">
        <v>0</v>
      </c>
      <c r="DX923">
        <v>0</v>
      </c>
      <c r="DY923">
        <v>1</v>
      </c>
      <c r="DZ923">
        <v>0</v>
      </c>
      <c r="EA923" s="143">
        <v>1</v>
      </c>
      <c r="EB923">
        <v>0</v>
      </c>
      <c r="EC923">
        <v>1</v>
      </c>
      <c r="ED923">
        <v>1</v>
      </c>
      <c r="EE923">
        <v>1</v>
      </c>
      <c r="EF923">
        <v>0</v>
      </c>
      <c r="EG923">
        <v>0</v>
      </c>
      <c r="EH923">
        <v>0</v>
      </c>
      <c r="EI923" s="2">
        <v>0</v>
      </c>
      <c r="EK923" t="str">
        <f t="shared" si="176"/>
        <v/>
      </c>
      <c r="EL923" t="str">
        <f t="shared" si="177"/>
        <v/>
      </c>
      <c r="EM923" s="2" t="str">
        <f t="shared" si="197"/>
        <v>Technology approach</v>
      </c>
      <c r="EP923" t="str">
        <f>IF(ISNUMBER(BU923),IF(ABS(BU923-[2]QC_indicators!$B$2)&gt;3*[2]QC_indicators!$C$2,"C ratio",IF(ISNUMBER(BY923),IF(ABS(BY923-[2]QC_indicators!$B$1)&gt;3*[2]QC_indicators!$C$1,"DF","no"))),IF(ISNUMBER(BY923),IF(ABS(BY923-[2]QC_indicators!$B$1)&gt;3*[2]QC_indicators!$C$1,"DF","no")))</f>
        <v>no</v>
      </c>
      <c r="ER923" s="149" t="s">
        <v>350</v>
      </c>
      <c r="ET923" s="266" t="s">
        <v>3275</v>
      </c>
    </row>
    <row r="924" spans="1:150" ht="15" hidden="1" customHeight="1">
      <c r="A924" s="1" t="s">
        <v>334</v>
      </c>
      <c r="B924" t="s">
        <v>335</v>
      </c>
      <c r="C924" t="s">
        <v>336</v>
      </c>
      <c r="D924" t="s">
        <v>337</v>
      </c>
      <c r="E924" t="s">
        <v>338</v>
      </c>
      <c r="F924" t="s">
        <v>339</v>
      </c>
      <c r="G924" t="s">
        <v>340</v>
      </c>
      <c r="I924">
        <v>2017</v>
      </c>
      <c r="K924" t="s">
        <v>341</v>
      </c>
      <c r="M924" t="str">
        <f t="shared" si="153"/>
        <v>Balasbaneh_2017</v>
      </c>
      <c r="N924" t="s">
        <v>223</v>
      </c>
      <c r="O924" s="140" t="s">
        <v>342</v>
      </c>
      <c r="Q924" t="s">
        <v>225</v>
      </c>
      <c r="R924" s="264" t="s">
        <v>224</v>
      </c>
      <c r="S924" s="1" t="s">
        <v>363</v>
      </c>
      <c r="T924" t="s">
        <v>362</v>
      </c>
      <c r="U924" t="s">
        <v>345</v>
      </c>
      <c r="V924">
        <v>0</v>
      </c>
      <c r="W924">
        <v>0</v>
      </c>
      <c r="X924">
        <v>0</v>
      </c>
      <c r="Y924">
        <v>0</v>
      </c>
      <c r="Z924">
        <v>0</v>
      </c>
      <c r="AA924">
        <v>0</v>
      </c>
      <c r="AB924">
        <v>0</v>
      </c>
      <c r="AC924">
        <v>0</v>
      </c>
      <c r="AD924">
        <v>0</v>
      </c>
      <c r="AE924">
        <v>0</v>
      </c>
      <c r="AF924">
        <v>0</v>
      </c>
      <c r="AG924">
        <v>0</v>
      </c>
      <c r="AH924">
        <v>0</v>
      </c>
      <c r="AI924">
        <v>0</v>
      </c>
      <c r="AJ924">
        <v>0</v>
      </c>
      <c r="AK924">
        <v>1</v>
      </c>
      <c r="AL924">
        <v>0</v>
      </c>
      <c r="AM924">
        <v>0</v>
      </c>
      <c r="AN924">
        <v>0</v>
      </c>
      <c r="AO924">
        <v>0</v>
      </c>
      <c r="AP924">
        <v>0</v>
      </c>
      <c r="AQ924">
        <v>0</v>
      </c>
      <c r="AR924">
        <v>0</v>
      </c>
      <c r="AS924">
        <v>0</v>
      </c>
      <c r="AT924">
        <v>0</v>
      </c>
      <c r="AU924">
        <v>0</v>
      </c>
      <c r="AV924">
        <v>0</v>
      </c>
      <c r="AW924">
        <v>0</v>
      </c>
      <c r="AX924" s="141">
        <f t="shared" si="167"/>
        <v>1</v>
      </c>
      <c r="AY924" s="141">
        <f t="shared" si="188"/>
        <v>1</v>
      </c>
      <c r="AZ924">
        <f t="shared" si="189"/>
        <v>0</v>
      </c>
      <c r="BA924">
        <f t="shared" si="190"/>
        <v>0</v>
      </c>
      <c r="BB924">
        <f t="shared" si="191"/>
        <v>1</v>
      </c>
      <c r="BC924">
        <f t="shared" si="192"/>
        <v>0</v>
      </c>
      <c r="BD924">
        <f t="shared" si="193"/>
        <v>0</v>
      </c>
      <c r="BE924" t="str">
        <f t="array" ref="BE924">IF(AY924=1,INDEX($V$7:$AL$7,MATCH(TRUE,INDEX($V924:$AW924&lt;&gt;0,),0)),IF(AY924=0,INDEX($AM$7:$AW$7,MATCH(1,$AM924:$AW924,0)),IF(BF924="Multiple strategies","mixed drivers",IF(BF924="Supply chain","multiple supply","multiple silviculture"))))</f>
        <v>technologies/design switch</v>
      </c>
      <c r="BF924" s="2" t="str" cm="1">
        <f t="array" ref="BF924">IF(COUNTIF(AZ924:BB924,"&lt;&gt;0")=1,INDEX($V$4:$AW$4,MATCH(TRUE,INDEX($V924:$AW924&lt;&gt;0,),0)),IF(COUNTIF(AZ924:BB924,"&lt;&gt;0")=0,INDEX($AM$4:$AW$4,MATCH(1,$AM924:$AW924,0)),"Multiple strategies"))</f>
        <v>Technology</v>
      </c>
      <c r="BG924" s="1" t="s">
        <v>230</v>
      </c>
      <c r="BH924" t="s">
        <v>230</v>
      </c>
      <c r="BI924" s="266" t="s">
        <v>411</v>
      </c>
      <c r="BJ924" t="s">
        <v>346</v>
      </c>
      <c r="BK924">
        <v>0</v>
      </c>
      <c r="BL924">
        <v>23500</v>
      </c>
      <c r="BM924" s="143"/>
      <c r="BN924">
        <f t="shared" si="171"/>
        <v>23500</v>
      </c>
      <c r="BO924" s="143">
        <f t="shared" si="184"/>
        <v>47.95918367346939</v>
      </c>
      <c r="BP924" t="s">
        <v>233</v>
      </c>
      <c r="BQ924" s="303" t="s">
        <v>397</v>
      </c>
      <c r="BR924" t="s">
        <v>347</v>
      </c>
      <c r="BS924">
        <v>-23000</v>
      </c>
      <c r="BT924">
        <v>-5870</v>
      </c>
      <c r="BU924" s="144">
        <v>0.25521739130434784</v>
      </c>
      <c r="BV924">
        <f t="shared" si="183"/>
        <v>17130</v>
      </c>
      <c r="BX924">
        <f t="shared" si="185"/>
        <v>17.13</v>
      </c>
      <c r="BY924">
        <f t="shared" si="194"/>
        <v>0.35717872340425527</v>
      </c>
      <c r="BZ924">
        <v>0</v>
      </c>
      <c r="CA924">
        <v>0</v>
      </c>
      <c r="CB924">
        <v>0</v>
      </c>
      <c r="CC924">
        <v>0</v>
      </c>
      <c r="CD924">
        <v>0</v>
      </c>
      <c r="CE924">
        <v>0</v>
      </c>
      <c r="CF924">
        <v>0</v>
      </c>
      <c r="CG924">
        <v>0</v>
      </c>
      <c r="CH924">
        <v>0</v>
      </c>
      <c r="CI924">
        <v>0</v>
      </c>
      <c r="CJ924">
        <v>0</v>
      </c>
      <c r="CK924">
        <v>0</v>
      </c>
      <c r="CL924">
        <v>0</v>
      </c>
      <c r="CM924">
        <v>0</v>
      </c>
      <c r="CN924" t="str">
        <f t="shared" si="179"/>
        <v>refOK</v>
      </c>
      <c r="CO924">
        <f t="shared" si="186"/>
        <v>0</v>
      </c>
      <c r="CP924">
        <f t="shared" si="187"/>
        <v>23500</v>
      </c>
      <c r="CQ924">
        <f t="shared" si="170"/>
        <v>47.95918367346939</v>
      </c>
      <c r="CR924">
        <f t="shared" si="158"/>
        <v>-23000</v>
      </c>
      <c r="CS924">
        <f t="shared" si="182"/>
        <v>-5870</v>
      </c>
      <c r="CT924">
        <f t="shared" si="168"/>
        <v>17.13</v>
      </c>
      <c r="CU924">
        <f t="shared" si="156"/>
        <v>0.35717872340425527</v>
      </c>
      <c r="CV924" s="2">
        <f t="shared" si="169"/>
        <v>0.74478260869565216</v>
      </c>
      <c r="CW924" s="1" t="s">
        <v>348</v>
      </c>
      <c r="CX924" t="str">
        <f t="shared" si="195"/>
        <v>loc</v>
      </c>
      <c r="CY924" t="s">
        <v>349</v>
      </c>
      <c r="CZ924">
        <v>2014</v>
      </c>
      <c r="DA924">
        <v>2034</v>
      </c>
      <c r="DB924">
        <v>20</v>
      </c>
      <c r="DC924" t="str">
        <f t="shared" si="196"/>
        <v>1-30</v>
      </c>
      <c r="DD924">
        <v>0</v>
      </c>
      <c r="DE924">
        <v>0</v>
      </c>
      <c r="DF924">
        <v>0</v>
      </c>
      <c r="DG924">
        <v>1</v>
      </c>
      <c r="DI924">
        <f t="shared" si="180"/>
        <v>1</v>
      </c>
      <c r="DJ924" t="str">
        <f t="shared" si="155"/>
        <v>TimberInput</v>
      </c>
      <c r="DK924">
        <f t="shared" si="172"/>
        <v>0</v>
      </c>
      <c r="DL924">
        <f t="shared" si="173"/>
        <v>0</v>
      </c>
      <c r="DM924">
        <f t="shared" si="174"/>
        <v>0</v>
      </c>
      <c r="DN924" t="str">
        <f t="shared" si="175"/>
        <v>Timber</v>
      </c>
      <c r="DO924">
        <v>0</v>
      </c>
      <c r="DP924">
        <v>0</v>
      </c>
      <c r="DQ924">
        <v>0</v>
      </c>
      <c r="DR924">
        <v>0</v>
      </c>
      <c r="DS924">
        <v>0</v>
      </c>
      <c r="DT924">
        <f t="shared" si="160"/>
        <v>0</v>
      </c>
      <c r="DU924" s="143" t="str">
        <f t="shared" si="198"/>
        <v>explicit C balance</v>
      </c>
      <c r="DV924">
        <v>0</v>
      </c>
      <c r="DW924">
        <v>0</v>
      </c>
      <c r="DX924">
        <v>0</v>
      </c>
      <c r="DY924">
        <v>1</v>
      </c>
      <c r="DZ924">
        <v>0</v>
      </c>
      <c r="EA924" s="143">
        <v>1</v>
      </c>
      <c r="EB924">
        <v>0</v>
      </c>
      <c r="EC924">
        <v>1</v>
      </c>
      <c r="ED924">
        <v>1</v>
      </c>
      <c r="EE924">
        <v>1</v>
      </c>
      <c r="EF924">
        <v>0</v>
      </c>
      <c r="EG924">
        <v>0</v>
      </c>
      <c r="EH924">
        <v>0</v>
      </c>
      <c r="EI924" s="2">
        <v>0</v>
      </c>
      <c r="EK924" t="str">
        <f t="shared" si="176"/>
        <v/>
      </c>
      <c r="EL924" t="str">
        <f t="shared" si="177"/>
        <v/>
      </c>
      <c r="EM924" s="2" t="str">
        <f t="shared" si="197"/>
        <v>Technology approach</v>
      </c>
      <c r="EP924" t="str">
        <f>IF(ISNUMBER(BU924),IF(ABS(BU924-[2]QC_indicators!$B$2)&gt;3*[2]QC_indicators!$C$2,"C ratio",IF(ISNUMBER(BY924),IF(ABS(BY924-[2]QC_indicators!$B$1)&gt;3*[2]QC_indicators!$C$1,"DF","no"))),IF(ISNUMBER(BY924),IF(ABS(BY924-[2]QC_indicators!$B$1)&gt;3*[2]QC_indicators!$C$1,"DF","no")))</f>
        <v>no</v>
      </c>
      <c r="ER924" s="149" t="s">
        <v>350</v>
      </c>
      <c r="ET924" s="266" t="s">
        <v>3275</v>
      </c>
    </row>
    <row r="925" spans="1:150" ht="15" hidden="1" customHeight="1">
      <c r="A925" s="1" t="s">
        <v>334</v>
      </c>
      <c r="B925" t="s">
        <v>335</v>
      </c>
      <c r="C925" t="s">
        <v>336</v>
      </c>
      <c r="D925" t="s">
        <v>337</v>
      </c>
      <c r="E925" t="s">
        <v>338</v>
      </c>
      <c r="F925" t="s">
        <v>339</v>
      </c>
      <c r="G925" t="s">
        <v>340</v>
      </c>
      <c r="I925">
        <v>2017</v>
      </c>
      <c r="K925" t="s">
        <v>341</v>
      </c>
      <c r="M925" t="str">
        <f t="shared" si="153"/>
        <v>Balasbaneh_2017</v>
      </c>
      <c r="N925" t="s">
        <v>223</v>
      </c>
      <c r="O925" s="140" t="s">
        <v>342</v>
      </c>
      <c r="Q925" t="s">
        <v>225</v>
      </c>
      <c r="R925" s="264" t="s">
        <v>224</v>
      </c>
      <c r="S925" s="1" t="s">
        <v>353</v>
      </c>
      <c r="T925" t="s">
        <v>344</v>
      </c>
      <c r="U925" t="s">
        <v>345</v>
      </c>
      <c r="V925">
        <v>0</v>
      </c>
      <c r="W925">
        <v>0</v>
      </c>
      <c r="X925">
        <v>0</v>
      </c>
      <c r="Y925">
        <v>0</v>
      </c>
      <c r="Z925">
        <v>0</v>
      </c>
      <c r="AA925">
        <v>0</v>
      </c>
      <c r="AB925">
        <v>0</v>
      </c>
      <c r="AC925">
        <v>0</v>
      </c>
      <c r="AD925">
        <v>0</v>
      </c>
      <c r="AE925">
        <v>0</v>
      </c>
      <c r="AF925">
        <v>0</v>
      </c>
      <c r="AG925">
        <v>0</v>
      </c>
      <c r="AH925">
        <v>0</v>
      </c>
      <c r="AI925">
        <v>0</v>
      </c>
      <c r="AJ925">
        <v>0</v>
      </c>
      <c r="AK925">
        <v>1</v>
      </c>
      <c r="AL925">
        <v>0</v>
      </c>
      <c r="AM925">
        <v>0</v>
      </c>
      <c r="AN925">
        <v>0</v>
      </c>
      <c r="AO925">
        <v>0</v>
      </c>
      <c r="AP925">
        <v>0</v>
      </c>
      <c r="AQ925">
        <v>0</v>
      </c>
      <c r="AR925">
        <v>0</v>
      </c>
      <c r="AS925">
        <v>0</v>
      </c>
      <c r="AT925">
        <v>0</v>
      </c>
      <c r="AU925">
        <v>0</v>
      </c>
      <c r="AV925">
        <v>0</v>
      </c>
      <c r="AW925">
        <v>0</v>
      </c>
      <c r="AX925" s="141">
        <f t="shared" si="167"/>
        <v>1</v>
      </c>
      <c r="AY925" s="141">
        <f t="shared" si="188"/>
        <v>1</v>
      </c>
      <c r="AZ925">
        <f t="shared" si="189"/>
        <v>0</v>
      </c>
      <c r="BA925">
        <f t="shared" si="190"/>
        <v>0</v>
      </c>
      <c r="BB925">
        <f t="shared" si="191"/>
        <v>1</v>
      </c>
      <c r="BC925">
        <f t="shared" si="192"/>
        <v>0</v>
      </c>
      <c r="BD925">
        <f t="shared" si="193"/>
        <v>0</v>
      </c>
      <c r="BE925" t="str">
        <f t="array" ref="BE925">IF(AY925=1,INDEX($V$7:$AL$7,MATCH(TRUE,INDEX($V925:$AW925&lt;&gt;0,),0)),IF(AY925=0,INDEX($AM$7:$AW$7,MATCH(1,$AM925:$AW925,0)),IF(BF925="Multiple strategies","mixed drivers",IF(BF925="Supply chain","multiple supply","multiple silviculture"))))</f>
        <v>technologies/design switch</v>
      </c>
      <c r="BF925" s="2" t="str" cm="1">
        <f t="array" ref="BF925">IF(COUNTIF(AZ925:BB925,"&lt;&gt;0")=1,INDEX($V$4:$AW$4,MATCH(TRUE,INDEX($V925:$AW925&lt;&gt;0,),0)),IF(COUNTIF(AZ925:BB925,"&lt;&gt;0")=0,INDEX($AM$4:$AW$4,MATCH(1,$AM925:$AW925,0)),"Multiple strategies"))</f>
        <v>Technology</v>
      </c>
      <c r="BG925" s="1" t="s">
        <v>230</v>
      </c>
      <c r="BH925" t="s">
        <v>230</v>
      </c>
      <c r="BI925" s="266" t="s">
        <v>411</v>
      </c>
      <c r="BJ925" t="s">
        <v>346</v>
      </c>
      <c r="BK925">
        <v>0</v>
      </c>
      <c r="BL925">
        <v>23500</v>
      </c>
      <c r="BM925" s="143"/>
      <c r="BN925">
        <f t="shared" si="171"/>
        <v>23500</v>
      </c>
      <c r="BO925" s="143">
        <f t="shared" si="184"/>
        <v>47.95918367346939</v>
      </c>
      <c r="BP925" t="s">
        <v>233</v>
      </c>
      <c r="BQ925" s="303" t="s">
        <v>397</v>
      </c>
      <c r="BR925" t="s">
        <v>347</v>
      </c>
      <c r="BS925">
        <v>-12100</v>
      </c>
      <c r="BT925">
        <v>-6250</v>
      </c>
      <c r="BU925" s="144">
        <v>0.51652892561983466</v>
      </c>
      <c r="BV925">
        <f t="shared" si="183"/>
        <v>5850</v>
      </c>
      <c r="BX925">
        <f t="shared" si="185"/>
        <v>5.85</v>
      </c>
      <c r="BY925">
        <f t="shared" si="194"/>
        <v>0.12197872340425531</v>
      </c>
      <c r="BZ925">
        <v>0</v>
      </c>
      <c r="CA925">
        <v>0</v>
      </c>
      <c r="CB925">
        <v>0</v>
      </c>
      <c r="CC925">
        <v>0</v>
      </c>
      <c r="CD925">
        <v>0</v>
      </c>
      <c r="CE925">
        <v>0</v>
      </c>
      <c r="CF925">
        <v>0</v>
      </c>
      <c r="CG925">
        <v>0</v>
      </c>
      <c r="CH925">
        <v>0</v>
      </c>
      <c r="CI925">
        <v>0</v>
      </c>
      <c r="CJ925">
        <v>0</v>
      </c>
      <c r="CK925">
        <v>0</v>
      </c>
      <c r="CL925">
        <v>0</v>
      </c>
      <c r="CM925">
        <v>0</v>
      </c>
      <c r="CN925" t="str">
        <f t="shared" si="179"/>
        <v>refOK</v>
      </c>
      <c r="CO925">
        <f t="shared" si="186"/>
        <v>0</v>
      </c>
      <c r="CP925">
        <f t="shared" si="187"/>
        <v>23500</v>
      </c>
      <c r="CQ925">
        <f t="shared" si="170"/>
        <v>47.95918367346939</v>
      </c>
      <c r="CR925">
        <f t="shared" si="158"/>
        <v>-12100</v>
      </c>
      <c r="CS925">
        <f t="shared" si="182"/>
        <v>-6250</v>
      </c>
      <c r="CT925">
        <f t="shared" si="168"/>
        <v>5.85</v>
      </c>
      <c r="CU925">
        <f t="shared" si="156"/>
        <v>0.12197872340425531</v>
      </c>
      <c r="CV925" s="2">
        <f t="shared" si="169"/>
        <v>0.48347107438016529</v>
      </c>
      <c r="CW925" s="1" t="s">
        <v>348</v>
      </c>
      <c r="CX925" t="str">
        <f t="shared" si="195"/>
        <v>loc</v>
      </c>
      <c r="CY925" t="s">
        <v>349</v>
      </c>
      <c r="CZ925">
        <v>2014</v>
      </c>
      <c r="DA925">
        <v>2034</v>
      </c>
      <c r="DB925">
        <v>20</v>
      </c>
      <c r="DC925" t="str">
        <f t="shared" si="196"/>
        <v>1-30</v>
      </c>
      <c r="DD925">
        <v>0</v>
      </c>
      <c r="DE925">
        <v>0</v>
      </c>
      <c r="DF925">
        <v>0</v>
      </c>
      <c r="DG925">
        <v>1</v>
      </c>
      <c r="DI925">
        <f t="shared" si="180"/>
        <v>1</v>
      </c>
      <c r="DJ925" t="str">
        <f t="shared" si="155"/>
        <v>TimberInput</v>
      </c>
      <c r="DK925">
        <f t="shared" si="172"/>
        <v>0</v>
      </c>
      <c r="DL925">
        <f t="shared" si="173"/>
        <v>0</v>
      </c>
      <c r="DM925">
        <f t="shared" si="174"/>
        <v>0</v>
      </c>
      <c r="DN925" t="str">
        <f t="shared" si="175"/>
        <v>Timber</v>
      </c>
      <c r="DO925">
        <v>0</v>
      </c>
      <c r="DP925">
        <v>0</v>
      </c>
      <c r="DQ925">
        <v>0</v>
      </c>
      <c r="DR925">
        <v>0</v>
      </c>
      <c r="DS925">
        <v>0</v>
      </c>
      <c r="DT925">
        <f t="shared" si="160"/>
        <v>0</v>
      </c>
      <c r="DU925" s="143" t="str">
        <f t="shared" si="198"/>
        <v>explicit C balance</v>
      </c>
      <c r="DV925">
        <v>0</v>
      </c>
      <c r="DW925">
        <v>0</v>
      </c>
      <c r="DX925">
        <v>0</v>
      </c>
      <c r="DY925">
        <v>1</v>
      </c>
      <c r="DZ925">
        <v>0</v>
      </c>
      <c r="EA925" s="143">
        <v>1</v>
      </c>
      <c r="EB925">
        <v>0</v>
      </c>
      <c r="EC925">
        <v>1</v>
      </c>
      <c r="ED925">
        <v>1</v>
      </c>
      <c r="EE925">
        <v>1</v>
      </c>
      <c r="EF925">
        <v>0</v>
      </c>
      <c r="EG925">
        <v>0</v>
      </c>
      <c r="EH925">
        <v>0</v>
      </c>
      <c r="EI925" s="2">
        <v>0</v>
      </c>
      <c r="EK925" t="str">
        <f t="shared" si="176"/>
        <v/>
      </c>
      <c r="EL925" t="str">
        <f t="shared" si="177"/>
        <v/>
      </c>
      <c r="EM925" s="2" t="str">
        <f t="shared" si="197"/>
        <v>Technology approach</v>
      </c>
      <c r="EP925" t="str">
        <f>IF(ISNUMBER(BU925),IF(ABS(BU925-[2]QC_indicators!$B$2)&gt;3*[2]QC_indicators!$C$2,"C ratio",IF(ISNUMBER(BY925),IF(ABS(BY925-[2]QC_indicators!$B$1)&gt;3*[2]QC_indicators!$C$1,"DF","no"))),IF(ISNUMBER(BY925),IF(ABS(BY925-[2]QC_indicators!$B$1)&gt;3*[2]QC_indicators!$C$1,"DF","no")))</f>
        <v>no</v>
      </c>
      <c r="ER925" s="149" t="s">
        <v>350</v>
      </c>
      <c r="ET925" s="266" t="s">
        <v>3275</v>
      </c>
    </row>
    <row r="926" spans="1:150" ht="15" hidden="1" customHeight="1">
      <c r="A926" s="1" t="s">
        <v>334</v>
      </c>
      <c r="B926" t="s">
        <v>335</v>
      </c>
      <c r="C926" t="s">
        <v>336</v>
      </c>
      <c r="D926" t="s">
        <v>337</v>
      </c>
      <c r="E926" t="s">
        <v>338</v>
      </c>
      <c r="F926" t="s">
        <v>339</v>
      </c>
      <c r="G926" t="s">
        <v>340</v>
      </c>
      <c r="I926">
        <v>2017</v>
      </c>
      <c r="K926" t="s">
        <v>341</v>
      </c>
      <c r="M926" t="str">
        <f t="shared" si="153"/>
        <v>Balasbaneh_2017</v>
      </c>
      <c r="N926" t="s">
        <v>223</v>
      </c>
      <c r="O926" s="140" t="s">
        <v>342</v>
      </c>
      <c r="Q926" t="s">
        <v>225</v>
      </c>
      <c r="R926" s="264" t="s">
        <v>224</v>
      </c>
      <c r="S926" s="1" t="s">
        <v>354</v>
      </c>
      <c r="T926" t="s">
        <v>344</v>
      </c>
      <c r="U926" t="s">
        <v>345</v>
      </c>
      <c r="V926">
        <v>0</v>
      </c>
      <c r="W926">
        <v>0</v>
      </c>
      <c r="X926">
        <v>0</v>
      </c>
      <c r="Y926">
        <v>0</v>
      </c>
      <c r="Z926">
        <v>0</v>
      </c>
      <c r="AA926">
        <v>0</v>
      </c>
      <c r="AB926">
        <v>0</v>
      </c>
      <c r="AC926">
        <v>0</v>
      </c>
      <c r="AD926">
        <v>0</v>
      </c>
      <c r="AE926">
        <v>0</v>
      </c>
      <c r="AF926">
        <v>0</v>
      </c>
      <c r="AG926">
        <v>0</v>
      </c>
      <c r="AH926">
        <v>0</v>
      </c>
      <c r="AI926">
        <v>0</v>
      </c>
      <c r="AJ926">
        <v>0</v>
      </c>
      <c r="AK926">
        <v>1</v>
      </c>
      <c r="AL926">
        <v>0</v>
      </c>
      <c r="AM926">
        <v>0</v>
      </c>
      <c r="AN926">
        <v>0</v>
      </c>
      <c r="AO926">
        <v>0</v>
      </c>
      <c r="AP926">
        <v>0</v>
      </c>
      <c r="AQ926">
        <v>0</v>
      </c>
      <c r="AR926">
        <v>0</v>
      </c>
      <c r="AS926">
        <v>0</v>
      </c>
      <c r="AT926">
        <v>0</v>
      </c>
      <c r="AU926">
        <v>0</v>
      </c>
      <c r="AV926">
        <v>0</v>
      </c>
      <c r="AW926">
        <v>0</v>
      </c>
      <c r="AX926" s="141">
        <f t="shared" si="167"/>
        <v>1</v>
      </c>
      <c r="AY926" s="141">
        <f t="shared" si="188"/>
        <v>1</v>
      </c>
      <c r="AZ926">
        <f t="shared" si="189"/>
        <v>0</v>
      </c>
      <c r="BA926">
        <f t="shared" si="190"/>
        <v>0</v>
      </c>
      <c r="BB926">
        <f t="shared" si="191"/>
        <v>1</v>
      </c>
      <c r="BC926">
        <f t="shared" si="192"/>
        <v>0</v>
      </c>
      <c r="BD926">
        <f t="shared" si="193"/>
        <v>0</v>
      </c>
      <c r="BE926" t="str">
        <f t="array" ref="BE926">IF(AY926=1,INDEX($V$7:$AL$7,MATCH(TRUE,INDEX($V926:$AW926&lt;&gt;0,),0)),IF(AY926=0,INDEX($AM$7:$AW$7,MATCH(1,$AM926:$AW926,0)),IF(BF926="Multiple strategies","mixed drivers",IF(BF926="Supply chain","multiple supply","multiple silviculture"))))</f>
        <v>technologies/design switch</v>
      </c>
      <c r="BF926" s="2" t="str" cm="1">
        <f t="array" ref="BF926">IF(COUNTIF(AZ926:BB926,"&lt;&gt;0")=1,INDEX($V$4:$AW$4,MATCH(TRUE,INDEX($V926:$AW926&lt;&gt;0,),0)),IF(COUNTIF(AZ926:BB926,"&lt;&gt;0")=0,INDEX($AM$4:$AW$4,MATCH(1,$AM926:$AW926,0)),"Multiple strategies"))</f>
        <v>Technology</v>
      </c>
      <c r="BG926" s="1" t="s">
        <v>230</v>
      </c>
      <c r="BH926" t="s">
        <v>230</v>
      </c>
      <c r="BI926" s="266" t="s">
        <v>411</v>
      </c>
      <c r="BJ926" t="s">
        <v>346</v>
      </c>
      <c r="BK926">
        <v>0</v>
      </c>
      <c r="BL926">
        <v>23500</v>
      </c>
      <c r="BM926" s="143"/>
      <c r="BN926">
        <f t="shared" si="171"/>
        <v>23500</v>
      </c>
      <c r="BO926" s="143">
        <f t="shared" si="184"/>
        <v>47.95918367346939</v>
      </c>
      <c r="BP926" t="s">
        <v>233</v>
      </c>
      <c r="BQ926" s="303" t="s">
        <v>397</v>
      </c>
      <c r="BR926" t="s">
        <v>347</v>
      </c>
      <c r="BS926">
        <v>-11900</v>
      </c>
      <c r="BT926">
        <v>-6020</v>
      </c>
      <c r="BU926" s="144">
        <v>0.50588235294117645</v>
      </c>
      <c r="BV926">
        <f t="shared" si="183"/>
        <v>5880</v>
      </c>
      <c r="BX926">
        <f t="shared" si="185"/>
        <v>5.88</v>
      </c>
      <c r="BY926">
        <f t="shared" si="194"/>
        <v>0.12260425531914892</v>
      </c>
      <c r="BZ926">
        <v>0</v>
      </c>
      <c r="CA926">
        <v>0</v>
      </c>
      <c r="CB926">
        <v>0</v>
      </c>
      <c r="CC926">
        <v>0</v>
      </c>
      <c r="CD926">
        <v>0</v>
      </c>
      <c r="CE926">
        <v>0</v>
      </c>
      <c r="CF926">
        <v>0</v>
      </c>
      <c r="CG926">
        <v>0</v>
      </c>
      <c r="CH926">
        <v>0</v>
      </c>
      <c r="CI926">
        <v>0</v>
      </c>
      <c r="CJ926">
        <v>0</v>
      </c>
      <c r="CK926">
        <v>0</v>
      </c>
      <c r="CL926">
        <v>0</v>
      </c>
      <c r="CM926">
        <v>0</v>
      </c>
      <c r="CN926" t="str">
        <f t="shared" si="179"/>
        <v>refOK</v>
      </c>
      <c r="CO926">
        <f t="shared" si="186"/>
        <v>0</v>
      </c>
      <c r="CP926">
        <f t="shared" si="187"/>
        <v>23500</v>
      </c>
      <c r="CQ926">
        <f t="shared" si="170"/>
        <v>47.95918367346939</v>
      </c>
      <c r="CR926">
        <f t="shared" si="158"/>
        <v>-11900</v>
      </c>
      <c r="CS926">
        <f t="shared" si="182"/>
        <v>-6020</v>
      </c>
      <c r="CT926">
        <f t="shared" si="168"/>
        <v>5.88</v>
      </c>
      <c r="CU926">
        <f t="shared" si="156"/>
        <v>0.12260425531914892</v>
      </c>
      <c r="CV926" s="2">
        <f t="shared" si="169"/>
        <v>0.49411764705882355</v>
      </c>
      <c r="CW926" s="1" t="s">
        <v>348</v>
      </c>
      <c r="CX926" t="str">
        <f t="shared" si="195"/>
        <v>loc</v>
      </c>
      <c r="CY926" t="s">
        <v>349</v>
      </c>
      <c r="CZ926">
        <v>2014</v>
      </c>
      <c r="DA926">
        <v>2034</v>
      </c>
      <c r="DB926">
        <v>20</v>
      </c>
      <c r="DC926" t="str">
        <f t="shared" si="196"/>
        <v>1-30</v>
      </c>
      <c r="DD926">
        <v>0</v>
      </c>
      <c r="DE926">
        <v>0</v>
      </c>
      <c r="DF926">
        <v>0</v>
      </c>
      <c r="DG926">
        <v>1</v>
      </c>
      <c r="DI926">
        <f t="shared" si="180"/>
        <v>1</v>
      </c>
      <c r="DJ926" t="str">
        <f t="shared" si="155"/>
        <v>TimberInput</v>
      </c>
      <c r="DK926">
        <f t="shared" si="172"/>
        <v>0</v>
      </c>
      <c r="DL926">
        <f t="shared" si="173"/>
        <v>0</v>
      </c>
      <c r="DM926">
        <f t="shared" si="174"/>
        <v>0</v>
      </c>
      <c r="DN926" t="str">
        <f t="shared" si="175"/>
        <v>Timber</v>
      </c>
      <c r="DO926">
        <v>0</v>
      </c>
      <c r="DP926">
        <v>0</v>
      </c>
      <c r="DQ926">
        <v>0</v>
      </c>
      <c r="DR926">
        <v>0</v>
      </c>
      <c r="DS926">
        <v>0</v>
      </c>
      <c r="DT926">
        <f t="shared" si="160"/>
        <v>0</v>
      </c>
      <c r="DU926" s="143" t="str">
        <f t="shared" si="198"/>
        <v>explicit C balance</v>
      </c>
      <c r="DV926">
        <v>0</v>
      </c>
      <c r="DW926">
        <v>0</v>
      </c>
      <c r="DX926">
        <v>0</v>
      </c>
      <c r="DY926">
        <v>1</v>
      </c>
      <c r="DZ926">
        <v>0</v>
      </c>
      <c r="EA926" s="143">
        <v>1</v>
      </c>
      <c r="EB926">
        <v>0</v>
      </c>
      <c r="EC926">
        <v>1</v>
      </c>
      <c r="ED926">
        <v>1</v>
      </c>
      <c r="EE926">
        <v>1</v>
      </c>
      <c r="EF926">
        <v>0</v>
      </c>
      <c r="EG926">
        <v>0</v>
      </c>
      <c r="EH926">
        <v>0</v>
      </c>
      <c r="EI926" s="2">
        <v>0</v>
      </c>
      <c r="EK926" t="str">
        <f t="shared" si="176"/>
        <v/>
      </c>
      <c r="EL926" t="str">
        <f t="shared" si="177"/>
        <v/>
      </c>
      <c r="EM926" s="2" t="str">
        <f t="shared" si="197"/>
        <v>Technology approach</v>
      </c>
      <c r="EP926" t="str">
        <f>IF(ISNUMBER(BU926),IF(ABS(BU926-[2]QC_indicators!$B$2)&gt;3*[2]QC_indicators!$C$2,"C ratio",IF(ISNUMBER(BY926),IF(ABS(BY926-[2]QC_indicators!$B$1)&gt;3*[2]QC_indicators!$C$1,"DF","no"))),IF(ISNUMBER(BY926),IF(ABS(BY926-[2]QC_indicators!$B$1)&gt;3*[2]QC_indicators!$C$1,"DF","no")))</f>
        <v>no</v>
      </c>
      <c r="ER926" s="149" t="s">
        <v>350</v>
      </c>
      <c r="ET926" s="266" t="s">
        <v>3275</v>
      </c>
    </row>
    <row r="927" spans="1:150" ht="15" hidden="1" customHeight="1">
      <c r="A927" s="1" t="s">
        <v>334</v>
      </c>
      <c r="B927" t="s">
        <v>335</v>
      </c>
      <c r="C927" t="s">
        <v>336</v>
      </c>
      <c r="D927" t="s">
        <v>337</v>
      </c>
      <c r="E927" t="s">
        <v>338</v>
      </c>
      <c r="F927" t="s">
        <v>339</v>
      </c>
      <c r="G927" t="s">
        <v>340</v>
      </c>
      <c r="I927">
        <v>2017</v>
      </c>
      <c r="K927" t="s">
        <v>341</v>
      </c>
      <c r="M927" t="str">
        <f t="shared" si="153"/>
        <v>Balasbaneh_2017</v>
      </c>
      <c r="N927" t="s">
        <v>223</v>
      </c>
      <c r="O927" s="140" t="s">
        <v>342</v>
      </c>
      <c r="Q927" t="s">
        <v>225</v>
      </c>
      <c r="R927" s="264" t="s">
        <v>224</v>
      </c>
      <c r="S927" s="1" t="s">
        <v>343</v>
      </c>
      <c r="T927" t="s">
        <v>344</v>
      </c>
      <c r="U927" t="s">
        <v>345</v>
      </c>
      <c r="V927">
        <v>0</v>
      </c>
      <c r="W927">
        <v>0</v>
      </c>
      <c r="X927">
        <v>0</v>
      </c>
      <c r="Y927">
        <v>0</v>
      </c>
      <c r="Z927">
        <v>0</v>
      </c>
      <c r="AA927">
        <v>0</v>
      </c>
      <c r="AB927">
        <v>0</v>
      </c>
      <c r="AC927">
        <v>0</v>
      </c>
      <c r="AD927">
        <v>0</v>
      </c>
      <c r="AE927">
        <v>0</v>
      </c>
      <c r="AF927">
        <v>0</v>
      </c>
      <c r="AG927">
        <v>0</v>
      </c>
      <c r="AH927">
        <v>0</v>
      </c>
      <c r="AI927">
        <v>0</v>
      </c>
      <c r="AJ927">
        <v>0</v>
      </c>
      <c r="AK927">
        <v>1</v>
      </c>
      <c r="AL927">
        <v>0</v>
      </c>
      <c r="AM927">
        <v>0</v>
      </c>
      <c r="AN927">
        <v>0</v>
      </c>
      <c r="AO927">
        <v>0</v>
      </c>
      <c r="AP927">
        <v>0</v>
      </c>
      <c r="AQ927">
        <v>0</v>
      </c>
      <c r="AR927">
        <v>0</v>
      </c>
      <c r="AS927">
        <v>0</v>
      </c>
      <c r="AT927">
        <v>0</v>
      </c>
      <c r="AU927">
        <v>0</v>
      </c>
      <c r="AV927">
        <v>0</v>
      </c>
      <c r="AW927">
        <v>0</v>
      </c>
      <c r="AX927" s="141">
        <f t="shared" si="167"/>
        <v>1</v>
      </c>
      <c r="AY927" s="141">
        <f t="shared" si="188"/>
        <v>1</v>
      </c>
      <c r="AZ927">
        <f t="shared" si="189"/>
        <v>0</v>
      </c>
      <c r="BA927">
        <f t="shared" si="190"/>
        <v>0</v>
      </c>
      <c r="BB927">
        <f t="shared" si="191"/>
        <v>1</v>
      </c>
      <c r="BC927">
        <f t="shared" si="192"/>
        <v>0</v>
      </c>
      <c r="BD927">
        <f t="shared" si="193"/>
        <v>0</v>
      </c>
      <c r="BE927" t="str">
        <f t="array" ref="BE927">IF(AY927=1,INDEX($V$7:$AL$7,MATCH(TRUE,INDEX($V927:$AW927&lt;&gt;0,),0)),IF(AY927=0,INDEX($AM$7:$AW$7,MATCH(1,$AM927:$AW927,0)),IF(BF927="Multiple strategies","mixed drivers",IF(BF927="Supply chain","multiple supply","multiple silviculture"))))</f>
        <v>technologies/design switch</v>
      </c>
      <c r="BF927" s="2" t="str" cm="1">
        <f t="array" ref="BF927">IF(COUNTIF(AZ927:BB927,"&lt;&gt;0")=1,INDEX($V$4:$AW$4,MATCH(TRUE,INDEX($V927:$AW927&lt;&gt;0,),0)),IF(COUNTIF(AZ927:BB927,"&lt;&gt;0")=0,INDEX($AM$4:$AW$4,MATCH(1,$AM927:$AW927,0)),"Multiple strategies"))</f>
        <v>Technology</v>
      </c>
      <c r="BG927" s="1" t="s">
        <v>230</v>
      </c>
      <c r="BH927" t="s">
        <v>230</v>
      </c>
      <c r="BI927" s="266" t="s">
        <v>411</v>
      </c>
      <c r="BJ927" t="s">
        <v>346</v>
      </c>
      <c r="BK927">
        <v>0</v>
      </c>
      <c r="BL927">
        <v>23500</v>
      </c>
      <c r="BM927" s="143"/>
      <c r="BN927">
        <f t="shared" si="171"/>
        <v>23500</v>
      </c>
      <c r="BO927" s="143">
        <f t="shared" si="184"/>
        <v>47.95918367346939</v>
      </c>
      <c r="BP927" t="s">
        <v>233</v>
      </c>
      <c r="BQ927" s="303" t="s">
        <v>397</v>
      </c>
      <c r="BR927" t="s">
        <v>347</v>
      </c>
      <c r="BS927">
        <v>-11200</v>
      </c>
      <c r="BT927">
        <v>-5870</v>
      </c>
      <c r="BU927" s="144">
        <v>0.52410714285714288</v>
      </c>
      <c r="BV927">
        <f t="shared" si="183"/>
        <v>5330</v>
      </c>
      <c r="BX927">
        <f t="shared" si="185"/>
        <v>5.33</v>
      </c>
      <c r="BY927">
        <f t="shared" si="194"/>
        <v>0.11113617021276595</v>
      </c>
      <c r="BZ927">
        <v>0</v>
      </c>
      <c r="CA927">
        <v>0</v>
      </c>
      <c r="CB927">
        <v>0</v>
      </c>
      <c r="CC927">
        <v>0</v>
      </c>
      <c r="CD927">
        <v>0</v>
      </c>
      <c r="CE927">
        <v>0</v>
      </c>
      <c r="CF927">
        <v>0</v>
      </c>
      <c r="CG927">
        <v>0</v>
      </c>
      <c r="CH927">
        <v>0</v>
      </c>
      <c r="CI927">
        <v>0</v>
      </c>
      <c r="CJ927">
        <v>0</v>
      </c>
      <c r="CK927">
        <v>0</v>
      </c>
      <c r="CL927">
        <v>0</v>
      </c>
      <c r="CM927">
        <v>0</v>
      </c>
      <c r="CN927" t="str">
        <f t="shared" si="179"/>
        <v>refOK</v>
      </c>
      <c r="CO927">
        <f t="shared" si="186"/>
        <v>0</v>
      </c>
      <c r="CP927">
        <f t="shared" si="187"/>
        <v>23500</v>
      </c>
      <c r="CQ927">
        <f t="shared" si="170"/>
        <v>47.95918367346939</v>
      </c>
      <c r="CR927">
        <f t="shared" si="158"/>
        <v>-11200</v>
      </c>
      <c r="CS927">
        <f t="shared" si="182"/>
        <v>-5870</v>
      </c>
      <c r="CT927">
        <f t="shared" si="168"/>
        <v>5.33</v>
      </c>
      <c r="CU927">
        <f t="shared" si="156"/>
        <v>0.11113617021276595</v>
      </c>
      <c r="CV927" s="2">
        <f t="shared" si="169"/>
        <v>0.47589285714285712</v>
      </c>
      <c r="CW927" s="1" t="s">
        <v>348</v>
      </c>
      <c r="CX927" t="str">
        <f t="shared" si="195"/>
        <v>loc</v>
      </c>
      <c r="CY927" t="s">
        <v>349</v>
      </c>
      <c r="CZ927">
        <v>2014</v>
      </c>
      <c r="DA927">
        <v>2034</v>
      </c>
      <c r="DB927">
        <v>20</v>
      </c>
      <c r="DC927" t="str">
        <f t="shared" si="196"/>
        <v>1-30</v>
      </c>
      <c r="DD927">
        <v>0</v>
      </c>
      <c r="DE927">
        <v>0</v>
      </c>
      <c r="DF927">
        <v>0</v>
      </c>
      <c r="DG927">
        <v>1</v>
      </c>
      <c r="DI927">
        <f t="shared" si="180"/>
        <v>1</v>
      </c>
      <c r="DJ927" t="str">
        <f t="shared" si="155"/>
        <v>TimberInput</v>
      </c>
      <c r="DK927">
        <f t="shared" si="172"/>
        <v>0</v>
      </c>
      <c r="DL927">
        <f t="shared" si="173"/>
        <v>0</v>
      </c>
      <c r="DM927">
        <f t="shared" si="174"/>
        <v>0</v>
      </c>
      <c r="DN927" t="str">
        <f t="shared" si="175"/>
        <v>Timber</v>
      </c>
      <c r="DO927">
        <v>0</v>
      </c>
      <c r="DP927">
        <v>0</v>
      </c>
      <c r="DQ927">
        <v>0</v>
      </c>
      <c r="DR927">
        <v>0</v>
      </c>
      <c r="DS927">
        <v>0</v>
      </c>
      <c r="DT927">
        <f t="shared" si="160"/>
        <v>0</v>
      </c>
      <c r="DU927" s="143" t="str">
        <f t="shared" si="198"/>
        <v>explicit C balance</v>
      </c>
      <c r="DV927">
        <v>0</v>
      </c>
      <c r="DW927">
        <v>0</v>
      </c>
      <c r="DX927">
        <v>0</v>
      </c>
      <c r="DY927">
        <v>1</v>
      </c>
      <c r="DZ927">
        <v>0</v>
      </c>
      <c r="EA927" s="143">
        <v>1</v>
      </c>
      <c r="EB927">
        <v>0</v>
      </c>
      <c r="EC927">
        <v>1</v>
      </c>
      <c r="ED927">
        <v>1</v>
      </c>
      <c r="EE927">
        <v>1</v>
      </c>
      <c r="EF927">
        <v>0</v>
      </c>
      <c r="EG927">
        <v>0</v>
      </c>
      <c r="EH927">
        <v>0</v>
      </c>
      <c r="EI927" s="2">
        <v>0</v>
      </c>
      <c r="EK927" t="str">
        <f t="shared" si="176"/>
        <v/>
      </c>
      <c r="EL927" t="str">
        <f t="shared" si="177"/>
        <v/>
      </c>
      <c r="EM927" s="2" t="str">
        <f t="shared" si="197"/>
        <v>Technology approach</v>
      </c>
      <c r="EP927" t="str">
        <f>IF(ISNUMBER(BU927),IF(ABS(BU927-[2]QC_indicators!$B$2)&gt;3*[2]QC_indicators!$C$2,"C ratio",IF(ISNUMBER(BY927),IF(ABS(BY927-[2]QC_indicators!$B$1)&gt;3*[2]QC_indicators!$C$1,"DF","no"))),IF(ISNUMBER(BY927),IF(ABS(BY927-[2]QC_indicators!$B$1)&gt;3*[2]QC_indicators!$C$1,"DF","no")))</f>
        <v>no</v>
      </c>
      <c r="ER927" s="149" t="s">
        <v>350</v>
      </c>
      <c r="ET927" s="266" t="s">
        <v>3275</v>
      </c>
    </row>
    <row r="928" spans="1:150" ht="15" hidden="1" customHeight="1">
      <c r="A928" s="1" t="s">
        <v>1235</v>
      </c>
      <c r="B928" t="s">
        <v>1236</v>
      </c>
      <c r="C928" t="s">
        <v>1237</v>
      </c>
      <c r="D928" t="s">
        <v>337</v>
      </c>
      <c r="E928" t="s">
        <v>1238</v>
      </c>
      <c r="F928" t="s">
        <v>1239</v>
      </c>
      <c r="G928" t="s">
        <v>1240</v>
      </c>
      <c r="I928">
        <v>2018</v>
      </c>
      <c r="K928" t="s">
        <v>1241</v>
      </c>
      <c r="M928" t="str">
        <f t="shared" si="153"/>
        <v>Balasbaneh_2018</v>
      </c>
      <c r="N928" t="s">
        <v>223</v>
      </c>
      <c r="O928" s="140" t="s">
        <v>514</v>
      </c>
      <c r="Q928" t="s">
        <v>225</v>
      </c>
      <c r="R928" s="264" t="s">
        <v>224</v>
      </c>
      <c r="S928" s="1" t="s">
        <v>1271</v>
      </c>
      <c r="T928" s="266" t="s">
        <v>3112</v>
      </c>
      <c r="U928" s="266" t="s">
        <v>3113</v>
      </c>
      <c r="V928">
        <v>0</v>
      </c>
      <c r="W928">
        <v>0</v>
      </c>
      <c r="X928">
        <v>0</v>
      </c>
      <c r="Y928">
        <v>0</v>
      </c>
      <c r="Z928">
        <v>0</v>
      </c>
      <c r="AA928">
        <v>0</v>
      </c>
      <c r="AB928">
        <v>0</v>
      </c>
      <c r="AC928">
        <v>0</v>
      </c>
      <c r="AD928">
        <v>0</v>
      </c>
      <c r="AE928">
        <v>0</v>
      </c>
      <c r="AF928">
        <v>0</v>
      </c>
      <c r="AG928">
        <v>0</v>
      </c>
      <c r="AH928">
        <v>0</v>
      </c>
      <c r="AI928">
        <v>0</v>
      </c>
      <c r="AJ928">
        <v>0</v>
      </c>
      <c r="AK928">
        <v>1</v>
      </c>
      <c r="AL928">
        <v>0</v>
      </c>
      <c r="AM928">
        <v>0</v>
      </c>
      <c r="AN928">
        <v>0</v>
      </c>
      <c r="AO928">
        <v>0</v>
      </c>
      <c r="AP928">
        <v>0</v>
      </c>
      <c r="AQ928">
        <v>0</v>
      </c>
      <c r="AR928">
        <v>0</v>
      </c>
      <c r="AS928">
        <v>0</v>
      </c>
      <c r="AT928">
        <v>0</v>
      </c>
      <c r="AU928">
        <v>0</v>
      </c>
      <c r="AV928">
        <v>0</v>
      </c>
      <c r="AW928">
        <v>0</v>
      </c>
      <c r="AX928" s="141">
        <f t="shared" si="167"/>
        <v>1</v>
      </c>
      <c r="AY928" s="141">
        <f t="shared" si="188"/>
        <v>1</v>
      </c>
      <c r="AZ928">
        <f t="shared" si="189"/>
        <v>0</v>
      </c>
      <c r="BA928">
        <f t="shared" si="190"/>
        <v>0</v>
      </c>
      <c r="BB928">
        <f t="shared" si="191"/>
        <v>1</v>
      </c>
      <c r="BC928">
        <f t="shared" si="192"/>
        <v>0</v>
      </c>
      <c r="BD928">
        <f t="shared" si="193"/>
        <v>0</v>
      </c>
      <c r="BE928" t="str">
        <f t="array" ref="BE928">IF(AY928=1,INDEX($V$7:$AL$7,MATCH(TRUE,INDEX($V928:$AW928&lt;&gt;0,),0)),IF(AY928=0,INDEX($AM$7:$AW$7,MATCH(1,$AM928:$AW928,0)),IF(BF928="Multiple strategies","mixed drivers",IF(BF928="Supply chain","multiple supply","multiple silviculture"))))</f>
        <v>technologies/design switch</v>
      </c>
      <c r="BF928" s="2" t="str" cm="1">
        <f t="array" ref="BF928">IF(COUNTIF(AZ928:BB928,"&lt;&gt;0")=1,INDEX($V$4:$AW$4,MATCH(TRUE,INDEX($V928:$AW928&lt;&gt;0,),0)),IF(COUNTIF(AZ928:BB928,"&lt;&gt;0")=0,INDEX($AM$4:$AW$4,MATCH(1,$AM928:$AW928,0)),"Multiple strategies"))</f>
        <v>Technology</v>
      </c>
      <c r="BG928" s="1" t="s">
        <v>230</v>
      </c>
      <c r="BH928" t="s">
        <v>230</v>
      </c>
      <c r="BJ928" t="s">
        <v>346</v>
      </c>
      <c r="BK928">
        <v>0</v>
      </c>
      <c r="BL928">
        <v>15468</v>
      </c>
      <c r="BM928" s="143"/>
      <c r="BN928">
        <f t="shared" si="171"/>
        <v>15468</v>
      </c>
      <c r="BO928" s="143">
        <f t="shared" si="184"/>
        <v>31.567346938775515</v>
      </c>
      <c r="BP928" t="s">
        <v>233</v>
      </c>
      <c r="BQ928" s="305" t="s">
        <v>1059</v>
      </c>
      <c r="BR928" t="s">
        <v>398</v>
      </c>
      <c r="BS928">
        <v>-28500</v>
      </c>
      <c r="BT928">
        <v>-5840</v>
      </c>
      <c r="BU928" s="144">
        <v>0.20491228070175438</v>
      </c>
      <c r="BV928">
        <v>22660</v>
      </c>
      <c r="BX928">
        <f t="shared" si="185"/>
        <v>22.66</v>
      </c>
      <c r="BY928">
        <f t="shared" si="194"/>
        <v>0.71783035945177132</v>
      </c>
      <c r="BZ928">
        <v>0</v>
      </c>
      <c r="CA928">
        <v>0</v>
      </c>
      <c r="CB928">
        <v>0</v>
      </c>
      <c r="CC928">
        <v>0</v>
      </c>
      <c r="CD928">
        <v>0</v>
      </c>
      <c r="CE928">
        <v>0</v>
      </c>
      <c r="CF928">
        <v>0</v>
      </c>
      <c r="CG928">
        <v>0</v>
      </c>
      <c r="CH928">
        <v>0</v>
      </c>
      <c r="CI928">
        <v>0</v>
      </c>
      <c r="CJ928">
        <v>0</v>
      </c>
      <c r="CK928">
        <v>0</v>
      </c>
      <c r="CL928">
        <v>0</v>
      </c>
      <c r="CM928">
        <v>0</v>
      </c>
      <c r="CN928" t="str">
        <f t="shared" si="179"/>
        <v>refOK</v>
      </c>
      <c r="CO928">
        <f t="shared" si="186"/>
        <v>0</v>
      </c>
      <c r="CP928">
        <f t="shared" si="187"/>
        <v>15468</v>
      </c>
      <c r="CQ928">
        <f t="shared" si="170"/>
        <v>31.567346938775515</v>
      </c>
      <c r="CR928">
        <f t="shared" si="158"/>
        <v>-28500</v>
      </c>
      <c r="CS928">
        <f t="shared" si="182"/>
        <v>-5840</v>
      </c>
      <c r="CT928">
        <f t="shared" si="168"/>
        <v>22.66</v>
      </c>
      <c r="CU928">
        <f t="shared" si="156"/>
        <v>0.71783035945177132</v>
      </c>
      <c r="CV928" s="2">
        <f t="shared" si="169"/>
        <v>0.79508771929824562</v>
      </c>
      <c r="CW928" s="1" t="s">
        <v>1205</v>
      </c>
      <c r="CX928" t="str">
        <f t="shared" si="195"/>
        <v>reg</v>
      </c>
      <c r="CY928" t="s">
        <v>349</v>
      </c>
      <c r="CZ928">
        <v>2014</v>
      </c>
      <c r="DA928">
        <v>2034</v>
      </c>
      <c r="DB928">
        <v>20</v>
      </c>
      <c r="DC928" t="str">
        <f t="shared" si="196"/>
        <v>1-30</v>
      </c>
      <c r="DD928">
        <v>0</v>
      </c>
      <c r="DE928">
        <v>0</v>
      </c>
      <c r="DF928">
        <v>0</v>
      </c>
      <c r="DG928">
        <v>1</v>
      </c>
      <c r="DI928">
        <f t="shared" si="180"/>
        <v>1</v>
      </c>
      <c r="DJ928" t="str">
        <f t="shared" si="155"/>
        <v>TimberInput</v>
      </c>
      <c r="DK928">
        <f t="shared" si="172"/>
        <v>0</v>
      </c>
      <c r="DL928">
        <f t="shared" si="173"/>
        <v>0</v>
      </c>
      <c r="DM928">
        <f t="shared" si="174"/>
        <v>0</v>
      </c>
      <c r="DN928" t="str">
        <f t="shared" si="175"/>
        <v>Timber</v>
      </c>
      <c r="DO928">
        <v>0</v>
      </c>
      <c r="DP928">
        <v>0</v>
      </c>
      <c r="DQ928">
        <v>0</v>
      </c>
      <c r="DR928">
        <v>0</v>
      </c>
      <c r="DS928">
        <v>0</v>
      </c>
      <c r="DT928">
        <f t="shared" si="160"/>
        <v>0</v>
      </c>
      <c r="DU928" s="143" t="str">
        <f t="shared" si="198"/>
        <v>explicit C balance</v>
      </c>
      <c r="DV928">
        <v>0</v>
      </c>
      <c r="DW928">
        <v>0</v>
      </c>
      <c r="DX928">
        <v>0</v>
      </c>
      <c r="DY928">
        <v>0</v>
      </c>
      <c r="DZ928">
        <v>0</v>
      </c>
      <c r="EA928" s="143">
        <v>1</v>
      </c>
      <c r="EB928">
        <v>0</v>
      </c>
      <c r="EC928">
        <v>1</v>
      </c>
      <c r="ED928">
        <v>1</v>
      </c>
      <c r="EE928">
        <v>1</v>
      </c>
      <c r="EF928">
        <v>0</v>
      </c>
      <c r="EG928">
        <v>0</v>
      </c>
      <c r="EH928">
        <v>0</v>
      </c>
      <c r="EI928" s="2">
        <v>0</v>
      </c>
      <c r="EK928" t="str">
        <f t="shared" si="176"/>
        <v/>
      </c>
      <c r="EL928" t="str">
        <f t="shared" si="177"/>
        <v/>
      </c>
      <c r="EM928" s="2" t="str">
        <f t="shared" si="197"/>
        <v>Technology approach</v>
      </c>
      <c r="EP928" t="str">
        <f>IF(ISNUMBER(BU928),IF(ABS(BU928-[2]QC_indicators!$B$2)&gt;3*[2]QC_indicators!$C$2,"C ratio",IF(ISNUMBER(BY928),IF(ABS(BY928-[2]QC_indicators!$B$1)&gt;3*[2]QC_indicators!$C$1,"DF","no"))),IF(ISNUMBER(BY928),IF(ABS(BY928-[2]QC_indicators!$B$1)&gt;3*[2]QC_indicators!$C$1,"DF","no")))</f>
        <v>no</v>
      </c>
      <c r="ER928" s="149" t="s">
        <v>350</v>
      </c>
      <c r="ET928" s="266" t="s">
        <v>3275</v>
      </c>
    </row>
    <row r="929" spans="1:150" ht="15" hidden="1" customHeight="1">
      <c r="A929" s="1" t="s">
        <v>1235</v>
      </c>
      <c r="B929" t="s">
        <v>1236</v>
      </c>
      <c r="C929" t="s">
        <v>1237</v>
      </c>
      <c r="D929" t="s">
        <v>337</v>
      </c>
      <c r="E929" t="s">
        <v>1238</v>
      </c>
      <c r="F929" t="s">
        <v>1239</v>
      </c>
      <c r="G929" t="s">
        <v>1240</v>
      </c>
      <c r="I929">
        <v>2018</v>
      </c>
      <c r="K929" t="s">
        <v>1241</v>
      </c>
      <c r="M929" t="str">
        <f t="shared" si="153"/>
        <v>Balasbaneh_2018</v>
      </c>
      <c r="N929" t="s">
        <v>223</v>
      </c>
      <c r="O929" s="140" t="s">
        <v>514</v>
      </c>
      <c r="Q929" t="s">
        <v>225</v>
      </c>
      <c r="R929" s="264" t="s">
        <v>224</v>
      </c>
      <c r="S929" s="1" t="s">
        <v>1259</v>
      </c>
      <c r="T929" s="266" t="s">
        <v>3114</v>
      </c>
      <c r="U929" s="266" t="s">
        <v>3113</v>
      </c>
      <c r="V929">
        <v>0</v>
      </c>
      <c r="W929">
        <v>0</v>
      </c>
      <c r="X929">
        <v>0</v>
      </c>
      <c r="Y929">
        <v>0</v>
      </c>
      <c r="Z929">
        <v>0</v>
      </c>
      <c r="AA929">
        <v>0</v>
      </c>
      <c r="AB929">
        <v>0</v>
      </c>
      <c r="AC929">
        <v>0</v>
      </c>
      <c r="AD929">
        <v>0</v>
      </c>
      <c r="AE929">
        <v>0</v>
      </c>
      <c r="AF929">
        <v>0</v>
      </c>
      <c r="AG929">
        <v>0</v>
      </c>
      <c r="AH929">
        <v>0</v>
      </c>
      <c r="AI929">
        <v>0</v>
      </c>
      <c r="AJ929">
        <v>0</v>
      </c>
      <c r="AK929">
        <v>1</v>
      </c>
      <c r="AL929">
        <v>0</v>
      </c>
      <c r="AM929">
        <v>0</v>
      </c>
      <c r="AN929">
        <v>0</v>
      </c>
      <c r="AO929">
        <v>0</v>
      </c>
      <c r="AP929">
        <v>0</v>
      </c>
      <c r="AQ929">
        <v>0</v>
      </c>
      <c r="AR929">
        <v>0</v>
      </c>
      <c r="AS929">
        <v>0</v>
      </c>
      <c r="AT929">
        <v>0</v>
      </c>
      <c r="AU929">
        <v>0</v>
      </c>
      <c r="AV929">
        <v>0</v>
      </c>
      <c r="AW929">
        <v>0</v>
      </c>
      <c r="AX929" s="141">
        <f t="shared" si="167"/>
        <v>1</v>
      </c>
      <c r="AY929" s="141">
        <f t="shared" si="188"/>
        <v>1</v>
      </c>
      <c r="AZ929">
        <f t="shared" si="189"/>
        <v>0</v>
      </c>
      <c r="BA929">
        <f t="shared" si="190"/>
        <v>0</v>
      </c>
      <c r="BB929">
        <f t="shared" si="191"/>
        <v>1</v>
      </c>
      <c r="BC929">
        <f t="shared" si="192"/>
        <v>0</v>
      </c>
      <c r="BD929">
        <f t="shared" si="193"/>
        <v>0</v>
      </c>
      <c r="BE929" t="str">
        <f t="array" ref="BE929">IF(AY929=1,INDEX($V$7:$AL$7,MATCH(TRUE,INDEX($V929:$AW929&lt;&gt;0,),0)),IF(AY929=0,INDEX($AM$7:$AW$7,MATCH(1,$AM929:$AW929,0)),IF(BF929="Multiple strategies","mixed drivers",IF(BF929="Supply chain","multiple supply","multiple silviculture"))))</f>
        <v>technologies/design switch</v>
      </c>
      <c r="BF929" s="2" t="str" cm="1">
        <f t="array" ref="BF929">IF(COUNTIF(AZ929:BB929,"&lt;&gt;0")=1,INDEX($V$4:$AW$4,MATCH(TRUE,INDEX($V929:$AW929&lt;&gt;0,),0)),IF(COUNTIF(AZ929:BB929,"&lt;&gt;0")=0,INDEX($AM$4:$AW$4,MATCH(1,$AM929:$AW929,0)),"Multiple strategies"))</f>
        <v>Technology</v>
      </c>
      <c r="BG929" s="1" t="s">
        <v>230</v>
      </c>
      <c r="BH929" t="s">
        <v>230</v>
      </c>
      <c r="BJ929" t="s">
        <v>346</v>
      </c>
      <c r="BK929">
        <v>0</v>
      </c>
      <c r="BL929">
        <v>15468</v>
      </c>
      <c r="BM929" s="143"/>
      <c r="BN929">
        <f t="shared" si="171"/>
        <v>15468</v>
      </c>
      <c r="BO929" s="143">
        <f t="shared" si="184"/>
        <v>31.567346938775515</v>
      </c>
      <c r="BP929" t="s">
        <v>233</v>
      </c>
      <c r="BQ929" s="305" t="s">
        <v>1059</v>
      </c>
      <c r="BR929" t="s">
        <v>398</v>
      </c>
      <c r="BS929">
        <v>-16700</v>
      </c>
      <c r="BT929">
        <v>-5840</v>
      </c>
      <c r="BU929" s="144">
        <v>0.34970059880239523</v>
      </c>
      <c r="BV929">
        <v>10860</v>
      </c>
      <c r="BX929">
        <f t="shared" si="185"/>
        <v>10.86</v>
      </c>
      <c r="BY929">
        <f t="shared" si="194"/>
        <v>0.34402637703646233</v>
      </c>
      <c r="BZ929">
        <v>0</v>
      </c>
      <c r="CA929">
        <v>0</v>
      </c>
      <c r="CB929">
        <v>0</v>
      </c>
      <c r="CC929">
        <v>0</v>
      </c>
      <c r="CD929">
        <v>0</v>
      </c>
      <c r="CE929">
        <v>0</v>
      </c>
      <c r="CF929">
        <v>0</v>
      </c>
      <c r="CG929">
        <v>0</v>
      </c>
      <c r="CH929">
        <v>0</v>
      </c>
      <c r="CI929">
        <v>0</v>
      </c>
      <c r="CJ929">
        <v>0</v>
      </c>
      <c r="CK929">
        <v>0</v>
      </c>
      <c r="CL929">
        <v>0</v>
      </c>
      <c r="CM929">
        <v>0</v>
      </c>
      <c r="CN929" t="str">
        <f t="shared" si="179"/>
        <v>refOK</v>
      </c>
      <c r="CO929">
        <f t="shared" si="186"/>
        <v>0</v>
      </c>
      <c r="CP929">
        <f t="shared" si="187"/>
        <v>15468</v>
      </c>
      <c r="CQ929">
        <f t="shared" si="170"/>
        <v>31.567346938775515</v>
      </c>
      <c r="CR929">
        <f t="shared" si="158"/>
        <v>-16700</v>
      </c>
      <c r="CS929">
        <f t="shared" si="182"/>
        <v>-5840</v>
      </c>
      <c r="CT929">
        <f t="shared" si="168"/>
        <v>10.86</v>
      </c>
      <c r="CU929">
        <f t="shared" si="156"/>
        <v>0.34402637703646233</v>
      </c>
      <c r="CV929" s="2">
        <f t="shared" si="169"/>
        <v>0.65029940119760477</v>
      </c>
      <c r="CW929" s="1" t="s">
        <v>1205</v>
      </c>
      <c r="CX929" t="str">
        <f t="shared" si="195"/>
        <v>reg</v>
      </c>
      <c r="CY929" t="s">
        <v>349</v>
      </c>
      <c r="CZ929">
        <v>2014</v>
      </c>
      <c r="DA929">
        <v>2034</v>
      </c>
      <c r="DB929">
        <v>20</v>
      </c>
      <c r="DC929" t="str">
        <f t="shared" si="196"/>
        <v>1-30</v>
      </c>
      <c r="DD929">
        <v>0</v>
      </c>
      <c r="DE929">
        <v>0</v>
      </c>
      <c r="DF929">
        <v>0</v>
      </c>
      <c r="DG929">
        <v>1</v>
      </c>
      <c r="DI929">
        <f t="shared" si="180"/>
        <v>1</v>
      </c>
      <c r="DJ929" t="str">
        <f t="shared" si="155"/>
        <v>TimberInput</v>
      </c>
      <c r="DK929">
        <f t="shared" si="172"/>
        <v>0</v>
      </c>
      <c r="DL929">
        <f t="shared" si="173"/>
        <v>0</v>
      </c>
      <c r="DM929">
        <f t="shared" si="174"/>
        <v>0</v>
      </c>
      <c r="DN929" t="str">
        <f t="shared" si="175"/>
        <v>Timber</v>
      </c>
      <c r="DO929">
        <v>0</v>
      </c>
      <c r="DP929">
        <v>0</v>
      </c>
      <c r="DQ929">
        <v>0</v>
      </c>
      <c r="DR929">
        <v>0</v>
      </c>
      <c r="DS929">
        <v>0</v>
      </c>
      <c r="DT929">
        <f t="shared" si="160"/>
        <v>0</v>
      </c>
      <c r="DU929" s="143" t="str">
        <f t="shared" si="198"/>
        <v>explicit C balance</v>
      </c>
      <c r="DV929">
        <v>0</v>
      </c>
      <c r="DW929">
        <v>0</v>
      </c>
      <c r="DX929">
        <v>0</v>
      </c>
      <c r="DY929">
        <v>0</v>
      </c>
      <c r="DZ929">
        <v>0</v>
      </c>
      <c r="EA929" s="143">
        <v>1</v>
      </c>
      <c r="EB929">
        <v>0</v>
      </c>
      <c r="EC929">
        <v>1</v>
      </c>
      <c r="ED929">
        <v>1</v>
      </c>
      <c r="EE929">
        <v>1</v>
      </c>
      <c r="EF929">
        <v>0</v>
      </c>
      <c r="EG929">
        <v>0</v>
      </c>
      <c r="EH929">
        <v>0</v>
      </c>
      <c r="EI929" s="2">
        <v>0</v>
      </c>
      <c r="EK929" t="str">
        <f t="shared" si="176"/>
        <v/>
      </c>
      <c r="EL929" t="str">
        <f t="shared" si="177"/>
        <v/>
      </c>
      <c r="EM929" s="2" t="str">
        <f t="shared" si="197"/>
        <v>Technology approach</v>
      </c>
      <c r="EP929" t="str">
        <f>IF(ISNUMBER(BU929),IF(ABS(BU929-[2]QC_indicators!$B$2)&gt;3*[2]QC_indicators!$C$2,"C ratio",IF(ISNUMBER(BY929),IF(ABS(BY929-[2]QC_indicators!$B$1)&gt;3*[2]QC_indicators!$C$1,"DF","no"))),IF(ISNUMBER(BY929),IF(ABS(BY929-[2]QC_indicators!$B$1)&gt;3*[2]QC_indicators!$C$1,"DF","no")))</f>
        <v>no</v>
      </c>
      <c r="ER929" s="149" t="s">
        <v>350</v>
      </c>
      <c r="ET929" s="266" t="s">
        <v>3275</v>
      </c>
    </row>
    <row r="930" spans="1:150" ht="15" hidden="1" customHeight="1">
      <c r="A930" s="1" t="s">
        <v>1235</v>
      </c>
      <c r="B930" t="s">
        <v>1236</v>
      </c>
      <c r="C930" t="s">
        <v>1237</v>
      </c>
      <c r="D930" t="s">
        <v>337</v>
      </c>
      <c r="E930" t="s">
        <v>1238</v>
      </c>
      <c r="F930" t="s">
        <v>1239</v>
      </c>
      <c r="G930" t="s">
        <v>1240</v>
      </c>
      <c r="I930">
        <v>2018</v>
      </c>
      <c r="K930" t="s">
        <v>1241</v>
      </c>
      <c r="M930" t="str">
        <f t="shared" si="153"/>
        <v>Balasbaneh_2018</v>
      </c>
      <c r="N930" t="s">
        <v>223</v>
      </c>
      <c r="O930" s="140" t="s">
        <v>514</v>
      </c>
      <c r="Q930" t="s">
        <v>225</v>
      </c>
      <c r="R930" s="264" t="s">
        <v>224</v>
      </c>
      <c r="S930" s="1" t="s">
        <v>1244</v>
      </c>
      <c r="T930" s="266" t="s">
        <v>3115</v>
      </c>
      <c r="U930" s="266" t="s">
        <v>3113</v>
      </c>
      <c r="V930">
        <v>0</v>
      </c>
      <c r="W930">
        <v>0</v>
      </c>
      <c r="X930">
        <v>0</v>
      </c>
      <c r="Y930">
        <v>0</v>
      </c>
      <c r="Z930">
        <v>0</v>
      </c>
      <c r="AA930">
        <v>0</v>
      </c>
      <c r="AB930">
        <v>0</v>
      </c>
      <c r="AC930">
        <v>0</v>
      </c>
      <c r="AD930">
        <v>0</v>
      </c>
      <c r="AE930">
        <v>0</v>
      </c>
      <c r="AF930">
        <v>0</v>
      </c>
      <c r="AG930">
        <v>0</v>
      </c>
      <c r="AH930">
        <v>0</v>
      </c>
      <c r="AI930">
        <v>0</v>
      </c>
      <c r="AJ930">
        <v>0</v>
      </c>
      <c r="AK930">
        <v>1</v>
      </c>
      <c r="AL930">
        <v>0</v>
      </c>
      <c r="AM930">
        <v>0</v>
      </c>
      <c r="AN930">
        <v>0</v>
      </c>
      <c r="AO930">
        <v>0</v>
      </c>
      <c r="AP930">
        <v>0</v>
      </c>
      <c r="AQ930">
        <v>0</v>
      </c>
      <c r="AR930">
        <v>0</v>
      </c>
      <c r="AS930">
        <v>0</v>
      </c>
      <c r="AT930">
        <v>0</v>
      </c>
      <c r="AU930">
        <v>0</v>
      </c>
      <c r="AV930">
        <v>0</v>
      </c>
      <c r="AW930">
        <v>0</v>
      </c>
      <c r="AX930" s="141">
        <f t="shared" si="167"/>
        <v>1</v>
      </c>
      <c r="AY930" s="141">
        <f t="shared" si="188"/>
        <v>1</v>
      </c>
      <c r="AZ930">
        <f t="shared" si="189"/>
        <v>0</v>
      </c>
      <c r="BA930">
        <f t="shared" si="190"/>
        <v>0</v>
      </c>
      <c r="BB930">
        <f t="shared" si="191"/>
        <v>1</v>
      </c>
      <c r="BC930">
        <f t="shared" si="192"/>
        <v>0</v>
      </c>
      <c r="BD930">
        <f t="shared" si="193"/>
        <v>0</v>
      </c>
      <c r="BE930" t="str">
        <f t="array" ref="BE930">IF(AY930=1,INDEX($V$7:$AL$7,MATCH(TRUE,INDEX($V930:$AW930&lt;&gt;0,),0)),IF(AY930=0,INDEX($AM$7:$AW$7,MATCH(1,$AM930:$AW930,0)),IF(BF930="Multiple strategies","mixed drivers",IF(BF930="Supply chain","multiple supply","multiple silviculture"))))</f>
        <v>technologies/design switch</v>
      </c>
      <c r="BF930" s="2" t="str" cm="1">
        <f t="array" ref="BF930">IF(COUNTIF(AZ930:BB930,"&lt;&gt;0")=1,INDEX($V$4:$AW$4,MATCH(TRUE,INDEX($V930:$AW930&lt;&gt;0,),0)),IF(COUNTIF(AZ930:BB930,"&lt;&gt;0")=0,INDEX($AM$4:$AW$4,MATCH(1,$AM930:$AW930,0)),"Multiple strategies"))</f>
        <v>Technology</v>
      </c>
      <c r="BG930" s="1" t="s">
        <v>230</v>
      </c>
      <c r="BH930" t="s">
        <v>230</v>
      </c>
      <c r="BJ930" t="s">
        <v>346</v>
      </c>
      <c r="BK930">
        <v>0</v>
      </c>
      <c r="BL930">
        <v>15468</v>
      </c>
      <c r="BM930" s="143"/>
      <c r="BN930">
        <f t="shared" si="171"/>
        <v>15468</v>
      </c>
      <c r="BO930" s="143">
        <f t="shared" si="184"/>
        <v>31.567346938775515</v>
      </c>
      <c r="BP930" t="s">
        <v>233</v>
      </c>
      <c r="BQ930" s="305" t="s">
        <v>1059</v>
      </c>
      <c r="BR930" t="s">
        <v>398</v>
      </c>
      <c r="BS930">
        <v>-8790</v>
      </c>
      <c r="BT930">
        <v>-5840</v>
      </c>
      <c r="BU930" s="144">
        <v>0.664391353811149</v>
      </c>
      <c r="BV930">
        <v>2950</v>
      </c>
      <c r="BX930">
        <f t="shared" si="185"/>
        <v>2.95</v>
      </c>
      <c r="BY930">
        <f t="shared" si="194"/>
        <v>9.3450995603827247E-2</v>
      </c>
      <c r="BZ930">
        <v>0</v>
      </c>
      <c r="CA930">
        <v>0</v>
      </c>
      <c r="CB930">
        <v>0</v>
      </c>
      <c r="CC930">
        <v>0</v>
      </c>
      <c r="CD930">
        <v>0</v>
      </c>
      <c r="CE930">
        <v>0</v>
      </c>
      <c r="CF930">
        <v>0</v>
      </c>
      <c r="CG930">
        <v>0</v>
      </c>
      <c r="CH930">
        <v>0</v>
      </c>
      <c r="CI930">
        <v>0</v>
      </c>
      <c r="CJ930">
        <v>0</v>
      </c>
      <c r="CK930">
        <v>0</v>
      </c>
      <c r="CL930">
        <v>0</v>
      </c>
      <c r="CM930">
        <v>0</v>
      </c>
      <c r="CN930" t="str">
        <f t="shared" si="179"/>
        <v>refOK</v>
      </c>
      <c r="CO930">
        <f t="shared" si="186"/>
        <v>0</v>
      </c>
      <c r="CP930">
        <f t="shared" si="187"/>
        <v>15468</v>
      </c>
      <c r="CQ930">
        <f t="shared" si="170"/>
        <v>31.567346938775515</v>
      </c>
      <c r="CR930">
        <f t="shared" si="158"/>
        <v>-8790</v>
      </c>
      <c r="CS930">
        <f t="shared" si="182"/>
        <v>-5840</v>
      </c>
      <c r="CT930">
        <f t="shared" si="168"/>
        <v>2.95</v>
      </c>
      <c r="CU930">
        <f t="shared" si="156"/>
        <v>9.3450995603827247E-2</v>
      </c>
      <c r="CV930" s="2">
        <f t="shared" si="169"/>
        <v>0.33560864618885095</v>
      </c>
      <c r="CW930" s="1" t="s">
        <v>1205</v>
      </c>
      <c r="CX930" t="str">
        <f t="shared" si="195"/>
        <v>reg</v>
      </c>
      <c r="CY930" t="s">
        <v>349</v>
      </c>
      <c r="CZ930">
        <v>2014</v>
      </c>
      <c r="DA930">
        <v>2034</v>
      </c>
      <c r="DB930">
        <v>20</v>
      </c>
      <c r="DC930" t="str">
        <f t="shared" si="196"/>
        <v>1-30</v>
      </c>
      <c r="DD930">
        <v>0</v>
      </c>
      <c r="DE930">
        <v>0</v>
      </c>
      <c r="DF930">
        <v>0</v>
      </c>
      <c r="DG930">
        <v>1</v>
      </c>
      <c r="DI930">
        <f t="shared" si="180"/>
        <v>1</v>
      </c>
      <c r="DJ930" t="str">
        <f t="shared" si="155"/>
        <v>TimberInput</v>
      </c>
      <c r="DK930">
        <f t="shared" si="172"/>
        <v>0</v>
      </c>
      <c r="DL930">
        <f t="shared" si="173"/>
        <v>0</v>
      </c>
      <c r="DM930">
        <f t="shared" si="174"/>
        <v>0</v>
      </c>
      <c r="DN930" t="str">
        <f t="shared" si="175"/>
        <v>Timber</v>
      </c>
      <c r="DO930">
        <v>0</v>
      </c>
      <c r="DP930">
        <v>0</v>
      </c>
      <c r="DQ930">
        <v>0</v>
      </c>
      <c r="DR930">
        <v>0</v>
      </c>
      <c r="DS930">
        <v>0</v>
      </c>
      <c r="DT930">
        <f t="shared" si="160"/>
        <v>0</v>
      </c>
      <c r="DU930" s="143" t="str">
        <f t="shared" si="198"/>
        <v>explicit C balance</v>
      </c>
      <c r="DV930">
        <v>0</v>
      </c>
      <c r="DW930">
        <v>0</v>
      </c>
      <c r="DX930">
        <v>0</v>
      </c>
      <c r="DY930">
        <v>0</v>
      </c>
      <c r="DZ930">
        <v>0</v>
      </c>
      <c r="EA930" s="143">
        <v>1</v>
      </c>
      <c r="EB930">
        <v>0</v>
      </c>
      <c r="EC930">
        <v>1</v>
      </c>
      <c r="ED930">
        <v>1</v>
      </c>
      <c r="EE930">
        <v>1</v>
      </c>
      <c r="EF930">
        <v>0</v>
      </c>
      <c r="EG930">
        <v>0</v>
      </c>
      <c r="EH930">
        <v>0</v>
      </c>
      <c r="EI930" s="2">
        <v>0</v>
      </c>
      <c r="EK930" t="str">
        <f t="shared" si="176"/>
        <v/>
      </c>
      <c r="EL930" t="str">
        <f t="shared" si="177"/>
        <v/>
      </c>
      <c r="EM930" s="2" t="str">
        <f t="shared" si="197"/>
        <v>Technology approach</v>
      </c>
      <c r="EP930" t="str">
        <f>IF(ISNUMBER(BU930),IF(ABS(BU930-[2]QC_indicators!$B$2)&gt;3*[2]QC_indicators!$C$2,"C ratio",IF(ISNUMBER(BY930),IF(ABS(BY930-[2]QC_indicators!$B$1)&gt;3*[2]QC_indicators!$C$1,"DF","no"))),IF(ISNUMBER(BY930),IF(ABS(BY930-[2]QC_indicators!$B$1)&gt;3*[2]QC_indicators!$C$1,"DF","no")))</f>
        <v>no</v>
      </c>
      <c r="ER930" s="149" t="s">
        <v>350</v>
      </c>
      <c r="ET930" s="266" t="s">
        <v>3275</v>
      </c>
    </row>
    <row r="931" spans="1:150" ht="15" hidden="1" customHeight="1">
      <c r="A931" s="1" t="s">
        <v>1235</v>
      </c>
      <c r="B931" t="s">
        <v>1236</v>
      </c>
      <c r="C931" t="s">
        <v>1237</v>
      </c>
      <c r="D931" t="s">
        <v>337</v>
      </c>
      <c r="E931" t="s">
        <v>1238</v>
      </c>
      <c r="F931" t="s">
        <v>1239</v>
      </c>
      <c r="G931" t="s">
        <v>1240</v>
      </c>
      <c r="I931">
        <v>2018</v>
      </c>
      <c r="K931" t="s">
        <v>1241</v>
      </c>
      <c r="M931" t="str">
        <f t="shared" si="153"/>
        <v>Balasbaneh_2018</v>
      </c>
      <c r="N931" t="s">
        <v>223</v>
      </c>
      <c r="O931" s="140" t="s">
        <v>514</v>
      </c>
      <c r="Q931" t="s">
        <v>225</v>
      </c>
      <c r="R931" s="264" t="s">
        <v>224</v>
      </c>
      <c r="S931" s="1" t="s">
        <v>1247</v>
      </c>
      <c r="T931" s="266" t="s">
        <v>3116</v>
      </c>
      <c r="U931" s="266" t="s">
        <v>3113</v>
      </c>
      <c r="V931">
        <v>0</v>
      </c>
      <c r="W931">
        <v>0</v>
      </c>
      <c r="X931">
        <v>0</v>
      </c>
      <c r="Y931">
        <v>0</v>
      </c>
      <c r="Z931">
        <v>0</v>
      </c>
      <c r="AA931">
        <v>0</v>
      </c>
      <c r="AB931">
        <v>0</v>
      </c>
      <c r="AC931">
        <v>0</v>
      </c>
      <c r="AD931">
        <v>0</v>
      </c>
      <c r="AE931">
        <v>0</v>
      </c>
      <c r="AF931">
        <v>0</v>
      </c>
      <c r="AG931">
        <v>0</v>
      </c>
      <c r="AH931">
        <v>0</v>
      </c>
      <c r="AI931">
        <v>0</v>
      </c>
      <c r="AJ931">
        <v>0</v>
      </c>
      <c r="AK931">
        <v>1</v>
      </c>
      <c r="AL931">
        <v>0</v>
      </c>
      <c r="AM931">
        <v>0</v>
      </c>
      <c r="AN931">
        <v>0</v>
      </c>
      <c r="AO931">
        <v>0</v>
      </c>
      <c r="AP931">
        <v>0</v>
      </c>
      <c r="AQ931">
        <v>0</v>
      </c>
      <c r="AR931">
        <v>0</v>
      </c>
      <c r="AS931">
        <v>0</v>
      </c>
      <c r="AT931">
        <v>0</v>
      </c>
      <c r="AU931">
        <v>0</v>
      </c>
      <c r="AV931">
        <v>0</v>
      </c>
      <c r="AW931">
        <v>0</v>
      </c>
      <c r="AX931" s="141">
        <f t="shared" si="167"/>
        <v>1</v>
      </c>
      <c r="AY931" s="141">
        <f t="shared" si="188"/>
        <v>1</v>
      </c>
      <c r="AZ931">
        <f t="shared" si="189"/>
        <v>0</v>
      </c>
      <c r="BA931">
        <f t="shared" si="190"/>
        <v>0</v>
      </c>
      <c r="BB931">
        <f t="shared" si="191"/>
        <v>1</v>
      </c>
      <c r="BC931">
        <f t="shared" si="192"/>
        <v>0</v>
      </c>
      <c r="BD931">
        <f t="shared" si="193"/>
        <v>0</v>
      </c>
      <c r="BE931" t="str">
        <f t="array" ref="BE931">IF(AY931=1,INDEX($V$7:$AL$7,MATCH(TRUE,INDEX($V931:$AW931&lt;&gt;0,),0)),IF(AY931=0,INDEX($AM$7:$AW$7,MATCH(1,$AM931:$AW931,0)),IF(BF931="Multiple strategies","mixed drivers",IF(BF931="Supply chain","multiple supply","multiple silviculture"))))</f>
        <v>technologies/design switch</v>
      </c>
      <c r="BF931" s="2" t="str" cm="1">
        <f t="array" ref="BF931">IF(COUNTIF(AZ931:BB931,"&lt;&gt;0")=1,INDEX($V$4:$AW$4,MATCH(TRUE,INDEX($V931:$AW931&lt;&gt;0,),0)),IF(COUNTIF(AZ931:BB931,"&lt;&gt;0")=0,INDEX($AM$4:$AW$4,MATCH(1,$AM931:$AW931,0)),"Multiple strategies"))</f>
        <v>Technology</v>
      </c>
      <c r="BG931" s="1" t="s">
        <v>230</v>
      </c>
      <c r="BH931" t="s">
        <v>230</v>
      </c>
      <c r="BJ931" t="s">
        <v>346</v>
      </c>
      <c r="BK931">
        <v>0</v>
      </c>
      <c r="BL931">
        <v>15468</v>
      </c>
      <c r="BM931" s="143"/>
      <c r="BN931">
        <f t="shared" si="171"/>
        <v>15468</v>
      </c>
      <c r="BO931" s="143">
        <f t="shared" si="184"/>
        <v>31.567346938775515</v>
      </c>
      <c r="BP931" t="s">
        <v>233</v>
      </c>
      <c r="BQ931" s="305" t="s">
        <v>1059</v>
      </c>
      <c r="BR931" t="s">
        <v>398</v>
      </c>
      <c r="BS931">
        <v>-9840</v>
      </c>
      <c r="BT931">
        <v>-5840</v>
      </c>
      <c r="BU931" s="144">
        <v>0.5934959349593496</v>
      </c>
      <c r="BV931">
        <v>4000</v>
      </c>
      <c r="BX931">
        <f t="shared" si="185"/>
        <v>4</v>
      </c>
      <c r="BY931">
        <f t="shared" si="194"/>
        <v>0.12671321437807084</v>
      </c>
      <c r="BZ931">
        <v>0</v>
      </c>
      <c r="CA931">
        <v>0</v>
      </c>
      <c r="CB931">
        <v>0</v>
      </c>
      <c r="CC931">
        <v>0</v>
      </c>
      <c r="CD931">
        <v>0</v>
      </c>
      <c r="CE931">
        <v>0</v>
      </c>
      <c r="CF931">
        <v>0</v>
      </c>
      <c r="CG931">
        <v>0</v>
      </c>
      <c r="CH931">
        <v>0</v>
      </c>
      <c r="CI931">
        <v>0</v>
      </c>
      <c r="CJ931">
        <v>0</v>
      </c>
      <c r="CK931">
        <v>0</v>
      </c>
      <c r="CL931">
        <v>0</v>
      </c>
      <c r="CM931">
        <v>0</v>
      </c>
      <c r="CN931" t="str">
        <f t="shared" si="179"/>
        <v>refOK</v>
      </c>
      <c r="CO931">
        <f t="shared" si="186"/>
        <v>0</v>
      </c>
      <c r="CP931">
        <f t="shared" si="187"/>
        <v>15468</v>
      </c>
      <c r="CQ931">
        <f t="shared" si="170"/>
        <v>31.567346938775515</v>
      </c>
      <c r="CR931">
        <f t="shared" si="158"/>
        <v>-9840</v>
      </c>
      <c r="CS931">
        <f t="shared" si="182"/>
        <v>-5840</v>
      </c>
      <c r="CT931">
        <f t="shared" si="168"/>
        <v>4</v>
      </c>
      <c r="CU931">
        <f t="shared" si="156"/>
        <v>0.12671321437807084</v>
      </c>
      <c r="CV931" s="2">
        <f t="shared" si="169"/>
        <v>0.4065040650406504</v>
      </c>
      <c r="CW931" s="1" t="s">
        <v>1205</v>
      </c>
      <c r="CX931" t="str">
        <f t="shared" si="195"/>
        <v>reg</v>
      </c>
      <c r="CY931" t="s">
        <v>349</v>
      </c>
      <c r="CZ931">
        <v>2014</v>
      </c>
      <c r="DA931">
        <v>2034</v>
      </c>
      <c r="DB931">
        <v>20</v>
      </c>
      <c r="DC931" t="str">
        <f t="shared" si="196"/>
        <v>1-30</v>
      </c>
      <c r="DD931">
        <v>0</v>
      </c>
      <c r="DE931">
        <v>0</v>
      </c>
      <c r="DF931">
        <v>0</v>
      </c>
      <c r="DG931">
        <v>1</v>
      </c>
      <c r="DI931">
        <f t="shared" si="180"/>
        <v>1</v>
      </c>
      <c r="DJ931" t="str">
        <f t="shared" si="155"/>
        <v>TimberInput</v>
      </c>
      <c r="DK931">
        <f t="shared" si="172"/>
        <v>0</v>
      </c>
      <c r="DL931">
        <f t="shared" si="173"/>
        <v>0</v>
      </c>
      <c r="DM931">
        <f t="shared" si="174"/>
        <v>0</v>
      </c>
      <c r="DN931" t="str">
        <f t="shared" si="175"/>
        <v>Timber</v>
      </c>
      <c r="DO931">
        <v>0</v>
      </c>
      <c r="DP931">
        <v>0</v>
      </c>
      <c r="DQ931">
        <v>0</v>
      </c>
      <c r="DR931">
        <v>0</v>
      </c>
      <c r="DS931">
        <v>0</v>
      </c>
      <c r="DT931">
        <f t="shared" si="160"/>
        <v>0</v>
      </c>
      <c r="DU931" s="143" t="str">
        <f t="shared" si="198"/>
        <v>explicit C balance</v>
      </c>
      <c r="DV931">
        <v>0</v>
      </c>
      <c r="DW931">
        <v>0</v>
      </c>
      <c r="DX931">
        <v>0</v>
      </c>
      <c r="DY931">
        <v>0</v>
      </c>
      <c r="DZ931">
        <v>0</v>
      </c>
      <c r="EA931" s="143">
        <v>1</v>
      </c>
      <c r="EB931">
        <v>0</v>
      </c>
      <c r="EC931">
        <v>1</v>
      </c>
      <c r="ED931">
        <v>1</v>
      </c>
      <c r="EE931">
        <v>1</v>
      </c>
      <c r="EF931">
        <v>0</v>
      </c>
      <c r="EG931">
        <v>0</v>
      </c>
      <c r="EH931">
        <v>0</v>
      </c>
      <c r="EI931" s="2">
        <v>0</v>
      </c>
      <c r="EK931" t="str">
        <f t="shared" si="176"/>
        <v/>
      </c>
      <c r="EL931" t="str">
        <f t="shared" si="177"/>
        <v/>
      </c>
      <c r="EM931" s="2" t="str">
        <f t="shared" si="197"/>
        <v>Technology approach</v>
      </c>
      <c r="EP931" t="str">
        <f>IF(ISNUMBER(BU931),IF(ABS(BU931-[2]QC_indicators!$B$2)&gt;3*[2]QC_indicators!$C$2,"C ratio",IF(ISNUMBER(BY931),IF(ABS(BY931-[2]QC_indicators!$B$1)&gt;3*[2]QC_indicators!$C$1,"DF","no"))),IF(ISNUMBER(BY931),IF(ABS(BY931-[2]QC_indicators!$B$1)&gt;3*[2]QC_indicators!$C$1,"DF","no")))</f>
        <v>no</v>
      </c>
      <c r="ER931" s="149" t="s">
        <v>350</v>
      </c>
      <c r="ET931" s="266" t="s">
        <v>3275</v>
      </c>
    </row>
    <row r="932" spans="1:150" ht="15" hidden="1" customHeight="1">
      <c r="A932" s="1" t="s">
        <v>1235</v>
      </c>
      <c r="B932" t="s">
        <v>1236</v>
      </c>
      <c r="C932" t="s">
        <v>1237</v>
      </c>
      <c r="D932" t="s">
        <v>337</v>
      </c>
      <c r="E932" t="s">
        <v>1238</v>
      </c>
      <c r="F932" t="s">
        <v>1239</v>
      </c>
      <c r="G932" t="s">
        <v>1240</v>
      </c>
      <c r="I932">
        <v>2018</v>
      </c>
      <c r="K932" t="s">
        <v>1241</v>
      </c>
      <c r="M932" t="str">
        <f t="shared" si="153"/>
        <v>Balasbaneh_2018</v>
      </c>
      <c r="N932" t="s">
        <v>223</v>
      </c>
      <c r="O932" s="140" t="s">
        <v>514</v>
      </c>
      <c r="Q932" t="s">
        <v>225</v>
      </c>
      <c r="R932" s="264" t="s">
        <v>224</v>
      </c>
      <c r="S932" s="1" t="s">
        <v>1268</v>
      </c>
      <c r="T932" s="266" t="s">
        <v>3117</v>
      </c>
      <c r="U932" s="266" t="s">
        <v>3113</v>
      </c>
      <c r="V932">
        <v>0</v>
      </c>
      <c r="W932">
        <v>0</v>
      </c>
      <c r="X932">
        <v>0</v>
      </c>
      <c r="Y932">
        <v>0</v>
      </c>
      <c r="Z932">
        <v>0</v>
      </c>
      <c r="AA932">
        <v>0</v>
      </c>
      <c r="AB932">
        <v>0</v>
      </c>
      <c r="AC932">
        <v>0</v>
      </c>
      <c r="AD932">
        <v>0</v>
      </c>
      <c r="AE932">
        <v>0</v>
      </c>
      <c r="AF932">
        <v>0</v>
      </c>
      <c r="AG932">
        <v>0</v>
      </c>
      <c r="AH932">
        <v>0</v>
      </c>
      <c r="AI932">
        <v>0</v>
      </c>
      <c r="AJ932">
        <v>0</v>
      </c>
      <c r="AK932">
        <v>1</v>
      </c>
      <c r="AL932">
        <v>0</v>
      </c>
      <c r="AM932">
        <v>0</v>
      </c>
      <c r="AN932">
        <v>0</v>
      </c>
      <c r="AO932">
        <v>0</v>
      </c>
      <c r="AP932">
        <v>0</v>
      </c>
      <c r="AQ932">
        <v>0</v>
      </c>
      <c r="AR932">
        <v>0</v>
      </c>
      <c r="AS932">
        <v>0</v>
      </c>
      <c r="AT932">
        <v>0</v>
      </c>
      <c r="AU932">
        <v>0</v>
      </c>
      <c r="AV932">
        <v>0</v>
      </c>
      <c r="AW932">
        <v>0</v>
      </c>
      <c r="AX932" s="141">
        <f t="shared" si="167"/>
        <v>1</v>
      </c>
      <c r="AY932" s="141">
        <f t="shared" si="188"/>
        <v>1</v>
      </c>
      <c r="AZ932">
        <f t="shared" si="189"/>
        <v>0</v>
      </c>
      <c r="BA932">
        <f t="shared" si="190"/>
        <v>0</v>
      </c>
      <c r="BB932">
        <f t="shared" si="191"/>
        <v>1</v>
      </c>
      <c r="BC932">
        <f t="shared" si="192"/>
        <v>0</v>
      </c>
      <c r="BD932">
        <f t="shared" si="193"/>
        <v>0</v>
      </c>
      <c r="BE932" t="str">
        <f t="array" ref="BE932">IF(AY932=1,INDEX($V$7:$AL$7,MATCH(TRUE,INDEX($V932:$AW932&lt;&gt;0,),0)),IF(AY932=0,INDEX($AM$7:$AW$7,MATCH(1,$AM932:$AW932,0)),IF(BF932="Multiple strategies","mixed drivers",IF(BF932="Supply chain","multiple supply","multiple silviculture"))))</f>
        <v>technologies/design switch</v>
      </c>
      <c r="BF932" s="2" t="str" cm="1">
        <f t="array" ref="BF932">IF(COUNTIF(AZ932:BB932,"&lt;&gt;0")=1,INDEX($V$4:$AW$4,MATCH(TRUE,INDEX($V932:$AW932&lt;&gt;0,),0)),IF(COUNTIF(AZ932:BB932,"&lt;&gt;0")=0,INDEX($AM$4:$AW$4,MATCH(1,$AM932:$AW932,0)),"Multiple strategies"))</f>
        <v>Technology</v>
      </c>
      <c r="BG932" s="1" t="s">
        <v>230</v>
      </c>
      <c r="BH932" t="s">
        <v>230</v>
      </c>
      <c r="BJ932" t="s">
        <v>346</v>
      </c>
      <c r="BK932">
        <v>0</v>
      </c>
      <c r="BL932">
        <v>15468</v>
      </c>
      <c r="BM932" s="143"/>
      <c r="BN932">
        <f t="shared" si="171"/>
        <v>15468</v>
      </c>
      <c r="BO932" s="143">
        <f t="shared" si="184"/>
        <v>31.567346938775515</v>
      </c>
      <c r="BP932" t="s">
        <v>233</v>
      </c>
      <c r="BQ932" s="305" t="s">
        <v>1059</v>
      </c>
      <c r="BR932" t="s">
        <v>398</v>
      </c>
      <c r="BS932">
        <v>-23200</v>
      </c>
      <c r="BT932">
        <v>-5840</v>
      </c>
      <c r="BU932" s="144">
        <v>0.25172413793103449</v>
      </c>
      <c r="BV932">
        <v>17360</v>
      </c>
      <c r="BX932">
        <f t="shared" si="185"/>
        <v>17.36</v>
      </c>
      <c r="BY932">
        <f t="shared" si="194"/>
        <v>0.54993535040082742</v>
      </c>
      <c r="BZ932">
        <v>0</v>
      </c>
      <c r="CA932">
        <v>0</v>
      </c>
      <c r="CB932">
        <v>0</v>
      </c>
      <c r="CC932">
        <v>0</v>
      </c>
      <c r="CD932">
        <v>0</v>
      </c>
      <c r="CE932">
        <v>0</v>
      </c>
      <c r="CF932">
        <v>0</v>
      </c>
      <c r="CG932">
        <v>0</v>
      </c>
      <c r="CH932">
        <v>0</v>
      </c>
      <c r="CI932">
        <v>0</v>
      </c>
      <c r="CJ932">
        <v>0</v>
      </c>
      <c r="CK932">
        <v>0</v>
      </c>
      <c r="CL932">
        <v>0</v>
      </c>
      <c r="CM932">
        <v>0</v>
      </c>
      <c r="CN932" t="str">
        <f t="shared" si="179"/>
        <v>refOK</v>
      </c>
      <c r="CO932">
        <f t="shared" si="186"/>
        <v>0</v>
      </c>
      <c r="CP932">
        <f t="shared" si="187"/>
        <v>15468</v>
      </c>
      <c r="CQ932">
        <f t="shared" si="170"/>
        <v>31.567346938775515</v>
      </c>
      <c r="CR932">
        <f t="shared" si="158"/>
        <v>-23200</v>
      </c>
      <c r="CS932">
        <f t="shared" si="182"/>
        <v>-5840</v>
      </c>
      <c r="CT932">
        <f t="shared" si="168"/>
        <v>17.36</v>
      </c>
      <c r="CU932">
        <f t="shared" si="156"/>
        <v>0.54993535040082742</v>
      </c>
      <c r="CV932" s="2">
        <f t="shared" si="169"/>
        <v>0.74827586206896557</v>
      </c>
      <c r="CW932" s="1" t="s">
        <v>1205</v>
      </c>
      <c r="CX932" t="str">
        <f t="shared" si="195"/>
        <v>reg</v>
      </c>
      <c r="CY932" t="s">
        <v>349</v>
      </c>
      <c r="CZ932">
        <v>2014</v>
      </c>
      <c r="DA932">
        <v>2034</v>
      </c>
      <c r="DB932">
        <v>20</v>
      </c>
      <c r="DC932" t="str">
        <f t="shared" si="196"/>
        <v>1-30</v>
      </c>
      <c r="DD932">
        <v>0</v>
      </c>
      <c r="DE932">
        <v>0</v>
      </c>
      <c r="DF932">
        <v>0</v>
      </c>
      <c r="DG932">
        <v>1</v>
      </c>
      <c r="DI932">
        <f t="shared" si="180"/>
        <v>1</v>
      </c>
      <c r="DJ932" t="str">
        <f t="shared" si="155"/>
        <v>TimberInput</v>
      </c>
      <c r="DK932">
        <f t="shared" si="172"/>
        <v>0</v>
      </c>
      <c r="DL932">
        <f t="shared" si="173"/>
        <v>0</v>
      </c>
      <c r="DM932">
        <f t="shared" si="174"/>
        <v>0</v>
      </c>
      <c r="DN932" t="str">
        <f t="shared" si="175"/>
        <v>Timber</v>
      </c>
      <c r="DO932">
        <v>0</v>
      </c>
      <c r="DP932">
        <v>0</v>
      </c>
      <c r="DQ932">
        <v>0</v>
      </c>
      <c r="DR932">
        <v>0</v>
      </c>
      <c r="DS932">
        <v>0</v>
      </c>
      <c r="DT932">
        <f t="shared" si="160"/>
        <v>0</v>
      </c>
      <c r="DU932" s="143" t="str">
        <f t="shared" si="198"/>
        <v>explicit C balance</v>
      </c>
      <c r="DV932">
        <v>0</v>
      </c>
      <c r="DW932">
        <v>0</v>
      </c>
      <c r="DX932">
        <v>0</v>
      </c>
      <c r="DY932">
        <v>0</v>
      </c>
      <c r="DZ932">
        <v>0</v>
      </c>
      <c r="EA932" s="143">
        <v>1</v>
      </c>
      <c r="EB932">
        <v>0</v>
      </c>
      <c r="EC932">
        <v>1</v>
      </c>
      <c r="ED932">
        <v>1</v>
      </c>
      <c r="EE932">
        <v>1</v>
      </c>
      <c r="EF932">
        <v>0</v>
      </c>
      <c r="EG932">
        <v>0</v>
      </c>
      <c r="EH932">
        <v>0</v>
      </c>
      <c r="EI932" s="2">
        <v>0</v>
      </c>
      <c r="EK932" t="str">
        <f t="shared" si="176"/>
        <v/>
      </c>
      <c r="EL932" t="str">
        <f t="shared" si="177"/>
        <v/>
      </c>
      <c r="EM932" s="2" t="str">
        <f t="shared" si="197"/>
        <v>Technology approach</v>
      </c>
      <c r="EP932" t="str">
        <f>IF(ISNUMBER(BU932),IF(ABS(BU932-[2]QC_indicators!$B$2)&gt;3*[2]QC_indicators!$C$2,"C ratio",IF(ISNUMBER(BY932),IF(ABS(BY932-[2]QC_indicators!$B$1)&gt;3*[2]QC_indicators!$C$1,"DF","no"))),IF(ISNUMBER(BY932),IF(ABS(BY932-[2]QC_indicators!$B$1)&gt;3*[2]QC_indicators!$C$1,"DF","no")))</f>
        <v>no</v>
      </c>
      <c r="ER932" s="149" t="s">
        <v>350</v>
      </c>
      <c r="ET932" s="266" t="s">
        <v>3275</v>
      </c>
    </row>
    <row r="933" spans="1:150" ht="15" hidden="1" customHeight="1">
      <c r="A933" s="1" t="s">
        <v>1235</v>
      </c>
      <c r="B933" t="s">
        <v>1236</v>
      </c>
      <c r="C933" t="s">
        <v>1237</v>
      </c>
      <c r="D933" t="s">
        <v>337</v>
      </c>
      <c r="E933" t="s">
        <v>1238</v>
      </c>
      <c r="F933" t="s">
        <v>1239</v>
      </c>
      <c r="G933" t="s">
        <v>1240</v>
      </c>
      <c r="I933">
        <v>2018</v>
      </c>
      <c r="K933" t="s">
        <v>1241</v>
      </c>
      <c r="M933" t="str">
        <f t="shared" si="153"/>
        <v>Balasbaneh_2018</v>
      </c>
      <c r="N933" t="s">
        <v>223</v>
      </c>
      <c r="O933" s="140" t="s">
        <v>514</v>
      </c>
      <c r="Q933" t="s">
        <v>225</v>
      </c>
      <c r="R933" s="264" t="s">
        <v>224</v>
      </c>
      <c r="S933" s="1" t="s">
        <v>1269</v>
      </c>
      <c r="T933" s="266" t="s">
        <v>3112</v>
      </c>
      <c r="U933" s="266" t="s">
        <v>3118</v>
      </c>
      <c r="V933">
        <v>0</v>
      </c>
      <c r="W933">
        <v>0</v>
      </c>
      <c r="X933">
        <v>0</v>
      </c>
      <c r="Y933">
        <v>0</v>
      </c>
      <c r="Z933">
        <v>0</v>
      </c>
      <c r="AA933">
        <v>0</v>
      </c>
      <c r="AB933">
        <v>0</v>
      </c>
      <c r="AC933">
        <v>0</v>
      </c>
      <c r="AD933">
        <v>0</v>
      </c>
      <c r="AE933">
        <v>0</v>
      </c>
      <c r="AF933">
        <v>0</v>
      </c>
      <c r="AG933">
        <v>0</v>
      </c>
      <c r="AH933">
        <v>0</v>
      </c>
      <c r="AI933">
        <v>0</v>
      </c>
      <c r="AJ933">
        <v>0</v>
      </c>
      <c r="AK933">
        <v>1</v>
      </c>
      <c r="AL933">
        <v>0</v>
      </c>
      <c r="AM933">
        <v>0</v>
      </c>
      <c r="AN933">
        <v>0</v>
      </c>
      <c r="AO933">
        <v>0</v>
      </c>
      <c r="AP933">
        <v>0</v>
      </c>
      <c r="AQ933">
        <v>0</v>
      </c>
      <c r="AR933">
        <v>0</v>
      </c>
      <c r="AS933">
        <v>0</v>
      </c>
      <c r="AT933">
        <v>0</v>
      </c>
      <c r="AU933">
        <v>0</v>
      </c>
      <c r="AV933">
        <v>0</v>
      </c>
      <c r="AW933">
        <v>0</v>
      </c>
      <c r="AX933" s="141">
        <f t="shared" si="167"/>
        <v>1</v>
      </c>
      <c r="AY933" s="141">
        <f t="shared" si="188"/>
        <v>1</v>
      </c>
      <c r="AZ933">
        <f t="shared" si="189"/>
        <v>0</v>
      </c>
      <c r="BA933">
        <f t="shared" si="190"/>
        <v>0</v>
      </c>
      <c r="BB933">
        <f t="shared" si="191"/>
        <v>1</v>
      </c>
      <c r="BC933">
        <f t="shared" si="192"/>
        <v>0</v>
      </c>
      <c r="BD933">
        <f t="shared" si="193"/>
        <v>0</v>
      </c>
      <c r="BE933" t="str">
        <f t="array" ref="BE933">IF(AY933=1,INDEX($V$7:$AL$7,MATCH(TRUE,INDEX($V933:$AW933&lt;&gt;0,),0)),IF(AY933=0,INDEX($AM$7:$AW$7,MATCH(1,$AM933:$AW933,0)),IF(BF933="Multiple strategies","mixed drivers",IF(BF933="Supply chain","multiple supply","multiple silviculture"))))</f>
        <v>technologies/design switch</v>
      </c>
      <c r="BF933" s="2" t="str" cm="1">
        <f t="array" ref="BF933">IF(COUNTIF(AZ933:BB933,"&lt;&gt;0")=1,INDEX($V$4:$AW$4,MATCH(TRUE,INDEX($V933:$AW933&lt;&gt;0,),0)),IF(COUNTIF(AZ933:BB933,"&lt;&gt;0")=0,INDEX($AM$4:$AW$4,MATCH(1,$AM933:$AW933,0)),"Multiple strategies"))</f>
        <v>Technology</v>
      </c>
      <c r="BG933" s="1" t="s">
        <v>230</v>
      </c>
      <c r="BH933" t="s">
        <v>230</v>
      </c>
      <c r="BJ933" t="s">
        <v>346</v>
      </c>
      <c r="BK933">
        <v>0</v>
      </c>
      <c r="BL933">
        <v>23436</v>
      </c>
      <c r="BM933" s="143"/>
      <c r="BN933">
        <f t="shared" si="171"/>
        <v>23436</v>
      </c>
      <c r="BO933" s="143">
        <f t="shared" si="184"/>
        <v>47.828571428571436</v>
      </c>
      <c r="BP933" t="s">
        <v>233</v>
      </c>
      <c r="BQ933" s="153" t="s">
        <v>1059</v>
      </c>
      <c r="BR933" t="s">
        <v>398</v>
      </c>
      <c r="BS933">
        <v>-28500</v>
      </c>
      <c r="BT933">
        <v>-711</v>
      </c>
      <c r="BU933" s="144">
        <v>2.4947368421052631E-2</v>
      </c>
      <c r="BV933">
        <v>27789</v>
      </c>
      <c r="BX933">
        <f t="shared" si="185"/>
        <v>27.789000000000001</v>
      </c>
      <c r="BY933">
        <f t="shared" si="194"/>
        <v>0.58101254480286735</v>
      </c>
      <c r="BZ933">
        <v>0</v>
      </c>
      <c r="CA933">
        <v>0</v>
      </c>
      <c r="CB933">
        <v>0</v>
      </c>
      <c r="CC933">
        <v>0</v>
      </c>
      <c r="CD933">
        <v>0</v>
      </c>
      <c r="CE933">
        <v>0</v>
      </c>
      <c r="CF933">
        <v>0</v>
      </c>
      <c r="CG933">
        <v>0</v>
      </c>
      <c r="CH933">
        <v>0</v>
      </c>
      <c r="CI933">
        <v>0</v>
      </c>
      <c r="CJ933">
        <v>0</v>
      </c>
      <c r="CK933">
        <v>0</v>
      </c>
      <c r="CL933">
        <v>0</v>
      </c>
      <c r="CM933">
        <v>0</v>
      </c>
      <c r="CN933" t="str">
        <f t="shared" si="179"/>
        <v>refOK</v>
      </c>
      <c r="CO933">
        <f t="shared" si="186"/>
        <v>0</v>
      </c>
      <c r="CP933">
        <f t="shared" si="187"/>
        <v>23436</v>
      </c>
      <c r="CQ933">
        <f t="shared" si="170"/>
        <v>47.828571428571436</v>
      </c>
      <c r="CR933">
        <f t="shared" si="158"/>
        <v>-28500</v>
      </c>
      <c r="CS933">
        <f t="shared" si="182"/>
        <v>-711</v>
      </c>
      <c r="CT933">
        <f t="shared" si="168"/>
        <v>27.789000000000001</v>
      </c>
      <c r="CU933">
        <f t="shared" si="156"/>
        <v>0.58101254480286735</v>
      </c>
      <c r="CV933" s="2">
        <f t="shared" si="169"/>
        <v>0.97505263157894739</v>
      </c>
      <c r="CW933" s="1" t="s">
        <v>1205</v>
      </c>
      <c r="CX933" t="str">
        <f t="shared" si="195"/>
        <v>reg</v>
      </c>
      <c r="CY933" t="s">
        <v>349</v>
      </c>
      <c r="CZ933">
        <v>2014</v>
      </c>
      <c r="DA933">
        <v>2034</v>
      </c>
      <c r="DB933">
        <v>20</v>
      </c>
      <c r="DC933" t="str">
        <f t="shared" si="196"/>
        <v>1-30</v>
      </c>
      <c r="DD933">
        <v>0</v>
      </c>
      <c r="DE933">
        <v>0</v>
      </c>
      <c r="DF933">
        <v>0</v>
      </c>
      <c r="DG933">
        <v>1</v>
      </c>
      <c r="DI933">
        <f t="shared" si="180"/>
        <v>1</v>
      </c>
      <c r="DJ933" t="str">
        <f t="shared" si="155"/>
        <v>TimberInput</v>
      </c>
      <c r="DK933">
        <f t="shared" si="172"/>
        <v>0</v>
      </c>
      <c r="DL933">
        <f t="shared" si="173"/>
        <v>0</v>
      </c>
      <c r="DM933">
        <f t="shared" si="174"/>
        <v>0</v>
      </c>
      <c r="DN933" t="str">
        <f t="shared" si="175"/>
        <v>Timber</v>
      </c>
      <c r="DO933">
        <v>0</v>
      </c>
      <c r="DP933">
        <v>0</v>
      </c>
      <c r="DQ933">
        <v>0</v>
      </c>
      <c r="DR933">
        <v>0</v>
      </c>
      <c r="DS933">
        <v>0</v>
      </c>
      <c r="DT933">
        <f t="shared" si="160"/>
        <v>0</v>
      </c>
      <c r="DU933" s="143" t="str">
        <f t="shared" si="198"/>
        <v>explicit C balance</v>
      </c>
      <c r="DV933">
        <v>0</v>
      </c>
      <c r="DW933">
        <v>0</v>
      </c>
      <c r="DX933">
        <v>0</v>
      </c>
      <c r="DY933">
        <v>0</v>
      </c>
      <c r="DZ933">
        <v>0</v>
      </c>
      <c r="EA933" s="143">
        <v>1</v>
      </c>
      <c r="EB933">
        <v>0</v>
      </c>
      <c r="EC933">
        <v>1</v>
      </c>
      <c r="ED933">
        <v>1</v>
      </c>
      <c r="EE933">
        <v>1</v>
      </c>
      <c r="EF933">
        <v>0</v>
      </c>
      <c r="EG933">
        <v>0</v>
      </c>
      <c r="EH933">
        <v>0</v>
      </c>
      <c r="EI933" s="2">
        <v>0</v>
      </c>
      <c r="EK933" t="str">
        <f t="shared" si="176"/>
        <v/>
      </c>
      <c r="EL933" t="str">
        <f t="shared" si="177"/>
        <v/>
      </c>
      <c r="EM933" s="2" t="str">
        <f t="shared" si="197"/>
        <v>Technology approach</v>
      </c>
      <c r="EP933" t="str">
        <f>IF(ISNUMBER(BU933),IF(ABS(BU933-[2]QC_indicators!$B$2)&gt;3*[2]QC_indicators!$C$2,"C ratio",IF(ISNUMBER(BY933),IF(ABS(BY933-[2]QC_indicators!$B$1)&gt;3*[2]QC_indicators!$C$1,"DF","no"))),IF(ISNUMBER(BY933),IF(ABS(BY933-[2]QC_indicators!$B$1)&gt;3*[2]QC_indicators!$C$1,"DF","no")))</f>
        <v>no</v>
      </c>
      <c r="ER933" s="149" t="s">
        <v>350</v>
      </c>
      <c r="ET933" s="266" t="s">
        <v>3275</v>
      </c>
    </row>
    <row r="934" spans="1:150" ht="15" hidden="1" customHeight="1">
      <c r="A934" s="1" t="s">
        <v>1235</v>
      </c>
      <c r="B934" t="s">
        <v>1236</v>
      </c>
      <c r="C934" t="s">
        <v>1237</v>
      </c>
      <c r="D934" t="s">
        <v>337</v>
      </c>
      <c r="E934" t="s">
        <v>1238</v>
      </c>
      <c r="F934" t="s">
        <v>1239</v>
      </c>
      <c r="G934" t="s">
        <v>1240</v>
      </c>
      <c r="I934">
        <v>2018</v>
      </c>
      <c r="K934" t="s">
        <v>1241</v>
      </c>
      <c r="M934" t="str">
        <f t="shared" si="153"/>
        <v>Balasbaneh_2018</v>
      </c>
      <c r="N934" t="s">
        <v>223</v>
      </c>
      <c r="O934" s="140" t="s">
        <v>514</v>
      </c>
      <c r="Q934" t="s">
        <v>225</v>
      </c>
      <c r="R934" s="264" t="s">
        <v>224</v>
      </c>
      <c r="S934" s="1" t="s">
        <v>1258</v>
      </c>
      <c r="T934" s="266" t="s">
        <v>3114</v>
      </c>
      <c r="U934" s="266" t="s">
        <v>3118</v>
      </c>
      <c r="V934">
        <v>0</v>
      </c>
      <c r="W934">
        <v>0</v>
      </c>
      <c r="X934">
        <v>0</v>
      </c>
      <c r="Y934">
        <v>0</v>
      </c>
      <c r="Z934">
        <v>0</v>
      </c>
      <c r="AA934">
        <v>0</v>
      </c>
      <c r="AB934">
        <v>0</v>
      </c>
      <c r="AC934">
        <v>0</v>
      </c>
      <c r="AD934">
        <v>0</v>
      </c>
      <c r="AE934">
        <v>0</v>
      </c>
      <c r="AF934">
        <v>0</v>
      </c>
      <c r="AG934">
        <v>0</v>
      </c>
      <c r="AH934">
        <v>0</v>
      </c>
      <c r="AI934">
        <v>0</v>
      </c>
      <c r="AJ934">
        <v>0</v>
      </c>
      <c r="AK934">
        <v>1</v>
      </c>
      <c r="AL934">
        <v>0</v>
      </c>
      <c r="AM934">
        <v>0</v>
      </c>
      <c r="AN934">
        <v>0</v>
      </c>
      <c r="AO934">
        <v>0</v>
      </c>
      <c r="AP934">
        <v>0</v>
      </c>
      <c r="AQ934">
        <v>0</v>
      </c>
      <c r="AR934">
        <v>0</v>
      </c>
      <c r="AS934">
        <v>0</v>
      </c>
      <c r="AT934">
        <v>0</v>
      </c>
      <c r="AU934">
        <v>0</v>
      </c>
      <c r="AV934">
        <v>0</v>
      </c>
      <c r="AW934">
        <v>0</v>
      </c>
      <c r="AX934" s="141">
        <f t="shared" si="167"/>
        <v>1</v>
      </c>
      <c r="AY934" s="141">
        <f t="shared" si="188"/>
        <v>1</v>
      </c>
      <c r="AZ934">
        <f t="shared" si="189"/>
        <v>0</v>
      </c>
      <c r="BA934">
        <f t="shared" si="190"/>
        <v>0</v>
      </c>
      <c r="BB934">
        <f t="shared" si="191"/>
        <v>1</v>
      </c>
      <c r="BC934">
        <f t="shared" si="192"/>
        <v>0</v>
      </c>
      <c r="BD934">
        <f t="shared" si="193"/>
        <v>0</v>
      </c>
      <c r="BE934" t="str">
        <f t="array" ref="BE934">IF(AY934=1,INDEX($V$7:$AL$7,MATCH(TRUE,INDEX($V934:$AW934&lt;&gt;0,),0)),IF(AY934=0,INDEX($AM$7:$AW$7,MATCH(1,$AM934:$AW934,0)),IF(BF934="Multiple strategies","mixed drivers",IF(BF934="Supply chain","multiple supply","multiple silviculture"))))</f>
        <v>technologies/design switch</v>
      </c>
      <c r="BF934" s="2" t="str" cm="1">
        <f t="array" ref="BF934">IF(COUNTIF(AZ934:BB934,"&lt;&gt;0")=1,INDEX($V$4:$AW$4,MATCH(TRUE,INDEX($V934:$AW934&lt;&gt;0,),0)),IF(COUNTIF(AZ934:BB934,"&lt;&gt;0")=0,INDEX($AM$4:$AW$4,MATCH(1,$AM934:$AW934,0)),"Multiple strategies"))</f>
        <v>Technology</v>
      </c>
      <c r="BG934" s="1" t="s">
        <v>230</v>
      </c>
      <c r="BH934" t="s">
        <v>230</v>
      </c>
      <c r="BJ934" t="s">
        <v>346</v>
      </c>
      <c r="BK934">
        <v>0</v>
      </c>
      <c r="BL934">
        <v>23436</v>
      </c>
      <c r="BM934" s="143"/>
      <c r="BN934">
        <f t="shared" si="171"/>
        <v>23436</v>
      </c>
      <c r="BO934" s="143">
        <f t="shared" si="184"/>
        <v>47.828571428571436</v>
      </c>
      <c r="BP934" t="s">
        <v>233</v>
      </c>
      <c r="BQ934" s="153" t="s">
        <v>1059</v>
      </c>
      <c r="BR934" t="s">
        <v>398</v>
      </c>
      <c r="BS934">
        <v>-16700</v>
      </c>
      <c r="BT934">
        <v>-711</v>
      </c>
      <c r="BU934" s="144">
        <v>4.2574850299401196E-2</v>
      </c>
      <c r="BV934">
        <v>15989</v>
      </c>
      <c r="BX934">
        <f t="shared" si="185"/>
        <v>15.989000000000001</v>
      </c>
      <c r="BY934">
        <f t="shared" si="194"/>
        <v>0.33429808841099162</v>
      </c>
      <c r="BZ934">
        <v>0</v>
      </c>
      <c r="CA934">
        <v>0</v>
      </c>
      <c r="CB934">
        <v>0</v>
      </c>
      <c r="CC934">
        <v>0</v>
      </c>
      <c r="CD934">
        <v>0</v>
      </c>
      <c r="CE934">
        <v>0</v>
      </c>
      <c r="CF934">
        <v>0</v>
      </c>
      <c r="CG934">
        <v>0</v>
      </c>
      <c r="CH934">
        <v>0</v>
      </c>
      <c r="CI934">
        <v>0</v>
      </c>
      <c r="CJ934">
        <v>0</v>
      </c>
      <c r="CK934">
        <v>0</v>
      </c>
      <c r="CL934">
        <v>0</v>
      </c>
      <c r="CM934">
        <v>0</v>
      </c>
      <c r="CN934" t="str">
        <f t="shared" si="179"/>
        <v>refOK</v>
      </c>
      <c r="CO934">
        <f t="shared" si="186"/>
        <v>0</v>
      </c>
      <c r="CP934">
        <f t="shared" si="187"/>
        <v>23436</v>
      </c>
      <c r="CQ934">
        <f t="shared" si="170"/>
        <v>47.828571428571436</v>
      </c>
      <c r="CR934">
        <f t="shared" si="158"/>
        <v>-16700</v>
      </c>
      <c r="CS934">
        <f t="shared" si="182"/>
        <v>-711</v>
      </c>
      <c r="CT934">
        <f t="shared" si="168"/>
        <v>15.989000000000001</v>
      </c>
      <c r="CU934">
        <f t="shared" si="156"/>
        <v>0.33429808841099162</v>
      </c>
      <c r="CV934" s="2">
        <f t="shared" si="169"/>
        <v>0.95742514970059878</v>
      </c>
      <c r="CW934" s="1" t="s">
        <v>1205</v>
      </c>
      <c r="CX934" t="str">
        <f t="shared" si="195"/>
        <v>reg</v>
      </c>
      <c r="CY934" t="s">
        <v>349</v>
      </c>
      <c r="CZ934">
        <v>2014</v>
      </c>
      <c r="DA934">
        <v>2034</v>
      </c>
      <c r="DB934">
        <v>20</v>
      </c>
      <c r="DC934" t="str">
        <f t="shared" si="196"/>
        <v>1-30</v>
      </c>
      <c r="DD934">
        <v>0</v>
      </c>
      <c r="DE934">
        <v>0</v>
      </c>
      <c r="DF934">
        <v>0</v>
      </c>
      <c r="DG934">
        <v>1</v>
      </c>
      <c r="DI934">
        <f t="shared" si="180"/>
        <v>1</v>
      </c>
      <c r="DJ934" t="str">
        <f t="shared" si="155"/>
        <v>TimberInput</v>
      </c>
      <c r="DK934">
        <f t="shared" si="172"/>
        <v>0</v>
      </c>
      <c r="DL934">
        <f t="shared" si="173"/>
        <v>0</v>
      </c>
      <c r="DM934">
        <f t="shared" si="174"/>
        <v>0</v>
      </c>
      <c r="DN934" t="str">
        <f t="shared" si="175"/>
        <v>Timber</v>
      </c>
      <c r="DO934">
        <v>0</v>
      </c>
      <c r="DP934">
        <v>0</v>
      </c>
      <c r="DQ934">
        <v>0</v>
      </c>
      <c r="DR934">
        <v>0</v>
      </c>
      <c r="DS934">
        <v>0</v>
      </c>
      <c r="DT934">
        <f t="shared" si="160"/>
        <v>0</v>
      </c>
      <c r="DU934" s="143" t="str">
        <f t="shared" si="198"/>
        <v>explicit C balance</v>
      </c>
      <c r="DV934">
        <v>0</v>
      </c>
      <c r="DW934">
        <v>0</v>
      </c>
      <c r="DX934">
        <v>0</v>
      </c>
      <c r="DY934">
        <v>0</v>
      </c>
      <c r="DZ934">
        <v>0</v>
      </c>
      <c r="EA934" s="143">
        <v>1</v>
      </c>
      <c r="EB934">
        <v>0</v>
      </c>
      <c r="EC934">
        <v>1</v>
      </c>
      <c r="ED934">
        <v>1</v>
      </c>
      <c r="EE934">
        <v>1</v>
      </c>
      <c r="EF934">
        <v>0</v>
      </c>
      <c r="EG934">
        <v>0</v>
      </c>
      <c r="EH934">
        <v>0</v>
      </c>
      <c r="EI934" s="2">
        <v>0</v>
      </c>
      <c r="EK934" t="str">
        <f t="shared" si="176"/>
        <v/>
      </c>
      <c r="EL934" t="str">
        <f t="shared" si="177"/>
        <v/>
      </c>
      <c r="EM934" s="2" t="str">
        <f t="shared" si="197"/>
        <v>Technology approach</v>
      </c>
      <c r="EP934" t="str">
        <f>IF(ISNUMBER(BU934),IF(ABS(BU934-[2]QC_indicators!$B$2)&gt;3*[2]QC_indicators!$C$2,"C ratio",IF(ISNUMBER(BY934),IF(ABS(BY934-[2]QC_indicators!$B$1)&gt;3*[2]QC_indicators!$C$1,"DF","no"))),IF(ISNUMBER(BY934),IF(ABS(BY934-[2]QC_indicators!$B$1)&gt;3*[2]QC_indicators!$C$1,"DF","no")))</f>
        <v>no</v>
      </c>
      <c r="ER934" s="149" t="s">
        <v>350</v>
      </c>
      <c r="ET934" s="266" t="s">
        <v>3275</v>
      </c>
    </row>
    <row r="935" spans="1:150" ht="15" hidden="1" customHeight="1">
      <c r="A935" s="1" t="s">
        <v>1235</v>
      </c>
      <c r="B935" t="s">
        <v>1236</v>
      </c>
      <c r="C935" t="s">
        <v>1237</v>
      </c>
      <c r="D935" t="s">
        <v>337</v>
      </c>
      <c r="E935" t="s">
        <v>1238</v>
      </c>
      <c r="F935" t="s">
        <v>1239</v>
      </c>
      <c r="G935" t="s">
        <v>1240</v>
      </c>
      <c r="I935">
        <v>2018</v>
      </c>
      <c r="K935" t="s">
        <v>1241</v>
      </c>
      <c r="M935" t="str">
        <f t="shared" si="153"/>
        <v>Balasbaneh_2018</v>
      </c>
      <c r="N935" t="s">
        <v>223</v>
      </c>
      <c r="O935" s="140" t="s">
        <v>514</v>
      </c>
      <c r="Q935" t="s">
        <v>225</v>
      </c>
      <c r="R935" s="264" t="s">
        <v>224</v>
      </c>
      <c r="S935" s="1" t="s">
        <v>1251</v>
      </c>
      <c r="T935" s="266" t="s">
        <v>3115</v>
      </c>
      <c r="U935" s="266" t="s">
        <v>3118</v>
      </c>
      <c r="V935">
        <v>0</v>
      </c>
      <c r="W935">
        <v>0</v>
      </c>
      <c r="X935">
        <v>0</v>
      </c>
      <c r="Y935">
        <v>0</v>
      </c>
      <c r="Z935">
        <v>0</v>
      </c>
      <c r="AA935">
        <v>0</v>
      </c>
      <c r="AB935">
        <v>0</v>
      </c>
      <c r="AC935">
        <v>0</v>
      </c>
      <c r="AD935">
        <v>0</v>
      </c>
      <c r="AE935">
        <v>0</v>
      </c>
      <c r="AF935">
        <v>0</v>
      </c>
      <c r="AG935">
        <v>0</v>
      </c>
      <c r="AH935">
        <v>0</v>
      </c>
      <c r="AI935">
        <v>0</v>
      </c>
      <c r="AJ935">
        <v>0</v>
      </c>
      <c r="AK935">
        <v>1</v>
      </c>
      <c r="AL935">
        <v>0</v>
      </c>
      <c r="AM935">
        <v>0</v>
      </c>
      <c r="AN935">
        <v>0</v>
      </c>
      <c r="AO935">
        <v>0</v>
      </c>
      <c r="AP935">
        <v>0</v>
      </c>
      <c r="AQ935">
        <v>0</v>
      </c>
      <c r="AR935">
        <v>0</v>
      </c>
      <c r="AS935">
        <v>0</v>
      </c>
      <c r="AT935">
        <v>0</v>
      </c>
      <c r="AU935">
        <v>0</v>
      </c>
      <c r="AV935">
        <v>0</v>
      </c>
      <c r="AW935">
        <v>0</v>
      </c>
      <c r="AX935" s="141">
        <f t="shared" si="167"/>
        <v>1</v>
      </c>
      <c r="AY935" s="141">
        <f t="shared" si="188"/>
        <v>1</v>
      </c>
      <c r="AZ935">
        <f t="shared" si="189"/>
        <v>0</v>
      </c>
      <c r="BA935">
        <f t="shared" si="190"/>
        <v>0</v>
      </c>
      <c r="BB935">
        <f t="shared" si="191"/>
        <v>1</v>
      </c>
      <c r="BC935">
        <f t="shared" si="192"/>
        <v>0</v>
      </c>
      <c r="BD935">
        <f t="shared" si="193"/>
        <v>0</v>
      </c>
      <c r="BE935" t="str">
        <f t="array" ref="BE935">IF(AY935=1,INDEX($V$7:$AL$7,MATCH(TRUE,INDEX($V935:$AW935&lt;&gt;0,),0)),IF(AY935=0,INDEX($AM$7:$AW$7,MATCH(1,$AM935:$AW935,0)),IF(BF935="Multiple strategies","mixed drivers",IF(BF935="Supply chain","multiple supply","multiple silviculture"))))</f>
        <v>technologies/design switch</v>
      </c>
      <c r="BF935" s="2" t="str" cm="1">
        <f t="array" ref="BF935">IF(COUNTIF(AZ935:BB935,"&lt;&gt;0")=1,INDEX($V$4:$AW$4,MATCH(TRUE,INDEX($V935:$AW935&lt;&gt;0,),0)),IF(COUNTIF(AZ935:BB935,"&lt;&gt;0")=0,INDEX($AM$4:$AW$4,MATCH(1,$AM935:$AW935,0)),"Multiple strategies"))</f>
        <v>Technology</v>
      </c>
      <c r="BG935" s="1" t="s">
        <v>230</v>
      </c>
      <c r="BH935" t="s">
        <v>230</v>
      </c>
      <c r="BJ935" t="s">
        <v>346</v>
      </c>
      <c r="BK935">
        <v>0</v>
      </c>
      <c r="BL935">
        <v>23436</v>
      </c>
      <c r="BM935" s="143"/>
      <c r="BN935">
        <f t="shared" si="171"/>
        <v>23436</v>
      </c>
      <c r="BO935" s="143">
        <f t="shared" si="184"/>
        <v>47.828571428571436</v>
      </c>
      <c r="BP935" t="s">
        <v>233</v>
      </c>
      <c r="BQ935" s="153" t="s">
        <v>1059</v>
      </c>
      <c r="BR935" t="s">
        <v>398</v>
      </c>
      <c r="BS935">
        <v>-8790</v>
      </c>
      <c r="BT935">
        <v>-711</v>
      </c>
      <c r="BU935" s="144">
        <v>8.088737201365187E-2</v>
      </c>
      <c r="BV935">
        <v>8079</v>
      </c>
      <c r="BX935">
        <f t="shared" si="185"/>
        <v>8.0790000000000006</v>
      </c>
      <c r="BY935">
        <f t="shared" si="194"/>
        <v>0.16891577060931898</v>
      </c>
      <c r="BZ935">
        <v>0</v>
      </c>
      <c r="CA935">
        <v>0</v>
      </c>
      <c r="CB935">
        <v>0</v>
      </c>
      <c r="CC935">
        <v>0</v>
      </c>
      <c r="CD935">
        <v>0</v>
      </c>
      <c r="CE935">
        <v>0</v>
      </c>
      <c r="CF935">
        <v>0</v>
      </c>
      <c r="CG935">
        <v>0</v>
      </c>
      <c r="CH935">
        <v>0</v>
      </c>
      <c r="CI935">
        <v>0</v>
      </c>
      <c r="CJ935">
        <v>0</v>
      </c>
      <c r="CK935">
        <v>0</v>
      </c>
      <c r="CL935">
        <v>0</v>
      </c>
      <c r="CM935">
        <v>0</v>
      </c>
      <c r="CN935" t="str">
        <f t="shared" si="179"/>
        <v>refOK</v>
      </c>
      <c r="CO935">
        <f t="shared" si="186"/>
        <v>0</v>
      </c>
      <c r="CP935">
        <f t="shared" si="187"/>
        <v>23436</v>
      </c>
      <c r="CQ935">
        <f t="shared" si="170"/>
        <v>47.828571428571436</v>
      </c>
      <c r="CR935">
        <f t="shared" si="158"/>
        <v>-8790</v>
      </c>
      <c r="CS935">
        <f t="shared" si="182"/>
        <v>-711</v>
      </c>
      <c r="CT935">
        <f t="shared" si="168"/>
        <v>8.0790000000000006</v>
      </c>
      <c r="CU935">
        <f t="shared" si="156"/>
        <v>0.16891577060931898</v>
      </c>
      <c r="CV935" s="2">
        <f t="shared" si="169"/>
        <v>0.91911262798634807</v>
      </c>
      <c r="CW935" s="1" t="s">
        <v>1205</v>
      </c>
      <c r="CX935" t="str">
        <f t="shared" si="195"/>
        <v>reg</v>
      </c>
      <c r="CY935" t="s">
        <v>349</v>
      </c>
      <c r="CZ935">
        <v>2014</v>
      </c>
      <c r="DA935">
        <v>2034</v>
      </c>
      <c r="DB935">
        <v>20</v>
      </c>
      <c r="DC935" t="str">
        <f t="shared" si="196"/>
        <v>1-30</v>
      </c>
      <c r="DD935">
        <v>0</v>
      </c>
      <c r="DE935">
        <v>0</v>
      </c>
      <c r="DF935">
        <v>0</v>
      </c>
      <c r="DG935">
        <v>1</v>
      </c>
      <c r="DI935">
        <f t="shared" si="180"/>
        <v>1</v>
      </c>
      <c r="DJ935" t="str">
        <f t="shared" si="155"/>
        <v>TimberInput</v>
      </c>
      <c r="DK935">
        <f t="shared" si="172"/>
        <v>0</v>
      </c>
      <c r="DL935">
        <f t="shared" si="173"/>
        <v>0</v>
      </c>
      <c r="DM935">
        <f t="shared" si="174"/>
        <v>0</v>
      </c>
      <c r="DN935" t="str">
        <f t="shared" si="175"/>
        <v>Timber</v>
      </c>
      <c r="DO935">
        <v>0</v>
      </c>
      <c r="DP935">
        <v>0</v>
      </c>
      <c r="DQ935">
        <v>0</v>
      </c>
      <c r="DR935">
        <v>0</v>
      </c>
      <c r="DS935">
        <v>0</v>
      </c>
      <c r="DT935">
        <f t="shared" si="160"/>
        <v>0</v>
      </c>
      <c r="DU935" s="143" t="str">
        <f t="shared" si="198"/>
        <v>explicit C balance</v>
      </c>
      <c r="DV935">
        <v>0</v>
      </c>
      <c r="DW935">
        <v>0</v>
      </c>
      <c r="DX935">
        <v>0</v>
      </c>
      <c r="DY935">
        <v>0</v>
      </c>
      <c r="DZ935">
        <v>0</v>
      </c>
      <c r="EA935" s="143">
        <v>1</v>
      </c>
      <c r="EB935">
        <v>0</v>
      </c>
      <c r="EC935">
        <v>1</v>
      </c>
      <c r="ED935">
        <v>1</v>
      </c>
      <c r="EE935">
        <v>1</v>
      </c>
      <c r="EF935">
        <v>0</v>
      </c>
      <c r="EG935">
        <v>0</v>
      </c>
      <c r="EH935">
        <v>0</v>
      </c>
      <c r="EI935" s="2">
        <v>0</v>
      </c>
      <c r="EK935" t="str">
        <f t="shared" si="176"/>
        <v/>
      </c>
      <c r="EL935" t="str">
        <f t="shared" si="177"/>
        <v/>
      </c>
      <c r="EM935" s="2" t="str">
        <f t="shared" si="197"/>
        <v>Technology approach</v>
      </c>
      <c r="EP935" t="str">
        <f>IF(ISNUMBER(BU935),IF(ABS(BU935-[2]QC_indicators!$B$2)&gt;3*[2]QC_indicators!$C$2,"C ratio",IF(ISNUMBER(BY935),IF(ABS(BY935-[2]QC_indicators!$B$1)&gt;3*[2]QC_indicators!$C$1,"DF","no"))),IF(ISNUMBER(BY935),IF(ABS(BY935-[2]QC_indicators!$B$1)&gt;3*[2]QC_indicators!$C$1,"DF","no")))</f>
        <v>no</v>
      </c>
      <c r="ER935" s="149" t="s">
        <v>350</v>
      </c>
      <c r="ET935" s="266" t="s">
        <v>3275</v>
      </c>
    </row>
    <row r="936" spans="1:150" ht="15" hidden="1" customHeight="1">
      <c r="A936" s="1" t="s">
        <v>1235</v>
      </c>
      <c r="B936" t="s">
        <v>1236</v>
      </c>
      <c r="C936" t="s">
        <v>1237</v>
      </c>
      <c r="D936" t="s">
        <v>337</v>
      </c>
      <c r="E936" t="s">
        <v>1238</v>
      </c>
      <c r="F936" t="s">
        <v>1239</v>
      </c>
      <c r="G936" t="s">
        <v>1240</v>
      </c>
      <c r="I936">
        <v>2018</v>
      </c>
      <c r="K936" t="s">
        <v>1241</v>
      </c>
      <c r="M936" t="str">
        <f t="shared" si="153"/>
        <v>Balasbaneh_2018</v>
      </c>
      <c r="N936" t="s">
        <v>223</v>
      </c>
      <c r="O936" s="140" t="s">
        <v>514</v>
      </c>
      <c r="Q936" t="s">
        <v>225</v>
      </c>
      <c r="R936" s="264" t="s">
        <v>224</v>
      </c>
      <c r="S936" s="1" t="s">
        <v>1253</v>
      </c>
      <c r="T936" s="266" t="s">
        <v>3116</v>
      </c>
      <c r="U936" s="266" t="s">
        <v>3118</v>
      </c>
      <c r="V936">
        <v>0</v>
      </c>
      <c r="W936">
        <v>0</v>
      </c>
      <c r="X936">
        <v>0</v>
      </c>
      <c r="Y936">
        <v>0</v>
      </c>
      <c r="Z936">
        <v>0</v>
      </c>
      <c r="AA936">
        <v>0</v>
      </c>
      <c r="AB936">
        <v>0</v>
      </c>
      <c r="AC936">
        <v>0</v>
      </c>
      <c r="AD936">
        <v>0</v>
      </c>
      <c r="AE936">
        <v>0</v>
      </c>
      <c r="AF936">
        <v>0</v>
      </c>
      <c r="AG936">
        <v>0</v>
      </c>
      <c r="AH936">
        <v>0</v>
      </c>
      <c r="AI936">
        <v>0</v>
      </c>
      <c r="AJ936">
        <v>0</v>
      </c>
      <c r="AK936">
        <v>1</v>
      </c>
      <c r="AL936">
        <v>0</v>
      </c>
      <c r="AM936">
        <v>0</v>
      </c>
      <c r="AN936">
        <v>0</v>
      </c>
      <c r="AO936">
        <v>0</v>
      </c>
      <c r="AP936">
        <v>0</v>
      </c>
      <c r="AQ936">
        <v>0</v>
      </c>
      <c r="AR936">
        <v>0</v>
      </c>
      <c r="AS936">
        <v>0</v>
      </c>
      <c r="AT936">
        <v>0</v>
      </c>
      <c r="AU936">
        <v>0</v>
      </c>
      <c r="AV936">
        <v>0</v>
      </c>
      <c r="AW936">
        <v>0</v>
      </c>
      <c r="AX936" s="141">
        <f t="shared" si="167"/>
        <v>1</v>
      </c>
      <c r="AY936" s="141">
        <f t="shared" si="188"/>
        <v>1</v>
      </c>
      <c r="AZ936">
        <f t="shared" si="189"/>
        <v>0</v>
      </c>
      <c r="BA936">
        <f t="shared" si="190"/>
        <v>0</v>
      </c>
      <c r="BB936">
        <f t="shared" si="191"/>
        <v>1</v>
      </c>
      <c r="BC936">
        <f t="shared" si="192"/>
        <v>0</v>
      </c>
      <c r="BD936">
        <f t="shared" si="193"/>
        <v>0</v>
      </c>
      <c r="BE936" t="str">
        <f t="array" ref="BE936">IF(AY936=1,INDEX($V$7:$AL$7,MATCH(TRUE,INDEX($V936:$AW936&lt;&gt;0,),0)),IF(AY936=0,INDEX($AM$7:$AW$7,MATCH(1,$AM936:$AW936,0)),IF(BF936="Multiple strategies","mixed drivers",IF(BF936="Supply chain","multiple supply","multiple silviculture"))))</f>
        <v>technologies/design switch</v>
      </c>
      <c r="BF936" s="2" t="str" cm="1">
        <f t="array" ref="BF936">IF(COUNTIF(AZ936:BB936,"&lt;&gt;0")=1,INDEX($V$4:$AW$4,MATCH(TRUE,INDEX($V936:$AW936&lt;&gt;0,),0)),IF(COUNTIF(AZ936:BB936,"&lt;&gt;0")=0,INDEX($AM$4:$AW$4,MATCH(1,$AM936:$AW936,0)),"Multiple strategies"))</f>
        <v>Technology</v>
      </c>
      <c r="BG936" s="1" t="s">
        <v>230</v>
      </c>
      <c r="BH936" t="s">
        <v>230</v>
      </c>
      <c r="BJ936" t="s">
        <v>346</v>
      </c>
      <c r="BK936">
        <v>0</v>
      </c>
      <c r="BL936">
        <v>23436</v>
      </c>
      <c r="BM936" s="143"/>
      <c r="BN936">
        <f t="shared" si="171"/>
        <v>23436</v>
      </c>
      <c r="BO936" s="143">
        <f t="shared" si="184"/>
        <v>47.828571428571436</v>
      </c>
      <c r="BP936" t="s">
        <v>233</v>
      </c>
      <c r="BQ936" s="153" t="s">
        <v>1059</v>
      </c>
      <c r="BR936" t="s">
        <v>398</v>
      </c>
      <c r="BS936">
        <v>-9840</v>
      </c>
      <c r="BT936">
        <v>-711</v>
      </c>
      <c r="BU936" s="144">
        <v>7.2256097560975605E-2</v>
      </c>
      <c r="BV936">
        <v>9129</v>
      </c>
      <c r="BX936">
        <f t="shared" si="185"/>
        <v>9.1289999999999996</v>
      </c>
      <c r="BY936">
        <f t="shared" si="194"/>
        <v>0.1908691756272401</v>
      </c>
      <c r="BZ936">
        <v>0</v>
      </c>
      <c r="CA936">
        <v>0</v>
      </c>
      <c r="CB936">
        <v>0</v>
      </c>
      <c r="CC936">
        <v>0</v>
      </c>
      <c r="CD936">
        <v>0</v>
      </c>
      <c r="CE936">
        <v>0</v>
      </c>
      <c r="CF936">
        <v>0</v>
      </c>
      <c r="CG936">
        <v>0</v>
      </c>
      <c r="CH936">
        <v>0</v>
      </c>
      <c r="CI936">
        <v>0</v>
      </c>
      <c r="CJ936">
        <v>0</v>
      </c>
      <c r="CK936">
        <v>0</v>
      </c>
      <c r="CL936">
        <v>0</v>
      </c>
      <c r="CM936">
        <v>0</v>
      </c>
      <c r="CN936" t="str">
        <f t="shared" si="179"/>
        <v>refOK</v>
      </c>
      <c r="CO936">
        <f t="shared" si="186"/>
        <v>0</v>
      </c>
      <c r="CP936">
        <f t="shared" si="187"/>
        <v>23436</v>
      </c>
      <c r="CQ936">
        <f t="shared" si="170"/>
        <v>47.828571428571436</v>
      </c>
      <c r="CR936">
        <f t="shared" si="158"/>
        <v>-9840</v>
      </c>
      <c r="CS936">
        <f t="shared" si="182"/>
        <v>-711</v>
      </c>
      <c r="CT936">
        <f t="shared" si="168"/>
        <v>9.1289999999999996</v>
      </c>
      <c r="CU936">
        <f t="shared" si="156"/>
        <v>0.1908691756272401</v>
      </c>
      <c r="CV936" s="2">
        <f t="shared" si="169"/>
        <v>0.92774390243902438</v>
      </c>
      <c r="CW936" s="1" t="s">
        <v>1205</v>
      </c>
      <c r="CX936" t="str">
        <f t="shared" si="195"/>
        <v>reg</v>
      </c>
      <c r="CY936" t="s">
        <v>349</v>
      </c>
      <c r="CZ936">
        <v>2014</v>
      </c>
      <c r="DA936">
        <v>2034</v>
      </c>
      <c r="DB936">
        <v>20</v>
      </c>
      <c r="DC936" t="str">
        <f t="shared" si="196"/>
        <v>1-30</v>
      </c>
      <c r="DD936">
        <v>0</v>
      </c>
      <c r="DE936">
        <v>0</v>
      </c>
      <c r="DF936">
        <v>0</v>
      </c>
      <c r="DG936">
        <v>1</v>
      </c>
      <c r="DI936">
        <f t="shared" si="180"/>
        <v>1</v>
      </c>
      <c r="DJ936" t="str">
        <f t="shared" si="155"/>
        <v>TimberInput</v>
      </c>
      <c r="DK936">
        <f t="shared" si="172"/>
        <v>0</v>
      </c>
      <c r="DL936">
        <f t="shared" si="173"/>
        <v>0</v>
      </c>
      <c r="DM936">
        <f t="shared" si="174"/>
        <v>0</v>
      </c>
      <c r="DN936" t="str">
        <f t="shared" si="175"/>
        <v>Timber</v>
      </c>
      <c r="DO936">
        <v>0</v>
      </c>
      <c r="DP936">
        <v>0</v>
      </c>
      <c r="DQ936">
        <v>0</v>
      </c>
      <c r="DR936">
        <v>0</v>
      </c>
      <c r="DS936">
        <v>0</v>
      </c>
      <c r="DT936">
        <f t="shared" si="160"/>
        <v>0</v>
      </c>
      <c r="DU936" s="143" t="str">
        <f t="shared" si="198"/>
        <v>explicit C balance</v>
      </c>
      <c r="DV936">
        <v>0</v>
      </c>
      <c r="DW936">
        <v>0</v>
      </c>
      <c r="DX936">
        <v>0</v>
      </c>
      <c r="DY936">
        <v>0</v>
      </c>
      <c r="DZ936">
        <v>0</v>
      </c>
      <c r="EA936" s="143">
        <v>1</v>
      </c>
      <c r="EB936">
        <v>0</v>
      </c>
      <c r="EC936">
        <v>1</v>
      </c>
      <c r="ED936">
        <v>1</v>
      </c>
      <c r="EE936">
        <v>1</v>
      </c>
      <c r="EF936">
        <v>0</v>
      </c>
      <c r="EG936">
        <v>0</v>
      </c>
      <c r="EH936">
        <v>0</v>
      </c>
      <c r="EI936" s="2">
        <v>0</v>
      </c>
      <c r="EK936" t="str">
        <f t="shared" si="176"/>
        <v/>
      </c>
      <c r="EL936" t="str">
        <f t="shared" si="177"/>
        <v/>
      </c>
      <c r="EM936" s="2" t="str">
        <f t="shared" si="197"/>
        <v>Technology approach</v>
      </c>
      <c r="EP936" t="str">
        <f>IF(ISNUMBER(BU936),IF(ABS(BU936-[2]QC_indicators!$B$2)&gt;3*[2]QC_indicators!$C$2,"C ratio",IF(ISNUMBER(BY936),IF(ABS(BY936-[2]QC_indicators!$B$1)&gt;3*[2]QC_indicators!$C$1,"DF","no"))),IF(ISNUMBER(BY936),IF(ABS(BY936-[2]QC_indicators!$B$1)&gt;3*[2]QC_indicators!$C$1,"DF","no")))</f>
        <v>no</v>
      </c>
      <c r="ER936" s="149" t="s">
        <v>350</v>
      </c>
      <c r="ET936" s="266" t="s">
        <v>3275</v>
      </c>
    </row>
    <row r="937" spans="1:150" ht="15" hidden="1" customHeight="1">
      <c r="A937" s="1" t="s">
        <v>1235</v>
      </c>
      <c r="B937" t="s">
        <v>1236</v>
      </c>
      <c r="C937" t="s">
        <v>1237</v>
      </c>
      <c r="D937" t="s">
        <v>337</v>
      </c>
      <c r="E937" t="s">
        <v>1238</v>
      </c>
      <c r="F937" t="s">
        <v>1239</v>
      </c>
      <c r="G937" t="s">
        <v>1240</v>
      </c>
      <c r="I937">
        <v>2018</v>
      </c>
      <c r="K937" t="s">
        <v>1241</v>
      </c>
      <c r="M937" t="str">
        <f t="shared" si="153"/>
        <v>Balasbaneh_2018</v>
      </c>
      <c r="N937" t="s">
        <v>223</v>
      </c>
      <c r="O937" s="140" t="s">
        <v>514</v>
      </c>
      <c r="Q937" t="s">
        <v>225</v>
      </c>
      <c r="R937" s="264" t="s">
        <v>224</v>
      </c>
      <c r="S937" s="1" t="s">
        <v>1264</v>
      </c>
      <c r="T937" s="266" t="s">
        <v>3117</v>
      </c>
      <c r="U937" s="266" t="s">
        <v>3118</v>
      </c>
      <c r="V937">
        <v>0</v>
      </c>
      <c r="W937">
        <v>0</v>
      </c>
      <c r="X937">
        <v>0</v>
      </c>
      <c r="Y937">
        <v>0</v>
      </c>
      <c r="Z937">
        <v>0</v>
      </c>
      <c r="AA937">
        <v>0</v>
      </c>
      <c r="AB937">
        <v>0</v>
      </c>
      <c r="AC937">
        <v>0</v>
      </c>
      <c r="AD937">
        <v>0</v>
      </c>
      <c r="AE937">
        <v>0</v>
      </c>
      <c r="AF937">
        <v>0</v>
      </c>
      <c r="AG937">
        <v>0</v>
      </c>
      <c r="AH937">
        <v>0</v>
      </c>
      <c r="AI937">
        <v>0</v>
      </c>
      <c r="AJ937">
        <v>0</v>
      </c>
      <c r="AK937">
        <v>1</v>
      </c>
      <c r="AL937">
        <v>0</v>
      </c>
      <c r="AM937">
        <v>0</v>
      </c>
      <c r="AN937">
        <v>0</v>
      </c>
      <c r="AO937">
        <v>0</v>
      </c>
      <c r="AP937">
        <v>0</v>
      </c>
      <c r="AQ937">
        <v>0</v>
      </c>
      <c r="AR937">
        <v>0</v>
      </c>
      <c r="AS937">
        <v>0</v>
      </c>
      <c r="AT937">
        <v>0</v>
      </c>
      <c r="AU937">
        <v>0</v>
      </c>
      <c r="AV937">
        <v>0</v>
      </c>
      <c r="AW937">
        <v>0</v>
      </c>
      <c r="AX937" s="141">
        <f t="shared" si="167"/>
        <v>1</v>
      </c>
      <c r="AY937" s="141">
        <f t="shared" si="188"/>
        <v>1</v>
      </c>
      <c r="AZ937">
        <f t="shared" si="189"/>
        <v>0</v>
      </c>
      <c r="BA937">
        <f t="shared" si="190"/>
        <v>0</v>
      </c>
      <c r="BB937">
        <f t="shared" si="191"/>
        <v>1</v>
      </c>
      <c r="BC937">
        <f t="shared" si="192"/>
        <v>0</v>
      </c>
      <c r="BD937">
        <f t="shared" si="193"/>
        <v>0</v>
      </c>
      <c r="BE937" t="str">
        <f t="array" ref="BE937">IF(AY937=1,INDEX($V$7:$AL$7,MATCH(TRUE,INDEX($V937:$AW937&lt;&gt;0,),0)),IF(AY937=0,INDEX($AM$7:$AW$7,MATCH(1,$AM937:$AW937,0)),IF(BF937="Multiple strategies","mixed drivers",IF(BF937="Supply chain","multiple supply","multiple silviculture"))))</f>
        <v>technologies/design switch</v>
      </c>
      <c r="BF937" s="2" t="str" cm="1">
        <f t="array" ref="BF937">IF(COUNTIF(AZ937:BB937,"&lt;&gt;0")=1,INDEX($V$4:$AW$4,MATCH(TRUE,INDEX($V937:$AW937&lt;&gt;0,),0)),IF(COUNTIF(AZ937:BB937,"&lt;&gt;0")=0,INDEX($AM$4:$AW$4,MATCH(1,$AM937:$AW937,0)),"Multiple strategies"))</f>
        <v>Technology</v>
      </c>
      <c r="BG937" s="1" t="s">
        <v>230</v>
      </c>
      <c r="BH937" t="s">
        <v>230</v>
      </c>
      <c r="BJ937" t="s">
        <v>346</v>
      </c>
      <c r="BK937">
        <v>0</v>
      </c>
      <c r="BL937">
        <v>23436</v>
      </c>
      <c r="BM937" s="143"/>
      <c r="BN937">
        <f t="shared" si="171"/>
        <v>23436</v>
      </c>
      <c r="BO937" s="143">
        <f t="shared" si="184"/>
        <v>47.828571428571436</v>
      </c>
      <c r="BP937" t="s">
        <v>233</v>
      </c>
      <c r="BQ937" s="153" t="s">
        <v>1059</v>
      </c>
      <c r="BR937" t="s">
        <v>398</v>
      </c>
      <c r="BS937">
        <v>-23200</v>
      </c>
      <c r="BT937">
        <v>-711</v>
      </c>
      <c r="BU937" s="144">
        <v>3.0646551724137931E-2</v>
      </c>
      <c r="BV937">
        <v>22489</v>
      </c>
      <c r="BX937">
        <f t="shared" si="185"/>
        <v>22.489000000000001</v>
      </c>
      <c r="BY937">
        <f t="shared" si="194"/>
        <v>0.47020011947431295</v>
      </c>
      <c r="BZ937">
        <v>0</v>
      </c>
      <c r="CA937">
        <v>0</v>
      </c>
      <c r="CB937">
        <v>0</v>
      </c>
      <c r="CC937">
        <v>0</v>
      </c>
      <c r="CD937">
        <v>0</v>
      </c>
      <c r="CE937">
        <v>0</v>
      </c>
      <c r="CF937">
        <v>0</v>
      </c>
      <c r="CG937">
        <v>0</v>
      </c>
      <c r="CH937">
        <v>0</v>
      </c>
      <c r="CI937">
        <v>0</v>
      </c>
      <c r="CJ937">
        <v>0</v>
      </c>
      <c r="CK937">
        <v>0</v>
      </c>
      <c r="CL937">
        <v>0</v>
      </c>
      <c r="CM937">
        <v>0</v>
      </c>
      <c r="CN937" t="str">
        <f t="shared" ref="CN937:CN968" si="199">IF($BL937&lt;$BK937,"refNeedCorrection","refOK")</f>
        <v>refOK</v>
      </c>
      <c r="CO937">
        <f t="shared" si="186"/>
        <v>0</v>
      </c>
      <c r="CP937">
        <f t="shared" si="187"/>
        <v>23436</v>
      </c>
      <c r="CQ937">
        <f t="shared" si="170"/>
        <v>47.828571428571436</v>
      </c>
      <c r="CR937">
        <f t="shared" si="158"/>
        <v>-23200</v>
      </c>
      <c r="CS937">
        <f t="shared" si="182"/>
        <v>-711</v>
      </c>
      <c r="CT937">
        <f t="shared" si="168"/>
        <v>22.489000000000001</v>
      </c>
      <c r="CU937">
        <f t="shared" si="156"/>
        <v>0.47020011947431295</v>
      </c>
      <c r="CV937" s="2">
        <f t="shared" si="169"/>
        <v>0.96935344827586212</v>
      </c>
      <c r="CW937" s="1" t="s">
        <v>1205</v>
      </c>
      <c r="CX937" t="str">
        <f t="shared" si="195"/>
        <v>reg</v>
      </c>
      <c r="CY937" t="s">
        <v>349</v>
      </c>
      <c r="CZ937">
        <v>2014</v>
      </c>
      <c r="DA937">
        <v>2034</v>
      </c>
      <c r="DB937">
        <v>20</v>
      </c>
      <c r="DC937" t="str">
        <f t="shared" si="196"/>
        <v>1-30</v>
      </c>
      <c r="DD937">
        <v>0</v>
      </c>
      <c r="DE937">
        <v>0</v>
      </c>
      <c r="DF937">
        <v>0</v>
      </c>
      <c r="DG937">
        <v>1</v>
      </c>
      <c r="DI937">
        <f t="shared" si="180"/>
        <v>1</v>
      </c>
      <c r="DJ937" t="str">
        <f t="shared" si="155"/>
        <v>TimberInput</v>
      </c>
      <c r="DK937">
        <f t="shared" si="172"/>
        <v>0</v>
      </c>
      <c r="DL937">
        <f t="shared" si="173"/>
        <v>0</v>
      </c>
      <c r="DM937">
        <f t="shared" si="174"/>
        <v>0</v>
      </c>
      <c r="DN937" t="str">
        <f t="shared" si="175"/>
        <v>Timber</v>
      </c>
      <c r="DO937">
        <v>0</v>
      </c>
      <c r="DP937">
        <v>0</v>
      </c>
      <c r="DQ937">
        <v>0</v>
      </c>
      <c r="DR937">
        <v>0</v>
      </c>
      <c r="DS937">
        <v>0</v>
      </c>
      <c r="DT937">
        <f t="shared" si="160"/>
        <v>0</v>
      </c>
      <c r="DU937" s="143" t="str">
        <f t="shared" si="198"/>
        <v>explicit C balance</v>
      </c>
      <c r="DV937">
        <v>0</v>
      </c>
      <c r="DW937">
        <v>0</v>
      </c>
      <c r="DX937">
        <v>0</v>
      </c>
      <c r="DY937">
        <v>0</v>
      </c>
      <c r="DZ937">
        <v>0</v>
      </c>
      <c r="EA937" s="143">
        <v>1</v>
      </c>
      <c r="EB937">
        <v>0</v>
      </c>
      <c r="EC937">
        <v>1</v>
      </c>
      <c r="ED937">
        <v>1</v>
      </c>
      <c r="EE937">
        <v>1</v>
      </c>
      <c r="EF937">
        <v>0</v>
      </c>
      <c r="EG937">
        <v>0</v>
      </c>
      <c r="EH937">
        <v>0</v>
      </c>
      <c r="EI937" s="2">
        <v>0</v>
      </c>
      <c r="EK937" t="str">
        <f t="shared" si="176"/>
        <v/>
      </c>
      <c r="EL937" t="str">
        <f t="shared" si="177"/>
        <v/>
      </c>
      <c r="EM937" s="2" t="str">
        <f t="shared" si="197"/>
        <v>Technology approach</v>
      </c>
      <c r="EP937" t="str">
        <f>IF(ISNUMBER(BU937),IF(ABS(BU937-[2]QC_indicators!$B$2)&gt;3*[2]QC_indicators!$C$2,"C ratio",IF(ISNUMBER(BY937),IF(ABS(BY937-[2]QC_indicators!$B$1)&gt;3*[2]QC_indicators!$C$1,"DF","no"))),IF(ISNUMBER(BY937),IF(ABS(BY937-[2]QC_indicators!$B$1)&gt;3*[2]QC_indicators!$C$1,"DF","no")))</f>
        <v>no</v>
      </c>
      <c r="ER937" s="149" t="s">
        <v>350</v>
      </c>
      <c r="ET937" s="266" t="s">
        <v>3275</v>
      </c>
    </row>
    <row r="938" spans="1:150" ht="15" hidden="1" customHeight="1">
      <c r="A938" s="1" t="s">
        <v>669</v>
      </c>
      <c r="B938" t="s">
        <v>670</v>
      </c>
      <c r="C938" t="s">
        <v>671</v>
      </c>
      <c r="D938" t="s">
        <v>672</v>
      </c>
      <c r="E938" t="s">
        <v>673</v>
      </c>
      <c r="F938" t="s">
        <v>674</v>
      </c>
      <c r="G938" t="s">
        <v>675</v>
      </c>
      <c r="H938" t="s">
        <v>255</v>
      </c>
      <c r="I938">
        <v>2015</v>
      </c>
      <c r="J938">
        <v>68</v>
      </c>
      <c r="K938" t="s">
        <v>676</v>
      </c>
      <c r="M938" t="str">
        <f t="shared" si="153"/>
        <v>Dong_2015</v>
      </c>
      <c r="N938" t="s">
        <v>1354</v>
      </c>
      <c r="O938" s="145" t="s">
        <v>275</v>
      </c>
      <c r="Q938" t="s">
        <v>257</v>
      </c>
      <c r="R938" s="264" t="s">
        <v>224</v>
      </c>
      <c r="S938" s="265" t="s">
        <v>3119</v>
      </c>
      <c r="T938" t="s">
        <v>677</v>
      </c>
      <c r="U938" t="s">
        <v>678</v>
      </c>
      <c r="V938">
        <v>0</v>
      </c>
      <c r="W938">
        <v>0</v>
      </c>
      <c r="X938">
        <v>0</v>
      </c>
      <c r="Y938">
        <v>0</v>
      </c>
      <c r="Z938">
        <v>0</v>
      </c>
      <c r="AA938">
        <v>0</v>
      </c>
      <c r="AB938">
        <v>0</v>
      </c>
      <c r="AC938">
        <v>0</v>
      </c>
      <c r="AD938">
        <v>0</v>
      </c>
      <c r="AE938">
        <v>0</v>
      </c>
      <c r="AF938" s="151">
        <v>0</v>
      </c>
      <c r="AG938">
        <v>0</v>
      </c>
      <c r="AH938">
        <v>0</v>
      </c>
      <c r="AI938">
        <v>0</v>
      </c>
      <c r="AJ938">
        <v>0</v>
      </c>
      <c r="AK938">
        <v>1</v>
      </c>
      <c r="AL938">
        <v>0</v>
      </c>
      <c r="AM938">
        <v>0</v>
      </c>
      <c r="AN938">
        <v>0</v>
      </c>
      <c r="AO938">
        <v>0</v>
      </c>
      <c r="AP938">
        <v>0</v>
      </c>
      <c r="AQ938">
        <v>0</v>
      </c>
      <c r="AR938">
        <v>0</v>
      </c>
      <c r="AS938">
        <v>0</v>
      </c>
      <c r="AT938">
        <v>0</v>
      </c>
      <c r="AU938">
        <v>0</v>
      </c>
      <c r="AV938">
        <v>0</v>
      </c>
      <c r="AW938">
        <v>0</v>
      </c>
      <c r="AX938" s="141">
        <f t="shared" si="167"/>
        <v>1</v>
      </c>
      <c r="AY938" s="141">
        <f t="shared" si="188"/>
        <v>1</v>
      </c>
      <c r="AZ938">
        <f t="shared" si="189"/>
        <v>0</v>
      </c>
      <c r="BA938">
        <f t="shared" si="190"/>
        <v>0</v>
      </c>
      <c r="BB938">
        <f t="shared" si="191"/>
        <v>1</v>
      </c>
      <c r="BC938">
        <f t="shared" si="192"/>
        <v>0</v>
      </c>
      <c r="BD938">
        <f t="shared" si="193"/>
        <v>0</v>
      </c>
      <c r="BE938" t="str">
        <f t="array" ref="BE938">IF(AY938=1,INDEX($V$7:$AL$7,MATCH(TRUE,INDEX($V938:$AW938&lt;&gt;0,),0)),IF(AY938=0,INDEX($AM$7:$AW$7,MATCH(1,$AM938:$AW938,0)),IF(BF938="Multiple strategies","mixed drivers",IF(BF938="Supply chain","multiple supply","multiple silviculture"))))</f>
        <v>technologies/design switch</v>
      </c>
      <c r="BF938" s="2" t="str" cm="1">
        <f t="array" ref="BF938">IF(COUNTIF(AZ938:BB938,"&lt;&gt;0")=1,INDEX($V$4:$AW$4,MATCH(TRUE,INDEX($V938:$AW938&lt;&gt;0,),0)),IF(COUNTIF(AZ938:BB938,"&lt;&gt;0")=0,INDEX($AM$4:$AW$4,MATCH(1,$AM938:$AW938,0)),"Multiple strategies"))</f>
        <v>Technology</v>
      </c>
      <c r="BG938" s="1" t="s">
        <v>230</v>
      </c>
      <c r="BH938" t="s">
        <v>679</v>
      </c>
      <c r="BI938" s="266" t="s">
        <v>613</v>
      </c>
      <c r="BJ938" s="266" t="s">
        <v>519</v>
      </c>
      <c r="BK938">
        <v>0</v>
      </c>
      <c r="BL938" s="152">
        <v>45.7</v>
      </c>
      <c r="BN938">
        <f t="shared" si="171"/>
        <v>45.7</v>
      </c>
      <c r="BO938">
        <f t="shared" si="184"/>
        <v>9.3265306122448988E-2</v>
      </c>
      <c r="BP938" s="143" t="s">
        <v>396</v>
      </c>
      <c r="BQ938" s="143"/>
      <c r="BR938" t="s">
        <v>681</v>
      </c>
      <c r="BS938" s="152">
        <v>692</v>
      </c>
      <c r="BT938" s="152">
        <v>770</v>
      </c>
      <c r="BU938" s="144">
        <f>IFERROR(BT938/BS938,"")</f>
        <v>1.1127167630057804</v>
      </c>
      <c r="BV938" s="152">
        <f t="shared" ref="BV938:BV971" si="200">BT938-BS938</f>
        <v>78</v>
      </c>
      <c r="BW938" s="152"/>
      <c r="BX938">
        <f t="shared" si="185"/>
        <v>7.8E-2</v>
      </c>
      <c r="BY938">
        <f t="shared" si="194"/>
        <v>0.83632385120350106</v>
      </c>
      <c r="BZ938">
        <v>0</v>
      </c>
      <c r="CA938">
        <v>0</v>
      </c>
      <c r="CB938">
        <v>0</v>
      </c>
      <c r="CC938">
        <v>0</v>
      </c>
      <c r="CD938">
        <v>0</v>
      </c>
      <c r="CE938">
        <v>0</v>
      </c>
      <c r="CF938">
        <v>0</v>
      </c>
      <c r="CG938">
        <v>0</v>
      </c>
      <c r="CH938">
        <v>0</v>
      </c>
      <c r="CI938">
        <v>0</v>
      </c>
      <c r="CJ938">
        <v>0</v>
      </c>
      <c r="CK938">
        <v>0</v>
      </c>
      <c r="CL938">
        <v>0</v>
      </c>
      <c r="CM938">
        <v>0</v>
      </c>
      <c r="CN938" t="str">
        <f t="shared" si="199"/>
        <v>refOK</v>
      </c>
      <c r="CO938">
        <f>IF($CN938="refOK",$BK938,$BL938)</f>
        <v>0</v>
      </c>
      <c r="CP938">
        <f>IF($CN938="refOK",$BL938,$BK938)</f>
        <v>45.7</v>
      </c>
      <c r="CQ938">
        <f t="shared" si="170"/>
        <v>9.3265306122448988E-2</v>
      </c>
      <c r="CR938">
        <f t="shared" si="158"/>
        <v>-692</v>
      </c>
      <c r="CS938">
        <f t="shared" si="182"/>
        <v>-770</v>
      </c>
      <c r="CT938">
        <f t="shared" si="168"/>
        <v>-7.8E-2</v>
      </c>
      <c r="CU938">
        <f t="shared" si="156"/>
        <v>-0.83632385120350106</v>
      </c>
      <c r="CV938" s="2">
        <f t="shared" si="169"/>
        <v>-0.11271676300578035</v>
      </c>
      <c r="CW938" s="1" t="s">
        <v>264</v>
      </c>
      <c r="CX938" t="str">
        <f t="shared" si="195"/>
        <v>loc</v>
      </c>
      <c r="CY938" t="s">
        <v>682</v>
      </c>
      <c r="DB938">
        <v>0</v>
      </c>
      <c r="DC938" t="str">
        <f t="shared" si="196"/>
        <v>0</v>
      </c>
      <c r="DD938">
        <v>0</v>
      </c>
      <c r="DE938">
        <v>0</v>
      </c>
      <c r="DF938">
        <v>0</v>
      </c>
      <c r="DG938">
        <v>1</v>
      </c>
      <c r="DI938">
        <f t="shared" si="180"/>
        <v>1</v>
      </c>
      <c r="DJ938" t="str">
        <f t="shared" si="155"/>
        <v>TimberInput</v>
      </c>
      <c r="DK938">
        <f t="shared" si="172"/>
        <v>0</v>
      </c>
      <c r="DL938">
        <f t="shared" si="173"/>
        <v>0</v>
      </c>
      <c r="DM938">
        <f t="shared" si="174"/>
        <v>0</v>
      </c>
      <c r="DN938" t="str">
        <f t="shared" si="175"/>
        <v>Timber</v>
      </c>
      <c r="DO938">
        <v>1</v>
      </c>
      <c r="DP938">
        <v>0</v>
      </c>
      <c r="DQ938">
        <v>0</v>
      </c>
      <c r="DR938">
        <v>0</v>
      </c>
      <c r="DS938">
        <v>0</v>
      </c>
      <c r="DT938">
        <f t="shared" si="160"/>
        <v>1</v>
      </c>
      <c r="DU938" s="143" t="str">
        <f t="shared" si="198"/>
        <v>self-calculated DF</v>
      </c>
      <c r="DV938">
        <v>0</v>
      </c>
      <c r="DW938">
        <v>0</v>
      </c>
      <c r="DX938">
        <v>0</v>
      </c>
      <c r="DY938">
        <v>0</v>
      </c>
      <c r="DZ938">
        <v>0</v>
      </c>
      <c r="EA938" s="143">
        <v>1</v>
      </c>
      <c r="EB938">
        <v>0</v>
      </c>
      <c r="EC938">
        <v>1</v>
      </c>
      <c r="ED938">
        <v>0</v>
      </c>
      <c r="EE938">
        <v>0</v>
      </c>
      <c r="EF938">
        <v>0</v>
      </c>
      <c r="EG938">
        <v>0</v>
      </c>
      <c r="EH938">
        <v>0</v>
      </c>
      <c r="EI938" s="2">
        <v>0</v>
      </c>
      <c r="EK938" t="str">
        <f t="shared" si="176"/>
        <v/>
      </c>
      <c r="EL938" t="str">
        <f t="shared" si="177"/>
        <v/>
      </c>
      <c r="EM938" s="2" t="str">
        <f t="shared" si="197"/>
        <v/>
      </c>
      <c r="EO938" s="147"/>
      <c r="EP938" t="str">
        <f>IF(ISNUMBER(BU938),IF(ABS(BU938-[2]QC_indicators!$B$2)&gt;3*[2]QC_indicators!$C$2,"C ratio",IF(ISNUMBER(BY938),IF(ABS(BY938-[2]QC_indicators!$B$1)&gt;3*[2]QC_indicators!$C$1,"DF","no"))),IF(ISNUMBER(BY938),IF(ABS(BY938-[2]QC_indicators!$B$1)&gt;3*[2]QC_indicators!$C$1,"DF","no")))</f>
        <v>no</v>
      </c>
      <c r="ET938" s="266" t="s">
        <v>3120</v>
      </c>
    </row>
    <row r="939" spans="1:150" ht="15" hidden="1" customHeight="1">
      <c r="A939" s="1" t="s">
        <v>669</v>
      </c>
      <c r="B939" t="s">
        <v>670</v>
      </c>
      <c r="C939" t="s">
        <v>671</v>
      </c>
      <c r="D939" t="s">
        <v>672</v>
      </c>
      <c r="E939" t="s">
        <v>673</v>
      </c>
      <c r="F939" t="s">
        <v>674</v>
      </c>
      <c r="G939" t="s">
        <v>675</v>
      </c>
      <c r="H939" t="s">
        <v>255</v>
      </c>
      <c r="I939">
        <v>2015</v>
      </c>
      <c r="J939">
        <v>68</v>
      </c>
      <c r="K939" t="s">
        <v>676</v>
      </c>
      <c r="M939" t="str">
        <f t="shared" ref="M939:M1002" si="201">LEFT($D939,FIND(",",$D939)-1)&amp;"_"&amp;I939&amp;L939</f>
        <v>Dong_2015</v>
      </c>
      <c r="N939" t="s">
        <v>1354</v>
      </c>
      <c r="O939" s="145" t="s">
        <v>275</v>
      </c>
      <c r="Q939" t="s">
        <v>257</v>
      </c>
      <c r="R939" s="264" t="s">
        <v>224</v>
      </c>
      <c r="S939" s="265" t="s">
        <v>3121</v>
      </c>
      <c r="T939" t="s">
        <v>677</v>
      </c>
      <c r="U939" t="s">
        <v>678</v>
      </c>
      <c r="V939">
        <v>0</v>
      </c>
      <c r="W939">
        <v>0</v>
      </c>
      <c r="X939">
        <v>0</v>
      </c>
      <c r="Y939">
        <v>0</v>
      </c>
      <c r="Z939">
        <v>0</v>
      </c>
      <c r="AA939">
        <v>0</v>
      </c>
      <c r="AB939">
        <v>0</v>
      </c>
      <c r="AC939">
        <v>0</v>
      </c>
      <c r="AD939">
        <v>0</v>
      </c>
      <c r="AE939">
        <v>0</v>
      </c>
      <c r="AF939" s="151">
        <v>0</v>
      </c>
      <c r="AG939">
        <v>0</v>
      </c>
      <c r="AH939">
        <v>0</v>
      </c>
      <c r="AI939">
        <v>0</v>
      </c>
      <c r="AJ939">
        <v>0</v>
      </c>
      <c r="AK939">
        <v>1</v>
      </c>
      <c r="AL939">
        <v>0</v>
      </c>
      <c r="AM939">
        <v>0</v>
      </c>
      <c r="AN939">
        <v>0</v>
      </c>
      <c r="AO939">
        <v>0</v>
      </c>
      <c r="AP939">
        <v>0</v>
      </c>
      <c r="AQ939">
        <v>0</v>
      </c>
      <c r="AR939">
        <v>0</v>
      </c>
      <c r="AS939">
        <v>0</v>
      </c>
      <c r="AT939">
        <v>0</v>
      </c>
      <c r="AU939">
        <v>0</v>
      </c>
      <c r="AV939">
        <v>0</v>
      </c>
      <c r="AW939">
        <v>0</v>
      </c>
      <c r="AX939" s="141">
        <f t="shared" si="167"/>
        <v>1</v>
      </c>
      <c r="AY939" s="141">
        <f t="shared" si="188"/>
        <v>1</v>
      </c>
      <c r="AZ939">
        <f t="shared" si="189"/>
        <v>0</v>
      </c>
      <c r="BA939">
        <f t="shared" si="190"/>
        <v>0</v>
      </c>
      <c r="BB939">
        <f t="shared" si="191"/>
        <v>1</v>
      </c>
      <c r="BC939">
        <f t="shared" si="192"/>
        <v>0</v>
      </c>
      <c r="BD939">
        <f t="shared" si="193"/>
        <v>0</v>
      </c>
      <c r="BE939" t="str">
        <f t="array" ref="BE939">IF(AY939=1,INDEX($V$7:$AL$7,MATCH(TRUE,INDEX($V939:$AW939&lt;&gt;0,),0)),IF(AY939=0,INDEX($AM$7:$AW$7,MATCH(1,$AM939:$AW939,0)),IF(BF939="Multiple strategies","mixed drivers",IF(BF939="Supply chain","multiple supply","multiple silviculture"))))</f>
        <v>technologies/design switch</v>
      </c>
      <c r="BF939" s="2" t="str" cm="1">
        <f t="array" ref="BF939">IF(COUNTIF(AZ939:BB939,"&lt;&gt;0")=1,INDEX($V$4:$AW$4,MATCH(TRUE,INDEX($V939:$AW939&lt;&gt;0,),0)),IF(COUNTIF(AZ939:BB939,"&lt;&gt;0")=0,INDEX($AM$4:$AW$4,MATCH(1,$AM939:$AW939,0)),"Multiple strategies"))</f>
        <v>Technology</v>
      </c>
      <c r="BG939" s="1" t="s">
        <v>230</v>
      </c>
      <c r="BH939" t="s">
        <v>679</v>
      </c>
      <c r="BI939" s="266" t="s">
        <v>613</v>
      </c>
      <c r="BJ939" s="266" t="s">
        <v>519</v>
      </c>
      <c r="BK939">
        <v>0</v>
      </c>
      <c r="BL939" s="152">
        <v>45.7</v>
      </c>
      <c r="BN939">
        <f t="shared" si="171"/>
        <v>45.7</v>
      </c>
      <c r="BO939">
        <f t="shared" si="184"/>
        <v>9.3265306122448988E-2</v>
      </c>
      <c r="BP939" s="143" t="s">
        <v>396</v>
      </c>
      <c r="BQ939" s="143"/>
      <c r="BR939" t="s">
        <v>681</v>
      </c>
      <c r="BS939" s="152">
        <v>10</v>
      </c>
      <c r="BT939" s="152">
        <v>105</v>
      </c>
      <c r="BU939" s="144">
        <f>IFERROR(BT939/BS939,"")</f>
        <v>10.5</v>
      </c>
      <c r="BV939" s="152">
        <f t="shared" si="200"/>
        <v>95</v>
      </c>
      <c r="BW939" s="152"/>
      <c r="BX939">
        <f t="shared" si="185"/>
        <v>9.5000000000000001E-2</v>
      </c>
      <c r="BY939">
        <f t="shared" si="194"/>
        <v>1.0185995623632385</v>
      </c>
      <c r="BZ939">
        <v>0</v>
      </c>
      <c r="CA939">
        <v>0</v>
      </c>
      <c r="CB939">
        <v>0</v>
      </c>
      <c r="CC939">
        <v>0</v>
      </c>
      <c r="CD939">
        <v>0</v>
      </c>
      <c r="CE939">
        <v>0</v>
      </c>
      <c r="CF939">
        <v>0</v>
      </c>
      <c r="CG939">
        <v>0</v>
      </c>
      <c r="CH939">
        <v>0</v>
      </c>
      <c r="CI939">
        <v>0</v>
      </c>
      <c r="CJ939">
        <v>0</v>
      </c>
      <c r="CK939">
        <v>0</v>
      </c>
      <c r="CL939">
        <v>0</v>
      </c>
      <c r="CM939">
        <v>0</v>
      </c>
      <c r="CN939" t="str">
        <f t="shared" si="199"/>
        <v>refOK</v>
      </c>
      <c r="CO939">
        <f>IF($CN939="refOK",$BK939,$BL939)</f>
        <v>0</v>
      </c>
      <c r="CP939">
        <f>IF($CN939="refOK",$BL939,$BK939)</f>
        <v>45.7</v>
      </c>
      <c r="CQ939">
        <f t="shared" si="170"/>
        <v>9.3265306122448988E-2</v>
      </c>
      <c r="CR939">
        <f t="shared" si="158"/>
        <v>-10</v>
      </c>
      <c r="CS939">
        <f t="shared" si="182"/>
        <v>-105</v>
      </c>
      <c r="CT939">
        <f t="shared" si="168"/>
        <v>-9.5000000000000001E-2</v>
      </c>
      <c r="CU939">
        <f t="shared" si="156"/>
        <v>-1.0185995623632385</v>
      </c>
      <c r="CV939" s="2">
        <f t="shared" si="169"/>
        <v>-9.5</v>
      </c>
      <c r="CW939" s="1" t="s">
        <v>264</v>
      </c>
      <c r="CX939" t="str">
        <f t="shared" si="195"/>
        <v>loc</v>
      </c>
      <c r="CY939" t="s">
        <v>682</v>
      </c>
      <c r="DB939">
        <v>0</v>
      </c>
      <c r="DC939" t="str">
        <f t="shared" si="196"/>
        <v>0</v>
      </c>
      <c r="DD939">
        <v>0</v>
      </c>
      <c r="DE939">
        <v>0</v>
      </c>
      <c r="DF939">
        <v>0</v>
      </c>
      <c r="DG939">
        <v>1</v>
      </c>
      <c r="DI939">
        <f t="shared" ref="DI939:DI970" si="202">SUM(DD939:DG939)</f>
        <v>1</v>
      </c>
      <c r="DJ939" t="str">
        <f t="shared" ref="DJ939:DJ1002" si="203">IF(DI939=1,INDEX($DD$7:$DG$7,MATCH(1,$DD939:$DG939,0)),"mixedProduct")</f>
        <v>TimberInput</v>
      </c>
      <c r="DK939">
        <f t="shared" si="172"/>
        <v>0</v>
      </c>
      <c r="DL939">
        <f t="shared" si="173"/>
        <v>0</v>
      </c>
      <c r="DM939">
        <f t="shared" si="174"/>
        <v>0</v>
      </c>
      <c r="DN939" t="str">
        <f t="shared" si="175"/>
        <v>Timber</v>
      </c>
      <c r="DO939">
        <v>1</v>
      </c>
      <c r="DP939">
        <v>0</v>
      </c>
      <c r="DQ939">
        <v>0</v>
      </c>
      <c r="DR939">
        <v>0</v>
      </c>
      <c r="DS939">
        <v>0</v>
      </c>
      <c r="DT939">
        <f t="shared" si="160"/>
        <v>1</v>
      </c>
      <c r="DU939" s="143" t="str">
        <f t="shared" si="198"/>
        <v>self-calculated DF</v>
      </c>
      <c r="DV939">
        <v>0</v>
      </c>
      <c r="DW939">
        <v>0</v>
      </c>
      <c r="DX939">
        <v>0</v>
      </c>
      <c r="DY939">
        <v>0</v>
      </c>
      <c r="DZ939">
        <v>0</v>
      </c>
      <c r="EA939" s="143">
        <v>1</v>
      </c>
      <c r="EB939">
        <v>0</v>
      </c>
      <c r="EC939">
        <v>1</v>
      </c>
      <c r="ED939">
        <v>0</v>
      </c>
      <c r="EE939">
        <v>0</v>
      </c>
      <c r="EF939">
        <v>0</v>
      </c>
      <c r="EG939">
        <v>0</v>
      </c>
      <c r="EH939">
        <v>0</v>
      </c>
      <c r="EI939" s="2">
        <v>0</v>
      </c>
      <c r="EK939" t="str">
        <f t="shared" si="176"/>
        <v/>
      </c>
      <c r="EL939" t="str">
        <f t="shared" si="177"/>
        <v/>
      </c>
      <c r="EM939" s="2" t="str">
        <f t="shared" si="197"/>
        <v/>
      </c>
      <c r="EO939" s="147"/>
      <c r="EP939" t="str">
        <f>IF(ISNUMBER(BU939),IF(ABS(BU939-[2]QC_indicators!$B$2)&gt;3*[2]QC_indicators!$C$2,"C ratio",IF(ISNUMBER(BY939),IF(ABS(BY939-[2]QC_indicators!$B$1)&gt;3*[2]QC_indicators!$C$1,"DF","no"))),IF(ISNUMBER(BY939),IF(ABS(BY939-[2]QC_indicators!$B$1)&gt;3*[2]QC_indicators!$C$1,"DF","no")))</f>
        <v>no</v>
      </c>
      <c r="ET939" s="266" t="s">
        <v>3120</v>
      </c>
    </row>
    <row r="940" spans="1:150" ht="15" hidden="1" customHeight="1">
      <c r="A940" s="1" t="s">
        <v>783</v>
      </c>
      <c r="B940" t="s">
        <v>1568</v>
      </c>
      <c r="C940" t="s">
        <v>1569</v>
      </c>
      <c r="D940" t="s">
        <v>1570</v>
      </c>
      <c r="E940" t="s">
        <v>1571</v>
      </c>
      <c r="F940" t="s">
        <v>1572</v>
      </c>
      <c r="G940" t="s">
        <v>1573</v>
      </c>
      <c r="H940" t="s">
        <v>255</v>
      </c>
      <c r="I940">
        <v>2010</v>
      </c>
      <c r="J940">
        <v>35</v>
      </c>
      <c r="K940" t="s">
        <v>1574</v>
      </c>
      <c r="M940" t="str">
        <f t="shared" si="201"/>
        <v>Froese_2010</v>
      </c>
      <c r="N940" t="s">
        <v>223</v>
      </c>
      <c r="O940" s="145" t="s">
        <v>275</v>
      </c>
      <c r="Q940" t="s">
        <v>257</v>
      </c>
      <c r="R940" s="264" t="s">
        <v>224</v>
      </c>
      <c r="S940" s="1" t="s">
        <v>1575</v>
      </c>
      <c r="T940" t="s">
        <v>800</v>
      </c>
      <c r="U940" t="s">
        <v>1576</v>
      </c>
      <c r="V940">
        <v>0</v>
      </c>
      <c r="W940">
        <v>0</v>
      </c>
      <c r="X940">
        <v>0</v>
      </c>
      <c r="Y940">
        <v>0</v>
      </c>
      <c r="Z940">
        <v>0</v>
      </c>
      <c r="AA940">
        <v>0</v>
      </c>
      <c r="AB940">
        <v>0</v>
      </c>
      <c r="AC940">
        <v>0</v>
      </c>
      <c r="AD940">
        <v>0</v>
      </c>
      <c r="AE940">
        <v>0</v>
      </c>
      <c r="AF940">
        <v>0</v>
      </c>
      <c r="AG940">
        <v>0</v>
      </c>
      <c r="AH940">
        <v>0</v>
      </c>
      <c r="AI940">
        <v>0</v>
      </c>
      <c r="AJ940">
        <v>0</v>
      </c>
      <c r="AK940">
        <v>1</v>
      </c>
      <c r="AL940">
        <v>0</v>
      </c>
      <c r="AM940">
        <v>0</v>
      </c>
      <c r="AN940">
        <v>0</v>
      </c>
      <c r="AO940">
        <v>0</v>
      </c>
      <c r="AP940">
        <v>0</v>
      </c>
      <c r="AQ940">
        <v>0</v>
      </c>
      <c r="AR940">
        <v>0</v>
      </c>
      <c r="AS940">
        <v>0</v>
      </c>
      <c r="AT940">
        <v>0</v>
      </c>
      <c r="AU940">
        <v>0</v>
      </c>
      <c r="AV940">
        <v>0</v>
      </c>
      <c r="AW940">
        <v>0</v>
      </c>
      <c r="AX940" s="141">
        <f t="shared" si="167"/>
        <v>1</v>
      </c>
      <c r="AY940" s="141">
        <f t="shared" si="188"/>
        <v>1</v>
      </c>
      <c r="AZ940">
        <f t="shared" si="189"/>
        <v>0</v>
      </c>
      <c r="BA940">
        <f t="shared" si="190"/>
        <v>0</v>
      </c>
      <c r="BB940">
        <f t="shared" si="191"/>
        <v>1</v>
      </c>
      <c r="BC940">
        <f t="shared" si="192"/>
        <v>0</v>
      </c>
      <c r="BD940">
        <f t="shared" si="193"/>
        <v>0</v>
      </c>
      <c r="BE940" t="str">
        <f t="array" ref="BE940">IF(AY940=1,INDEX($V$7:$AL$7,MATCH(TRUE,INDEX($V940:$AW940&lt;&gt;0,),0)),IF(AY940=0,INDEX($AM$7:$AW$7,MATCH(1,$AM940:$AW940,0)),IF(BF940="Multiple strategies","mixed drivers",IF(BF940="Supply chain","multiple supply","multiple silviculture"))))</f>
        <v>technologies/design switch</v>
      </c>
      <c r="BF940" s="2" t="str" cm="1">
        <f t="array" ref="BF940">IF(COUNTIF(AZ940:BB940,"&lt;&gt;0")=1,INDEX($V$4:$AW$4,MATCH(TRUE,INDEX($V940:$AW940&lt;&gt;0,),0)),IF(COUNTIF(AZ940:BB940,"&lt;&gt;0")=0,INDEX($AM$4:$AW$4,MATCH(1,$AM940:$AW940,0)),"Multiple strategies"))</f>
        <v>Technology</v>
      </c>
      <c r="BG940" s="1" t="s">
        <v>230</v>
      </c>
      <c r="BH940" t="s">
        <v>1577</v>
      </c>
      <c r="BJ940" s="266" t="s">
        <v>3141</v>
      </c>
      <c r="BK940">
        <v>0</v>
      </c>
      <c r="BL940">
        <f>1/(18.3*0.2778)</f>
        <v>0.1967055750294075</v>
      </c>
      <c r="BN940">
        <f t="shared" si="171"/>
        <v>0.1967055750294075</v>
      </c>
      <c r="BO940">
        <f t="shared" si="184"/>
        <v>4.0143994903960717E-4</v>
      </c>
      <c r="BP940" t="s">
        <v>233</v>
      </c>
      <c r="BQ940" s="153" t="s">
        <v>430</v>
      </c>
      <c r="BR940" t="s">
        <v>1578</v>
      </c>
      <c r="BS940">
        <v>-1.03</v>
      </c>
      <c r="BT940">
        <v>-0.82599999999999996</v>
      </c>
      <c r="BU940" s="144">
        <f>IFERROR(BT940/BS940,"")</f>
        <v>0.80194174757281544</v>
      </c>
      <c r="BV940">
        <f t="shared" si="200"/>
        <v>0.20400000000000007</v>
      </c>
      <c r="BX940">
        <f t="shared" si="185"/>
        <v>2.0400000000000008E-4</v>
      </c>
      <c r="BY940">
        <f t="shared" si="194"/>
        <v>0.50817065040000009</v>
      </c>
      <c r="BZ940">
        <v>0</v>
      </c>
      <c r="CA940">
        <v>0</v>
      </c>
      <c r="CB940">
        <v>0</v>
      </c>
      <c r="CC940">
        <v>0</v>
      </c>
      <c r="CD940">
        <v>0</v>
      </c>
      <c r="CE940">
        <v>0</v>
      </c>
      <c r="CF940">
        <v>0</v>
      </c>
      <c r="CG940">
        <v>0</v>
      </c>
      <c r="CH940">
        <v>0</v>
      </c>
      <c r="CI940">
        <v>0</v>
      </c>
      <c r="CJ940">
        <v>0</v>
      </c>
      <c r="CK940">
        <v>0</v>
      </c>
      <c r="CL940">
        <v>0</v>
      </c>
      <c r="CM940">
        <v>0</v>
      </c>
      <c r="CN940" t="str">
        <f t="shared" si="199"/>
        <v>refOK</v>
      </c>
      <c r="CO940">
        <f>IF($CN940="refOK",$BK940,$BL940)</f>
        <v>0</v>
      </c>
      <c r="CP940">
        <f>IF($CN940="refOK",$BL940,$BK940)</f>
        <v>0.1967055750294075</v>
      </c>
      <c r="CQ940">
        <f t="shared" si="170"/>
        <v>4.0143994903960717E-4</v>
      </c>
      <c r="CR940">
        <f t="shared" si="158"/>
        <v>-1.03</v>
      </c>
      <c r="CS940">
        <f t="shared" si="182"/>
        <v>-0.82599999999999996</v>
      </c>
      <c r="CT940">
        <f t="shared" si="168"/>
        <v>2.0400000000000008E-4</v>
      </c>
      <c r="CU940">
        <f t="shared" si="156"/>
        <v>0.50817065040000009</v>
      </c>
      <c r="CV940" s="2">
        <f t="shared" si="169"/>
        <v>0.19805825242718453</v>
      </c>
      <c r="CW940" s="1" t="s">
        <v>1201</v>
      </c>
      <c r="CX940" t="str">
        <f t="shared" si="195"/>
        <v>reg</v>
      </c>
      <c r="CY940" t="s">
        <v>429</v>
      </c>
      <c r="CZ940">
        <v>2010</v>
      </c>
      <c r="DB940">
        <v>0</v>
      </c>
      <c r="DC940" t="str">
        <f t="shared" si="196"/>
        <v>0</v>
      </c>
      <c r="DD940">
        <v>0</v>
      </c>
      <c r="DE940">
        <v>1</v>
      </c>
      <c r="DF940">
        <v>0</v>
      </c>
      <c r="DG940">
        <v>0</v>
      </c>
      <c r="DI940">
        <f t="shared" si="202"/>
        <v>1</v>
      </c>
      <c r="DJ940" t="str">
        <f t="shared" si="203"/>
        <v>EnergyInput</v>
      </c>
      <c r="DK940">
        <f t="shared" si="172"/>
        <v>0</v>
      </c>
      <c r="DL940" t="str">
        <f t="shared" si="173"/>
        <v>Energy</v>
      </c>
      <c r="DM940">
        <f t="shared" si="174"/>
        <v>0</v>
      </c>
      <c r="DN940">
        <f t="shared" si="175"/>
        <v>0</v>
      </c>
      <c r="DO940">
        <v>0</v>
      </c>
      <c r="DP940">
        <v>0</v>
      </c>
      <c r="DQ940">
        <v>0</v>
      </c>
      <c r="DR940">
        <v>0</v>
      </c>
      <c r="DS940">
        <v>0</v>
      </c>
      <c r="DT940">
        <f t="shared" si="160"/>
        <v>0</v>
      </c>
      <c r="DU940" s="143" t="str">
        <f t="shared" si="198"/>
        <v>explicit C balance</v>
      </c>
      <c r="DV940">
        <v>0</v>
      </c>
      <c r="DW940">
        <v>0</v>
      </c>
      <c r="DX940">
        <v>0</v>
      </c>
      <c r="DY940">
        <v>0</v>
      </c>
      <c r="DZ940">
        <v>0</v>
      </c>
      <c r="EA940" s="143">
        <v>0</v>
      </c>
      <c r="EB940">
        <v>0</v>
      </c>
      <c r="EC940">
        <v>1</v>
      </c>
      <c r="ED940">
        <v>0</v>
      </c>
      <c r="EE940">
        <v>1</v>
      </c>
      <c r="EF940">
        <v>0</v>
      </c>
      <c r="EG940">
        <v>0</v>
      </c>
      <c r="EH940">
        <v>0</v>
      </c>
      <c r="EI940" s="2">
        <v>0</v>
      </c>
      <c r="EK940" t="str">
        <f t="shared" si="176"/>
        <v/>
      </c>
      <c r="EL940" t="str">
        <f t="shared" si="177"/>
        <v/>
      </c>
      <c r="EM940" s="2" t="str">
        <f t="shared" si="197"/>
        <v>Technology approach</v>
      </c>
      <c r="EN940" s="147" t="s">
        <v>3142</v>
      </c>
      <c r="EP940" t="str">
        <f>IF(ISNUMBER(BU940),IF(ABS(BU940-[2]QC_indicators!$B$2)&gt;3*[2]QC_indicators!$C$2,"C ratio",IF(ISNUMBER(BY940),IF(ABS(BY940-[2]QC_indicators!$B$1)&gt;3*[2]QC_indicators!$C$1,"DF","no"))),IF(ISNUMBER(BY940),IF(ABS(BY940-[2]QC_indicators!$B$1)&gt;3*[2]QC_indicators!$C$1,"DF","no")))</f>
        <v>no</v>
      </c>
      <c r="ER940" s="266" t="s">
        <v>1579</v>
      </c>
      <c r="ET940" s="266" t="s">
        <v>3143</v>
      </c>
    </row>
    <row r="941" spans="1:150" ht="15" hidden="1" customHeight="1">
      <c r="A941" s="1" t="s">
        <v>816</v>
      </c>
      <c r="B941" t="s">
        <v>817</v>
      </c>
      <c r="C941" t="s">
        <v>818</v>
      </c>
      <c r="D941" t="s">
        <v>819</v>
      </c>
      <c r="E941" t="s">
        <v>820</v>
      </c>
      <c r="F941" t="s">
        <v>821</v>
      </c>
      <c r="G941" t="s">
        <v>181</v>
      </c>
      <c r="H941" t="s">
        <v>255</v>
      </c>
      <c r="I941">
        <v>2018</v>
      </c>
      <c r="J941">
        <v>14</v>
      </c>
      <c r="K941" t="s">
        <v>822</v>
      </c>
      <c r="M941" t="str">
        <f t="shared" si="201"/>
        <v>Karlsson_2018</v>
      </c>
      <c r="N941" t="s">
        <v>223</v>
      </c>
      <c r="O941" s="145" t="s">
        <v>514</v>
      </c>
      <c r="Q941" t="s">
        <v>257</v>
      </c>
      <c r="R941" s="264" t="s">
        <v>224</v>
      </c>
      <c r="S941" s="1" t="s">
        <v>823</v>
      </c>
      <c r="T941" t="s">
        <v>824</v>
      </c>
      <c r="U941" t="s">
        <v>828</v>
      </c>
      <c r="V941">
        <v>0</v>
      </c>
      <c r="W941">
        <v>0</v>
      </c>
      <c r="X941">
        <v>0</v>
      </c>
      <c r="Y941">
        <v>0</v>
      </c>
      <c r="Z941">
        <v>0</v>
      </c>
      <c r="AA941">
        <v>0</v>
      </c>
      <c r="AB941">
        <v>0</v>
      </c>
      <c r="AC941">
        <v>0</v>
      </c>
      <c r="AD941">
        <v>0</v>
      </c>
      <c r="AE941">
        <v>0</v>
      </c>
      <c r="AF941">
        <v>0</v>
      </c>
      <c r="AG941">
        <v>0</v>
      </c>
      <c r="AH941">
        <v>0</v>
      </c>
      <c r="AI941">
        <v>0</v>
      </c>
      <c r="AJ941">
        <v>0</v>
      </c>
      <c r="AK941">
        <v>1</v>
      </c>
      <c r="AL941">
        <v>0</v>
      </c>
      <c r="AM941">
        <v>0</v>
      </c>
      <c r="AN941">
        <v>0</v>
      </c>
      <c r="AO941">
        <v>0</v>
      </c>
      <c r="AP941">
        <v>0</v>
      </c>
      <c r="AQ941">
        <v>0</v>
      </c>
      <c r="AR941">
        <v>0</v>
      </c>
      <c r="AS941">
        <v>0</v>
      </c>
      <c r="AT941">
        <v>0</v>
      </c>
      <c r="AU941">
        <v>0</v>
      </c>
      <c r="AV941">
        <v>0</v>
      </c>
      <c r="AW941">
        <v>0</v>
      </c>
      <c r="AX941" s="141">
        <f t="shared" si="167"/>
        <v>1</v>
      </c>
      <c r="AY941" s="141">
        <f t="shared" si="188"/>
        <v>1</v>
      </c>
      <c r="AZ941">
        <f t="shared" si="189"/>
        <v>0</v>
      </c>
      <c r="BA941">
        <f t="shared" si="190"/>
        <v>0</v>
      </c>
      <c r="BB941">
        <f t="shared" si="191"/>
        <v>1</v>
      </c>
      <c r="BC941">
        <f t="shared" si="192"/>
        <v>0</v>
      </c>
      <c r="BD941">
        <f t="shared" si="193"/>
        <v>0</v>
      </c>
      <c r="BE941" t="str">
        <f t="array" ref="BE941">IF(AY941=1,INDEX($V$7:$AL$7,MATCH(TRUE,INDEX($V941:$AW941&lt;&gt;0,),0)),IF(AY941=0,INDEX($AM$7:$AW$7,MATCH(1,$AM941:$AW941,0)),IF(BF941="Multiple strategies","mixed drivers",IF(BF941="Supply chain","multiple supply","multiple silviculture"))))</f>
        <v>technologies/design switch</v>
      </c>
      <c r="BF941" s="2" t="str" cm="1">
        <f t="array" ref="BF941">IF(COUNTIF(AZ941:BB941,"&lt;&gt;0")=1,INDEX($V$4:$AW$4,MATCH(TRUE,INDEX($V941:$AW941&lt;&gt;0,),0)),IF(COUNTIF(AZ941:BB941,"&lt;&gt;0")=0,INDEX($AM$4:$AW$4,MATCH(1,$AM941:$AW941,0)),"Multiple strategies"))</f>
        <v>Technology</v>
      </c>
      <c r="BG941" s="1" t="s">
        <v>230</v>
      </c>
      <c r="BH941" t="s">
        <v>828</v>
      </c>
      <c r="BI941" s="266" t="s">
        <v>3144</v>
      </c>
      <c r="BJ941" t="s">
        <v>653</v>
      </c>
      <c r="BK941">
        <v>0</v>
      </c>
      <c r="BL941">
        <v>15410</v>
      </c>
      <c r="BN941">
        <f t="shared" si="171"/>
        <v>15410</v>
      </c>
      <c r="BO941">
        <f>BN941*t_to_m3</f>
        <v>31448.979591836734</v>
      </c>
      <c r="BP941" t="s">
        <v>233</v>
      </c>
      <c r="BQ941" s="153" t="s">
        <v>789</v>
      </c>
      <c r="BR941" s="266" t="s">
        <v>398</v>
      </c>
      <c r="BS941">
        <v>-58800</v>
      </c>
      <c r="BT941">
        <v>-70800</v>
      </c>
      <c r="BU941" s="144">
        <f>IFERROR(BT941/BS941,"")</f>
        <v>1.2040816326530612</v>
      </c>
      <c r="BV941">
        <f t="shared" si="200"/>
        <v>-12000</v>
      </c>
      <c r="BX941">
        <f>BV941/10^3</f>
        <v>-12</v>
      </c>
      <c r="BY941">
        <f t="shared" si="194"/>
        <v>-3.8157040882543804E-4</v>
      </c>
      <c r="BZ941">
        <v>0</v>
      </c>
      <c r="CA941">
        <v>0</v>
      </c>
      <c r="CB941">
        <v>0</v>
      </c>
      <c r="CC941">
        <v>0</v>
      </c>
      <c r="CD941">
        <v>0</v>
      </c>
      <c r="CE941">
        <v>0</v>
      </c>
      <c r="CF941">
        <v>0</v>
      </c>
      <c r="CG941">
        <v>0</v>
      </c>
      <c r="CH941">
        <v>0</v>
      </c>
      <c r="CI941">
        <v>0</v>
      </c>
      <c r="CJ941">
        <v>0</v>
      </c>
      <c r="CK941">
        <v>0</v>
      </c>
      <c r="CL941">
        <v>0</v>
      </c>
      <c r="CM941">
        <v>0</v>
      </c>
      <c r="CN941" t="str">
        <f t="shared" si="199"/>
        <v>refOK</v>
      </c>
      <c r="CO941">
        <f>IF($CN941="refNeedCorrection",BL941,BK941)</f>
        <v>0</v>
      </c>
      <c r="CP941">
        <f>IF($CN941="refNeedCorrection",BK941,BL941)</f>
        <v>15410</v>
      </c>
      <c r="CQ941">
        <f t="shared" si="170"/>
        <v>31448.979591836734</v>
      </c>
      <c r="CR941">
        <f t="shared" si="158"/>
        <v>-58800</v>
      </c>
      <c r="CS941">
        <f t="shared" si="182"/>
        <v>-70800</v>
      </c>
      <c r="CT941">
        <f t="shared" si="168"/>
        <v>-12</v>
      </c>
      <c r="CU941">
        <f t="shared" ref="CU941:CU1004" si="204">IFERROR(CT941/CQ941,"")</f>
        <v>-3.8157040882543804E-4</v>
      </c>
      <c r="CV941" s="2">
        <f t="shared" si="169"/>
        <v>-0.20408163265306123</v>
      </c>
      <c r="CW941" s="1" t="s">
        <v>348</v>
      </c>
      <c r="CX941" t="str">
        <f t="shared" si="195"/>
        <v>loc</v>
      </c>
      <c r="CY941" t="s">
        <v>445</v>
      </c>
      <c r="DB941">
        <v>0</v>
      </c>
      <c r="DC941" t="str">
        <f t="shared" si="196"/>
        <v>0</v>
      </c>
      <c r="DD941">
        <v>0</v>
      </c>
      <c r="DE941">
        <v>1</v>
      </c>
      <c r="DF941">
        <v>0</v>
      </c>
      <c r="DG941">
        <v>0</v>
      </c>
      <c r="DH941">
        <v>1</v>
      </c>
      <c r="DI941">
        <f t="shared" si="202"/>
        <v>1</v>
      </c>
      <c r="DJ941" t="str">
        <f t="shared" si="203"/>
        <v>EnergyInput</v>
      </c>
      <c r="DK941">
        <f t="shared" si="172"/>
        <v>0</v>
      </c>
      <c r="DL941" t="str">
        <f t="shared" si="173"/>
        <v>Energy</v>
      </c>
      <c r="DM941">
        <f t="shared" si="174"/>
        <v>0</v>
      </c>
      <c r="DN941">
        <f t="shared" si="175"/>
        <v>0</v>
      </c>
      <c r="DO941">
        <v>0</v>
      </c>
      <c r="DP941">
        <v>0</v>
      </c>
      <c r="DQ941">
        <v>0</v>
      </c>
      <c r="DR941">
        <v>0</v>
      </c>
      <c r="DS941">
        <v>0</v>
      </c>
      <c r="DT941">
        <f t="shared" si="160"/>
        <v>0</v>
      </c>
      <c r="DU941" s="143" t="str">
        <f t="shared" si="198"/>
        <v>explicit C balance</v>
      </c>
      <c r="DV941">
        <v>0</v>
      </c>
      <c r="DW941">
        <v>0</v>
      </c>
      <c r="DX941">
        <v>0</v>
      </c>
      <c r="DY941">
        <v>0</v>
      </c>
      <c r="DZ941">
        <v>0</v>
      </c>
      <c r="EA941" s="143">
        <v>0</v>
      </c>
      <c r="EB941">
        <v>0</v>
      </c>
      <c r="EC941">
        <v>1</v>
      </c>
      <c r="ED941">
        <v>0</v>
      </c>
      <c r="EE941">
        <v>1</v>
      </c>
      <c r="EF941">
        <v>0</v>
      </c>
      <c r="EG941">
        <v>0</v>
      </c>
      <c r="EH941">
        <v>0</v>
      </c>
      <c r="EI941" s="2">
        <v>0</v>
      </c>
      <c r="EK941" t="str">
        <f t="shared" si="176"/>
        <v/>
      </c>
      <c r="EL941" t="str">
        <f t="shared" si="177"/>
        <v/>
      </c>
      <c r="EM941" s="2" t="str">
        <f t="shared" si="197"/>
        <v>Technology approach</v>
      </c>
      <c r="EP941" t="str">
        <f>IF(ISNUMBER(BU941),IF(ABS(BU941-[2]QC_indicators!$B$2)&gt;3*[2]QC_indicators!$C$2,"C ratio",IF(ISNUMBER(BY941),IF(ABS(BY941-[2]QC_indicators!$B$1)&gt;3*[2]QC_indicators!$C$1,"DF","no"))),IF(ISNUMBER(BY941),IF(ABS(BY941-[2]QC_indicators!$B$1)&gt;3*[2]QC_indicators!$C$1,"DF","no")))</f>
        <v>no</v>
      </c>
      <c r="ET941" s="266" t="s">
        <v>3145</v>
      </c>
    </row>
    <row r="942" spans="1:150" ht="15" hidden="1" customHeight="1">
      <c r="A942" s="1" t="s">
        <v>1129</v>
      </c>
      <c r="B942" t="s">
        <v>1130</v>
      </c>
      <c r="C942" t="s">
        <v>1131</v>
      </c>
      <c r="D942" t="s">
        <v>1132</v>
      </c>
      <c r="E942" t="s">
        <v>1133</v>
      </c>
      <c r="F942" t="s">
        <v>1134</v>
      </c>
      <c r="G942" t="s">
        <v>1135</v>
      </c>
      <c r="H942" t="s">
        <v>255</v>
      </c>
      <c r="I942">
        <v>2018</v>
      </c>
      <c r="J942">
        <v>42</v>
      </c>
      <c r="K942" t="s">
        <v>1136</v>
      </c>
      <c r="M942" t="str">
        <f t="shared" si="201"/>
        <v>Sandanayake_2018</v>
      </c>
      <c r="N942" t="s">
        <v>223</v>
      </c>
      <c r="O942" s="145" t="s">
        <v>342</v>
      </c>
      <c r="Q942" t="s">
        <v>257</v>
      </c>
      <c r="R942" s="264" t="s">
        <v>224</v>
      </c>
      <c r="S942" s="1" t="s">
        <v>1137</v>
      </c>
      <c r="T942" s="266" t="s">
        <v>3239</v>
      </c>
      <c r="U942" s="266" t="s">
        <v>3240</v>
      </c>
      <c r="V942">
        <v>0</v>
      </c>
      <c r="W942">
        <v>0</v>
      </c>
      <c r="X942">
        <v>0</v>
      </c>
      <c r="Y942">
        <v>0</v>
      </c>
      <c r="Z942">
        <v>0</v>
      </c>
      <c r="AA942">
        <v>0</v>
      </c>
      <c r="AB942">
        <v>0</v>
      </c>
      <c r="AC942">
        <v>0</v>
      </c>
      <c r="AD942">
        <v>0</v>
      </c>
      <c r="AE942">
        <v>0</v>
      </c>
      <c r="AF942">
        <v>0</v>
      </c>
      <c r="AG942">
        <v>0</v>
      </c>
      <c r="AH942">
        <v>0</v>
      </c>
      <c r="AI942">
        <v>0</v>
      </c>
      <c r="AJ942">
        <v>0</v>
      </c>
      <c r="AK942">
        <v>1</v>
      </c>
      <c r="AL942">
        <v>0</v>
      </c>
      <c r="AM942">
        <v>0</v>
      </c>
      <c r="AN942">
        <v>0</v>
      </c>
      <c r="AO942">
        <v>0</v>
      </c>
      <c r="AP942">
        <v>0</v>
      </c>
      <c r="AQ942">
        <v>0</v>
      </c>
      <c r="AR942">
        <v>0</v>
      </c>
      <c r="AS942">
        <v>0</v>
      </c>
      <c r="AT942">
        <v>0</v>
      </c>
      <c r="AU942">
        <v>0</v>
      </c>
      <c r="AV942">
        <v>0</v>
      </c>
      <c r="AW942">
        <v>0</v>
      </c>
      <c r="AX942" s="141">
        <f t="shared" si="167"/>
        <v>1</v>
      </c>
      <c r="AY942" s="141">
        <f t="shared" si="188"/>
        <v>1</v>
      </c>
      <c r="AZ942">
        <f t="shared" si="189"/>
        <v>0</v>
      </c>
      <c r="BA942">
        <f t="shared" si="190"/>
        <v>0</v>
      </c>
      <c r="BB942">
        <f t="shared" si="191"/>
        <v>1</v>
      </c>
      <c r="BC942">
        <f t="shared" si="192"/>
        <v>0</v>
      </c>
      <c r="BD942">
        <f t="shared" si="193"/>
        <v>0</v>
      </c>
      <c r="BE942" t="str">
        <f t="array" ref="BE942">IF(AY942=1,INDEX($V$7:$AL$7,MATCH(TRUE,INDEX($V942:$AW942&lt;&gt;0,),0)),IF(AY942=0,INDEX($AM$7:$AW$7,MATCH(1,$AM942:$AW942,0)),IF(BF942="Multiple strategies","mixed drivers",IF(BF942="Supply chain","multiple supply","multiple silviculture"))))</f>
        <v>technologies/design switch</v>
      </c>
      <c r="BF942" s="2" t="str" cm="1">
        <f t="array" ref="BF942">IF(COUNTIF(AZ942:BB942,"&lt;&gt;0")=1,INDEX($V$4:$AW$4,MATCH(TRUE,INDEX($V942:$AW942&lt;&gt;0,),0)),IF(COUNTIF(AZ942:BB942,"&lt;&gt;0")=0,INDEX($AM$4:$AW$4,MATCH(1,$AM942:$AW942,0)),"Multiple strategies"))</f>
        <v>Technology</v>
      </c>
      <c r="BG942" s="1" t="s">
        <v>230</v>
      </c>
      <c r="BH942" t="s">
        <v>1138</v>
      </c>
      <c r="BI942" s="266" t="s">
        <v>613</v>
      </c>
      <c r="BJ942" t="s">
        <v>499</v>
      </c>
      <c r="BK942">
        <v>0</v>
      </c>
      <c r="BL942">
        <v>4650</v>
      </c>
      <c r="BN942">
        <f t="shared" si="171"/>
        <v>4650</v>
      </c>
      <c r="BO942">
        <f>BN942</f>
        <v>4650</v>
      </c>
      <c r="BP942" t="s">
        <v>233</v>
      </c>
      <c r="BQ942" s="269" t="s">
        <v>3241</v>
      </c>
      <c r="BR942" s="266" t="s">
        <v>3242</v>
      </c>
      <c r="BS942">
        <v>8956.2000000000007</v>
      </c>
      <c r="BT942">
        <v>6084.86</v>
      </c>
      <c r="BU942" s="144">
        <v>0.97173414820473647</v>
      </c>
      <c r="BV942">
        <f t="shared" si="200"/>
        <v>-2871.3400000000011</v>
      </c>
      <c r="BX942" s="144">
        <f>BV942*0.001</f>
        <v>-2.8713400000000013</v>
      </c>
      <c r="BY942">
        <f t="shared" si="194"/>
        <v>-6.1749247311827988E-4</v>
      </c>
      <c r="BZ942">
        <v>0</v>
      </c>
      <c r="CA942">
        <v>1</v>
      </c>
      <c r="CB942">
        <v>0</v>
      </c>
      <c r="CC942">
        <v>1</v>
      </c>
      <c r="CD942">
        <v>0</v>
      </c>
      <c r="CE942">
        <v>0</v>
      </c>
      <c r="CF942">
        <v>0</v>
      </c>
      <c r="CG942">
        <v>0</v>
      </c>
      <c r="CH942">
        <v>0</v>
      </c>
      <c r="CI942">
        <v>0</v>
      </c>
      <c r="CJ942">
        <v>0</v>
      </c>
      <c r="CK942">
        <v>0</v>
      </c>
      <c r="CL942">
        <v>0</v>
      </c>
      <c r="CM942">
        <v>0</v>
      </c>
      <c r="CN942" t="str">
        <f t="shared" si="199"/>
        <v>refOK</v>
      </c>
      <c r="CO942">
        <f>IF($CN942="refNeedCorrection",BL942,BK942)</f>
        <v>0</v>
      </c>
      <c r="CP942">
        <f>IF($CN942="refNeedCorrection",BK942,BL942)</f>
        <v>4650</v>
      </c>
      <c r="CQ942">
        <f t="shared" si="170"/>
        <v>4650</v>
      </c>
      <c r="CR942">
        <f t="shared" si="158"/>
        <v>8956.2000000000007</v>
      </c>
      <c r="CS942">
        <f t="shared" si="182"/>
        <v>6084.86</v>
      </c>
      <c r="CT942">
        <f t="shared" si="168"/>
        <v>-2.8713400000000013</v>
      </c>
      <c r="CU942">
        <f t="shared" si="204"/>
        <v>-6.1749247311827988E-4</v>
      </c>
      <c r="CV942" s="2">
        <f t="shared" si="169"/>
        <v>-0.32059802148232519</v>
      </c>
      <c r="CW942" s="1" t="s">
        <v>264</v>
      </c>
      <c r="CX942" t="str">
        <f t="shared" si="195"/>
        <v>loc</v>
      </c>
      <c r="CY942" t="s">
        <v>575</v>
      </c>
      <c r="DB942">
        <v>0</v>
      </c>
      <c r="DC942" t="str">
        <f t="shared" si="196"/>
        <v>0</v>
      </c>
      <c r="DD942">
        <v>0</v>
      </c>
      <c r="DE942">
        <v>0</v>
      </c>
      <c r="DF942">
        <v>0</v>
      </c>
      <c r="DG942">
        <v>1</v>
      </c>
      <c r="DI942">
        <f t="shared" si="202"/>
        <v>1</v>
      </c>
      <c r="DJ942" t="str">
        <f t="shared" si="203"/>
        <v>TimberInput</v>
      </c>
      <c r="DK942">
        <f t="shared" si="172"/>
        <v>0</v>
      </c>
      <c r="DL942">
        <f t="shared" si="173"/>
        <v>0</v>
      </c>
      <c r="DM942">
        <f t="shared" si="174"/>
        <v>0</v>
      </c>
      <c r="DN942" t="str">
        <f t="shared" si="175"/>
        <v>Timber</v>
      </c>
      <c r="DO942">
        <v>1</v>
      </c>
      <c r="DP942">
        <v>0</v>
      </c>
      <c r="DQ942">
        <v>0</v>
      </c>
      <c r="DR942">
        <v>0</v>
      </c>
      <c r="DS942">
        <v>0</v>
      </c>
      <c r="DT942">
        <f t="shared" si="160"/>
        <v>1</v>
      </c>
      <c r="DU942" s="143" t="str">
        <f t="shared" si="198"/>
        <v>self-calculated DF</v>
      </c>
      <c r="DV942">
        <v>0</v>
      </c>
      <c r="DW942">
        <v>0</v>
      </c>
      <c r="DX942">
        <v>0</v>
      </c>
      <c r="DY942">
        <v>0</v>
      </c>
      <c r="DZ942">
        <v>0</v>
      </c>
      <c r="EA942" s="143">
        <v>0</v>
      </c>
      <c r="EB942">
        <v>1</v>
      </c>
      <c r="EC942">
        <v>1</v>
      </c>
      <c r="ED942">
        <v>1</v>
      </c>
      <c r="EE942">
        <v>0</v>
      </c>
      <c r="EF942">
        <v>0</v>
      </c>
      <c r="EG942">
        <v>0</v>
      </c>
      <c r="EH942">
        <v>0</v>
      </c>
      <c r="EI942" s="2">
        <v>0</v>
      </c>
      <c r="EK942" t="str">
        <f t="shared" si="176"/>
        <v/>
      </c>
      <c r="EL942" t="str">
        <f t="shared" si="177"/>
        <v/>
      </c>
      <c r="EM942" s="2" t="str">
        <f t="shared" si="197"/>
        <v>Technology approach</v>
      </c>
      <c r="EN942" t="s">
        <v>1139</v>
      </c>
      <c r="EP942" t="str">
        <f>IF(ISNUMBER(BU942),IF(ABS(BU942-[2]QC_indicators!$B$2)&gt;3*[2]QC_indicators!$C$2,"C ratio",IF(ISNUMBER(BY942),IF(ABS(BY942-[2]QC_indicators!$B$1)&gt;3*[2]QC_indicators!$C$1,"DF","no"))),IF(ISNUMBER(BY942),IF(ABS(BY942-[2]QC_indicators!$B$1)&gt;3*[2]QC_indicators!$C$1,"DF","no")))</f>
        <v>no</v>
      </c>
      <c r="ER942" s="149" t="s">
        <v>350</v>
      </c>
      <c r="ET942" s="266" t="s">
        <v>3243</v>
      </c>
    </row>
    <row r="943" spans="1:150" ht="15" hidden="1" customHeight="1">
      <c r="A943" s="1" t="s">
        <v>334</v>
      </c>
      <c r="B943" t="s">
        <v>907</v>
      </c>
      <c r="C943" t="s">
        <v>908</v>
      </c>
      <c r="D943" t="s">
        <v>909</v>
      </c>
      <c r="E943" t="s">
        <v>910</v>
      </c>
      <c r="F943" t="s">
        <v>911</v>
      </c>
      <c r="G943" t="s">
        <v>340</v>
      </c>
      <c r="H943" t="s">
        <v>255</v>
      </c>
      <c r="I943">
        <v>2019</v>
      </c>
      <c r="J943">
        <v>15</v>
      </c>
      <c r="K943" t="s">
        <v>912</v>
      </c>
      <c r="M943" t="str">
        <f t="shared" si="201"/>
        <v>Li_2019</v>
      </c>
      <c r="N943" t="s">
        <v>223</v>
      </c>
      <c r="O943" s="145" t="s">
        <v>226</v>
      </c>
      <c r="Q943" t="s">
        <v>257</v>
      </c>
      <c r="R943" s="264" t="s">
        <v>224</v>
      </c>
      <c r="S943" s="1" t="s">
        <v>913</v>
      </c>
      <c r="T943" t="s">
        <v>914</v>
      </c>
      <c r="U943" s="143" t="s">
        <v>915</v>
      </c>
      <c r="V943">
        <v>0</v>
      </c>
      <c r="W943">
        <v>0</v>
      </c>
      <c r="X943">
        <v>0</v>
      </c>
      <c r="Y943">
        <v>0</v>
      </c>
      <c r="Z943">
        <v>0</v>
      </c>
      <c r="AA943">
        <v>0</v>
      </c>
      <c r="AB943">
        <v>0</v>
      </c>
      <c r="AC943">
        <v>0</v>
      </c>
      <c r="AD943">
        <v>0</v>
      </c>
      <c r="AE943">
        <v>0</v>
      </c>
      <c r="AF943">
        <v>0</v>
      </c>
      <c r="AG943">
        <v>0</v>
      </c>
      <c r="AH943">
        <v>0</v>
      </c>
      <c r="AI943">
        <v>0</v>
      </c>
      <c r="AJ943">
        <v>0</v>
      </c>
      <c r="AK943">
        <v>1</v>
      </c>
      <c r="AL943">
        <v>0</v>
      </c>
      <c r="AM943">
        <v>0</v>
      </c>
      <c r="AN943">
        <v>0</v>
      </c>
      <c r="AO943">
        <v>0</v>
      </c>
      <c r="AP943">
        <v>0</v>
      </c>
      <c r="AQ943">
        <v>0</v>
      </c>
      <c r="AR943">
        <v>0</v>
      </c>
      <c r="AS943">
        <v>0</v>
      </c>
      <c r="AT943">
        <v>0</v>
      </c>
      <c r="AU943">
        <v>0</v>
      </c>
      <c r="AV943">
        <v>0</v>
      </c>
      <c r="AW943">
        <v>0</v>
      </c>
      <c r="AX943" s="141">
        <f t="shared" si="167"/>
        <v>1</v>
      </c>
      <c r="AY943" s="141">
        <f t="shared" si="188"/>
        <v>1</v>
      </c>
      <c r="AZ943">
        <f t="shared" si="189"/>
        <v>0</v>
      </c>
      <c r="BA943">
        <f t="shared" si="190"/>
        <v>0</v>
      </c>
      <c r="BB943">
        <f t="shared" si="191"/>
        <v>1</v>
      </c>
      <c r="BC943">
        <f t="shared" si="192"/>
        <v>0</v>
      </c>
      <c r="BD943">
        <f t="shared" si="193"/>
        <v>0</v>
      </c>
      <c r="BE943" t="str">
        <f t="array" ref="BE943">IF(AY943=1,INDEX($V$7:$AL$7,MATCH(TRUE,INDEX($V943:$AW943&lt;&gt;0,),0)),IF(AY943=0,INDEX($AM$7:$AW$7,MATCH(1,$AM943:$AW943,0)),IF(BF943="Multiple strategies","mixed drivers",IF(BF943="Supply chain","multiple supply","multiple silviculture"))))</f>
        <v>technologies/design switch</v>
      </c>
      <c r="BF943" s="2" t="str" cm="1">
        <f t="array" ref="BF943">IF(COUNTIF(AZ943:BB943,"&lt;&gt;0")=1,INDEX($V$4:$AW$4,MATCH(TRUE,INDEX($V943:$AW943&lt;&gt;0,),0)),IF(COUNTIF(AZ943:BB943,"&lt;&gt;0")=0,INDEX($AM$4:$AW$4,MATCH(1,$AM943:$AW943,0)),"Multiple strategies"))</f>
        <v>Technology</v>
      </c>
      <c r="BG943" s="142" t="s">
        <v>230</v>
      </c>
      <c r="BH943" t="s">
        <v>916</v>
      </c>
      <c r="BI943" s="266" t="s">
        <v>3156</v>
      </c>
      <c r="BJ943" s="143" t="s">
        <v>499</v>
      </c>
      <c r="BK943">
        <v>0</v>
      </c>
      <c r="BL943">
        <f>9962+4706</f>
        <v>14668</v>
      </c>
      <c r="BM943" s="163"/>
      <c r="BN943">
        <f t="shared" si="171"/>
        <v>14668</v>
      </c>
      <c r="BO943">
        <f>BN943</f>
        <v>14668</v>
      </c>
      <c r="BP943" t="s">
        <v>233</v>
      </c>
      <c r="BQ943" s="153" t="s">
        <v>3157</v>
      </c>
      <c r="BR943" t="s">
        <v>443</v>
      </c>
      <c r="BS943" s="143">
        <v>-5933.97</v>
      </c>
      <c r="BT943">
        <v>9463.36</v>
      </c>
      <c r="BU943" s="144">
        <f t="shared" ref="BU943:BU960" si="205">IFERROR(BT943/BS943,"")</f>
        <v>-1.59477718963864</v>
      </c>
      <c r="BV943">
        <f t="shared" si="200"/>
        <v>15397.330000000002</v>
      </c>
      <c r="BX943">
        <f>BV943*C_to_CO2</f>
        <v>56508.201100000006</v>
      </c>
      <c r="BY943">
        <f t="shared" si="194"/>
        <v>3.8524816675756752</v>
      </c>
      <c r="BZ943">
        <v>0</v>
      </c>
      <c r="CA943">
        <v>0</v>
      </c>
      <c r="CB943">
        <v>0</v>
      </c>
      <c r="CC943">
        <v>0</v>
      </c>
      <c r="CD943">
        <v>0</v>
      </c>
      <c r="CE943">
        <v>0</v>
      </c>
      <c r="CF943">
        <v>0</v>
      </c>
      <c r="CG943">
        <v>0</v>
      </c>
      <c r="CH943">
        <v>0</v>
      </c>
      <c r="CI943">
        <v>0</v>
      </c>
      <c r="CJ943">
        <v>0</v>
      </c>
      <c r="CK943">
        <v>0</v>
      </c>
      <c r="CL943">
        <v>0</v>
      </c>
      <c r="CM943">
        <v>0</v>
      </c>
      <c r="CN943" t="str">
        <f t="shared" si="199"/>
        <v>refOK</v>
      </c>
      <c r="CO943">
        <f>IF($CN943="refNeedCorrection",BL943,BK943)</f>
        <v>0</v>
      </c>
      <c r="CP943">
        <f>IF($CN943="refNeedCorrection",BK943,BL943)</f>
        <v>14668</v>
      </c>
      <c r="CQ943">
        <f t="shared" si="170"/>
        <v>14668</v>
      </c>
      <c r="CR943">
        <f t="shared" si="158"/>
        <v>-5933.97</v>
      </c>
      <c r="CS943">
        <f t="shared" si="182"/>
        <v>9463.36</v>
      </c>
      <c r="CT943">
        <f t="shared" si="168"/>
        <v>56508.201100000006</v>
      </c>
      <c r="CU943">
        <f t="shared" si="204"/>
        <v>3.8524816675756752</v>
      </c>
      <c r="CV943" s="2">
        <f t="shared" si="169"/>
        <v>2.59477718963864</v>
      </c>
      <c r="CW943" s="1" t="s">
        <v>348</v>
      </c>
      <c r="CX943" t="str">
        <f t="shared" si="195"/>
        <v>loc</v>
      </c>
      <c r="CY943" t="s">
        <v>575</v>
      </c>
      <c r="DA943" s="143"/>
      <c r="DB943" s="143">
        <v>0</v>
      </c>
      <c r="DC943" t="str">
        <f t="shared" si="196"/>
        <v>0</v>
      </c>
      <c r="DD943">
        <v>0</v>
      </c>
      <c r="DE943">
        <v>0</v>
      </c>
      <c r="DF943">
        <v>0</v>
      </c>
      <c r="DG943">
        <v>1</v>
      </c>
      <c r="DI943">
        <f t="shared" si="202"/>
        <v>1</v>
      </c>
      <c r="DJ943" t="str">
        <f t="shared" si="203"/>
        <v>TimberInput</v>
      </c>
      <c r="DK943">
        <f t="shared" si="172"/>
        <v>0</v>
      </c>
      <c r="DL943">
        <f t="shared" si="173"/>
        <v>0</v>
      </c>
      <c r="DM943">
        <f t="shared" si="174"/>
        <v>0</v>
      </c>
      <c r="DN943" t="str">
        <f t="shared" si="175"/>
        <v>Timber</v>
      </c>
      <c r="DO943">
        <v>0</v>
      </c>
      <c r="DP943" s="143">
        <v>0</v>
      </c>
      <c r="DQ943" s="143">
        <v>0</v>
      </c>
      <c r="DR943">
        <v>0</v>
      </c>
      <c r="DS943" s="143">
        <v>0</v>
      </c>
      <c r="DT943">
        <f t="shared" si="160"/>
        <v>0</v>
      </c>
      <c r="DU943" s="143" t="str">
        <f t="shared" si="198"/>
        <v>explicit C balance</v>
      </c>
      <c r="DV943" s="143">
        <v>0</v>
      </c>
      <c r="DW943" s="143">
        <v>0</v>
      </c>
      <c r="DX943" s="143">
        <v>0</v>
      </c>
      <c r="DY943" s="143">
        <v>1</v>
      </c>
      <c r="DZ943">
        <v>0</v>
      </c>
      <c r="EA943" s="143">
        <v>0</v>
      </c>
      <c r="EB943" s="143">
        <v>0</v>
      </c>
      <c r="EC943" s="143">
        <v>1</v>
      </c>
      <c r="ED943" s="143">
        <v>0</v>
      </c>
      <c r="EE943">
        <v>0</v>
      </c>
      <c r="EF943">
        <v>0</v>
      </c>
      <c r="EG943" s="143">
        <v>0</v>
      </c>
      <c r="EH943">
        <v>0</v>
      </c>
      <c r="EI943" s="2">
        <v>0</v>
      </c>
      <c r="EK943" t="str">
        <f t="shared" si="176"/>
        <v/>
      </c>
      <c r="EL943" t="str">
        <f t="shared" si="177"/>
        <v/>
      </c>
      <c r="EM943" s="2" t="str">
        <f t="shared" si="197"/>
        <v/>
      </c>
      <c r="EP943" t="str">
        <f>IF(ISNUMBER(BU943),IF(ABS(BU943-[2]QC_indicators!$B$2)&gt;3*[2]QC_indicators!$C$2,"C ratio",IF(ISNUMBER(BY943),IF(ABS(BY943-[2]QC_indicators!$B$1)&gt;3*[2]QC_indicators!$C$1,"DF","no"))),IF(ISNUMBER(BY943),IF(ABS(BY943-[2]QC_indicators!$B$1)&gt;3*[2]QC_indicators!$C$1,"DF","no")))</f>
        <v>no</v>
      </c>
      <c r="ET943" s="266" t="s">
        <v>3158</v>
      </c>
    </row>
    <row r="944" spans="1:150" ht="15" hidden="1" customHeight="1">
      <c r="A944" s="1" t="s">
        <v>334</v>
      </c>
      <c r="B944" t="s">
        <v>907</v>
      </c>
      <c r="C944" t="s">
        <v>908</v>
      </c>
      <c r="D944" t="s">
        <v>909</v>
      </c>
      <c r="E944" t="s">
        <v>910</v>
      </c>
      <c r="F944" t="s">
        <v>911</v>
      </c>
      <c r="G944" t="s">
        <v>340</v>
      </c>
      <c r="H944" t="s">
        <v>255</v>
      </c>
      <c r="I944">
        <v>2019</v>
      </c>
      <c r="J944">
        <v>15</v>
      </c>
      <c r="K944" t="s">
        <v>912</v>
      </c>
      <c r="M944" t="str">
        <f t="shared" si="201"/>
        <v>Li_2019</v>
      </c>
      <c r="N944" t="s">
        <v>223</v>
      </c>
      <c r="O944" s="145" t="s">
        <v>226</v>
      </c>
      <c r="Q944" t="s">
        <v>257</v>
      </c>
      <c r="R944" s="264" t="s">
        <v>224</v>
      </c>
      <c r="S944" s="1" t="s">
        <v>913</v>
      </c>
      <c r="T944" t="s">
        <v>917</v>
      </c>
      <c r="U944" s="143" t="s">
        <v>918</v>
      </c>
      <c r="V944">
        <v>0</v>
      </c>
      <c r="W944">
        <v>0</v>
      </c>
      <c r="X944">
        <v>0</v>
      </c>
      <c r="Y944">
        <v>0</v>
      </c>
      <c r="Z944">
        <v>0</v>
      </c>
      <c r="AA944">
        <v>0</v>
      </c>
      <c r="AB944">
        <v>0</v>
      </c>
      <c r="AC944">
        <v>0</v>
      </c>
      <c r="AD944">
        <v>0</v>
      </c>
      <c r="AE944">
        <v>0</v>
      </c>
      <c r="AF944">
        <v>0</v>
      </c>
      <c r="AG944">
        <v>0</v>
      </c>
      <c r="AH944">
        <v>0</v>
      </c>
      <c r="AI944">
        <v>0</v>
      </c>
      <c r="AJ944">
        <v>0</v>
      </c>
      <c r="AK944">
        <v>1</v>
      </c>
      <c r="AL944">
        <v>0</v>
      </c>
      <c r="AM944">
        <v>0</v>
      </c>
      <c r="AN944">
        <v>0</v>
      </c>
      <c r="AO944">
        <v>0</v>
      </c>
      <c r="AP944">
        <v>0</v>
      </c>
      <c r="AQ944">
        <v>0</v>
      </c>
      <c r="AR944">
        <v>0</v>
      </c>
      <c r="AS944">
        <v>0</v>
      </c>
      <c r="AT944">
        <v>0</v>
      </c>
      <c r="AU944">
        <v>0</v>
      </c>
      <c r="AV944">
        <v>0</v>
      </c>
      <c r="AW944">
        <v>0</v>
      </c>
      <c r="AX944" s="141">
        <f t="shared" si="167"/>
        <v>1</v>
      </c>
      <c r="AY944" s="141">
        <f t="shared" si="188"/>
        <v>1</v>
      </c>
      <c r="AZ944">
        <f t="shared" si="189"/>
        <v>0</v>
      </c>
      <c r="BA944">
        <f t="shared" si="190"/>
        <v>0</v>
      </c>
      <c r="BB944">
        <f t="shared" si="191"/>
        <v>1</v>
      </c>
      <c r="BC944">
        <f t="shared" si="192"/>
        <v>0</v>
      </c>
      <c r="BD944">
        <f t="shared" si="193"/>
        <v>0</v>
      </c>
      <c r="BE944" t="str">
        <f t="array" ref="BE944">IF(AY944=1,INDEX($V$7:$AL$7,MATCH(TRUE,INDEX($V944:$AW944&lt;&gt;0,),0)),IF(AY944=0,INDEX($AM$7:$AW$7,MATCH(1,$AM944:$AW944,0)),IF(BF944="Multiple strategies","mixed drivers",IF(BF944="Supply chain","multiple supply","multiple silviculture"))))</f>
        <v>technologies/design switch</v>
      </c>
      <c r="BF944" s="2" t="str" cm="1">
        <f t="array" ref="BF944">IF(COUNTIF(AZ944:BB944,"&lt;&gt;0")=1,INDEX($V$4:$AW$4,MATCH(TRUE,INDEX($V944:$AW944&lt;&gt;0,),0)),IF(COUNTIF(AZ944:BB944,"&lt;&gt;0")=0,INDEX($AM$4:$AW$4,MATCH(1,$AM944:$AW944,0)),"Multiple strategies"))</f>
        <v>Technology</v>
      </c>
      <c r="BG944" s="142" t="s">
        <v>230</v>
      </c>
      <c r="BH944" t="s">
        <v>916</v>
      </c>
      <c r="BI944" s="266" t="s">
        <v>3156</v>
      </c>
      <c r="BJ944" s="143" t="s">
        <v>499</v>
      </c>
      <c r="BK944">
        <v>0</v>
      </c>
      <c r="BL944" s="143">
        <v>2529</v>
      </c>
      <c r="BM944" s="163"/>
      <c r="BN944">
        <f t="shared" si="171"/>
        <v>2529</v>
      </c>
      <c r="BO944">
        <f>BN944</f>
        <v>2529</v>
      </c>
      <c r="BP944" t="s">
        <v>233</v>
      </c>
      <c r="BQ944" s="153" t="s">
        <v>3157</v>
      </c>
      <c r="BR944" t="s">
        <v>443</v>
      </c>
      <c r="BS944" s="143">
        <v>-5933.97</v>
      </c>
      <c r="BT944">
        <v>-2419.67</v>
      </c>
      <c r="BU944" s="144">
        <f t="shared" si="205"/>
        <v>0.40776579591740436</v>
      </c>
      <c r="BV944">
        <f t="shared" si="200"/>
        <v>3514.3</v>
      </c>
      <c r="BX944">
        <f>BV944*C_to_CO2</f>
        <v>12897.481</v>
      </c>
      <c r="BY944">
        <f t="shared" si="194"/>
        <v>5.09983432186635</v>
      </c>
      <c r="BZ944">
        <v>0</v>
      </c>
      <c r="CA944">
        <v>0</v>
      </c>
      <c r="CB944">
        <v>0</v>
      </c>
      <c r="CC944">
        <v>0</v>
      </c>
      <c r="CD944">
        <v>0</v>
      </c>
      <c r="CE944">
        <v>0</v>
      </c>
      <c r="CF944">
        <v>0</v>
      </c>
      <c r="CG944">
        <v>0</v>
      </c>
      <c r="CH944">
        <v>0</v>
      </c>
      <c r="CI944">
        <v>0</v>
      </c>
      <c r="CJ944">
        <v>0</v>
      </c>
      <c r="CK944">
        <v>0</v>
      </c>
      <c r="CL944">
        <v>0</v>
      </c>
      <c r="CM944">
        <v>0</v>
      </c>
      <c r="CN944" t="str">
        <f t="shared" si="199"/>
        <v>refOK</v>
      </c>
      <c r="CO944">
        <f>IF($CN944="refNeedCorrection",BL944,BK944)</f>
        <v>0</v>
      </c>
      <c r="CP944">
        <f>IF($CN944="refNeedCorrection",BK944,BL944)</f>
        <v>2529</v>
      </c>
      <c r="CQ944">
        <f t="shared" si="170"/>
        <v>2529</v>
      </c>
      <c r="CR944">
        <f t="shared" si="158"/>
        <v>-5933.97</v>
      </c>
      <c r="CS944">
        <f t="shared" si="182"/>
        <v>-2419.67</v>
      </c>
      <c r="CT944">
        <f t="shared" si="168"/>
        <v>12897.481</v>
      </c>
      <c r="CU944">
        <f t="shared" si="204"/>
        <v>5.09983432186635</v>
      </c>
      <c r="CV944" s="2">
        <f t="shared" si="169"/>
        <v>0.59223420408259564</v>
      </c>
      <c r="CW944" s="1" t="s">
        <v>348</v>
      </c>
      <c r="CX944" t="str">
        <f t="shared" si="195"/>
        <v>loc</v>
      </c>
      <c r="CY944" t="s">
        <v>575</v>
      </c>
      <c r="DA944" s="143"/>
      <c r="DB944" s="143">
        <v>0</v>
      </c>
      <c r="DC944" t="str">
        <f t="shared" si="196"/>
        <v>0</v>
      </c>
      <c r="DD944">
        <v>0</v>
      </c>
      <c r="DE944">
        <v>0</v>
      </c>
      <c r="DF944">
        <v>0</v>
      </c>
      <c r="DG944">
        <v>1</v>
      </c>
      <c r="DI944">
        <f t="shared" si="202"/>
        <v>1</v>
      </c>
      <c r="DJ944" t="str">
        <f t="shared" si="203"/>
        <v>TimberInput</v>
      </c>
      <c r="DK944">
        <f t="shared" si="172"/>
        <v>0</v>
      </c>
      <c r="DL944">
        <f t="shared" si="173"/>
        <v>0</v>
      </c>
      <c r="DM944">
        <f t="shared" si="174"/>
        <v>0</v>
      </c>
      <c r="DN944" t="str">
        <f t="shared" si="175"/>
        <v>Timber</v>
      </c>
      <c r="DO944">
        <v>0</v>
      </c>
      <c r="DP944" s="143">
        <v>0</v>
      </c>
      <c r="DQ944" s="143">
        <v>0</v>
      </c>
      <c r="DR944">
        <v>0</v>
      </c>
      <c r="DS944" s="143">
        <v>0</v>
      </c>
      <c r="DT944">
        <f t="shared" si="160"/>
        <v>0</v>
      </c>
      <c r="DU944" s="143" t="str">
        <f t="shared" si="198"/>
        <v>explicit C balance</v>
      </c>
      <c r="DV944" s="143">
        <v>0</v>
      </c>
      <c r="DW944" s="143">
        <v>0</v>
      </c>
      <c r="DX944" s="143">
        <v>0</v>
      </c>
      <c r="DY944" s="143">
        <v>1</v>
      </c>
      <c r="DZ944">
        <v>0</v>
      </c>
      <c r="EA944" s="143">
        <v>0</v>
      </c>
      <c r="EB944" s="143">
        <v>0</v>
      </c>
      <c r="EC944" s="143">
        <v>1</v>
      </c>
      <c r="ED944" s="143">
        <v>0</v>
      </c>
      <c r="EE944">
        <v>0</v>
      </c>
      <c r="EF944">
        <v>0</v>
      </c>
      <c r="EG944" s="143">
        <v>0</v>
      </c>
      <c r="EH944">
        <v>0</v>
      </c>
      <c r="EI944" s="2">
        <v>0</v>
      </c>
      <c r="EK944" t="str">
        <f t="shared" si="176"/>
        <v/>
      </c>
      <c r="EL944" t="str">
        <f t="shared" si="177"/>
        <v/>
      </c>
      <c r="EM944" s="2" t="str">
        <f t="shared" si="197"/>
        <v/>
      </c>
      <c r="EP944" t="str">
        <f>IF(ISNUMBER(BU944),IF(ABS(BU944-[2]QC_indicators!$B$2)&gt;3*[2]QC_indicators!$C$2,"C ratio",IF(ISNUMBER(BY944),IF(ABS(BY944-[2]QC_indicators!$B$1)&gt;3*[2]QC_indicators!$C$1,"DF","no"))),IF(ISNUMBER(BY944),IF(ABS(BY944-[2]QC_indicators!$B$1)&gt;3*[2]QC_indicators!$C$1,"DF","no")))</f>
        <v>no</v>
      </c>
      <c r="EQ944" t="s">
        <v>451</v>
      </c>
      <c r="ET944" s="266" t="s">
        <v>3158</v>
      </c>
    </row>
    <row r="945" spans="1:150" ht="15" hidden="1" customHeight="1">
      <c r="A945" s="1" t="s">
        <v>266</v>
      </c>
      <c r="B945" t="s">
        <v>267</v>
      </c>
      <c r="C945" t="s">
        <v>268</v>
      </c>
      <c r="D945" t="s">
        <v>269</v>
      </c>
      <c r="E945" t="s">
        <v>270</v>
      </c>
      <c r="F945" t="s">
        <v>271</v>
      </c>
      <c r="G945" t="s">
        <v>272</v>
      </c>
      <c r="H945" t="s">
        <v>255</v>
      </c>
      <c r="I945">
        <v>2022</v>
      </c>
      <c r="J945">
        <v>0</v>
      </c>
      <c r="K945" t="s">
        <v>273</v>
      </c>
      <c r="M945" t="str">
        <f t="shared" si="201"/>
        <v>Aryapratama_2022</v>
      </c>
      <c r="N945" t="s">
        <v>223</v>
      </c>
      <c r="O945" s="145" t="s">
        <v>275</v>
      </c>
      <c r="Q945" t="s">
        <v>225</v>
      </c>
      <c r="R945" s="264" t="s">
        <v>224</v>
      </c>
      <c r="S945" s="265" t="s">
        <v>3107</v>
      </c>
      <c r="T945" t="s">
        <v>328</v>
      </c>
      <c r="U945" t="s">
        <v>327</v>
      </c>
      <c r="V945">
        <v>0</v>
      </c>
      <c r="W945">
        <v>0</v>
      </c>
      <c r="X945">
        <v>0</v>
      </c>
      <c r="Y945">
        <v>0</v>
      </c>
      <c r="Z945">
        <v>0</v>
      </c>
      <c r="AA945">
        <v>0</v>
      </c>
      <c r="AB945">
        <v>0</v>
      </c>
      <c r="AC945">
        <v>0</v>
      </c>
      <c r="AD945">
        <v>0</v>
      </c>
      <c r="AE945">
        <v>0</v>
      </c>
      <c r="AF945">
        <v>0</v>
      </c>
      <c r="AG945">
        <v>0</v>
      </c>
      <c r="AH945">
        <v>0</v>
      </c>
      <c r="AI945">
        <v>0</v>
      </c>
      <c r="AJ945">
        <v>0</v>
      </c>
      <c r="AK945">
        <v>1</v>
      </c>
      <c r="AL945">
        <v>0</v>
      </c>
      <c r="AM945">
        <v>0</v>
      </c>
      <c r="AN945">
        <v>0</v>
      </c>
      <c r="AO945">
        <v>0</v>
      </c>
      <c r="AP945">
        <v>0</v>
      </c>
      <c r="AQ945">
        <v>0</v>
      </c>
      <c r="AR945">
        <v>0</v>
      </c>
      <c r="AS945">
        <v>0</v>
      </c>
      <c r="AT945">
        <v>0</v>
      </c>
      <c r="AU945">
        <v>0</v>
      </c>
      <c r="AV945">
        <v>0</v>
      </c>
      <c r="AW945">
        <v>0</v>
      </c>
      <c r="AX945" s="141">
        <f t="shared" si="167"/>
        <v>1</v>
      </c>
      <c r="AY945" s="141">
        <f t="shared" si="188"/>
        <v>1</v>
      </c>
      <c r="AZ945">
        <f t="shared" si="189"/>
        <v>0</v>
      </c>
      <c r="BA945">
        <f t="shared" si="190"/>
        <v>0</v>
      </c>
      <c r="BB945">
        <f t="shared" si="191"/>
        <v>1</v>
      </c>
      <c r="BC945">
        <f t="shared" si="192"/>
        <v>0</v>
      </c>
      <c r="BD945">
        <f t="shared" si="193"/>
        <v>0</v>
      </c>
      <c r="BE945" t="str">
        <f t="array" ref="BE945">IF(AY945=1,INDEX($V$7:$AL$7,MATCH(TRUE,INDEX($V945:$AW945&lt;&gt;0,),0)),IF(AY945=0,INDEX($AM$7:$AW$7,MATCH(1,$AM945:$AW945,0)),IF(BF945="Multiple strategies","mixed drivers",IF(BF945="Supply chain","multiple supply","multiple silviculture"))))</f>
        <v>technologies/design switch</v>
      </c>
      <c r="BF945" s="2" t="str" cm="1">
        <f t="array" ref="BF945">IF(COUNTIF(AZ945:BB945,"&lt;&gt;0")=1,INDEX($V$4:$AW$4,MATCH(TRUE,INDEX($V945:$AW945&lt;&gt;0,),0)),IF(COUNTIF(AZ945:BB945,"&lt;&gt;0")=0,INDEX($AM$4:$AW$4,MATCH(1,$AM945:$AW945,0)),"Multiple strategies"))</f>
        <v>Technology</v>
      </c>
      <c r="BG945" s="1" t="s">
        <v>230</v>
      </c>
      <c r="BH945" t="s">
        <v>278</v>
      </c>
      <c r="BI945" s="266" t="s">
        <v>3108</v>
      </c>
      <c r="BJ945" t="s">
        <v>279</v>
      </c>
      <c r="BK945">
        <v>0</v>
      </c>
      <c r="BL945">
        <v>290.2995901886793</v>
      </c>
      <c r="BN945">
        <f t="shared" si="171"/>
        <v>290.2995901886793</v>
      </c>
      <c r="BO945">
        <f t="shared" ref="BO945:BO960" si="206">BN945*tC_to_m3</f>
        <v>1260.5279643451122</v>
      </c>
      <c r="BP945" t="s">
        <v>233</v>
      </c>
      <c r="BQ945" s="153" t="s">
        <v>3109</v>
      </c>
      <c r="BR945" t="s">
        <v>280</v>
      </c>
      <c r="BS945">
        <v>-719.97535000585367</v>
      </c>
      <c r="BT945">
        <v>-1282.169207878547</v>
      </c>
      <c r="BU945" s="144">
        <f t="shared" si="205"/>
        <v>1.7808515359145594</v>
      </c>
      <c r="BV945">
        <f t="shared" si="200"/>
        <v>-562.19385787269334</v>
      </c>
      <c r="BX945">
        <f t="shared" ref="BX945:BX960" si="207">BV945</f>
        <v>-562.19385787269334</v>
      </c>
      <c r="BY945">
        <f t="shared" si="194"/>
        <v>-0.44599871940546154</v>
      </c>
      <c r="BZ945">
        <v>0</v>
      </c>
      <c r="CA945">
        <v>0</v>
      </c>
      <c r="CB945">
        <v>0</v>
      </c>
      <c r="CC945">
        <v>0</v>
      </c>
      <c r="CD945">
        <v>0</v>
      </c>
      <c r="CE945">
        <v>0</v>
      </c>
      <c r="CF945">
        <v>0</v>
      </c>
      <c r="CG945">
        <v>0</v>
      </c>
      <c r="CH945">
        <v>0</v>
      </c>
      <c r="CI945">
        <v>0</v>
      </c>
      <c r="CJ945">
        <v>0</v>
      </c>
      <c r="CK945">
        <v>0</v>
      </c>
      <c r="CL945">
        <v>0</v>
      </c>
      <c r="CM945">
        <v>0</v>
      </c>
      <c r="CN945" t="str">
        <f t="shared" si="199"/>
        <v>refOK</v>
      </c>
      <c r="CO945">
        <f t="shared" ref="CO945:CO951" si="208">IF($CN945="refOK",$BK945,$BL945)</f>
        <v>0</v>
      </c>
      <c r="CP945">
        <f t="shared" ref="CP945:CP951" si="209">IF($CN945="refOK",$BL945,$BK945)</f>
        <v>290.2995901886793</v>
      </c>
      <c r="CQ945">
        <f t="shared" si="170"/>
        <v>1260.5279643451122</v>
      </c>
      <c r="CR945">
        <f t="shared" ref="CR945:CR1008" si="210">IF($CN945="refOK",$BS945,$BT945)*IF($BP945="Emissions positive",-1,1)</f>
        <v>-719.97535000585367</v>
      </c>
      <c r="CS945">
        <f t="shared" ref="CS945:CS960" si="211">IF($CN945="refOK",$BT945,$BS945)*IF($BP945="Emissions positive",-1,1)</f>
        <v>-1282.169207878547</v>
      </c>
      <c r="CT945">
        <f t="shared" si="168"/>
        <v>-562.19385787269334</v>
      </c>
      <c r="CU945">
        <f t="shared" si="204"/>
        <v>-0.44599871940546154</v>
      </c>
      <c r="CV945" s="2">
        <f t="shared" si="169"/>
        <v>-0.78085153591455947</v>
      </c>
      <c r="CW945" s="1" t="s">
        <v>235</v>
      </c>
      <c r="CX945" t="str">
        <f t="shared" si="195"/>
        <v>loc</v>
      </c>
      <c r="CY945" t="s">
        <v>281</v>
      </c>
      <c r="DB945">
        <v>200</v>
      </c>
      <c r="DC945" t="str">
        <f t="shared" si="196"/>
        <v>+100</v>
      </c>
      <c r="DD945">
        <v>0</v>
      </c>
      <c r="DE945">
        <v>1</v>
      </c>
      <c r="DF945">
        <v>0</v>
      </c>
      <c r="DG945">
        <v>0</v>
      </c>
      <c r="DI945">
        <f t="shared" si="202"/>
        <v>1</v>
      </c>
      <c r="DJ945" t="str">
        <f t="shared" si="203"/>
        <v>EnergyInput</v>
      </c>
      <c r="DK945">
        <f t="shared" si="172"/>
        <v>0</v>
      </c>
      <c r="DL945" t="str">
        <f t="shared" si="173"/>
        <v>Energy</v>
      </c>
      <c r="DM945">
        <f t="shared" si="174"/>
        <v>0</v>
      </c>
      <c r="DN945">
        <f t="shared" si="175"/>
        <v>0</v>
      </c>
      <c r="DO945">
        <v>0</v>
      </c>
      <c r="DP945">
        <v>1</v>
      </c>
      <c r="DQ945" t="s">
        <v>305</v>
      </c>
      <c r="DR945">
        <v>0</v>
      </c>
      <c r="DS945">
        <v>0</v>
      </c>
      <c r="DT945">
        <f t="shared" ref="DT945:DT1008" si="212">SUM(DO945:DP945)</f>
        <v>1</v>
      </c>
      <c r="DU945" s="143" t="str">
        <f t="shared" si="198"/>
        <v>external DF used</v>
      </c>
      <c r="DV945">
        <v>0</v>
      </c>
      <c r="DW945">
        <v>1</v>
      </c>
      <c r="DX945">
        <v>1</v>
      </c>
      <c r="DY945">
        <v>1</v>
      </c>
      <c r="DZ945">
        <v>1</v>
      </c>
      <c r="EA945" s="143">
        <v>0</v>
      </c>
      <c r="EB945">
        <v>1</v>
      </c>
      <c r="EC945">
        <v>1</v>
      </c>
      <c r="ED945">
        <v>0</v>
      </c>
      <c r="EE945">
        <v>1</v>
      </c>
      <c r="EF945">
        <v>1</v>
      </c>
      <c r="EG945">
        <v>1</v>
      </c>
      <c r="EH945">
        <v>0</v>
      </c>
      <c r="EI945" s="2">
        <v>0</v>
      </c>
      <c r="EK945" t="str">
        <f t="shared" si="176"/>
        <v>Whole sector</v>
      </c>
      <c r="EL945" t="str">
        <f t="shared" si="177"/>
        <v/>
      </c>
      <c r="EM945" s="2" t="str">
        <f t="shared" si="197"/>
        <v/>
      </c>
      <c r="EP945" t="str">
        <f>IF(ISNUMBER(BU945),IF(ABS(BU945-[2]QC_indicators!$B$2)&gt;3*[2]QC_indicators!$C$2,"C ratio",IF(ISNUMBER(BY945),IF(ABS(BY945-[2]QC_indicators!$B$1)&gt;3*[2]QC_indicators!$C$1,"DF","no"))),IF(ISNUMBER(BY945),IF(ABS(BY945-[2]QC_indicators!$B$1)&gt;3*[2]QC_indicators!$C$1,"DF","no")))</f>
        <v>no</v>
      </c>
      <c r="EQ945" t="s">
        <v>287</v>
      </c>
      <c r="ET945" s="266" t="s">
        <v>3275</v>
      </c>
    </row>
    <row r="946" spans="1:150" ht="15" hidden="1" customHeight="1">
      <c r="A946" s="1" t="s">
        <v>266</v>
      </c>
      <c r="B946" t="s">
        <v>267</v>
      </c>
      <c r="C946" t="s">
        <v>268</v>
      </c>
      <c r="D946" t="s">
        <v>269</v>
      </c>
      <c r="E946" t="s">
        <v>270</v>
      </c>
      <c r="F946" t="s">
        <v>271</v>
      </c>
      <c r="G946" t="s">
        <v>272</v>
      </c>
      <c r="H946" t="s">
        <v>255</v>
      </c>
      <c r="I946">
        <v>2022</v>
      </c>
      <c r="J946">
        <v>0</v>
      </c>
      <c r="K946" t="s">
        <v>273</v>
      </c>
      <c r="M946" t="str">
        <f t="shared" si="201"/>
        <v>Aryapratama_2022</v>
      </c>
      <c r="N946" t="s">
        <v>223</v>
      </c>
      <c r="O946" s="145" t="s">
        <v>275</v>
      </c>
      <c r="Q946" t="s">
        <v>225</v>
      </c>
      <c r="R946" s="264" t="s">
        <v>224</v>
      </c>
      <c r="S946" s="265" t="s">
        <v>3107</v>
      </c>
      <c r="T946" t="s">
        <v>329</v>
      </c>
      <c r="U946" t="s">
        <v>321</v>
      </c>
      <c r="V946">
        <v>0</v>
      </c>
      <c r="W946">
        <v>0</v>
      </c>
      <c r="X946">
        <v>0</v>
      </c>
      <c r="Y946">
        <v>0</v>
      </c>
      <c r="Z946">
        <v>0</v>
      </c>
      <c r="AA946">
        <v>0</v>
      </c>
      <c r="AB946">
        <v>0</v>
      </c>
      <c r="AC946">
        <v>0</v>
      </c>
      <c r="AD946">
        <v>0</v>
      </c>
      <c r="AE946">
        <v>0</v>
      </c>
      <c r="AF946">
        <v>0</v>
      </c>
      <c r="AG946">
        <v>0</v>
      </c>
      <c r="AH946">
        <v>0</v>
      </c>
      <c r="AI946">
        <v>0</v>
      </c>
      <c r="AJ946">
        <v>0</v>
      </c>
      <c r="AK946">
        <v>1</v>
      </c>
      <c r="AL946">
        <v>0</v>
      </c>
      <c r="AM946">
        <v>0</v>
      </c>
      <c r="AN946">
        <v>0</v>
      </c>
      <c r="AO946">
        <v>0</v>
      </c>
      <c r="AP946">
        <v>0</v>
      </c>
      <c r="AQ946">
        <v>0</v>
      </c>
      <c r="AR946">
        <v>0</v>
      </c>
      <c r="AS946">
        <v>0</v>
      </c>
      <c r="AT946">
        <v>0</v>
      </c>
      <c r="AU946">
        <v>0</v>
      </c>
      <c r="AV946">
        <v>0</v>
      </c>
      <c r="AW946">
        <v>0</v>
      </c>
      <c r="AX946" s="141">
        <f t="shared" si="167"/>
        <v>1</v>
      </c>
      <c r="AY946" s="141">
        <f t="shared" si="188"/>
        <v>1</v>
      </c>
      <c r="AZ946">
        <f t="shared" si="189"/>
        <v>0</v>
      </c>
      <c r="BA946">
        <f t="shared" si="190"/>
        <v>0</v>
      </c>
      <c r="BB946">
        <f t="shared" si="191"/>
        <v>1</v>
      </c>
      <c r="BC946">
        <f t="shared" si="192"/>
        <v>0</v>
      </c>
      <c r="BD946">
        <f t="shared" si="193"/>
        <v>0</v>
      </c>
      <c r="BE946" t="str">
        <f t="array" ref="BE946">IF(AY946=1,INDEX($V$7:$AL$7,MATCH(TRUE,INDEX($V946:$AW946&lt;&gt;0,),0)),IF(AY946=0,INDEX($AM$7:$AW$7,MATCH(1,$AM946:$AW946,0)),IF(BF946="Multiple strategies","mixed drivers",IF(BF946="Supply chain","multiple supply","multiple silviculture"))))</f>
        <v>technologies/design switch</v>
      </c>
      <c r="BF946" s="2" t="str" cm="1">
        <f t="array" ref="BF946">IF(COUNTIF(AZ946:BB946,"&lt;&gt;0")=1,INDEX($V$4:$AW$4,MATCH(TRUE,INDEX($V946:$AW946&lt;&gt;0,),0)),IF(COUNTIF(AZ946:BB946,"&lt;&gt;0")=0,INDEX($AM$4:$AW$4,MATCH(1,$AM946:$AW946,0)),"Multiple strategies"))</f>
        <v>Technology</v>
      </c>
      <c r="BG946" s="1" t="s">
        <v>230</v>
      </c>
      <c r="BH946" t="s">
        <v>278</v>
      </c>
      <c r="BI946" s="266" t="s">
        <v>3108</v>
      </c>
      <c r="BJ946" t="s">
        <v>279</v>
      </c>
      <c r="BK946">
        <v>0</v>
      </c>
      <c r="BL946">
        <v>180.77283018867931</v>
      </c>
      <c r="BN946">
        <f t="shared" si="171"/>
        <v>180.77283018867931</v>
      </c>
      <c r="BO946">
        <f t="shared" si="206"/>
        <v>784.94498562170781</v>
      </c>
      <c r="BP946" t="s">
        <v>233</v>
      </c>
      <c r="BQ946" s="153" t="s">
        <v>3109</v>
      </c>
      <c r="BR946" t="s">
        <v>280</v>
      </c>
      <c r="BS946">
        <v>-184.68959838926031</v>
      </c>
      <c r="BT946">
        <v>-448.98121307248744</v>
      </c>
      <c r="BU946" s="144">
        <f t="shared" si="205"/>
        <v>2.4310043282794624</v>
      </c>
      <c r="BV946">
        <f t="shared" si="200"/>
        <v>-264.29161468322712</v>
      </c>
      <c r="BX946">
        <f t="shared" si="207"/>
        <v>-264.29161468322712</v>
      </c>
      <c r="BY946">
        <f t="shared" si="194"/>
        <v>-0.33670081282689845</v>
      </c>
      <c r="BZ946">
        <v>0</v>
      </c>
      <c r="CA946">
        <v>0</v>
      </c>
      <c r="CB946">
        <v>0</v>
      </c>
      <c r="CC946">
        <v>0</v>
      </c>
      <c r="CD946">
        <v>0</v>
      </c>
      <c r="CE946">
        <v>0</v>
      </c>
      <c r="CF946">
        <v>0</v>
      </c>
      <c r="CG946">
        <v>0</v>
      </c>
      <c r="CH946">
        <v>0</v>
      </c>
      <c r="CI946">
        <v>0</v>
      </c>
      <c r="CJ946">
        <v>0</v>
      </c>
      <c r="CK946">
        <v>0</v>
      </c>
      <c r="CL946">
        <v>0</v>
      </c>
      <c r="CM946">
        <v>0</v>
      </c>
      <c r="CN946" t="str">
        <f t="shared" si="199"/>
        <v>refOK</v>
      </c>
      <c r="CO946">
        <f t="shared" si="208"/>
        <v>0</v>
      </c>
      <c r="CP946">
        <f t="shared" si="209"/>
        <v>180.77283018867931</v>
      </c>
      <c r="CQ946">
        <f t="shared" si="170"/>
        <v>784.94498562170781</v>
      </c>
      <c r="CR946">
        <f t="shared" si="210"/>
        <v>-184.68959838926031</v>
      </c>
      <c r="CS946">
        <f t="shared" si="211"/>
        <v>-448.98121307248744</v>
      </c>
      <c r="CT946">
        <f t="shared" si="168"/>
        <v>-264.29161468322712</v>
      </c>
      <c r="CU946">
        <f t="shared" si="204"/>
        <v>-0.33670081282689845</v>
      </c>
      <c r="CV946" s="2">
        <f t="shared" si="169"/>
        <v>-1.4310043282794624</v>
      </c>
      <c r="CW946" s="1" t="s">
        <v>235</v>
      </c>
      <c r="CX946" t="str">
        <f t="shared" si="195"/>
        <v>loc</v>
      </c>
      <c r="CY946" t="s">
        <v>281</v>
      </c>
      <c r="DB946">
        <v>200</v>
      </c>
      <c r="DC946" t="str">
        <f t="shared" si="196"/>
        <v>+100</v>
      </c>
      <c r="DD946">
        <v>0</v>
      </c>
      <c r="DE946">
        <v>1</v>
      </c>
      <c r="DF946">
        <v>0</v>
      </c>
      <c r="DG946">
        <v>0</v>
      </c>
      <c r="DI946">
        <f t="shared" si="202"/>
        <v>1</v>
      </c>
      <c r="DJ946" t="str">
        <f t="shared" si="203"/>
        <v>EnergyInput</v>
      </c>
      <c r="DK946">
        <f t="shared" si="172"/>
        <v>0</v>
      </c>
      <c r="DL946" t="str">
        <f t="shared" si="173"/>
        <v>Energy</v>
      </c>
      <c r="DM946">
        <f t="shared" si="174"/>
        <v>0</v>
      </c>
      <c r="DN946">
        <f t="shared" si="175"/>
        <v>0</v>
      </c>
      <c r="DO946">
        <v>0</v>
      </c>
      <c r="DP946">
        <v>1</v>
      </c>
      <c r="DQ946" t="s">
        <v>305</v>
      </c>
      <c r="DR946">
        <v>0</v>
      </c>
      <c r="DS946">
        <v>0</v>
      </c>
      <c r="DT946">
        <f t="shared" si="212"/>
        <v>1</v>
      </c>
      <c r="DU946" s="143" t="str">
        <f t="shared" si="198"/>
        <v>external DF used</v>
      </c>
      <c r="DV946">
        <v>0</v>
      </c>
      <c r="DW946">
        <v>1</v>
      </c>
      <c r="DX946">
        <v>1</v>
      </c>
      <c r="DY946">
        <v>1</v>
      </c>
      <c r="DZ946">
        <v>1</v>
      </c>
      <c r="EA946" s="143">
        <v>0</v>
      </c>
      <c r="EB946">
        <v>1</v>
      </c>
      <c r="EC946">
        <v>1</v>
      </c>
      <c r="ED946">
        <v>0</v>
      </c>
      <c r="EE946">
        <v>1</v>
      </c>
      <c r="EF946">
        <v>1</v>
      </c>
      <c r="EG946">
        <v>1</v>
      </c>
      <c r="EH946">
        <v>0</v>
      </c>
      <c r="EI946" s="2">
        <v>0</v>
      </c>
      <c r="EK946" t="str">
        <f t="shared" si="176"/>
        <v>Whole sector</v>
      </c>
      <c r="EL946" t="str">
        <f t="shared" si="177"/>
        <v/>
      </c>
      <c r="EM946" s="2" t="str">
        <f t="shared" si="197"/>
        <v/>
      </c>
      <c r="EP946" t="str">
        <f>IF(ISNUMBER(BU946),IF(ABS(BU946-[2]QC_indicators!$B$2)&gt;3*[2]QC_indicators!$C$2,"C ratio",IF(ISNUMBER(BY946),IF(ABS(BY946-[2]QC_indicators!$B$1)&gt;3*[2]QC_indicators!$C$1,"DF","no"))),IF(ISNUMBER(BY946),IF(ABS(BY946-[2]QC_indicators!$B$1)&gt;3*[2]QC_indicators!$C$1,"DF","no")))</f>
        <v>no</v>
      </c>
      <c r="EQ946" t="s">
        <v>287</v>
      </c>
      <c r="ET946" s="266" t="s">
        <v>3275</v>
      </c>
    </row>
    <row r="947" spans="1:150" ht="15" hidden="1" customHeight="1">
      <c r="A947" s="1" t="s">
        <v>266</v>
      </c>
      <c r="B947" t="s">
        <v>267</v>
      </c>
      <c r="C947" t="s">
        <v>268</v>
      </c>
      <c r="D947" t="s">
        <v>269</v>
      </c>
      <c r="E947" t="s">
        <v>270</v>
      </c>
      <c r="F947" t="s">
        <v>271</v>
      </c>
      <c r="G947" t="s">
        <v>272</v>
      </c>
      <c r="H947" t="s">
        <v>255</v>
      </c>
      <c r="I947">
        <v>2022</v>
      </c>
      <c r="J947">
        <v>0</v>
      </c>
      <c r="K947" t="s">
        <v>273</v>
      </c>
      <c r="M947" t="str">
        <f t="shared" si="201"/>
        <v>Aryapratama_2022</v>
      </c>
      <c r="N947" t="s">
        <v>223</v>
      </c>
      <c r="O947" s="145" t="s">
        <v>275</v>
      </c>
      <c r="Q947" t="s">
        <v>225</v>
      </c>
      <c r="R947" s="264" t="s">
        <v>224</v>
      </c>
      <c r="S947" s="265" t="s">
        <v>3107</v>
      </c>
      <c r="T947" t="s">
        <v>330</v>
      </c>
      <c r="U947" t="s">
        <v>331</v>
      </c>
      <c r="V947">
        <v>0</v>
      </c>
      <c r="W947">
        <v>0</v>
      </c>
      <c r="X947">
        <v>0</v>
      </c>
      <c r="Y947">
        <v>0</v>
      </c>
      <c r="Z947">
        <v>0</v>
      </c>
      <c r="AA947">
        <v>0</v>
      </c>
      <c r="AB947">
        <v>0</v>
      </c>
      <c r="AC947">
        <v>0</v>
      </c>
      <c r="AD947">
        <v>0</v>
      </c>
      <c r="AE947">
        <v>0</v>
      </c>
      <c r="AF947">
        <v>0</v>
      </c>
      <c r="AG947">
        <v>0</v>
      </c>
      <c r="AH947">
        <v>0</v>
      </c>
      <c r="AI947">
        <v>0</v>
      </c>
      <c r="AJ947">
        <v>0</v>
      </c>
      <c r="AK947">
        <v>1</v>
      </c>
      <c r="AL947">
        <v>0</v>
      </c>
      <c r="AM947">
        <v>0</v>
      </c>
      <c r="AN947">
        <v>0</v>
      </c>
      <c r="AO947">
        <v>0</v>
      </c>
      <c r="AP947">
        <v>0</v>
      </c>
      <c r="AQ947">
        <v>0</v>
      </c>
      <c r="AR947">
        <v>0</v>
      </c>
      <c r="AS947">
        <v>0</v>
      </c>
      <c r="AT947">
        <v>0</v>
      </c>
      <c r="AU947">
        <v>0</v>
      </c>
      <c r="AV947">
        <v>0</v>
      </c>
      <c r="AW947">
        <v>0</v>
      </c>
      <c r="AX947" s="141">
        <f t="shared" si="167"/>
        <v>1</v>
      </c>
      <c r="AY947" s="141">
        <f t="shared" si="188"/>
        <v>1</v>
      </c>
      <c r="AZ947">
        <f t="shared" si="189"/>
        <v>0</v>
      </c>
      <c r="BA947">
        <f t="shared" si="190"/>
        <v>0</v>
      </c>
      <c r="BB947">
        <f t="shared" si="191"/>
        <v>1</v>
      </c>
      <c r="BC947">
        <f t="shared" si="192"/>
        <v>0</v>
      </c>
      <c r="BD947">
        <f t="shared" si="193"/>
        <v>0</v>
      </c>
      <c r="BE947" t="str">
        <f t="array" ref="BE947">IF(AY947=1,INDEX($V$7:$AL$7,MATCH(TRUE,INDEX($V947:$AW947&lt;&gt;0,),0)),IF(AY947=0,INDEX($AM$7:$AW$7,MATCH(1,$AM947:$AW947,0)),IF(BF947="Multiple strategies","mixed drivers",IF(BF947="Supply chain","multiple supply","multiple silviculture"))))</f>
        <v>technologies/design switch</v>
      </c>
      <c r="BF947" s="2" t="str" cm="1">
        <f t="array" ref="BF947">IF(COUNTIF(AZ947:BB947,"&lt;&gt;0")=1,INDEX($V$4:$AW$4,MATCH(TRUE,INDEX($V947:$AW947&lt;&gt;0,),0)),IF(COUNTIF(AZ947:BB947,"&lt;&gt;0")=0,INDEX($AM$4:$AW$4,MATCH(1,$AM947:$AW947,0)),"Multiple strategies"))</f>
        <v>Technology</v>
      </c>
      <c r="BG947" s="1" t="s">
        <v>230</v>
      </c>
      <c r="BH947" t="s">
        <v>278</v>
      </c>
      <c r="BI947" s="266" t="s">
        <v>3108</v>
      </c>
      <c r="BJ947" t="s">
        <v>279</v>
      </c>
      <c r="BK947">
        <v>0</v>
      </c>
      <c r="BL947">
        <v>373.18339622641508</v>
      </c>
      <c r="BN947">
        <f t="shared" si="171"/>
        <v>373.18339622641508</v>
      </c>
      <c r="BO947">
        <f t="shared" si="206"/>
        <v>1620.4229102319371</v>
      </c>
      <c r="BP947" t="s">
        <v>233</v>
      </c>
      <c r="BQ947" s="153" t="s">
        <v>3109</v>
      </c>
      <c r="BR947" t="s">
        <v>280</v>
      </c>
      <c r="BS947">
        <v>-729.83506452863935</v>
      </c>
      <c r="BT947">
        <v>-858.14682671510911</v>
      </c>
      <c r="BU947" s="144">
        <f t="shared" si="205"/>
        <v>1.1758092594103291</v>
      </c>
      <c r="BV947">
        <f t="shared" si="200"/>
        <v>-128.31176218646976</v>
      </c>
      <c r="BX947">
        <f t="shared" si="207"/>
        <v>-128.31176218646976</v>
      </c>
      <c r="BY947">
        <f t="shared" si="194"/>
        <v>-7.9184120007352921E-2</v>
      </c>
      <c r="BZ947">
        <v>0</v>
      </c>
      <c r="CA947">
        <v>0</v>
      </c>
      <c r="CB947">
        <v>0</v>
      </c>
      <c r="CC947">
        <v>0</v>
      </c>
      <c r="CD947">
        <v>0</v>
      </c>
      <c r="CE947">
        <v>0</v>
      </c>
      <c r="CF947">
        <v>0</v>
      </c>
      <c r="CG947">
        <v>0</v>
      </c>
      <c r="CH947">
        <v>0</v>
      </c>
      <c r="CI947">
        <v>0</v>
      </c>
      <c r="CJ947">
        <v>0</v>
      </c>
      <c r="CK947">
        <v>0</v>
      </c>
      <c r="CL947">
        <v>0</v>
      </c>
      <c r="CM947">
        <v>0</v>
      </c>
      <c r="CN947" t="str">
        <f t="shared" si="199"/>
        <v>refOK</v>
      </c>
      <c r="CO947">
        <f t="shared" si="208"/>
        <v>0</v>
      </c>
      <c r="CP947">
        <f t="shared" si="209"/>
        <v>373.18339622641508</v>
      </c>
      <c r="CQ947">
        <f t="shared" si="170"/>
        <v>1620.4229102319371</v>
      </c>
      <c r="CR947">
        <f t="shared" si="210"/>
        <v>-729.83506452863935</v>
      </c>
      <c r="CS947">
        <f t="shared" si="211"/>
        <v>-858.14682671510911</v>
      </c>
      <c r="CT947">
        <f t="shared" si="168"/>
        <v>-128.31176218646976</v>
      </c>
      <c r="CU947">
        <f t="shared" si="204"/>
        <v>-7.9184120007352921E-2</v>
      </c>
      <c r="CV947" s="2">
        <f t="shared" si="169"/>
        <v>-0.17580925941032902</v>
      </c>
      <c r="CW947" s="1" t="s">
        <v>235</v>
      </c>
      <c r="CX947" t="str">
        <f t="shared" si="195"/>
        <v>loc</v>
      </c>
      <c r="CY947" t="s">
        <v>281</v>
      </c>
      <c r="DB947">
        <v>200</v>
      </c>
      <c r="DC947" t="str">
        <f t="shared" si="196"/>
        <v>+100</v>
      </c>
      <c r="DD947">
        <v>0</v>
      </c>
      <c r="DE947">
        <v>1</v>
      </c>
      <c r="DF947">
        <v>0</v>
      </c>
      <c r="DG947">
        <v>0</v>
      </c>
      <c r="DI947">
        <f t="shared" si="202"/>
        <v>1</v>
      </c>
      <c r="DJ947" t="str">
        <f t="shared" si="203"/>
        <v>EnergyInput</v>
      </c>
      <c r="DK947">
        <f t="shared" si="172"/>
        <v>0</v>
      </c>
      <c r="DL947" t="str">
        <f t="shared" si="173"/>
        <v>Energy</v>
      </c>
      <c r="DM947">
        <f t="shared" si="174"/>
        <v>0</v>
      </c>
      <c r="DN947">
        <f t="shared" si="175"/>
        <v>0</v>
      </c>
      <c r="DO947">
        <v>0</v>
      </c>
      <c r="DP947">
        <v>1</v>
      </c>
      <c r="DQ947" t="s">
        <v>305</v>
      </c>
      <c r="DR947">
        <v>0</v>
      </c>
      <c r="DS947">
        <v>0</v>
      </c>
      <c r="DT947">
        <f t="shared" si="212"/>
        <v>1</v>
      </c>
      <c r="DU947" s="143" t="str">
        <f t="shared" si="198"/>
        <v>external DF used</v>
      </c>
      <c r="DV947">
        <v>0</v>
      </c>
      <c r="DW947">
        <v>1</v>
      </c>
      <c r="DX947">
        <v>1</v>
      </c>
      <c r="DY947">
        <v>1</v>
      </c>
      <c r="DZ947">
        <v>1</v>
      </c>
      <c r="EA947" s="143">
        <v>0</v>
      </c>
      <c r="EB947">
        <v>1</v>
      </c>
      <c r="EC947">
        <v>1</v>
      </c>
      <c r="ED947">
        <v>0</v>
      </c>
      <c r="EE947">
        <v>1</v>
      </c>
      <c r="EF947">
        <v>1</v>
      </c>
      <c r="EG947">
        <v>1</v>
      </c>
      <c r="EH947">
        <v>0</v>
      </c>
      <c r="EI947" s="2">
        <v>0</v>
      </c>
      <c r="EK947" t="str">
        <f t="shared" si="176"/>
        <v>Whole sector</v>
      </c>
      <c r="EL947" t="str">
        <f t="shared" si="177"/>
        <v/>
      </c>
      <c r="EM947" s="2" t="str">
        <f t="shared" si="197"/>
        <v/>
      </c>
      <c r="EP947" t="str">
        <f>IF(ISNUMBER(BU947),IF(ABS(BU947-[2]QC_indicators!$B$2)&gt;3*[2]QC_indicators!$C$2,"C ratio",IF(ISNUMBER(BY947),IF(ABS(BY947-[2]QC_indicators!$B$1)&gt;3*[2]QC_indicators!$C$1,"DF","no"))),IF(ISNUMBER(BY947),IF(ABS(BY947-[2]QC_indicators!$B$1)&gt;3*[2]QC_indicators!$C$1,"DF","no")))</f>
        <v>no</v>
      </c>
      <c r="EQ947" t="s">
        <v>287</v>
      </c>
      <c r="ET947" s="266" t="s">
        <v>3275</v>
      </c>
    </row>
    <row r="948" spans="1:150" ht="15" hidden="1" customHeight="1">
      <c r="A948" s="1" t="s">
        <v>266</v>
      </c>
      <c r="B948" t="s">
        <v>267</v>
      </c>
      <c r="C948" t="s">
        <v>268</v>
      </c>
      <c r="D948" t="s">
        <v>269</v>
      </c>
      <c r="E948" t="s">
        <v>270</v>
      </c>
      <c r="F948" t="s">
        <v>271</v>
      </c>
      <c r="G948" t="s">
        <v>272</v>
      </c>
      <c r="H948" t="s">
        <v>255</v>
      </c>
      <c r="I948">
        <v>2022</v>
      </c>
      <c r="J948">
        <v>0</v>
      </c>
      <c r="K948" t="s">
        <v>273</v>
      </c>
      <c r="M948" t="str">
        <f t="shared" si="201"/>
        <v>Aryapratama_2022</v>
      </c>
      <c r="N948" t="s">
        <v>223</v>
      </c>
      <c r="O948" s="145" t="s">
        <v>275</v>
      </c>
      <c r="Q948" t="s">
        <v>225</v>
      </c>
      <c r="R948" s="264" t="s">
        <v>224</v>
      </c>
      <c r="S948" s="265" t="s">
        <v>3107</v>
      </c>
      <c r="T948" t="s">
        <v>332</v>
      </c>
      <c r="U948" t="s">
        <v>333</v>
      </c>
      <c r="V948">
        <v>0</v>
      </c>
      <c r="W948">
        <v>0</v>
      </c>
      <c r="X948">
        <v>0</v>
      </c>
      <c r="Y948">
        <v>0</v>
      </c>
      <c r="Z948">
        <v>0</v>
      </c>
      <c r="AA948">
        <v>0</v>
      </c>
      <c r="AB948">
        <v>0</v>
      </c>
      <c r="AC948">
        <v>0</v>
      </c>
      <c r="AD948">
        <v>0</v>
      </c>
      <c r="AE948">
        <v>0</v>
      </c>
      <c r="AF948">
        <v>0</v>
      </c>
      <c r="AG948">
        <v>0</v>
      </c>
      <c r="AH948">
        <v>0</v>
      </c>
      <c r="AI948">
        <v>0</v>
      </c>
      <c r="AJ948">
        <v>0</v>
      </c>
      <c r="AK948">
        <v>1</v>
      </c>
      <c r="AL948">
        <v>0</v>
      </c>
      <c r="AM948">
        <v>0</v>
      </c>
      <c r="AN948">
        <v>0</v>
      </c>
      <c r="AO948">
        <v>0</v>
      </c>
      <c r="AP948">
        <v>0</v>
      </c>
      <c r="AQ948">
        <v>0</v>
      </c>
      <c r="AR948">
        <v>0</v>
      </c>
      <c r="AS948">
        <v>0</v>
      </c>
      <c r="AT948">
        <v>0</v>
      </c>
      <c r="AU948">
        <v>0</v>
      </c>
      <c r="AV948">
        <v>0</v>
      </c>
      <c r="AW948">
        <v>0</v>
      </c>
      <c r="AX948" s="141">
        <f t="shared" si="167"/>
        <v>1</v>
      </c>
      <c r="AY948" s="141">
        <f t="shared" si="188"/>
        <v>1</v>
      </c>
      <c r="AZ948">
        <f t="shared" si="189"/>
        <v>0</v>
      </c>
      <c r="BA948">
        <f t="shared" si="190"/>
        <v>0</v>
      </c>
      <c r="BB948">
        <f t="shared" si="191"/>
        <v>1</v>
      </c>
      <c r="BC948">
        <f t="shared" si="192"/>
        <v>0</v>
      </c>
      <c r="BD948">
        <f t="shared" si="193"/>
        <v>0</v>
      </c>
      <c r="BE948" t="str">
        <f t="array" ref="BE948">IF(AY948=1,INDEX($V$7:$AL$7,MATCH(TRUE,INDEX($V948:$AW948&lt;&gt;0,),0)),IF(AY948=0,INDEX($AM$7:$AW$7,MATCH(1,$AM948:$AW948,0)),IF(BF948="Multiple strategies","mixed drivers",IF(BF948="Supply chain","multiple supply","multiple silviculture"))))</f>
        <v>technologies/design switch</v>
      </c>
      <c r="BF948" s="2" t="str" cm="1">
        <f t="array" ref="BF948">IF(COUNTIF(AZ948:BB948,"&lt;&gt;0")=1,INDEX($V$4:$AW$4,MATCH(TRUE,INDEX($V948:$AW948&lt;&gt;0,),0)),IF(COUNTIF(AZ948:BB948,"&lt;&gt;0")=0,INDEX($AM$4:$AW$4,MATCH(1,$AM948:$AW948,0)),"Multiple strategies"))</f>
        <v>Technology</v>
      </c>
      <c r="BG948" s="1" t="s">
        <v>230</v>
      </c>
      <c r="BH948" t="s">
        <v>278</v>
      </c>
      <c r="BI948" s="266" t="s">
        <v>3108</v>
      </c>
      <c r="BJ948" t="s">
        <v>279</v>
      </c>
      <c r="BK948">
        <v>0</v>
      </c>
      <c r="BL948">
        <v>192.41056603773589</v>
      </c>
      <c r="BN948">
        <f t="shared" si="171"/>
        <v>192.41056603773589</v>
      </c>
      <c r="BO948">
        <f t="shared" si="206"/>
        <v>835.47792461022971</v>
      </c>
      <c r="BP948" t="s">
        <v>233</v>
      </c>
      <c r="BQ948" s="153" t="s">
        <v>3109</v>
      </c>
      <c r="BR948" t="s">
        <v>280</v>
      </c>
      <c r="BS948">
        <v>-543.07789336691178</v>
      </c>
      <c r="BT948">
        <v>2.2086925350061422</v>
      </c>
      <c r="BU948" s="144">
        <f t="shared" si="205"/>
        <v>-4.0669903194050939E-3</v>
      </c>
      <c r="BV948">
        <f t="shared" si="200"/>
        <v>545.28658590191787</v>
      </c>
      <c r="BX948">
        <f t="shared" si="207"/>
        <v>545.28658590191787</v>
      </c>
      <c r="BY948">
        <f t="shared" si="194"/>
        <v>0.65266426537398581</v>
      </c>
      <c r="BZ948">
        <v>0</v>
      </c>
      <c r="CA948">
        <v>0</v>
      </c>
      <c r="CB948">
        <v>0</v>
      </c>
      <c r="CC948">
        <v>0</v>
      </c>
      <c r="CD948">
        <v>0</v>
      </c>
      <c r="CE948">
        <v>0</v>
      </c>
      <c r="CF948">
        <v>0</v>
      </c>
      <c r="CG948">
        <v>0</v>
      </c>
      <c r="CH948">
        <v>0</v>
      </c>
      <c r="CI948">
        <v>0</v>
      </c>
      <c r="CJ948">
        <v>0</v>
      </c>
      <c r="CK948">
        <v>0</v>
      </c>
      <c r="CL948">
        <v>0</v>
      </c>
      <c r="CM948">
        <v>0</v>
      </c>
      <c r="CN948" t="str">
        <f t="shared" si="199"/>
        <v>refOK</v>
      </c>
      <c r="CO948">
        <f t="shared" si="208"/>
        <v>0</v>
      </c>
      <c r="CP948">
        <f t="shared" si="209"/>
        <v>192.41056603773589</v>
      </c>
      <c r="CQ948">
        <f t="shared" si="170"/>
        <v>835.47792461022971</v>
      </c>
      <c r="CR948">
        <f t="shared" si="210"/>
        <v>-543.07789336691178</v>
      </c>
      <c r="CS948">
        <f t="shared" si="211"/>
        <v>2.2086925350061422</v>
      </c>
      <c r="CT948">
        <f t="shared" si="168"/>
        <v>545.28658590191787</v>
      </c>
      <c r="CU948">
        <f t="shared" si="204"/>
        <v>0.65266426537398581</v>
      </c>
      <c r="CV948" s="2">
        <f t="shared" si="169"/>
        <v>1.0040669903194051</v>
      </c>
      <c r="CW948" s="1" t="s">
        <v>235</v>
      </c>
      <c r="CX948" t="str">
        <f t="shared" si="195"/>
        <v>loc</v>
      </c>
      <c r="CY948" t="s">
        <v>281</v>
      </c>
      <c r="DB948">
        <v>200</v>
      </c>
      <c r="DC948" t="str">
        <f t="shared" si="196"/>
        <v>+100</v>
      </c>
      <c r="DD948">
        <v>0</v>
      </c>
      <c r="DE948">
        <v>1</v>
      </c>
      <c r="DF948">
        <v>0</v>
      </c>
      <c r="DG948">
        <v>0</v>
      </c>
      <c r="DI948">
        <f t="shared" si="202"/>
        <v>1</v>
      </c>
      <c r="DJ948" t="str">
        <f t="shared" si="203"/>
        <v>EnergyInput</v>
      </c>
      <c r="DK948">
        <f t="shared" si="172"/>
        <v>0</v>
      </c>
      <c r="DL948" t="str">
        <f t="shared" si="173"/>
        <v>Energy</v>
      </c>
      <c r="DM948">
        <f t="shared" si="174"/>
        <v>0</v>
      </c>
      <c r="DN948">
        <f t="shared" si="175"/>
        <v>0</v>
      </c>
      <c r="DO948">
        <v>0</v>
      </c>
      <c r="DP948">
        <v>1</v>
      </c>
      <c r="DQ948" t="s">
        <v>305</v>
      </c>
      <c r="DR948">
        <v>0</v>
      </c>
      <c r="DS948">
        <v>0</v>
      </c>
      <c r="DT948">
        <f t="shared" si="212"/>
        <v>1</v>
      </c>
      <c r="DU948" s="143" t="str">
        <f t="shared" si="198"/>
        <v>external DF used</v>
      </c>
      <c r="DV948">
        <v>0</v>
      </c>
      <c r="DW948">
        <v>1</v>
      </c>
      <c r="DX948">
        <v>1</v>
      </c>
      <c r="DY948">
        <v>1</v>
      </c>
      <c r="DZ948">
        <v>1</v>
      </c>
      <c r="EA948" s="143">
        <v>0</v>
      </c>
      <c r="EB948">
        <v>1</v>
      </c>
      <c r="EC948">
        <v>1</v>
      </c>
      <c r="ED948">
        <v>0</v>
      </c>
      <c r="EE948">
        <v>1</v>
      </c>
      <c r="EF948">
        <v>1</v>
      </c>
      <c r="EG948">
        <v>1</v>
      </c>
      <c r="EH948">
        <v>0</v>
      </c>
      <c r="EI948" s="2">
        <v>0</v>
      </c>
      <c r="EK948" t="str">
        <f t="shared" si="176"/>
        <v>Whole sector</v>
      </c>
      <c r="EL948" t="str">
        <f t="shared" si="177"/>
        <v/>
      </c>
      <c r="EM948" s="2" t="str">
        <f t="shared" si="197"/>
        <v/>
      </c>
      <c r="EP948" t="str">
        <f>IF(ISNUMBER(BU948),IF(ABS(BU948-[2]QC_indicators!$B$2)&gt;3*[2]QC_indicators!$C$2,"C ratio",IF(ISNUMBER(BY948),IF(ABS(BY948-[2]QC_indicators!$B$1)&gt;3*[2]QC_indicators!$C$1,"DF","no"))),IF(ISNUMBER(BY948),IF(ABS(BY948-[2]QC_indicators!$B$1)&gt;3*[2]QC_indicators!$C$1,"DF","no")))</f>
        <v>no</v>
      </c>
      <c r="EQ948" t="s">
        <v>287</v>
      </c>
      <c r="ET948" s="266" t="s">
        <v>3275</v>
      </c>
    </row>
    <row r="949" spans="1:150" ht="15" hidden="1" customHeight="1">
      <c r="A949" s="1" t="s">
        <v>266</v>
      </c>
      <c r="B949" t="s">
        <v>267</v>
      </c>
      <c r="C949" t="s">
        <v>268</v>
      </c>
      <c r="D949" t="s">
        <v>269</v>
      </c>
      <c r="E949" t="s">
        <v>270</v>
      </c>
      <c r="F949" t="s">
        <v>271</v>
      </c>
      <c r="G949" t="s">
        <v>272</v>
      </c>
      <c r="H949" t="s">
        <v>255</v>
      </c>
      <c r="I949">
        <v>2022</v>
      </c>
      <c r="J949">
        <v>0</v>
      </c>
      <c r="K949" t="s">
        <v>273</v>
      </c>
      <c r="M949" t="str">
        <f t="shared" si="201"/>
        <v>Aryapratama_2022</v>
      </c>
      <c r="N949" t="s">
        <v>223</v>
      </c>
      <c r="O949" s="145" t="s">
        <v>275</v>
      </c>
      <c r="Q949" t="s">
        <v>225</v>
      </c>
      <c r="R949" s="264" t="s">
        <v>224</v>
      </c>
      <c r="S949" s="265" t="s">
        <v>3107</v>
      </c>
      <c r="T949" t="s">
        <v>292</v>
      </c>
      <c r="U949" t="s">
        <v>277</v>
      </c>
      <c r="V949">
        <v>0</v>
      </c>
      <c r="W949">
        <v>0</v>
      </c>
      <c r="X949">
        <v>0</v>
      </c>
      <c r="Y949">
        <v>0</v>
      </c>
      <c r="Z949">
        <v>0</v>
      </c>
      <c r="AA949">
        <v>0</v>
      </c>
      <c r="AB949">
        <v>0</v>
      </c>
      <c r="AC949">
        <v>0</v>
      </c>
      <c r="AD949">
        <v>0</v>
      </c>
      <c r="AE949">
        <v>0</v>
      </c>
      <c r="AF949">
        <v>0</v>
      </c>
      <c r="AG949">
        <v>0</v>
      </c>
      <c r="AH949">
        <v>0</v>
      </c>
      <c r="AI949">
        <v>0</v>
      </c>
      <c r="AJ949">
        <v>0</v>
      </c>
      <c r="AK949">
        <v>1</v>
      </c>
      <c r="AL949">
        <v>0</v>
      </c>
      <c r="AM949">
        <v>0</v>
      </c>
      <c r="AN949">
        <v>0</v>
      </c>
      <c r="AO949">
        <v>0</v>
      </c>
      <c r="AP949">
        <v>0</v>
      </c>
      <c r="AQ949">
        <v>0</v>
      </c>
      <c r="AR949">
        <v>0</v>
      </c>
      <c r="AS949">
        <v>0</v>
      </c>
      <c r="AT949">
        <v>0</v>
      </c>
      <c r="AU949">
        <v>0</v>
      </c>
      <c r="AV949">
        <v>0</v>
      </c>
      <c r="AW949">
        <v>0</v>
      </c>
      <c r="AX949" s="141">
        <f t="shared" si="167"/>
        <v>1</v>
      </c>
      <c r="AY949" s="141">
        <f t="shared" si="188"/>
        <v>1</v>
      </c>
      <c r="AZ949">
        <f t="shared" si="189"/>
        <v>0</v>
      </c>
      <c r="BA949">
        <f t="shared" si="190"/>
        <v>0</v>
      </c>
      <c r="BB949">
        <f t="shared" si="191"/>
        <v>1</v>
      </c>
      <c r="BC949">
        <f t="shared" si="192"/>
        <v>0</v>
      </c>
      <c r="BD949">
        <f t="shared" si="193"/>
        <v>0</v>
      </c>
      <c r="BE949" t="str">
        <f t="array" ref="BE949">IF(AY949=1,INDEX($V$7:$AL$7,MATCH(TRUE,INDEX($V949:$AW949&lt;&gt;0,),0)),IF(AY949=0,INDEX($AM$7:$AW$7,MATCH(1,$AM949:$AW949,0)),IF(BF949="Multiple strategies","mixed drivers",IF(BF949="Supply chain","multiple supply","multiple silviculture"))))</f>
        <v>technologies/design switch</v>
      </c>
      <c r="BF949" s="2" t="str" cm="1">
        <f t="array" ref="BF949">IF(COUNTIF(AZ949:BB949,"&lt;&gt;0")=1,INDEX($V$4:$AW$4,MATCH(TRUE,INDEX($V949:$AW949&lt;&gt;0,),0)),IF(COUNTIF(AZ949:BB949,"&lt;&gt;0")=0,INDEX($AM$4:$AW$4,MATCH(1,$AM949:$AW949,0)),"Multiple strategies"))</f>
        <v>Technology</v>
      </c>
      <c r="BG949" s="1" t="s">
        <v>230</v>
      </c>
      <c r="BH949" t="s">
        <v>278</v>
      </c>
      <c r="BI949" s="266" t="s">
        <v>3108</v>
      </c>
      <c r="BJ949" t="s">
        <v>279</v>
      </c>
      <c r="BK949">
        <v>0</v>
      </c>
      <c r="BL949">
        <v>204.03384764150945</v>
      </c>
      <c r="BN949">
        <f t="shared" si="171"/>
        <v>204.03384764150945</v>
      </c>
      <c r="BO949">
        <f t="shared" si="206"/>
        <v>885.9481009184085</v>
      </c>
      <c r="BP949" t="s">
        <v>233</v>
      </c>
      <c r="BQ949" s="153" t="s">
        <v>3109</v>
      </c>
      <c r="BR949" t="s">
        <v>280</v>
      </c>
      <c r="BS949">
        <v>-514.73759172333291</v>
      </c>
      <c r="BT949">
        <v>-1206.3347109067272</v>
      </c>
      <c r="BU949" s="144">
        <f t="shared" si="205"/>
        <v>2.3435916286353571</v>
      </c>
      <c r="BV949">
        <f t="shared" si="200"/>
        <v>-691.59711918339428</v>
      </c>
      <c r="BX949">
        <f t="shared" si="207"/>
        <v>-691.59711918339428</v>
      </c>
      <c r="BY949">
        <f t="shared" si="194"/>
        <v>-0.78062938276684335</v>
      </c>
      <c r="BZ949">
        <v>0</v>
      </c>
      <c r="CA949">
        <v>0</v>
      </c>
      <c r="CB949">
        <v>0</v>
      </c>
      <c r="CC949">
        <v>0</v>
      </c>
      <c r="CD949">
        <v>0</v>
      </c>
      <c r="CE949">
        <v>0</v>
      </c>
      <c r="CF949">
        <v>0</v>
      </c>
      <c r="CG949">
        <v>0</v>
      </c>
      <c r="CH949">
        <v>0</v>
      </c>
      <c r="CI949">
        <v>0</v>
      </c>
      <c r="CJ949">
        <v>0</v>
      </c>
      <c r="CK949">
        <v>0</v>
      </c>
      <c r="CL949">
        <v>0</v>
      </c>
      <c r="CM949">
        <v>0</v>
      </c>
      <c r="CN949" t="str">
        <f t="shared" si="199"/>
        <v>refOK</v>
      </c>
      <c r="CO949">
        <f t="shared" si="208"/>
        <v>0</v>
      </c>
      <c r="CP949">
        <f t="shared" si="209"/>
        <v>204.03384764150945</v>
      </c>
      <c r="CQ949">
        <f t="shared" si="170"/>
        <v>885.9481009184085</v>
      </c>
      <c r="CR949">
        <f t="shared" si="210"/>
        <v>-514.73759172333291</v>
      </c>
      <c r="CS949">
        <f t="shared" si="211"/>
        <v>-1206.3347109067272</v>
      </c>
      <c r="CT949">
        <f t="shared" si="168"/>
        <v>-691.59711918339428</v>
      </c>
      <c r="CU949">
        <f t="shared" si="204"/>
        <v>-0.78062938276684335</v>
      </c>
      <c r="CV949" s="2">
        <f t="shared" si="169"/>
        <v>-1.3435916286353569</v>
      </c>
      <c r="CW949" s="1" t="s">
        <v>235</v>
      </c>
      <c r="CX949" t="str">
        <f t="shared" si="195"/>
        <v>loc</v>
      </c>
      <c r="CY949" t="s">
        <v>281</v>
      </c>
      <c r="DB949">
        <v>200</v>
      </c>
      <c r="DC949" t="str">
        <f t="shared" si="196"/>
        <v>+100</v>
      </c>
      <c r="DD949">
        <v>0</v>
      </c>
      <c r="DE949">
        <v>0</v>
      </c>
      <c r="DF949">
        <v>0</v>
      </c>
      <c r="DG949">
        <v>1</v>
      </c>
      <c r="DI949">
        <f t="shared" si="202"/>
        <v>1</v>
      </c>
      <c r="DJ949" t="str">
        <f t="shared" si="203"/>
        <v>TimberInput</v>
      </c>
      <c r="DK949">
        <f t="shared" si="172"/>
        <v>0</v>
      </c>
      <c r="DL949">
        <f t="shared" si="173"/>
        <v>0</v>
      </c>
      <c r="DM949">
        <f t="shared" si="174"/>
        <v>0</v>
      </c>
      <c r="DN949" t="str">
        <f t="shared" si="175"/>
        <v>Timber</v>
      </c>
      <c r="DO949">
        <v>0</v>
      </c>
      <c r="DP949">
        <v>1</v>
      </c>
      <c r="DQ949">
        <v>0</v>
      </c>
      <c r="DR949" t="s">
        <v>293</v>
      </c>
      <c r="DS949">
        <v>0</v>
      </c>
      <c r="DT949">
        <f t="shared" si="212"/>
        <v>1</v>
      </c>
      <c r="DU949" s="143" t="str">
        <f t="shared" si="198"/>
        <v>external DF used</v>
      </c>
      <c r="DV949">
        <v>0</v>
      </c>
      <c r="DW949">
        <v>1</v>
      </c>
      <c r="DX949">
        <v>1</v>
      </c>
      <c r="DY949">
        <v>1</v>
      </c>
      <c r="DZ949">
        <v>1</v>
      </c>
      <c r="EA949" s="143">
        <v>0</v>
      </c>
      <c r="EB949">
        <v>1</v>
      </c>
      <c r="EC949">
        <v>1</v>
      </c>
      <c r="ED949">
        <v>0</v>
      </c>
      <c r="EE949">
        <v>1</v>
      </c>
      <c r="EF949">
        <v>1</v>
      </c>
      <c r="EG949">
        <v>1</v>
      </c>
      <c r="EH949">
        <v>0</v>
      </c>
      <c r="EI949" s="2">
        <v>0</v>
      </c>
      <c r="EK949" t="str">
        <f t="shared" si="176"/>
        <v>Whole sector</v>
      </c>
      <c r="EL949" t="str">
        <f t="shared" si="177"/>
        <v/>
      </c>
      <c r="EM949" s="2" t="str">
        <f t="shared" si="197"/>
        <v/>
      </c>
      <c r="EP949" t="str">
        <f>IF(ISNUMBER(BU949),IF(ABS(BU949-[2]QC_indicators!$B$2)&gt;3*[2]QC_indicators!$C$2,"C ratio",IF(ISNUMBER(BY949),IF(ABS(BY949-[2]QC_indicators!$B$1)&gt;3*[2]QC_indicators!$C$1,"DF","no"))),IF(ISNUMBER(BY949),IF(ABS(BY949-[2]QC_indicators!$B$1)&gt;3*[2]QC_indicators!$C$1,"DF","no")))</f>
        <v>no</v>
      </c>
      <c r="EQ949" t="s">
        <v>287</v>
      </c>
      <c r="ET949" s="266" t="s">
        <v>3275</v>
      </c>
    </row>
    <row r="950" spans="1:150" ht="15" hidden="1" customHeight="1">
      <c r="A950" s="1" t="s">
        <v>266</v>
      </c>
      <c r="B950" t="s">
        <v>267</v>
      </c>
      <c r="C950" t="s">
        <v>268</v>
      </c>
      <c r="D950" t="s">
        <v>269</v>
      </c>
      <c r="E950" t="s">
        <v>270</v>
      </c>
      <c r="F950" t="s">
        <v>271</v>
      </c>
      <c r="G950" t="s">
        <v>272</v>
      </c>
      <c r="H950" t="s">
        <v>255</v>
      </c>
      <c r="I950">
        <v>2022</v>
      </c>
      <c r="J950">
        <v>0</v>
      </c>
      <c r="K950" t="s">
        <v>273</v>
      </c>
      <c r="M950" t="str">
        <f t="shared" si="201"/>
        <v>Aryapratama_2022</v>
      </c>
      <c r="N950" t="s">
        <v>223</v>
      </c>
      <c r="O950" s="145" t="s">
        <v>275</v>
      </c>
      <c r="Q950" t="s">
        <v>225</v>
      </c>
      <c r="R950" s="264" t="s">
        <v>224</v>
      </c>
      <c r="S950" s="265" t="s">
        <v>3107</v>
      </c>
      <c r="T950" t="s">
        <v>294</v>
      </c>
      <c r="U950" t="s">
        <v>276</v>
      </c>
      <c r="V950">
        <v>0</v>
      </c>
      <c r="W950">
        <v>0</v>
      </c>
      <c r="X950">
        <v>0</v>
      </c>
      <c r="Y950">
        <v>0</v>
      </c>
      <c r="Z950">
        <v>0</v>
      </c>
      <c r="AA950">
        <v>0</v>
      </c>
      <c r="AB950">
        <v>0</v>
      </c>
      <c r="AC950">
        <v>0</v>
      </c>
      <c r="AD950">
        <v>0</v>
      </c>
      <c r="AE950">
        <v>0</v>
      </c>
      <c r="AF950">
        <v>0</v>
      </c>
      <c r="AG950">
        <v>0</v>
      </c>
      <c r="AH950">
        <v>0</v>
      </c>
      <c r="AI950">
        <v>0</v>
      </c>
      <c r="AJ950">
        <v>0</v>
      </c>
      <c r="AK950">
        <v>1</v>
      </c>
      <c r="AL950">
        <v>0</v>
      </c>
      <c r="AM950">
        <v>0</v>
      </c>
      <c r="AN950">
        <v>0</v>
      </c>
      <c r="AO950">
        <v>0</v>
      </c>
      <c r="AP950">
        <v>0</v>
      </c>
      <c r="AQ950">
        <v>0</v>
      </c>
      <c r="AR950">
        <v>0</v>
      </c>
      <c r="AS950">
        <v>0</v>
      </c>
      <c r="AT950">
        <v>0</v>
      </c>
      <c r="AU950">
        <v>0</v>
      </c>
      <c r="AV950">
        <v>0</v>
      </c>
      <c r="AW950">
        <v>0</v>
      </c>
      <c r="AX950" s="141">
        <f t="shared" si="167"/>
        <v>1</v>
      </c>
      <c r="AY950" s="141">
        <f t="shared" si="188"/>
        <v>1</v>
      </c>
      <c r="AZ950">
        <f t="shared" si="189"/>
        <v>0</v>
      </c>
      <c r="BA950">
        <f t="shared" si="190"/>
        <v>0</v>
      </c>
      <c r="BB950">
        <f t="shared" si="191"/>
        <v>1</v>
      </c>
      <c r="BC950">
        <f t="shared" si="192"/>
        <v>0</v>
      </c>
      <c r="BD950">
        <f t="shared" si="193"/>
        <v>0</v>
      </c>
      <c r="BE950" t="str">
        <f t="array" ref="BE950">IF(AY950=1,INDEX($V$7:$AL$7,MATCH(TRUE,INDEX($V950:$AW950&lt;&gt;0,),0)),IF(AY950=0,INDEX($AM$7:$AW$7,MATCH(1,$AM950:$AW950,0)),IF(BF950="Multiple strategies","mixed drivers",IF(BF950="Supply chain","multiple supply","multiple silviculture"))))</f>
        <v>technologies/design switch</v>
      </c>
      <c r="BF950" s="2" t="str" cm="1">
        <f t="array" ref="BF950">IF(COUNTIF(AZ950:BB950,"&lt;&gt;0")=1,INDEX($V$4:$AW$4,MATCH(TRUE,INDEX($V950:$AW950&lt;&gt;0,),0)),IF(COUNTIF(AZ950:BB950,"&lt;&gt;0")=0,INDEX($AM$4:$AW$4,MATCH(1,$AM950:$AW950,0)),"Multiple strategies"))</f>
        <v>Technology</v>
      </c>
      <c r="BG950" s="1" t="s">
        <v>230</v>
      </c>
      <c r="BH950" t="s">
        <v>278</v>
      </c>
      <c r="BI950" s="266" t="s">
        <v>3108</v>
      </c>
      <c r="BJ950" t="s">
        <v>279</v>
      </c>
      <c r="BK950">
        <v>0</v>
      </c>
      <c r="BL950">
        <v>135.57962264150939</v>
      </c>
      <c r="BN950">
        <f t="shared" si="171"/>
        <v>135.57962264150939</v>
      </c>
      <c r="BO950">
        <f t="shared" si="206"/>
        <v>588.70873921628049</v>
      </c>
      <c r="BP950" t="s">
        <v>233</v>
      </c>
      <c r="BQ950" s="153" t="s">
        <v>3109</v>
      </c>
      <c r="BR950" t="s">
        <v>280</v>
      </c>
      <c r="BS950">
        <v>-51.111049251716672</v>
      </c>
      <c r="BT950">
        <v>-435.66826611219864</v>
      </c>
      <c r="BU950" s="144">
        <f t="shared" si="205"/>
        <v>8.5239546534561867</v>
      </c>
      <c r="BV950">
        <f t="shared" si="200"/>
        <v>-384.55721686048196</v>
      </c>
      <c r="BX950">
        <f t="shared" si="207"/>
        <v>-384.55721686048196</v>
      </c>
      <c r="BY950">
        <f t="shared" si="194"/>
        <v>-0.65322151896780811</v>
      </c>
      <c r="BZ950">
        <v>0</v>
      </c>
      <c r="CA950">
        <v>0</v>
      </c>
      <c r="CB950">
        <v>0</v>
      </c>
      <c r="CC950">
        <v>0</v>
      </c>
      <c r="CD950">
        <v>0</v>
      </c>
      <c r="CE950">
        <v>0</v>
      </c>
      <c r="CF950">
        <v>0</v>
      </c>
      <c r="CG950">
        <v>0</v>
      </c>
      <c r="CH950">
        <v>0</v>
      </c>
      <c r="CI950">
        <v>0</v>
      </c>
      <c r="CJ950">
        <v>0</v>
      </c>
      <c r="CK950">
        <v>0</v>
      </c>
      <c r="CL950">
        <v>0</v>
      </c>
      <c r="CM950">
        <v>0</v>
      </c>
      <c r="CN950" t="str">
        <f t="shared" si="199"/>
        <v>refOK</v>
      </c>
      <c r="CO950">
        <f t="shared" si="208"/>
        <v>0</v>
      </c>
      <c r="CP950">
        <f t="shared" si="209"/>
        <v>135.57962264150939</v>
      </c>
      <c r="CQ950">
        <f t="shared" si="170"/>
        <v>588.70873921628049</v>
      </c>
      <c r="CR950">
        <f t="shared" si="210"/>
        <v>-51.111049251716672</v>
      </c>
      <c r="CS950">
        <f t="shared" si="211"/>
        <v>-435.66826611219864</v>
      </c>
      <c r="CT950">
        <f t="shared" si="168"/>
        <v>-384.55721686048196</v>
      </c>
      <c r="CU950">
        <f t="shared" si="204"/>
        <v>-0.65322151896780811</v>
      </c>
      <c r="CV950" s="2">
        <f t="shared" si="169"/>
        <v>-7.5239546534561859</v>
      </c>
      <c r="CW950" s="1" t="s">
        <v>235</v>
      </c>
      <c r="CX950" t="str">
        <f t="shared" si="195"/>
        <v>loc</v>
      </c>
      <c r="CY950" t="s">
        <v>281</v>
      </c>
      <c r="DB950">
        <v>200</v>
      </c>
      <c r="DC950" t="str">
        <f t="shared" si="196"/>
        <v>+100</v>
      </c>
      <c r="DD950">
        <v>0</v>
      </c>
      <c r="DE950">
        <v>0</v>
      </c>
      <c r="DF950">
        <v>0</v>
      </c>
      <c r="DG950">
        <v>1</v>
      </c>
      <c r="DI950">
        <f t="shared" si="202"/>
        <v>1</v>
      </c>
      <c r="DJ950" t="str">
        <f t="shared" si="203"/>
        <v>TimberInput</v>
      </c>
      <c r="DK950">
        <f t="shared" si="172"/>
        <v>0</v>
      </c>
      <c r="DL950">
        <f t="shared" si="173"/>
        <v>0</v>
      </c>
      <c r="DM950">
        <f t="shared" si="174"/>
        <v>0</v>
      </c>
      <c r="DN950" t="str">
        <f t="shared" si="175"/>
        <v>Timber</v>
      </c>
      <c r="DO950">
        <v>0</v>
      </c>
      <c r="DP950">
        <v>1</v>
      </c>
      <c r="DQ950">
        <v>0</v>
      </c>
      <c r="DR950" t="s">
        <v>293</v>
      </c>
      <c r="DS950">
        <v>0</v>
      </c>
      <c r="DT950">
        <f t="shared" si="212"/>
        <v>1</v>
      </c>
      <c r="DU950" s="143" t="str">
        <f t="shared" si="198"/>
        <v>external DF used</v>
      </c>
      <c r="DV950">
        <v>0</v>
      </c>
      <c r="DW950">
        <v>1</v>
      </c>
      <c r="DX950">
        <v>1</v>
      </c>
      <c r="DY950">
        <v>1</v>
      </c>
      <c r="DZ950">
        <v>1</v>
      </c>
      <c r="EA950" s="143">
        <v>0</v>
      </c>
      <c r="EB950">
        <v>1</v>
      </c>
      <c r="EC950">
        <v>1</v>
      </c>
      <c r="ED950">
        <v>0</v>
      </c>
      <c r="EE950">
        <v>1</v>
      </c>
      <c r="EF950">
        <v>1</v>
      </c>
      <c r="EG950">
        <v>1</v>
      </c>
      <c r="EH950">
        <v>0</v>
      </c>
      <c r="EI950" s="2">
        <v>0</v>
      </c>
      <c r="EK950" t="str">
        <f t="shared" si="176"/>
        <v>Whole sector</v>
      </c>
      <c r="EL950" t="str">
        <f t="shared" si="177"/>
        <v/>
      </c>
      <c r="EM950" s="2" t="str">
        <f t="shared" si="197"/>
        <v/>
      </c>
      <c r="EP950" t="str">
        <f>IF(ISNUMBER(BU950),IF(ABS(BU950-[2]QC_indicators!$B$2)&gt;3*[2]QC_indicators!$C$2,"C ratio",IF(ISNUMBER(BY950),IF(ABS(BY950-[2]QC_indicators!$B$1)&gt;3*[2]QC_indicators!$C$1,"DF","no"))),IF(ISNUMBER(BY950),IF(ABS(BY950-[2]QC_indicators!$B$1)&gt;3*[2]QC_indicators!$C$1,"DF","no")))</f>
        <v>no</v>
      </c>
      <c r="EQ950" t="s">
        <v>287</v>
      </c>
      <c r="ET950" s="266" t="s">
        <v>3275</v>
      </c>
    </row>
    <row r="951" spans="1:150" ht="15" hidden="1" customHeight="1">
      <c r="A951" s="1" t="s">
        <v>266</v>
      </c>
      <c r="B951" t="s">
        <v>267</v>
      </c>
      <c r="C951" t="s">
        <v>268</v>
      </c>
      <c r="D951" t="s">
        <v>269</v>
      </c>
      <c r="E951" t="s">
        <v>270</v>
      </c>
      <c r="F951" t="s">
        <v>271</v>
      </c>
      <c r="G951" t="s">
        <v>272</v>
      </c>
      <c r="H951" t="s">
        <v>255</v>
      </c>
      <c r="I951">
        <v>2022</v>
      </c>
      <c r="J951">
        <v>0</v>
      </c>
      <c r="K951" t="s">
        <v>273</v>
      </c>
      <c r="M951" t="str">
        <f t="shared" si="201"/>
        <v>Aryapratama_2022</v>
      </c>
      <c r="N951" t="s">
        <v>223</v>
      </c>
      <c r="O951" s="145" t="s">
        <v>275</v>
      </c>
      <c r="Q951" t="s">
        <v>225</v>
      </c>
      <c r="R951" s="264" t="s">
        <v>224</v>
      </c>
      <c r="S951" s="265" t="s">
        <v>3107</v>
      </c>
      <c r="T951" t="s">
        <v>298</v>
      </c>
      <c r="U951" t="s">
        <v>299</v>
      </c>
      <c r="V951">
        <v>0</v>
      </c>
      <c r="W951">
        <v>0</v>
      </c>
      <c r="X951">
        <v>0</v>
      </c>
      <c r="Y951">
        <v>0</v>
      </c>
      <c r="Z951">
        <v>0</v>
      </c>
      <c r="AA951">
        <v>0</v>
      </c>
      <c r="AB951">
        <v>0</v>
      </c>
      <c r="AC951">
        <v>0</v>
      </c>
      <c r="AD951">
        <v>0</v>
      </c>
      <c r="AE951">
        <v>0</v>
      </c>
      <c r="AF951">
        <v>0</v>
      </c>
      <c r="AG951">
        <v>0</v>
      </c>
      <c r="AH951">
        <v>0</v>
      </c>
      <c r="AI951">
        <v>0</v>
      </c>
      <c r="AJ951">
        <v>0</v>
      </c>
      <c r="AK951">
        <v>1</v>
      </c>
      <c r="AL951">
        <v>0</v>
      </c>
      <c r="AM951">
        <v>0</v>
      </c>
      <c r="AN951">
        <v>0</v>
      </c>
      <c r="AO951">
        <v>0</v>
      </c>
      <c r="AP951">
        <v>0</v>
      </c>
      <c r="AQ951">
        <v>0</v>
      </c>
      <c r="AR951">
        <v>0</v>
      </c>
      <c r="AS951">
        <v>0</v>
      </c>
      <c r="AT951">
        <v>0</v>
      </c>
      <c r="AU951">
        <v>0</v>
      </c>
      <c r="AV951">
        <v>0</v>
      </c>
      <c r="AW951">
        <v>0</v>
      </c>
      <c r="AX951" s="141">
        <f t="shared" si="167"/>
        <v>1</v>
      </c>
      <c r="AY951" s="141">
        <f t="shared" si="188"/>
        <v>1</v>
      </c>
      <c r="AZ951">
        <f t="shared" si="189"/>
        <v>0</v>
      </c>
      <c r="BA951">
        <f t="shared" si="190"/>
        <v>0</v>
      </c>
      <c r="BB951">
        <f t="shared" si="191"/>
        <v>1</v>
      </c>
      <c r="BC951">
        <f t="shared" si="192"/>
        <v>0</v>
      </c>
      <c r="BD951">
        <f t="shared" si="193"/>
        <v>0</v>
      </c>
      <c r="BE951" t="str">
        <f t="array" ref="BE951">IF(AY951=1,INDEX($V$7:$AL$7,MATCH(TRUE,INDEX($V951:$AW951&lt;&gt;0,),0)),IF(AY951=0,INDEX($AM$7:$AW$7,MATCH(1,$AM951:$AW951,0)),IF(BF951="Multiple strategies","mixed drivers",IF(BF951="Supply chain","multiple supply","multiple silviculture"))))</f>
        <v>technologies/design switch</v>
      </c>
      <c r="BF951" s="2" t="str" cm="1">
        <f t="array" ref="BF951">IF(COUNTIF(AZ951:BB951,"&lt;&gt;0")=1,INDEX($V$4:$AW$4,MATCH(TRUE,INDEX($V951:$AW951&lt;&gt;0,),0)),IF(COUNTIF(AZ951:BB951,"&lt;&gt;0")=0,INDEX($AM$4:$AW$4,MATCH(1,$AM951:$AW951,0)),"Multiple strategies"))</f>
        <v>Technology</v>
      </c>
      <c r="BG951" s="1" t="s">
        <v>230</v>
      </c>
      <c r="BH951" t="s">
        <v>278</v>
      </c>
      <c r="BI951" s="266" t="s">
        <v>3108</v>
      </c>
      <c r="BJ951" t="s">
        <v>279</v>
      </c>
      <c r="BK951">
        <v>0</v>
      </c>
      <c r="BL951">
        <v>309.48181778635524</v>
      </c>
      <c r="BN951">
        <f t="shared" si="171"/>
        <v>309.48181778635524</v>
      </c>
      <c r="BO951">
        <f t="shared" si="206"/>
        <v>1343.8203117080125</v>
      </c>
      <c r="BP951" t="s">
        <v>233</v>
      </c>
      <c r="BQ951" s="153" t="s">
        <v>3109</v>
      </c>
      <c r="BR951" t="s">
        <v>280</v>
      </c>
      <c r="BS951">
        <v>-329.48380978417958</v>
      </c>
      <c r="BT951">
        <v>-628.19875545968</v>
      </c>
      <c r="BU951" s="144">
        <f t="shared" si="205"/>
        <v>1.9066149437544941</v>
      </c>
      <c r="BV951">
        <f t="shared" si="200"/>
        <v>-298.71494567550042</v>
      </c>
      <c r="BX951">
        <f t="shared" si="207"/>
        <v>-298.71494567550042</v>
      </c>
      <c r="BY951">
        <f t="shared" si="194"/>
        <v>-0.22228786324551827</v>
      </c>
      <c r="BZ951">
        <v>0</v>
      </c>
      <c r="CA951">
        <v>0</v>
      </c>
      <c r="CB951">
        <v>0</v>
      </c>
      <c r="CC951">
        <v>0</v>
      </c>
      <c r="CD951">
        <v>0</v>
      </c>
      <c r="CE951">
        <v>0</v>
      </c>
      <c r="CF951">
        <v>0</v>
      </c>
      <c r="CG951">
        <v>0</v>
      </c>
      <c r="CH951">
        <v>0</v>
      </c>
      <c r="CI951">
        <v>0</v>
      </c>
      <c r="CJ951">
        <v>0</v>
      </c>
      <c r="CK951">
        <v>0</v>
      </c>
      <c r="CL951">
        <v>0</v>
      </c>
      <c r="CM951">
        <v>0</v>
      </c>
      <c r="CN951" t="str">
        <f t="shared" si="199"/>
        <v>refOK</v>
      </c>
      <c r="CO951">
        <f t="shared" si="208"/>
        <v>0</v>
      </c>
      <c r="CP951">
        <f t="shared" si="209"/>
        <v>309.48181778635524</v>
      </c>
      <c r="CQ951">
        <f t="shared" si="170"/>
        <v>1343.8203117080125</v>
      </c>
      <c r="CR951">
        <f t="shared" si="210"/>
        <v>-329.48380978417958</v>
      </c>
      <c r="CS951">
        <f t="shared" si="211"/>
        <v>-628.19875545968</v>
      </c>
      <c r="CT951">
        <f t="shared" si="168"/>
        <v>-298.71494567550042</v>
      </c>
      <c r="CU951">
        <f t="shared" si="204"/>
        <v>-0.22228786324551827</v>
      </c>
      <c r="CV951" s="2">
        <f t="shared" si="169"/>
        <v>-0.90661494375449414</v>
      </c>
      <c r="CW951" s="1" t="s">
        <v>235</v>
      </c>
      <c r="CX951" t="str">
        <f t="shared" si="195"/>
        <v>loc</v>
      </c>
      <c r="CY951" t="s">
        <v>281</v>
      </c>
      <c r="DB951">
        <v>200</v>
      </c>
      <c r="DC951" t="str">
        <f t="shared" si="196"/>
        <v>+100</v>
      </c>
      <c r="DD951">
        <v>0</v>
      </c>
      <c r="DE951">
        <v>0</v>
      </c>
      <c r="DF951">
        <v>0</v>
      </c>
      <c r="DG951">
        <v>1</v>
      </c>
      <c r="DI951">
        <f t="shared" si="202"/>
        <v>1</v>
      </c>
      <c r="DJ951" t="str">
        <f t="shared" si="203"/>
        <v>TimberInput</v>
      </c>
      <c r="DK951">
        <f t="shared" si="172"/>
        <v>0</v>
      </c>
      <c r="DL951">
        <f t="shared" si="173"/>
        <v>0</v>
      </c>
      <c r="DM951">
        <f t="shared" si="174"/>
        <v>0</v>
      </c>
      <c r="DN951" t="str">
        <f t="shared" si="175"/>
        <v>Timber</v>
      </c>
      <c r="DO951">
        <v>0</v>
      </c>
      <c r="DP951">
        <v>1</v>
      </c>
      <c r="DQ951">
        <v>0</v>
      </c>
      <c r="DR951" t="s">
        <v>282</v>
      </c>
      <c r="DS951">
        <v>0</v>
      </c>
      <c r="DT951">
        <f t="shared" si="212"/>
        <v>1</v>
      </c>
      <c r="DU951" s="143" t="str">
        <f t="shared" si="198"/>
        <v>external DF used</v>
      </c>
      <c r="DV951">
        <v>0</v>
      </c>
      <c r="DW951">
        <v>1</v>
      </c>
      <c r="DX951">
        <v>1</v>
      </c>
      <c r="DY951">
        <v>1</v>
      </c>
      <c r="DZ951">
        <v>1</v>
      </c>
      <c r="EA951" s="143">
        <v>0</v>
      </c>
      <c r="EB951">
        <v>1</v>
      </c>
      <c r="EC951">
        <v>1</v>
      </c>
      <c r="ED951">
        <v>0</v>
      </c>
      <c r="EE951">
        <v>1</v>
      </c>
      <c r="EF951">
        <v>1</v>
      </c>
      <c r="EG951">
        <v>1</v>
      </c>
      <c r="EH951">
        <v>0</v>
      </c>
      <c r="EI951" s="2">
        <v>0</v>
      </c>
      <c r="EK951" t="str">
        <f t="shared" si="176"/>
        <v>Whole sector</v>
      </c>
      <c r="EL951" t="str">
        <f t="shared" si="177"/>
        <v/>
      </c>
      <c r="EM951" s="2" t="str">
        <f t="shared" si="197"/>
        <v/>
      </c>
      <c r="EP951" t="str">
        <f>IF(ISNUMBER(BU951),IF(ABS(BU951-[2]QC_indicators!$B$2)&gt;3*[2]QC_indicators!$C$2,"C ratio",IF(ISNUMBER(BY951),IF(ABS(BY951-[2]QC_indicators!$B$1)&gt;3*[2]QC_indicators!$C$1,"DF","no"))),IF(ISNUMBER(BY951),IF(ABS(BY951-[2]QC_indicators!$B$1)&gt;3*[2]QC_indicators!$C$1,"DF","no")))</f>
        <v>no</v>
      </c>
      <c r="EQ951" t="s">
        <v>287</v>
      </c>
      <c r="ET951" s="266" t="s">
        <v>3275</v>
      </c>
    </row>
    <row r="952" spans="1:150" ht="15" hidden="1" customHeight="1">
      <c r="A952" s="1" t="s">
        <v>266</v>
      </c>
      <c r="B952" t="s">
        <v>267</v>
      </c>
      <c r="C952" t="s">
        <v>268</v>
      </c>
      <c r="D952" t="s">
        <v>269</v>
      </c>
      <c r="E952" t="s">
        <v>270</v>
      </c>
      <c r="F952" t="s">
        <v>271</v>
      </c>
      <c r="G952" t="s">
        <v>272</v>
      </c>
      <c r="H952" t="s">
        <v>255</v>
      </c>
      <c r="I952">
        <v>2022</v>
      </c>
      <c r="J952">
        <v>0</v>
      </c>
      <c r="K952" t="s">
        <v>273</v>
      </c>
      <c r="M952" t="str">
        <f t="shared" si="201"/>
        <v>Aryapratama_2022</v>
      </c>
      <c r="N952" t="s">
        <v>223</v>
      </c>
      <c r="O952" s="145" t="s">
        <v>275</v>
      </c>
      <c r="Q952" t="s">
        <v>225</v>
      </c>
      <c r="R952" s="264" t="s">
        <v>224</v>
      </c>
      <c r="S952" s="265" t="s">
        <v>3107</v>
      </c>
      <c r="T952" t="s">
        <v>300</v>
      </c>
      <c r="U952" t="s">
        <v>301</v>
      </c>
      <c r="V952">
        <v>0</v>
      </c>
      <c r="W952">
        <v>0</v>
      </c>
      <c r="X952">
        <v>0</v>
      </c>
      <c r="Y952">
        <v>0</v>
      </c>
      <c r="Z952">
        <v>0</v>
      </c>
      <c r="AA952">
        <v>0</v>
      </c>
      <c r="AB952">
        <v>0</v>
      </c>
      <c r="AC952">
        <v>0</v>
      </c>
      <c r="AD952">
        <v>0</v>
      </c>
      <c r="AE952">
        <v>0</v>
      </c>
      <c r="AF952">
        <v>0</v>
      </c>
      <c r="AG952">
        <v>0</v>
      </c>
      <c r="AH952">
        <v>0</v>
      </c>
      <c r="AI952">
        <v>0</v>
      </c>
      <c r="AJ952">
        <v>0</v>
      </c>
      <c r="AK952">
        <v>1</v>
      </c>
      <c r="AL952">
        <v>0</v>
      </c>
      <c r="AM952">
        <v>0</v>
      </c>
      <c r="AN952">
        <v>0</v>
      </c>
      <c r="AO952">
        <v>0</v>
      </c>
      <c r="AP952">
        <v>0</v>
      </c>
      <c r="AQ952">
        <v>0</v>
      </c>
      <c r="AR952">
        <v>0</v>
      </c>
      <c r="AS952">
        <v>0</v>
      </c>
      <c r="AT952">
        <v>0</v>
      </c>
      <c r="AU952">
        <v>0</v>
      </c>
      <c r="AV952">
        <v>0</v>
      </c>
      <c r="AW952">
        <v>0</v>
      </c>
      <c r="AX952" s="141">
        <f t="shared" si="167"/>
        <v>1</v>
      </c>
      <c r="AY952" s="141">
        <f t="shared" si="188"/>
        <v>1</v>
      </c>
      <c r="AZ952">
        <f t="shared" si="189"/>
        <v>0</v>
      </c>
      <c r="BA952">
        <f t="shared" si="190"/>
        <v>0</v>
      </c>
      <c r="BB952">
        <f t="shared" si="191"/>
        <v>1</v>
      </c>
      <c r="BC952">
        <f t="shared" si="192"/>
        <v>0</v>
      </c>
      <c r="BD952">
        <f t="shared" si="193"/>
        <v>0</v>
      </c>
      <c r="BE952" t="str">
        <f t="array" ref="BE952">IF(AY952=1,INDEX($V$7:$AL$7,MATCH(TRUE,INDEX($V952:$AW952&lt;&gt;0,),0)),IF(AY952=0,INDEX($AM$7:$AW$7,MATCH(1,$AM952:$AW952,0)),IF(BF952="Multiple strategies","mixed drivers",IF(BF952="Supply chain","multiple supply","multiple silviculture"))))</f>
        <v>technologies/design switch</v>
      </c>
      <c r="BF952" s="2" t="str" cm="1">
        <f t="array" ref="BF952">IF(COUNTIF(AZ952:BB952,"&lt;&gt;0")=1,INDEX($V$4:$AW$4,MATCH(TRUE,INDEX($V952:$AW952&lt;&gt;0,),0)),IF(COUNTIF(AZ952:BB952,"&lt;&gt;0")=0,INDEX($AM$4:$AW$4,MATCH(1,$AM952:$AW952,0)),"Multiple strategies"))</f>
        <v>Technology</v>
      </c>
      <c r="BG952" s="1" t="s">
        <v>230</v>
      </c>
      <c r="BH952" t="s">
        <v>278</v>
      </c>
      <c r="BI952" s="266" t="s">
        <v>3108</v>
      </c>
      <c r="BJ952" t="s">
        <v>279</v>
      </c>
      <c r="BK952">
        <v>0</v>
      </c>
      <c r="BL952">
        <v>591.32718343375518</v>
      </c>
      <c r="BN952">
        <f t="shared" si="171"/>
        <v>591.32718343375518</v>
      </c>
      <c r="BO952">
        <f t="shared" si="206"/>
        <v>2567.6386601552549</v>
      </c>
      <c r="BP952" t="s">
        <v>233</v>
      </c>
      <c r="BQ952" s="153" t="s">
        <v>3109</v>
      </c>
      <c r="BR952" t="s">
        <v>280</v>
      </c>
      <c r="BS952">
        <v>-904.95784112113733</v>
      </c>
      <c r="BT952">
        <v>-956.54496754124091</v>
      </c>
      <c r="BU952" s="144">
        <f t="shared" si="205"/>
        <v>1.0570050051792392</v>
      </c>
      <c r="BV952">
        <f t="shared" si="200"/>
        <v>-51.587126420103573</v>
      </c>
      <c r="BX952">
        <f t="shared" si="207"/>
        <v>-51.587126420103573</v>
      </c>
      <c r="BY952">
        <f t="shared" si="194"/>
        <v>-2.0091271883631908E-2</v>
      </c>
      <c r="BZ952">
        <v>0</v>
      </c>
      <c r="CA952">
        <v>0</v>
      </c>
      <c r="CB952">
        <v>0</v>
      </c>
      <c r="CC952">
        <v>0</v>
      </c>
      <c r="CD952">
        <v>0</v>
      </c>
      <c r="CE952">
        <v>0</v>
      </c>
      <c r="CF952">
        <v>0</v>
      </c>
      <c r="CG952">
        <v>0</v>
      </c>
      <c r="CH952">
        <v>0</v>
      </c>
      <c r="CI952">
        <v>0</v>
      </c>
      <c r="CJ952">
        <v>0</v>
      </c>
      <c r="CK952">
        <v>0</v>
      </c>
      <c r="CL952">
        <v>0</v>
      </c>
      <c r="CM952">
        <v>0</v>
      </c>
      <c r="CN952" t="str">
        <f t="shared" si="199"/>
        <v>refOK</v>
      </c>
      <c r="CO952">
        <f>IF($CN952="refNeedCorrection",BL952,BK952)</f>
        <v>0</v>
      </c>
      <c r="CP952">
        <f>IF($CN952="refNeedCorrection",BK952,BL952)</f>
        <v>591.32718343375518</v>
      </c>
      <c r="CQ952">
        <f t="shared" si="170"/>
        <v>2567.6386601552549</v>
      </c>
      <c r="CR952">
        <f t="shared" si="210"/>
        <v>-904.95784112113733</v>
      </c>
      <c r="CS952">
        <f t="shared" si="211"/>
        <v>-956.54496754124091</v>
      </c>
      <c r="CT952">
        <f t="shared" si="168"/>
        <v>-51.587126420103573</v>
      </c>
      <c r="CU952">
        <f t="shared" si="204"/>
        <v>-2.0091271883631908E-2</v>
      </c>
      <c r="CV952" s="2">
        <f t="shared" si="169"/>
        <v>-5.7005005179239218E-2</v>
      </c>
      <c r="CW952" s="1" t="s">
        <v>235</v>
      </c>
      <c r="CX952" t="str">
        <f t="shared" si="195"/>
        <v>loc</v>
      </c>
      <c r="CY952" t="s">
        <v>281</v>
      </c>
      <c r="DB952">
        <v>200</v>
      </c>
      <c r="DC952" t="str">
        <f t="shared" si="196"/>
        <v>+100</v>
      </c>
      <c r="DD952">
        <v>0</v>
      </c>
      <c r="DE952">
        <v>0</v>
      </c>
      <c r="DF952">
        <v>0</v>
      </c>
      <c r="DG952">
        <v>1</v>
      </c>
      <c r="DI952">
        <f t="shared" si="202"/>
        <v>1</v>
      </c>
      <c r="DJ952" t="str">
        <f t="shared" si="203"/>
        <v>TimberInput</v>
      </c>
      <c r="DK952">
        <f t="shared" si="172"/>
        <v>0</v>
      </c>
      <c r="DL952">
        <f t="shared" si="173"/>
        <v>0</v>
      </c>
      <c r="DM952">
        <f t="shared" si="174"/>
        <v>0</v>
      </c>
      <c r="DN952" t="str">
        <f t="shared" si="175"/>
        <v>Timber</v>
      </c>
      <c r="DO952">
        <v>0</v>
      </c>
      <c r="DP952">
        <v>1</v>
      </c>
      <c r="DQ952">
        <v>0</v>
      </c>
      <c r="DR952" t="s">
        <v>302</v>
      </c>
      <c r="DS952">
        <v>0</v>
      </c>
      <c r="DT952">
        <f t="shared" si="212"/>
        <v>1</v>
      </c>
      <c r="DU952" s="143" t="str">
        <f t="shared" si="198"/>
        <v>external DF used</v>
      </c>
      <c r="DV952">
        <v>0</v>
      </c>
      <c r="DW952">
        <v>1</v>
      </c>
      <c r="DX952">
        <v>1</v>
      </c>
      <c r="DY952">
        <v>1</v>
      </c>
      <c r="DZ952">
        <v>1</v>
      </c>
      <c r="EA952" s="143">
        <v>0</v>
      </c>
      <c r="EB952">
        <v>1</v>
      </c>
      <c r="EC952">
        <v>1</v>
      </c>
      <c r="ED952">
        <v>0</v>
      </c>
      <c r="EE952">
        <v>1</v>
      </c>
      <c r="EF952">
        <v>1</v>
      </c>
      <c r="EG952">
        <v>1</v>
      </c>
      <c r="EH952">
        <v>0</v>
      </c>
      <c r="EI952" s="2">
        <v>0</v>
      </c>
      <c r="EK952" t="str">
        <f t="shared" si="176"/>
        <v>Whole sector</v>
      </c>
      <c r="EL952" t="str">
        <f t="shared" si="177"/>
        <v/>
      </c>
      <c r="EM952" s="2" t="str">
        <f t="shared" si="197"/>
        <v/>
      </c>
      <c r="EP952" t="str">
        <f>IF(ISNUMBER(BU952),IF(ABS(BU952-[2]QC_indicators!$B$2)&gt;3*[2]QC_indicators!$C$2,"C ratio",IF(ISNUMBER(BY952),IF(ABS(BY952-[2]QC_indicators!$B$1)&gt;3*[2]QC_indicators!$C$1,"DF","no"))),IF(ISNUMBER(BY952),IF(ABS(BY952-[2]QC_indicators!$B$1)&gt;3*[2]QC_indicators!$C$1,"DF","no")))</f>
        <v>no</v>
      </c>
      <c r="EQ952" t="s">
        <v>287</v>
      </c>
      <c r="ER952" t="s">
        <v>297</v>
      </c>
      <c r="ET952" s="266" t="s">
        <v>3275</v>
      </c>
    </row>
    <row r="953" spans="1:150" ht="15" hidden="1" customHeight="1">
      <c r="A953" s="1" t="s">
        <v>266</v>
      </c>
      <c r="B953" t="s">
        <v>267</v>
      </c>
      <c r="C953" t="s">
        <v>268</v>
      </c>
      <c r="D953" t="s">
        <v>269</v>
      </c>
      <c r="E953" t="s">
        <v>270</v>
      </c>
      <c r="F953" t="s">
        <v>271</v>
      </c>
      <c r="G953" t="s">
        <v>272</v>
      </c>
      <c r="H953" t="s">
        <v>255</v>
      </c>
      <c r="I953">
        <v>2022</v>
      </c>
      <c r="J953">
        <v>0</v>
      </c>
      <c r="K953" t="s">
        <v>273</v>
      </c>
      <c r="M953" t="str">
        <f t="shared" si="201"/>
        <v>Aryapratama_2022</v>
      </c>
      <c r="N953" t="s">
        <v>223</v>
      </c>
      <c r="O953" s="145" t="s">
        <v>275</v>
      </c>
      <c r="Q953" t="s">
        <v>225</v>
      </c>
      <c r="R953" s="264" t="s">
        <v>224</v>
      </c>
      <c r="S953" s="265" t="s">
        <v>3107</v>
      </c>
      <c r="T953" t="s">
        <v>296</v>
      </c>
      <c r="U953" t="s">
        <v>290</v>
      </c>
      <c r="V953">
        <v>0</v>
      </c>
      <c r="W953">
        <v>0</v>
      </c>
      <c r="X953">
        <v>0</v>
      </c>
      <c r="Y953">
        <v>0</v>
      </c>
      <c r="Z953">
        <v>0</v>
      </c>
      <c r="AA953">
        <v>0</v>
      </c>
      <c r="AB953">
        <v>0</v>
      </c>
      <c r="AC953">
        <v>0</v>
      </c>
      <c r="AD953">
        <v>0</v>
      </c>
      <c r="AE953">
        <v>0</v>
      </c>
      <c r="AF953">
        <v>0</v>
      </c>
      <c r="AG953">
        <v>0</v>
      </c>
      <c r="AH953">
        <v>0</v>
      </c>
      <c r="AI953">
        <v>0</v>
      </c>
      <c r="AJ953">
        <v>0</v>
      </c>
      <c r="AK953">
        <v>1</v>
      </c>
      <c r="AL953">
        <v>0</v>
      </c>
      <c r="AM953">
        <v>0</v>
      </c>
      <c r="AN953">
        <v>0</v>
      </c>
      <c r="AO953">
        <v>0</v>
      </c>
      <c r="AP953">
        <v>0</v>
      </c>
      <c r="AQ953">
        <v>0</v>
      </c>
      <c r="AR953">
        <v>0</v>
      </c>
      <c r="AS953">
        <v>0</v>
      </c>
      <c r="AT953">
        <v>0</v>
      </c>
      <c r="AU953">
        <v>0</v>
      </c>
      <c r="AV953">
        <v>0</v>
      </c>
      <c r="AW953">
        <v>0</v>
      </c>
      <c r="AX953" s="141">
        <f t="shared" si="167"/>
        <v>1</v>
      </c>
      <c r="AY953" s="141">
        <f t="shared" si="188"/>
        <v>1</v>
      </c>
      <c r="AZ953">
        <f t="shared" si="189"/>
        <v>0</v>
      </c>
      <c r="BA953">
        <f t="shared" si="190"/>
        <v>0</v>
      </c>
      <c r="BB953">
        <f t="shared" si="191"/>
        <v>1</v>
      </c>
      <c r="BC953">
        <f t="shared" si="192"/>
        <v>0</v>
      </c>
      <c r="BD953">
        <f t="shared" si="193"/>
        <v>0</v>
      </c>
      <c r="BE953" t="str">
        <f t="array" ref="BE953">IF(AY953=1,INDEX($V$7:$AL$7,MATCH(TRUE,INDEX($V953:$AW953&lt;&gt;0,),0)),IF(AY953=0,INDEX($AM$7:$AW$7,MATCH(1,$AM953:$AW953,0)),IF(BF953="Multiple strategies","mixed drivers",IF(BF953="Supply chain","multiple supply","multiple silviculture"))))</f>
        <v>technologies/design switch</v>
      </c>
      <c r="BF953" s="2" t="str" cm="1">
        <f t="array" ref="BF953">IF(COUNTIF(AZ953:BB953,"&lt;&gt;0")=1,INDEX($V$4:$AW$4,MATCH(TRUE,INDEX($V953:$AW953&lt;&gt;0,),0)),IF(COUNTIF(AZ953:BB953,"&lt;&gt;0")=0,INDEX($AM$4:$AW$4,MATCH(1,$AM953:$AW953,0)),"Multiple strategies"))</f>
        <v>Technology</v>
      </c>
      <c r="BG953" s="1" t="s">
        <v>230</v>
      </c>
      <c r="BH953" t="s">
        <v>278</v>
      </c>
      <c r="BI953" s="266" t="s">
        <v>3108</v>
      </c>
      <c r="BJ953" t="s">
        <v>279</v>
      </c>
      <c r="BK953">
        <v>0</v>
      </c>
      <c r="BL953">
        <v>757.78980054033161</v>
      </c>
      <c r="BN953">
        <f t="shared" si="171"/>
        <v>757.78980054033161</v>
      </c>
      <c r="BO953">
        <f t="shared" si="206"/>
        <v>3290.4463766406066</v>
      </c>
      <c r="BP953" t="s">
        <v>233</v>
      </c>
      <c r="BQ953" s="153" t="s">
        <v>3109</v>
      </c>
      <c r="BR953" t="s">
        <v>280</v>
      </c>
      <c r="BS953">
        <v>-1308.953389930055</v>
      </c>
      <c r="BT953">
        <v>-1160.011828609915</v>
      </c>
      <c r="BU953" s="144">
        <f t="shared" si="205"/>
        <v>0.88621324298789683</v>
      </c>
      <c r="BV953">
        <f t="shared" si="200"/>
        <v>148.94156132013995</v>
      </c>
      <c r="BX953">
        <f t="shared" si="207"/>
        <v>148.94156132013995</v>
      </c>
      <c r="BY953">
        <f t="shared" si="194"/>
        <v>4.5264849893163248E-2</v>
      </c>
      <c r="BZ953">
        <v>0</v>
      </c>
      <c r="CA953">
        <v>0</v>
      </c>
      <c r="CB953">
        <v>0</v>
      </c>
      <c r="CC953">
        <v>0</v>
      </c>
      <c r="CD953">
        <v>0</v>
      </c>
      <c r="CE953">
        <v>0</v>
      </c>
      <c r="CF953">
        <v>0</v>
      </c>
      <c r="CG953">
        <v>0</v>
      </c>
      <c r="CH953">
        <v>0</v>
      </c>
      <c r="CI953">
        <v>0</v>
      </c>
      <c r="CJ953">
        <v>0</v>
      </c>
      <c r="CK953">
        <v>0</v>
      </c>
      <c r="CL953">
        <v>0</v>
      </c>
      <c r="CM953">
        <v>0</v>
      </c>
      <c r="CN953" t="str">
        <f t="shared" si="199"/>
        <v>refOK</v>
      </c>
      <c r="CO953">
        <f>IF($CN953="refNeedCorrection",BL953,BK953)</f>
        <v>0</v>
      </c>
      <c r="CP953">
        <f>IF($CN953="refNeedCorrection",BK953,BL953)</f>
        <v>757.78980054033161</v>
      </c>
      <c r="CQ953">
        <f t="shared" si="170"/>
        <v>3290.4463766406066</v>
      </c>
      <c r="CR953">
        <f t="shared" si="210"/>
        <v>-1308.953389930055</v>
      </c>
      <c r="CS953">
        <f t="shared" si="211"/>
        <v>-1160.011828609915</v>
      </c>
      <c r="CT953">
        <f t="shared" si="168"/>
        <v>148.94156132013995</v>
      </c>
      <c r="CU953">
        <f t="shared" si="204"/>
        <v>4.5264849893163248E-2</v>
      </c>
      <c r="CV953" s="2">
        <f t="shared" si="169"/>
        <v>0.11378675701210321</v>
      </c>
      <c r="CW953" s="1" t="s">
        <v>235</v>
      </c>
      <c r="CX953" t="str">
        <f t="shared" si="195"/>
        <v>loc</v>
      </c>
      <c r="CY953" t="s">
        <v>281</v>
      </c>
      <c r="DB953">
        <v>200</v>
      </c>
      <c r="DC953" t="str">
        <f t="shared" si="196"/>
        <v>+100</v>
      </c>
      <c r="DD953">
        <v>0</v>
      </c>
      <c r="DE953">
        <v>0</v>
      </c>
      <c r="DF953">
        <v>0</v>
      </c>
      <c r="DG953">
        <v>1</v>
      </c>
      <c r="DI953">
        <f t="shared" si="202"/>
        <v>1</v>
      </c>
      <c r="DJ953" t="str">
        <f t="shared" si="203"/>
        <v>TimberInput</v>
      </c>
      <c r="DK953">
        <f t="shared" si="172"/>
        <v>0</v>
      </c>
      <c r="DL953">
        <f t="shared" si="173"/>
        <v>0</v>
      </c>
      <c r="DM953">
        <f t="shared" si="174"/>
        <v>0</v>
      </c>
      <c r="DN953" t="str">
        <f t="shared" si="175"/>
        <v>Timber</v>
      </c>
      <c r="DO953">
        <v>0</v>
      </c>
      <c r="DP953">
        <v>1</v>
      </c>
      <c r="DQ953">
        <v>0</v>
      </c>
      <c r="DR953" t="s">
        <v>293</v>
      </c>
      <c r="DS953">
        <v>0</v>
      </c>
      <c r="DT953">
        <f t="shared" si="212"/>
        <v>1</v>
      </c>
      <c r="DU953" s="143" t="str">
        <f t="shared" si="198"/>
        <v>external DF used</v>
      </c>
      <c r="DV953">
        <v>0</v>
      </c>
      <c r="DW953">
        <v>1</v>
      </c>
      <c r="DX953">
        <v>1</v>
      </c>
      <c r="DY953">
        <v>1</v>
      </c>
      <c r="DZ953">
        <v>1</v>
      </c>
      <c r="EA953" s="143">
        <v>0</v>
      </c>
      <c r="EB953">
        <v>1</v>
      </c>
      <c r="EC953">
        <v>1</v>
      </c>
      <c r="ED953">
        <v>0</v>
      </c>
      <c r="EE953">
        <v>1</v>
      </c>
      <c r="EF953">
        <v>1</v>
      </c>
      <c r="EG953">
        <v>1</v>
      </c>
      <c r="EH953">
        <v>0</v>
      </c>
      <c r="EI953" s="2">
        <v>0</v>
      </c>
      <c r="EK953" t="str">
        <f t="shared" si="176"/>
        <v>Whole sector</v>
      </c>
      <c r="EL953" t="str">
        <f t="shared" si="177"/>
        <v/>
      </c>
      <c r="EM953" s="2" t="str">
        <f t="shared" si="197"/>
        <v/>
      </c>
      <c r="EP953" t="str">
        <f>IF(ISNUMBER(BU953),IF(ABS(BU953-[2]QC_indicators!$B$2)&gt;3*[2]QC_indicators!$C$2,"C ratio",IF(ISNUMBER(BY953),IF(ABS(BY953-[2]QC_indicators!$B$1)&gt;3*[2]QC_indicators!$C$1,"DF","no"))),IF(ISNUMBER(BY953),IF(ABS(BY953-[2]QC_indicators!$B$1)&gt;3*[2]QC_indicators!$C$1,"DF","no")))</f>
        <v>no</v>
      </c>
      <c r="EQ953" t="s">
        <v>287</v>
      </c>
      <c r="ER953" t="s">
        <v>297</v>
      </c>
      <c r="ET953" s="266" t="s">
        <v>3275</v>
      </c>
    </row>
    <row r="954" spans="1:150" ht="15" hidden="1" customHeight="1">
      <c r="A954" s="1" t="s">
        <v>266</v>
      </c>
      <c r="B954" t="s">
        <v>267</v>
      </c>
      <c r="C954" t="s">
        <v>268</v>
      </c>
      <c r="D954" t="s">
        <v>269</v>
      </c>
      <c r="E954" t="s">
        <v>270</v>
      </c>
      <c r="F954" t="s">
        <v>271</v>
      </c>
      <c r="G954" t="s">
        <v>272</v>
      </c>
      <c r="H954" t="s">
        <v>255</v>
      </c>
      <c r="I954">
        <v>2022</v>
      </c>
      <c r="J954">
        <v>0</v>
      </c>
      <c r="K954" t="s">
        <v>273</v>
      </c>
      <c r="M954" t="str">
        <f t="shared" si="201"/>
        <v>Aryapratama_2022</v>
      </c>
      <c r="N954" t="s">
        <v>223</v>
      </c>
      <c r="O954" s="145" t="s">
        <v>275</v>
      </c>
      <c r="Q954" t="s">
        <v>225</v>
      </c>
      <c r="R954" s="264" t="s">
        <v>224</v>
      </c>
      <c r="S954" s="265" t="s">
        <v>3107</v>
      </c>
      <c r="T954" t="s">
        <v>303</v>
      </c>
      <c r="U954" t="s">
        <v>304</v>
      </c>
      <c r="V954">
        <v>0</v>
      </c>
      <c r="W954">
        <v>0</v>
      </c>
      <c r="X954">
        <v>0</v>
      </c>
      <c r="Y954">
        <v>0</v>
      </c>
      <c r="Z954">
        <v>0</v>
      </c>
      <c r="AA954">
        <v>0</v>
      </c>
      <c r="AB954">
        <v>0</v>
      </c>
      <c r="AC954">
        <v>0</v>
      </c>
      <c r="AD954">
        <v>0</v>
      </c>
      <c r="AE954">
        <v>0</v>
      </c>
      <c r="AF954">
        <v>0</v>
      </c>
      <c r="AG954">
        <v>0</v>
      </c>
      <c r="AH954">
        <v>0</v>
      </c>
      <c r="AI954">
        <v>0</v>
      </c>
      <c r="AJ954">
        <v>0</v>
      </c>
      <c r="AK954">
        <v>1</v>
      </c>
      <c r="AL954">
        <v>0</v>
      </c>
      <c r="AM954">
        <v>0</v>
      </c>
      <c r="AN954">
        <v>0</v>
      </c>
      <c r="AO954">
        <v>0</v>
      </c>
      <c r="AP954">
        <v>0</v>
      </c>
      <c r="AQ954">
        <v>0</v>
      </c>
      <c r="AR954">
        <v>0</v>
      </c>
      <c r="AS954">
        <v>0</v>
      </c>
      <c r="AT954">
        <v>0</v>
      </c>
      <c r="AU954">
        <v>0</v>
      </c>
      <c r="AV954">
        <v>0</v>
      </c>
      <c r="AW954">
        <v>0</v>
      </c>
      <c r="AX954" s="141">
        <f t="shared" si="167"/>
        <v>1</v>
      </c>
      <c r="AY954" s="141">
        <f t="shared" si="188"/>
        <v>1</v>
      </c>
      <c r="AZ954">
        <f t="shared" si="189"/>
        <v>0</v>
      </c>
      <c r="BA954">
        <f t="shared" si="190"/>
        <v>0</v>
      </c>
      <c r="BB954">
        <f t="shared" si="191"/>
        <v>1</v>
      </c>
      <c r="BC954">
        <f t="shared" si="192"/>
        <v>0</v>
      </c>
      <c r="BD954">
        <f t="shared" si="193"/>
        <v>0</v>
      </c>
      <c r="BE954" t="str">
        <f t="array" ref="BE954">IF(AY954=1,INDEX($V$7:$AL$7,MATCH(TRUE,INDEX($V954:$AW954&lt;&gt;0,),0)),IF(AY954=0,INDEX($AM$7:$AW$7,MATCH(1,$AM954:$AW954,0)),IF(BF954="Multiple strategies","mixed drivers",IF(BF954="Supply chain","multiple supply","multiple silviculture"))))</f>
        <v>technologies/design switch</v>
      </c>
      <c r="BF954" s="2" t="str" cm="1">
        <f t="array" ref="BF954">IF(COUNTIF(AZ954:BB954,"&lt;&gt;0")=1,INDEX($V$4:$AW$4,MATCH(TRUE,INDEX($V954:$AW954&lt;&gt;0,),0)),IF(COUNTIF(AZ954:BB954,"&lt;&gt;0")=0,INDEX($AM$4:$AW$4,MATCH(1,$AM954:$AW954,0)),"Multiple strategies"))</f>
        <v>Technology</v>
      </c>
      <c r="BG954" s="1" t="s">
        <v>230</v>
      </c>
      <c r="BH954" t="s">
        <v>278</v>
      </c>
      <c r="BI954" s="266" t="s">
        <v>3108</v>
      </c>
      <c r="BJ954" t="s">
        <v>279</v>
      </c>
      <c r="BK954">
        <v>0</v>
      </c>
      <c r="BL954">
        <v>46.25814379391722</v>
      </c>
      <c r="BN954">
        <f t="shared" si="171"/>
        <v>46.25814379391722</v>
      </c>
      <c r="BO954">
        <f t="shared" si="206"/>
        <v>200.86037253112124</v>
      </c>
      <c r="BP954" t="s">
        <v>233</v>
      </c>
      <c r="BQ954" s="153" t="s">
        <v>3109</v>
      </c>
      <c r="BR954" t="s">
        <v>280</v>
      </c>
      <c r="BS954">
        <v>316.56191500133059</v>
      </c>
      <c r="BT954">
        <v>365.10563504552567</v>
      </c>
      <c r="BU954" s="144">
        <f t="shared" si="205"/>
        <v>1.1533466843097377</v>
      </c>
      <c r="BV954">
        <f t="shared" si="200"/>
        <v>48.543720044195084</v>
      </c>
      <c r="BX954">
        <f t="shared" si="207"/>
        <v>48.543720044195084</v>
      </c>
      <c r="BY954">
        <f t="shared" si="194"/>
        <v>0.24167893065454579</v>
      </c>
      <c r="BZ954">
        <v>0</v>
      </c>
      <c r="CA954">
        <v>0</v>
      </c>
      <c r="CB954">
        <v>0</v>
      </c>
      <c r="CC954">
        <v>0</v>
      </c>
      <c r="CD954">
        <v>0</v>
      </c>
      <c r="CE954">
        <v>0</v>
      </c>
      <c r="CF954">
        <v>0</v>
      </c>
      <c r="CG954">
        <v>0</v>
      </c>
      <c r="CH954">
        <v>0</v>
      </c>
      <c r="CI954">
        <v>0</v>
      </c>
      <c r="CJ954">
        <v>0</v>
      </c>
      <c r="CK954">
        <v>0</v>
      </c>
      <c r="CL954">
        <v>0</v>
      </c>
      <c r="CM954">
        <v>0</v>
      </c>
      <c r="CN954" t="str">
        <f t="shared" si="199"/>
        <v>refOK</v>
      </c>
      <c r="CO954">
        <f>IF($CN954="refOK",$BK954,$BL954)</f>
        <v>0</v>
      </c>
      <c r="CP954">
        <f>IF($CN954="refOK",$BL954,$BK954)</f>
        <v>46.25814379391722</v>
      </c>
      <c r="CQ954">
        <f t="shared" si="170"/>
        <v>200.86037253112124</v>
      </c>
      <c r="CR954">
        <f t="shared" si="210"/>
        <v>316.56191500133059</v>
      </c>
      <c r="CS954">
        <f t="shared" si="211"/>
        <v>365.10563504552567</v>
      </c>
      <c r="CT954">
        <f t="shared" si="168"/>
        <v>48.543720044195084</v>
      </c>
      <c r="CU954">
        <f t="shared" si="204"/>
        <v>0.24167893065454579</v>
      </c>
      <c r="CV954" s="2">
        <f t="shared" si="169"/>
        <v>0.15334668430973777</v>
      </c>
      <c r="CW954" s="1" t="s">
        <v>235</v>
      </c>
      <c r="CX954" t="str">
        <f t="shared" si="195"/>
        <v>loc</v>
      </c>
      <c r="CY954" t="s">
        <v>281</v>
      </c>
      <c r="DB954">
        <v>200</v>
      </c>
      <c r="DC954" t="str">
        <f t="shared" si="196"/>
        <v>+100</v>
      </c>
      <c r="DD954">
        <v>0</v>
      </c>
      <c r="DE954">
        <v>0</v>
      </c>
      <c r="DF954">
        <v>0</v>
      </c>
      <c r="DG954">
        <v>1</v>
      </c>
      <c r="DI954">
        <f t="shared" si="202"/>
        <v>1</v>
      </c>
      <c r="DJ954" t="str">
        <f t="shared" si="203"/>
        <v>TimberInput</v>
      </c>
      <c r="DK954">
        <f t="shared" si="172"/>
        <v>0</v>
      </c>
      <c r="DL954">
        <f t="shared" si="173"/>
        <v>0</v>
      </c>
      <c r="DM954">
        <f t="shared" si="174"/>
        <v>0</v>
      </c>
      <c r="DN954" t="str">
        <f t="shared" si="175"/>
        <v>Timber</v>
      </c>
      <c r="DO954">
        <v>0</v>
      </c>
      <c r="DP954">
        <v>1</v>
      </c>
      <c r="DQ954" t="s">
        <v>305</v>
      </c>
      <c r="DR954">
        <v>0</v>
      </c>
      <c r="DS954">
        <v>0</v>
      </c>
      <c r="DT954">
        <f t="shared" si="212"/>
        <v>1</v>
      </c>
      <c r="DU954" s="143" t="str">
        <f t="shared" si="198"/>
        <v>external DF used</v>
      </c>
      <c r="DV954">
        <v>0</v>
      </c>
      <c r="DW954">
        <v>1</v>
      </c>
      <c r="DX954">
        <v>1</v>
      </c>
      <c r="DY954">
        <v>1</v>
      </c>
      <c r="DZ954">
        <v>1</v>
      </c>
      <c r="EA954" s="143">
        <v>0</v>
      </c>
      <c r="EB954">
        <v>1</v>
      </c>
      <c r="EC954">
        <v>1</v>
      </c>
      <c r="ED954">
        <v>0</v>
      </c>
      <c r="EE954">
        <v>1</v>
      </c>
      <c r="EF954">
        <v>1</v>
      </c>
      <c r="EG954">
        <v>1</v>
      </c>
      <c r="EH954">
        <v>0</v>
      </c>
      <c r="EI954" s="2">
        <v>0</v>
      </c>
      <c r="EK954" t="str">
        <f t="shared" si="176"/>
        <v>Whole sector</v>
      </c>
      <c r="EL954" t="str">
        <f t="shared" si="177"/>
        <v/>
      </c>
      <c r="EM954" s="2" t="str">
        <f t="shared" si="197"/>
        <v/>
      </c>
      <c r="EP954" t="str">
        <f>IF(ISNUMBER(BU954),IF(ABS(BU954-[2]QC_indicators!$B$2)&gt;3*[2]QC_indicators!$C$2,"C ratio",IF(ISNUMBER(BY954),IF(ABS(BY954-[2]QC_indicators!$B$1)&gt;3*[2]QC_indicators!$C$1,"DF","no"))),IF(ISNUMBER(BY954),IF(ABS(BY954-[2]QC_indicators!$B$1)&gt;3*[2]QC_indicators!$C$1,"DF","no")))</f>
        <v>no</v>
      </c>
      <c r="EQ954" t="s">
        <v>287</v>
      </c>
      <c r="ET954" s="266" t="s">
        <v>3275</v>
      </c>
    </row>
    <row r="955" spans="1:150" ht="15" hidden="1" customHeight="1">
      <c r="A955" s="1" t="s">
        <v>266</v>
      </c>
      <c r="B955" t="s">
        <v>267</v>
      </c>
      <c r="C955" t="s">
        <v>268</v>
      </c>
      <c r="D955" t="s">
        <v>269</v>
      </c>
      <c r="E955" t="s">
        <v>270</v>
      </c>
      <c r="F955" t="s">
        <v>271</v>
      </c>
      <c r="G955" t="s">
        <v>272</v>
      </c>
      <c r="H955" t="s">
        <v>255</v>
      </c>
      <c r="I955">
        <v>2022</v>
      </c>
      <c r="J955">
        <v>0</v>
      </c>
      <c r="K955" t="s">
        <v>273</v>
      </c>
      <c r="M955" t="str">
        <f t="shared" si="201"/>
        <v>Aryapratama_2022</v>
      </c>
      <c r="N955" t="s">
        <v>223</v>
      </c>
      <c r="O955" s="145" t="s">
        <v>275</v>
      </c>
      <c r="Q955" t="s">
        <v>225</v>
      </c>
      <c r="R955" s="264" t="s">
        <v>224</v>
      </c>
      <c r="S955" s="265" t="s">
        <v>3107</v>
      </c>
      <c r="T955" t="s">
        <v>306</v>
      </c>
      <c r="U955" t="s">
        <v>285</v>
      </c>
      <c r="V955">
        <v>0</v>
      </c>
      <c r="W955">
        <v>0</v>
      </c>
      <c r="X955">
        <v>0</v>
      </c>
      <c r="Y955">
        <v>0</v>
      </c>
      <c r="Z955">
        <v>0</v>
      </c>
      <c r="AA955">
        <v>0</v>
      </c>
      <c r="AB955">
        <v>0</v>
      </c>
      <c r="AC955">
        <v>0</v>
      </c>
      <c r="AD955">
        <v>0</v>
      </c>
      <c r="AE955">
        <v>0</v>
      </c>
      <c r="AF955">
        <v>0</v>
      </c>
      <c r="AG955">
        <v>0</v>
      </c>
      <c r="AH955">
        <v>0</v>
      </c>
      <c r="AI955">
        <v>0</v>
      </c>
      <c r="AJ955">
        <v>0</v>
      </c>
      <c r="AK955">
        <v>1</v>
      </c>
      <c r="AL955">
        <v>0</v>
      </c>
      <c r="AM955">
        <v>0</v>
      </c>
      <c r="AN955">
        <v>0</v>
      </c>
      <c r="AO955">
        <v>0</v>
      </c>
      <c r="AP955">
        <v>0</v>
      </c>
      <c r="AQ955">
        <v>0</v>
      </c>
      <c r="AR955">
        <v>0</v>
      </c>
      <c r="AS955">
        <v>0</v>
      </c>
      <c r="AT955">
        <v>0</v>
      </c>
      <c r="AU955">
        <v>0</v>
      </c>
      <c r="AV955">
        <v>0</v>
      </c>
      <c r="AW955">
        <v>0</v>
      </c>
      <c r="AX955" s="141">
        <f t="shared" ref="AX955:AX1018" si="213">COUNTIF(V955:AW955,"&lt;&gt;0")</f>
        <v>1</v>
      </c>
      <c r="AY955" s="141">
        <f t="shared" si="188"/>
        <v>1</v>
      </c>
      <c r="AZ955">
        <f t="shared" si="189"/>
        <v>0</v>
      </c>
      <c r="BA955">
        <f t="shared" si="190"/>
        <v>0</v>
      </c>
      <c r="BB955">
        <f t="shared" si="191"/>
        <v>1</v>
      </c>
      <c r="BC955">
        <f t="shared" si="192"/>
        <v>0</v>
      </c>
      <c r="BD955">
        <f t="shared" si="193"/>
        <v>0</v>
      </c>
      <c r="BE955" t="str">
        <f t="array" ref="BE955">IF(AY955=1,INDEX($V$7:$AL$7,MATCH(TRUE,INDEX($V955:$AW955&lt;&gt;0,),0)),IF(AY955=0,INDEX($AM$7:$AW$7,MATCH(1,$AM955:$AW955,0)),IF(BF955="Multiple strategies","mixed drivers",IF(BF955="Supply chain","multiple supply","multiple silviculture"))))</f>
        <v>technologies/design switch</v>
      </c>
      <c r="BF955" s="2" t="str" cm="1">
        <f t="array" ref="BF955">IF(COUNTIF(AZ955:BB955,"&lt;&gt;0")=1,INDEX($V$4:$AW$4,MATCH(TRUE,INDEX($V955:$AW955&lt;&gt;0,),0)),IF(COUNTIF(AZ955:BB955,"&lt;&gt;0")=0,INDEX($AM$4:$AW$4,MATCH(1,$AM955:$AW955,0)),"Multiple strategies"))</f>
        <v>Technology</v>
      </c>
      <c r="BG955" s="1" t="s">
        <v>230</v>
      </c>
      <c r="BH955" t="s">
        <v>278</v>
      </c>
      <c r="BI955" s="266" t="s">
        <v>3108</v>
      </c>
      <c r="BJ955" t="s">
        <v>279</v>
      </c>
      <c r="BK955">
        <v>0</v>
      </c>
      <c r="BL955">
        <v>34.69360784543791</v>
      </c>
      <c r="BN955">
        <f t="shared" si="171"/>
        <v>34.69360784543791</v>
      </c>
      <c r="BO955">
        <f t="shared" si="206"/>
        <v>150.6452793983409</v>
      </c>
      <c r="BP955" t="s">
        <v>233</v>
      </c>
      <c r="BQ955" s="153" t="s">
        <v>3109</v>
      </c>
      <c r="BR955" t="s">
        <v>280</v>
      </c>
      <c r="BS955">
        <v>337.64037255698202</v>
      </c>
      <c r="BT955">
        <v>377.50107760210591</v>
      </c>
      <c r="BU955" s="144">
        <f t="shared" si="205"/>
        <v>1.1180566907424461</v>
      </c>
      <c r="BV955">
        <f t="shared" si="200"/>
        <v>39.860705045123893</v>
      </c>
      <c r="BX955">
        <f t="shared" si="207"/>
        <v>39.860705045123893</v>
      </c>
      <c r="BY955">
        <f t="shared" si="194"/>
        <v>0.26459976180018879</v>
      </c>
      <c r="BZ955">
        <v>0</v>
      </c>
      <c r="CA955">
        <v>0</v>
      </c>
      <c r="CB955">
        <v>0</v>
      </c>
      <c r="CC955">
        <v>0</v>
      </c>
      <c r="CD955">
        <v>0</v>
      </c>
      <c r="CE955">
        <v>0</v>
      </c>
      <c r="CF955">
        <v>0</v>
      </c>
      <c r="CG955">
        <v>0</v>
      </c>
      <c r="CH955">
        <v>0</v>
      </c>
      <c r="CI955">
        <v>0</v>
      </c>
      <c r="CJ955">
        <v>0</v>
      </c>
      <c r="CK955">
        <v>0</v>
      </c>
      <c r="CL955">
        <v>0</v>
      </c>
      <c r="CM955">
        <v>0</v>
      </c>
      <c r="CN955" t="str">
        <f t="shared" si="199"/>
        <v>refOK</v>
      </c>
      <c r="CO955">
        <f>IF($CN955="refOK",$BK955,$BL955)</f>
        <v>0</v>
      </c>
      <c r="CP955">
        <f>IF($CN955="refOK",$BL955,$BK955)</f>
        <v>34.69360784543791</v>
      </c>
      <c r="CQ955">
        <f t="shared" si="170"/>
        <v>150.6452793983409</v>
      </c>
      <c r="CR955">
        <f t="shared" si="210"/>
        <v>337.64037255698202</v>
      </c>
      <c r="CS955">
        <f t="shared" si="211"/>
        <v>377.50107760210591</v>
      </c>
      <c r="CT955">
        <f t="shared" si="168"/>
        <v>39.860705045123893</v>
      </c>
      <c r="CU955">
        <f t="shared" si="204"/>
        <v>0.26459976180018879</v>
      </c>
      <c r="CV955" s="2">
        <f t="shared" si="169"/>
        <v>0.11805669074244604</v>
      </c>
      <c r="CW955" s="1" t="s">
        <v>235</v>
      </c>
      <c r="CX955" t="str">
        <f t="shared" si="195"/>
        <v>loc</v>
      </c>
      <c r="CY955" t="s">
        <v>281</v>
      </c>
      <c r="DB955">
        <v>200</v>
      </c>
      <c r="DC955" t="str">
        <f t="shared" si="196"/>
        <v>+100</v>
      </c>
      <c r="DD955">
        <v>0</v>
      </c>
      <c r="DE955">
        <v>0</v>
      </c>
      <c r="DF955">
        <v>0</v>
      </c>
      <c r="DG955">
        <v>1</v>
      </c>
      <c r="DI955">
        <f t="shared" si="202"/>
        <v>1</v>
      </c>
      <c r="DJ955" t="str">
        <f t="shared" si="203"/>
        <v>TimberInput</v>
      </c>
      <c r="DK955">
        <f t="shared" si="172"/>
        <v>0</v>
      </c>
      <c r="DL955">
        <f t="shared" si="173"/>
        <v>0</v>
      </c>
      <c r="DM955">
        <f t="shared" si="174"/>
        <v>0</v>
      </c>
      <c r="DN955" t="str">
        <f t="shared" si="175"/>
        <v>Timber</v>
      </c>
      <c r="DO955">
        <v>0</v>
      </c>
      <c r="DP955">
        <v>1</v>
      </c>
      <c r="DQ955">
        <v>0</v>
      </c>
      <c r="DR955" t="s">
        <v>282</v>
      </c>
      <c r="DS955">
        <v>0</v>
      </c>
      <c r="DT955">
        <f t="shared" si="212"/>
        <v>1</v>
      </c>
      <c r="DU955" s="143" t="str">
        <f t="shared" si="198"/>
        <v>external DF used</v>
      </c>
      <c r="DV955">
        <v>0</v>
      </c>
      <c r="DW955">
        <v>1</v>
      </c>
      <c r="DX955">
        <v>1</v>
      </c>
      <c r="DY955">
        <v>1</v>
      </c>
      <c r="DZ955">
        <v>1</v>
      </c>
      <c r="EA955" s="143">
        <v>0</v>
      </c>
      <c r="EB955">
        <v>1</v>
      </c>
      <c r="EC955">
        <v>1</v>
      </c>
      <c r="ED955">
        <v>0</v>
      </c>
      <c r="EE955">
        <v>1</v>
      </c>
      <c r="EF955">
        <v>1</v>
      </c>
      <c r="EG955">
        <v>1</v>
      </c>
      <c r="EH955">
        <v>0</v>
      </c>
      <c r="EI955" s="2">
        <v>0</v>
      </c>
      <c r="EK955" t="str">
        <f t="shared" si="176"/>
        <v>Whole sector</v>
      </c>
      <c r="EL955" t="str">
        <f t="shared" si="177"/>
        <v/>
      </c>
      <c r="EM955" s="2" t="str">
        <f t="shared" si="197"/>
        <v/>
      </c>
      <c r="EP955" t="str">
        <f>IF(ISNUMBER(BU955),IF(ABS(BU955-[2]QC_indicators!$B$2)&gt;3*[2]QC_indicators!$C$2,"C ratio",IF(ISNUMBER(BY955),IF(ABS(BY955-[2]QC_indicators!$B$1)&gt;3*[2]QC_indicators!$C$1,"DF","no"))),IF(ISNUMBER(BY955),IF(ABS(BY955-[2]QC_indicators!$B$1)&gt;3*[2]QC_indicators!$C$1,"DF","no")))</f>
        <v>no</v>
      </c>
      <c r="EQ955" t="s">
        <v>287</v>
      </c>
      <c r="ET955" s="266" t="s">
        <v>3275</v>
      </c>
    </row>
    <row r="956" spans="1:150" ht="15" hidden="1" customHeight="1">
      <c r="A956" s="1" t="s">
        <v>266</v>
      </c>
      <c r="B956" t="s">
        <v>267</v>
      </c>
      <c r="C956" t="s">
        <v>268</v>
      </c>
      <c r="D956" t="s">
        <v>269</v>
      </c>
      <c r="E956" t="s">
        <v>270</v>
      </c>
      <c r="F956" t="s">
        <v>271</v>
      </c>
      <c r="G956" t="s">
        <v>272</v>
      </c>
      <c r="H956" t="s">
        <v>255</v>
      </c>
      <c r="I956">
        <v>2022</v>
      </c>
      <c r="J956">
        <v>0</v>
      </c>
      <c r="K956" t="s">
        <v>273</v>
      </c>
      <c r="M956" t="str">
        <f t="shared" si="201"/>
        <v>Aryapratama_2022</v>
      </c>
      <c r="N956" t="s">
        <v>223</v>
      </c>
      <c r="O956" s="145" t="s">
        <v>275</v>
      </c>
      <c r="Q956" t="s">
        <v>225</v>
      </c>
      <c r="R956" s="264" t="s">
        <v>224</v>
      </c>
      <c r="S956" s="265" t="s">
        <v>3107</v>
      </c>
      <c r="T956" t="s">
        <v>307</v>
      </c>
      <c r="U956" t="s">
        <v>289</v>
      </c>
      <c r="V956">
        <v>0</v>
      </c>
      <c r="W956">
        <v>0</v>
      </c>
      <c r="X956">
        <v>0</v>
      </c>
      <c r="Y956">
        <v>0</v>
      </c>
      <c r="Z956">
        <v>0</v>
      </c>
      <c r="AA956">
        <v>0</v>
      </c>
      <c r="AB956">
        <v>0</v>
      </c>
      <c r="AC956">
        <v>0</v>
      </c>
      <c r="AD956">
        <v>0</v>
      </c>
      <c r="AE956">
        <v>0</v>
      </c>
      <c r="AF956">
        <v>0</v>
      </c>
      <c r="AG956">
        <v>0</v>
      </c>
      <c r="AH956">
        <v>0</v>
      </c>
      <c r="AI956">
        <v>0</v>
      </c>
      <c r="AJ956">
        <v>0</v>
      </c>
      <c r="AK956">
        <v>1</v>
      </c>
      <c r="AL956">
        <v>0</v>
      </c>
      <c r="AM956">
        <v>0</v>
      </c>
      <c r="AN956">
        <v>0</v>
      </c>
      <c r="AO956">
        <v>0</v>
      </c>
      <c r="AP956">
        <v>0</v>
      </c>
      <c r="AQ956">
        <v>0</v>
      </c>
      <c r="AR956">
        <v>0</v>
      </c>
      <c r="AS956">
        <v>0</v>
      </c>
      <c r="AT956">
        <v>0</v>
      </c>
      <c r="AU956">
        <v>0</v>
      </c>
      <c r="AV956">
        <v>0</v>
      </c>
      <c r="AW956">
        <v>0</v>
      </c>
      <c r="AX956" s="141">
        <f t="shared" si="213"/>
        <v>1</v>
      </c>
      <c r="AY956" s="141">
        <f t="shared" si="188"/>
        <v>1</v>
      </c>
      <c r="AZ956">
        <f t="shared" si="189"/>
        <v>0</v>
      </c>
      <c r="BA956">
        <f t="shared" si="190"/>
        <v>0</v>
      </c>
      <c r="BB956">
        <f t="shared" si="191"/>
        <v>1</v>
      </c>
      <c r="BC956">
        <f t="shared" si="192"/>
        <v>0</v>
      </c>
      <c r="BD956">
        <f t="shared" si="193"/>
        <v>0</v>
      </c>
      <c r="BE956" t="str">
        <f t="array" ref="BE956">IF(AY956=1,INDEX($V$7:$AL$7,MATCH(TRUE,INDEX($V956:$AW956&lt;&gt;0,),0)),IF(AY956=0,INDEX($AM$7:$AW$7,MATCH(1,$AM956:$AW956,0)),IF(BF956="Multiple strategies","mixed drivers",IF(BF956="Supply chain","multiple supply","multiple silviculture"))))</f>
        <v>technologies/design switch</v>
      </c>
      <c r="BF956" s="2" t="str" cm="1">
        <f t="array" ref="BF956">IF(COUNTIF(AZ956:BB956,"&lt;&gt;0")=1,INDEX($V$4:$AW$4,MATCH(TRUE,INDEX($V956:$AW956&lt;&gt;0,),0)),IF(COUNTIF(AZ956:BB956,"&lt;&gt;0")=0,INDEX($AM$4:$AW$4,MATCH(1,$AM956:$AW956,0)),"Multiple strategies"))</f>
        <v>Technology</v>
      </c>
      <c r="BG956" s="1" t="s">
        <v>230</v>
      </c>
      <c r="BH956" t="s">
        <v>278</v>
      </c>
      <c r="BI956" s="266" t="s">
        <v>3108</v>
      </c>
      <c r="BJ956" t="s">
        <v>279</v>
      </c>
      <c r="BK956">
        <v>0</v>
      </c>
      <c r="BL956">
        <v>656.10508355919967</v>
      </c>
      <c r="BN956">
        <f t="shared" si="171"/>
        <v>656.10508355919967</v>
      </c>
      <c r="BO956">
        <f t="shared" si="206"/>
        <v>2848.9148222283966</v>
      </c>
      <c r="BP956" t="s">
        <v>233</v>
      </c>
      <c r="BQ956" s="153" t="s">
        <v>3109</v>
      </c>
      <c r="BR956" t="s">
        <v>280</v>
      </c>
      <c r="BS956">
        <v>-1351.032773953493</v>
      </c>
      <c r="BT956">
        <v>-227.6520247861325</v>
      </c>
      <c r="BU956" s="144">
        <f t="shared" si="205"/>
        <v>0.16850222228137379</v>
      </c>
      <c r="BV956">
        <f t="shared" si="200"/>
        <v>1123.3807491673606</v>
      </c>
      <c r="BX956">
        <f t="shared" si="207"/>
        <v>1123.3807491673606</v>
      </c>
      <c r="BY956">
        <f t="shared" si="194"/>
        <v>0.39431882638339527</v>
      </c>
      <c r="BZ956">
        <v>0</v>
      </c>
      <c r="CA956">
        <v>0</v>
      </c>
      <c r="CB956">
        <v>0</v>
      </c>
      <c r="CC956">
        <v>0</v>
      </c>
      <c r="CD956">
        <v>0</v>
      </c>
      <c r="CE956">
        <v>0</v>
      </c>
      <c r="CF956">
        <v>0</v>
      </c>
      <c r="CG956">
        <v>0</v>
      </c>
      <c r="CH956">
        <v>0</v>
      </c>
      <c r="CI956">
        <v>0</v>
      </c>
      <c r="CJ956">
        <v>0</v>
      </c>
      <c r="CK956">
        <v>0</v>
      </c>
      <c r="CL956">
        <v>0</v>
      </c>
      <c r="CM956">
        <v>0</v>
      </c>
      <c r="CN956" t="str">
        <f t="shared" si="199"/>
        <v>refOK</v>
      </c>
      <c r="CO956">
        <f>IF($CN956="refNeedCorrection",BL956,BK956)</f>
        <v>0</v>
      </c>
      <c r="CP956">
        <f>IF($CN956="refNeedCorrection",BK956,BL956)</f>
        <v>656.10508355919967</v>
      </c>
      <c r="CQ956">
        <f t="shared" si="170"/>
        <v>2848.9148222283966</v>
      </c>
      <c r="CR956">
        <f t="shared" si="210"/>
        <v>-1351.032773953493</v>
      </c>
      <c r="CS956">
        <f t="shared" si="211"/>
        <v>-227.6520247861325</v>
      </c>
      <c r="CT956">
        <f t="shared" ref="CT956:CT1019" si="214">IF($CN956="refNeedCorrection",-BX956,BX956)*IF($BP956="Emissions positive",-1,1)</f>
        <v>1123.3807491673606</v>
      </c>
      <c r="CU956">
        <f t="shared" si="204"/>
        <v>0.39431882638339527</v>
      </c>
      <c r="CV956" s="2">
        <f t="shared" ref="CV956:CV1019" si="215">IFERROR((CS956-CR956)/ABS(CR956),"")</f>
        <v>0.83149777771862632</v>
      </c>
      <c r="CW956" s="1" t="s">
        <v>235</v>
      </c>
      <c r="CX956" t="str">
        <f t="shared" si="195"/>
        <v>loc</v>
      </c>
      <c r="CY956" t="s">
        <v>281</v>
      </c>
      <c r="DB956">
        <v>200</v>
      </c>
      <c r="DC956" t="str">
        <f t="shared" si="196"/>
        <v>+100</v>
      </c>
      <c r="DD956">
        <v>0</v>
      </c>
      <c r="DE956">
        <v>0</v>
      </c>
      <c r="DF956">
        <v>0</v>
      </c>
      <c r="DG956">
        <v>1</v>
      </c>
      <c r="DI956">
        <f t="shared" si="202"/>
        <v>1</v>
      </c>
      <c r="DJ956" t="str">
        <f t="shared" si="203"/>
        <v>TimberInput</v>
      </c>
      <c r="DK956">
        <f t="shared" si="172"/>
        <v>0</v>
      </c>
      <c r="DL956">
        <f t="shared" si="173"/>
        <v>0</v>
      </c>
      <c r="DM956">
        <f t="shared" si="174"/>
        <v>0</v>
      </c>
      <c r="DN956" t="str">
        <f t="shared" si="175"/>
        <v>Timber</v>
      </c>
      <c r="DO956">
        <v>0</v>
      </c>
      <c r="DP956">
        <v>1</v>
      </c>
      <c r="DQ956">
        <v>0</v>
      </c>
      <c r="DR956" t="s">
        <v>282</v>
      </c>
      <c r="DS956">
        <v>0</v>
      </c>
      <c r="DT956">
        <f t="shared" si="212"/>
        <v>1</v>
      </c>
      <c r="DU956" s="143" t="str">
        <f t="shared" si="198"/>
        <v>external DF used</v>
      </c>
      <c r="DV956">
        <v>0</v>
      </c>
      <c r="DW956">
        <v>1</v>
      </c>
      <c r="DX956">
        <v>1</v>
      </c>
      <c r="DY956">
        <v>1</v>
      </c>
      <c r="DZ956">
        <v>1</v>
      </c>
      <c r="EA956" s="143">
        <v>0</v>
      </c>
      <c r="EB956">
        <v>1</v>
      </c>
      <c r="EC956">
        <v>1</v>
      </c>
      <c r="ED956">
        <v>0</v>
      </c>
      <c r="EE956">
        <v>1</v>
      </c>
      <c r="EF956">
        <v>1</v>
      </c>
      <c r="EG956">
        <v>1</v>
      </c>
      <c r="EH956">
        <v>0</v>
      </c>
      <c r="EI956" s="2">
        <v>0</v>
      </c>
      <c r="EK956" t="str">
        <f t="shared" si="176"/>
        <v>Whole sector</v>
      </c>
      <c r="EL956" t="str">
        <f t="shared" si="177"/>
        <v/>
      </c>
      <c r="EM956" s="2" t="str">
        <f t="shared" si="197"/>
        <v/>
      </c>
      <c r="EP956" t="str">
        <f>IF(ISNUMBER(BU956),IF(ABS(BU956-[2]QC_indicators!$B$2)&gt;3*[2]QC_indicators!$C$2,"C ratio",IF(ISNUMBER(BY956),IF(ABS(BY956-[2]QC_indicators!$B$1)&gt;3*[2]QC_indicators!$C$1,"DF","no"))),IF(ISNUMBER(BY956),IF(ABS(BY956-[2]QC_indicators!$B$1)&gt;3*[2]QC_indicators!$C$1,"DF","no")))</f>
        <v>no</v>
      </c>
      <c r="EQ956" t="s">
        <v>287</v>
      </c>
      <c r="ER956" t="s">
        <v>297</v>
      </c>
      <c r="ET956" s="266" t="s">
        <v>3275</v>
      </c>
    </row>
    <row r="957" spans="1:150" ht="15" hidden="1" customHeight="1">
      <c r="A957" s="1" t="s">
        <v>266</v>
      </c>
      <c r="B957" t="s">
        <v>267</v>
      </c>
      <c r="C957" t="s">
        <v>268</v>
      </c>
      <c r="D957" t="s">
        <v>269</v>
      </c>
      <c r="E957" t="s">
        <v>270</v>
      </c>
      <c r="F957" t="s">
        <v>271</v>
      </c>
      <c r="G957" t="s">
        <v>272</v>
      </c>
      <c r="H957" t="s">
        <v>255</v>
      </c>
      <c r="I957">
        <v>2022</v>
      </c>
      <c r="J957">
        <v>0</v>
      </c>
      <c r="K957" t="s">
        <v>273</v>
      </c>
      <c r="M957" t="str">
        <f t="shared" si="201"/>
        <v>Aryapratama_2022</v>
      </c>
      <c r="N957" t="s">
        <v>223</v>
      </c>
      <c r="O957" s="145" t="s">
        <v>275</v>
      </c>
      <c r="Q957" t="s">
        <v>225</v>
      </c>
      <c r="R957" s="264" t="s">
        <v>224</v>
      </c>
      <c r="S957" s="265" t="s">
        <v>3107</v>
      </c>
      <c r="T957" t="s">
        <v>308</v>
      </c>
      <c r="U957" t="s">
        <v>309</v>
      </c>
      <c r="V957">
        <v>0</v>
      </c>
      <c r="W957">
        <v>0</v>
      </c>
      <c r="X957">
        <v>0</v>
      </c>
      <c r="Y957">
        <v>0</v>
      </c>
      <c r="Z957">
        <v>0</v>
      </c>
      <c r="AA957">
        <v>0</v>
      </c>
      <c r="AB957">
        <v>0</v>
      </c>
      <c r="AC957">
        <v>0</v>
      </c>
      <c r="AD957">
        <v>0</v>
      </c>
      <c r="AE957">
        <v>0</v>
      </c>
      <c r="AF957">
        <v>0</v>
      </c>
      <c r="AG957">
        <v>0</v>
      </c>
      <c r="AH957">
        <v>0</v>
      </c>
      <c r="AI957">
        <v>0</v>
      </c>
      <c r="AJ957">
        <v>0</v>
      </c>
      <c r="AK957">
        <v>1</v>
      </c>
      <c r="AL957">
        <v>0</v>
      </c>
      <c r="AM957">
        <v>0</v>
      </c>
      <c r="AN957">
        <v>0</v>
      </c>
      <c r="AO957">
        <v>0</v>
      </c>
      <c r="AP957">
        <v>0</v>
      </c>
      <c r="AQ957">
        <v>0</v>
      </c>
      <c r="AR957">
        <v>0</v>
      </c>
      <c r="AS957">
        <v>0</v>
      </c>
      <c r="AT957">
        <v>0</v>
      </c>
      <c r="AU957">
        <v>0</v>
      </c>
      <c r="AV957">
        <v>0</v>
      </c>
      <c r="AW957">
        <v>0</v>
      </c>
      <c r="AX957" s="141">
        <f t="shared" si="213"/>
        <v>1</v>
      </c>
      <c r="AY957" s="141">
        <f t="shared" si="188"/>
        <v>1</v>
      </c>
      <c r="AZ957">
        <f t="shared" si="189"/>
        <v>0</v>
      </c>
      <c r="BA957">
        <f t="shared" si="190"/>
        <v>0</v>
      </c>
      <c r="BB957">
        <f t="shared" si="191"/>
        <v>1</v>
      </c>
      <c r="BC957">
        <f t="shared" si="192"/>
        <v>0</v>
      </c>
      <c r="BD957">
        <f t="shared" si="193"/>
        <v>0</v>
      </c>
      <c r="BE957" t="str">
        <f t="array" ref="BE957">IF(AY957=1,INDEX($V$7:$AL$7,MATCH(TRUE,INDEX($V957:$AW957&lt;&gt;0,),0)),IF(AY957=0,INDEX($AM$7:$AW$7,MATCH(1,$AM957:$AW957,0)),IF(BF957="Multiple strategies","mixed drivers",IF(BF957="Supply chain","multiple supply","multiple silviculture"))))</f>
        <v>technologies/design switch</v>
      </c>
      <c r="BF957" s="2" t="str" cm="1">
        <f t="array" ref="BF957">IF(COUNTIF(AZ957:BB957,"&lt;&gt;0")=1,INDEX($V$4:$AW$4,MATCH(TRUE,INDEX($V957:$AW957&lt;&gt;0,),0)),IF(COUNTIF(AZ957:BB957,"&lt;&gt;0")=0,INDEX($AM$4:$AW$4,MATCH(1,$AM957:$AW957,0)),"Multiple strategies"))</f>
        <v>Technology</v>
      </c>
      <c r="BG957" s="1" t="s">
        <v>230</v>
      </c>
      <c r="BH957" t="s">
        <v>278</v>
      </c>
      <c r="BI957" s="266" t="s">
        <v>3108</v>
      </c>
      <c r="BJ957" t="s">
        <v>279</v>
      </c>
      <c r="BK957">
        <v>0</v>
      </c>
      <c r="BL957">
        <v>455.74756079224562</v>
      </c>
      <c r="BN957">
        <f t="shared" si="171"/>
        <v>455.74756079224562</v>
      </c>
      <c r="BO957">
        <f t="shared" si="206"/>
        <v>1978.9299209389737</v>
      </c>
      <c r="BP957" t="s">
        <v>233</v>
      </c>
      <c r="BQ957" s="153" t="s">
        <v>3109</v>
      </c>
      <c r="BR957" t="s">
        <v>280</v>
      </c>
      <c r="BS957">
        <v>-852.47323414734842</v>
      </c>
      <c r="BT957">
        <v>23.49403951814293</v>
      </c>
      <c r="BU957" s="144">
        <f t="shared" si="205"/>
        <v>-2.7559855931009829E-2</v>
      </c>
      <c r="BV957">
        <f t="shared" si="200"/>
        <v>875.96727366549135</v>
      </c>
      <c r="BX957">
        <f t="shared" si="207"/>
        <v>875.96727366549135</v>
      </c>
      <c r="BY957">
        <f t="shared" si="194"/>
        <v>0.44264693984204223</v>
      </c>
      <c r="BZ957">
        <v>0</v>
      </c>
      <c r="CA957">
        <v>0</v>
      </c>
      <c r="CB957">
        <v>0</v>
      </c>
      <c r="CC957">
        <v>0</v>
      </c>
      <c r="CD957">
        <v>0</v>
      </c>
      <c r="CE957">
        <v>0</v>
      </c>
      <c r="CF957">
        <v>0</v>
      </c>
      <c r="CG957">
        <v>0</v>
      </c>
      <c r="CH957">
        <v>0</v>
      </c>
      <c r="CI957">
        <v>0</v>
      </c>
      <c r="CJ957">
        <v>0</v>
      </c>
      <c r="CK957">
        <v>0</v>
      </c>
      <c r="CL957">
        <v>0</v>
      </c>
      <c r="CM957">
        <v>0</v>
      </c>
      <c r="CN957" t="str">
        <f t="shared" si="199"/>
        <v>refOK</v>
      </c>
      <c r="CO957">
        <f>IF($CN957="refOK",$BK957,$BL957)</f>
        <v>0</v>
      </c>
      <c r="CP957">
        <f>IF($CN957="refOK",$BL957,$BK957)</f>
        <v>455.74756079224562</v>
      </c>
      <c r="CQ957">
        <f t="shared" si="170"/>
        <v>1978.9299209389737</v>
      </c>
      <c r="CR957">
        <f t="shared" si="210"/>
        <v>-852.47323414734842</v>
      </c>
      <c r="CS957">
        <f t="shared" si="211"/>
        <v>23.49403951814293</v>
      </c>
      <c r="CT957">
        <f t="shared" si="214"/>
        <v>875.96727366549135</v>
      </c>
      <c r="CU957">
        <f t="shared" si="204"/>
        <v>0.44264693984204223</v>
      </c>
      <c r="CV957" s="2">
        <f t="shared" si="215"/>
        <v>1.0275598559310097</v>
      </c>
      <c r="CW957" s="1" t="s">
        <v>235</v>
      </c>
      <c r="CX957" t="str">
        <f t="shared" si="195"/>
        <v>loc</v>
      </c>
      <c r="CY957" t="s">
        <v>281</v>
      </c>
      <c r="DB957">
        <v>200</v>
      </c>
      <c r="DC957" t="str">
        <f t="shared" si="196"/>
        <v>+100</v>
      </c>
      <c r="DD957">
        <v>0</v>
      </c>
      <c r="DE957">
        <v>0</v>
      </c>
      <c r="DF957">
        <v>0</v>
      </c>
      <c r="DG957">
        <v>1</v>
      </c>
      <c r="DI957">
        <f t="shared" si="202"/>
        <v>1</v>
      </c>
      <c r="DJ957" t="str">
        <f t="shared" si="203"/>
        <v>TimberInput</v>
      </c>
      <c r="DK957">
        <f t="shared" si="172"/>
        <v>0</v>
      </c>
      <c r="DL957">
        <f t="shared" si="173"/>
        <v>0</v>
      </c>
      <c r="DM957">
        <f t="shared" si="174"/>
        <v>0</v>
      </c>
      <c r="DN957" t="str">
        <f t="shared" si="175"/>
        <v>Timber</v>
      </c>
      <c r="DO957">
        <v>0</v>
      </c>
      <c r="DP957">
        <v>1</v>
      </c>
      <c r="DQ957" t="s">
        <v>305</v>
      </c>
      <c r="DR957">
        <v>0</v>
      </c>
      <c r="DS957">
        <v>0</v>
      </c>
      <c r="DT957">
        <f t="shared" si="212"/>
        <v>1</v>
      </c>
      <c r="DU957" s="143" t="str">
        <f t="shared" si="198"/>
        <v>external DF used</v>
      </c>
      <c r="DV957">
        <v>0</v>
      </c>
      <c r="DW957">
        <v>1</v>
      </c>
      <c r="DX957">
        <v>1</v>
      </c>
      <c r="DY957">
        <v>1</v>
      </c>
      <c r="DZ957">
        <v>1</v>
      </c>
      <c r="EA957" s="143">
        <v>0</v>
      </c>
      <c r="EB957">
        <v>1</v>
      </c>
      <c r="EC957">
        <v>1</v>
      </c>
      <c r="ED957">
        <v>0</v>
      </c>
      <c r="EE957">
        <v>1</v>
      </c>
      <c r="EF957">
        <v>1</v>
      </c>
      <c r="EG957">
        <v>1</v>
      </c>
      <c r="EH957">
        <v>0</v>
      </c>
      <c r="EI957" s="2">
        <v>0</v>
      </c>
      <c r="EK957" t="str">
        <f t="shared" si="176"/>
        <v>Whole sector</v>
      </c>
      <c r="EL957" t="str">
        <f t="shared" si="177"/>
        <v/>
      </c>
      <c r="EM957" s="2" t="str">
        <f t="shared" si="197"/>
        <v/>
      </c>
      <c r="EP957" t="str">
        <f>IF(ISNUMBER(BU957),IF(ABS(BU957-[2]QC_indicators!$B$2)&gt;3*[2]QC_indicators!$C$2,"C ratio",IF(ISNUMBER(BY957),IF(ABS(BY957-[2]QC_indicators!$B$1)&gt;3*[2]QC_indicators!$C$1,"DF","no"))),IF(ISNUMBER(BY957),IF(ABS(BY957-[2]QC_indicators!$B$1)&gt;3*[2]QC_indicators!$C$1,"DF","no")))</f>
        <v>no</v>
      </c>
      <c r="EQ957" t="s">
        <v>287</v>
      </c>
      <c r="ER957" t="s">
        <v>297</v>
      </c>
      <c r="ET957" s="266" t="s">
        <v>3275</v>
      </c>
    </row>
    <row r="958" spans="1:150" ht="15" hidden="1" customHeight="1">
      <c r="A958" s="1" t="s">
        <v>266</v>
      </c>
      <c r="B958" t="s">
        <v>267</v>
      </c>
      <c r="C958" t="s">
        <v>268</v>
      </c>
      <c r="D958" t="s">
        <v>269</v>
      </c>
      <c r="E958" t="s">
        <v>270</v>
      </c>
      <c r="F958" t="s">
        <v>271</v>
      </c>
      <c r="G958" t="s">
        <v>272</v>
      </c>
      <c r="H958" t="s">
        <v>255</v>
      </c>
      <c r="I958">
        <v>2022</v>
      </c>
      <c r="J958">
        <v>0</v>
      </c>
      <c r="K958" t="s">
        <v>273</v>
      </c>
      <c r="M958" t="str">
        <f t="shared" si="201"/>
        <v>Aryapratama_2022</v>
      </c>
      <c r="N958" t="s">
        <v>223</v>
      </c>
      <c r="O958" s="145" t="s">
        <v>275</v>
      </c>
      <c r="Q958" t="s">
        <v>225</v>
      </c>
      <c r="R958" s="264" t="s">
        <v>224</v>
      </c>
      <c r="S958" s="265" t="s">
        <v>3107</v>
      </c>
      <c r="T958" t="s">
        <v>310</v>
      </c>
      <c r="U958" t="s">
        <v>311</v>
      </c>
      <c r="V958">
        <v>0</v>
      </c>
      <c r="W958">
        <v>0</v>
      </c>
      <c r="X958">
        <v>0</v>
      </c>
      <c r="Y958">
        <v>0</v>
      </c>
      <c r="Z958">
        <v>0</v>
      </c>
      <c r="AA958">
        <v>0</v>
      </c>
      <c r="AB958">
        <v>0</v>
      </c>
      <c r="AC958">
        <v>0</v>
      </c>
      <c r="AD958">
        <v>0</v>
      </c>
      <c r="AE958">
        <v>0</v>
      </c>
      <c r="AF958">
        <v>0</v>
      </c>
      <c r="AG958">
        <v>0</v>
      </c>
      <c r="AH958">
        <v>0</v>
      </c>
      <c r="AI958">
        <v>0</v>
      </c>
      <c r="AJ958">
        <v>0</v>
      </c>
      <c r="AK958">
        <v>1</v>
      </c>
      <c r="AL958">
        <v>0</v>
      </c>
      <c r="AM958">
        <v>0</v>
      </c>
      <c r="AN958">
        <v>0</v>
      </c>
      <c r="AO958">
        <v>0</v>
      </c>
      <c r="AP958">
        <v>0</v>
      </c>
      <c r="AQ958">
        <v>0</v>
      </c>
      <c r="AR958">
        <v>0</v>
      </c>
      <c r="AS958">
        <v>0</v>
      </c>
      <c r="AT958">
        <v>0</v>
      </c>
      <c r="AU958">
        <v>0</v>
      </c>
      <c r="AV958">
        <v>0</v>
      </c>
      <c r="AW958">
        <v>0</v>
      </c>
      <c r="AX958" s="141">
        <f t="shared" si="213"/>
        <v>1</v>
      </c>
      <c r="AY958" s="141">
        <f t="shared" si="188"/>
        <v>1</v>
      </c>
      <c r="AZ958">
        <f t="shared" si="189"/>
        <v>0</v>
      </c>
      <c r="BA958">
        <f t="shared" si="190"/>
        <v>0</v>
      </c>
      <c r="BB958">
        <f t="shared" si="191"/>
        <v>1</v>
      </c>
      <c r="BC958">
        <f t="shared" si="192"/>
        <v>0</v>
      </c>
      <c r="BD958">
        <f t="shared" si="193"/>
        <v>0</v>
      </c>
      <c r="BE958" t="str">
        <f t="array" ref="BE958">IF(AY958=1,INDEX($V$7:$AL$7,MATCH(TRUE,INDEX($V958:$AW958&lt;&gt;0,),0)),IF(AY958=0,INDEX($AM$7:$AW$7,MATCH(1,$AM958:$AW958,0)),IF(BF958="Multiple strategies","mixed drivers",IF(BF958="Supply chain","multiple supply","multiple silviculture"))))</f>
        <v>technologies/design switch</v>
      </c>
      <c r="BF958" s="2" t="str" cm="1">
        <f t="array" ref="BF958">IF(COUNTIF(AZ958:BB958,"&lt;&gt;0")=1,INDEX($V$4:$AW$4,MATCH(TRUE,INDEX($V958:$AW958&lt;&gt;0,),0)),IF(COUNTIF(AZ958:BB958,"&lt;&gt;0")=0,INDEX($AM$4:$AW$4,MATCH(1,$AM958:$AW958,0)),"Multiple strategies"))</f>
        <v>Technology</v>
      </c>
      <c r="BG958" s="1" t="s">
        <v>230</v>
      </c>
      <c r="BH958" t="s">
        <v>278</v>
      </c>
      <c r="BI958" s="266" t="s">
        <v>3108</v>
      </c>
      <c r="BJ958" t="s">
        <v>279</v>
      </c>
      <c r="BK958">
        <v>0</v>
      </c>
      <c r="BL958">
        <v>173.90219514484585</v>
      </c>
      <c r="BN958">
        <f t="shared" si="171"/>
        <v>173.90219514484585</v>
      </c>
      <c r="BO958">
        <f t="shared" si="206"/>
        <v>755.11157249173186</v>
      </c>
      <c r="BP958" t="s">
        <v>233</v>
      </c>
      <c r="BQ958" s="153" t="s">
        <v>3109</v>
      </c>
      <c r="BR958" t="s">
        <v>280</v>
      </c>
      <c r="BS958">
        <v>-276.3051877599944</v>
      </c>
      <c r="BT958">
        <v>218.48492658306861</v>
      </c>
      <c r="BU958" s="144">
        <f t="shared" si="205"/>
        <v>-0.79073769245639391</v>
      </c>
      <c r="BV958">
        <f t="shared" si="200"/>
        <v>494.79011434306301</v>
      </c>
      <c r="BX958">
        <f t="shared" si="207"/>
        <v>494.79011434306301</v>
      </c>
      <c r="BY958">
        <f t="shared" si="194"/>
        <v>0.65525431256515509</v>
      </c>
      <c r="BZ958">
        <v>0</v>
      </c>
      <c r="CA958">
        <v>0</v>
      </c>
      <c r="CB958">
        <v>0</v>
      </c>
      <c r="CC958">
        <v>0</v>
      </c>
      <c r="CD958">
        <v>0</v>
      </c>
      <c r="CE958">
        <v>0</v>
      </c>
      <c r="CF958">
        <v>0</v>
      </c>
      <c r="CG958">
        <v>0</v>
      </c>
      <c r="CH958">
        <v>0</v>
      </c>
      <c r="CI958">
        <v>0</v>
      </c>
      <c r="CJ958">
        <v>0</v>
      </c>
      <c r="CK958">
        <v>0</v>
      </c>
      <c r="CL958">
        <v>0</v>
      </c>
      <c r="CM958">
        <v>0</v>
      </c>
      <c r="CN958" t="str">
        <f t="shared" si="199"/>
        <v>refOK</v>
      </c>
      <c r="CO958">
        <f>IF($CN958="refOK",$BK958,$BL958)</f>
        <v>0</v>
      </c>
      <c r="CP958">
        <f>IF($CN958="refOK",$BL958,$BK958)</f>
        <v>173.90219514484585</v>
      </c>
      <c r="CQ958">
        <f t="shared" si="170"/>
        <v>755.11157249173186</v>
      </c>
      <c r="CR958">
        <f t="shared" si="210"/>
        <v>-276.3051877599944</v>
      </c>
      <c r="CS958">
        <f t="shared" si="211"/>
        <v>218.48492658306861</v>
      </c>
      <c r="CT958">
        <f t="shared" si="214"/>
        <v>494.79011434306301</v>
      </c>
      <c r="CU958">
        <f t="shared" si="204"/>
        <v>0.65525431256515509</v>
      </c>
      <c r="CV958" s="2">
        <f t="shared" si="215"/>
        <v>1.7907376924563938</v>
      </c>
      <c r="CW958" s="1" t="s">
        <v>235</v>
      </c>
      <c r="CX958" t="str">
        <f t="shared" si="195"/>
        <v>loc</v>
      </c>
      <c r="CY958" t="s">
        <v>281</v>
      </c>
      <c r="DB958">
        <v>200</v>
      </c>
      <c r="DC958" t="str">
        <f t="shared" si="196"/>
        <v>+100</v>
      </c>
      <c r="DD958">
        <v>0</v>
      </c>
      <c r="DE958">
        <v>0</v>
      </c>
      <c r="DF958">
        <v>0</v>
      </c>
      <c r="DG958">
        <v>1</v>
      </c>
      <c r="DI958">
        <f t="shared" si="202"/>
        <v>1</v>
      </c>
      <c r="DJ958" t="str">
        <f t="shared" si="203"/>
        <v>TimberInput</v>
      </c>
      <c r="DK958">
        <f t="shared" si="172"/>
        <v>0</v>
      </c>
      <c r="DL958">
        <f t="shared" si="173"/>
        <v>0</v>
      </c>
      <c r="DM958">
        <f t="shared" si="174"/>
        <v>0</v>
      </c>
      <c r="DN958" t="str">
        <f t="shared" si="175"/>
        <v>Timber</v>
      </c>
      <c r="DO958">
        <v>0</v>
      </c>
      <c r="DP958">
        <v>1</v>
      </c>
      <c r="DQ958" t="s">
        <v>305</v>
      </c>
      <c r="DR958">
        <v>0</v>
      </c>
      <c r="DS958">
        <v>0</v>
      </c>
      <c r="DT958">
        <f t="shared" si="212"/>
        <v>1</v>
      </c>
      <c r="DU958" s="143" t="str">
        <f t="shared" si="198"/>
        <v>external DF used</v>
      </c>
      <c r="DV958">
        <v>0</v>
      </c>
      <c r="DW958">
        <v>1</v>
      </c>
      <c r="DX958">
        <v>1</v>
      </c>
      <c r="DY958">
        <v>1</v>
      </c>
      <c r="DZ958">
        <v>1</v>
      </c>
      <c r="EA958" s="143">
        <v>0</v>
      </c>
      <c r="EB958">
        <v>1</v>
      </c>
      <c r="EC958">
        <v>1</v>
      </c>
      <c r="ED958">
        <v>0</v>
      </c>
      <c r="EE958">
        <v>1</v>
      </c>
      <c r="EF958">
        <v>1</v>
      </c>
      <c r="EG958">
        <v>1</v>
      </c>
      <c r="EH958">
        <v>0</v>
      </c>
      <c r="EI958" s="2">
        <v>0</v>
      </c>
      <c r="EK958" t="str">
        <f t="shared" si="176"/>
        <v>Whole sector</v>
      </c>
      <c r="EL958" t="str">
        <f t="shared" si="177"/>
        <v/>
      </c>
      <c r="EM958" s="2" t="str">
        <f t="shared" si="197"/>
        <v/>
      </c>
      <c r="EP958" t="str">
        <f>IF(ISNUMBER(BU958),IF(ABS(BU958-[2]QC_indicators!$B$2)&gt;3*[2]QC_indicators!$C$2,"C ratio",IF(ISNUMBER(BY958),IF(ABS(BY958-[2]QC_indicators!$B$1)&gt;3*[2]QC_indicators!$C$1,"DF","no"))),IF(ISNUMBER(BY958),IF(ABS(BY958-[2]QC_indicators!$B$1)&gt;3*[2]QC_indicators!$C$1,"DF","no")))</f>
        <v>no</v>
      </c>
      <c r="EQ958" t="s">
        <v>287</v>
      </c>
      <c r="ET958" s="266" t="s">
        <v>3275</v>
      </c>
    </row>
    <row r="959" spans="1:150" ht="15" hidden="1" customHeight="1">
      <c r="A959" s="1" t="s">
        <v>266</v>
      </c>
      <c r="B959" t="s">
        <v>267</v>
      </c>
      <c r="C959" t="s">
        <v>268</v>
      </c>
      <c r="D959" t="s">
        <v>269</v>
      </c>
      <c r="E959" t="s">
        <v>270</v>
      </c>
      <c r="F959" t="s">
        <v>271</v>
      </c>
      <c r="G959" t="s">
        <v>272</v>
      </c>
      <c r="H959" t="s">
        <v>255</v>
      </c>
      <c r="I959">
        <v>2022</v>
      </c>
      <c r="J959">
        <v>0</v>
      </c>
      <c r="K959" t="s">
        <v>273</v>
      </c>
      <c r="M959" t="str">
        <f t="shared" si="201"/>
        <v>Aryapratama_2022</v>
      </c>
      <c r="N959" t="s">
        <v>223</v>
      </c>
      <c r="O959" s="145" t="s">
        <v>275</v>
      </c>
      <c r="Q959" t="s">
        <v>225</v>
      </c>
      <c r="R959" s="264" t="s">
        <v>224</v>
      </c>
      <c r="S959" s="265" t="s">
        <v>3107</v>
      </c>
      <c r="T959" t="s">
        <v>312</v>
      </c>
      <c r="U959" t="s">
        <v>313</v>
      </c>
      <c r="V959">
        <v>0</v>
      </c>
      <c r="W959">
        <v>0</v>
      </c>
      <c r="X959">
        <v>0</v>
      </c>
      <c r="Y959">
        <v>0</v>
      </c>
      <c r="Z959">
        <v>0</v>
      </c>
      <c r="AA959">
        <v>0</v>
      </c>
      <c r="AB959">
        <v>0</v>
      </c>
      <c r="AC959">
        <v>0</v>
      </c>
      <c r="AD959">
        <v>0</v>
      </c>
      <c r="AE959">
        <v>0</v>
      </c>
      <c r="AF959">
        <v>0</v>
      </c>
      <c r="AG959">
        <v>0</v>
      </c>
      <c r="AH959">
        <v>0</v>
      </c>
      <c r="AI959">
        <v>0</v>
      </c>
      <c r="AJ959">
        <v>0</v>
      </c>
      <c r="AK959">
        <v>1</v>
      </c>
      <c r="AL959">
        <v>0</v>
      </c>
      <c r="AM959">
        <v>0</v>
      </c>
      <c r="AN959">
        <v>0</v>
      </c>
      <c r="AO959">
        <v>0</v>
      </c>
      <c r="AP959">
        <v>0</v>
      </c>
      <c r="AQ959">
        <v>0</v>
      </c>
      <c r="AR959">
        <v>0</v>
      </c>
      <c r="AS959">
        <v>0</v>
      </c>
      <c r="AT959">
        <v>0</v>
      </c>
      <c r="AU959">
        <v>0</v>
      </c>
      <c r="AV959">
        <v>0</v>
      </c>
      <c r="AW959">
        <v>0</v>
      </c>
      <c r="AX959" s="141">
        <f t="shared" si="213"/>
        <v>1</v>
      </c>
      <c r="AY959" s="141">
        <f t="shared" si="188"/>
        <v>1</v>
      </c>
      <c r="AZ959">
        <f t="shared" si="189"/>
        <v>0</v>
      </c>
      <c r="BA959">
        <f t="shared" si="190"/>
        <v>0</v>
      </c>
      <c r="BB959">
        <f t="shared" si="191"/>
        <v>1</v>
      </c>
      <c r="BC959">
        <f t="shared" si="192"/>
        <v>0</v>
      </c>
      <c r="BD959">
        <f t="shared" si="193"/>
        <v>0</v>
      </c>
      <c r="BE959" t="str">
        <f t="array" ref="BE959">IF(AY959=1,INDEX($V$7:$AL$7,MATCH(TRUE,INDEX($V959:$AW959&lt;&gt;0,),0)),IF(AY959=0,INDEX($AM$7:$AW$7,MATCH(1,$AM959:$AW959,0)),IF(BF959="Multiple strategies","mixed drivers",IF(BF959="Supply chain","multiple supply","multiple silviculture"))))</f>
        <v>technologies/design switch</v>
      </c>
      <c r="BF959" s="2" t="str" cm="1">
        <f t="array" ref="BF959">IF(COUNTIF(AZ959:BB959,"&lt;&gt;0")=1,INDEX($V$4:$AW$4,MATCH(TRUE,INDEX($V959:$AW959&lt;&gt;0,),0)),IF(COUNTIF(AZ959:BB959,"&lt;&gt;0")=0,INDEX($AM$4:$AW$4,MATCH(1,$AM959:$AW959,0)),"Multiple strategies"))</f>
        <v>Technology</v>
      </c>
      <c r="BG959" s="1" t="s">
        <v>230</v>
      </c>
      <c r="BH959" t="s">
        <v>278</v>
      </c>
      <c r="BI959" s="266" t="s">
        <v>3108</v>
      </c>
      <c r="BJ959" t="s">
        <v>279</v>
      </c>
      <c r="BK959">
        <v>0</v>
      </c>
      <c r="BL959">
        <v>46.25814379391722</v>
      </c>
      <c r="BN959">
        <f t="shared" si="171"/>
        <v>46.25814379391722</v>
      </c>
      <c r="BO959">
        <f t="shared" si="206"/>
        <v>200.86037253112124</v>
      </c>
      <c r="BP959" t="s">
        <v>233</v>
      </c>
      <c r="BQ959" s="153" t="s">
        <v>3109</v>
      </c>
      <c r="BR959" t="s">
        <v>280</v>
      </c>
      <c r="BS959">
        <v>316.56191500133059</v>
      </c>
      <c r="BT959">
        <v>726.845318289901</v>
      </c>
      <c r="BU959" s="144">
        <f t="shared" si="205"/>
        <v>2.2960605298551022</v>
      </c>
      <c r="BV959">
        <f t="shared" si="200"/>
        <v>410.28340328857041</v>
      </c>
      <c r="BX959">
        <f t="shared" si="207"/>
        <v>410.28340328857041</v>
      </c>
      <c r="BY959">
        <f t="shared" si="194"/>
        <v>2.0426299031432955</v>
      </c>
      <c r="BZ959">
        <v>0</v>
      </c>
      <c r="CA959">
        <v>0</v>
      </c>
      <c r="CB959">
        <v>0</v>
      </c>
      <c r="CC959">
        <v>0</v>
      </c>
      <c r="CD959">
        <v>0</v>
      </c>
      <c r="CE959">
        <v>0</v>
      </c>
      <c r="CF959">
        <v>0</v>
      </c>
      <c r="CG959">
        <v>0</v>
      </c>
      <c r="CH959">
        <v>0</v>
      </c>
      <c r="CI959">
        <v>0</v>
      </c>
      <c r="CJ959">
        <v>0</v>
      </c>
      <c r="CK959">
        <v>0</v>
      </c>
      <c r="CL959">
        <v>0</v>
      </c>
      <c r="CM959">
        <v>0</v>
      </c>
      <c r="CN959" t="str">
        <f t="shared" si="199"/>
        <v>refOK</v>
      </c>
      <c r="CO959">
        <f>IF($CN959="refOK",$BK959,$BL959)</f>
        <v>0</v>
      </c>
      <c r="CP959">
        <f>IF($CN959="refOK",$BL959,$BK959)</f>
        <v>46.25814379391722</v>
      </c>
      <c r="CQ959">
        <f t="shared" si="170"/>
        <v>200.86037253112124</v>
      </c>
      <c r="CR959">
        <f t="shared" si="210"/>
        <v>316.56191500133059</v>
      </c>
      <c r="CS959">
        <f t="shared" si="211"/>
        <v>726.845318289901</v>
      </c>
      <c r="CT959">
        <f t="shared" si="214"/>
        <v>410.28340328857041</v>
      </c>
      <c r="CU959">
        <f t="shared" si="204"/>
        <v>2.0426299031432955</v>
      </c>
      <c r="CV959" s="2">
        <f t="shared" si="215"/>
        <v>1.2960605298551025</v>
      </c>
      <c r="CW959" s="1" t="s">
        <v>235</v>
      </c>
      <c r="CX959" t="str">
        <f t="shared" si="195"/>
        <v>loc</v>
      </c>
      <c r="CY959" t="s">
        <v>281</v>
      </c>
      <c r="DB959">
        <v>200</v>
      </c>
      <c r="DC959" t="str">
        <f t="shared" si="196"/>
        <v>+100</v>
      </c>
      <c r="DD959">
        <v>0</v>
      </c>
      <c r="DE959">
        <v>0</v>
      </c>
      <c r="DF959">
        <v>0</v>
      </c>
      <c r="DG959">
        <v>1</v>
      </c>
      <c r="DI959">
        <f t="shared" si="202"/>
        <v>1</v>
      </c>
      <c r="DJ959" t="str">
        <f t="shared" si="203"/>
        <v>TimberInput</v>
      </c>
      <c r="DK959">
        <f t="shared" si="172"/>
        <v>0</v>
      </c>
      <c r="DL959">
        <f t="shared" si="173"/>
        <v>0</v>
      </c>
      <c r="DM959">
        <f t="shared" si="174"/>
        <v>0</v>
      </c>
      <c r="DN959" t="str">
        <f t="shared" si="175"/>
        <v>Timber</v>
      </c>
      <c r="DO959">
        <v>0</v>
      </c>
      <c r="DP959">
        <v>1</v>
      </c>
      <c r="DQ959" t="s">
        <v>305</v>
      </c>
      <c r="DR959">
        <v>0</v>
      </c>
      <c r="DS959">
        <v>0</v>
      </c>
      <c r="DT959">
        <f t="shared" si="212"/>
        <v>1</v>
      </c>
      <c r="DU959" s="143" t="str">
        <f t="shared" si="198"/>
        <v>external DF used</v>
      </c>
      <c r="DV959">
        <v>0</v>
      </c>
      <c r="DW959">
        <v>1</v>
      </c>
      <c r="DX959">
        <v>1</v>
      </c>
      <c r="DY959">
        <v>1</v>
      </c>
      <c r="DZ959">
        <v>1</v>
      </c>
      <c r="EA959" s="143">
        <v>0</v>
      </c>
      <c r="EB959">
        <v>1</v>
      </c>
      <c r="EC959">
        <v>1</v>
      </c>
      <c r="ED959">
        <v>0</v>
      </c>
      <c r="EE959">
        <v>1</v>
      </c>
      <c r="EF959">
        <v>1</v>
      </c>
      <c r="EG959">
        <v>1</v>
      </c>
      <c r="EH959">
        <v>0</v>
      </c>
      <c r="EI959" s="2">
        <v>0</v>
      </c>
      <c r="EK959" t="str">
        <f t="shared" si="176"/>
        <v>Whole sector</v>
      </c>
      <c r="EL959" t="str">
        <f t="shared" si="177"/>
        <v/>
      </c>
      <c r="EM959" s="2" t="str">
        <f t="shared" si="197"/>
        <v/>
      </c>
      <c r="EP959" t="str">
        <f>IF(ISNUMBER(BU959),IF(ABS(BU959-[2]QC_indicators!$B$2)&gt;3*[2]QC_indicators!$C$2,"C ratio",IF(ISNUMBER(BY959),IF(ABS(BY959-[2]QC_indicators!$B$1)&gt;3*[2]QC_indicators!$C$1,"DF","no"))),IF(ISNUMBER(BY959),IF(ABS(BY959-[2]QC_indicators!$B$1)&gt;3*[2]QC_indicators!$C$1,"DF","no")))</f>
        <v>no</v>
      </c>
      <c r="EQ959" t="s">
        <v>287</v>
      </c>
      <c r="ET959" s="266" t="s">
        <v>3275</v>
      </c>
    </row>
    <row r="960" spans="1:150" ht="15" hidden="1" customHeight="1">
      <c r="A960" s="1" t="s">
        <v>266</v>
      </c>
      <c r="B960" t="s">
        <v>267</v>
      </c>
      <c r="C960" t="s">
        <v>268</v>
      </c>
      <c r="D960" t="s">
        <v>269</v>
      </c>
      <c r="E960" t="s">
        <v>270</v>
      </c>
      <c r="F960" t="s">
        <v>271</v>
      </c>
      <c r="G960" t="s">
        <v>272</v>
      </c>
      <c r="H960" t="s">
        <v>255</v>
      </c>
      <c r="I960">
        <v>2022</v>
      </c>
      <c r="J960">
        <v>0</v>
      </c>
      <c r="K960" t="s">
        <v>273</v>
      </c>
      <c r="M960" t="str">
        <f t="shared" si="201"/>
        <v>Aryapratama_2022</v>
      </c>
      <c r="N960" t="s">
        <v>223</v>
      </c>
      <c r="O960" s="145" t="s">
        <v>275</v>
      </c>
      <c r="Q960" t="s">
        <v>225</v>
      </c>
      <c r="R960" s="264" t="s">
        <v>224</v>
      </c>
      <c r="S960" s="265" t="s">
        <v>3107</v>
      </c>
      <c r="T960" t="s">
        <v>314</v>
      </c>
      <c r="U960" t="s">
        <v>284</v>
      </c>
      <c r="V960">
        <v>0</v>
      </c>
      <c r="W960">
        <v>0</v>
      </c>
      <c r="X960">
        <v>0</v>
      </c>
      <c r="Y960">
        <v>0</v>
      </c>
      <c r="Z960">
        <v>0</v>
      </c>
      <c r="AA960">
        <v>0</v>
      </c>
      <c r="AB960">
        <v>0</v>
      </c>
      <c r="AC960">
        <v>0</v>
      </c>
      <c r="AD960">
        <v>0</v>
      </c>
      <c r="AE960">
        <v>0</v>
      </c>
      <c r="AF960">
        <v>0</v>
      </c>
      <c r="AG960">
        <v>0</v>
      </c>
      <c r="AH960">
        <v>0</v>
      </c>
      <c r="AI960">
        <v>0</v>
      </c>
      <c r="AJ960">
        <v>0</v>
      </c>
      <c r="AK960">
        <v>1</v>
      </c>
      <c r="AL960">
        <v>0</v>
      </c>
      <c r="AM960">
        <v>0</v>
      </c>
      <c r="AN960">
        <v>0</v>
      </c>
      <c r="AO960">
        <v>0</v>
      </c>
      <c r="AP960">
        <v>0</v>
      </c>
      <c r="AQ960">
        <v>0</v>
      </c>
      <c r="AR960">
        <v>0</v>
      </c>
      <c r="AS960">
        <v>0</v>
      </c>
      <c r="AT960">
        <v>0</v>
      </c>
      <c r="AU960">
        <v>0</v>
      </c>
      <c r="AV960">
        <v>0</v>
      </c>
      <c r="AW960">
        <v>0</v>
      </c>
      <c r="AX960" s="141">
        <f t="shared" si="213"/>
        <v>1</v>
      </c>
      <c r="AY960" s="141">
        <f t="shared" si="188"/>
        <v>1</v>
      </c>
      <c r="AZ960">
        <f t="shared" si="189"/>
        <v>0</v>
      </c>
      <c r="BA960">
        <f t="shared" si="190"/>
        <v>0</v>
      </c>
      <c r="BB960">
        <f t="shared" si="191"/>
        <v>1</v>
      </c>
      <c r="BC960">
        <f t="shared" si="192"/>
        <v>0</v>
      </c>
      <c r="BD960">
        <f t="shared" si="193"/>
        <v>0</v>
      </c>
      <c r="BE960" t="str">
        <f t="array" ref="BE960">IF(AY960=1,INDEX($V$7:$AL$7,MATCH(TRUE,INDEX($V960:$AW960&lt;&gt;0,),0)),IF(AY960=0,INDEX($AM$7:$AW$7,MATCH(1,$AM960:$AW960,0)),IF(BF960="Multiple strategies","mixed drivers",IF(BF960="Supply chain","multiple supply","multiple silviculture"))))</f>
        <v>technologies/design switch</v>
      </c>
      <c r="BF960" s="2" t="str" cm="1">
        <f t="array" ref="BF960">IF(COUNTIF(AZ960:BB960,"&lt;&gt;0")=1,INDEX($V$4:$AW$4,MATCH(TRUE,INDEX($V960:$AW960&lt;&gt;0,),0)),IF(COUNTIF(AZ960:BB960,"&lt;&gt;0")=0,INDEX($AM$4:$AW$4,MATCH(1,$AM960:$AW960,0)),"Multiple strategies"))</f>
        <v>Technology</v>
      </c>
      <c r="BG960" s="1" t="s">
        <v>230</v>
      </c>
      <c r="BH960" t="s">
        <v>278</v>
      </c>
      <c r="BI960" s="266" t="s">
        <v>3108</v>
      </c>
      <c r="BJ960" t="s">
        <v>279</v>
      </c>
      <c r="BK960">
        <v>0</v>
      </c>
      <c r="BL960">
        <v>34.69360784543791</v>
      </c>
      <c r="BN960">
        <f t="shared" si="171"/>
        <v>34.69360784543791</v>
      </c>
      <c r="BO960">
        <f t="shared" si="206"/>
        <v>150.6452793983409</v>
      </c>
      <c r="BP960" t="s">
        <v>233</v>
      </c>
      <c r="BQ960" s="153" t="s">
        <v>3109</v>
      </c>
      <c r="BR960" t="s">
        <v>280</v>
      </c>
      <c r="BS960">
        <v>337.64037255698202</v>
      </c>
      <c r="BT960">
        <v>739.24076084648095</v>
      </c>
      <c r="BU960" s="144">
        <f t="shared" si="205"/>
        <v>2.1894323692636095</v>
      </c>
      <c r="BV960">
        <f t="shared" si="200"/>
        <v>401.60038828949894</v>
      </c>
      <c r="BX960">
        <f t="shared" si="207"/>
        <v>401.60038828949894</v>
      </c>
      <c r="BY960">
        <f t="shared" si="194"/>
        <v>2.6658677251185203</v>
      </c>
      <c r="BZ960">
        <v>0</v>
      </c>
      <c r="CA960">
        <v>0</v>
      </c>
      <c r="CB960">
        <v>0</v>
      </c>
      <c r="CC960">
        <v>0</v>
      </c>
      <c r="CD960">
        <v>0</v>
      </c>
      <c r="CE960">
        <v>0</v>
      </c>
      <c r="CF960">
        <v>0</v>
      </c>
      <c r="CG960">
        <v>0</v>
      </c>
      <c r="CH960">
        <v>0</v>
      </c>
      <c r="CI960">
        <v>0</v>
      </c>
      <c r="CJ960">
        <v>0</v>
      </c>
      <c r="CK960">
        <v>0</v>
      </c>
      <c r="CL960">
        <v>0</v>
      </c>
      <c r="CM960">
        <v>0</v>
      </c>
      <c r="CN960" t="str">
        <f t="shared" si="199"/>
        <v>refOK</v>
      </c>
      <c r="CO960">
        <f>IF($CN960="refOK",$BK960,$BL960)</f>
        <v>0</v>
      </c>
      <c r="CP960">
        <f>IF($CN960="refOK",$BL960,$BK960)</f>
        <v>34.69360784543791</v>
      </c>
      <c r="CQ960">
        <f t="shared" si="170"/>
        <v>150.6452793983409</v>
      </c>
      <c r="CR960">
        <f t="shared" si="210"/>
        <v>337.64037255698202</v>
      </c>
      <c r="CS960">
        <f t="shared" si="211"/>
        <v>739.24076084648095</v>
      </c>
      <c r="CT960">
        <f t="shared" si="214"/>
        <v>401.60038828949894</v>
      </c>
      <c r="CU960">
        <f t="shared" si="204"/>
        <v>2.6658677251185203</v>
      </c>
      <c r="CV960" s="2">
        <f t="shared" si="215"/>
        <v>1.1894323692636095</v>
      </c>
      <c r="CW960" s="1" t="s">
        <v>235</v>
      </c>
      <c r="CX960" t="str">
        <f t="shared" si="195"/>
        <v>loc</v>
      </c>
      <c r="CY960" t="s">
        <v>281</v>
      </c>
      <c r="DB960">
        <v>200</v>
      </c>
      <c r="DC960" t="str">
        <f t="shared" si="196"/>
        <v>+100</v>
      </c>
      <c r="DD960">
        <v>0</v>
      </c>
      <c r="DE960">
        <v>0</v>
      </c>
      <c r="DF960">
        <v>0</v>
      </c>
      <c r="DG960">
        <v>1</v>
      </c>
      <c r="DI960">
        <f t="shared" si="202"/>
        <v>1</v>
      </c>
      <c r="DJ960" t="str">
        <f t="shared" si="203"/>
        <v>TimberInput</v>
      </c>
      <c r="DK960">
        <f t="shared" si="172"/>
        <v>0</v>
      </c>
      <c r="DL960">
        <f t="shared" si="173"/>
        <v>0</v>
      </c>
      <c r="DM960">
        <f t="shared" si="174"/>
        <v>0</v>
      </c>
      <c r="DN960" t="str">
        <f t="shared" si="175"/>
        <v>Timber</v>
      </c>
      <c r="DO960">
        <v>0</v>
      </c>
      <c r="DP960">
        <v>1</v>
      </c>
      <c r="DQ960">
        <v>0</v>
      </c>
      <c r="DR960" t="s">
        <v>282</v>
      </c>
      <c r="DS960">
        <v>0</v>
      </c>
      <c r="DT960">
        <f t="shared" si="212"/>
        <v>1</v>
      </c>
      <c r="DU960" s="143" t="str">
        <f t="shared" si="198"/>
        <v>external DF used</v>
      </c>
      <c r="DV960">
        <v>0</v>
      </c>
      <c r="DW960">
        <v>1</v>
      </c>
      <c r="DX960">
        <v>1</v>
      </c>
      <c r="DY960">
        <v>1</v>
      </c>
      <c r="DZ960">
        <v>1</v>
      </c>
      <c r="EA960" s="143">
        <v>0</v>
      </c>
      <c r="EB960">
        <v>1</v>
      </c>
      <c r="EC960">
        <v>1</v>
      </c>
      <c r="ED960">
        <v>0</v>
      </c>
      <c r="EE960">
        <v>1</v>
      </c>
      <c r="EF960">
        <v>1</v>
      </c>
      <c r="EG960">
        <v>1</v>
      </c>
      <c r="EH960">
        <v>0</v>
      </c>
      <c r="EI960" s="2">
        <v>0</v>
      </c>
      <c r="EK960" t="str">
        <f t="shared" si="176"/>
        <v>Whole sector</v>
      </c>
      <c r="EL960" t="str">
        <f t="shared" si="177"/>
        <v/>
      </c>
      <c r="EM960" s="2" t="str">
        <f t="shared" si="197"/>
        <v/>
      </c>
      <c r="EP960" t="str">
        <f>IF(ISNUMBER(BU960),IF(ABS(BU960-[2]QC_indicators!$B$2)&gt;3*[2]QC_indicators!$C$2,"C ratio",IF(ISNUMBER(BY960),IF(ABS(BY960-[2]QC_indicators!$B$1)&gt;3*[2]QC_indicators!$C$1,"DF","no"))),IF(ISNUMBER(BY960),IF(ABS(BY960-[2]QC_indicators!$B$1)&gt;3*[2]QC_indicators!$C$1,"DF","no")))</f>
        <v>no</v>
      </c>
      <c r="EQ960" t="s">
        <v>287</v>
      </c>
      <c r="ET960" s="266" t="s">
        <v>3275</v>
      </c>
    </row>
    <row r="961" spans="1:150" ht="15" hidden="1" customHeight="1">
      <c r="A961" s="1" t="s">
        <v>266</v>
      </c>
      <c r="B961" t="s">
        <v>1533</v>
      </c>
      <c r="C961" t="s">
        <v>1534</v>
      </c>
      <c r="D961" t="s">
        <v>1535</v>
      </c>
      <c r="E961" t="s">
        <v>1536</v>
      </c>
      <c r="F961" t="s">
        <v>1537</v>
      </c>
      <c r="G961" t="s">
        <v>272</v>
      </c>
      <c r="H961" t="s">
        <v>255</v>
      </c>
      <c r="I961">
        <v>2019</v>
      </c>
      <c r="J961">
        <v>26</v>
      </c>
      <c r="K961" t="s">
        <v>1538</v>
      </c>
      <c r="M961" t="str">
        <f t="shared" si="201"/>
        <v>Faraca_2019</v>
      </c>
      <c r="N961" t="s">
        <v>223</v>
      </c>
      <c r="O961" s="145" t="s">
        <v>275</v>
      </c>
      <c r="P961" s="180" t="s">
        <v>224</v>
      </c>
      <c r="Q961" t="s">
        <v>257</v>
      </c>
      <c r="R961" s="264" t="s">
        <v>224</v>
      </c>
      <c r="S961" s="1" t="s">
        <v>1539</v>
      </c>
      <c r="T961" t="s">
        <v>1540</v>
      </c>
      <c r="U961" t="s">
        <v>971</v>
      </c>
      <c r="V961">
        <v>0</v>
      </c>
      <c r="W961">
        <v>0</v>
      </c>
      <c r="X961">
        <v>0</v>
      </c>
      <c r="Y961">
        <v>0</v>
      </c>
      <c r="Z961">
        <v>0</v>
      </c>
      <c r="AA961">
        <v>0</v>
      </c>
      <c r="AB961">
        <v>0</v>
      </c>
      <c r="AC961">
        <v>0</v>
      </c>
      <c r="AD961">
        <v>0</v>
      </c>
      <c r="AE961">
        <v>0</v>
      </c>
      <c r="AF961">
        <v>0</v>
      </c>
      <c r="AG961">
        <v>0</v>
      </c>
      <c r="AH961">
        <v>0</v>
      </c>
      <c r="AI961">
        <v>0</v>
      </c>
      <c r="AJ961">
        <v>1</v>
      </c>
      <c r="AK961">
        <v>0</v>
      </c>
      <c r="AL961">
        <v>0</v>
      </c>
      <c r="AM961">
        <v>0</v>
      </c>
      <c r="AN961">
        <v>0</v>
      </c>
      <c r="AO961">
        <v>0</v>
      </c>
      <c r="AP961">
        <v>0</v>
      </c>
      <c r="AQ961">
        <v>0</v>
      </c>
      <c r="AR961">
        <v>0</v>
      </c>
      <c r="AS961">
        <v>0</v>
      </c>
      <c r="AT961">
        <v>0</v>
      </c>
      <c r="AU961">
        <v>0</v>
      </c>
      <c r="AV961">
        <v>0</v>
      </c>
      <c r="AW961">
        <v>0</v>
      </c>
      <c r="AX961" s="141">
        <f t="shared" si="213"/>
        <v>1</v>
      </c>
      <c r="AY961" s="141">
        <f t="shared" si="188"/>
        <v>1</v>
      </c>
      <c r="AZ961">
        <f t="shared" si="189"/>
        <v>0</v>
      </c>
      <c r="BA961">
        <f t="shared" si="190"/>
        <v>0</v>
      </c>
      <c r="BB961">
        <f t="shared" si="191"/>
        <v>1</v>
      </c>
      <c r="BC961">
        <f t="shared" si="192"/>
        <v>0</v>
      </c>
      <c r="BD961">
        <f t="shared" si="193"/>
        <v>0</v>
      </c>
      <c r="BE961" t="str">
        <f t="array" ref="BE961">IF(AY961=1,INDEX($V$7:$AL$7,MATCH(TRUE,INDEX($V961:$AW961&lt;&gt;0,),0)),IF(AY961=0,INDEX($AM$7:$AW$7,MATCH(1,$AM961:$AW961,0)),IF(BF961="Multiple strategies","mixed drivers",IF(BF961="Supply chain","multiple supply","multiple silviculture"))))</f>
        <v>efficiency improvement</v>
      </c>
      <c r="BF961" s="2" t="str" cm="1">
        <f t="array" ref="BF961">IF(COUNTIF(AZ961:BB961,"&lt;&gt;0")=1,INDEX($V$4:$AW$4,MATCH(TRUE,INDEX($V961:$AW961&lt;&gt;0,),0)),IF(COUNTIF(AZ961:BB961,"&lt;&gt;0")=0,INDEX($AM$4:$AW$4,MATCH(1,$AM961:$AW961,0)),"Multiple strategies"))</f>
        <v>Technology</v>
      </c>
      <c r="BG961" s="1" t="s">
        <v>230</v>
      </c>
      <c r="BH961" t="s">
        <v>1550</v>
      </c>
      <c r="BI961" s="266" t="s">
        <v>3123</v>
      </c>
      <c r="BJ961" t="s">
        <v>346</v>
      </c>
      <c r="BK961">
        <v>562</v>
      </c>
      <c r="BL961">
        <v>562</v>
      </c>
      <c r="BM961">
        <v>1</v>
      </c>
      <c r="BN961">
        <f t="shared" si="171"/>
        <v>0</v>
      </c>
      <c r="BO961">
        <f t="shared" ref="BO961:BO981" si="216">BN961*kg_to_m3</f>
        <v>0</v>
      </c>
      <c r="BP961" s="266" t="s">
        <v>396</v>
      </c>
      <c r="BQ961" t="s">
        <v>427</v>
      </c>
      <c r="BR961" t="s">
        <v>730</v>
      </c>
      <c r="BS961">
        <v>-16.899999999999999</v>
      </c>
      <c r="BT961">
        <v>-84.7</v>
      </c>
      <c r="BU961" s="144"/>
      <c r="BV961">
        <f t="shared" si="200"/>
        <v>-67.800000000000011</v>
      </c>
      <c r="BX961">
        <f t="shared" ref="BX961:BX981" si="217">BV961/1000</f>
        <v>-6.7800000000000013E-2</v>
      </c>
      <c r="BY961" t="str">
        <f t="shared" si="194"/>
        <v/>
      </c>
      <c r="BZ961">
        <v>0</v>
      </c>
      <c r="CA961">
        <v>0</v>
      </c>
      <c r="CB961">
        <v>0</v>
      </c>
      <c r="CC961">
        <v>0</v>
      </c>
      <c r="CD961">
        <v>0</v>
      </c>
      <c r="CE961">
        <v>0</v>
      </c>
      <c r="CF961">
        <v>0</v>
      </c>
      <c r="CG961">
        <v>0</v>
      </c>
      <c r="CH961">
        <v>0</v>
      </c>
      <c r="CI961">
        <v>0</v>
      </c>
      <c r="CJ961">
        <v>0</v>
      </c>
      <c r="CK961">
        <v>0</v>
      </c>
      <c r="CL961">
        <v>0</v>
      </c>
      <c r="CM961">
        <v>0</v>
      </c>
      <c r="CN961" t="str">
        <f t="shared" si="199"/>
        <v>refOK</v>
      </c>
      <c r="CO961">
        <f t="shared" ref="CO961:CO981" si="218">IF($CN961="refNeedCorrection",BL961,BK961)</f>
        <v>562</v>
      </c>
      <c r="CP961">
        <f t="shared" ref="CP961:CP981" si="219">IF($CN961="refNeedCorrection",BK961,BL961)</f>
        <v>562</v>
      </c>
      <c r="CQ961">
        <f t="shared" si="170"/>
        <v>0</v>
      </c>
      <c r="CR961">
        <f t="shared" si="210"/>
        <v>16.899999999999999</v>
      </c>
      <c r="CS961">
        <f>IF($CN961="refOK",$BS961,#REF!)*IF($BP961="Emissions positive",-1,1)</f>
        <v>16.899999999999999</v>
      </c>
      <c r="CT961">
        <f t="shared" si="214"/>
        <v>6.7800000000000013E-2</v>
      </c>
      <c r="CU961" t="str">
        <f t="shared" si="204"/>
        <v/>
      </c>
      <c r="CV961" s="2">
        <f t="shared" si="215"/>
        <v>0</v>
      </c>
      <c r="CW961" s="1" t="s">
        <v>1201</v>
      </c>
      <c r="CX961" t="str">
        <f t="shared" si="195"/>
        <v>reg</v>
      </c>
      <c r="CY961" t="s">
        <v>1542</v>
      </c>
      <c r="DB961">
        <v>500</v>
      </c>
      <c r="DC961" t="str">
        <f t="shared" si="196"/>
        <v>+100</v>
      </c>
      <c r="DD961">
        <v>0</v>
      </c>
      <c r="DE961">
        <v>0</v>
      </c>
      <c r="DF961">
        <v>0</v>
      </c>
      <c r="DG961">
        <v>1</v>
      </c>
      <c r="DI961">
        <f t="shared" si="202"/>
        <v>1</v>
      </c>
      <c r="DJ961" t="str">
        <f t="shared" si="203"/>
        <v>TimberInput</v>
      </c>
      <c r="DK961">
        <f t="shared" si="172"/>
        <v>0</v>
      </c>
      <c r="DL961">
        <f t="shared" si="173"/>
        <v>0</v>
      </c>
      <c r="DM961">
        <f t="shared" si="174"/>
        <v>0</v>
      </c>
      <c r="DN961" t="str">
        <f t="shared" si="175"/>
        <v>Timber</v>
      </c>
      <c r="DO961">
        <v>0</v>
      </c>
      <c r="DP961">
        <v>0</v>
      </c>
      <c r="DQ961">
        <v>0</v>
      </c>
      <c r="DR961">
        <v>0</v>
      </c>
      <c r="DS961">
        <v>0</v>
      </c>
      <c r="DT961">
        <f t="shared" si="212"/>
        <v>0</v>
      </c>
      <c r="DU961" s="143" t="str">
        <f t="shared" si="198"/>
        <v>explicit C balance</v>
      </c>
      <c r="DV961">
        <v>0</v>
      </c>
      <c r="DW961">
        <v>0</v>
      </c>
      <c r="DX961">
        <v>0</v>
      </c>
      <c r="DY961">
        <v>0</v>
      </c>
      <c r="DZ961">
        <v>1</v>
      </c>
      <c r="EA961" s="143">
        <v>1</v>
      </c>
      <c r="EB961">
        <v>0</v>
      </c>
      <c r="EC961">
        <v>1</v>
      </c>
      <c r="ED961">
        <v>0</v>
      </c>
      <c r="EE961">
        <v>1</v>
      </c>
      <c r="EF961">
        <v>1</v>
      </c>
      <c r="EG961">
        <v>1</v>
      </c>
      <c r="EH961">
        <v>0</v>
      </c>
      <c r="EI961" s="2">
        <v>0</v>
      </c>
      <c r="EK961" t="str">
        <f t="shared" si="176"/>
        <v/>
      </c>
      <c r="EL961" t="str">
        <f t="shared" si="177"/>
        <v/>
      </c>
      <c r="EM961" s="2" t="str">
        <f t="shared" si="197"/>
        <v>Technology approach</v>
      </c>
      <c r="EP961" t="b">
        <f>IF(ISNUMBER(BU961),IF(ABS(BU961-[2]QC_indicators!$B$2)&gt;3*[2]QC_indicators!$C$2,"C ratio",IF(ISNUMBER(BY961),IF(ABS(BY961-[2]QC_indicators!$B$1)&gt;3*[2]QC_indicators!$C$1,"DF","no"))),IF(ISNUMBER(BY961),IF(ABS(BY961-[2]QC_indicators!$B$1)&gt;3*[2]QC_indicators!$C$1,"DF","no")))</f>
        <v>0</v>
      </c>
      <c r="ET961" s="266" t="s">
        <v>3275</v>
      </c>
    </row>
    <row r="962" spans="1:150" ht="15" hidden="1" customHeight="1">
      <c r="A962" s="1" t="s">
        <v>266</v>
      </c>
      <c r="B962" t="s">
        <v>1533</v>
      </c>
      <c r="C962" t="s">
        <v>1534</v>
      </c>
      <c r="D962" t="s">
        <v>1535</v>
      </c>
      <c r="E962" t="s">
        <v>1536</v>
      </c>
      <c r="F962" t="s">
        <v>1537</v>
      </c>
      <c r="G962" t="s">
        <v>272</v>
      </c>
      <c r="H962" t="s">
        <v>255</v>
      </c>
      <c r="I962">
        <v>2019</v>
      </c>
      <c r="J962">
        <v>26</v>
      </c>
      <c r="K962" t="s">
        <v>1538</v>
      </c>
      <c r="M962" t="str">
        <f t="shared" si="201"/>
        <v>Faraca_2019</v>
      </c>
      <c r="N962" t="s">
        <v>223</v>
      </c>
      <c r="O962" s="145" t="s">
        <v>275</v>
      </c>
      <c r="P962" s="180" t="s">
        <v>224</v>
      </c>
      <c r="Q962" t="s">
        <v>257</v>
      </c>
      <c r="R962" s="264" t="s">
        <v>224</v>
      </c>
      <c r="S962" s="1" t="s">
        <v>1539</v>
      </c>
      <c r="T962" t="s">
        <v>1540</v>
      </c>
      <c r="U962" t="s">
        <v>971</v>
      </c>
      <c r="V962">
        <v>0</v>
      </c>
      <c r="W962">
        <v>0</v>
      </c>
      <c r="X962">
        <v>0</v>
      </c>
      <c r="Y962">
        <v>0</v>
      </c>
      <c r="Z962">
        <v>0</v>
      </c>
      <c r="AA962">
        <v>0</v>
      </c>
      <c r="AB962">
        <v>0</v>
      </c>
      <c r="AC962">
        <v>0</v>
      </c>
      <c r="AD962">
        <v>0</v>
      </c>
      <c r="AE962">
        <v>0</v>
      </c>
      <c r="AF962">
        <v>0</v>
      </c>
      <c r="AG962">
        <v>0</v>
      </c>
      <c r="AH962">
        <v>0</v>
      </c>
      <c r="AI962">
        <v>0</v>
      </c>
      <c r="AJ962">
        <v>1</v>
      </c>
      <c r="AK962">
        <v>0</v>
      </c>
      <c r="AL962">
        <v>0</v>
      </c>
      <c r="AM962">
        <v>0</v>
      </c>
      <c r="AN962">
        <v>0</v>
      </c>
      <c r="AO962">
        <v>0</v>
      </c>
      <c r="AP962">
        <v>0</v>
      </c>
      <c r="AQ962">
        <v>0</v>
      </c>
      <c r="AR962">
        <v>0</v>
      </c>
      <c r="AS962">
        <v>0</v>
      </c>
      <c r="AT962">
        <v>0</v>
      </c>
      <c r="AU962">
        <v>0</v>
      </c>
      <c r="AV962">
        <v>0</v>
      </c>
      <c r="AW962">
        <v>0</v>
      </c>
      <c r="AX962" s="141">
        <f t="shared" si="213"/>
        <v>1</v>
      </c>
      <c r="AY962" s="141">
        <f t="shared" si="188"/>
        <v>1</v>
      </c>
      <c r="AZ962">
        <f t="shared" si="189"/>
        <v>0</v>
      </c>
      <c r="BA962">
        <f t="shared" si="190"/>
        <v>0</v>
      </c>
      <c r="BB962">
        <f t="shared" si="191"/>
        <v>1</v>
      </c>
      <c r="BC962">
        <f t="shared" si="192"/>
        <v>0</v>
      </c>
      <c r="BD962">
        <f t="shared" si="193"/>
        <v>0</v>
      </c>
      <c r="BE962" t="str">
        <f t="array" ref="BE962">IF(AY962=1,INDEX($V$7:$AL$7,MATCH(TRUE,INDEX($V962:$AW962&lt;&gt;0,),0)),IF(AY962=0,INDEX($AM$7:$AW$7,MATCH(1,$AM962:$AW962,0)),IF(BF962="Multiple strategies","mixed drivers",IF(BF962="Supply chain","multiple supply","multiple silviculture"))))</f>
        <v>efficiency improvement</v>
      </c>
      <c r="BF962" s="2" t="str" cm="1">
        <f t="array" ref="BF962">IF(COUNTIF(AZ962:BB962,"&lt;&gt;0")=1,INDEX($V$4:$AW$4,MATCH(TRUE,INDEX($V962:$AW962&lt;&gt;0,),0)),IF(COUNTIF(AZ962:BB962,"&lt;&gt;0")=0,INDEX($AM$4:$AW$4,MATCH(1,$AM962:$AW962,0)),"Multiple strategies"))</f>
        <v>Technology</v>
      </c>
      <c r="BG962" s="1" t="s">
        <v>230</v>
      </c>
      <c r="BH962" t="s">
        <v>1550</v>
      </c>
      <c r="BI962" s="266" t="s">
        <v>3123</v>
      </c>
      <c r="BJ962" t="s">
        <v>346</v>
      </c>
      <c r="BK962">
        <v>562</v>
      </c>
      <c r="BL962">
        <v>562</v>
      </c>
      <c r="BM962">
        <v>1</v>
      </c>
      <c r="BN962">
        <f t="shared" si="171"/>
        <v>0</v>
      </c>
      <c r="BO962">
        <f t="shared" si="216"/>
        <v>0</v>
      </c>
      <c r="BP962" s="266" t="s">
        <v>396</v>
      </c>
      <c r="BR962" t="s">
        <v>730</v>
      </c>
      <c r="BS962">
        <v>-462.1</v>
      </c>
      <c r="BT962">
        <v>-589.70000000000005</v>
      </c>
      <c r="BU962" s="144">
        <v>1</v>
      </c>
      <c r="BV962">
        <f t="shared" si="200"/>
        <v>-127.60000000000002</v>
      </c>
      <c r="BX962">
        <f t="shared" si="217"/>
        <v>-0.12760000000000002</v>
      </c>
      <c r="BY962" t="str">
        <f t="shared" si="194"/>
        <v/>
      </c>
      <c r="BZ962">
        <v>0</v>
      </c>
      <c r="CA962">
        <v>0</v>
      </c>
      <c r="CB962">
        <v>0</v>
      </c>
      <c r="CC962">
        <v>0</v>
      </c>
      <c r="CD962">
        <v>0</v>
      </c>
      <c r="CE962">
        <v>0</v>
      </c>
      <c r="CF962">
        <v>0</v>
      </c>
      <c r="CG962">
        <v>0</v>
      </c>
      <c r="CH962">
        <v>0</v>
      </c>
      <c r="CI962">
        <v>0</v>
      </c>
      <c r="CJ962">
        <v>0</v>
      </c>
      <c r="CK962">
        <v>0</v>
      </c>
      <c r="CL962">
        <v>0</v>
      </c>
      <c r="CM962">
        <v>0</v>
      </c>
      <c r="CN962" t="str">
        <f t="shared" si="199"/>
        <v>refOK</v>
      </c>
      <c r="CO962">
        <f t="shared" si="218"/>
        <v>562</v>
      </c>
      <c r="CP962">
        <f t="shared" si="219"/>
        <v>562</v>
      </c>
      <c r="CQ962">
        <f t="shared" si="170"/>
        <v>0</v>
      </c>
      <c r="CR962">
        <f t="shared" si="210"/>
        <v>462.1</v>
      </c>
      <c r="CS962">
        <f t="shared" ref="CS962:CS993" si="220">IF($CN962="refOK",$BT962,$BS962)*IF($BP962="Emissions positive",-1,1)</f>
        <v>589.70000000000005</v>
      </c>
      <c r="CT962">
        <f t="shared" si="214"/>
        <v>0.12760000000000002</v>
      </c>
      <c r="CU962" t="str">
        <f t="shared" si="204"/>
        <v/>
      </c>
      <c r="CV962" s="2">
        <f t="shared" si="215"/>
        <v>0.27613070763903919</v>
      </c>
      <c r="CW962" s="1" t="s">
        <v>1201</v>
      </c>
      <c r="CX962" t="str">
        <f t="shared" si="195"/>
        <v>reg</v>
      </c>
      <c r="CY962" t="s">
        <v>1542</v>
      </c>
      <c r="DB962">
        <v>500</v>
      </c>
      <c r="DC962" t="str">
        <f t="shared" si="196"/>
        <v>+100</v>
      </c>
      <c r="DD962">
        <v>0</v>
      </c>
      <c r="DE962">
        <v>0</v>
      </c>
      <c r="DF962">
        <v>0</v>
      </c>
      <c r="DG962">
        <v>1</v>
      </c>
      <c r="DI962">
        <f t="shared" si="202"/>
        <v>1</v>
      </c>
      <c r="DJ962" t="str">
        <f t="shared" si="203"/>
        <v>TimberInput</v>
      </c>
      <c r="DK962">
        <f t="shared" si="172"/>
        <v>0</v>
      </c>
      <c r="DL962">
        <f t="shared" si="173"/>
        <v>0</v>
      </c>
      <c r="DM962">
        <f t="shared" si="174"/>
        <v>0</v>
      </c>
      <c r="DN962" t="str">
        <f t="shared" si="175"/>
        <v>Timber</v>
      </c>
      <c r="DO962">
        <v>0</v>
      </c>
      <c r="DP962">
        <v>1</v>
      </c>
      <c r="DQ962">
        <v>0</v>
      </c>
      <c r="DR962">
        <v>0</v>
      </c>
      <c r="DS962" t="s">
        <v>1543</v>
      </c>
      <c r="DT962">
        <f t="shared" si="212"/>
        <v>1</v>
      </c>
      <c r="DU962" s="143" t="str">
        <f t="shared" si="198"/>
        <v>external DF used</v>
      </c>
      <c r="DV962">
        <v>0</v>
      </c>
      <c r="DW962">
        <v>0</v>
      </c>
      <c r="DX962">
        <v>0</v>
      </c>
      <c r="DY962">
        <v>0</v>
      </c>
      <c r="DZ962">
        <v>1</v>
      </c>
      <c r="EA962" s="143">
        <v>1</v>
      </c>
      <c r="EB962">
        <v>0</v>
      </c>
      <c r="EC962">
        <v>1</v>
      </c>
      <c r="ED962">
        <v>0</v>
      </c>
      <c r="EE962">
        <v>1</v>
      </c>
      <c r="EF962">
        <v>1</v>
      </c>
      <c r="EG962">
        <v>1</v>
      </c>
      <c r="EH962">
        <v>1</v>
      </c>
      <c r="EI962" s="2">
        <v>0</v>
      </c>
      <c r="EK962" t="str">
        <f t="shared" si="176"/>
        <v/>
      </c>
      <c r="EL962" t="str">
        <f t="shared" si="177"/>
        <v/>
      </c>
      <c r="EM962" s="2" t="str">
        <f t="shared" si="197"/>
        <v>Technology approach</v>
      </c>
      <c r="EP962" t="b">
        <f>IF(ISNUMBER(BU962),IF(ABS(BU962-[2]QC_indicators!$B$2)&gt;3*[2]QC_indicators!$C$2,"C ratio",IF(ISNUMBER(BY962),IF(ABS(BY962-[2]QC_indicators!$B$1)&gt;3*[2]QC_indicators!$C$1,"DF","no"))),IF(ISNUMBER(BY962),IF(ABS(BY962-[2]QC_indicators!$B$1)&gt;3*[2]QC_indicators!$C$1,"DF","no")))</f>
        <v>0</v>
      </c>
      <c r="ET962" s="266" t="s">
        <v>3275</v>
      </c>
    </row>
    <row r="963" spans="1:150" ht="15" hidden="1" customHeight="1">
      <c r="A963" s="1" t="s">
        <v>334</v>
      </c>
      <c r="B963" t="s">
        <v>335</v>
      </c>
      <c r="C963" t="s">
        <v>336</v>
      </c>
      <c r="D963" t="s">
        <v>337</v>
      </c>
      <c r="E963" t="s">
        <v>338</v>
      </c>
      <c r="F963" t="s">
        <v>339</v>
      </c>
      <c r="G963" t="s">
        <v>340</v>
      </c>
      <c r="I963">
        <v>2017</v>
      </c>
      <c r="K963" t="s">
        <v>341</v>
      </c>
      <c r="M963" t="str">
        <f t="shared" si="201"/>
        <v>Balasbaneh_2017</v>
      </c>
      <c r="N963" t="s">
        <v>223</v>
      </c>
      <c r="O963" s="140" t="s">
        <v>342</v>
      </c>
      <c r="Q963" t="s">
        <v>225</v>
      </c>
      <c r="R963" s="264" t="s">
        <v>224</v>
      </c>
      <c r="S963" s="1" t="s">
        <v>376</v>
      </c>
      <c r="T963" t="s">
        <v>372</v>
      </c>
      <c r="U963" t="s">
        <v>358</v>
      </c>
      <c r="V963">
        <v>0</v>
      </c>
      <c r="W963">
        <v>0</v>
      </c>
      <c r="X963">
        <v>0</v>
      </c>
      <c r="Y963">
        <v>0</v>
      </c>
      <c r="Z963">
        <v>0</v>
      </c>
      <c r="AA963">
        <v>0</v>
      </c>
      <c r="AB963">
        <v>0</v>
      </c>
      <c r="AC963">
        <v>0</v>
      </c>
      <c r="AD963">
        <v>0</v>
      </c>
      <c r="AE963">
        <v>0</v>
      </c>
      <c r="AF963">
        <v>0</v>
      </c>
      <c r="AG963">
        <v>0</v>
      </c>
      <c r="AH963">
        <v>0</v>
      </c>
      <c r="AI963">
        <v>0</v>
      </c>
      <c r="AJ963">
        <v>0</v>
      </c>
      <c r="AK963">
        <v>1</v>
      </c>
      <c r="AL963">
        <v>0</v>
      </c>
      <c r="AM963">
        <v>0</v>
      </c>
      <c r="AN963">
        <v>0</v>
      </c>
      <c r="AO963">
        <v>0</v>
      </c>
      <c r="AP963">
        <v>0</v>
      </c>
      <c r="AQ963">
        <v>0</v>
      </c>
      <c r="AR963">
        <v>0</v>
      </c>
      <c r="AS963">
        <v>0</v>
      </c>
      <c r="AT963">
        <v>0</v>
      </c>
      <c r="AU963">
        <v>0</v>
      </c>
      <c r="AV963">
        <v>0</v>
      </c>
      <c r="AW963">
        <v>0</v>
      </c>
      <c r="AX963" s="141">
        <f t="shared" si="213"/>
        <v>1</v>
      </c>
      <c r="AY963" s="141">
        <f t="shared" si="188"/>
        <v>1</v>
      </c>
      <c r="AZ963">
        <f t="shared" si="189"/>
        <v>0</v>
      </c>
      <c r="BA963">
        <f t="shared" si="190"/>
        <v>0</v>
      </c>
      <c r="BB963">
        <f t="shared" si="191"/>
        <v>1</v>
      </c>
      <c r="BC963">
        <f t="shared" si="192"/>
        <v>0</v>
      </c>
      <c r="BD963">
        <f t="shared" si="193"/>
        <v>0</v>
      </c>
      <c r="BE963" t="str">
        <f t="array" ref="BE963">IF(AY963=1,INDEX($V$7:$AL$7,MATCH(TRUE,INDEX($V963:$AW963&lt;&gt;0,),0)),IF(AY963=0,INDEX($AM$7:$AW$7,MATCH(1,$AM963:$AW963,0)),IF(BF963="Multiple strategies","mixed drivers",IF(BF963="Supply chain","multiple supply","multiple silviculture"))))</f>
        <v>technologies/design switch</v>
      </c>
      <c r="BF963" s="2" t="str" cm="1">
        <f t="array" ref="BF963">IF(COUNTIF(AZ963:BB963,"&lt;&gt;0")=1,INDEX($V$4:$AW$4,MATCH(TRUE,INDEX($V963:$AW963&lt;&gt;0,),0)),IF(COUNTIF(AZ963:BB963,"&lt;&gt;0")=0,INDEX($AM$4:$AW$4,MATCH(1,$AM963:$AW963,0)),"Multiple strategies"))</f>
        <v>Technology</v>
      </c>
      <c r="BG963" s="1" t="s">
        <v>230</v>
      </c>
      <c r="BH963" t="s">
        <v>230</v>
      </c>
      <c r="BI963" s="266" t="s">
        <v>411</v>
      </c>
      <c r="BJ963" t="s">
        <v>346</v>
      </c>
      <c r="BK963">
        <v>0</v>
      </c>
      <c r="BL963">
        <v>29276</v>
      </c>
      <c r="BM963" s="143"/>
      <c r="BN963">
        <f t="shared" si="171"/>
        <v>29276</v>
      </c>
      <c r="BO963" s="143">
        <f t="shared" si="216"/>
        <v>59.746938775510209</v>
      </c>
      <c r="BP963" t="s">
        <v>233</v>
      </c>
      <c r="BQ963" s="266" t="s">
        <v>397</v>
      </c>
      <c r="BR963" t="s">
        <v>347</v>
      </c>
      <c r="BS963">
        <v>-32500</v>
      </c>
      <c r="BT963">
        <v>-2080</v>
      </c>
      <c r="BU963" s="144">
        <v>6.4000000000000001E-2</v>
      </c>
      <c r="BV963">
        <f t="shared" si="200"/>
        <v>30420</v>
      </c>
      <c r="BX963">
        <f t="shared" si="217"/>
        <v>30.42</v>
      </c>
      <c r="BY963">
        <f t="shared" si="194"/>
        <v>0.50914742451154527</v>
      </c>
      <c r="BZ963">
        <v>0</v>
      </c>
      <c r="CA963">
        <v>0</v>
      </c>
      <c r="CB963">
        <v>0</v>
      </c>
      <c r="CC963">
        <v>0</v>
      </c>
      <c r="CD963">
        <v>0</v>
      </c>
      <c r="CE963">
        <v>0</v>
      </c>
      <c r="CF963">
        <v>0</v>
      </c>
      <c r="CG963">
        <v>0</v>
      </c>
      <c r="CH963">
        <v>0</v>
      </c>
      <c r="CI963">
        <v>0</v>
      </c>
      <c r="CJ963">
        <v>0</v>
      </c>
      <c r="CK963">
        <v>0</v>
      </c>
      <c r="CL963">
        <v>0</v>
      </c>
      <c r="CM963">
        <v>0</v>
      </c>
      <c r="CN963" t="str">
        <f t="shared" si="199"/>
        <v>refOK</v>
      </c>
      <c r="CO963">
        <f t="shared" si="218"/>
        <v>0</v>
      </c>
      <c r="CP963">
        <f t="shared" si="219"/>
        <v>29276</v>
      </c>
      <c r="CQ963">
        <f t="shared" si="170"/>
        <v>59.746938775510209</v>
      </c>
      <c r="CR963">
        <f t="shared" si="210"/>
        <v>-32500</v>
      </c>
      <c r="CS963">
        <f t="shared" si="220"/>
        <v>-2080</v>
      </c>
      <c r="CT963">
        <f t="shared" si="214"/>
        <v>30.42</v>
      </c>
      <c r="CU963">
        <f t="shared" si="204"/>
        <v>0.50914742451154527</v>
      </c>
      <c r="CV963" s="2">
        <f t="shared" si="215"/>
        <v>0.93600000000000005</v>
      </c>
      <c r="CW963" s="1" t="s">
        <v>348</v>
      </c>
      <c r="CX963" t="str">
        <f t="shared" si="195"/>
        <v>loc</v>
      </c>
      <c r="CY963" t="s">
        <v>349</v>
      </c>
      <c r="CZ963">
        <v>2014</v>
      </c>
      <c r="DA963">
        <v>2514</v>
      </c>
      <c r="DB963">
        <v>500</v>
      </c>
      <c r="DC963" t="str">
        <f t="shared" si="196"/>
        <v>+100</v>
      </c>
      <c r="DD963">
        <v>0</v>
      </c>
      <c r="DE963">
        <v>0</v>
      </c>
      <c r="DF963">
        <v>0</v>
      </c>
      <c r="DG963">
        <v>1</v>
      </c>
      <c r="DI963">
        <f t="shared" si="202"/>
        <v>1</v>
      </c>
      <c r="DJ963" t="str">
        <f t="shared" si="203"/>
        <v>TimberInput</v>
      </c>
      <c r="DK963">
        <f t="shared" si="172"/>
        <v>0</v>
      </c>
      <c r="DL963">
        <f t="shared" si="173"/>
        <v>0</v>
      </c>
      <c r="DM963">
        <f t="shared" si="174"/>
        <v>0</v>
      </c>
      <c r="DN963" t="str">
        <f t="shared" si="175"/>
        <v>Timber</v>
      </c>
      <c r="DO963">
        <v>0</v>
      </c>
      <c r="DP963">
        <v>0</v>
      </c>
      <c r="DQ963">
        <v>0</v>
      </c>
      <c r="DR963">
        <v>0</v>
      </c>
      <c r="DS963">
        <v>0</v>
      </c>
      <c r="DT963">
        <f t="shared" si="212"/>
        <v>0</v>
      </c>
      <c r="DU963" s="143" t="str">
        <f t="shared" si="198"/>
        <v>explicit C balance</v>
      </c>
      <c r="DV963">
        <v>0</v>
      </c>
      <c r="DW963">
        <v>0</v>
      </c>
      <c r="DX963">
        <v>0</v>
      </c>
      <c r="DY963">
        <v>1</v>
      </c>
      <c r="DZ963">
        <v>0</v>
      </c>
      <c r="EA963" s="143">
        <v>1</v>
      </c>
      <c r="EB963">
        <v>0</v>
      </c>
      <c r="EC963">
        <v>1</v>
      </c>
      <c r="ED963">
        <v>1</v>
      </c>
      <c r="EE963">
        <v>1</v>
      </c>
      <c r="EF963">
        <v>0</v>
      </c>
      <c r="EG963">
        <v>0</v>
      </c>
      <c r="EH963">
        <v>0</v>
      </c>
      <c r="EI963" s="2">
        <v>0</v>
      </c>
      <c r="EK963" t="str">
        <f t="shared" si="176"/>
        <v/>
      </c>
      <c r="EL963" t="str">
        <f t="shared" si="177"/>
        <v/>
      </c>
      <c r="EM963" s="2" t="str">
        <f t="shared" si="197"/>
        <v>Technology approach</v>
      </c>
      <c r="EP963" t="str">
        <f>IF(ISNUMBER(BU963),IF(ABS(BU963-[2]QC_indicators!$B$2)&gt;3*[2]QC_indicators!$C$2,"C ratio",IF(ISNUMBER(BY963),IF(ABS(BY963-[2]QC_indicators!$B$1)&gt;3*[2]QC_indicators!$C$1,"DF","no"))),IF(ISNUMBER(BY963),IF(ABS(BY963-[2]QC_indicators!$B$1)&gt;3*[2]QC_indicators!$C$1,"DF","no")))</f>
        <v>no</v>
      </c>
      <c r="ER963" s="149" t="s">
        <v>350</v>
      </c>
      <c r="ET963" s="266" t="s">
        <v>3275</v>
      </c>
    </row>
    <row r="964" spans="1:150" ht="15" hidden="1" customHeight="1">
      <c r="A964" s="1" t="s">
        <v>334</v>
      </c>
      <c r="B964" t="s">
        <v>335</v>
      </c>
      <c r="C964" t="s">
        <v>336</v>
      </c>
      <c r="D964" t="s">
        <v>337</v>
      </c>
      <c r="E964" t="s">
        <v>338</v>
      </c>
      <c r="F964" t="s">
        <v>339</v>
      </c>
      <c r="G964" t="s">
        <v>340</v>
      </c>
      <c r="I964">
        <v>2017</v>
      </c>
      <c r="K964" t="s">
        <v>341</v>
      </c>
      <c r="M964" t="str">
        <f t="shared" si="201"/>
        <v>Balasbaneh_2017</v>
      </c>
      <c r="N964" t="s">
        <v>223</v>
      </c>
      <c r="O964" s="140" t="s">
        <v>342</v>
      </c>
      <c r="Q964" t="s">
        <v>225</v>
      </c>
      <c r="R964" s="264" t="s">
        <v>224</v>
      </c>
      <c r="S964" s="1" t="s">
        <v>375</v>
      </c>
      <c r="T964" t="s">
        <v>372</v>
      </c>
      <c r="U964" t="s">
        <v>358</v>
      </c>
      <c r="V964">
        <v>0</v>
      </c>
      <c r="W964">
        <v>0</v>
      </c>
      <c r="X964">
        <v>0</v>
      </c>
      <c r="Y964">
        <v>0</v>
      </c>
      <c r="Z964">
        <v>0</v>
      </c>
      <c r="AA964">
        <v>0</v>
      </c>
      <c r="AB964">
        <v>0</v>
      </c>
      <c r="AC964">
        <v>0</v>
      </c>
      <c r="AD964">
        <v>0</v>
      </c>
      <c r="AE964">
        <v>0</v>
      </c>
      <c r="AF964">
        <v>0</v>
      </c>
      <c r="AG964">
        <v>0</v>
      </c>
      <c r="AH964">
        <v>0</v>
      </c>
      <c r="AI964">
        <v>0</v>
      </c>
      <c r="AJ964">
        <v>0</v>
      </c>
      <c r="AK964">
        <v>1</v>
      </c>
      <c r="AL964">
        <v>0</v>
      </c>
      <c r="AM964">
        <v>0</v>
      </c>
      <c r="AN964">
        <v>0</v>
      </c>
      <c r="AO964">
        <v>0</v>
      </c>
      <c r="AP964">
        <v>0</v>
      </c>
      <c r="AQ964">
        <v>0</v>
      </c>
      <c r="AR964">
        <v>0</v>
      </c>
      <c r="AS964">
        <v>0</v>
      </c>
      <c r="AT964">
        <v>0</v>
      </c>
      <c r="AU964">
        <v>0</v>
      </c>
      <c r="AV964">
        <v>0</v>
      </c>
      <c r="AW964">
        <v>0</v>
      </c>
      <c r="AX964" s="141">
        <f t="shared" si="213"/>
        <v>1</v>
      </c>
      <c r="AY964" s="141">
        <f t="shared" si="188"/>
        <v>1</v>
      </c>
      <c r="AZ964">
        <f t="shared" si="189"/>
        <v>0</v>
      </c>
      <c r="BA964">
        <f t="shared" si="190"/>
        <v>0</v>
      </c>
      <c r="BB964">
        <f t="shared" si="191"/>
        <v>1</v>
      </c>
      <c r="BC964">
        <f t="shared" si="192"/>
        <v>0</v>
      </c>
      <c r="BD964">
        <f t="shared" si="193"/>
        <v>0</v>
      </c>
      <c r="BE964" t="str">
        <f t="array" ref="BE964">IF(AY964=1,INDEX($V$7:$AL$7,MATCH(TRUE,INDEX($V964:$AW964&lt;&gt;0,),0)),IF(AY964=0,INDEX($AM$7:$AW$7,MATCH(1,$AM964:$AW964,0)),IF(BF964="Multiple strategies","mixed drivers",IF(BF964="Supply chain","multiple supply","multiple silviculture"))))</f>
        <v>technologies/design switch</v>
      </c>
      <c r="BF964" s="2" t="str" cm="1">
        <f t="array" ref="BF964">IF(COUNTIF(AZ964:BB964,"&lt;&gt;0")=1,INDEX($V$4:$AW$4,MATCH(TRUE,INDEX($V964:$AW964&lt;&gt;0,),0)),IF(COUNTIF(AZ964:BB964,"&lt;&gt;0")=0,INDEX($AM$4:$AW$4,MATCH(1,$AM964:$AW964,0)),"Multiple strategies"))</f>
        <v>Technology</v>
      </c>
      <c r="BG964" s="1" t="s">
        <v>230</v>
      </c>
      <c r="BH964" t="s">
        <v>230</v>
      </c>
      <c r="BI964" s="266" t="s">
        <v>411</v>
      </c>
      <c r="BJ964" t="s">
        <v>346</v>
      </c>
      <c r="BK964">
        <v>0</v>
      </c>
      <c r="BL964">
        <v>29276</v>
      </c>
      <c r="BM964" s="143"/>
      <c r="BN964">
        <f t="shared" si="171"/>
        <v>29276</v>
      </c>
      <c r="BO964" s="143">
        <f t="shared" si="216"/>
        <v>59.746938775510209</v>
      </c>
      <c r="BP964" t="s">
        <v>233</v>
      </c>
      <c r="BQ964" s="266" t="s">
        <v>397</v>
      </c>
      <c r="BR964" t="s">
        <v>347</v>
      </c>
      <c r="BS964">
        <v>-30600</v>
      </c>
      <c r="BT964">
        <v>-2040</v>
      </c>
      <c r="BU964" s="144">
        <v>6.6666666666666666E-2</v>
      </c>
      <c r="BV964">
        <f t="shared" si="200"/>
        <v>28560</v>
      </c>
      <c r="BX964">
        <f t="shared" si="217"/>
        <v>28.56</v>
      </c>
      <c r="BY964">
        <f t="shared" si="194"/>
        <v>0.4780161224210957</v>
      </c>
      <c r="BZ964">
        <v>0</v>
      </c>
      <c r="CA964">
        <v>0</v>
      </c>
      <c r="CB964">
        <v>0</v>
      </c>
      <c r="CC964">
        <v>0</v>
      </c>
      <c r="CD964">
        <v>0</v>
      </c>
      <c r="CE964">
        <v>0</v>
      </c>
      <c r="CF964">
        <v>0</v>
      </c>
      <c r="CG964">
        <v>0</v>
      </c>
      <c r="CH964">
        <v>0</v>
      </c>
      <c r="CI964">
        <v>0</v>
      </c>
      <c r="CJ964">
        <v>0</v>
      </c>
      <c r="CK964">
        <v>0</v>
      </c>
      <c r="CL964">
        <v>0</v>
      </c>
      <c r="CM964">
        <v>0</v>
      </c>
      <c r="CN964" t="str">
        <f t="shared" si="199"/>
        <v>refOK</v>
      </c>
      <c r="CO964">
        <f t="shared" si="218"/>
        <v>0</v>
      </c>
      <c r="CP964">
        <f t="shared" si="219"/>
        <v>29276</v>
      </c>
      <c r="CQ964">
        <f t="shared" ref="CQ964:CQ1027" si="221">IF($CN964="refOK",$BO964,-$BO964)</f>
        <v>59.746938775510209</v>
      </c>
      <c r="CR964">
        <f t="shared" si="210"/>
        <v>-30600</v>
      </c>
      <c r="CS964">
        <f t="shared" si="220"/>
        <v>-2040</v>
      </c>
      <c r="CT964">
        <f t="shared" si="214"/>
        <v>28.56</v>
      </c>
      <c r="CU964">
        <f t="shared" si="204"/>
        <v>0.4780161224210957</v>
      </c>
      <c r="CV964" s="2">
        <f t="shared" si="215"/>
        <v>0.93333333333333335</v>
      </c>
      <c r="CW964" s="1" t="s">
        <v>348</v>
      </c>
      <c r="CX964" t="str">
        <f t="shared" si="195"/>
        <v>loc</v>
      </c>
      <c r="CY964" t="s">
        <v>349</v>
      </c>
      <c r="CZ964">
        <v>2014</v>
      </c>
      <c r="DA964">
        <v>2514</v>
      </c>
      <c r="DB964">
        <v>500</v>
      </c>
      <c r="DC964" t="str">
        <f t="shared" si="196"/>
        <v>+100</v>
      </c>
      <c r="DD964">
        <v>0</v>
      </c>
      <c r="DE964">
        <v>0</v>
      </c>
      <c r="DF964">
        <v>0</v>
      </c>
      <c r="DG964">
        <v>1</v>
      </c>
      <c r="DI964">
        <f t="shared" si="202"/>
        <v>1</v>
      </c>
      <c r="DJ964" t="str">
        <f t="shared" si="203"/>
        <v>TimberInput</v>
      </c>
      <c r="DK964">
        <f t="shared" si="172"/>
        <v>0</v>
      </c>
      <c r="DL964">
        <f t="shared" si="173"/>
        <v>0</v>
      </c>
      <c r="DM964">
        <f t="shared" si="174"/>
        <v>0</v>
      </c>
      <c r="DN964" t="str">
        <f t="shared" si="175"/>
        <v>Timber</v>
      </c>
      <c r="DO964">
        <v>0</v>
      </c>
      <c r="DP964">
        <v>0</v>
      </c>
      <c r="DQ964">
        <v>0</v>
      </c>
      <c r="DR964">
        <v>0</v>
      </c>
      <c r="DS964">
        <v>0</v>
      </c>
      <c r="DT964">
        <f t="shared" si="212"/>
        <v>0</v>
      </c>
      <c r="DU964" s="143" t="str">
        <f t="shared" si="198"/>
        <v>explicit C balance</v>
      </c>
      <c r="DV964">
        <v>0</v>
      </c>
      <c r="DW964">
        <v>0</v>
      </c>
      <c r="DX964">
        <v>0</v>
      </c>
      <c r="DY964">
        <v>1</v>
      </c>
      <c r="DZ964">
        <v>0</v>
      </c>
      <c r="EA964" s="143">
        <v>1</v>
      </c>
      <c r="EB964">
        <v>0</v>
      </c>
      <c r="EC964">
        <v>1</v>
      </c>
      <c r="ED964">
        <v>1</v>
      </c>
      <c r="EE964">
        <v>1</v>
      </c>
      <c r="EF964">
        <v>0</v>
      </c>
      <c r="EG964">
        <v>0</v>
      </c>
      <c r="EH964">
        <v>0</v>
      </c>
      <c r="EI964" s="2">
        <v>0</v>
      </c>
      <c r="EK964" t="str">
        <f t="shared" si="176"/>
        <v/>
      </c>
      <c r="EL964" t="str">
        <f t="shared" si="177"/>
        <v/>
      </c>
      <c r="EM964" s="2" t="str">
        <f t="shared" si="197"/>
        <v>Technology approach</v>
      </c>
      <c r="EP964" t="str">
        <f>IF(ISNUMBER(BU964),IF(ABS(BU964-[2]QC_indicators!$B$2)&gt;3*[2]QC_indicators!$C$2,"C ratio",IF(ISNUMBER(BY964),IF(ABS(BY964-[2]QC_indicators!$B$1)&gt;3*[2]QC_indicators!$C$1,"DF","no"))),IF(ISNUMBER(BY964),IF(ABS(BY964-[2]QC_indicators!$B$1)&gt;3*[2]QC_indicators!$C$1,"DF","no")))</f>
        <v>no</v>
      </c>
      <c r="ER964" s="149" t="s">
        <v>350</v>
      </c>
      <c r="ET964" s="266" t="s">
        <v>3275</v>
      </c>
    </row>
    <row r="965" spans="1:150" ht="15" hidden="1" customHeight="1">
      <c r="A965" s="1" t="s">
        <v>334</v>
      </c>
      <c r="B965" t="s">
        <v>335</v>
      </c>
      <c r="C965" t="s">
        <v>336</v>
      </c>
      <c r="D965" t="s">
        <v>337</v>
      </c>
      <c r="E965" t="s">
        <v>338</v>
      </c>
      <c r="F965" t="s">
        <v>339</v>
      </c>
      <c r="G965" t="s">
        <v>340</v>
      </c>
      <c r="I965">
        <v>2017</v>
      </c>
      <c r="K965" t="s">
        <v>341</v>
      </c>
      <c r="M965" t="str">
        <f t="shared" si="201"/>
        <v>Balasbaneh_2017</v>
      </c>
      <c r="N965" t="s">
        <v>223</v>
      </c>
      <c r="O965" s="140" t="s">
        <v>342</v>
      </c>
      <c r="Q965" t="s">
        <v>225</v>
      </c>
      <c r="R965" s="264" t="s">
        <v>224</v>
      </c>
      <c r="S965" s="1" t="s">
        <v>371</v>
      </c>
      <c r="T965" t="s">
        <v>372</v>
      </c>
      <c r="U965" t="s">
        <v>358</v>
      </c>
      <c r="V965">
        <v>0</v>
      </c>
      <c r="W965">
        <v>0</v>
      </c>
      <c r="X965">
        <v>0</v>
      </c>
      <c r="Y965">
        <v>0</v>
      </c>
      <c r="Z965">
        <v>0</v>
      </c>
      <c r="AA965">
        <v>0</v>
      </c>
      <c r="AB965">
        <v>0</v>
      </c>
      <c r="AC965">
        <v>0</v>
      </c>
      <c r="AD965">
        <v>0</v>
      </c>
      <c r="AE965">
        <v>0</v>
      </c>
      <c r="AF965">
        <v>0</v>
      </c>
      <c r="AG965">
        <v>0</v>
      </c>
      <c r="AH965">
        <v>0</v>
      </c>
      <c r="AI965">
        <v>0</v>
      </c>
      <c r="AJ965">
        <v>0</v>
      </c>
      <c r="AK965">
        <v>1</v>
      </c>
      <c r="AL965">
        <v>0</v>
      </c>
      <c r="AM965">
        <v>0</v>
      </c>
      <c r="AN965">
        <v>0</v>
      </c>
      <c r="AO965">
        <v>0</v>
      </c>
      <c r="AP965">
        <v>0</v>
      </c>
      <c r="AQ965">
        <v>0</v>
      </c>
      <c r="AR965">
        <v>0</v>
      </c>
      <c r="AS965">
        <v>0</v>
      </c>
      <c r="AT965">
        <v>0</v>
      </c>
      <c r="AU965">
        <v>0</v>
      </c>
      <c r="AV965">
        <v>0</v>
      </c>
      <c r="AW965">
        <v>0</v>
      </c>
      <c r="AX965" s="141">
        <f t="shared" si="213"/>
        <v>1</v>
      </c>
      <c r="AY965" s="141">
        <f t="shared" si="188"/>
        <v>1</v>
      </c>
      <c r="AZ965">
        <f t="shared" si="189"/>
        <v>0</v>
      </c>
      <c r="BA965">
        <f t="shared" si="190"/>
        <v>0</v>
      </c>
      <c r="BB965">
        <f t="shared" si="191"/>
        <v>1</v>
      </c>
      <c r="BC965">
        <f t="shared" si="192"/>
        <v>0</v>
      </c>
      <c r="BD965">
        <f t="shared" si="193"/>
        <v>0</v>
      </c>
      <c r="BE965" t="str">
        <f t="array" ref="BE965">IF(AY965=1,INDEX($V$7:$AL$7,MATCH(TRUE,INDEX($V965:$AW965&lt;&gt;0,),0)),IF(AY965=0,INDEX($AM$7:$AW$7,MATCH(1,$AM965:$AW965,0)),IF(BF965="Multiple strategies","mixed drivers",IF(BF965="Supply chain","multiple supply","multiple silviculture"))))</f>
        <v>technologies/design switch</v>
      </c>
      <c r="BF965" s="2" t="str" cm="1">
        <f t="array" ref="BF965">IF(COUNTIF(AZ965:BB965,"&lt;&gt;0")=1,INDEX($V$4:$AW$4,MATCH(TRUE,INDEX($V965:$AW965&lt;&gt;0,),0)),IF(COUNTIF(AZ965:BB965,"&lt;&gt;0")=0,INDEX($AM$4:$AW$4,MATCH(1,$AM965:$AW965,0)),"Multiple strategies"))</f>
        <v>Technology</v>
      </c>
      <c r="BG965" s="1" t="s">
        <v>230</v>
      </c>
      <c r="BH965" t="s">
        <v>230</v>
      </c>
      <c r="BI965" s="266" t="s">
        <v>411</v>
      </c>
      <c r="BJ965" t="s">
        <v>346</v>
      </c>
      <c r="BK965">
        <v>0</v>
      </c>
      <c r="BL965">
        <v>29276</v>
      </c>
      <c r="BM965" s="143"/>
      <c r="BN965">
        <f t="shared" ref="BN965:BN1028" si="222">BL965-BK965</f>
        <v>29276</v>
      </c>
      <c r="BO965" s="143">
        <f t="shared" si="216"/>
        <v>59.746938775510209</v>
      </c>
      <c r="BP965" t="s">
        <v>233</v>
      </c>
      <c r="BQ965" s="266" t="s">
        <v>397</v>
      </c>
      <c r="BR965" t="s">
        <v>347</v>
      </c>
      <c r="BS965">
        <v>-26000</v>
      </c>
      <c r="BT965">
        <v>-2010</v>
      </c>
      <c r="BU965" s="144">
        <v>7.7307692307692313E-2</v>
      </c>
      <c r="BV965">
        <f t="shared" si="200"/>
        <v>23990</v>
      </c>
      <c r="BX965">
        <f t="shared" si="217"/>
        <v>23.99</v>
      </c>
      <c r="BY965">
        <f t="shared" si="194"/>
        <v>0.40152684793004501</v>
      </c>
      <c r="BZ965">
        <v>0</v>
      </c>
      <c r="CA965">
        <v>0</v>
      </c>
      <c r="CB965">
        <v>0</v>
      </c>
      <c r="CC965">
        <v>0</v>
      </c>
      <c r="CD965">
        <v>0</v>
      </c>
      <c r="CE965">
        <v>0</v>
      </c>
      <c r="CF965">
        <v>0</v>
      </c>
      <c r="CG965">
        <v>0</v>
      </c>
      <c r="CH965">
        <v>0</v>
      </c>
      <c r="CI965">
        <v>0</v>
      </c>
      <c r="CJ965">
        <v>0</v>
      </c>
      <c r="CK965">
        <v>0</v>
      </c>
      <c r="CL965">
        <v>0</v>
      </c>
      <c r="CM965">
        <v>0</v>
      </c>
      <c r="CN965" t="str">
        <f t="shared" si="199"/>
        <v>refOK</v>
      </c>
      <c r="CO965">
        <f t="shared" si="218"/>
        <v>0</v>
      </c>
      <c r="CP965">
        <f t="shared" si="219"/>
        <v>29276</v>
      </c>
      <c r="CQ965">
        <f t="shared" si="221"/>
        <v>59.746938775510209</v>
      </c>
      <c r="CR965">
        <f t="shared" si="210"/>
        <v>-26000</v>
      </c>
      <c r="CS965">
        <f t="shared" si="220"/>
        <v>-2010</v>
      </c>
      <c r="CT965">
        <f t="shared" si="214"/>
        <v>23.99</v>
      </c>
      <c r="CU965">
        <f t="shared" si="204"/>
        <v>0.40152684793004501</v>
      </c>
      <c r="CV965" s="2">
        <f t="shared" si="215"/>
        <v>0.9226923076923077</v>
      </c>
      <c r="CW965" s="1" t="s">
        <v>348</v>
      </c>
      <c r="CX965" t="str">
        <f t="shared" si="195"/>
        <v>loc</v>
      </c>
      <c r="CY965" t="s">
        <v>349</v>
      </c>
      <c r="CZ965">
        <v>2014</v>
      </c>
      <c r="DA965">
        <v>2514</v>
      </c>
      <c r="DB965">
        <v>500</v>
      </c>
      <c r="DC965" t="str">
        <f t="shared" si="196"/>
        <v>+100</v>
      </c>
      <c r="DD965">
        <v>0</v>
      </c>
      <c r="DE965">
        <v>0</v>
      </c>
      <c r="DF965">
        <v>0</v>
      </c>
      <c r="DG965">
        <v>1</v>
      </c>
      <c r="DI965">
        <f t="shared" si="202"/>
        <v>1</v>
      </c>
      <c r="DJ965" t="str">
        <f t="shared" si="203"/>
        <v>TimberInput</v>
      </c>
      <c r="DK965">
        <f t="shared" si="172"/>
        <v>0</v>
      </c>
      <c r="DL965">
        <f t="shared" si="173"/>
        <v>0</v>
      </c>
      <c r="DM965">
        <f t="shared" si="174"/>
        <v>0</v>
      </c>
      <c r="DN965" t="str">
        <f t="shared" si="175"/>
        <v>Timber</v>
      </c>
      <c r="DO965">
        <v>0</v>
      </c>
      <c r="DP965">
        <v>0</v>
      </c>
      <c r="DQ965">
        <v>0</v>
      </c>
      <c r="DR965">
        <v>0</v>
      </c>
      <c r="DS965">
        <v>0</v>
      </c>
      <c r="DT965">
        <f t="shared" si="212"/>
        <v>0</v>
      </c>
      <c r="DU965" s="143" t="str">
        <f t="shared" si="198"/>
        <v>explicit C balance</v>
      </c>
      <c r="DV965">
        <v>0</v>
      </c>
      <c r="DW965">
        <v>0</v>
      </c>
      <c r="DX965">
        <v>0</v>
      </c>
      <c r="DY965">
        <v>1</v>
      </c>
      <c r="DZ965">
        <v>0</v>
      </c>
      <c r="EA965" s="143">
        <v>1</v>
      </c>
      <c r="EB965">
        <v>0</v>
      </c>
      <c r="EC965">
        <v>1</v>
      </c>
      <c r="ED965">
        <v>1</v>
      </c>
      <c r="EE965">
        <v>1</v>
      </c>
      <c r="EF965">
        <v>0</v>
      </c>
      <c r="EG965">
        <v>0</v>
      </c>
      <c r="EH965">
        <v>0</v>
      </c>
      <c r="EI965" s="2">
        <v>0</v>
      </c>
      <c r="EK965" t="str">
        <f t="shared" si="176"/>
        <v/>
      </c>
      <c r="EL965" t="str">
        <f t="shared" si="177"/>
        <v/>
      </c>
      <c r="EM965" s="2" t="str">
        <f t="shared" si="197"/>
        <v>Technology approach</v>
      </c>
      <c r="EP965" t="str">
        <f>IF(ISNUMBER(BU965),IF(ABS(BU965-[2]QC_indicators!$B$2)&gt;3*[2]QC_indicators!$C$2,"C ratio",IF(ISNUMBER(BY965),IF(ABS(BY965-[2]QC_indicators!$B$1)&gt;3*[2]QC_indicators!$C$1,"DF","no"))),IF(ISNUMBER(BY965),IF(ABS(BY965-[2]QC_indicators!$B$1)&gt;3*[2]QC_indicators!$C$1,"DF","no")))</f>
        <v>no</v>
      </c>
      <c r="ER965" s="149" t="s">
        <v>350</v>
      </c>
      <c r="ET965" s="266" t="s">
        <v>3275</v>
      </c>
    </row>
    <row r="966" spans="1:150" ht="15" hidden="1" customHeight="1">
      <c r="A966" s="1" t="s">
        <v>334</v>
      </c>
      <c r="B966" t="s">
        <v>335</v>
      </c>
      <c r="C966" t="s">
        <v>336</v>
      </c>
      <c r="D966" t="s">
        <v>337</v>
      </c>
      <c r="E966" t="s">
        <v>338</v>
      </c>
      <c r="F966" t="s">
        <v>339</v>
      </c>
      <c r="G966" t="s">
        <v>340</v>
      </c>
      <c r="I966">
        <v>2017</v>
      </c>
      <c r="K966" t="s">
        <v>341</v>
      </c>
      <c r="M966" t="str">
        <f t="shared" si="201"/>
        <v>Balasbaneh_2017</v>
      </c>
      <c r="N966" t="s">
        <v>223</v>
      </c>
      <c r="O966" s="140" t="s">
        <v>342</v>
      </c>
      <c r="Q966" t="s">
        <v>225</v>
      </c>
      <c r="R966" s="264" t="s">
        <v>224</v>
      </c>
      <c r="S966" s="1" t="s">
        <v>366</v>
      </c>
      <c r="T966" t="s">
        <v>362</v>
      </c>
      <c r="U966" t="s">
        <v>358</v>
      </c>
      <c r="V966">
        <v>0</v>
      </c>
      <c r="W966">
        <v>0</v>
      </c>
      <c r="X966">
        <v>0</v>
      </c>
      <c r="Y966">
        <v>0</v>
      </c>
      <c r="Z966">
        <v>0</v>
      </c>
      <c r="AA966">
        <v>0</v>
      </c>
      <c r="AB966">
        <v>0</v>
      </c>
      <c r="AC966">
        <v>0</v>
      </c>
      <c r="AD966">
        <v>0</v>
      </c>
      <c r="AE966">
        <v>0</v>
      </c>
      <c r="AF966">
        <v>0</v>
      </c>
      <c r="AG966">
        <v>0</v>
      </c>
      <c r="AH966">
        <v>0</v>
      </c>
      <c r="AI966">
        <v>0</v>
      </c>
      <c r="AJ966">
        <v>0</v>
      </c>
      <c r="AK966">
        <v>1</v>
      </c>
      <c r="AL966">
        <v>0</v>
      </c>
      <c r="AM966">
        <v>0</v>
      </c>
      <c r="AN966">
        <v>0</v>
      </c>
      <c r="AO966">
        <v>0</v>
      </c>
      <c r="AP966">
        <v>0</v>
      </c>
      <c r="AQ966">
        <v>0</v>
      </c>
      <c r="AR966">
        <v>0</v>
      </c>
      <c r="AS966">
        <v>0</v>
      </c>
      <c r="AT966">
        <v>0</v>
      </c>
      <c r="AU966">
        <v>0</v>
      </c>
      <c r="AV966">
        <v>0</v>
      </c>
      <c r="AW966">
        <v>0</v>
      </c>
      <c r="AX966" s="141">
        <f t="shared" si="213"/>
        <v>1</v>
      </c>
      <c r="AY966" s="141">
        <f t="shared" si="188"/>
        <v>1</v>
      </c>
      <c r="AZ966">
        <f t="shared" si="189"/>
        <v>0</v>
      </c>
      <c r="BA966">
        <f t="shared" si="190"/>
        <v>0</v>
      </c>
      <c r="BB966">
        <f t="shared" si="191"/>
        <v>1</v>
      </c>
      <c r="BC966">
        <f t="shared" si="192"/>
        <v>0</v>
      </c>
      <c r="BD966">
        <f t="shared" si="193"/>
        <v>0</v>
      </c>
      <c r="BE966" t="str">
        <f t="array" ref="BE966">IF(AY966=1,INDEX($V$7:$AL$7,MATCH(TRUE,INDEX($V966:$AW966&lt;&gt;0,),0)),IF(AY966=0,INDEX($AM$7:$AW$7,MATCH(1,$AM966:$AW966,0)),IF(BF966="Multiple strategies","mixed drivers",IF(BF966="Supply chain","multiple supply","multiple silviculture"))))</f>
        <v>technologies/design switch</v>
      </c>
      <c r="BF966" s="2" t="str" cm="1">
        <f t="array" ref="BF966">IF(COUNTIF(AZ966:BB966,"&lt;&gt;0")=1,INDEX($V$4:$AW$4,MATCH(TRUE,INDEX($V966:$AW966&lt;&gt;0,),0)),IF(COUNTIF(AZ966:BB966,"&lt;&gt;0")=0,INDEX($AM$4:$AW$4,MATCH(1,$AM966:$AW966,0)),"Multiple strategies"))</f>
        <v>Technology</v>
      </c>
      <c r="BG966" s="1" t="s">
        <v>230</v>
      </c>
      <c r="BH966" t="s">
        <v>230</v>
      </c>
      <c r="BI966" s="266" t="s">
        <v>411</v>
      </c>
      <c r="BJ966" t="s">
        <v>346</v>
      </c>
      <c r="BK966">
        <v>0</v>
      </c>
      <c r="BL966">
        <v>29276</v>
      </c>
      <c r="BM966" s="143"/>
      <c r="BN966">
        <f t="shared" si="222"/>
        <v>29276</v>
      </c>
      <c r="BO966" s="143">
        <f t="shared" si="216"/>
        <v>59.746938775510209</v>
      </c>
      <c r="BP966" t="s">
        <v>233</v>
      </c>
      <c r="BQ966" s="266" t="s">
        <v>397</v>
      </c>
      <c r="BR966" t="s">
        <v>347</v>
      </c>
      <c r="BS966">
        <v>-24200</v>
      </c>
      <c r="BT966">
        <v>-2080</v>
      </c>
      <c r="BU966" s="144">
        <v>8.5950413223140495E-2</v>
      </c>
      <c r="BV966">
        <f t="shared" si="200"/>
        <v>22120</v>
      </c>
      <c r="BX966">
        <f t="shared" si="217"/>
        <v>22.12</v>
      </c>
      <c r="BY966">
        <f t="shared" si="194"/>
        <v>0.3702281732477114</v>
      </c>
      <c r="BZ966">
        <v>0</v>
      </c>
      <c r="CA966">
        <v>0</v>
      </c>
      <c r="CB966">
        <v>0</v>
      </c>
      <c r="CC966">
        <v>0</v>
      </c>
      <c r="CD966">
        <v>0</v>
      </c>
      <c r="CE966">
        <v>0</v>
      </c>
      <c r="CF966">
        <v>0</v>
      </c>
      <c r="CG966">
        <v>0</v>
      </c>
      <c r="CH966">
        <v>0</v>
      </c>
      <c r="CI966">
        <v>0</v>
      </c>
      <c r="CJ966">
        <v>0</v>
      </c>
      <c r="CK966">
        <v>0</v>
      </c>
      <c r="CL966">
        <v>0</v>
      </c>
      <c r="CM966">
        <v>0</v>
      </c>
      <c r="CN966" t="str">
        <f t="shared" si="199"/>
        <v>refOK</v>
      </c>
      <c r="CO966">
        <f t="shared" si="218"/>
        <v>0</v>
      </c>
      <c r="CP966">
        <f t="shared" si="219"/>
        <v>29276</v>
      </c>
      <c r="CQ966">
        <f t="shared" si="221"/>
        <v>59.746938775510209</v>
      </c>
      <c r="CR966">
        <f t="shared" si="210"/>
        <v>-24200</v>
      </c>
      <c r="CS966">
        <f t="shared" si="220"/>
        <v>-2080</v>
      </c>
      <c r="CT966">
        <f t="shared" si="214"/>
        <v>22.12</v>
      </c>
      <c r="CU966">
        <f t="shared" si="204"/>
        <v>0.3702281732477114</v>
      </c>
      <c r="CV966" s="2">
        <f t="shared" si="215"/>
        <v>0.91404958677685955</v>
      </c>
      <c r="CW966" s="1" t="s">
        <v>348</v>
      </c>
      <c r="CX966" t="str">
        <f t="shared" si="195"/>
        <v>loc</v>
      </c>
      <c r="CY966" t="s">
        <v>349</v>
      </c>
      <c r="CZ966">
        <v>2014</v>
      </c>
      <c r="DA966">
        <v>2514</v>
      </c>
      <c r="DB966">
        <v>500</v>
      </c>
      <c r="DC966" t="str">
        <f t="shared" si="196"/>
        <v>+100</v>
      </c>
      <c r="DD966">
        <v>0</v>
      </c>
      <c r="DE966">
        <v>0</v>
      </c>
      <c r="DF966">
        <v>0</v>
      </c>
      <c r="DG966">
        <v>1</v>
      </c>
      <c r="DI966">
        <f t="shared" si="202"/>
        <v>1</v>
      </c>
      <c r="DJ966" t="str">
        <f t="shared" si="203"/>
        <v>TimberInput</v>
      </c>
      <c r="DK966">
        <f t="shared" si="172"/>
        <v>0</v>
      </c>
      <c r="DL966">
        <f t="shared" si="173"/>
        <v>0</v>
      </c>
      <c r="DM966">
        <f t="shared" si="174"/>
        <v>0</v>
      </c>
      <c r="DN966" t="str">
        <f t="shared" si="175"/>
        <v>Timber</v>
      </c>
      <c r="DO966">
        <v>0</v>
      </c>
      <c r="DP966">
        <v>0</v>
      </c>
      <c r="DQ966">
        <v>0</v>
      </c>
      <c r="DR966">
        <v>0</v>
      </c>
      <c r="DS966">
        <v>0</v>
      </c>
      <c r="DT966">
        <f t="shared" si="212"/>
        <v>0</v>
      </c>
      <c r="DU966" s="143" t="str">
        <f t="shared" si="198"/>
        <v>explicit C balance</v>
      </c>
      <c r="DV966">
        <v>0</v>
      </c>
      <c r="DW966">
        <v>0</v>
      </c>
      <c r="DX966">
        <v>0</v>
      </c>
      <c r="DY966">
        <v>1</v>
      </c>
      <c r="DZ966">
        <v>0</v>
      </c>
      <c r="EA966" s="143">
        <v>1</v>
      </c>
      <c r="EB966">
        <v>0</v>
      </c>
      <c r="EC966">
        <v>1</v>
      </c>
      <c r="ED966">
        <v>1</v>
      </c>
      <c r="EE966">
        <v>1</v>
      </c>
      <c r="EF966">
        <v>0</v>
      </c>
      <c r="EG966">
        <v>0</v>
      </c>
      <c r="EH966">
        <v>0</v>
      </c>
      <c r="EI966" s="2">
        <v>0</v>
      </c>
      <c r="EK966" t="str">
        <f t="shared" si="176"/>
        <v/>
      </c>
      <c r="EL966" t="str">
        <f t="shared" si="177"/>
        <v/>
      </c>
      <c r="EM966" s="2" t="str">
        <f t="shared" si="197"/>
        <v>Technology approach</v>
      </c>
      <c r="EP966" t="str">
        <f>IF(ISNUMBER(BU966),IF(ABS(BU966-[2]QC_indicators!$B$2)&gt;3*[2]QC_indicators!$C$2,"C ratio",IF(ISNUMBER(BY966),IF(ABS(BY966-[2]QC_indicators!$B$1)&gt;3*[2]QC_indicators!$C$1,"DF","no"))),IF(ISNUMBER(BY966),IF(ABS(BY966-[2]QC_indicators!$B$1)&gt;3*[2]QC_indicators!$C$1,"DF","no")))</f>
        <v>no</v>
      </c>
      <c r="ER966" s="149" t="s">
        <v>350</v>
      </c>
      <c r="ET966" s="266" t="s">
        <v>3275</v>
      </c>
    </row>
    <row r="967" spans="1:150" ht="15" hidden="1" customHeight="1">
      <c r="A967" s="1" t="s">
        <v>334</v>
      </c>
      <c r="B967" t="s">
        <v>335</v>
      </c>
      <c r="C967" t="s">
        <v>336</v>
      </c>
      <c r="D967" t="s">
        <v>337</v>
      </c>
      <c r="E967" t="s">
        <v>338</v>
      </c>
      <c r="F967" t="s">
        <v>339</v>
      </c>
      <c r="G967" t="s">
        <v>340</v>
      </c>
      <c r="I967">
        <v>2017</v>
      </c>
      <c r="K967" t="s">
        <v>341</v>
      </c>
      <c r="M967" t="str">
        <f t="shared" si="201"/>
        <v>Balasbaneh_2017</v>
      </c>
      <c r="N967" t="s">
        <v>223</v>
      </c>
      <c r="O967" s="140" t="s">
        <v>342</v>
      </c>
      <c r="Q967" t="s">
        <v>225</v>
      </c>
      <c r="R967" s="264" t="s">
        <v>224</v>
      </c>
      <c r="S967" s="1" t="s">
        <v>365</v>
      </c>
      <c r="T967" t="s">
        <v>362</v>
      </c>
      <c r="U967" t="s">
        <v>358</v>
      </c>
      <c r="V967">
        <v>0</v>
      </c>
      <c r="W967">
        <v>0</v>
      </c>
      <c r="X967">
        <v>0</v>
      </c>
      <c r="Y967">
        <v>0</v>
      </c>
      <c r="Z967">
        <v>0</v>
      </c>
      <c r="AA967">
        <v>0</v>
      </c>
      <c r="AB967">
        <v>0</v>
      </c>
      <c r="AC967">
        <v>0</v>
      </c>
      <c r="AD967">
        <v>0</v>
      </c>
      <c r="AE967">
        <v>0</v>
      </c>
      <c r="AF967">
        <v>0</v>
      </c>
      <c r="AG967">
        <v>0</v>
      </c>
      <c r="AH967">
        <v>0</v>
      </c>
      <c r="AI967">
        <v>0</v>
      </c>
      <c r="AJ967">
        <v>0</v>
      </c>
      <c r="AK967">
        <v>1</v>
      </c>
      <c r="AL967">
        <v>0</v>
      </c>
      <c r="AM967">
        <v>0</v>
      </c>
      <c r="AN967">
        <v>0</v>
      </c>
      <c r="AO967">
        <v>0</v>
      </c>
      <c r="AP967">
        <v>0</v>
      </c>
      <c r="AQ967">
        <v>0</v>
      </c>
      <c r="AR967">
        <v>0</v>
      </c>
      <c r="AS967">
        <v>0</v>
      </c>
      <c r="AT967">
        <v>0</v>
      </c>
      <c r="AU967">
        <v>0</v>
      </c>
      <c r="AV967">
        <v>0</v>
      </c>
      <c r="AW967">
        <v>0</v>
      </c>
      <c r="AX967" s="141">
        <f t="shared" si="213"/>
        <v>1</v>
      </c>
      <c r="AY967" s="141">
        <f t="shared" si="188"/>
        <v>1</v>
      </c>
      <c r="AZ967">
        <f t="shared" si="189"/>
        <v>0</v>
      </c>
      <c r="BA967">
        <f t="shared" si="190"/>
        <v>0</v>
      </c>
      <c r="BB967">
        <f t="shared" si="191"/>
        <v>1</v>
      </c>
      <c r="BC967">
        <f t="shared" si="192"/>
        <v>0</v>
      </c>
      <c r="BD967">
        <f t="shared" si="193"/>
        <v>0</v>
      </c>
      <c r="BE967" t="str">
        <f t="array" ref="BE967">IF(AY967=1,INDEX($V$7:$AL$7,MATCH(TRUE,INDEX($V967:$AW967&lt;&gt;0,),0)),IF(AY967=0,INDEX($AM$7:$AW$7,MATCH(1,$AM967:$AW967,0)),IF(BF967="Multiple strategies","mixed drivers",IF(BF967="Supply chain","multiple supply","multiple silviculture"))))</f>
        <v>technologies/design switch</v>
      </c>
      <c r="BF967" s="2" t="str" cm="1">
        <f t="array" ref="BF967">IF(COUNTIF(AZ967:BB967,"&lt;&gt;0")=1,INDEX($V$4:$AW$4,MATCH(TRUE,INDEX($V967:$AW967&lt;&gt;0,),0)),IF(COUNTIF(AZ967:BB967,"&lt;&gt;0")=0,INDEX($AM$4:$AW$4,MATCH(1,$AM967:$AW967,0)),"Multiple strategies"))</f>
        <v>Technology</v>
      </c>
      <c r="BG967" s="1" t="s">
        <v>230</v>
      </c>
      <c r="BH967" t="s">
        <v>230</v>
      </c>
      <c r="BI967" s="266" t="s">
        <v>411</v>
      </c>
      <c r="BJ967" t="s">
        <v>346</v>
      </c>
      <c r="BK967">
        <v>0</v>
      </c>
      <c r="BL967">
        <v>29276</v>
      </c>
      <c r="BM967" s="143"/>
      <c r="BN967">
        <f t="shared" si="222"/>
        <v>29276</v>
      </c>
      <c r="BO967" s="143">
        <f t="shared" si="216"/>
        <v>59.746938775510209</v>
      </c>
      <c r="BP967" t="s">
        <v>233</v>
      </c>
      <c r="BQ967" s="266" t="s">
        <v>397</v>
      </c>
      <c r="BR967" t="s">
        <v>347</v>
      </c>
      <c r="BS967">
        <v>-23800</v>
      </c>
      <c r="BT967">
        <v>-2040</v>
      </c>
      <c r="BU967" s="144">
        <v>8.5714285714285715E-2</v>
      </c>
      <c r="BV967">
        <f t="shared" si="200"/>
        <v>21760</v>
      </c>
      <c r="BX967">
        <f t="shared" si="217"/>
        <v>21.76</v>
      </c>
      <c r="BY967">
        <f t="shared" si="194"/>
        <v>0.36420275993988249</v>
      </c>
      <c r="BZ967">
        <v>0</v>
      </c>
      <c r="CA967">
        <v>0</v>
      </c>
      <c r="CB967">
        <v>0</v>
      </c>
      <c r="CC967">
        <v>0</v>
      </c>
      <c r="CD967">
        <v>0</v>
      </c>
      <c r="CE967">
        <v>0</v>
      </c>
      <c r="CF967">
        <v>0</v>
      </c>
      <c r="CG967">
        <v>0</v>
      </c>
      <c r="CH967">
        <v>0</v>
      </c>
      <c r="CI967">
        <v>0</v>
      </c>
      <c r="CJ967">
        <v>0</v>
      </c>
      <c r="CK967">
        <v>0</v>
      </c>
      <c r="CL967">
        <v>0</v>
      </c>
      <c r="CM967">
        <v>0</v>
      </c>
      <c r="CN967" t="str">
        <f t="shared" si="199"/>
        <v>refOK</v>
      </c>
      <c r="CO967">
        <f t="shared" si="218"/>
        <v>0</v>
      </c>
      <c r="CP967">
        <f t="shared" si="219"/>
        <v>29276</v>
      </c>
      <c r="CQ967">
        <f t="shared" si="221"/>
        <v>59.746938775510209</v>
      </c>
      <c r="CR967">
        <f t="shared" si="210"/>
        <v>-23800</v>
      </c>
      <c r="CS967">
        <f t="shared" si="220"/>
        <v>-2040</v>
      </c>
      <c r="CT967">
        <f t="shared" si="214"/>
        <v>21.76</v>
      </c>
      <c r="CU967">
        <f t="shared" si="204"/>
        <v>0.36420275993988249</v>
      </c>
      <c r="CV967" s="2">
        <f t="shared" si="215"/>
        <v>0.91428571428571426</v>
      </c>
      <c r="CW967" s="1" t="s">
        <v>348</v>
      </c>
      <c r="CX967" t="str">
        <f t="shared" si="195"/>
        <v>loc</v>
      </c>
      <c r="CY967" t="s">
        <v>349</v>
      </c>
      <c r="CZ967">
        <v>2014</v>
      </c>
      <c r="DA967">
        <v>2514</v>
      </c>
      <c r="DB967">
        <v>500</v>
      </c>
      <c r="DC967" t="str">
        <f t="shared" si="196"/>
        <v>+100</v>
      </c>
      <c r="DD967">
        <v>0</v>
      </c>
      <c r="DE967">
        <v>0</v>
      </c>
      <c r="DF967">
        <v>0</v>
      </c>
      <c r="DG967">
        <v>1</v>
      </c>
      <c r="DI967">
        <f t="shared" si="202"/>
        <v>1</v>
      </c>
      <c r="DJ967" t="str">
        <f t="shared" si="203"/>
        <v>TimberInput</v>
      </c>
      <c r="DK967">
        <f t="shared" si="172"/>
        <v>0</v>
      </c>
      <c r="DL967">
        <f t="shared" si="173"/>
        <v>0</v>
      </c>
      <c r="DM967">
        <f t="shared" si="174"/>
        <v>0</v>
      </c>
      <c r="DN967" t="str">
        <f t="shared" si="175"/>
        <v>Timber</v>
      </c>
      <c r="DO967">
        <v>0</v>
      </c>
      <c r="DP967">
        <v>0</v>
      </c>
      <c r="DQ967">
        <v>0</v>
      </c>
      <c r="DR967">
        <v>0</v>
      </c>
      <c r="DS967">
        <v>0</v>
      </c>
      <c r="DT967">
        <f t="shared" si="212"/>
        <v>0</v>
      </c>
      <c r="DU967" s="143" t="str">
        <f t="shared" si="198"/>
        <v>explicit C balance</v>
      </c>
      <c r="DV967">
        <v>0</v>
      </c>
      <c r="DW967">
        <v>0</v>
      </c>
      <c r="DX967">
        <v>0</v>
      </c>
      <c r="DY967">
        <v>1</v>
      </c>
      <c r="DZ967">
        <v>0</v>
      </c>
      <c r="EA967" s="143">
        <v>1</v>
      </c>
      <c r="EB967">
        <v>0</v>
      </c>
      <c r="EC967">
        <v>1</v>
      </c>
      <c r="ED967">
        <v>1</v>
      </c>
      <c r="EE967">
        <v>1</v>
      </c>
      <c r="EF967">
        <v>0</v>
      </c>
      <c r="EG967">
        <v>0</v>
      </c>
      <c r="EH967">
        <v>0</v>
      </c>
      <c r="EI967" s="2">
        <v>0</v>
      </c>
      <c r="EK967" t="str">
        <f t="shared" si="176"/>
        <v/>
      </c>
      <c r="EL967" t="str">
        <f t="shared" si="177"/>
        <v/>
      </c>
      <c r="EM967" s="2" t="str">
        <f t="shared" si="197"/>
        <v>Technology approach</v>
      </c>
      <c r="EP967" t="str">
        <f>IF(ISNUMBER(BU967),IF(ABS(BU967-[2]QC_indicators!$B$2)&gt;3*[2]QC_indicators!$C$2,"C ratio",IF(ISNUMBER(BY967),IF(ABS(BY967-[2]QC_indicators!$B$1)&gt;3*[2]QC_indicators!$C$1,"DF","no"))),IF(ISNUMBER(BY967),IF(ABS(BY967-[2]QC_indicators!$B$1)&gt;3*[2]QC_indicators!$C$1,"DF","no")))</f>
        <v>no</v>
      </c>
      <c r="ER967" s="149" t="s">
        <v>350</v>
      </c>
      <c r="ET967" s="266" t="s">
        <v>3275</v>
      </c>
    </row>
    <row r="968" spans="1:150" ht="15" hidden="1" customHeight="1">
      <c r="A968" s="1" t="s">
        <v>334</v>
      </c>
      <c r="B968" t="s">
        <v>335</v>
      </c>
      <c r="C968" t="s">
        <v>336</v>
      </c>
      <c r="D968" t="s">
        <v>337</v>
      </c>
      <c r="E968" t="s">
        <v>338</v>
      </c>
      <c r="F968" t="s">
        <v>339</v>
      </c>
      <c r="G968" t="s">
        <v>340</v>
      </c>
      <c r="I968">
        <v>2017</v>
      </c>
      <c r="K968" t="s">
        <v>341</v>
      </c>
      <c r="M968" t="str">
        <f t="shared" si="201"/>
        <v>Balasbaneh_2017</v>
      </c>
      <c r="N968" t="s">
        <v>223</v>
      </c>
      <c r="O968" s="140" t="s">
        <v>342</v>
      </c>
      <c r="Q968" t="s">
        <v>225</v>
      </c>
      <c r="R968" s="264" t="s">
        <v>224</v>
      </c>
      <c r="S968" s="1" t="s">
        <v>361</v>
      </c>
      <c r="T968" t="s">
        <v>362</v>
      </c>
      <c r="U968" t="s">
        <v>358</v>
      </c>
      <c r="V968">
        <v>0</v>
      </c>
      <c r="W968">
        <v>0</v>
      </c>
      <c r="X968">
        <v>0</v>
      </c>
      <c r="Y968">
        <v>0</v>
      </c>
      <c r="Z968">
        <v>0</v>
      </c>
      <c r="AA968">
        <v>0</v>
      </c>
      <c r="AB968">
        <v>0</v>
      </c>
      <c r="AC968">
        <v>0</v>
      </c>
      <c r="AD968">
        <v>0</v>
      </c>
      <c r="AE968">
        <v>0</v>
      </c>
      <c r="AF968">
        <v>0</v>
      </c>
      <c r="AG968">
        <v>0</v>
      </c>
      <c r="AH968">
        <v>0</v>
      </c>
      <c r="AI968">
        <v>0</v>
      </c>
      <c r="AJ968">
        <v>0</v>
      </c>
      <c r="AK968">
        <v>1</v>
      </c>
      <c r="AL968">
        <v>0</v>
      </c>
      <c r="AM968">
        <v>0</v>
      </c>
      <c r="AN968">
        <v>0</v>
      </c>
      <c r="AO968">
        <v>0</v>
      </c>
      <c r="AP968">
        <v>0</v>
      </c>
      <c r="AQ968">
        <v>0</v>
      </c>
      <c r="AR968">
        <v>0</v>
      </c>
      <c r="AS968">
        <v>0</v>
      </c>
      <c r="AT968">
        <v>0</v>
      </c>
      <c r="AU968">
        <v>0</v>
      </c>
      <c r="AV968">
        <v>0</v>
      </c>
      <c r="AW968">
        <v>0</v>
      </c>
      <c r="AX968" s="141">
        <f t="shared" si="213"/>
        <v>1</v>
      </c>
      <c r="AY968" s="141">
        <f t="shared" si="188"/>
        <v>1</v>
      </c>
      <c r="AZ968">
        <f t="shared" si="189"/>
        <v>0</v>
      </c>
      <c r="BA968">
        <f t="shared" si="190"/>
        <v>0</v>
      </c>
      <c r="BB968">
        <f t="shared" si="191"/>
        <v>1</v>
      </c>
      <c r="BC968">
        <f t="shared" si="192"/>
        <v>0</v>
      </c>
      <c r="BD968">
        <f t="shared" si="193"/>
        <v>0</v>
      </c>
      <c r="BE968" t="str">
        <f t="array" ref="BE968">IF(AY968=1,INDEX($V$7:$AL$7,MATCH(TRUE,INDEX($V968:$AW968&lt;&gt;0,),0)),IF(AY968=0,INDEX($AM$7:$AW$7,MATCH(1,$AM968:$AW968,0)),IF(BF968="Multiple strategies","mixed drivers",IF(BF968="Supply chain","multiple supply","multiple silviculture"))))</f>
        <v>technologies/design switch</v>
      </c>
      <c r="BF968" s="2" t="str" cm="1">
        <f t="array" ref="BF968">IF(COUNTIF(AZ968:BB968,"&lt;&gt;0")=1,INDEX($V$4:$AW$4,MATCH(TRUE,INDEX($V968:$AW968&lt;&gt;0,),0)),IF(COUNTIF(AZ968:BB968,"&lt;&gt;0")=0,INDEX($AM$4:$AW$4,MATCH(1,$AM968:$AW968,0)),"Multiple strategies"))</f>
        <v>Technology</v>
      </c>
      <c r="BG968" s="1" t="s">
        <v>230</v>
      </c>
      <c r="BH968" t="s">
        <v>230</v>
      </c>
      <c r="BI968" s="266" t="s">
        <v>411</v>
      </c>
      <c r="BJ968" t="s">
        <v>346</v>
      </c>
      <c r="BK968">
        <v>0</v>
      </c>
      <c r="BL968">
        <v>29276</v>
      </c>
      <c r="BM968" s="143"/>
      <c r="BN968">
        <f t="shared" si="222"/>
        <v>29276</v>
      </c>
      <c r="BO968" s="143">
        <f t="shared" si="216"/>
        <v>59.746938775510209</v>
      </c>
      <c r="BP968" t="s">
        <v>233</v>
      </c>
      <c r="BQ968" s="266" t="s">
        <v>397</v>
      </c>
      <c r="BR968" t="s">
        <v>347</v>
      </c>
      <c r="BS968">
        <v>-23000</v>
      </c>
      <c r="BT968">
        <v>-2010</v>
      </c>
      <c r="BU968" s="144">
        <v>8.739130434782609E-2</v>
      </c>
      <c r="BV968">
        <f t="shared" si="200"/>
        <v>20990</v>
      </c>
      <c r="BX968">
        <f t="shared" si="217"/>
        <v>20.99</v>
      </c>
      <c r="BY968">
        <f t="shared" si="194"/>
        <v>0.35131507036480386</v>
      </c>
      <c r="BZ968">
        <v>0</v>
      </c>
      <c r="CA968">
        <v>0</v>
      </c>
      <c r="CB968">
        <v>0</v>
      </c>
      <c r="CC968">
        <v>0</v>
      </c>
      <c r="CD968">
        <v>0</v>
      </c>
      <c r="CE968">
        <v>0</v>
      </c>
      <c r="CF968">
        <v>0</v>
      </c>
      <c r="CG968">
        <v>0</v>
      </c>
      <c r="CH968">
        <v>0</v>
      </c>
      <c r="CI968">
        <v>0</v>
      </c>
      <c r="CJ968">
        <v>0</v>
      </c>
      <c r="CK968">
        <v>0</v>
      </c>
      <c r="CL968">
        <v>0</v>
      </c>
      <c r="CM968">
        <v>0</v>
      </c>
      <c r="CN968" t="str">
        <f t="shared" si="199"/>
        <v>refOK</v>
      </c>
      <c r="CO968">
        <f t="shared" si="218"/>
        <v>0</v>
      </c>
      <c r="CP968">
        <f t="shared" si="219"/>
        <v>29276</v>
      </c>
      <c r="CQ968">
        <f t="shared" si="221"/>
        <v>59.746938775510209</v>
      </c>
      <c r="CR968">
        <f t="shared" si="210"/>
        <v>-23000</v>
      </c>
      <c r="CS968">
        <f t="shared" si="220"/>
        <v>-2010</v>
      </c>
      <c r="CT968">
        <f t="shared" si="214"/>
        <v>20.99</v>
      </c>
      <c r="CU968">
        <f t="shared" si="204"/>
        <v>0.35131507036480386</v>
      </c>
      <c r="CV968" s="2">
        <f t="shared" si="215"/>
        <v>0.91260869565217395</v>
      </c>
      <c r="CW968" s="1" t="s">
        <v>348</v>
      </c>
      <c r="CX968" t="str">
        <f t="shared" si="195"/>
        <v>loc</v>
      </c>
      <c r="CY968" t="s">
        <v>349</v>
      </c>
      <c r="CZ968">
        <v>2014</v>
      </c>
      <c r="DA968">
        <v>2514</v>
      </c>
      <c r="DB968">
        <v>500</v>
      </c>
      <c r="DC968" t="str">
        <f t="shared" si="196"/>
        <v>+100</v>
      </c>
      <c r="DD968">
        <v>0</v>
      </c>
      <c r="DE968">
        <v>0</v>
      </c>
      <c r="DF968">
        <v>0</v>
      </c>
      <c r="DG968">
        <v>1</v>
      </c>
      <c r="DI968">
        <f t="shared" si="202"/>
        <v>1</v>
      </c>
      <c r="DJ968" t="str">
        <f t="shared" si="203"/>
        <v>TimberInput</v>
      </c>
      <c r="DK968">
        <f t="shared" ref="DK968:DK1031" si="223">IF(DD968=1,DK$7,0)</f>
        <v>0</v>
      </c>
      <c r="DL968">
        <f t="shared" ref="DL968:DL1031" si="224">IF(DE968=1,DL$7,0)</f>
        <v>0</v>
      </c>
      <c r="DM968">
        <f t="shared" ref="DM968:DM1031" si="225">IF(DF968=1,DM$7,0)</f>
        <v>0</v>
      </c>
      <c r="DN968" t="str">
        <f t="shared" ref="DN968:DN1031" si="226">IF(DG968=1,DN$7,0)</f>
        <v>Timber</v>
      </c>
      <c r="DO968">
        <v>0</v>
      </c>
      <c r="DP968">
        <v>0</v>
      </c>
      <c r="DQ968">
        <v>0</v>
      </c>
      <c r="DR968">
        <v>0</v>
      </c>
      <c r="DS968">
        <v>0</v>
      </c>
      <c r="DT968">
        <f t="shared" si="212"/>
        <v>0</v>
      </c>
      <c r="DU968" s="143" t="str">
        <f t="shared" si="198"/>
        <v>explicit C balance</v>
      </c>
      <c r="DV968">
        <v>0</v>
      </c>
      <c r="DW968">
        <v>0</v>
      </c>
      <c r="DX968">
        <v>0</v>
      </c>
      <c r="DY968">
        <v>1</v>
      </c>
      <c r="DZ968">
        <v>0</v>
      </c>
      <c r="EA968" s="143">
        <v>1</v>
      </c>
      <c r="EB968">
        <v>0</v>
      </c>
      <c r="EC968">
        <v>1</v>
      </c>
      <c r="ED968">
        <v>1</v>
      </c>
      <c r="EE968">
        <v>1</v>
      </c>
      <c r="EF968">
        <v>0</v>
      </c>
      <c r="EG968">
        <v>0</v>
      </c>
      <c r="EH968">
        <v>0</v>
      </c>
      <c r="EI968" s="2">
        <v>0</v>
      </c>
      <c r="EK968" t="str">
        <f t="shared" ref="EK968:EK1031" si="227">IF(AND(AND(AND(OR($DX968=1,$DW968=1),OR($EC968=1,$EA968=1)),SUM($DV968:$DZ968,$EF968)&gt;=4),SUM($EA968:$EE968)&gt;=2),"Whole sector","")</f>
        <v/>
      </c>
      <c r="EL968" t="str">
        <f t="shared" ref="EL968:EL1031" si="228">IF(AND(AND(OR($DX968=1,$DW968=1),AND($EC968=0,$EA968=0)),SUM($DV968:$DZ968,$EF968)&gt;=4),"Ecosystem approach","")</f>
        <v/>
      </c>
      <c r="EM968" s="2" t="str">
        <f t="shared" si="197"/>
        <v>Technology approach</v>
      </c>
      <c r="EP968" t="str">
        <f>IF(ISNUMBER(BU968),IF(ABS(BU968-[2]QC_indicators!$B$2)&gt;3*[2]QC_indicators!$C$2,"C ratio",IF(ISNUMBER(BY968),IF(ABS(BY968-[2]QC_indicators!$B$1)&gt;3*[2]QC_indicators!$C$1,"DF","no"))),IF(ISNUMBER(BY968),IF(ABS(BY968-[2]QC_indicators!$B$1)&gt;3*[2]QC_indicators!$C$1,"DF","no")))</f>
        <v>no</v>
      </c>
      <c r="ER968" s="149" t="s">
        <v>350</v>
      </c>
      <c r="ET968" s="266" t="s">
        <v>3275</v>
      </c>
    </row>
    <row r="969" spans="1:150" ht="15" hidden="1" customHeight="1">
      <c r="A969" s="1" t="s">
        <v>334</v>
      </c>
      <c r="B969" t="s">
        <v>335</v>
      </c>
      <c r="C969" t="s">
        <v>336</v>
      </c>
      <c r="D969" t="s">
        <v>337</v>
      </c>
      <c r="E969" t="s">
        <v>338</v>
      </c>
      <c r="F969" t="s">
        <v>339</v>
      </c>
      <c r="G969" t="s">
        <v>340</v>
      </c>
      <c r="I969">
        <v>2017</v>
      </c>
      <c r="K969" t="s">
        <v>341</v>
      </c>
      <c r="M969" t="str">
        <f t="shared" si="201"/>
        <v>Balasbaneh_2017</v>
      </c>
      <c r="N969" t="s">
        <v>223</v>
      </c>
      <c r="O969" s="140" t="s">
        <v>342</v>
      </c>
      <c r="Q969" t="s">
        <v>225</v>
      </c>
      <c r="R969" s="264" t="s">
        <v>224</v>
      </c>
      <c r="S969" s="1" t="s">
        <v>360</v>
      </c>
      <c r="T969" t="s">
        <v>344</v>
      </c>
      <c r="U969" t="s">
        <v>358</v>
      </c>
      <c r="V969">
        <v>0</v>
      </c>
      <c r="W969">
        <v>0</v>
      </c>
      <c r="X969">
        <v>0</v>
      </c>
      <c r="Y969">
        <v>0</v>
      </c>
      <c r="Z969">
        <v>0</v>
      </c>
      <c r="AA969">
        <v>0</v>
      </c>
      <c r="AB969">
        <v>0</v>
      </c>
      <c r="AC969">
        <v>0</v>
      </c>
      <c r="AD969">
        <v>0</v>
      </c>
      <c r="AE969">
        <v>0</v>
      </c>
      <c r="AF969">
        <v>0</v>
      </c>
      <c r="AG969">
        <v>0</v>
      </c>
      <c r="AH969">
        <v>0</v>
      </c>
      <c r="AI969">
        <v>0</v>
      </c>
      <c r="AJ969">
        <v>0</v>
      </c>
      <c r="AK969">
        <v>1</v>
      </c>
      <c r="AL969">
        <v>0</v>
      </c>
      <c r="AM969">
        <v>0</v>
      </c>
      <c r="AN969">
        <v>0</v>
      </c>
      <c r="AO969">
        <v>0</v>
      </c>
      <c r="AP969">
        <v>0</v>
      </c>
      <c r="AQ969">
        <v>0</v>
      </c>
      <c r="AR969">
        <v>0</v>
      </c>
      <c r="AS969">
        <v>0</v>
      </c>
      <c r="AT969">
        <v>0</v>
      </c>
      <c r="AU969">
        <v>0</v>
      </c>
      <c r="AV969">
        <v>0</v>
      </c>
      <c r="AW969">
        <v>0</v>
      </c>
      <c r="AX969" s="141">
        <f t="shared" si="213"/>
        <v>1</v>
      </c>
      <c r="AY969" s="141">
        <f t="shared" si="188"/>
        <v>1</v>
      </c>
      <c r="AZ969">
        <f t="shared" si="189"/>
        <v>0</v>
      </c>
      <c r="BA969">
        <f t="shared" si="190"/>
        <v>0</v>
      </c>
      <c r="BB969">
        <f t="shared" si="191"/>
        <v>1</v>
      </c>
      <c r="BC969">
        <f t="shared" si="192"/>
        <v>0</v>
      </c>
      <c r="BD969">
        <f t="shared" si="193"/>
        <v>0</v>
      </c>
      <c r="BE969" t="str">
        <f t="array" ref="BE969">IF(AY969=1,INDEX($V$7:$AL$7,MATCH(TRUE,INDEX($V969:$AW969&lt;&gt;0,),0)),IF(AY969=0,INDEX($AM$7:$AW$7,MATCH(1,$AM969:$AW969,0)),IF(BF969="Multiple strategies","mixed drivers",IF(BF969="Supply chain","multiple supply","multiple silviculture"))))</f>
        <v>technologies/design switch</v>
      </c>
      <c r="BF969" s="2" t="str" cm="1">
        <f t="array" ref="BF969">IF(COUNTIF(AZ969:BB969,"&lt;&gt;0")=1,INDEX($V$4:$AW$4,MATCH(TRUE,INDEX($V969:$AW969&lt;&gt;0,),0)),IF(COUNTIF(AZ969:BB969,"&lt;&gt;0")=0,INDEX($AM$4:$AW$4,MATCH(1,$AM969:$AW969,0)),"Multiple strategies"))</f>
        <v>Technology</v>
      </c>
      <c r="BG969" s="1" t="s">
        <v>230</v>
      </c>
      <c r="BH969" t="s">
        <v>230</v>
      </c>
      <c r="BI969" s="266" t="s">
        <v>411</v>
      </c>
      <c r="BJ969" t="s">
        <v>346</v>
      </c>
      <c r="BK969">
        <v>0</v>
      </c>
      <c r="BL969">
        <v>29276</v>
      </c>
      <c r="BM969" s="143"/>
      <c r="BN969">
        <f t="shared" si="222"/>
        <v>29276</v>
      </c>
      <c r="BO969" s="143">
        <f t="shared" si="216"/>
        <v>59.746938775510209</v>
      </c>
      <c r="BP969" t="s">
        <v>233</v>
      </c>
      <c r="BQ969" s="266" t="s">
        <v>397</v>
      </c>
      <c r="BR969" t="s">
        <v>347</v>
      </c>
      <c r="BS969">
        <v>-12100</v>
      </c>
      <c r="BT969">
        <v>-2080</v>
      </c>
      <c r="BU969" s="144">
        <v>0.17190082644628099</v>
      </c>
      <c r="BV969">
        <f t="shared" si="200"/>
        <v>10020</v>
      </c>
      <c r="BX969">
        <f t="shared" si="217"/>
        <v>10.02</v>
      </c>
      <c r="BY969">
        <f t="shared" si="194"/>
        <v>0.16770733706790544</v>
      </c>
      <c r="BZ969">
        <v>0</v>
      </c>
      <c r="CA969">
        <v>0</v>
      </c>
      <c r="CB969">
        <v>0</v>
      </c>
      <c r="CC969">
        <v>0</v>
      </c>
      <c r="CD969">
        <v>0</v>
      </c>
      <c r="CE969">
        <v>0</v>
      </c>
      <c r="CF969">
        <v>0</v>
      </c>
      <c r="CG969">
        <v>0</v>
      </c>
      <c r="CH969">
        <v>0</v>
      </c>
      <c r="CI969">
        <v>0</v>
      </c>
      <c r="CJ969">
        <v>0</v>
      </c>
      <c r="CK969">
        <v>0</v>
      </c>
      <c r="CL969">
        <v>0</v>
      </c>
      <c r="CM969">
        <v>0</v>
      </c>
      <c r="CN969" t="str">
        <f t="shared" ref="CN969:CN981" si="229">IF($BL969&lt;$BK969,"refNeedCorrection","refOK")</f>
        <v>refOK</v>
      </c>
      <c r="CO969">
        <f t="shared" si="218"/>
        <v>0</v>
      </c>
      <c r="CP969">
        <f t="shared" si="219"/>
        <v>29276</v>
      </c>
      <c r="CQ969">
        <f t="shared" si="221"/>
        <v>59.746938775510209</v>
      </c>
      <c r="CR969">
        <f t="shared" si="210"/>
        <v>-12100</v>
      </c>
      <c r="CS969">
        <f t="shared" si="220"/>
        <v>-2080</v>
      </c>
      <c r="CT969">
        <f t="shared" si="214"/>
        <v>10.02</v>
      </c>
      <c r="CU969">
        <f t="shared" si="204"/>
        <v>0.16770733706790544</v>
      </c>
      <c r="CV969" s="2">
        <f t="shared" si="215"/>
        <v>0.82809917355371898</v>
      </c>
      <c r="CW969" s="1" t="s">
        <v>348</v>
      </c>
      <c r="CX969" t="str">
        <f t="shared" si="195"/>
        <v>loc</v>
      </c>
      <c r="CY969" t="s">
        <v>349</v>
      </c>
      <c r="CZ969">
        <v>2014</v>
      </c>
      <c r="DA969">
        <v>2514</v>
      </c>
      <c r="DB969">
        <v>500</v>
      </c>
      <c r="DC969" t="str">
        <f t="shared" si="196"/>
        <v>+100</v>
      </c>
      <c r="DD969">
        <v>0</v>
      </c>
      <c r="DE969">
        <v>0</v>
      </c>
      <c r="DF969">
        <v>0</v>
      </c>
      <c r="DG969">
        <v>1</v>
      </c>
      <c r="DI969">
        <f t="shared" si="202"/>
        <v>1</v>
      </c>
      <c r="DJ969" t="str">
        <f t="shared" si="203"/>
        <v>TimberInput</v>
      </c>
      <c r="DK969">
        <f t="shared" si="223"/>
        <v>0</v>
      </c>
      <c r="DL969">
        <f t="shared" si="224"/>
        <v>0</v>
      </c>
      <c r="DM969">
        <f t="shared" si="225"/>
        <v>0</v>
      </c>
      <c r="DN969" t="str">
        <f t="shared" si="226"/>
        <v>Timber</v>
      </c>
      <c r="DO969">
        <v>0</v>
      </c>
      <c r="DP969">
        <v>0</v>
      </c>
      <c r="DQ969">
        <v>0</v>
      </c>
      <c r="DR969">
        <v>0</v>
      </c>
      <c r="DS969">
        <v>0</v>
      </c>
      <c r="DT969">
        <f t="shared" si="212"/>
        <v>0</v>
      </c>
      <c r="DU969" s="143" t="str">
        <f t="shared" si="198"/>
        <v>explicit C balance</v>
      </c>
      <c r="DV969">
        <v>0</v>
      </c>
      <c r="DW969">
        <v>0</v>
      </c>
      <c r="DX969">
        <v>0</v>
      </c>
      <c r="DY969">
        <v>1</v>
      </c>
      <c r="DZ969">
        <v>0</v>
      </c>
      <c r="EA969" s="143">
        <v>1</v>
      </c>
      <c r="EB969">
        <v>0</v>
      </c>
      <c r="EC969">
        <v>1</v>
      </c>
      <c r="ED969">
        <v>1</v>
      </c>
      <c r="EE969">
        <v>1</v>
      </c>
      <c r="EF969">
        <v>0</v>
      </c>
      <c r="EG969">
        <v>0</v>
      </c>
      <c r="EH969">
        <v>0</v>
      </c>
      <c r="EI969" s="2">
        <v>0</v>
      </c>
      <c r="EK969" t="str">
        <f t="shared" si="227"/>
        <v/>
      </c>
      <c r="EL969" t="str">
        <f t="shared" si="228"/>
        <v/>
      </c>
      <c r="EM969" s="2" t="str">
        <f t="shared" si="197"/>
        <v>Technology approach</v>
      </c>
      <c r="EP969" t="str">
        <f>IF(ISNUMBER(BU969),IF(ABS(BU969-[2]QC_indicators!$B$2)&gt;3*[2]QC_indicators!$C$2,"C ratio",IF(ISNUMBER(BY969),IF(ABS(BY969-[2]QC_indicators!$B$1)&gt;3*[2]QC_indicators!$C$1,"DF","no"))),IF(ISNUMBER(BY969),IF(ABS(BY969-[2]QC_indicators!$B$1)&gt;3*[2]QC_indicators!$C$1,"DF","no")))</f>
        <v>no</v>
      </c>
      <c r="ER969" s="149" t="s">
        <v>350</v>
      </c>
      <c r="ET969" s="266" t="s">
        <v>3275</v>
      </c>
    </row>
    <row r="970" spans="1:150" ht="15" hidden="1" customHeight="1">
      <c r="A970" s="1" t="s">
        <v>334</v>
      </c>
      <c r="B970" t="s">
        <v>335</v>
      </c>
      <c r="C970" t="s">
        <v>336</v>
      </c>
      <c r="D970" t="s">
        <v>337</v>
      </c>
      <c r="E970" t="s">
        <v>338</v>
      </c>
      <c r="F970" t="s">
        <v>339</v>
      </c>
      <c r="G970" t="s">
        <v>340</v>
      </c>
      <c r="I970">
        <v>2017</v>
      </c>
      <c r="K970" t="s">
        <v>341</v>
      </c>
      <c r="M970" t="str">
        <f t="shared" si="201"/>
        <v>Balasbaneh_2017</v>
      </c>
      <c r="N970" t="s">
        <v>223</v>
      </c>
      <c r="O970" s="140" t="s">
        <v>342</v>
      </c>
      <c r="Q970" t="s">
        <v>225</v>
      </c>
      <c r="R970" s="264" t="s">
        <v>224</v>
      </c>
      <c r="S970" s="1" t="s">
        <v>359</v>
      </c>
      <c r="T970" t="s">
        <v>344</v>
      </c>
      <c r="U970" t="s">
        <v>358</v>
      </c>
      <c r="V970">
        <v>0</v>
      </c>
      <c r="W970">
        <v>0</v>
      </c>
      <c r="X970">
        <v>0</v>
      </c>
      <c r="Y970">
        <v>0</v>
      </c>
      <c r="Z970">
        <v>0</v>
      </c>
      <c r="AA970">
        <v>0</v>
      </c>
      <c r="AB970">
        <v>0</v>
      </c>
      <c r="AC970">
        <v>0</v>
      </c>
      <c r="AD970">
        <v>0</v>
      </c>
      <c r="AE970">
        <v>0</v>
      </c>
      <c r="AF970">
        <v>0</v>
      </c>
      <c r="AG970">
        <v>0</v>
      </c>
      <c r="AH970">
        <v>0</v>
      </c>
      <c r="AI970">
        <v>0</v>
      </c>
      <c r="AJ970">
        <v>0</v>
      </c>
      <c r="AK970">
        <v>1</v>
      </c>
      <c r="AL970">
        <v>0</v>
      </c>
      <c r="AM970">
        <v>0</v>
      </c>
      <c r="AN970">
        <v>0</v>
      </c>
      <c r="AO970">
        <v>0</v>
      </c>
      <c r="AP970">
        <v>0</v>
      </c>
      <c r="AQ970">
        <v>0</v>
      </c>
      <c r="AR970">
        <v>0</v>
      </c>
      <c r="AS970">
        <v>0</v>
      </c>
      <c r="AT970">
        <v>0</v>
      </c>
      <c r="AU970">
        <v>0</v>
      </c>
      <c r="AV970">
        <v>0</v>
      </c>
      <c r="AW970">
        <v>0</v>
      </c>
      <c r="AX970" s="141">
        <f t="shared" si="213"/>
        <v>1</v>
      </c>
      <c r="AY970" s="141">
        <f t="shared" si="188"/>
        <v>1</v>
      </c>
      <c r="AZ970">
        <f t="shared" si="189"/>
        <v>0</v>
      </c>
      <c r="BA970">
        <f t="shared" si="190"/>
        <v>0</v>
      </c>
      <c r="BB970">
        <f t="shared" si="191"/>
        <v>1</v>
      </c>
      <c r="BC970">
        <f t="shared" si="192"/>
        <v>0</v>
      </c>
      <c r="BD970">
        <f t="shared" si="193"/>
        <v>0</v>
      </c>
      <c r="BE970" t="str">
        <f t="array" ref="BE970">IF(AY970=1,INDEX($V$7:$AL$7,MATCH(TRUE,INDEX($V970:$AW970&lt;&gt;0,),0)),IF(AY970=0,INDEX($AM$7:$AW$7,MATCH(1,$AM970:$AW970,0)),IF(BF970="Multiple strategies","mixed drivers",IF(BF970="Supply chain","multiple supply","multiple silviculture"))))</f>
        <v>technologies/design switch</v>
      </c>
      <c r="BF970" s="2" t="str" cm="1">
        <f t="array" ref="BF970">IF(COUNTIF(AZ970:BB970,"&lt;&gt;0")=1,INDEX($V$4:$AW$4,MATCH(TRUE,INDEX($V970:$AW970&lt;&gt;0,),0)),IF(COUNTIF(AZ970:BB970,"&lt;&gt;0")=0,INDEX($AM$4:$AW$4,MATCH(1,$AM970:$AW970,0)),"Multiple strategies"))</f>
        <v>Technology</v>
      </c>
      <c r="BG970" s="1" t="s">
        <v>230</v>
      </c>
      <c r="BH970" t="s">
        <v>230</v>
      </c>
      <c r="BI970" s="266" t="s">
        <v>411</v>
      </c>
      <c r="BJ970" t="s">
        <v>346</v>
      </c>
      <c r="BK970">
        <v>0</v>
      </c>
      <c r="BL970">
        <v>29276</v>
      </c>
      <c r="BM970" s="143"/>
      <c r="BN970">
        <f t="shared" si="222"/>
        <v>29276</v>
      </c>
      <c r="BO970" s="143">
        <f t="shared" si="216"/>
        <v>59.746938775510209</v>
      </c>
      <c r="BP970" t="s">
        <v>233</v>
      </c>
      <c r="BQ970" s="266" t="s">
        <v>397</v>
      </c>
      <c r="BR970" t="s">
        <v>347</v>
      </c>
      <c r="BS970">
        <v>-11900</v>
      </c>
      <c r="BT970">
        <v>-2040</v>
      </c>
      <c r="BU970" s="144">
        <v>0.17142857142857143</v>
      </c>
      <c r="BV970">
        <f t="shared" si="200"/>
        <v>9860</v>
      </c>
      <c r="BX970">
        <f t="shared" si="217"/>
        <v>9.86</v>
      </c>
      <c r="BY970">
        <f t="shared" si="194"/>
        <v>0.16502937559775924</v>
      </c>
      <c r="BZ970">
        <v>0</v>
      </c>
      <c r="CA970">
        <v>0</v>
      </c>
      <c r="CB970">
        <v>0</v>
      </c>
      <c r="CC970">
        <v>0</v>
      </c>
      <c r="CD970">
        <v>0</v>
      </c>
      <c r="CE970">
        <v>0</v>
      </c>
      <c r="CF970">
        <v>0</v>
      </c>
      <c r="CG970">
        <v>0</v>
      </c>
      <c r="CH970">
        <v>0</v>
      </c>
      <c r="CI970">
        <v>0</v>
      </c>
      <c r="CJ970">
        <v>0</v>
      </c>
      <c r="CK970">
        <v>0</v>
      </c>
      <c r="CL970">
        <v>0</v>
      </c>
      <c r="CM970">
        <v>0</v>
      </c>
      <c r="CN970" t="str">
        <f t="shared" si="229"/>
        <v>refOK</v>
      </c>
      <c r="CO970">
        <f t="shared" si="218"/>
        <v>0</v>
      </c>
      <c r="CP970">
        <f t="shared" si="219"/>
        <v>29276</v>
      </c>
      <c r="CQ970">
        <f t="shared" si="221"/>
        <v>59.746938775510209</v>
      </c>
      <c r="CR970">
        <f t="shared" si="210"/>
        <v>-11900</v>
      </c>
      <c r="CS970">
        <f t="shared" si="220"/>
        <v>-2040</v>
      </c>
      <c r="CT970">
        <f t="shared" si="214"/>
        <v>9.86</v>
      </c>
      <c r="CU970">
        <f t="shared" si="204"/>
        <v>0.16502937559775924</v>
      </c>
      <c r="CV970" s="2">
        <f t="shared" si="215"/>
        <v>0.82857142857142863</v>
      </c>
      <c r="CW970" s="1" t="s">
        <v>348</v>
      </c>
      <c r="CX970" t="str">
        <f t="shared" si="195"/>
        <v>loc</v>
      </c>
      <c r="CY970" t="s">
        <v>349</v>
      </c>
      <c r="CZ970">
        <v>2014</v>
      </c>
      <c r="DA970">
        <v>2514</v>
      </c>
      <c r="DB970">
        <v>500</v>
      </c>
      <c r="DC970" t="str">
        <f t="shared" si="196"/>
        <v>+100</v>
      </c>
      <c r="DD970">
        <v>0</v>
      </c>
      <c r="DE970">
        <v>0</v>
      </c>
      <c r="DF970">
        <v>0</v>
      </c>
      <c r="DG970">
        <v>1</v>
      </c>
      <c r="DI970">
        <f t="shared" si="202"/>
        <v>1</v>
      </c>
      <c r="DJ970" t="str">
        <f t="shared" si="203"/>
        <v>TimberInput</v>
      </c>
      <c r="DK970">
        <f t="shared" si="223"/>
        <v>0</v>
      </c>
      <c r="DL970">
        <f t="shared" si="224"/>
        <v>0</v>
      </c>
      <c r="DM970">
        <f t="shared" si="225"/>
        <v>0</v>
      </c>
      <c r="DN970" t="str">
        <f t="shared" si="226"/>
        <v>Timber</v>
      </c>
      <c r="DO970">
        <v>0</v>
      </c>
      <c r="DP970">
        <v>0</v>
      </c>
      <c r="DQ970">
        <v>0</v>
      </c>
      <c r="DR970">
        <v>0</v>
      </c>
      <c r="DS970">
        <v>0</v>
      </c>
      <c r="DT970">
        <f t="shared" si="212"/>
        <v>0</v>
      </c>
      <c r="DU970" s="143" t="str">
        <f t="shared" si="198"/>
        <v>explicit C balance</v>
      </c>
      <c r="DV970">
        <v>0</v>
      </c>
      <c r="DW970">
        <v>0</v>
      </c>
      <c r="DX970">
        <v>0</v>
      </c>
      <c r="DY970">
        <v>1</v>
      </c>
      <c r="DZ970">
        <v>0</v>
      </c>
      <c r="EA970" s="143">
        <v>1</v>
      </c>
      <c r="EB970">
        <v>0</v>
      </c>
      <c r="EC970">
        <v>1</v>
      </c>
      <c r="ED970">
        <v>1</v>
      </c>
      <c r="EE970">
        <v>1</v>
      </c>
      <c r="EF970">
        <v>0</v>
      </c>
      <c r="EG970">
        <v>0</v>
      </c>
      <c r="EH970">
        <v>0</v>
      </c>
      <c r="EI970" s="2">
        <v>0</v>
      </c>
      <c r="EK970" t="str">
        <f t="shared" si="227"/>
        <v/>
      </c>
      <c r="EL970" t="str">
        <f t="shared" si="228"/>
        <v/>
      </c>
      <c r="EM970" s="2" t="str">
        <f t="shared" si="197"/>
        <v>Technology approach</v>
      </c>
      <c r="EP970" t="str">
        <f>IF(ISNUMBER(BU970),IF(ABS(BU970-[2]QC_indicators!$B$2)&gt;3*[2]QC_indicators!$C$2,"C ratio",IF(ISNUMBER(BY970),IF(ABS(BY970-[2]QC_indicators!$B$1)&gt;3*[2]QC_indicators!$C$1,"DF","no"))),IF(ISNUMBER(BY970),IF(ABS(BY970-[2]QC_indicators!$B$1)&gt;3*[2]QC_indicators!$C$1,"DF","no")))</f>
        <v>no</v>
      </c>
      <c r="ER970" s="149" t="s">
        <v>350</v>
      </c>
      <c r="ET970" s="266" t="s">
        <v>3275</v>
      </c>
    </row>
    <row r="971" spans="1:150" ht="15" hidden="1" customHeight="1">
      <c r="A971" s="1" t="s">
        <v>334</v>
      </c>
      <c r="B971" t="s">
        <v>335</v>
      </c>
      <c r="C971" t="s">
        <v>336</v>
      </c>
      <c r="D971" t="s">
        <v>337</v>
      </c>
      <c r="E971" t="s">
        <v>338</v>
      </c>
      <c r="F971" t="s">
        <v>339</v>
      </c>
      <c r="G971" t="s">
        <v>340</v>
      </c>
      <c r="I971">
        <v>2017</v>
      </c>
      <c r="K971" t="s">
        <v>341</v>
      </c>
      <c r="M971" t="str">
        <f t="shared" si="201"/>
        <v>Balasbaneh_2017</v>
      </c>
      <c r="N971" t="s">
        <v>223</v>
      </c>
      <c r="O971" s="140" t="s">
        <v>342</v>
      </c>
      <c r="Q971" t="s">
        <v>225</v>
      </c>
      <c r="R971" s="264" t="s">
        <v>224</v>
      </c>
      <c r="S971" s="1" t="s">
        <v>357</v>
      </c>
      <c r="T971" t="s">
        <v>344</v>
      </c>
      <c r="U971" t="s">
        <v>358</v>
      </c>
      <c r="V971">
        <v>0</v>
      </c>
      <c r="W971">
        <v>0</v>
      </c>
      <c r="X971">
        <v>0</v>
      </c>
      <c r="Y971">
        <v>0</v>
      </c>
      <c r="Z971">
        <v>0</v>
      </c>
      <c r="AA971">
        <v>0</v>
      </c>
      <c r="AB971">
        <v>0</v>
      </c>
      <c r="AC971">
        <v>0</v>
      </c>
      <c r="AD971">
        <v>0</v>
      </c>
      <c r="AE971">
        <v>0</v>
      </c>
      <c r="AF971">
        <v>0</v>
      </c>
      <c r="AG971">
        <v>0</v>
      </c>
      <c r="AH971">
        <v>0</v>
      </c>
      <c r="AI971">
        <v>0</v>
      </c>
      <c r="AJ971">
        <v>0</v>
      </c>
      <c r="AK971">
        <v>1</v>
      </c>
      <c r="AL971">
        <v>0</v>
      </c>
      <c r="AM971">
        <v>0</v>
      </c>
      <c r="AN971">
        <v>0</v>
      </c>
      <c r="AO971">
        <v>0</v>
      </c>
      <c r="AP971">
        <v>0</v>
      </c>
      <c r="AQ971">
        <v>0</v>
      </c>
      <c r="AR971">
        <v>0</v>
      </c>
      <c r="AS971">
        <v>0</v>
      </c>
      <c r="AT971">
        <v>0</v>
      </c>
      <c r="AU971">
        <v>0</v>
      </c>
      <c r="AV971">
        <v>0</v>
      </c>
      <c r="AW971">
        <v>0</v>
      </c>
      <c r="AX971" s="141">
        <f t="shared" si="213"/>
        <v>1</v>
      </c>
      <c r="AY971" s="141">
        <f t="shared" si="188"/>
        <v>1</v>
      </c>
      <c r="AZ971">
        <f t="shared" si="189"/>
        <v>0</v>
      </c>
      <c r="BA971">
        <f t="shared" si="190"/>
        <v>0</v>
      </c>
      <c r="BB971">
        <f t="shared" si="191"/>
        <v>1</v>
      </c>
      <c r="BC971">
        <f t="shared" si="192"/>
        <v>0</v>
      </c>
      <c r="BD971">
        <f t="shared" si="193"/>
        <v>0</v>
      </c>
      <c r="BE971" t="str">
        <f t="array" ref="BE971">IF(AY971=1,INDEX($V$7:$AL$7,MATCH(TRUE,INDEX($V971:$AW971&lt;&gt;0,),0)),IF(AY971=0,INDEX($AM$7:$AW$7,MATCH(1,$AM971:$AW971,0)),IF(BF971="Multiple strategies","mixed drivers",IF(BF971="Supply chain","multiple supply","multiple silviculture"))))</f>
        <v>technologies/design switch</v>
      </c>
      <c r="BF971" s="2" t="str" cm="1">
        <f t="array" ref="BF971">IF(COUNTIF(AZ971:BB971,"&lt;&gt;0")=1,INDEX($V$4:$AW$4,MATCH(TRUE,INDEX($V971:$AW971&lt;&gt;0,),0)),IF(COUNTIF(AZ971:BB971,"&lt;&gt;0")=0,INDEX($AM$4:$AW$4,MATCH(1,$AM971:$AW971,0)),"Multiple strategies"))</f>
        <v>Technology</v>
      </c>
      <c r="BG971" s="1" t="s">
        <v>230</v>
      </c>
      <c r="BH971" t="s">
        <v>230</v>
      </c>
      <c r="BI971" s="266" t="s">
        <v>411</v>
      </c>
      <c r="BJ971" t="s">
        <v>346</v>
      </c>
      <c r="BK971">
        <v>0</v>
      </c>
      <c r="BL971">
        <v>29276</v>
      </c>
      <c r="BM971" s="143"/>
      <c r="BN971">
        <f t="shared" si="222"/>
        <v>29276</v>
      </c>
      <c r="BO971" s="143">
        <f t="shared" si="216"/>
        <v>59.746938775510209</v>
      </c>
      <c r="BP971" t="s">
        <v>233</v>
      </c>
      <c r="BQ971" s="266" t="s">
        <v>397</v>
      </c>
      <c r="BR971" t="s">
        <v>347</v>
      </c>
      <c r="BS971">
        <v>-11200</v>
      </c>
      <c r="BT971">
        <v>-2010</v>
      </c>
      <c r="BU971" s="144">
        <v>0.17946428571428572</v>
      </c>
      <c r="BV971">
        <f t="shared" si="200"/>
        <v>9190</v>
      </c>
      <c r="BX971">
        <f t="shared" si="217"/>
        <v>9.19</v>
      </c>
      <c r="BY971">
        <f t="shared" si="194"/>
        <v>0.15381541194152204</v>
      </c>
      <c r="BZ971">
        <v>0</v>
      </c>
      <c r="CA971">
        <v>0</v>
      </c>
      <c r="CB971">
        <v>0</v>
      </c>
      <c r="CC971">
        <v>0</v>
      </c>
      <c r="CD971">
        <v>0</v>
      </c>
      <c r="CE971">
        <v>0</v>
      </c>
      <c r="CF971">
        <v>0</v>
      </c>
      <c r="CG971">
        <v>0</v>
      </c>
      <c r="CH971">
        <v>0</v>
      </c>
      <c r="CI971">
        <v>0</v>
      </c>
      <c r="CJ971">
        <v>0</v>
      </c>
      <c r="CK971">
        <v>0</v>
      </c>
      <c r="CL971">
        <v>0</v>
      </c>
      <c r="CM971">
        <v>0</v>
      </c>
      <c r="CN971" t="str">
        <f t="shared" si="229"/>
        <v>refOK</v>
      </c>
      <c r="CO971">
        <f t="shared" si="218"/>
        <v>0</v>
      </c>
      <c r="CP971">
        <f t="shared" si="219"/>
        <v>29276</v>
      </c>
      <c r="CQ971">
        <f t="shared" si="221"/>
        <v>59.746938775510209</v>
      </c>
      <c r="CR971">
        <f t="shared" si="210"/>
        <v>-11200</v>
      </c>
      <c r="CS971">
        <f t="shared" si="220"/>
        <v>-2010</v>
      </c>
      <c r="CT971">
        <f t="shared" si="214"/>
        <v>9.19</v>
      </c>
      <c r="CU971">
        <f t="shared" si="204"/>
        <v>0.15381541194152204</v>
      </c>
      <c r="CV971" s="2">
        <f t="shared" si="215"/>
        <v>0.82053571428571426</v>
      </c>
      <c r="CW971" s="1" t="s">
        <v>348</v>
      </c>
      <c r="CX971" t="str">
        <f t="shared" si="195"/>
        <v>loc</v>
      </c>
      <c r="CY971" t="s">
        <v>349</v>
      </c>
      <c r="CZ971">
        <v>2014</v>
      </c>
      <c r="DA971">
        <v>2514</v>
      </c>
      <c r="DB971">
        <v>500</v>
      </c>
      <c r="DC971" t="str">
        <f t="shared" si="196"/>
        <v>+100</v>
      </c>
      <c r="DD971">
        <v>0</v>
      </c>
      <c r="DE971">
        <v>0</v>
      </c>
      <c r="DF971">
        <v>0</v>
      </c>
      <c r="DG971">
        <v>1</v>
      </c>
      <c r="DI971">
        <f t="shared" ref="DI971:DI1002" si="230">SUM(DD971:DG971)</f>
        <v>1</v>
      </c>
      <c r="DJ971" t="str">
        <f t="shared" si="203"/>
        <v>TimberInput</v>
      </c>
      <c r="DK971">
        <f t="shared" si="223"/>
        <v>0</v>
      </c>
      <c r="DL971">
        <f t="shared" si="224"/>
        <v>0</v>
      </c>
      <c r="DM971">
        <f t="shared" si="225"/>
        <v>0</v>
      </c>
      <c r="DN971" t="str">
        <f t="shared" si="226"/>
        <v>Timber</v>
      </c>
      <c r="DO971">
        <v>0</v>
      </c>
      <c r="DP971">
        <v>0</v>
      </c>
      <c r="DQ971">
        <v>0</v>
      </c>
      <c r="DR971">
        <v>0</v>
      </c>
      <c r="DS971">
        <v>0</v>
      </c>
      <c r="DT971">
        <f t="shared" si="212"/>
        <v>0</v>
      </c>
      <c r="DU971" s="143" t="str">
        <f t="shared" si="198"/>
        <v>explicit C balance</v>
      </c>
      <c r="DV971">
        <v>0</v>
      </c>
      <c r="DW971">
        <v>0</v>
      </c>
      <c r="DX971">
        <v>0</v>
      </c>
      <c r="DY971">
        <v>1</v>
      </c>
      <c r="DZ971">
        <v>0</v>
      </c>
      <c r="EA971" s="143">
        <v>1</v>
      </c>
      <c r="EB971">
        <v>0</v>
      </c>
      <c r="EC971">
        <v>1</v>
      </c>
      <c r="ED971">
        <v>1</v>
      </c>
      <c r="EE971">
        <v>1</v>
      </c>
      <c r="EF971">
        <v>0</v>
      </c>
      <c r="EG971">
        <v>0</v>
      </c>
      <c r="EH971">
        <v>0</v>
      </c>
      <c r="EI971" s="2">
        <v>0</v>
      </c>
      <c r="EK971" t="str">
        <f t="shared" si="227"/>
        <v/>
      </c>
      <c r="EL971" t="str">
        <f t="shared" si="228"/>
        <v/>
      </c>
      <c r="EM971" s="2" t="str">
        <f t="shared" si="197"/>
        <v>Technology approach</v>
      </c>
      <c r="EP971" t="str">
        <f>IF(ISNUMBER(BU971),IF(ABS(BU971-[2]QC_indicators!$B$2)&gt;3*[2]QC_indicators!$C$2,"C ratio",IF(ISNUMBER(BY971),IF(ABS(BY971-[2]QC_indicators!$B$1)&gt;3*[2]QC_indicators!$C$1,"DF","no"))),IF(ISNUMBER(BY971),IF(ABS(BY971-[2]QC_indicators!$B$1)&gt;3*[2]QC_indicators!$C$1,"DF","no")))</f>
        <v>no</v>
      </c>
      <c r="ER971" s="149" t="s">
        <v>350</v>
      </c>
      <c r="ET971" s="266" t="s">
        <v>3275</v>
      </c>
    </row>
    <row r="972" spans="1:150" ht="15" hidden="1" customHeight="1">
      <c r="A972" s="1" t="s">
        <v>1235</v>
      </c>
      <c r="B972" t="s">
        <v>1236</v>
      </c>
      <c r="C972" t="s">
        <v>1237</v>
      </c>
      <c r="D972" t="s">
        <v>337</v>
      </c>
      <c r="E972" t="s">
        <v>1238</v>
      </c>
      <c r="F972" t="s">
        <v>1239</v>
      </c>
      <c r="G972" t="s">
        <v>1240</v>
      </c>
      <c r="I972">
        <v>2018</v>
      </c>
      <c r="K972" t="s">
        <v>1241</v>
      </c>
      <c r="M972" t="str">
        <f t="shared" si="201"/>
        <v>Balasbaneh_2018</v>
      </c>
      <c r="N972" t="s">
        <v>223</v>
      </c>
      <c r="O972" s="140" t="s">
        <v>514</v>
      </c>
      <c r="Q972" t="s">
        <v>225</v>
      </c>
      <c r="R972" s="264" t="s">
        <v>224</v>
      </c>
      <c r="S972" s="1" t="s">
        <v>1263</v>
      </c>
      <c r="T972" s="266" t="s">
        <v>3112</v>
      </c>
      <c r="U972" s="266" t="s">
        <v>3113</v>
      </c>
      <c r="V972">
        <v>0</v>
      </c>
      <c r="W972">
        <v>0</v>
      </c>
      <c r="X972">
        <v>0</v>
      </c>
      <c r="Y972">
        <v>0</v>
      </c>
      <c r="Z972">
        <v>0</v>
      </c>
      <c r="AA972">
        <v>0</v>
      </c>
      <c r="AB972">
        <v>0</v>
      </c>
      <c r="AC972">
        <v>0</v>
      </c>
      <c r="AD972">
        <v>0</v>
      </c>
      <c r="AE972">
        <v>0</v>
      </c>
      <c r="AF972">
        <v>0</v>
      </c>
      <c r="AG972">
        <v>0</v>
      </c>
      <c r="AH972">
        <v>0</v>
      </c>
      <c r="AI972">
        <v>0</v>
      </c>
      <c r="AJ972">
        <v>0</v>
      </c>
      <c r="AK972">
        <v>1</v>
      </c>
      <c r="AL972">
        <v>0</v>
      </c>
      <c r="AM972">
        <v>0</v>
      </c>
      <c r="AN972">
        <v>0</v>
      </c>
      <c r="AO972">
        <v>0</v>
      </c>
      <c r="AP972">
        <v>0</v>
      </c>
      <c r="AQ972">
        <v>0</v>
      </c>
      <c r="AR972">
        <v>0</v>
      </c>
      <c r="AS972">
        <v>0</v>
      </c>
      <c r="AT972">
        <v>0</v>
      </c>
      <c r="AU972">
        <v>0</v>
      </c>
      <c r="AV972">
        <v>0</v>
      </c>
      <c r="AW972">
        <v>0</v>
      </c>
      <c r="AX972" s="141">
        <f t="shared" si="213"/>
        <v>1</v>
      </c>
      <c r="AY972" s="141">
        <f t="shared" si="188"/>
        <v>1</v>
      </c>
      <c r="AZ972">
        <f t="shared" si="189"/>
        <v>0</v>
      </c>
      <c r="BA972">
        <f t="shared" si="190"/>
        <v>0</v>
      </c>
      <c r="BB972">
        <f t="shared" si="191"/>
        <v>1</v>
      </c>
      <c r="BC972">
        <f t="shared" si="192"/>
        <v>0</v>
      </c>
      <c r="BD972">
        <f t="shared" si="193"/>
        <v>0</v>
      </c>
      <c r="BE972" t="str">
        <f t="array" ref="BE972">IF(AY972=1,INDEX($V$7:$AL$7,MATCH(TRUE,INDEX($V972:$AW972&lt;&gt;0,),0)),IF(AY972=0,INDEX($AM$7:$AW$7,MATCH(1,$AM972:$AW972,0)),IF(BF972="Multiple strategies","mixed drivers",IF(BF972="Supply chain","multiple supply","multiple silviculture"))))</f>
        <v>technologies/design switch</v>
      </c>
      <c r="BF972" s="2" t="str" cm="1">
        <f t="array" ref="BF972">IF(COUNTIF(AZ972:BB972,"&lt;&gt;0")=1,INDEX($V$4:$AW$4,MATCH(TRUE,INDEX($V972:$AW972&lt;&gt;0,),0)),IF(COUNTIF(AZ972:BB972,"&lt;&gt;0")=0,INDEX($AM$4:$AW$4,MATCH(1,$AM972:$AW972,0)),"Multiple strategies"))</f>
        <v>Technology</v>
      </c>
      <c r="BG972" s="1" t="s">
        <v>230</v>
      </c>
      <c r="BH972" t="s">
        <v>230</v>
      </c>
      <c r="BJ972" t="s">
        <v>346</v>
      </c>
      <c r="BK972">
        <v>0</v>
      </c>
      <c r="BL972">
        <v>15468</v>
      </c>
      <c r="BM972" s="143"/>
      <c r="BN972">
        <f t="shared" si="222"/>
        <v>15468</v>
      </c>
      <c r="BO972" s="143">
        <f t="shared" si="216"/>
        <v>31.567346938775515</v>
      </c>
      <c r="BP972" t="s">
        <v>233</v>
      </c>
      <c r="BQ972" s="153" t="s">
        <v>1059</v>
      </c>
      <c r="BR972" t="s">
        <v>398</v>
      </c>
      <c r="BS972">
        <v>-19800</v>
      </c>
      <c r="BT972">
        <v>-5130</v>
      </c>
      <c r="BU972" s="144">
        <v>0.25909090909090909</v>
      </c>
      <c r="BV972">
        <v>14670</v>
      </c>
      <c r="BX972">
        <f t="shared" si="217"/>
        <v>14.67</v>
      </c>
      <c r="BY972">
        <f t="shared" si="194"/>
        <v>0.46472071373157481</v>
      </c>
      <c r="BZ972">
        <v>0</v>
      </c>
      <c r="CA972">
        <v>0</v>
      </c>
      <c r="CB972">
        <v>0</v>
      </c>
      <c r="CC972">
        <v>0</v>
      </c>
      <c r="CD972">
        <v>0</v>
      </c>
      <c r="CE972">
        <v>0</v>
      </c>
      <c r="CF972">
        <v>0</v>
      </c>
      <c r="CG972">
        <v>0</v>
      </c>
      <c r="CH972">
        <v>0</v>
      </c>
      <c r="CI972">
        <v>0</v>
      </c>
      <c r="CJ972">
        <v>0</v>
      </c>
      <c r="CK972">
        <v>0</v>
      </c>
      <c r="CL972">
        <v>0</v>
      </c>
      <c r="CM972">
        <v>0</v>
      </c>
      <c r="CN972" t="str">
        <f t="shared" si="229"/>
        <v>refOK</v>
      </c>
      <c r="CO972">
        <f t="shared" si="218"/>
        <v>0</v>
      </c>
      <c r="CP972">
        <f t="shared" si="219"/>
        <v>15468</v>
      </c>
      <c r="CQ972">
        <f t="shared" si="221"/>
        <v>31.567346938775515</v>
      </c>
      <c r="CR972">
        <f t="shared" si="210"/>
        <v>-19800</v>
      </c>
      <c r="CS972">
        <f t="shared" si="220"/>
        <v>-5130</v>
      </c>
      <c r="CT972">
        <f t="shared" si="214"/>
        <v>14.67</v>
      </c>
      <c r="CU972">
        <f t="shared" si="204"/>
        <v>0.46472071373157481</v>
      </c>
      <c r="CV972" s="2">
        <f t="shared" si="215"/>
        <v>0.74090909090909096</v>
      </c>
      <c r="CW972" s="1" t="s">
        <v>1205</v>
      </c>
      <c r="CX972" t="str">
        <f t="shared" si="195"/>
        <v>reg</v>
      </c>
      <c r="CY972" t="s">
        <v>349</v>
      </c>
      <c r="CZ972">
        <v>2014</v>
      </c>
      <c r="DA972">
        <v>2514</v>
      </c>
      <c r="DB972">
        <v>500</v>
      </c>
      <c r="DC972" t="str">
        <f t="shared" si="196"/>
        <v>+100</v>
      </c>
      <c r="DD972">
        <v>0</v>
      </c>
      <c r="DE972">
        <v>0</v>
      </c>
      <c r="DF972">
        <v>0</v>
      </c>
      <c r="DG972">
        <v>1</v>
      </c>
      <c r="DI972">
        <f t="shared" si="230"/>
        <v>1</v>
      </c>
      <c r="DJ972" t="str">
        <f t="shared" si="203"/>
        <v>TimberInput</v>
      </c>
      <c r="DK972">
        <f t="shared" si="223"/>
        <v>0</v>
      </c>
      <c r="DL972">
        <f t="shared" si="224"/>
        <v>0</v>
      </c>
      <c r="DM972">
        <f t="shared" si="225"/>
        <v>0</v>
      </c>
      <c r="DN972" t="str">
        <f t="shared" si="226"/>
        <v>Timber</v>
      </c>
      <c r="DO972">
        <v>0</v>
      </c>
      <c r="DP972">
        <v>0</v>
      </c>
      <c r="DQ972">
        <v>0</v>
      </c>
      <c r="DR972">
        <v>0</v>
      </c>
      <c r="DS972">
        <v>0</v>
      </c>
      <c r="DT972">
        <f t="shared" si="212"/>
        <v>0</v>
      </c>
      <c r="DU972" s="143" t="str">
        <f t="shared" si="198"/>
        <v>explicit C balance</v>
      </c>
      <c r="DV972">
        <v>0</v>
      </c>
      <c r="DW972">
        <v>0</v>
      </c>
      <c r="DX972">
        <v>0</v>
      </c>
      <c r="DY972">
        <v>0</v>
      </c>
      <c r="DZ972">
        <v>0</v>
      </c>
      <c r="EA972" s="143">
        <v>1</v>
      </c>
      <c r="EB972">
        <v>0</v>
      </c>
      <c r="EC972">
        <v>1</v>
      </c>
      <c r="ED972">
        <v>1</v>
      </c>
      <c r="EE972">
        <v>1</v>
      </c>
      <c r="EF972">
        <v>0</v>
      </c>
      <c r="EG972">
        <v>0</v>
      </c>
      <c r="EH972">
        <v>0</v>
      </c>
      <c r="EI972" s="2">
        <v>0</v>
      </c>
      <c r="EK972" t="str">
        <f t="shared" si="227"/>
        <v/>
      </c>
      <c r="EL972" t="str">
        <f t="shared" si="228"/>
        <v/>
      </c>
      <c r="EM972" s="2" t="str">
        <f t="shared" si="197"/>
        <v>Technology approach</v>
      </c>
      <c r="EP972" t="str">
        <f>IF(ISNUMBER(BU972),IF(ABS(BU972-[2]QC_indicators!$B$2)&gt;3*[2]QC_indicators!$C$2,"C ratio",IF(ISNUMBER(BY972),IF(ABS(BY972-[2]QC_indicators!$B$1)&gt;3*[2]QC_indicators!$C$1,"DF","no"))),IF(ISNUMBER(BY972),IF(ABS(BY972-[2]QC_indicators!$B$1)&gt;3*[2]QC_indicators!$C$1,"DF","no")))</f>
        <v>no</v>
      </c>
      <c r="ER972" s="149" t="s">
        <v>350</v>
      </c>
      <c r="ET972" s="266" t="s">
        <v>3275</v>
      </c>
    </row>
    <row r="973" spans="1:150" ht="15" hidden="1" customHeight="1">
      <c r="A973" s="1" t="s">
        <v>1235</v>
      </c>
      <c r="B973" t="s">
        <v>1236</v>
      </c>
      <c r="C973" t="s">
        <v>1237</v>
      </c>
      <c r="D973" t="s">
        <v>337</v>
      </c>
      <c r="E973" t="s">
        <v>1238</v>
      </c>
      <c r="F973" t="s">
        <v>1239</v>
      </c>
      <c r="G973" t="s">
        <v>1240</v>
      </c>
      <c r="I973">
        <v>2018</v>
      </c>
      <c r="K973" t="s">
        <v>1241</v>
      </c>
      <c r="M973" t="str">
        <f t="shared" si="201"/>
        <v>Balasbaneh_2018</v>
      </c>
      <c r="N973" t="s">
        <v>223</v>
      </c>
      <c r="O973" s="140" t="s">
        <v>514</v>
      </c>
      <c r="Q973" t="s">
        <v>225</v>
      </c>
      <c r="R973" s="264" t="s">
        <v>224</v>
      </c>
      <c r="S973" s="1" t="s">
        <v>1255</v>
      </c>
      <c r="T973" s="266" t="s">
        <v>3114</v>
      </c>
      <c r="U973" s="266" t="s">
        <v>3113</v>
      </c>
      <c r="V973">
        <v>0</v>
      </c>
      <c r="W973">
        <v>0</v>
      </c>
      <c r="X973">
        <v>0</v>
      </c>
      <c r="Y973">
        <v>0</v>
      </c>
      <c r="Z973">
        <v>0</v>
      </c>
      <c r="AA973">
        <v>0</v>
      </c>
      <c r="AB973">
        <v>0</v>
      </c>
      <c r="AC973">
        <v>0</v>
      </c>
      <c r="AD973">
        <v>0</v>
      </c>
      <c r="AE973">
        <v>0</v>
      </c>
      <c r="AF973">
        <v>0</v>
      </c>
      <c r="AG973">
        <v>0</v>
      </c>
      <c r="AH973">
        <v>0</v>
      </c>
      <c r="AI973">
        <v>0</v>
      </c>
      <c r="AJ973">
        <v>0</v>
      </c>
      <c r="AK973">
        <v>1</v>
      </c>
      <c r="AL973">
        <v>0</v>
      </c>
      <c r="AM973">
        <v>0</v>
      </c>
      <c r="AN973">
        <v>0</v>
      </c>
      <c r="AO973">
        <v>0</v>
      </c>
      <c r="AP973">
        <v>0</v>
      </c>
      <c r="AQ973">
        <v>0</v>
      </c>
      <c r="AR973">
        <v>0</v>
      </c>
      <c r="AS973">
        <v>0</v>
      </c>
      <c r="AT973">
        <v>0</v>
      </c>
      <c r="AU973">
        <v>0</v>
      </c>
      <c r="AV973">
        <v>0</v>
      </c>
      <c r="AW973">
        <v>0</v>
      </c>
      <c r="AX973" s="141">
        <f t="shared" si="213"/>
        <v>1</v>
      </c>
      <c r="AY973" s="141">
        <f t="shared" si="188"/>
        <v>1</v>
      </c>
      <c r="AZ973">
        <f t="shared" si="189"/>
        <v>0</v>
      </c>
      <c r="BA973">
        <f t="shared" si="190"/>
        <v>0</v>
      </c>
      <c r="BB973">
        <f t="shared" si="191"/>
        <v>1</v>
      </c>
      <c r="BC973">
        <f t="shared" si="192"/>
        <v>0</v>
      </c>
      <c r="BD973">
        <f t="shared" si="193"/>
        <v>0</v>
      </c>
      <c r="BE973" t="str">
        <f t="array" ref="BE973">IF(AY973=1,INDEX($V$7:$AL$7,MATCH(TRUE,INDEX($V973:$AW973&lt;&gt;0,),0)),IF(AY973=0,INDEX($AM$7:$AW$7,MATCH(1,$AM973:$AW973,0)),IF(BF973="Multiple strategies","mixed drivers",IF(BF973="Supply chain","multiple supply","multiple silviculture"))))</f>
        <v>technologies/design switch</v>
      </c>
      <c r="BF973" s="2" t="str" cm="1">
        <f t="array" ref="BF973">IF(COUNTIF(AZ973:BB973,"&lt;&gt;0")=1,INDEX($V$4:$AW$4,MATCH(TRUE,INDEX($V973:$AW973&lt;&gt;0,),0)),IF(COUNTIF(AZ973:BB973,"&lt;&gt;0")=0,INDEX($AM$4:$AW$4,MATCH(1,$AM973:$AW973,0)),"Multiple strategies"))</f>
        <v>Technology</v>
      </c>
      <c r="BG973" s="1" t="s">
        <v>230</v>
      </c>
      <c r="BH973" t="s">
        <v>230</v>
      </c>
      <c r="BJ973" t="s">
        <v>346</v>
      </c>
      <c r="BK973">
        <v>0</v>
      </c>
      <c r="BL973">
        <v>15468</v>
      </c>
      <c r="BM973" s="143"/>
      <c r="BN973">
        <f t="shared" si="222"/>
        <v>15468</v>
      </c>
      <c r="BO973" s="143">
        <f t="shared" si="216"/>
        <v>31.567346938775515</v>
      </c>
      <c r="BP973" t="s">
        <v>233</v>
      </c>
      <c r="BQ973" s="153" t="s">
        <v>1059</v>
      </c>
      <c r="BR973" t="s">
        <v>398</v>
      </c>
      <c r="BS973">
        <v>-13900</v>
      </c>
      <c r="BT973">
        <v>-5130</v>
      </c>
      <c r="BU973" s="144">
        <v>0.36906474820143886</v>
      </c>
      <c r="BV973">
        <v>8770</v>
      </c>
      <c r="BX973">
        <f t="shared" si="217"/>
        <v>8.77</v>
      </c>
      <c r="BY973">
        <f t="shared" si="194"/>
        <v>0.27781872252392031</v>
      </c>
      <c r="BZ973">
        <v>0</v>
      </c>
      <c r="CA973">
        <v>0</v>
      </c>
      <c r="CB973">
        <v>0</v>
      </c>
      <c r="CC973">
        <v>0</v>
      </c>
      <c r="CD973">
        <v>0</v>
      </c>
      <c r="CE973">
        <v>0</v>
      </c>
      <c r="CF973">
        <v>0</v>
      </c>
      <c r="CG973">
        <v>0</v>
      </c>
      <c r="CH973">
        <v>0</v>
      </c>
      <c r="CI973">
        <v>0</v>
      </c>
      <c r="CJ973">
        <v>0</v>
      </c>
      <c r="CK973">
        <v>0</v>
      </c>
      <c r="CL973">
        <v>0</v>
      </c>
      <c r="CM973">
        <v>0</v>
      </c>
      <c r="CN973" t="str">
        <f t="shared" si="229"/>
        <v>refOK</v>
      </c>
      <c r="CO973">
        <f t="shared" si="218"/>
        <v>0</v>
      </c>
      <c r="CP973">
        <f t="shared" si="219"/>
        <v>15468</v>
      </c>
      <c r="CQ973">
        <f t="shared" si="221"/>
        <v>31.567346938775515</v>
      </c>
      <c r="CR973">
        <f t="shared" si="210"/>
        <v>-13900</v>
      </c>
      <c r="CS973">
        <f t="shared" si="220"/>
        <v>-5130</v>
      </c>
      <c r="CT973">
        <f t="shared" si="214"/>
        <v>8.77</v>
      </c>
      <c r="CU973">
        <f t="shared" si="204"/>
        <v>0.27781872252392031</v>
      </c>
      <c r="CV973" s="2">
        <f t="shared" si="215"/>
        <v>0.63093525179856114</v>
      </c>
      <c r="CW973" s="1" t="s">
        <v>1205</v>
      </c>
      <c r="CX973" t="str">
        <f t="shared" si="195"/>
        <v>reg</v>
      </c>
      <c r="CY973" t="s">
        <v>349</v>
      </c>
      <c r="CZ973">
        <v>2014</v>
      </c>
      <c r="DA973">
        <v>2514</v>
      </c>
      <c r="DB973">
        <v>500</v>
      </c>
      <c r="DC973" t="str">
        <f t="shared" si="196"/>
        <v>+100</v>
      </c>
      <c r="DD973">
        <v>0</v>
      </c>
      <c r="DE973">
        <v>0</v>
      </c>
      <c r="DF973">
        <v>0</v>
      </c>
      <c r="DG973">
        <v>1</v>
      </c>
      <c r="DI973">
        <f t="shared" si="230"/>
        <v>1</v>
      </c>
      <c r="DJ973" t="str">
        <f t="shared" si="203"/>
        <v>TimberInput</v>
      </c>
      <c r="DK973">
        <f t="shared" si="223"/>
        <v>0</v>
      </c>
      <c r="DL973">
        <f t="shared" si="224"/>
        <v>0</v>
      </c>
      <c r="DM973">
        <f t="shared" si="225"/>
        <v>0</v>
      </c>
      <c r="DN973" t="str">
        <f t="shared" si="226"/>
        <v>Timber</v>
      </c>
      <c r="DO973">
        <v>0</v>
      </c>
      <c r="DP973">
        <v>0</v>
      </c>
      <c r="DQ973">
        <v>0</v>
      </c>
      <c r="DR973">
        <v>0</v>
      </c>
      <c r="DS973">
        <v>0</v>
      </c>
      <c r="DT973">
        <f t="shared" si="212"/>
        <v>0</v>
      </c>
      <c r="DU973" s="143" t="str">
        <f t="shared" si="198"/>
        <v>explicit C balance</v>
      </c>
      <c r="DV973">
        <v>0</v>
      </c>
      <c r="DW973">
        <v>0</v>
      </c>
      <c r="DX973">
        <v>0</v>
      </c>
      <c r="DY973">
        <v>0</v>
      </c>
      <c r="DZ973">
        <v>0</v>
      </c>
      <c r="EA973" s="143">
        <v>1</v>
      </c>
      <c r="EB973">
        <v>0</v>
      </c>
      <c r="EC973">
        <v>1</v>
      </c>
      <c r="ED973">
        <v>1</v>
      </c>
      <c r="EE973">
        <v>1</v>
      </c>
      <c r="EF973">
        <v>0</v>
      </c>
      <c r="EG973">
        <v>0</v>
      </c>
      <c r="EH973">
        <v>0</v>
      </c>
      <c r="EI973" s="2">
        <v>0</v>
      </c>
      <c r="EK973" t="str">
        <f t="shared" si="227"/>
        <v/>
      </c>
      <c r="EL973" t="str">
        <f t="shared" si="228"/>
        <v/>
      </c>
      <c r="EM973" s="2" t="str">
        <f t="shared" si="197"/>
        <v>Technology approach</v>
      </c>
      <c r="EP973" t="str">
        <f>IF(ISNUMBER(BU973),IF(ABS(BU973-[2]QC_indicators!$B$2)&gt;3*[2]QC_indicators!$C$2,"C ratio",IF(ISNUMBER(BY973),IF(ABS(BY973-[2]QC_indicators!$B$1)&gt;3*[2]QC_indicators!$C$1,"DF","no"))),IF(ISNUMBER(BY973),IF(ABS(BY973-[2]QC_indicators!$B$1)&gt;3*[2]QC_indicators!$C$1,"DF","no")))</f>
        <v>no</v>
      </c>
      <c r="ER973" s="149" t="s">
        <v>350</v>
      </c>
      <c r="ET973" s="266" t="s">
        <v>3275</v>
      </c>
    </row>
    <row r="974" spans="1:150" ht="15" hidden="1" customHeight="1">
      <c r="A974" s="1" t="s">
        <v>1235</v>
      </c>
      <c r="B974" t="s">
        <v>1236</v>
      </c>
      <c r="C974" t="s">
        <v>1237</v>
      </c>
      <c r="D974" t="s">
        <v>337</v>
      </c>
      <c r="E974" t="s">
        <v>1238</v>
      </c>
      <c r="F974" t="s">
        <v>1239</v>
      </c>
      <c r="G974" t="s">
        <v>1240</v>
      </c>
      <c r="I974">
        <v>2018</v>
      </c>
      <c r="K974" t="s">
        <v>1241</v>
      </c>
      <c r="M974" t="str">
        <f t="shared" si="201"/>
        <v>Balasbaneh_2018</v>
      </c>
      <c r="N974" t="s">
        <v>223</v>
      </c>
      <c r="O974" s="140" t="s">
        <v>514</v>
      </c>
      <c r="Q974" t="s">
        <v>225</v>
      </c>
      <c r="R974" s="264" t="s">
        <v>224</v>
      </c>
      <c r="S974" s="265" t="s">
        <v>1242</v>
      </c>
      <c r="T974" s="266" t="s">
        <v>3115</v>
      </c>
      <c r="U974" s="266" t="s">
        <v>3113</v>
      </c>
      <c r="V974">
        <v>0</v>
      </c>
      <c r="W974">
        <v>0</v>
      </c>
      <c r="X974">
        <v>0</v>
      </c>
      <c r="Y974">
        <v>0</v>
      </c>
      <c r="Z974">
        <v>0</v>
      </c>
      <c r="AA974">
        <v>0</v>
      </c>
      <c r="AB974">
        <v>0</v>
      </c>
      <c r="AC974">
        <v>0</v>
      </c>
      <c r="AD974">
        <v>0</v>
      </c>
      <c r="AE974">
        <v>0</v>
      </c>
      <c r="AF974">
        <v>0</v>
      </c>
      <c r="AG974">
        <v>0</v>
      </c>
      <c r="AH974">
        <v>0</v>
      </c>
      <c r="AI974">
        <v>0</v>
      </c>
      <c r="AJ974">
        <v>0</v>
      </c>
      <c r="AK974">
        <v>1</v>
      </c>
      <c r="AL974">
        <v>0</v>
      </c>
      <c r="AM974">
        <v>0</v>
      </c>
      <c r="AN974">
        <v>0</v>
      </c>
      <c r="AO974">
        <v>0</v>
      </c>
      <c r="AP974">
        <v>0</v>
      </c>
      <c r="AQ974">
        <v>0</v>
      </c>
      <c r="AR974">
        <v>0</v>
      </c>
      <c r="AS974">
        <v>0</v>
      </c>
      <c r="AT974">
        <v>0</v>
      </c>
      <c r="AU974">
        <v>0</v>
      </c>
      <c r="AV974">
        <v>0</v>
      </c>
      <c r="AW974">
        <v>0</v>
      </c>
      <c r="AX974" s="141">
        <f t="shared" si="213"/>
        <v>1</v>
      </c>
      <c r="AY974" s="141">
        <f t="shared" si="188"/>
        <v>1</v>
      </c>
      <c r="AZ974">
        <f t="shared" si="189"/>
        <v>0</v>
      </c>
      <c r="BA974">
        <f t="shared" si="190"/>
        <v>0</v>
      </c>
      <c r="BB974">
        <f t="shared" si="191"/>
        <v>1</v>
      </c>
      <c r="BC974">
        <f t="shared" si="192"/>
        <v>0</v>
      </c>
      <c r="BD974">
        <f t="shared" si="193"/>
        <v>0</v>
      </c>
      <c r="BE974" t="str">
        <f t="array" ref="BE974">IF(AY974=1,INDEX($V$7:$AL$7,MATCH(TRUE,INDEX($V974:$AW974&lt;&gt;0,),0)),IF(AY974=0,INDEX($AM$7:$AW$7,MATCH(1,$AM974:$AW974,0)),IF(BF974="Multiple strategies","mixed drivers",IF(BF974="Supply chain","multiple supply","multiple silviculture"))))</f>
        <v>technologies/design switch</v>
      </c>
      <c r="BF974" s="2" t="str" cm="1">
        <f t="array" ref="BF974">IF(COUNTIF(AZ974:BB974,"&lt;&gt;0")=1,INDEX($V$4:$AW$4,MATCH(TRUE,INDEX($V974:$AW974&lt;&gt;0,),0)),IF(COUNTIF(AZ974:BB974,"&lt;&gt;0")=0,INDEX($AM$4:$AW$4,MATCH(1,$AM974:$AW974,0)),"Multiple strategies"))</f>
        <v>Technology</v>
      </c>
      <c r="BG974" s="1" t="s">
        <v>230</v>
      </c>
      <c r="BH974" t="s">
        <v>230</v>
      </c>
      <c r="BJ974" t="s">
        <v>346</v>
      </c>
      <c r="BK974">
        <v>0</v>
      </c>
      <c r="BL974">
        <v>15468</v>
      </c>
      <c r="BM974" s="143"/>
      <c r="BN974">
        <f t="shared" si="222"/>
        <v>15468</v>
      </c>
      <c r="BO974" s="143">
        <f t="shared" si="216"/>
        <v>31.567346938775515</v>
      </c>
      <c r="BP974" t="s">
        <v>233</v>
      </c>
      <c r="BQ974" s="153" t="s">
        <v>1059</v>
      </c>
      <c r="BR974" t="s">
        <v>398</v>
      </c>
      <c r="BS974">
        <v>-7910</v>
      </c>
      <c r="BT974">
        <v>-5130</v>
      </c>
      <c r="BU974" s="144">
        <v>0.64854614412136535</v>
      </c>
      <c r="BV974">
        <v>2780</v>
      </c>
      <c r="BX974">
        <f t="shared" si="217"/>
        <v>2.78</v>
      </c>
      <c r="BY974">
        <f t="shared" si="194"/>
        <v>8.8065683992759228E-2</v>
      </c>
      <c r="BZ974">
        <v>0</v>
      </c>
      <c r="CA974">
        <v>0</v>
      </c>
      <c r="CB974">
        <v>0</v>
      </c>
      <c r="CC974">
        <v>0</v>
      </c>
      <c r="CD974">
        <v>0</v>
      </c>
      <c r="CE974">
        <v>0</v>
      </c>
      <c r="CF974">
        <v>0</v>
      </c>
      <c r="CG974">
        <v>0</v>
      </c>
      <c r="CH974">
        <v>0</v>
      </c>
      <c r="CI974">
        <v>0</v>
      </c>
      <c r="CJ974">
        <v>0</v>
      </c>
      <c r="CK974">
        <v>0</v>
      </c>
      <c r="CL974">
        <v>0</v>
      </c>
      <c r="CM974">
        <v>0</v>
      </c>
      <c r="CN974" t="str">
        <f t="shared" si="229"/>
        <v>refOK</v>
      </c>
      <c r="CO974">
        <f t="shared" si="218"/>
        <v>0</v>
      </c>
      <c r="CP974">
        <f t="shared" si="219"/>
        <v>15468</v>
      </c>
      <c r="CQ974">
        <f t="shared" si="221"/>
        <v>31.567346938775515</v>
      </c>
      <c r="CR974">
        <f t="shared" si="210"/>
        <v>-7910</v>
      </c>
      <c r="CS974">
        <f t="shared" si="220"/>
        <v>-5130</v>
      </c>
      <c r="CT974">
        <f t="shared" si="214"/>
        <v>2.78</v>
      </c>
      <c r="CU974">
        <f t="shared" si="204"/>
        <v>8.8065683992759228E-2</v>
      </c>
      <c r="CV974" s="2">
        <f t="shared" si="215"/>
        <v>0.35145385587863465</v>
      </c>
      <c r="CW974" s="1" t="s">
        <v>1205</v>
      </c>
      <c r="CX974" t="str">
        <f t="shared" si="195"/>
        <v>reg</v>
      </c>
      <c r="CY974" t="s">
        <v>349</v>
      </c>
      <c r="CZ974">
        <v>2014</v>
      </c>
      <c r="DA974">
        <v>2514</v>
      </c>
      <c r="DB974">
        <v>500</v>
      </c>
      <c r="DC974" t="str">
        <f t="shared" si="196"/>
        <v>+100</v>
      </c>
      <c r="DD974">
        <v>0</v>
      </c>
      <c r="DE974">
        <v>0</v>
      </c>
      <c r="DF974">
        <v>0</v>
      </c>
      <c r="DG974">
        <v>1</v>
      </c>
      <c r="DI974">
        <f t="shared" si="230"/>
        <v>1</v>
      </c>
      <c r="DJ974" t="str">
        <f t="shared" si="203"/>
        <v>TimberInput</v>
      </c>
      <c r="DK974">
        <f t="shared" si="223"/>
        <v>0</v>
      </c>
      <c r="DL974">
        <f t="shared" si="224"/>
        <v>0</v>
      </c>
      <c r="DM974">
        <f t="shared" si="225"/>
        <v>0</v>
      </c>
      <c r="DN974" t="str">
        <f t="shared" si="226"/>
        <v>Timber</v>
      </c>
      <c r="DO974">
        <v>0</v>
      </c>
      <c r="DP974">
        <v>0</v>
      </c>
      <c r="DQ974">
        <v>0</v>
      </c>
      <c r="DR974">
        <v>0</v>
      </c>
      <c r="DS974">
        <v>0</v>
      </c>
      <c r="DT974">
        <f t="shared" si="212"/>
        <v>0</v>
      </c>
      <c r="DU974" s="143" t="str">
        <f t="shared" si="198"/>
        <v>explicit C balance</v>
      </c>
      <c r="DV974">
        <v>0</v>
      </c>
      <c r="DW974">
        <v>0</v>
      </c>
      <c r="DX974">
        <v>0</v>
      </c>
      <c r="DY974">
        <v>0</v>
      </c>
      <c r="DZ974">
        <v>0</v>
      </c>
      <c r="EA974" s="143">
        <v>1</v>
      </c>
      <c r="EB974">
        <v>0</v>
      </c>
      <c r="EC974">
        <v>1</v>
      </c>
      <c r="ED974">
        <v>1</v>
      </c>
      <c r="EE974">
        <v>1</v>
      </c>
      <c r="EF974">
        <v>0</v>
      </c>
      <c r="EG974">
        <v>0</v>
      </c>
      <c r="EH974">
        <v>0</v>
      </c>
      <c r="EI974" s="2">
        <v>0</v>
      </c>
      <c r="EK974" t="str">
        <f t="shared" si="227"/>
        <v/>
      </c>
      <c r="EL974" t="str">
        <f t="shared" si="228"/>
        <v/>
      </c>
      <c r="EM974" s="2" t="str">
        <f t="shared" si="197"/>
        <v>Technology approach</v>
      </c>
      <c r="EP974" t="str">
        <f>IF(ISNUMBER(BU974),IF(ABS(BU974-[2]QC_indicators!$B$2)&gt;3*[2]QC_indicators!$C$2,"C ratio",IF(ISNUMBER(BY974),IF(ABS(BY974-[2]QC_indicators!$B$1)&gt;3*[2]QC_indicators!$C$1,"DF","no"))),IF(ISNUMBER(BY974),IF(ABS(BY974-[2]QC_indicators!$B$1)&gt;3*[2]QC_indicators!$C$1,"DF","no")))</f>
        <v>no</v>
      </c>
      <c r="ER974" s="149" t="s">
        <v>350</v>
      </c>
      <c r="ET974" s="266" t="s">
        <v>3275</v>
      </c>
    </row>
    <row r="975" spans="1:150" ht="15" hidden="1" customHeight="1">
      <c r="A975" s="1" t="s">
        <v>1235</v>
      </c>
      <c r="B975" t="s">
        <v>1236</v>
      </c>
      <c r="C975" t="s">
        <v>1237</v>
      </c>
      <c r="D975" t="s">
        <v>337</v>
      </c>
      <c r="E975" t="s">
        <v>1238</v>
      </c>
      <c r="F975" t="s">
        <v>1239</v>
      </c>
      <c r="G975" t="s">
        <v>1240</v>
      </c>
      <c r="I975">
        <v>2018</v>
      </c>
      <c r="K975" t="s">
        <v>1241</v>
      </c>
      <c r="M975" t="str">
        <f t="shared" si="201"/>
        <v>Balasbaneh_2018</v>
      </c>
      <c r="N975" t="s">
        <v>223</v>
      </c>
      <c r="O975" s="140" t="s">
        <v>514</v>
      </c>
      <c r="Q975" t="s">
        <v>225</v>
      </c>
      <c r="R975" s="264" t="s">
        <v>224</v>
      </c>
      <c r="S975" s="1" t="s">
        <v>1245</v>
      </c>
      <c r="T975" s="266" t="s">
        <v>3116</v>
      </c>
      <c r="U975" s="266" t="s">
        <v>3113</v>
      </c>
      <c r="V975">
        <v>0</v>
      </c>
      <c r="W975">
        <v>0</v>
      </c>
      <c r="X975">
        <v>0</v>
      </c>
      <c r="Y975">
        <v>0</v>
      </c>
      <c r="Z975">
        <v>0</v>
      </c>
      <c r="AA975">
        <v>0</v>
      </c>
      <c r="AB975">
        <v>0</v>
      </c>
      <c r="AC975">
        <v>0</v>
      </c>
      <c r="AD975">
        <v>0</v>
      </c>
      <c r="AE975">
        <v>0</v>
      </c>
      <c r="AF975">
        <v>0</v>
      </c>
      <c r="AG975">
        <v>0</v>
      </c>
      <c r="AH975">
        <v>0</v>
      </c>
      <c r="AI975">
        <v>0</v>
      </c>
      <c r="AJ975">
        <v>0</v>
      </c>
      <c r="AK975">
        <v>1</v>
      </c>
      <c r="AL975">
        <v>0</v>
      </c>
      <c r="AM975">
        <v>0</v>
      </c>
      <c r="AN975">
        <v>0</v>
      </c>
      <c r="AO975">
        <v>0</v>
      </c>
      <c r="AP975">
        <v>0</v>
      </c>
      <c r="AQ975">
        <v>0</v>
      </c>
      <c r="AR975">
        <v>0</v>
      </c>
      <c r="AS975">
        <v>0</v>
      </c>
      <c r="AT975">
        <v>0</v>
      </c>
      <c r="AU975">
        <v>0</v>
      </c>
      <c r="AV975">
        <v>0</v>
      </c>
      <c r="AW975">
        <v>0</v>
      </c>
      <c r="AX975" s="141">
        <f t="shared" si="213"/>
        <v>1</v>
      </c>
      <c r="AY975" s="141">
        <f t="shared" si="188"/>
        <v>1</v>
      </c>
      <c r="AZ975">
        <f t="shared" si="189"/>
        <v>0</v>
      </c>
      <c r="BA975">
        <f t="shared" si="190"/>
        <v>0</v>
      </c>
      <c r="BB975">
        <f t="shared" si="191"/>
        <v>1</v>
      </c>
      <c r="BC975">
        <f t="shared" si="192"/>
        <v>0</v>
      </c>
      <c r="BD975">
        <f t="shared" si="193"/>
        <v>0</v>
      </c>
      <c r="BE975" t="str">
        <f t="array" ref="BE975">IF(AY975=1,INDEX($V$7:$AL$7,MATCH(TRUE,INDEX($V975:$AW975&lt;&gt;0,),0)),IF(AY975=0,INDEX($AM$7:$AW$7,MATCH(1,$AM975:$AW975,0)),IF(BF975="Multiple strategies","mixed drivers",IF(BF975="Supply chain","multiple supply","multiple silviculture"))))</f>
        <v>technologies/design switch</v>
      </c>
      <c r="BF975" s="2" t="str" cm="1">
        <f t="array" ref="BF975">IF(COUNTIF(AZ975:BB975,"&lt;&gt;0")=1,INDEX($V$4:$AW$4,MATCH(TRUE,INDEX($V975:$AW975&lt;&gt;0,),0)),IF(COUNTIF(AZ975:BB975,"&lt;&gt;0")=0,INDEX($AM$4:$AW$4,MATCH(1,$AM975:$AW975,0)),"Multiple strategies"))</f>
        <v>Technology</v>
      </c>
      <c r="BG975" s="1" t="s">
        <v>230</v>
      </c>
      <c r="BH975" t="s">
        <v>230</v>
      </c>
      <c r="BJ975" t="s">
        <v>346</v>
      </c>
      <c r="BK975">
        <v>0</v>
      </c>
      <c r="BL975">
        <v>15468</v>
      </c>
      <c r="BM975" s="143"/>
      <c r="BN975">
        <f t="shared" si="222"/>
        <v>15468</v>
      </c>
      <c r="BO975" s="143">
        <f t="shared" si="216"/>
        <v>31.567346938775515</v>
      </c>
      <c r="BP975" t="s">
        <v>233</v>
      </c>
      <c r="BQ975" s="153" t="s">
        <v>1059</v>
      </c>
      <c r="BR975" t="s">
        <v>398</v>
      </c>
      <c r="BS975">
        <v>-8660</v>
      </c>
      <c r="BT975">
        <v>-5130</v>
      </c>
      <c r="BU975" s="144">
        <v>0.59237875288683606</v>
      </c>
      <c r="BV975">
        <v>3530</v>
      </c>
      <c r="BX975">
        <f t="shared" si="217"/>
        <v>3.53</v>
      </c>
      <c r="BY975">
        <f t="shared" si="194"/>
        <v>0.11182441168864751</v>
      </c>
      <c r="BZ975">
        <v>0</v>
      </c>
      <c r="CA975">
        <v>0</v>
      </c>
      <c r="CB975">
        <v>0</v>
      </c>
      <c r="CC975">
        <v>0</v>
      </c>
      <c r="CD975">
        <v>0</v>
      </c>
      <c r="CE975">
        <v>0</v>
      </c>
      <c r="CF975">
        <v>0</v>
      </c>
      <c r="CG975">
        <v>0</v>
      </c>
      <c r="CH975">
        <v>0</v>
      </c>
      <c r="CI975">
        <v>0</v>
      </c>
      <c r="CJ975">
        <v>0</v>
      </c>
      <c r="CK975">
        <v>0</v>
      </c>
      <c r="CL975">
        <v>0</v>
      </c>
      <c r="CM975">
        <v>0</v>
      </c>
      <c r="CN975" t="str">
        <f t="shared" si="229"/>
        <v>refOK</v>
      </c>
      <c r="CO975">
        <f t="shared" si="218"/>
        <v>0</v>
      </c>
      <c r="CP975">
        <f t="shared" si="219"/>
        <v>15468</v>
      </c>
      <c r="CQ975">
        <f t="shared" si="221"/>
        <v>31.567346938775515</v>
      </c>
      <c r="CR975">
        <f t="shared" si="210"/>
        <v>-8660</v>
      </c>
      <c r="CS975">
        <f t="shared" si="220"/>
        <v>-5130</v>
      </c>
      <c r="CT975">
        <f t="shared" si="214"/>
        <v>3.53</v>
      </c>
      <c r="CU975">
        <f t="shared" si="204"/>
        <v>0.11182441168864751</v>
      </c>
      <c r="CV975" s="2">
        <f t="shared" si="215"/>
        <v>0.407621247113164</v>
      </c>
      <c r="CW975" s="1" t="s">
        <v>1205</v>
      </c>
      <c r="CX975" t="str">
        <f t="shared" si="195"/>
        <v>reg</v>
      </c>
      <c r="CY975" t="s">
        <v>349</v>
      </c>
      <c r="CZ975">
        <v>2014</v>
      </c>
      <c r="DA975">
        <v>2514</v>
      </c>
      <c r="DB975">
        <v>500</v>
      </c>
      <c r="DC975" t="str">
        <f t="shared" si="196"/>
        <v>+100</v>
      </c>
      <c r="DD975">
        <v>0</v>
      </c>
      <c r="DE975">
        <v>0</v>
      </c>
      <c r="DF975">
        <v>0</v>
      </c>
      <c r="DG975">
        <v>1</v>
      </c>
      <c r="DI975">
        <f t="shared" si="230"/>
        <v>1</v>
      </c>
      <c r="DJ975" t="str">
        <f t="shared" si="203"/>
        <v>TimberInput</v>
      </c>
      <c r="DK975">
        <f t="shared" si="223"/>
        <v>0</v>
      </c>
      <c r="DL975">
        <f t="shared" si="224"/>
        <v>0</v>
      </c>
      <c r="DM975">
        <f t="shared" si="225"/>
        <v>0</v>
      </c>
      <c r="DN975" t="str">
        <f t="shared" si="226"/>
        <v>Timber</v>
      </c>
      <c r="DO975">
        <v>0</v>
      </c>
      <c r="DP975">
        <v>0</v>
      </c>
      <c r="DQ975">
        <v>0</v>
      </c>
      <c r="DR975">
        <v>0</v>
      </c>
      <c r="DS975">
        <v>0</v>
      </c>
      <c r="DT975">
        <f t="shared" si="212"/>
        <v>0</v>
      </c>
      <c r="DU975" s="143" t="str">
        <f t="shared" si="198"/>
        <v>explicit C balance</v>
      </c>
      <c r="DV975">
        <v>0</v>
      </c>
      <c r="DW975">
        <v>0</v>
      </c>
      <c r="DX975">
        <v>0</v>
      </c>
      <c r="DY975">
        <v>0</v>
      </c>
      <c r="DZ975">
        <v>0</v>
      </c>
      <c r="EA975" s="143">
        <v>1</v>
      </c>
      <c r="EB975">
        <v>0</v>
      </c>
      <c r="EC975">
        <v>1</v>
      </c>
      <c r="ED975">
        <v>1</v>
      </c>
      <c r="EE975">
        <v>1</v>
      </c>
      <c r="EF975">
        <v>0</v>
      </c>
      <c r="EG975">
        <v>0</v>
      </c>
      <c r="EH975">
        <v>0</v>
      </c>
      <c r="EI975" s="2">
        <v>0</v>
      </c>
      <c r="EK975" t="str">
        <f t="shared" si="227"/>
        <v/>
      </c>
      <c r="EL975" t="str">
        <f t="shared" si="228"/>
        <v/>
      </c>
      <c r="EM975" s="2" t="str">
        <f t="shared" si="197"/>
        <v>Technology approach</v>
      </c>
      <c r="EP975" t="str">
        <f>IF(ISNUMBER(BU975),IF(ABS(BU975-[2]QC_indicators!$B$2)&gt;3*[2]QC_indicators!$C$2,"C ratio",IF(ISNUMBER(BY975),IF(ABS(BY975-[2]QC_indicators!$B$1)&gt;3*[2]QC_indicators!$C$1,"DF","no"))),IF(ISNUMBER(BY975),IF(ABS(BY975-[2]QC_indicators!$B$1)&gt;3*[2]QC_indicators!$C$1,"DF","no")))</f>
        <v>no</v>
      </c>
      <c r="ER975" s="149" t="s">
        <v>350</v>
      </c>
      <c r="ET975" s="266" t="s">
        <v>3275</v>
      </c>
    </row>
    <row r="976" spans="1:150" ht="15" hidden="1" customHeight="1">
      <c r="A976" s="1" t="s">
        <v>1235</v>
      </c>
      <c r="B976" t="s">
        <v>1236</v>
      </c>
      <c r="C976" t="s">
        <v>1237</v>
      </c>
      <c r="D976" t="s">
        <v>337</v>
      </c>
      <c r="E976" t="s">
        <v>1238</v>
      </c>
      <c r="F976" t="s">
        <v>1239</v>
      </c>
      <c r="G976" t="s">
        <v>1240</v>
      </c>
      <c r="I976">
        <v>2018</v>
      </c>
      <c r="K976" t="s">
        <v>1241</v>
      </c>
      <c r="M976" t="str">
        <f t="shared" si="201"/>
        <v>Balasbaneh_2018</v>
      </c>
      <c r="N976" t="s">
        <v>223</v>
      </c>
      <c r="O976" s="140" t="s">
        <v>514</v>
      </c>
      <c r="Q976" t="s">
        <v>225</v>
      </c>
      <c r="R976" s="264" t="s">
        <v>224</v>
      </c>
      <c r="S976" s="1" t="s">
        <v>1265</v>
      </c>
      <c r="T976" s="266" t="s">
        <v>3117</v>
      </c>
      <c r="U976" s="266" t="s">
        <v>3113</v>
      </c>
      <c r="V976">
        <v>0</v>
      </c>
      <c r="W976">
        <v>0</v>
      </c>
      <c r="X976">
        <v>0</v>
      </c>
      <c r="Y976">
        <v>0</v>
      </c>
      <c r="Z976">
        <v>0</v>
      </c>
      <c r="AA976">
        <v>0</v>
      </c>
      <c r="AB976">
        <v>0</v>
      </c>
      <c r="AC976">
        <v>0</v>
      </c>
      <c r="AD976">
        <v>0</v>
      </c>
      <c r="AE976">
        <v>0</v>
      </c>
      <c r="AF976">
        <v>0</v>
      </c>
      <c r="AG976">
        <v>0</v>
      </c>
      <c r="AH976">
        <v>0</v>
      </c>
      <c r="AI976">
        <v>0</v>
      </c>
      <c r="AJ976">
        <v>0</v>
      </c>
      <c r="AK976">
        <v>1</v>
      </c>
      <c r="AL976">
        <v>0</v>
      </c>
      <c r="AM976">
        <v>0</v>
      </c>
      <c r="AN976">
        <v>0</v>
      </c>
      <c r="AO976">
        <v>0</v>
      </c>
      <c r="AP976">
        <v>0</v>
      </c>
      <c r="AQ976">
        <v>0</v>
      </c>
      <c r="AR976">
        <v>0</v>
      </c>
      <c r="AS976">
        <v>0</v>
      </c>
      <c r="AT976">
        <v>0</v>
      </c>
      <c r="AU976">
        <v>0</v>
      </c>
      <c r="AV976">
        <v>0</v>
      </c>
      <c r="AW976">
        <v>0</v>
      </c>
      <c r="AX976" s="141">
        <f t="shared" si="213"/>
        <v>1</v>
      </c>
      <c r="AY976" s="141">
        <f t="shared" si="188"/>
        <v>1</v>
      </c>
      <c r="AZ976">
        <f t="shared" si="189"/>
        <v>0</v>
      </c>
      <c r="BA976">
        <f t="shared" si="190"/>
        <v>0</v>
      </c>
      <c r="BB976">
        <f t="shared" si="191"/>
        <v>1</v>
      </c>
      <c r="BC976">
        <f t="shared" si="192"/>
        <v>0</v>
      </c>
      <c r="BD976">
        <f t="shared" si="193"/>
        <v>0</v>
      </c>
      <c r="BE976" t="str">
        <f t="array" ref="BE976">IF(AY976=1,INDEX($V$7:$AL$7,MATCH(TRUE,INDEX($V976:$AW976&lt;&gt;0,),0)),IF(AY976=0,INDEX($AM$7:$AW$7,MATCH(1,$AM976:$AW976,0)),IF(BF976="Multiple strategies","mixed drivers",IF(BF976="Supply chain","multiple supply","multiple silviculture"))))</f>
        <v>technologies/design switch</v>
      </c>
      <c r="BF976" s="2" t="str" cm="1">
        <f t="array" ref="BF976">IF(COUNTIF(AZ976:BB976,"&lt;&gt;0")=1,INDEX($V$4:$AW$4,MATCH(TRUE,INDEX($V976:$AW976&lt;&gt;0,),0)),IF(COUNTIF(AZ976:BB976,"&lt;&gt;0")=0,INDEX($AM$4:$AW$4,MATCH(1,$AM976:$AW976,0)),"Multiple strategies"))</f>
        <v>Technology</v>
      </c>
      <c r="BG976" s="1" t="s">
        <v>230</v>
      </c>
      <c r="BH976" t="s">
        <v>230</v>
      </c>
      <c r="BJ976" t="s">
        <v>346</v>
      </c>
      <c r="BK976">
        <v>0</v>
      </c>
      <c r="BL976">
        <v>15468</v>
      </c>
      <c r="BM976" s="143"/>
      <c r="BN976">
        <f t="shared" si="222"/>
        <v>15468</v>
      </c>
      <c r="BO976" s="143">
        <f t="shared" si="216"/>
        <v>31.567346938775515</v>
      </c>
      <c r="BP976" t="s">
        <v>233</v>
      </c>
      <c r="BQ976" s="153" t="s">
        <v>1059</v>
      </c>
      <c r="BR976" t="s">
        <v>398</v>
      </c>
      <c r="BS976">
        <v>-20300</v>
      </c>
      <c r="BT976">
        <v>-5130</v>
      </c>
      <c r="BU976" s="144">
        <v>0.25270935960591134</v>
      </c>
      <c r="BV976">
        <v>15170</v>
      </c>
      <c r="BX976">
        <f t="shared" si="217"/>
        <v>15.17</v>
      </c>
      <c r="BY976">
        <f t="shared" si="194"/>
        <v>0.48055986552883367</v>
      </c>
      <c r="BZ976">
        <v>0</v>
      </c>
      <c r="CA976">
        <v>0</v>
      </c>
      <c r="CB976">
        <v>0</v>
      </c>
      <c r="CC976">
        <v>0</v>
      </c>
      <c r="CD976">
        <v>0</v>
      </c>
      <c r="CE976">
        <v>0</v>
      </c>
      <c r="CF976">
        <v>0</v>
      </c>
      <c r="CG976">
        <v>0</v>
      </c>
      <c r="CH976">
        <v>0</v>
      </c>
      <c r="CI976">
        <v>0</v>
      </c>
      <c r="CJ976">
        <v>0</v>
      </c>
      <c r="CK976">
        <v>0</v>
      </c>
      <c r="CL976">
        <v>0</v>
      </c>
      <c r="CM976">
        <v>0</v>
      </c>
      <c r="CN976" t="str">
        <f t="shared" si="229"/>
        <v>refOK</v>
      </c>
      <c r="CO976">
        <f t="shared" si="218"/>
        <v>0</v>
      </c>
      <c r="CP976">
        <f t="shared" si="219"/>
        <v>15468</v>
      </c>
      <c r="CQ976">
        <f t="shared" si="221"/>
        <v>31.567346938775515</v>
      </c>
      <c r="CR976">
        <f t="shared" si="210"/>
        <v>-20300</v>
      </c>
      <c r="CS976">
        <f t="shared" si="220"/>
        <v>-5130</v>
      </c>
      <c r="CT976">
        <f t="shared" si="214"/>
        <v>15.17</v>
      </c>
      <c r="CU976">
        <f t="shared" si="204"/>
        <v>0.48055986552883367</v>
      </c>
      <c r="CV976" s="2">
        <f t="shared" si="215"/>
        <v>0.74729064039408866</v>
      </c>
      <c r="CW976" s="1" t="s">
        <v>1205</v>
      </c>
      <c r="CX976" t="str">
        <f t="shared" si="195"/>
        <v>reg</v>
      </c>
      <c r="CY976" t="s">
        <v>349</v>
      </c>
      <c r="CZ976">
        <v>2014</v>
      </c>
      <c r="DA976">
        <v>2514</v>
      </c>
      <c r="DB976">
        <v>500</v>
      </c>
      <c r="DC976" t="str">
        <f t="shared" si="196"/>
        <v>+100</v>
      </c>
      <c r="DD976">
        <v>0</v>
      </c>
      <c r="DE976">
        <v>0</v>
      </c>
      <c r="DF976">
        <v>0</v>
      </c>
      <c r="DG976">
        <v>1</v>
      </c>
      <c r="DI976">
        <f t="shared" si="230"/>
        <v>1</v>
      </c>
      <c r="DJ976" t="str">
        <f t="shared" si="203"/>
        <v>TimberInput</v>
      </c>
      <c r="DK976">
        <f t="shared" si="223"/>
        <v>0</v>
      </c>
      <c r="DL976">
        <f t="shared" si="224"/>
        <v>0</v>
      </c>
      <c r="DM976">
        <f t="shared" si="225"/>
        <v>0</v>
      </c>
      <c r="DN976" t="str">
        <f t="shared" si="226"/>
        <v>Timber</v>
      </c>
      <c r="DO976">
        <v>0</v>
      </c>
      <c r="DP976">
        <v>0</v>
      </c>
      <c r="DQ976">
        <v>0</v>
      </c>
      <c r="DR976">
        <v>0</v>
      </c>
      <c r="DS976">
        <v>0</v>
      </c>
      <c r="DT976">
        <f t="shared" si="212"/>
        <v>0</v>
      </c>
      <c r="DU976" s="143" t="str">
        <f t="shared" si="198"/>
        <v>explicit C balance</v>
      </c>
      <c r="DV976">
        <v>0</v>
      </c>
      <c r="DW976">
        <v>0</v>
      </c>
      <c r="DX976">
        <v>0</v>
      </c>
      <c r="DY976">
        <v>0</v>
      </c>
      <c r="DZ976">
        <v>0</v>
      </c>
      <c r="EA976" s="143">
        <v>1</v>
      </c>
      <c r="EB976">
        <v>0</v>
      </c>
      <c r="EC976">
        <v>1</v>
      </c>
      <c r="ED976">
        <v>1</v>
      </c>
      <c r="EE976">
        <v>1</v>
      </c>
      <c r="EF976">
        <v>0</v>
      </c>
      <c r="EG976">
        <v>0</v>
      </c>
      <c r="EH976">
        <v>0</v>
      </c>
      <c r="EI976" s="2">
        <v>0</v>
      </c>
      <c r="EK976" t="str">
        <f t="shared" si="227"/>
        <v/>
      </c>
      <c r="EL976" t="str">
        <f t="shared" si="228"/>
        <v/>
      </c>
      <c r="EM976" s="2" t="str">
        <f t="shared" si="197"/>
        <v>Technology approach</v>
      </c>
      <c r="EP976" t="str">
        <f>IF(ISNUMBER(BU976),IF(ABS(BU976-[2]QC_indicators!$B$2)&gt;3*[2]QC_indicators!$C$2,"C ratio",IF(ISNUMBER(BY976),IF(ABS(BY976-[2]QC_indicators!$B$1)&gt;3*[2]QC_indicators!$C$1,"DF","no"))),IF(ISNUMBER(BY976),IF(ABS(BY976-[2]QC_indicators!$B$1)&gt;3*[2]QC_indicators!$C$1,"DF","no")))</f>
        <v>no</v>
      </c>
      <c r="ER976" s="149" t="s">
        <v>350</v>
      </c>
      <c r="ET976" s="266" t="s">
        <v>3275</v>
      </c>
    </row>
    <row r="977" spans="1:151" ht="15" hidden="1" customHeight="1">
      <c r="A977" s="1" t="s">
        <v>1235</v>
      </c>
      <c r="B977" t="s">
        <v>1236</v>
      </c>
      <c r="C977" t="s">
        <v>1237</v>
      </c>
      <c r="D977" t="s">
        <v>337</v>
      </c>
      <c r="E977" t="s">
        <v>1238</v>
      </c>
      <c r="F977" t="s">
        <v>1239</v>
      </c>
      <c r="G977" t="s">
        <v>1240</v>
      </c>
      <c r="I977">
        <v>2018</v>
      </c>
      <c r="K977" t="s">
        <v>1241</v>
      </c>
      <c r="M977" t="str">
        <f t="shared" si="201"/>
        <v>Balasbaneh_2018</v>
      </c>
      <c r="N977" t="s">
        <v>223</v>
      </c>
      <c r="O977" s="140" t="s">
        <v>514</v>
      </c>
      <c r="Q977" t="s">
        <v>225</v>
      </c>
      <c r="R977" s="264" t="s">
        <v>224</v>
      </c>
      <c r="S977" s="1" t="s">
        <v>1260</v>
      </c>
      <c r="T977" s="266" t="s">
        <v>3112</v>
      </c>
      <c r="U977" s="266" t="s">
        <v>3118</v>
      </c>
      <c r="V977">
        <v>0</v>
      </c>
      <c r="W977">
        <v>0</v>
      </c>
      <c r="X977">
        <v>0</v>
      </c>
      <c r="Y977">
        <v>0</v>
      </c>
      <c r="Z977">
        <v>0</v>
      </c>
      <c r="AA977">
        <v>0</v>
      </c>
      <c r="AB977">
        <v>0</v>
      </c>
      <c r="AC977">
        <v>0</v>
      </c>
      <c r="AD977">
        <v>0</v>
      </c>
      <c r="AE977">
        <v>0</v>
      </c>
      <c r="AF977">
        <v>0</v>
      </c>
      <c r="AG977">
        <v>0</v>
      </c>
      <c r="AH977">
        <v>0</v>
      </c>
      <c r="AI977">
        <v>0</v>
      </c>
      <c r="AJ977">
        <v>0</v>
      </c>
      <c r="AK977">
        <v>1</v>
      </c>
      <c r="AL977">
        <v>0</v>
      </c>
      <c r="AM977">
        <v>0</v>
      </c>
      <c r="AN977">
        <v>0</v>
      </c>
      <c r="AO977">
        <v>0</v>
      </c>
      <c r="AP977">
        <v>0</v>
      </c>
      <c r="AQ977">
        <v>0</v>
      </c>
      <c r="AR977">
        <v>0</v>
      </c>
      <c r="AS977">
        <v>0</v>
      </c>
      <c r="AT977">
        <v>0</v>
      </c>
      <c r="AU977">
        <v>0</v>
      </c>
      <c r="AV977">
        <v>0</v>
      </c>
      <c r="AW977">
        <v>0</v>
      </c>
      <c r="AX977" s="141">
        <f t="shared" si="213"/>
        <v>1</v>
      </c>
      <c r="AY977" s="141">
        <f t="shared" si="188"/>
        <v>1</v>
      </c>
      <c r="AZ977">
        <f t="shared" si="189"/>
        <v>0</v>
      </c>
      <c r="BA977">
        <f t="shared" si="190"/>
        <v>0</v>
      </c>
      <c r="BB977">
        <f t="shared" si="191"/>
        <v>1</v>
      </c>
      <c r="BC977">
        <f t="shared" si="192"/>
        <v>0</v>
      </c>
      <c r="BD977">
        <f t="shared" si="193"/>
        <v>0</v>
      </c>
      <c r="BE977" t="str">
        <f t="array" ref="BE977">IF(AY977=1,INDEX($V$7:$AL$7,MATCH(TRUE,INDEX($V977:$AW977&lt;&gt;0,),0)),IF(AY977=0,INDEX($AM$7:$AW$7,MATCH(1,$AM977:$AW977,0)),IF(BF977="Multiple strategies","mixed drivers",IF(BF977="Supply chain","multiple supply","multiple silviculture"))))</f>
        <v>technologies/design switch</v>
      </c>
      <c r="BF977" s="2" t="str" cm="1">
        <f t="array" ref="BF977">IF(COUNTIF(AZ977:BB977,"&lt;&gt;0")=1,INDEX($V$4:$AW$4,MATCH(TRUE,INDEX($V977:$AW977&lt;&gt;0,),0)),IF(COUNTIF(AZ977:BB977,"&lt;&gt;0")=0,INDEX($AM$4:$AW$4,MATCH(1,$AM977:$AW977,0)),"Multiple strategies"))</f>
        <v>Technology</v>
      </c>
      <c r="BG977" s="1" t="s">
        <v>230</v>
      </c>
      <c r="BH977" t="s">
        <v>230</v>
      </c>
      <c r="BJ977" t="s">
        <v>346</v>
      </c>
      <c r="BK977">
        <v>0</v>
      </c>
      <c r="BL977">
        <v>23436</v>
      </c>
      <c r="BM977" s="143"/>
      <c r="BN977">
        <f t="shared" si="222"/>
        <v>23436</v>
      </c>
      <c r="BO977" s="143">
        <f t="shared" si="216"/>
        <v>47.828571428571436</v>
      </c>
      <c r="BP977" t="s">
        <v>233</v>
      </c>
      <c r="BQ977" s="153" t="s">
        <v>1059</v>
      </c>
      <c r="BR977" t="s">
        <v>398</v>
      </c>
      <c r="BS977">
        <v>-19800</v>
      </c>
      <c r="BT977">
        <v>-693</v>
      </c>
      <c r="BU977" s="144">
        <v>3.5000000000000003E-2</v>
      </c>
      <c r="BV977">
        <v>19107</v>
      </c>
      <c r="BX977">
        <f t="shared" si="217"/>
        <v>19.106999999999999</v>
      </c>
      <c r="BY977">
        <f t="shared" si="194"/>
        <v>0.39948924731182789</v>
      </c>
      <c r="BZ977">
        <v>0</v>
      </c>
      <c r="CA977">
        <v>0</v>
      </c>
      <c r="CB977">
        <v>0</v>
      </c>
      <c r="CC977">
        <v>0</v>
      </c>
      <c r="CD977">
        <v>0</v>
      </c>
      <c r="CE977">
        <v>0</v>
      </c>
      <c r="CF977">
        <v>0</v>
      </c>
      <c r="CG977">
        <v>0</v>
      </c>
      <c r="CH977">
        <v>0</v>
      </c>
      <c r="CI977">
        <v>0</v>
      </c>
      <c r="CJ977">
        <v>0</v>
      </c>
      <c r="CK977">
        <v>0</v>
      </c>
      <c r="CL977">
        <v>0</v>
      </c>
      <c r="CM977">
        <v>0</v>
      </c>
      <c r="CN977" t="str">
        <f t="shared" si="229"/>
        <v>refOK</v>
      </c>
      <c r="CO977">
        <f t="shared" si="218"/>
        <v>0</v>
      </c>
      <c r="CP977">
        <f t="shared" si="219"/>
        <v>23436</v>
      </c>
      <c r="CQ977">
        <f t="shared" si="221"/>
        <v>47.828571428571436</v>
      </c>
      <c r="CR977">
        <f t="shared" si="210"/>
        <v>-19800</v>
      </c>
      <c r="CS977">
        <f t="shared" si="220"/>
        <v>-693</v>
      </c>
      <c r="CT977">
        <f t="shared" si="214"/>
        <v>19.106999999999999</v>
      </c>
      <c r="CU977">
        <f t="shared" si="204"/>
        <v>0.39948924731182789</v>
      </c>
      <c r="CV977" s="2">
        <f t="shared" si="215"/>
        <v>0.96499999999999997</v>
      </c>
      <c r="CW977" s="1" t="s">
        <v>1205</v>
      </c>
      <c r="CX977" t="str">
        <f t="shared" si="195"/>
        <v>reg</v>
      </c>
      <c r="CY977" t="s">
        <v>349</v>
      </c>
      <c r="CZ977">
        <v>2014</v>
      </c>
      <c r="DA977">
        <v>2514</v>
      </c>
      <c r="DB977">
        <v>500</v>
      </c>
      <c r="DC977" t="str">
        <f t="shared" si="196"/>
        <v>+100</v>
      </c>
      <c r="DD977">
        <v>0</v>
      </c>
      <c r="DE977">
        <v>0</v>
      </c>
      <c r="DF977">
        <v>0</v>
      </c>
      <c r="DG977">
        <v>1</v>
      </c>
      <c r="DI977">
        <f t="shared" si="230"/>
        <v>1</v>
      </c>
      <c r="DJ977" t="str">
        <f t="shared" si="203"/>
        <v>TimberInput</v>
      </c>
      <c r="DK977">
        <f t="shared" si="223"/>
        <v>0</v>
      </c>
      <c r="DL977">
        <f t="shared" si="224"/>
        <v>0</v>
      </c>
      <c r="DM977">
        <f t="shared" si="225"/>
        <v>0</v>
      </c>
      <c r="DN977" t="str">
        <f t="shared" si="226"/>
        <v>Timber</v>
      </c>
      <c r="DO977">
        <v>0</v>
      </c>
      <c r="DP977">
        <v>0</v>
      </c>
      <c r="DQ977">
        <v>0</v>
      </c>
      <c r="DR977">
        <v>0</v>
      </c>
      <c r="DS977">
        <v>0</v>
      </c>
      <c r="DT977">
        <f t="shared" si="212"/>
        <v>0</v>
      </c>
      <c r="DU977" s="143" t="str">
        <f t="shared" si="198"/>
        <v>explicit C balance</v>
      </c>
      <c r="DV977">
        <v>0</v>
      </c>
      <c r="DW977">
        <v>0</v>
      </c>
      <c r="DX977">
        <v>0</v>
      </c>
      <c r="DY977">
        <v>0</v>
      </c>
      <c r="DZ977">
        <v>0</v>
      </c>
      <c r="EA977" s="143">
        <v>1</v>
      </c>
      <c r="EB977">
        <v>0</v>
      </c>
      <c r="EC977">
        <v>1</v>
      </c>
      <c r="ED977">
        <v>1</v>
      </c>
      <c r="EE977">
        <v>1</v>
      </c>
      <c r="EF977">
        <v>0</v>
      </c>
      <c r="EG977">
        <v>0</v>
      </c>
      <c r="EH977">
        <v>0</v>
      </c>
      <c r="EI977" s="2">
        <v>0</v>
      </c>
      <c r="EK977" t="str">
        <f t="shared" si="227"/>
        <v/>
      </c>
      <c r="EL977" t="str">
        <f t="shared" si="228"/>
        <v/>
      </c>
      <c r="EM977" s="2" t="str">
        <f t="shared" si="197"/>
        <v>Technology approach</v>
      </c>
      <c r="EP977" t="str">
        <f>IF(ISNUMBER(BU977),IF(ABS(BU977-[2]QC_indicators!$B$2)&gt;3*[2]QC_indicators!$C$2,"C ratio",IF(ISNUMBER(BY977),IF(ABS(BY977-[2]QC_indicators!$B$1)&gt;3*[2]QC_indicators!$C$1,"DF","no"))),IF(ISNUMBER(BY977),IF(ABS(BY977-[2]QC_indicators!$B$1)&gt;3*[2]QC_indicators!$C$1,"DF","no")))</f>
        <v>no</v>
      </c>
      <c r="ER977" s="149" t="s">
        <v>350</v>
      </c>
      <c r="ET977" s="266" t="s">
        <v>3275</v>
      </c>
    </row>
    <row r="978" spans="1:151" ht="15" hidden="1" customHeight="1">
      <c r="A978" s="1" t="s">
        <v>1235</v>
      </c>
      <c r="B978" t="s">
        <v>1236</v>
      </c>
      <c r="C978" t="s">
        <v>1237</v>
      </c>
      <c r="D978" t="s">
        <v>337</v>
      </c>
      <c r="E978" t="s">
        <v>1238</v>
      </c>
      <c r="F978" t="s">
        <v>1239</v>
      </c>
      <c r="G978" t="s">
        <v>1240</v>
      </c>
      <c r="I978">
        <v>2018</v>
      </c>
      <c r="K978" t="s">
        <v>1241</v>
      </c>
      <c r="M978" t="str">
        <f t="shared" si="201"/>
        <v>Balasbaneh_2018</v>
      </c>
      <c r="N978" t="s">
        <v>223</v>
      </c>
      <c r="O978" s="140" t="s">
        <v>514</v>
      </c>
      <c r="Q978" t="s">
        <v>225</v>
      </c>
      <c r="R978" s="264" t="s">
        <v>224</v>
      </c>
      <c r="S978" s="1" t="s">
        <v>1254</v>
      </c>
      <c r="T978" s="266" t="s">
        <v>3114</v>
      </c>
      <c r="U978" s="266" t="s">
        <v>3118</v>
      </c>
      <c r="V978">
        <v>0</v>
      </c>
      <c r="W978">
        <v>0</v>
      </c>
      <c r="X978">
        <v>0</v>
      </c>
      <c r="Y978">
        <v>0</v>
      </c>
      <c r="Z978">
        <v>0</v>
      </c>
      <c r="AA978">
        <v>0</v>
      </c>
      <c r="AB978">
        <v>0</v>
      </c>
      <c r="AC978">
        <v>0</v>
      </c>
      <c r="AD978">
        <v>0</v>
      </c>
      <c r="AE978">
        <v>0</v>
      </c>
      <c r="AF978">
        <v>0</v>
      </c>
      <c r="AG978">
        <v>0</v>
      </c>
      <c r="AH978">
        <v>0</v>
      </c>
      <c r="AI978">
        <v>0</v>
      </c>
      <c r="AJ978">
        <v>0</v>
      </c>
      <c r="AK978">
        <v>1</v>
      </c>
      <c r="AL978">
        <v>0</v>
      </c>
      <c r="AM978">
        <v>0</v>
      </c>
      <c r="AN978">
        <v>0</v>
      </c>
      <c r="AO978">
        <v>0</v>
      </c>
      <c r="AP978">
        <v>0</v>
      </c>
      <c r="AQ978">
        <v>0</v>
      </c>
      <c r="AR978">
        <v>0</v>
      </c>
      <c r="AS978">
        <v>0</v>
      </c>
      <c r="AT978">
        <v>0</v>
      </c>
      <c r="AU978">
        <v>0</v>
      </c>
      <c r="AV978">
        <v>0</v>
      </c>
      <c r="AW978">
        <v>0</v>
      </c>
      <c r="AX978" s="141">
        <f t="shared" si="213"/>
        <v>1</v>
      </c>
      <c r="AY978" s="141">
        <f t="shared" si="188"/>
        <v>1</v>
      </c>
      <c r="AZ978">
        <f t="shared" si="189"/>
        <v>0</v>
      </c>
      <c r="BA978">
        <f t="shared" si="190"/>
        <v>0</v>
      </c>
      <c r="BB978">
        <f t="shared" si="191"/>
        <v>1</v>
      </c>
      <c r="BC978">
        <f t="shared" si="192"/>
        <v>0</v>
      </c>
      <c r="BD978">
        <f t="shared" si="193"/>
        <v>0</v>
      </c>
      <c r="BE978" t="str">
        <f t="array" ref="BE978">IF(AY978=1,INDEX($V$7:$AL$7,MATCH(TRUE,INDEX($V978:$AW978&lt;&gt;0,),0)),IF(AY978=0,INDEX($AM$7:$AW$7,MATCH(1,$AM978:$AW978,0)),IF(BF978="Multiple strategies","mixed drivers",IF(BF978="Supply chain","multiple supply","multiple silviculture"))))</f>
        <v>technologies/design switch</v>
      </c>
      <c r="BF978" s="2" t="str" cm="1">
        <f t="array" ref="BF978">IF(COUNTIF(AZ978:BB978,"&lt;&gt;0")=1,INDEX($V$4:$AW$4,MATCH(TRUE,INDEX($V978:$AW978&lt;&gt;0,),0)),IF(COUNTIF(AZ978:BB978,"&lt;&gt;0")=0,INDEX($AM$4:$AW$4,MATCH(1,$AM978:$AW978,0)),"Multiple strategies"))</f>
        <v>Technology</v>
      </c>
      <c r="BG978" s="1" t="s">
        <v>230</v>
      </c>
      <c r="BH978" t="s">
        <v>230</v>
      </c>
      <c r="BJ978" t="s">
        <v>346</v>
      </c>
      <c r="BK978">
        <v>0</v>
      </c>
      <c r="BL978">
        <v>23436</v>
      </c>
      <c r="BM978" s="143"/>
      <c r="BN978">
        <f t="shared" si="222"/>
        <v>23436</v>
      </c>
      <c r="BO978" s="143">
        <f t="shared" si="216"/>
        <v>47.828571428571436</v>
      </c>
      <c r="BP978" t="s">
        <v>233</v>
      </c>
      <c r="BQ978" s="153" t="s">
        <v>1059</v>
      </c>
      <c r="BR978" t="s">
        <v>398</v>
      </c>
      <c r="BS978">
        <v>-13900</v>
      </c>
      <c r="BT978">
        <v>-693</v>
      </c>
      <c r="BU978" s="144">
        <v>4.9856115107913671E-2</v>
      </c>
      <c r="BV978">
        <v>13207</v>
      </c>
      <c r="BX978">
        <f t="shared" si="217"/>
        <v>13.207000000000001</v>
      </c>
      <c r="BY978">
        <f t="shared" si="194"/>
        <v>0.27613201911589008</v>
      </c>
      <c r="BZ978">
        <v>0</v>
      </c>
      <c r="CA978">
        <v>0</v>
      </c>
      <c r="CB978">
        <v>0</v>
      </c>
      <c r="CC978">
        <v>0</v>
      </c>
      <c r="CD978">
        <v>0</v>
      </c>
      <c r="CE978">
        <v>0</v>
      </c>
      <c r="CF978">
        <v>0</v>
      </c>
      <c r="CG978">
        <v>0</v>
      </c>
      <c r="CH978">
        <v>0</v>
      </c>
      <c r="CI978">
        <v>0</v>
      </c>
      <c r="CJ978">
        <v>0</v>
      </c>
      <c r="CK978">
        <v>0</v>
      </c>
      <c r="CL978">
        <v>0</v>
      </c>
      <c r="CM978">
        <v>0</v>
      </c>
      <c r="CN978" t="str">
        <f t="shared" si="229"/>
        <v>refOK</v>
      </c>
      <c r="CO978">
        <f t="shared" si="218"/>
        <v>0</v>
      </c>
      <c r="CP978">
        <f t="shared" si="219"/>
        <v>23436</v>
      </c>
      <c r="CQ978">
        <f t="shared" si="221"/>
        <v>47.828571428571436</v>
      </c>
      <c r="CR978">
        <f t="shared" si="210"/>
        <v>-13900</v>
      </c>
      <c r="CS978">
        <f t="shared" si="220"/>
        <v>-693</v>
      </c>
      <c r="CT978">
        <f t="shared" si="214"/>
        <v>13.207000000000001</v>
      </c>
      <c r="CU978">
        <f t="shared" si="204"/>
        <v>0.27613201911589008</v>
      </c>
      <c r="CV978" s="2">
        <f t="shared" si="215"/>
        <v>0.95014388489208634</v>
      </c>
      <c r="CW978" s="1" t="s">
        <v>1205</v>
      </c>
      <c r="CX978" t="str">
        <f t="shared" si="195"/>
        <v>reg</v>
      </c>
      <c r="CY978" t="s">
        <v>349</v>
      </c>
      <c r="CZ978">
        <v>2014</v>
      </c>
      <c r="DA978">
        <v>2514</v>
      </c>
      <c r="DB978">
        <v>500</v>
      </c>
      <c r="DC978" t="str">
        <f t="shared" si="196"/>
        <v>+100</v>
      </c>
      <c r="DD978">
        <v>0</v>
      </c>
      <c r="DE978">
        <v>0</v>
      </c>
      <c r="DF978">
        <v>0</v>
      </c>
      <c r="DG978">
        <v>1</v>
      </c>
      <c r="DI978">
        <f t="shared" si="230"/>
        <v>1</v>
      </c>
      <c r="DJ978" t="str">
        <f t="shared" si="203"/>
        <v>TimberInput</v>
      </c>
      <c r="DK978">
        <f t="shared" si="223"/>
        <v>0</v>
      </c>
      <c r="DL978">
        <f t="shared" si="224"/>
        <v>0</v>
      </c>
      <c r="DM978">
        <f t="shared" si="225"/>
        <v>0</v>
      </c>
      <c r="DN978" t="str">
        <f t="shared" si="226"/>
        <v>Timber</v>
      </c>
      <c r="DO978">
        <v>0</v>
      </c>
      <c r="DP978">
        <v>0</v>
      </c>
      <c r="DQ978">
        <v>0</v>
      </c>
      <c r="DR978">
        <v>0</v>
      </c>
      <c r="DS978">
        <v>0</v>
      </c>
      <c r="DT978">
        <f t="shared" si="212"/>
        <v>0</v>
      </c>
      <c r="DU978" s="143" t="str">
        <f t="shared" si="198"/>
        <v>explicit C balance</v>
      </c>
      <c r="DV978">
        <v>0</v>
      </c>
      <c r="DW978">
        <v>0</v>
      </c>
      <c r="DX978">
        <v>0</v>
      </c>
      <c r="DY978">
        <v>0</v>
      </c>
      <c r="DZ978">
        <v>0</v>
      </c>
      <c r="EA978" s="143">
        <v>1</v>
      </c>
      <c r="EB978">
        <v>0</v>
      </c>
      <c r="EC978">
        <v>1</v>
      </c>
      <c r="ED978">
        <v>1</v>
      </c>
      <c r="EE978">
        <v>1</v>
      </c>
      <c r="EF978">
        <v>0</v>
      </c>
      <c r="EG978">
        <v>0</v>
      </c>
      <c r="EH978">
        <v>0</v>
      </c>
      <c r="EI978" s="2">
        <v>0</v>
      </c>
      <c r="EK978" t="str">
        <f t="shared" si="227"/>
        <v/>
      </c>
      <c r="EL978" t="str">
        <f t="shared" si="228"/>
        <v/>
      </c>
      <c r="EM978" s="2" t="str">
        <f t="shared" si="197"/>
        <v>Technology approach</v>
      </c>
      <c r="EP978" t="str">
        <f>IF(ISNUMBER(BU978),IF(ABS(BU978-[2]QC_indicators!$B$2)&gt;3*[2]QC_indicators!$C$2,"C ratio",IF(ISNUMBER(BY978),IF(ABS(BY978-[2]QC_indicators!$B$1)&gt;3*[2]QC_indicators!$C$1,"DF","no"))),IF(ISNUMBER(BY978),IF(ABS(BY978-[2]QC_indicators!$B$1)&gt;3*[2]QC_indicators!$C$1,"DF","no")))</f>
        <v>no</v>
      </c>
      <c r="ER978" s="149" t="s">
        <v>350</v>
      </c>
      <c r="ET978" s="266" t="s">
        <v>3275</v>
      </c>
    </row>
    <row r="979" spans="1:151" ht="15" hidden="1" customHeight="1">
      <c r="A979" s="1" t="s">
        <v>1235</v>
      </c>
      <c r="B979" t="s">
        <v>1236</v>
      </c>
      <c r="C979" t="s">
        <v>1237</v>
      </c>
      <c r="D979" t="s">
        <v>337</v>
      </c>
      <c r="E979" t="s">
        <v>1238</v>
      </c>
      <c r="F979" t="s">
        <v>1239</v>
      </c>
      <c r="G979" t="s">
        <v>1240</v>
      </c>
      <c r="I979">
        <v>2018</v>
      </c>
      <c r="K979" t="s">
        <v>1241</v>
      </c>
      <c r="M979" t="str">
        <f t="shared" si="201"/>
        <v>Balasbaneh_2018</v>
      </c>
      <c r="N979" t="s">
        <v>223</v>
      </c>
      <c r="O979" s="140" t="s">
        <v>514</v>
      </c>
      <c r="Q979" t="s">
        <v>225</v>
      </c>
      <c r="R979" s="264" t="s">
        <v>224</v>
      </c>
      <c r="S979" s="1" t="s">
        <v>1248</v>
      </c>
      <c r="T979" s="266" t="s">
        <v>3115</v>
      </c>
      <c r="U979" s="266" t="s">
        <v>3118</v>
      </c>
      <c r="V979">
        <v>0</v>
      </c>
      <c r="W979">
        <v>0</v>
      </c>
      <c r="X979">
        <v>0</v>
      </c>
      <c r="Y979">
        <v>0</v>
      </c>
      <c r="Z979">
        <v>0</v>
      </c>
      <c r="AA979">
        <v>0</v>
      </c>
      <c r="AB979">
        <v>0</v>
      </c>
      <c r="AC979">
        <v>0</v>
      </c>
      <c r="AD979">
        <v>0</v>
      </c>
      <c r="AE979">
        <v>0</v>
      </c>
      <c r="AF979">
        <v>0</v>
      </c>
      <c r="AG979">
        <v>0</v>
      </c>
      <c r="AH979">
        <v>0</v>
      </c>
      <c r="AI979">
        <v>0</v>
      </c>
      <c r="AJ979">
        <v>0</v>
      </c>
      <c r="AK979">
        <v>1</v>
      </c>
      <c r="AL979">
        <v>0</v>
      </c>
      <c r="AM979">
        <v>0</v>
      </c>
      <c r="AN979">
        <v>0</v>
      </c>
      <c r="AO979">
        <v>0</v>
      </c>
      <c r="AP979">
        <v>0</v>
      </c>
      <c r="AQ979">
        <v>0</v>
      </c>
      <c r="AR979">
        <v>0</v>
      </c>
      <c r="AS979">
        <v>0</v>
      </c>
      <c r="AT979">
        <v>0</v>
      </c>
      <c r="AU979">
        <v>0</v>
      </c>
      <c r="AV979">
        <v>0</v>
      </c>
      <c r="AW979">
        <v>0</v>
      </c>
      <c r="AX979" s="141">
        <f t="shared" si="213"/>
        <v>1</v>
      </c>
      <c r="AY979" s="141">
        <f t="shared" si="188"/>
        <v>1</v>
      </c>
      <c r="AZ979">
        <f t="shared" si="189"/>
        <v>0</v>
      </c>
      <c r="BA979">
        <f t="shared" si="190"/>
        <v>0</v>
      </c>
      <c r="BB979">
        <f t="shared" si="191"/>
        <v>1</v>
      </c>
      <c r="BC979">
        <f t="shared" si="192"/>
        <v>0</v>
      </c>
      <c r="BD979">
        <f t="shared" si="193"/>
        <v>0</v>
      </c>
      <c r="BE979" t="str">
        <f t="array" ref="BE979">IF(AY979=1,INDEX($V$7:$AL$7,MATCH(TRUE,INDEX($V979:$AW979&lt;&gt;0,),0)),IF(AY979=0,INDEX($AM$7:$AW$7,MATCH(1,$AM979:$AW979,0)),IF(BF979="Multiple strategies","mixed drivers",IF(BF979="Supply chain","multiple supply","multiple silviculture"))))</f>
        <v>technologies/design switch</v>
      </c>
      <c r="BF979" s="2" t="str" cm="1">
        <f t="array" ref="BF979">IF(COUNTIF(AZ979:BB979,"&lt;&gt;0")=1,INDEX($V$4:$AW$4,MATCH(TRUE,INDEX($V979:$AW979&lt;&gt;0,),0)),IF(COUNTIF(AZ979:BB979,"&lt;&gt;0")=0,INDEX($AM$4:$AW$4,MATCH(1,$AM979:$AW979,0)),"Multiple strategies"))</f>
        <v>Technology</v>
      </c>
      <c r="BG979" s="1" t="s">
        <v>230</v>
      </c>
      <c r="BH979" t="s">
        <v>230</v>
      </c>
      <c r="BJ979" t="s">
        <v>346</v>
      </c>
      <c r="BK979">
        <v>0</v>
      </c>
      <c r="BL979">
        <v>23436</v>
      </c>
      <c r="BM979" s="143"/>
      <c r="BN979">
        <f t="shared" si="222"/>
        <v>23436</v>
      </c>
      <c r="BO979" s="143">
        <f t="shared" si="216"/>
        <v>47.828571428571436</v>
      </c>
      <c r="BP979" t="s">
        <v>233</v>
      </c>
      <c r="BQ979" s="153" t="s">
        <v>1059</v>
      </c>
      <c r="BR979" t="s">
        <v>398</v>
      </c>
      <c r="BS979">
        <v>-7910</v>
      </c>
      <c r="BT979">
        <v>-693</v>
      </c>
      <c r="BU979" s="144">
        <v>8.7610619469026554E-2</v>
      </c>
      <c r="BV979">
        <v>7217</v>
      </c>
      <c r="BX979">
        <f t="shared" si="217"/>
        <v>7.2169999999999996</v>
      </c>
      <c r="BY979">
        <f t="shared" si="194"/>
        <v>0.15089307048984466</v>
      </c>
      <c r="BZ979">
        <v>0</v>
      </c>
      <c r="CA979">
        <v>0</v>
      </c>
      <c r="CB979">
        <v>0</v>
      </c>
      <c r="CC979">
        <v>0</v>
      </c>
      <c r="CD979">
        <v>0</v>
      </c>
      <c r="CE979">
        <v>0</v>
      </c>
      <c r="CF979">
        <v>0</v>
      </c>
      <c r="CG979">
        <v>0</v>
      </c>
      <c r="CH979">
        <v>0</v>
      </c>
      <c r="CI979">
        <v>0</v>
      </c>
      <c r="CJ979">
        <v>0</v>
      </c>
      <c r="CK979">
        <v>0</v>
      </c>
      <c r="CL979">
        <v>0</v>
      </c>
      <c r="CM979">
        <v>0</v>
      </c>
      <c r="CN979" t="str">
        <f t="shared" si="229"/>
        <v>refOK</v>
      </c>
      <c r="CO979">
        <f t="shared" si="218"/>
        <v>0</v>
      </c>
      <c r="CP979">
        <f t="shared" si="219"/>
        <v>23436</v>
      </c>
      <c r="CQ979">
        <f t="shared" si="221"/>
        <v>47.828571428571436</v>
      </c>
      <c r="CR979">
        <f t="shared" si="210"/>
        <v>-7910</v>
      </c>
      <c r="CS979">
        <f t="shared" si="220"/>
        <v>-693</v>
      </c>
      <c r="CT979">
        <f t="shared" si="214"/>
        <v>7.2169999999999996</v>
      </c>
      <c r="CU979">
        <f t="shared" si="204"/>
        <v>0.15089307048984466</v>
      </c>
      <c r="CV979" s="2">
        <f t="shared" si="215"/>
        <v>0.9123893805309734</v>
      </c>
      <c r="CW979" s="1" t="s">
        <v>1205</v>
      </c>
      <c r="CX979" t="str">
        <f t="shared" si="195"/>
        <v>reg</v>
      </c>
      <c r="CY979" t="s">
        <v>349</v>
      </c>
      <c r="CZ979">
        <v>2014</v>
      </c>
      <c r="DA979">
        <v>2514</v>
      </c>
      <c r="DB979">
        <v>500</v>
      </c>
      <c r="DC979" t="str">
        <f t="shared" si="196"/>
        <v>+100</v>
      </c>
      <c r="DD979">
        <v>0</v>
      </c>
      <c r="DE979">
        <v>0</v>
      </c>
      <c r="DF979">
        <v>0</v>
      </c>
      <c r="DG979">
        <v>1</v>
      </c>
      <c r="DI979">
        <f t="shared" si="230"/>
        <v>1</v>
      </c>
      <c r="DJ979" t="str">
        <f t="shared" si="203"/>
        <v>TimberInput</v>
      </c>
      <c r="DK979">
        <f t="shared" si="223"/>
        <v>0</v>
      </c>
      <c r="DL979">
        <f t="shared" si="224"/>
        <v>0</v>
      </c>
      <c r="DM979">
        <f t="shared" si="225"/>
        <v>0</v>
      </c>
      <c r="DN979" t="str">
        <f t="shared" si="226"/>
        <v>Timber</v>
      </c>
      <c r="DO979">
        <v>0</v>
      </c>
      <c r="DP979">
        <v>0</v>
      </c>
      <c r="DQ979">
        <v>0</v>
      </c>
      <c r="DR979">
        <v>0</v>
      </c>
      <c r="DS979">
        <v>0</v>
      </c>
      <c r="DT979">
        <f t="shared" si="212"/>
        <v>0</v>
      </c>
      <c r="DU979" s="143" t="str">
        <f t="shared" si="198"/>
        <v>explicit C balance</v>
      </c>
      <c r="DV979">
        <v>0</v>
      </c>
      <c r="DW979">
        <v>0</v>
      </c>
      <c r="DX979">
        <v>0</v>
      </c>
      <c r="DY979">
        <v>0</v>
      </c>
      <c r="DZ979">
        <v>0</v>
      </c>
      <c r="EA979" s="143">
        <v>1</v>
      </c>
      <c r="EB979">
        <v>0</v>
      </c>
      <c r="EC979">
        <v>1</v>
      </c>
      <c r="ED979">
        <v>1</v>
      </c>
      <c r="EE979">
        <v>1</v>
      </c>
      <c r="EF979">
        <v>0</v>
      </c>
      <c r="EG979">
        <v>0</v>
      </c>
      <c r="EH979">
        <v>0</v>
      </c>
      <c r="EI979" s="2">
        <v>0</v>
      </c>
      <c r="EK979" t="str">
        <f t="shared" si="227"/>
        <v/>
      </c>
      <c r="EL979" t="str">
        <f t="shared" si="228"/>
        <v/>
      </c>
      <c r="EM979" s="2" t="str">
        <f t="shared" si="197"/>
        <v>Technology approach</v>
      </c>
      <c r="EP979" t="str">
        <f>IF(ISNUMBER(BU979),IF(ABS(BU979-[2]QC_indicators!$B$2)&gt;3*[2]QC_indicators!$C$2,"C ratio",IF(ISNUMBER(BY979),IF(ABS(BY979-[2]QC_indicators!$B$1)&gt;3*[2]QC_indicators!$C$1,"DF","no"))),IF(ISNUMBER(BY979),IF(ABS(BY979-[2]QC_indicators!$B$1)&gt;3*[2]QC_indicators!$C$1,"DF","no")))</f>
        <v>no</v>
      </c>
      <c r="ER979" s="149" t="s">
        <v>350</v>
      </c>
      <c r="ET979" s="266" t="s">
        <v>3275</v>
      </c>
    </row>
    <row r="980" spans="1:151" ht="15" hidden="1" customHeight="1">
      <c r="A980" s="1" t="s">
        <v>1235</v>
      </c>
      <c r="B980" t="s">
        <v>1236</v>
      </c>
      <c r="C980" t="s">
        <v>1237</v>
      </c>
      <c r="D980" t="s">
        <v>337</v>
      </c>
      <c r="E980" t="s">
        <v>1238</v>
      </c>
      <c r="F980" t="s">
        <v>1239</v>
      </c>
      <c r="G980" t="s">
        <v>1240</v>
      </c>
      <c r="I980">
        <v>2018</v>
      </c>
      <c r="K980" t="s">
        <v>1241</v>
      </c>
      <c r="M980" t="str">
        <f t="shared" si="201"/>
        <v>Balasbaneh_2018</v>
      </c>
      <c r="N980" t="s">
        <v>223</v>
      </c>
      <c r="O980" s="140" t="s">
        <v>514</v>
      </c>
      <c r="Q980" t="s">
        <v>225</v>
      </c>
      <c r="R980" s="264" t="s">
        <v>224</v>
      </c>
      <c r="S980" s="1" t="s">
        <v>1250</v>
      </c>
      <c r="T980" s="266" t="s">
        <v>3116</v>
      </c>
      <c r="U980" s="266" t="s">
        <v>3118</v>
      </c>
      <c r="V980">
        <v>0</v>
      </c>
      <c r="W980">
        <v>0</v>
      </c>
      <c r="X980">
        <v>0</v>
      </c>
      <c r="Y980">
        <v>0</v>
      </c>
      <c r="Z980">
        <v>0</v>
      </c>
      <c r="AA980">
        <v>0</v>
      </c>
      <c r="AB980">
        <v>0</v>
      </c>
      <c r="AC980">
        <v>0</v>
      </c>
      <c r="AD980">
        <v>0</v>
      </c>
      <c r="AE980">
        <v>0</v>
      </c>
      <c r="AF980">
        <v>0</v>
      </c>
      <c r="AG980">
        <v>0</v>
      </c>
      <c r="AH980">
        <v>0</v>
      </c>
      <c r="AI980">
        <v>0</v>
      </c>
      <c r="AJ980">
        <v>0</v>
      </c>
      <c r="AK980">
        <v>1</v>
      </c>
      <c r="AL980">
        <v>0</v>
      </c>
      <c r="AM980">
        <v>0</v>
      </c>
      <c r="AN980">
        <v>0</v>
      </c>
      <c r="AO980">
        <v>0</v>
      </c>
      <c r="AP980">
        <v>0</v>
      </c>
      <c r="AQ980">
        <v>0</v>
      </c>
      <c r="AR980">
        <v>0</v>
      </c>
      <c r="AS980">
        <v>0</v>
      </c>
      <c r="AT980">
        <v>0</v>
      </c>
      <c r="AU980">
        <v>0</v>
      </c>
      <c r="AV980">
        <v>0</v>
      </c>
      <c r="AW980">
        <v>0</v>
      </c>
      <c r="AX980" s="141">
        <f t="shared" si="213"/>
        <v>1</v>
      </c>
      <c r="AY980" s="141">
        <f t="shared" si="188"/>
        <v>1</v>
      </c>
      <c r="AZ980">
        <f t="shared" si="189"/>
        <v>0</v>
      </c>
      <c r="BA980">
        <f t="shared" si="190"/>
        <v>0</v>
      </c>
      <c r="BB980">
        <f t="shared" si="191"/>
        <v>1</v>
      </c>
      <c r="BC980">
        <f t="shared" si="192"/>
        <v>0</v>
      </c>
      <c r="BD980">
        <f t="shared" si="193"/>
        <v>0</v>
      </c>
      <c r="BE980" t="str">
        <f t="array" ref="BE980">IF(AY980=1,INDEX($V$7:$AL$7,MATCH(TRUE,INDEX($V980:$AW980&lt;&gt;0,),0)),IF(AY980=0,INDEX($AM$7:$AW$7,MATCH(1,$AM980:$AW980,0)),IF(BF980="Multiple strategies","mixed drivers",IF(BF980="Supply chain","multiple supply","multiple silviculture"))))</f>
        <v>technologies/design switch</v>
      </c>
      <c r="BF980" s="2" t="str" cm="1">
        <f t="array" ref="BF980">IF(COUNTIF(AZ980:BB980,"&lt;&gt;0")=1,INDEX($V$4:$AW$4,MATCH(TRUE,INDEX($V980:$AW980&lt;&gt;0,),0)),IF(COUNTIF(AZ980:BB980,"&lt;&gt;0")=0,INDEX($AM$4:$AW$4,MATCH(1,$AM980:$AW980,0)),"Multiple strategies"))</f>
        <v>Technology</v>
      </c>
      <c r="BG980" s="1" t="s">
        <v>230</v>
      </c>
      <c r="BH980" t="s">
        <v>230</v>
      </c>
      <c r="BJ980" t="s">
        <v>346</v>
      </c>
      <c r="BK980">
        <v>0</v>
      </c>
      <c r="BL980">
        <v>23436</v>
      </c>
      <c r="BM980" s="143"/>
      <c r="BN980">
        <f t="shared" si="222"/>
        <v>23436</v>
      </c>
      <c r="BO980" s="143">
        <f t="shared" si="216"/>
        <v>47.828571428571436</v>
      </c>
      <c r="BP980" t="s">
        <v>233</v>
      </c>
      <c r="BQ980" s="153" t="s">
        <v>1059</v>
      </c>
      <c r="BR980" t="s">
        <v>398</v>
      </c>
      <c r="BS980">
        <v>-8660</v>
      </c>
      <c r="BT980">
        <v>-693</v>
      </c>
      <c r="BU980" s="144">
        <v>8.0023094688221705E-2</v>
      </c>
      <c r="BV980">
        <v>7967</v>
      </c>
      <c r="BX980">
        <f t="shared" si="217"/>
        <v>7.9669999999999996</v>
      </c>
      <c r="BY980">
        <f t="shared" si="194"/>
        <v>0.16657407407407404</v>
      </c>
      <c r="BZ980">
        <v>0</v>
      </c>
      <c r="CA980">
        <v>0</v>
      </c>
      <c r="CB980">
        <v>0</v>
      </c>
      <c r="CC980">
        <v>0</v>
      </c>
      <c r="CD980">
        <v>0</v>
      </c>
      <c r="CE980">
        <v>0</v>
      </c>
      <c r="CF980">
        <v>0</v>
      </c>
      <c r="CG980">
        <v>0</v>
      </c>
      <c r="CH980">
        <v>0</v>
      </c>
      <c r="CI980">
        <v>0</v>
      </c>
      <c r="CJ980">
        <v>0</v>
      </c>
      <c r="CK980">
        <v>0</v>
      </c>
      <c r="CL980">
        <v>0</v>
      </c>
      <c r="CM980">
        <v>0</v>
      </c>
      <c r="CN980" t="str">
        <f t="shared" si="229"/>
        <v>refOK</v>
      </c>
      <c r="CO980">
        <f t="shared" si="218"/>
        <v>0</v>
      </c>
      <c r="CP980">
        <f t="shared" si="219"/>
        <v>23436</v>
      </c>
      <c r="CQ980">
        <f t="shared" si="221"/>
        <v>47.828571428571436</v>
      </c>
      <c r="CR980">
        <f t="shared" si="210"/>
        <v>-8660</v>
      </c>
      <c r="CS980">
        <f t="shared" si="220"/>
        <v>-693</v>
      </c>
      <c r="CT980">
        <f t="shared" si="214"/>
        <v>7.9669999999999996</v>
      </c>
      <c r="CU980">
        <f t="shared" si="204"/>
        <v>0.16657407407407404</v>
      </c>
      <c r="CV980" s="2">
        <f t="shared" si="215"/>
        <v>0.91997690531177834</v>
      </c>
      <c r="CW980" s="1" t="s">
        <v>1205</v>
      </c>
      <c r="CX980" t="str">
        <f t="shared" si="195"/>
        <v>reg</v>
      </c>
      <c r="CY980" t="s">
        <v>349</v>
      </c>
      <c r="CZ980">
        <v>2014</v>
      </c>
      <c r="DA980">
        <v>2514</v>
      </c>
      <c r="DB980">
        <v>500</v>
      </c>
      <c r="DC980" t="str">
        <f t="shared" si="196"/>
        <v>+100</v>
      </c>
      <c r="DD980">
        <v>0</v>
      </c>
      <c r="DE980">
        <v>0</v>
      </c>
      <c r="DF980">
        <v>0</v>
      </c>
      <c r="DG980">
        <v>1</v>
      </c>
      <c r="DI980">
        <f t="shared" si="230"/>
        <v>1</v>
      </c>
      <c r="DJ980" t="str">
        <f t="shared" si="203"/>
        <v>TimberInput</v>
      </c>
      <c r="DK980">
        <f t="shared" si="223"/>
        <v>0</v>
      </c>
      <c r="DL980">
        <f t="shared" si="224"/>
        <v>0</v>
      </c>
      <c r="DM980">
        <f t="shared" si="225"/>
        <v>0</v>
      </c>
      <c r="DN980" t="str">
        <f t="shared" si="226"/>
        <v>Timber</v>
      </c>
      <c r="DO980">
        <v>0</v>
      </c>
      <c r="DP980">
        <v>0</v>
      </c>
      <c r="DQ980">
        <v>0</v>
      </c>
      <c r="DR980">
        <v>0</v>
      </c>
      <c r="DS980">
        <v>0</v>
      </c>
      <c r="DT980">
        <f t="shared" si="212"/>
        <v>0</v>
      </c>
      <c r="DU980" s="143" t="str">
        <f t="shared" si="198"/>
        <v>explicit C balance</v>
      </c>
      <c r="DV980">
        <v>0</v>
      </c>
      <c r="DW980">
        <v>0</v>
      </c>
      <c r="DX980">
        <v>0</v>
      </c>
      <c r="DY980">
        <v>0</v>
      </c>
      <c r="DZ980">
        <v>0</v>
      </c>
      <c r="EA980" s="143">
        <v>1</v>
      </c>
      <c r="EB980">
        <v>0</v>
      </c>
      <c r="EC980">
        <v>1</v>
      </c>
      <c r="ED980">
        <v>1</v>
      </c>
      <c r="EE980">
        <v>1</v>
      </c>
      <c r="EF980">
        <v>0</v>
      </c>
      <c r="EG980">
        <v>0</v>
      </c>
      <c r="EH980">
        <v>0</v>
      </c>
      <c r="EI980" s="2">
        <v>0</v>
      </c>
      <c r="EK980" t="str">
        <f t="shared" si="227"/>
        <v/>
      </c>
      <c r="EL980" t="str">
        <f t="shared" si="228"/>
        <v/>
      </c>
      <c r="EM980" s="2" t="str">
        <f t="shared" si="197"/>
        <v>Technology approach</v>
      </c>
      <c r="EP980" t="str">
        <f>IF(ISNUMBER(BU980),IF(ABS(BU980-[2]QC_indicators!$B$2)&gt;3*[2]QC_indicators!$C$2,"C ratio",IF(ISNUMBER(BY980),IF(ABS(BY980-[2]QC_indicators!$B$1)&gt;3*[2]QC_indicators!$C$1,"DF","no"))),IF(ISNUMBER(BY980),IF(ABS(BY980-[2]QC_indicators!$B$1)&gt;3*[2]QC_indicators!$C$1,"DF","no")))</f>
        <v>no</v>
      </c>
      <c r="ER980" s="149" t="s">
        <v>350</v>
      </c>
      <c r="ET980" s="266" t="s">
        <v>3275</v>
      </c>
    </row>
    <row r="981" spans="1:151" ht="15" hidden="1" customHeight="1">
      <c r="A981" s="1" t="s">
        <v>1235</v>
      </c>
      <c r="B981" t="s">
        <v>1236</v>
      </c>
      <c r="C981" t="s">
        <v>1237</v>
      </c>
      <c r="D981" t="s">
        <v>337</v>
      </c>
      <c r="E981" t="s">
        <v>1238</v>
      </c>
      <c r="F981" t="s">
        <v>1239</v>
      </c>
      <c r="G981" t="s">
        <v>1240</v>
      </c>
      <c r="I981">
        <v>2018</v>
      </c>
      <c r="K981" t="s">
        <v>1241</v>
      </c>
      <c r="M981" t="str">
        <f t="shared" si="201"/>
        <v>Balasbaneh_2018</v>
      </c>
      <c r="N981" t="s">
        <v>223</v>
      </c>
      <c r="O981" s="140" t="s">
        <v>514</v>
      </c>
      <c r="Q981" t="s">
        <v>225</v>
      </c>
      <c r="R981" s="264" t="s">
        <v>224</v>
      </c>
      <c r="S981" s="1" t="s">
        <v>1261</v>
      </c>
      <c r="T981" s="266" t="s">
        <v>3117</v>
      </c>
      <c r="U981" s="266" t="s">
        <v>3118</v>
      </c>
      <c r="V981">
        <v>0</v>
      </c>
      <c r="W981">
        <v>0</v>
      </c>
      <c r="X981">
        <v>0</v>
      </c>
      <c r="Y981">
        <v>0</v>
      </c>
      <c r="Z981">
        <v>0</v>
      </c>
      <c r="AA981">
        <v>0</v>
      </c>
      <c r="AB981">
        <v>0</v>
      </c>
      <c r="AC981">
        <v>0</v>
      </c>
      <c r="AD981">
        <v>0</v>
      </c>
      <c r="AE981">
        <v>0</v>
      </c>
      <c r="AF981">
        <v>0</v>
      </c>
      <c r="AG981">
        <v>0</v>
      </c>
      <c r="AH981">
        <v>0</v>
      </c>
      <c r="AI981">
        <v>0</v>
      </c>
      <c r="AJ981">
        <v>0</v>
      </c>
      <c r="AK981">
        <v>1</v>
      </c>
      <c r="AL981">
        <v>0</v>
      </c>
      <c r="AM981">
        <v>0</v>
      </c>
      <c r="AN981">
        <v>0</v>
      </c>
      <c r="AO981">
        <v>0</v>
      </c>
      <c r="AP981">
        <v>0</v>
      </c>
      <c r="AQ981">
        <v>0</v>
      </c>
      <c r="AR981">
        <v>0</v>
      </c>
      <c r="AS981">
        <v>0</v>
      </c>
      <c r="AT981">
        <v>0</v>
      </c>
      <c r="AU981">
        <v>0</v>
      </c>
      <c r="AV981">
        <v>0</v>
      </c>
      <c r="AW981">
        <v>0</v>
      </c>
      <c r="AX981" s="141">
        <f t="shared" si="213"/>
        <v>1</v>
      </c>
      <c r="AY981" s="141">
        <f t="shared" si="188"/>
        <v>1</v>
      </c>
      <c r="AZ981">
        <f t="shared" si="189"/>
        <v>0</v>
      </c>
      <c r="BA981">
        <f t="shared" si="190"/>
        <v>0</v>
      </c>
      <c r="BB981">
        <f t="shared" si="191"/>
        <v>1</v>
      </c>
      <c r="BC981">
        <f t="shared" si="192"/>
        <v>0</v>
      </c>
      <c r="BD981">
        <f t="shared" si="193"/>
        <v>0</v>
      </c>
      <c r="BE981" t="str">
        <f t="array" ref="BE981">IF(AY981=1,INDEX($V$7:$AL$7,MATCH(TRUE,INDEX($V981:$AW981&lt;&gt;0,),0)),IF(AY981=0,INDEX($AM$7:$AW$7,MATCH(1,$AM981:$AW981,0)),IF(BF981="Multiple strategies","mixed drivers",IF(BF981="Supply chain","multiple supply","multiple silviculture"))))</f>
        <v>technologies/design switch</v>
      </c>
      <c r="BF981" s="2" t="str" cm="1">
        <f t="array" ref="BF981">IF(COUNTIF(AZ981:BB981,"&lt;&gt;0")=1,INDEX($V$4:$AW$4,MATCH(TRUE,INDEX($V981:$AW981&lt;&gt;0,),0)),IF(COUNTIF(AZ981:BB981,"&lt;&gt;0")=0,INDEX($AM$4:$AW$4,MATCH(1,$AM981:$AW981,0)),"Multiple strategies"))</f>
        <v>Technology</v>
      </c>
      <c r="BG981" s="1" t="s">
        <v>230</v>
      </c>
      <c r="BH981" t="s">
        <v>230</v>
      </c>
      <c r="BJ981" t="s">
        <v>346</v>
      </c>
      <c r="BK981">
        <v>0</v>
      </c>
      <c r="BL981">
        <v>23436</v>
      </c>
      <c r="BM981" s="143"/>
      <c r="BN981">
        <f t="shared" si="222"/>
        <v>23436</v>
      </c>
      <c r="BO981" s="143">
        <f t="shared" si="216"/>
        <v>47.828571428571436</v>
      </c>
      <c r="BP981" t="s">
        <v>233</v>
      </c>
      <c r="BQ981" s="153" t="s">
        <v>1059</v>
      </c>
      <c r="BR981" t="s">
        <v>398</v>
      </c>
      <c r="BS981">
        <v>-20300</v>
      </c>
      <c r="BT981">
        <v>-693</v>
      </c>
      <c r="BU981" s="144">
        <v>3.413793103448276E-2</v>
      </c>
      <c r="BV981">
        <v>19607</v>
      </c>
      <c r="BX981">
        <f t="shared" si="217"/>
        <v>19.606999999999999</v>
      </c>
      <c r="BY981">
        <f t="shared" si="194"/>
        <v>0.40994324970131413</v>
      </c>
      <c r="BZ981">
        <v>0</v>
      </c>
      <c r="CA981">
        <v>0</v>
      </c>
      <c r="CB981">
        <v>0</v>
      </c>
      <c r="CC981">
        <v>0</v>
      </c>
      <c r="CD981">
        <v>0</v>
      </c>
      <c r="CE981">
        <v>0</v>
      </c>
      <c r="CF981">
        <v>0</v>
      </c>
      <c r="CG981">
        <v>0</v>
      </c>
      <c r="CH981">
        <v>0</v>
      </c>
      <c r="CI981">
        <v>0</v>
      </c>
      <c r="CJ981">
        <v>0</v>
      </c>
      <c r="CK981">
        <v>0</v>
      </c>
      <c r="CL981">
        <v>0</v>
      </c>
      <c r="CM981">
        <v>0</v>
      </c>
      <c r="CN981" t="str">
        <f t="shared" si="229"/>
        <v>refOK</v>
      </c>
      <c r="CO981">
        <f t="shared" si="218"/>
        <v>0</v>
      </c>
      <c r="CP981">
        <f t="shared" si="219"/>
        <v>23436</v>
      </c>
      <c r="CQ981">
        <f t="shared" si="221"/>
        <v>47.828571428571436</v>
      </c>
      <c r="CR981">
        <f t="shared" si="210"/>
        <v>-20300</v>
      </c>
      <c r="CS981">
        <f t="shared" si="220"/>
        <v>-693</v>
      </c>
      <c r="CT981">
        <f t="shared" si="214"/>
        <v>19.606999999999999</v>
      </c>
      <c r="CU981">
        <f t="shared" si="204"/>
        <v>0.40994324970131413</v>
      </c>
      <c r="CV981" s="2">
        <f t="shared" si="215"/>
        <v>0.9658620689655173</v>
      </c>
      <c r="CW981" s="1" t="s">
        <v>1205</v>
      </c>
      <c r="CX981" t="str">
        <f t="shared" si="195"/>
        <v>reg</v>
      </c>
      <c r="CY981" t="s">
        <v>349</v>
      </c>
      <c r="CZ981">
        <v>2014</v>
      </c>
      <c r="DA981">
        <v>2514</v>
      </c>
      <c r="DB981">
        <v>500</v>
      </c>
      <c r="DC981" t="str">
        <f t="shared" si="196"/>
        <v>+100</v>
      </c>
      <c r="DD981">
        <v>0</v>
      </c>
      <c r="DE981">
        <v>0</v>
      </c>
      <c r="DF981">
        <v>0</v>
      </c>
      <c r="DG981">
        <v>1</v>
      </c>
      <c r="DI981">
        <f t="shared" si="230"/>
        <v>1</v>
      </c>
      <c r="DJ981" t="str">
        <f t="shared" si="203"/>
        <v>TimberInput</v>
      </c>
      <c r="DK981">
        <f t="shared" si="223"/>
        <v>0</v>
      </c>
      <c r="DL981">
        <f t="shared" si="224"/>
        <v>0</v>
      </c>
      <c r="DM981">
        <f t="shared" si="225"/>
        <v>0</v>
      </c>
      <c r="DN981" t="str">
        <f t="shared" si="226"/>
        <v>Timber</v>
      </c>
      <c r="DO981">
        <v>0</v>
      </c>
      <c r="DP981">
        <v>0</v>
      </c>
      <c r="DQ981">
        <v>0</v>
      </c>
      <c r="DR981">
        <v>0</v>
      </c>
      <c r="DS981">
        <v>0</v>
      </c>
      <c r="DT981">
        <f t="shared" si="212"/>
        <v>0</v>
      </c>
      <c r="DU981" s="143" t="str">
        <f t="shared" si="198"/>
        <v>explicit C balance</v>
      </c>
      <c r="DV981">
        <v>0</v>
      </c>
      <c r="DW981">
        <v>0</v>
      </c>
      <c r="DX981">
        <v>0</v>
      </c>
      <c r="DY981">
        <v>0</v>
      </c>
      <c r="DZ981">
        <v>0</v>
      </c>
      <c r="EA981" s="143">
        <v>1</v>
      </c>
      <c r="EB981">
        <v>0</v>
      </c>
      <c r="EC981">
        <v>1</v>
      </c>
      <c r="ED981">
        <v>1</v>
      </c>
      <c r="EE981">
        <v>1</v>
      </c>
      <c r="EF981">
        <v>0</v>
      </c>
      <c r="EG981">
        <v>0</v>
      </c>
      <c r="EH981">
        <v>0</v>
      </c>
      <c r="EI981" s="2">
        <v>0</v>
      </c>
      <c r="EK981" t="str">
        <f t="shared" si="227"/>
        <v/>
      </c>
      <c r="EL981" t="str">
        <f t="shared" si="228"/>
        <v/>
      </c>
      <c r="EM981" s="2" t="str">
        <f t="shared" si="197"/>
        <v>Technology approach</v>
      </c>
      <c r="EP981" t="str">
        <f>IF(ISNUMBER(BU981),IF(ABS(BU981-[2]QC_indicators!$B$2)&gt;3*[2]QC_indicators!$C$2,"C ratio",IF(ISNUMBER(BY981),IF(ABS(BY981-[2]QC_indicators!$B$1)&gt;3*[2]QC_indicators!$C$1,"DF","no"))),IF(ISNUMBER(BY981),IF(ABS(BY981-[2]QC_indicators!$B$1)&gt;3*[2]QC_indicators!$C$1,"DF","no")))</f>
        <v>no</v>
      </c>
      <c r="ER981" s="149" t="s">
        <v>350</v>
      </c>
      <c r="ET981" s="266" t="s">
        <v>3275</v>
      </c>
    </row>
    <row r="982" spans="1:151" ht="15" hidden="1" customHeight="1">
      <c r="A982" s="1" t="s">
        <v>2069</v>
      </c>
      <c r="D982" t="s">
        <v>2465</v>
      </c>
      <c r="E982" t="s">
        <v>2466</v>
      </c>
      <c r="G982" t="s">
        <v>2467</v>
      </c>
      <c r="I982">
        <v>2005</v>
      </c>
      <c r="K982" t="s">
        <v>2468</v>
      </c>
      <c r="M982" t="str">
        <f t="shared" si="201"/>
        <v>Werner_2005</v>
      </c>
      <c r="N982" t="s">
        <v>223</v>
      </c>
      <c r="O982" s="145" t="s">
        <v>226</v>
      </c>
      <c r="Q982" t="s">
        <v>257</v>
      </c>
      <c r="R982" s="264" t="s">
        <v>224</v>
      </c>
      <c r="S982" s="1" t="s">
        <v>2469</v>
      </c>
      <c r="T982" t="s">
        <v>2470</v>
      </c>
      <c r="U982" t="s">
        <v>2471</v>
      </c>
      <c r="V982" s="143">
        <v>0</v>
      </c>
      <c r="W982" s="143">
        <v>0</v>
      </c>
      <c r="X982" s="143">
        <v>0</v>
      </c>
      <c r="Y982" s="143">
        <v>0</v>
      </c>
      <c r="Z982" s="143">
        <v>0</v>
      </c>
      <c r="AA982" s="143">
        <v>0</v>
      </c>
      <c r="AB982" s="143">
        <v>0</v>
      </c>
      <c r="AC982" s="143">
        <v>0</v>
      </c>
      <c r="AD982" s="143">
        <v>0</v>
      </c>
      <c r="AE982" s="143">
        <v>0</v>
      </c>
      <c r="AF982" s="143">
        <v>0</v>
      </c>
      <c r="AG982" s="143">
        <v>0</v>
      </c>
      <c r="AH982" s="143">
        <v>0</v>
      </c>
      <c r="AI982" s="143">
        <v>0</v>
      </c>
      <c r="AJ982" s="143">
        <v>0</v>
      </c>
      <c r="AK982" s="143">
        <v>1</v>
      </c>
      <c r="AL982" s="143">
        <v>0</v>
      </c>
      <c r="AM982" s="143">
        <v>0</v>
      </c>
      <c r="AN982" s="143">
        <v>0</v>
      </c>
      <c r="AO982" s="143">
        <v>0</v>
      </c>
      <c r="AP982" s="143">
        <v>0</v>
      </c>
      <c r="AQ982" s="143">
        <v>0</v>
      </c>
      <c r="AR982" s="143">
        <v>0</v>
      </c>
      <c r="AS982" s="143">
        <v>0</v>
      </c>
      <c r="AT982" s="143">
        <v>0</v>
      </c>
      <c r="AU982" s="143">
        <v>0</v>
      </c>
      <c r="AV982" s="143">
        <v>0</v>
      </c>
      <c r="AW982" s="143">
        <v>0</v>
      </c>
      <c r="AX982" s="141">
        <f t="shared" si="213"/>
        <v>1</v>
      </c>
      <c r="AY982" s="141">
        <f t="shared" si="188"/>
        <v>1</v>
      </c>
      <c r="AZ982">
        <f t="shared" si="189"/>
        <v>0</v>
      </c>
      <c r="BA982">
        <f t="shared" si="190"/>
        <v>0</v>
      </c>
      <c r="BB982">
        <f t="shared" si="191"/>
        <v>1</v>
      </c>
      <c r="BC982">
        <f t="shared" si="192"/>
        <v>0</v>
      </c>
      <c r="BD982">
        <f t="shared" si="193"/>
        <v>0</v>
      </c>
      <c r="BE982" t="str">
        <f t="array" ref="BE982">IF(AY982=1,INDEX($V$7:$AL$7,MATCH(TRUE,INDEX($V982:$AW982&lt;&gt;0,),0)),IF(AY982=0,INDEX($AM$7:$AW$7,MATCH(1,$AM982:$AW982,0)),IF(BF982="Multiple strategies","mixed drivers",IF(BF982="Supply chain","multiple supply","multiple silviculture"))))</f>
        <v>technologies/design switch</v>
      </c>
      <c r="BF982" s="2" t="str" cm="1">
        <f t="array" ref="BF982">IF(COUNTIF(AZ982:BB982,"&lt;&gt;0")=1,INDEX($V$4:$AW$4,MATCH(TRUE,INDEX($V982:$AW982&lt;&gt;0,),0)),IF(COUNTIF(AZ982:BB982,"&lt;&gt;0")=0,INDEX($AM$4:$AW$4,MATCH(1,$AM982:$AW982,0)),"Multiple strategies"))</f>
        <v>Technology</v>
      </c>
      <c r="BG982" s="1" t="s">
        <v>322</v>
      </c>
      <c r="BH982" t="s">
        <v>2472</v>
      </c>
      <c r="BJ982" t="s">
        <v>2473</v>
      </c>
      <c r="BK982">
        <v>2.73</v>
      </c>
      <c r="BL982">
        <v>3.54</v>
      </c>
      <c r="BN982">
        <f t="shared" si="222"/>
        <v>0.81</v>
      </c>
      <c r="BO982">
        <f>BN982*10^6</f>
        <v>810000</v>
      </c>
      <c r="BP982" t="s">
        <v>233</v>
      </c>
      <c r="BR982" t="s">
        <v>2474</v>
      </c>
      <c r="BS982">
        <v>0</v>
      </c>
      <c r="BT982">
        <f>126/130</f>
        <v>0.96923076923076923</v>
      </c>
      <c r="BU982" s="144" t="str">
        <f t="shared" ref="BU982:BU996" si="231">IFERROR(BT982/BS982,"")</f>
        <v/>
      </c>
      <c r="BV982">
        <f t="shared" ref="BV982:BV996" si="232">BT982-BS982</f>
        <v>0.96923076923076923</v>
      </c>
      <c r="BX982">
        <f>BV982*10^6</f>
        <v>969230.76923076925</v>
      </c>
      <c r="BY982">
        <f t="shared" si="194"/>
        <v>1.1965811965811965</v>
      </c>
      <c r="BZ982" s="143">
        <v>0</v>
      </c>
      <c r="CA982" s="143">
        <v>0</v>
      </c>
      <c r="CB982" s="143">
        <v>0</v>
      </c>
      <c r="CC982" s="143">
        <v>0</v>
      </c>
      <c r="CD982" s="143">
        <v>0</v>
      </c>
      <c r="CE982" s="143">
        <v>0</v>
      </c>
      <c r="CF982" s="143">
        <v>0</v>
      </c>
      <c r="CG982" s="143">
        <v>0</v>
      </c>
      <c r="CH982" s="143">
        <v>0</v>
      </c>
      <c r="CI982" s="143">
        <v>0</v>
      </c>
      <c r="CJ982" s="143">
        <v>0</v>
      </c>
      <c r="CK982" s="143">
        <v>0</v>
      </c>
      <c r="CL982" s="143">
        <v>0</v>
      </c>
      <c r="CM982" s="143">
        <v>0</v>
      </c>
      <c r="CN982" t="str">
        <f>IF(BL982&lt;BK982,"refNeedCorrection","refOK")</f>
        <v>refOK</v>
      </c>
      <c r="CO982">
        <f>IF($CN982="refOK",$BK982,$BL982)</f>
        <v>2.73</v>
      </c>
      <c r="CP982">
        <f>IF($CN982="refOK",$BL982,$BK982)</f>
        <v>3.54</v>
      </c>
      <c r="CQ982">
        <f t="shared" si="221"/>
        <v>810000</v>
      </c>
      <c r="CR982">
        <f t="shared" si="210"/>
        <v>0</v>
      </c>
      <c r="CS982">
        <f t="shared" si="220"/>
        <v>0.96923076923076923</v>
      </c>
      <c r="CT982">
        <f t="shared" si="214"/>
        <v>969230.76923076925</v>
      </c>
      <c r="CU982">
        <f t="shared" si="204"/>
        <v>1.1965811965811965</v>
      </c>
      <c r="CV982" s="2" t="str">
        <f t="shared" si="215"/>
        <v/>
      </c>
      <c r="CW982" s="1" t="s">
        <v>1205</v>
      </c>
      <c r="CX982" t="str">
        <f t="shared" si="195"/>
        <v>reg</v>
      </c>
      <c r="CY982" t="s">
        <v>641</v>
      </c>
      <c r="CZ982">
        <v>2000</v>
      </c>
      <c r="DA982">
        <v>2130</v>
      </c>
      <c r="DB982">
        <f>DA982-CZ982</f>
        <v>130</v>
      </c>
      <c r="DC982" t="str">
        <f t="shared" si="196"/>
        <v>+100</v>
      </c>
      <c r="DD982">
        <v>0</v>
      </c>
      <c r="DE982">
        <v>0</v>
      </c>
      <c r="DF982">
        <v>0</v>
      </c>
      <c r="DG982">
        <v>1</v>
      </c>
      <c r="DH982">
        <v>0</v>
      </c>
      <c r="DI982">
        <f t="shared" si="230"/>
        <v>1</v>
      </c>
      <c r="DJ982" t="str">
        <f t="shared" si="203"/>
        <v>TimberInput</v>
      </c>
      <c r="DK982">
        <f t="shared" si="223"/>
        <v>0</v>
      </c>
      <c r="DL982">
        <f t="shared" si="224"/>
        <v>0</v>
      </c>
      <c r="DM982">
        <f t="shared" si="225"/>
        <v>0</v>
      </c>
      <c r="DN982" t="str">
        <f t="shared" si="226"/>
        <v>Timber</v>
      </c>
      <c r="DO982">
        <v>1</v>
      </c>
      <c r="DP982" s="143">
        <v>0</v>
      </c>
      <c r="DQ982">
        <v>0</v>
      </c>
      <c r="DR982">
        <v>0</v>
      </c>
      <c r="DS982">
        <v>0</v>
      </c>
      <c r="DT982">
        <f t="shared" si="212"/>
        <v>1</v>
      </c>
      <c r="DU982" s="143" t="str">
        <f t="shared" si="198"/>
        <v>self-calculated DF</v>
      </c>
      <c r="DV982" s="143">
        <v>0</v>
      </c>
      <c r="DW982" s="143">
        <v>0</v>
      </c>
      <c r="DX982" s="143">
        <v>0</v>
      </c>
      <c r="DY982" s="143">
        <v>1</v>
      </c>
      <c r="DZ982" s="143">
        <v>0</v>
      </c>
      <c r="EA982" s="143">
        <v>0</v>
      </c>
      <c r="EB982" s="143">
        <v>0</v>
      </c>
      <c r="EC982" s="143">
        <v>1</v>
      </c>
      <c r="ED982" s="143">
        <v>0</v>
      </c>
      <c r="EE982" s="143">
        <v>1</v>
      </c>
      <c r="EF982" s="143">
        <v>0</v>
      </c>
      <c r="EG982" s="143">
        <v>0</v>
      </c>
      <c r="EH982" s="143">
        <v>0</v>
      </c>
      <c r="EI982" s="196">
        <v>0</v>
      </c>
      <c r="EK982" t="str">
        <f t="shared" si="227"/>
        <v/>
      </c>
      <c r="EL982" t="str">
        <f t="shared" si="228"/>
        <v/>
      </c>
      <c r="EM982" s="2" t="str">
        <f t="shared" si="197"/>
        <v>Technology approach</v>
      </c>
      <c r="EN982" t="s">
        <v>2475</v>
      </c>
      <c r="EP982" t="str">
        <f>IF(ISNUMBER(BU982),IF(ABS(BU982-[2]QC_indicators!$B$2)&gt;3*[2]QC_indicators!$C$2,"C ratio",IF(ISNUMBER(BY982),IF(ABS(BY982-[2]QC_indicators!$B$1)&gt;3*[2]QC_indicators!$C$1,"DF","no"))),IF(ISNUMBER(BY982),IF(ABS(BY982-[2]QC_indicators!$B$1)&gt;3*[2]QC_indicators!$C$1,"DF","no")))</f>
        <v>no</v>
      </c>
      <c r="EQ982" t="s">
        <v>1166</v>
      </c>
      <c r="ER982" t="s">
        <v>2476</v>
      </c>
      <c r="ET982" s="266" t="s">
        <v>3275</v>
      </c>
    </row>
    <row r="983" spans="1:151" ht="15" hidden="1" customHeight="1">
      <c r="A983" s="1" t="s">
        <v>248</v>
      </c>
      <c r="B983" t="s">
        <v>249</v>
      </c>
      <c r="C983" t="s">
        <v>250</v>
      </c>
      <c r="D983" t="s">
        <v>251</v>
      </c>
      <c r="E983" t="s">
        <v>252</v>
      </c>
      <c r="F983" t="s">
        <v>253</v>
      </c>
      <c r="G983" t="s">
        <v>254</v>
      </c>
      <c r="H983" t="s">
        <v>255</v>
      </c>
      <c r="I983">
        <v>2022</v>
      </c>
      <c r="J983">
        <v>0</v>
      </c>
      <c r="K983" t="s">
        <v>256</v>
      </c>
      <c r="M983" t="str">
        <f t="shared" si="201"/>
        <v>Andersen_2022</v>
      </c>
      <c r="N983" t="s">
        <v>223</v>
      </c>
      <c r="O983" s="145" t="s">
        <v>224</v>
      </c>
      <c r="Q983" t="s">
        <v>257</v>
      </c>
      <c r="R983" s="271" t="s">
        <v>275</v>
      </c>
      <c r="S983" s="1" t="s">
        <v>258</v>
      </c>
      <c r="T983" t="s">
        <v>259</v>
      </c>
      <c r="U983" t="s">
        <v>260</v>
      </c>
      <c r="V983">
        <v>0</v>
      </c>
      <c r="W983">
        <v>0</v>
      </c>
      <c r="X983">
        <v>0</v>
      </c>
      <c r="Y983">
        <v>0</v>
      </c>
      <c r="Z983">
        <v>0</v>
      </c>
      <c r="AA983">
        <v>0</v>
      </c>
      <c r="AB983">
        <v>0</v>
      </c>
      <c r="AC983">
        <v>0</v>
      </c>
      <c r="AD983">
        <v>0</v>
      </c>
      <c r="AE983">
        <v>0</v>
      </c>
      <c r="AF983">
        <v>0</v>
      </c>
      <c r="AG983">
        <v>0</v>
      </c>
      <c r="AH983">
        <v>0</v>
      </c>
      <c r="AI983">
        <v>0</v>
      </c>
      <c r="AJ983">
        <v>0</v>
      </c>
      <c r="AK983">
        <v>1</v>
      </c>
      <c r="AL983">
        <v>0</v>
      </c>
      <c r="AM983">
        <v>0</v>
      </c>
      <c r="AN983">
        <v>0</v>
      </c>
      <c r="AO983">
        <v>0</v>
      </c>
      <c r="AP983">
        <v>0</v>
      </c>
      <c r="AQ983">
        <v>0</v>
      </c>
      <c r="AR983">
        <v>0</v>
      </c>
      <c r="AS983">
        <v>0</v>
      </c>
      <c r="AT983">
        <v>0</v>
      </c>
      <c r="AU983">
        <v>0</v>
      </c>
      <c r="AV983">
        <v>0</v>
      </c>
      <c r="AW983">
        <v>0</v>
      </c>
      <c r="AX983" s="141">
        <f t="shared" si="213"/>
        <v>1</v>
      </c>
      <c r="AY983" s="141">
        <f t="shared" si="188"/>
        <v>1</v>
      </c>
      <c r="AZ983">
        <f t="shared" si="189"/>
        <v>0</v>
      </c>
      <c r="BA983">
        <f t="shared" si="190"/>
        <v>0</v>
      </c>
      <c r="BB983">
        <f t="shared" si="191"/>
        <v>1</v>
      </c>
      <c r="BC983">
        <f t="shared" si="192"/>
        <v>0</v>
      </c>
      <c r="BD983">
        <f t="shared" si="193"/>
        <v>0</v>
      </c>
      <c r="BE983" t="str">
        <f t="array" ref="BE983">IF(AY983=1,INDEX($V$7:$AL$7,MATCH(TRUE,INDEX($V983:$AW983&lt;&gt;0,),0)),IF(AY983=0,INDEX($AM$7:$AW$7,MATCH(1,$AM983:$AW983,0)),IF(BF983="Multiple strategies","mixed drivers",IF(BF983="Supply chain","multiple supply","multiple silviculture"))))</f>
        <v>technologies/design switch</v>
      </c>
      <c r="BF983" s="2" t="str" cm="1">
        <f t="array" ref="BF983">IF(COUNTIF(AZ983:BB983,"&lt;&gt;0")=1,INDEX($V$4:$AW$4,MATCH(TRUE,INDEX($V983:$AW983&lt;&gt;0,),0)),IF(COUNTIF(AZ983:BB983,"&lt;&gt;0")=0,INDEX($AM$4:$AW$4,MATCH(1,$AM983:$AW983,0)),"Multiple strategies"))</f>
        <v>Technology</v>
      </c>
      <c r="BG983" s="142" t="s">
        <v>230</v>
      </c>
      <c r="BH983" t="s">
        <v>261</v>
      </c>
      <c r="BI983" s="266" t="s">
        <v>411</v>
      </c>
      <c r="BJ983" s="143" t="s">
        <v>262</v>
      </c>
      <c r="BK983">
        <v>37.200000000000003</v>
      </c>
      <c r="BL983">
        <v>188.5</v>
      </c>
      <c r="BM983" s="143">
        <f>BL983/BK983</f>
        <v>5.0672043010752681</v>
      </c>
      <c r="BN983">
        <f t="shared" si="222"/>
        <v>151.30000000000001</v>
      </c>
      <c r="BO983">
        <f>BN983*kg_to_m3</f>
        <v>0.30877551020408167</v>
      </c>
      <c r="BP983" t="s">
        <v>233</v>
      </c>
      <c r="BQ983" s="272" t="s">
        <v>3263</v>
      </c>
      <c r="BR983" t="s">
        <v>263</v>
      </c>
      <c r="BS983">
        <v>-904</v>
      </c>
      <c r="BT983">
        <v>-454</v>
      </c>
      <c r="BU983" s="144">
        <f t="shared" si="231"/>
        <v>0.50221238938053092</v>
      </c>
      <c r="BV983">
        <f t="shared" si="232"/>
        <v>450</v>
      </c>
      <c r="BX983">
        <f>BV983/1000</f>
        <v>0.45</v>
      </c>
      <c r="BY983">
        <f t="shared" si="194"/>
        <v>1.4573694646397883</v>
      </c>
      <c r="BZ983" s="143">
        <v>1</v>
      </c>
      <c r="CA983" s="143">
        <v>0</v>
      </c>
      <c r="CB983" s="143">
        <v>0</v>
      </c>
      <c r="CC983" s="143">
        <v>0</v>
      </c>
      <c r="CD983" s="143">
        <v>0</v>
      </c>
      <c r="CE983" s="143">
        <v>0</v>
      </c>
      <c r="CF983" s="143">
        <v>0</v>
      </c>
      <c r="CG983" s="143">
        <v>1</v>
      </c>
      <c r="CH983" s="143">
        <v>0</v>
      </c>
      <c r="CI983" s="143">
        <v>1</v>
      </c>
      <c r="CJ983" s="143">
        <v>0</v>
      </c>
      <c r="CK983" s="143">
        <v>0</v>
      </c>
      <c r="CL983" s="143">
        <v>0</v>
      </c>
      <c r="CM983">
        <v>0</v>
      </c>
      <c r="CN983" t="str">
        <f t="shared" ref="CN983:CN997" si="233">IF($BL983&lt;$BK983,"refNeedCorrection","refOK")</f>
        <v>refOK</v>
      </c>
      <c r="CO983">
        <f>IF($CN983="refOK",$BK983,$BL983)</f>
        <v>37.200000000000003</v>
      </c>
      <c r="CP983">
        <f>IF($CN983="refOK",$BL983,$BK983)</f>
        <v>188.5</v>
      </c>
      <c r="CQ983">
        <f t="shared" si="221"/>
        <v>0.30877551020408167</v>
      </c>
      <c r="CR983">
        <f t="shared" si="210"/>
        <v>-904</v>
      </c>
      <c r="CS983">
        <f t="shared" si="220"/>
        <v>-454</v>
      </c>
      <c r="CT983">
        <f t="shared" si="214"/>
        <v>0.45</v>
      </c>
      <c r="CU983">
        <f t="shared" si="204"/>
        <v>1.4573694646397883</v>
      </c>
      <c r="CV983" s="2">
        <f t="shared" si="215"/>
        <v>0.49778761061946902</v>
      </c>
      <c r="CW983" s="1" t="s">
        <v>264</v>
      </c>
      <c r="CX983" t="str">
        <f t="shared" si="195"/>
        <v>loc</v>
      </c>
      <c r="CY983" t="s">
        <v>265</v>
      </c>
      <c r="DA983" s="143"/>
      <c r="DB983">
        <v>100</v>
      </c>
      <c r="DC983" t="str">
        <f t="shared" si="196"/>
        <v>71-100</v>
      </c>
      <c r="DD983">
        <v>0</v>
      </c>
      <c r="DE983">
        <v>0</v>
      </c>
      <c r="DF983">
        <v>0</v>
      </c>
      <c r="DG983">
        <v>1</v>
      </c>
      <c r="DI983">
        <f t="shared" si="230"/>
        <v>1</v>
      </c>
      <c r="DJ983" t="str">
        <f t="shared" si="203"/>
        <v>TimberInput</v>
      </c>
      <c r="DK983">
        <f t="shared" si="223"/>
        <v>0</v>
      </c>
      <c r="DL983">
        <f t="shared" si="224"/>
        <v>0</v>
      </c>
      <c r="DM983">
        <f t="shared" si="225"/>
        <v>0</v>
      </c>
      <c r="DN983" t="str">
        <f t="shared" si="226"/>
        <v>Timber</v>
      </c>
      <c r="DO983">
        <v>0</v>
      </c>
      <c r="DP983" s="143">
        <v>0</v>
      </c>
      <c r="DQ983" s="143">
        <v>0</v>
      </c>
      <c r="DR983" s="143">
        <v>0</v>
      </c>
      <c r="DS983">
        <v>0</v>
      </c>
      <c r="DT983">
        <f t="shared" si="212"/>
        <v>0</v>
      </c>
      <c r="DU983" s="143" t="str">
        <f t="shared" si="198"/>
        <v>explicit C balance</v>
      </c>
      <c r="DV983">
        <v>0</v>
      </c>
      <c r="DW983" s="143">
        <v>0</v>
      </c>
      <c r="DX983" s="143">
        <v>0</v>
      </c>
      <c r="DY983" s="143">
        <v>0</v>
      </c>
      <c r="DZ983">
        <v>0</v>
      </c>
      <c r="EA983" s="143">
        <v>0</v>
      </c>
      <c r="EB983">
        <v>0</v>
      </c>
      <c r="EC983" s="143">
        <v>1</v>
      </c>
      <c r="ED983" s="143">
        <v>1</v>
      </c>
      <c r="EE983">
        <v>1</v>
      </c>
      <c r="EF983">
        <v>0</v>
      </c>
      <c r="EG983" s="143">
        <v>1</v>
      </c>
      <c r="EH983">
        <v>0</v>
      </c>
      <c r="EI983" s="2">
        <v>0</v>
      </c>
      <c r="EK983" t="str">
        <f t="shared" si="227"/>
        <v/>
      </c>
      <c r="EL983" t="str">
        <f t="shared" si="228"/>
        <v/>
      </c>
      <c r="EM983" s="2" t="str">
        <f t="shared" si="197"/>
        <v>Technology approach</v>
      </c>
      <c r="EP983" t="str">
        <f>IF(ISNUMBER(BU983),IF(ABS(BU983-[3]QC_indicators!$B$2)&gt;3*[3]QC_indicators!$C$2,"C ratio",IF(ISNUMBER(BY983),IF(ABS(BY983-[3]QC_indicators!$B$1)&gt;3*[3]QC_indicators!$C$1,"DF","no"))),IF(ISNUMBER(BY983),IF(ABS(BY983-[3]QC_indicators!$B$1)&gt;3*[3]QC_indicators!$C$1,"DF","no")))</f>
        <v>no</v>
      </c>
      <c r="ET983" s="266" t="s">
        <v>3264</v>
      </c>
    </row>
    <row r="984" spans="1:151" ht="15" hidden="1" customHeight="1">
      <c r="A984" s="1" t="s">
        <v>248</v>
      </c>
      <c r="B984" t="s">
        <v>249</v>
      </c>
      <c r="C984" t="s">
        <v>250</v>
      </c>
      <c r="D984" t="s">
        <v>251</v>
      </c>
      <c r="E984" t="s">
        <v>252</v>
      </c>
      <c r="F984" t="s">
        <v>253</v>
      </c>
      <c r="G984" t="s">
        <v>254</v>
      </c>
      <c r="H984" t="s">
        <v>255</v>
      </c>
      <c r="I984">
        <v>2022</v>
      </c>
      <c r="J984">
        <v>0</v>
      </c>
      <c r="K984" t="s">
        <v>256</v>
      </c>
      <c r="M984" t="str">
        <f t="shared" si="201"/>
        <v>Andersen_2022</v>
      </c>
      <c r="N984" t="s">
        <v>223</v>
      </c>
      <c r="O984" s="145" t="s">
        <v>224</v>
      </c>
      <c r="Q984" t="s">
        <v>257</v>
      </c>
      <c r="R984" s="271" t="s">
        <v>275</v>
      </c>
      <c r="S984" s="1" t="s">
        <v>258</v>
      </c>
      <c r="T984" t="s">
        <v>259</v>
      </c>
      <c r="U984" t="s">
        <v>260</v>
      </c>
      <c r="V984">
        <v>0</v>
      </c>
      <c r="W984">
        <v>0</v>
      </c>
      <c r="X984">
        <v>0</v>
      </c>
      <c r="Y984">
        <v>0</v>
      </c>
      <c r="Z984">
        <v>0</v>
      </c>
      <c r="AA984">
        <v>0</v>
      </c>
      <c r="AB984">
        <v>0</v>
      </c>
      <c r="AC984">
        <v>0</v>
      </c>
      <c r="AD984">
        <v>0</v>
      </c>
      <c r="AE984">
        <v>0</v>
      </c>
      <c r="AF984">
        <v>0</v>
      </c>
      <c r="AG984">
        <v>0</v>
      </c>
      <c r="AH984">
        <v>0</v>
      </c>
      <c r="AI984">
        <v>0</v>
      </c>
      <c r="AJ984">
        <v>0</v>
      </c>
      <c r="AK984">
        <v>1</v>
      </c>
      <c r="AL984">
        <v>0</v>
      </c>
      <c r="AM984">
        <v>0</v>
      </c>
      <c r="AN984">
        <v>0</v>
      </c>
      <c r="AO984">
        <v>0</v>
      </c>
      <c r="AP984">
        <v>0</v>
      </c>
      <c r="AQ984">
        <v>0</v>
      </c>
      <c r="AR984">
        <v>0</v>
      </c>
      <c r="AS984">
        <v>0</v>
      </c>
      <c r="AT984">
        <v>0</v>
      </c>
      <c r="AU984">
        <v>0</v>
      </c>
      <c r="AV984">
        <v>0</v>
      </c>
      <c r="AW984">
        <v>0</v>
      </c>
      <c r="AX984" s="141">
        <f t="shared" si="213"/>
        <v>1</v>
      </c>
      <c r="AY984" s="141">
        <f t="shared" si="188"/>
        <v>1</v>
      </c>
      <c r="AZ984">
        <f t="shared" si="189"/>
        <v>0</v>
      </c>
      <c r="BA984">
        <f t="shared" si="190"/>
        <v>0</v>
      </c>
      <c r="BB984">
        <f t="shared" si="191"/>
        <v>1</v>
      </c>
      <c r="BC984">
        <f t="shared" si="192"/>
        <v>0</v>
      </c>
      <c r="BD984">
        <f t="shared" si="193"/>
        <v>0</v>
      </c>
      <c r="BE984" t="str">
        <f t="array" ref="BE984">IF(AY984=1,INDEX($V$7:$AL$7,MATCH(TRUE,INDEX($V984:$AW984&lt;&gt;0,),0)),IF(AY984=0,INDEX($AM$7:$AW$7,MATCH(1,$AM984:$AW984,0)),IF(BF984="Multiple strategies","mixed drivers",IF(BF984="Supply chain","multiple supply","multiple silviculture"))))</f>
        <v>technologies/design switch</v>
      </c>
      <c r="BF984" s="2" t="str" cm="1">
        <f t="array" ref="BF984">IF(COUNTIF(AZ984:BB984,"&lt;&gt;0")=1,INDEX($V$4:$AW$4,MATCH(TRUE,INDEX($V984:$AW984&lt;&gt;0,),0)),IF(COUNTIF(AZ984:BB984,"&lt;&gt;0")=0,INDEX($AM$4:$AW$4,MATCH(1,$AM984:$AW984,0)),"Multiple strategies"))</f>
        <v>Technology</v>
      </c>
      <c r="BG984" s="142" t="s">
        <v>230</v>
      </c>
      <c r="BH984" t="s">
        <v>261</v>
      </c>
      <c r="BI984" s="266" t="s">
        <v>411</v>
      </c>
      <c r="BJ984" s="143" t="s">
        <v>262</v>
      </c>
      <c r="BK984">
        <v>37.200000000000003</v>
      </c>
      <c r="BL984">
        <v>188.5</v>
      </c>
      <c r="BM984" s="143">
        <f>BL984/BK984</f>
        <v>5.0672043010752681</v>
      </c>
      <c r="BN984">
        <f t="shared" si="222"/>
        <v>151.30000000000001</v>
      </c>
      <c r="BO984">
        <f>BN984*kg_to_m3</f>
        <v>0.30877551020408167</v>
      </c>
      <c r="BP984" t="s">
        <v>233</v>
      </c>
      <c r="BQ984" s="155" t="s">
        <v>3263</v>
      </c>
      <c r="BR984" t="s">
        <v>263</v>
      </c>
      <c r="BS984">
        <v>-893</v>
      </c>
      <c r="BT984">
        <v>-289</v>
      </c>
      <c r="BU984" s="144">
        <f t="shared" si="231"/>
        <v>0.32362821948488241</v>
      </c>
      <c r="BV984">
        <f t="shared" si="232"/>
        <v>604</v>
      </c>
      <c r="BX984">
        <f>BV984/1000</f>
        <v>0.60399999999999998</v>
      </c>
      <c r="BY984">
        <f t="shared" si="194"/>
        <v>1.956113681427627</v>
      </c>
      <c r="BZ984" s="143">
        <v>1</v>
      </c>
      <c r="CA984" s="143">
        <v>0</v>
      </c>
      <c r="CB984" s="143">
        <v>0</v>
      </c>
      <c r="CC984" s="143">
        <v>0</v>
      </c>
      <c r="CD984" s="143">
        <v>0</v>
      </c>
      <c r="CE984" s="143">
        <v>0</v>
      </c>
      <c r="CF984" s="143">
        <v>0</v>
      </c>
      <c r="CG984" s="143">
        <v>1</v>
      </c>
      <c r="CH984" s="143">
        <v>0</v>
      </c>
      <c r="CI984" s="143">
        <v>1</v>
      </c>
      <c r="CJ984" s="143">
        <v>0</v>
      </c>
      <c r="CK984" s="143">
        <v>0</v>
      </c>
      <c r="CL984" s="143">
        <v>0</v>
      </c>
      <c r="CM984">
        <v>0</v>
      </c>
      <c r="CN984" t="str">
        <f t="shared" si="233"/>
        <v>refOK</v>
      </c>
      <c r="CO984">
        <f>IF($CN984="refOK",$BK984,$BL984)</f>
        <v>37.200000000000003</v>
      </c>
      <c r="CP984">
        <f>IF($CN984="refOK",$BL984,$BK984)</f>
        <v>188.5</v>
      </c>
      <c r="CQ984">
        <f t="shared" si="221"/>
        <v>0.30877551020408167</v>
      </c>
      <c r="CR984">
        <f t="shared" si="210"/>
        <v>-893</v>
      </c>
      <c r="CS984">
        <f t="shared" si="220"/>
        <v>-289</v>
      </c>
      <c r="CT984">
        <f t="shared" si="214"/>
        <v>0.60399999999999998</v>
      </c>
      <c r="CU984">
        <f t="shared" si="204"/>
        <v>1.956113681427627</v>
      </c>
      <c r="CV984" s="2">
        <f t="shared" si="215"/>
        <v>0.67637178051511759</v>
      </c>
      <c r="CW984" s="1" t="s">
        <v>264</v>
      </c>
      <c r="CX984" t="str">
        <f t="shared" si="195"/>
        <v>loc</v>
      </c>
      <c r="CY984" t="s">
        <v>265</v>
      </c>
      <c r="DA984" s="143"/>
      <c r="DB984">
        <v>100</v>
      </c>
      <c r="DC984" t="str">
        <f t="shared" si="196"/>
        <v>71-100</v>
      </c>
      <c r="DD984">
        <v>0</v>
      </c>
      <c r="DE984">
        <v>0</v>
      </c>
      <c r="DF984">
        <v>0</v>
      </c>
      <c r="DG984">
        <v>1</v>
      </c>
      <c r="DI984">
        <f t="shared" si="230"/>
        <v>1</v>
      </c>
      <c r="DJ984" t="str">
        <f t="shared" si="203"/>
        <v>TimberInput</v>
      </c>
      <c r="DK984">
        <f t="shared" si="223"/>
        <v>0</v>
      </c>
      <c r="DL984">
        <f t="shared" si="224"/>
        <v>0</v>
      </c>
      <c r="DM984">
        <f t="shared" si="225"/>
        <v>0</v>
      </c>
      <c r="DN984" t="str">
        <f t="shared" si="226"/>
        <v>Timber</v>
      </c>
      <c r="DO984">
        <v>0</v>
      </c>
      <c r="DP984" s="143">
        <v>0</v>
      </c>
      <c r="DQ984" s="143">
        <v>0</v>
      </c>
      <c r="DR984" s="143">
        <v>0</v>
      </c>
      <c r="DS984">
        <v>0</v>
      </c>
      <c r="DT984">
        <f t="shared" si="212"/>
        <v>0</v>
      </c>
      <c r="DU984" s="143" t="str">
        <f t="shared" si="198"/>
        <v>explicit C balance</v>
      </c>
      <c r="DV984">
        <v>0</v>
      </c>
      <c r="DW984" s="143">
        <v>0</v>
      </c>
      <c r="DX984" s="143">
        <v>0</v>
      </c>
      <c r="DY984" s="143">
        <v>1</v>
      </c>
      <c r="DZ984">
        <v>0</v>
      </c>
      <c r="EA984" s="143">
        <v>1</v>
      </c>
      <c r="EB984">
        <v>0</v>
      </c>
      <c r="EC984" s="143">
        <v>1</v>
      </c>
      <c r="ED984" s="143">
        <v>1</v>
      </c>
      <c r="EE984">
        <v>1</v>
      </c>
      <c r="EF984">
        <v>0</v>
      </c>
      <c r="EG984" s="143">
        <v>1</v>
      </c>
      <c r="EH984">
        <v>0</v>
      </c>
      <c r="EI984" s="2">
        <v>0</v>
      </c>
      <c r="EK984" t="str">
        <f t="shared" si="227"/>
        <v/>
      </c>
      <c r="EL984" t="str">
        <f t="shared" si="228"/>
        <v/>
      </c>
      <c r="EM984" s="2" t="str">
        <f t="shared" si="197"/>
        <v>Technology approach</v>
      </c>
      <c r="EP984" t="str">
        <f>IF(ISNUMBER(BU984),IF(ABS(BU984-[3]QC_indicators!$B$2)&gt;3*[3]QC_indicators!$C$2,"C ratio",IF(ISNUMBER(BY984),IF(ABS(BY984-[3]QC_indicators!$B$1)&gt;3*[3]QC_indicators!$C$1,"DF","no"))),IF(ISNUMBER(BY984),IF(ABS(BY984-[3]QC_indicators!$B$1)&gt;3*[3]QC_indicators!$C$1,"DF","no")))</f>
        <v>no</v>
      </c>
      <c r="ET984" s="266" t="s">
        <v>3264</v>
      </c>
    </row>
    <row r="985" spans="1:151" ht="15" hidden="1" customHeight="1">
      <c r="A985" s="1" t="s">
        <v>616</v>
      </c>
      <c r="B985" t="s">
        <v>1721</v>
      </c>
      <c r="C985" t="s">
        <v>1722</v>
      </c>
      <c r="D985" t="s">
        <v>1723</v>
      </c>
      <c r="E985" t="s">
        <v>1724</v>
      </c>
      <c r="F985" t="s">
        <v>1725</v>
      </c>
      <c r="G985" t="s">
        <v>622</v>
      </c>
      <c r="H985" t="s">
        <v>255</v>
      </c>
      <c r="I985">
        <v>2021</v>
      </c>
      <c r="J985">
        <v>2</v>
      </c>
      <c r="K985" t="s">
        <v>1726</v>
      </c>
      <c r="M985" t="str">
        <f t="shared" si="201"/>
        <v>Hawkins_2021</v>
      </c>
      <c r="N985" t="s">
        <v>223</v>
      </c>
      <c r="O985" s="145" t="s">
        <v>514</v>
      </c>
      <c r="Q985" t="s">
        <v>257</v>
      </c>
      <c r="R985" s="2" t="s">
        <v>275</v>
      </c>
      <c r="S985" s="1" t="s">
        <v>1727</v>
      </c>
      <c r="T985" t="s">
        <v>1728</v>
      </c>
      <c r="U985" t="s">
        <v>1729</v>
      </c>
      <c r="V985">
        <v>0</v>
      </c>
      <c r="W985">
        <v>0</v>
      </c>
      <c r="X985">
        <v>0</v>
      </c>
      <c r="Y985">
        <v>0</v>
      </c>
      <c r="Z985">
        <v>0</v>
      </c>
      <c r="AA985">
        <v>0</v>
      </c>
      <c r="AB985">
        <v>0</v>
      </c>
      <c r="AC985">
        <v>0</v>
      </c>
      <c r="AD985">
        <v>0</v>
      </c>
      <c r="AE985">
        <v>0</v>
      </c>
      <c r="AF985">
        <v>0</v>
      </c>
      <c r="AG985">
        <v>0</v>
      </c>
      <c r="AH985">
        <v>0</v>
      </c>
      <c r="AI985">
        <v>0</v>
      </c>
      <c r="AJ985">
        <v>0</v>
      </c>
      <c r="AK985">
        <v>0</v>
      </c>
      <c r="AL985">
        <v>1</v>
      </c>
      <c r="AM985">
        <v>0</v>
      </c>
      <c r="AN985">
        <v>0</v>
      </c>
      <c r="AO985">
        <v>0</v>
      </c>
      <c r="AP985">
        <v>0</v>
      </c>
      <c r="AQ985">
        <v>0</v>
      </c>
      <c r="AR985">
        <v>0</v>
      </c>
      <c r="AS985">
        <v>0</v>
      </c>
      <c r="AT985">
        <v>0</v>
      </c>
      <c r="AU985">
        <v>0</v>
      </c>
      <c r="AV985">
        <v>0</v>
      </c>
      <c r="AW985">
        <v>0</v>
      </c>
      <c r="AX985" s="141">
        <f t="shared" si="213"/>
        <v>1</v>
      </c>
      <c r="AY985" s="141">
        <f t="shared" si="188"/>
        <v>1</v>
      </c>
      <c r="AZ985">
        <f t="shared" si="189"/>
        <v>0</v>
      </c>
      <c r="BA985">
        <f t="shared" si="190"/>
        <v>0</v>
      </c>
      <c r="BB985">
        <f t="shared" si="191"/>
        <v>1</v>
      </c>
      <c r="BC985">
        <f t="shared" si="192"/>
        <v>0</v>
      </c>
      <c r="BD985">
        <f t="shared" si="193"/>
        <v>0</v>
      </c>
      <c r="BE985" t="str">
        <f t="array" ref="BE985">IF(AY985=1,INDEX($V$7:$AL$7,MATCH(TRUE,INDEX($V985:$AW985&lt;&gt;0,),0)),IF(AY985=0,INDEX($AM$7:$AW$7,MATCH(1,$AM985:$AW985,0)),IF(BF985="Multiple strategies","mixed drivers",IF(BF985="Supply chain","multiple supply","multiple silviculture"))))</f>
        <v>CCS</v>
      </c>
      <c r="BF985" s="2" t="str" cm="1">
        <f t="array" ref="BF985">IF(COUNTIF(AZ985:BB985,"&lt;&gt;0")=1,INDEX($V$4:$AW$4,MATCH(TRUE,INDEX($V985:$AW985&lt;&gt;0,),0)),IF(COUNTIF(AZ985:BB985,"&lt;&gt;0")=0,INDEX($AM$4:$AW$4,MATCH(1,$AM985:$AW985,0)),"Multiple strategies"))</f>
        <v>Technology</v>
      </c>
      <c r="BG985" s="1" t="s">
        <v>230</v>
      </c>
      <c r="BH985" t="s">
        <v>230</v>
      </c>
      <c r="BJ985" t="s">
        <v>758</v>
      </c>
      <c r="BK985">
        <v>1105.3</v>
      </c>
      <c r="BL985">
        <v>1105.3</v>
      </c>
      <c r="BN985">
        <f t="shared" si="222"/>
        <v>0</v>
      </c>
      <c r="BO985">
        <f t="shared" ref="BO985:BO996" si="234">BN985*t_to_m3</f>
        <v>0</v>
      </c>
      <c r="BP985" t="s">
        <v>233</v>
      </c>
      <c r="BQ985" s="266" t="s">
        <v>3263</v>
      </c>
      <c r="BR985" t="s">
        <v>730</v>
      </c>
      <c r="BS985" s="179">
        <v>-816000</v>
      </c>
      <c r="BT985" s="179">
        <v>27900</v>
      </c>
      <c r="BU985" s="144">
        <f t="shared" si="231"/>
        <v>-3.4191176470588239E-2</v>
      </c>
      <c r="BV985" s="179">
        <f t="shared" si="232"/>
        <v>843900</v>
      </c>
      <c r="BW985" s="179"/>
      <c r="BX985">
        <f>BV985/1000</f>
        <v>843.9</v>
      </c>
      <c r="BY985" t="str">
        <f t="shared" si="194"/>
        <v/>
      </c>
      <c r="BZ985">
        <v>0</v>
      </c>
      <c r="CA985">
        <v>1</v>
      </c>
      <c r="CB985">
        <v>0</v>
      </c>
      <c r="CC985">
        <v>1</v>
      </c>
      <c r="CD985">
        <v>0</v>
      </c>
      <c r="CE985">
        <v>0</v>
      </c>
      <c r="CF985">
        <v>0</v>
      </c>
      <c r="CG985">
        <v>1</v>
      </c>
      <c r="CH985">
        <v>0</v>
      </c>
      <c r="CI985">
        <v>0</v>
      </c>
      <c r="CJ985">
        <v>0</v>
      </c>
      <c r="CK985">
        <v>0</v>
      </c>
      <c r="CL985">
        <v>0</v>
      </c>
      <c r="CM985">
        <v>0</v>
      </c>
      <c r="CN985" t="str">
        <f t="shared" si="233"/>
        <v>refOK</v>
      </c>
      <c r="CO985">
        <f>IF($CN985="refNeedCorrection",BL985,BK985)</f>
        <v>1105.3</v>
      </c>
      <c r="CP985">
        <f>IF($CN985="refNeedCorrection",BK985,BL985)</f>
        <v>1105.3</v>
      </c>
      <c r="CQ985">
        <f t="shared" si="221"/>
        <v>0</v>
      </c>
      <c r="CR985">
        <f t="shared" si="210"/>
        <v>-816000</v>
      </c>
      <c r="CS985">
        <f t="shared" si="220"/>
        <v>27900</v>
      </c>
      <c r="CT985">
        <f t="shared" si="214"/>
        <v>843.9</v>
      </c>
      <c r="CU985" t="str">
        <f t="shared" si="204"/>
        <v/>
      </c>
      <c r="CV985" s="2">
        <f t="shared" si="215"/>
        <v>1.0341911764705882</v>
      </c>
      <c r="CW985" s="1" t="s">
        <v>1205</v>
      </c>
      <c r="CX985" t="str">
        <f t="shared" si="195"/>
        <v>reg</v>
      </c>
      <c r="CY985" t="s">
        <v>600</v>
      </c>
      <c r="DB985">
        <v>100</v>
      </c>
      <c r="DC985" t="str">
        <f t="shared" si="196"/>
        <v>71-100</v>
      </c>
      <c r="DD985">
        <v>0</v>
      </c>
      <c r="DE985">
        <v>0</v>
      </c>
      <c r="DF985">
        <v>0</v>
      </c>
      <c r="DG985">
        <v>1</v>
      </c>
      <c r="DI985">
        <f t="shared" si="230"/>
        <v>1</v>
      </c>
      <c r="DJ985" t="str">
        <f t="shared" si="203"/>
        <v>TimberInput</v>
      </c>
      <c r="DK985">
        <f t="shared" si="223"/>
        <v>0</v>
      </c>
      <c r="DL985">
        <f t="shared" si="224"/>
        <v>0</v>
      </c>
      <c r="DM985">
        <f t="shared" si="225"/>
        <v>0</v>
      </c>
      <c r="DN985" t="str">
        <f t="shared" si="226"/>
        <v>Timber</v>
      </c>
      <c r="DO985">
        <v>0</v>
      </c>
      <c r="DP985">
        <v>0</v>
      </c>
      <c r="DQ985">
        <v>0</v>
      </c>
      <c r="DR985">
        <v>0</v>
      </c>
      <c r="DS985">
        <v>0</v>
      </c>
      <c r="DT985">
        <f t="shared" si="212"/>
        <v>0</v>
      </c>
      <c r="DU985" s="143" t="str">
        <f t="shared" si="198"/>
        <v>explicit C balance</v>
      </c>
      <c r="DV985">
        <v>0</v>
      </c>
      <c r="DW985">
        <v>0</v>
      </c>
      <c r="DX985">
        <v>0</v>
      </c>
      <c r="DY985">
        <v>1</v>
      </c>
      <c r="DZ985">
        <v>0</v>
      </c>
      <c r="EA985" s="143">
        <v>0</v>
      </c>
      <c r="EB985">
        <v>1</v>
      </c>
      <c r="EC985">
        <v>1</v>
      </c>
      <c r="ED985">
        <v>1</v>
      </c>
      <c r="EE985">
        <v>1</v>
      </c>
      <c r="EF985">
        <v>1</v>
      </c>
      <c r="EG985">
        <v>1</v>
      </c>
      <c r="EH985">
        <v>0</v>
      </c>
      <c r="EI985" s="2">
        <v>0</v>
      </c>
      <c r="EK985" t="str">
        <f t="shared" si="227"/>
        <v/>
      </c>
      <c r="EL985" t="str">
        <f t="shared" si="228"/>
        <v/>
      </c>
      <c r="EM985" s="2" t="str">
        <f t="shared" si="197"/>
        <v>Technology approach</v>
      </c>
      <c r="EP985" t="b">
        <f>IF(ISNUMBER(BU985),IF(ABS(BU985-[3]QC_indicators!$B$2)&gt;3*[3]QC_indicators!$C$2,"C ratio",IF(ISNUMBER(BY985),IF(ABS(BY985-[3]QC_indicators!$B$1)&gt;3*[3]QC_indicators!$C$1,"DF","no"))),IF(ISNUMBER(BY985),IF(ABS(BY985-[3]QC_indicators!$B$1)&gt;3*[3]QC_indicators!$C$1,"DF","no")))</f>
        <v>0</v>
      </c>
      <c r="ET985" s="266" t="s">
        <v>3153</v>
      </c>
    </row>
    <row r="986" spans="1:151" ht="15" hidden="1" customHeight="1">
      <c r="A986" s="1" t="s">
        <v>616</v>
      </c>
      <c r="B986" t="s">
        <v>1721</v>
      </c>
      <c r="C986" t="s">
        <v>1722</v>
      </c>
      <c r="D986" t="s">
        <v>1723</v>
      </c>
      <c r="E986" t="s">
        <v>1724</v>
      </c>
      <c r="F986" t="s">
        <v>1725</v>
      </c>
      <c r="G986" t="s">
        <v>622</v>
      </c>
      <c r="H986" t="s">
        <v>255</v>
      </c>
      <c r="I986">
        <v>2021</v>
      </c>
      <c r="J986">
        <v>2</v>
      </c>
      <c r="K986" t="s">
        <v>1726</v>
      </c>
      <c r="M986" t="str">
        <f t="shared" si="201"/>
        <v>Hawkins_2021</v>
      </c>
      <c r="N986" t="s">
        <v>223</v>
      </c>
      <c r="O986" s="145" t="s">
        <v>514</v>
      </c>
      <c r="Q986" t="s">
        <v>257</v>
      </c>
      <c r="R986" s="2" t="s">
        <v>275</v>
      </c>
      <c r="S986" s="1" t="s">
        <v>1737</v>
      </c>
      <c r="T986" t="s">
        <v>1046</v>
      </c>
      <c r="U986" t="s">
        <v>1728</v>
      </c>
      <c r="V986">
        <v>0</v>
      </c>
      <c r="W986">
        <v>0</v>
      </c>
      <c r="X986">
        <v>0</v>
      </c>
      <c r="Y986">
        <v>0</v>
      </c>
      <c r="Z986">
        <v>0</v>
      </c>
      <c r="AA986">
        <v>0</v>
      </c>
      <c r="AB986">
        <v>0</v>
      </c>
      <c r="AC986">
        <v>0</v>
      </c>
      <c r="AD986">
        <v>0</v>
      </c>
      <c r="AE986">
        <v>0</v>
      </c>
      <c r="AF986">
        <v>0</v>
      </c>
      <c r="AG986">
        <v>0</v>
      </c>
      <c r="AH986">
        <v>0</v>
      </c>
      <c r="AI986">
        <v>0</v>
      </c>
      <c r="AJ986">
        <v>0</v>
      </c>
      <c r="AK986">
        <v>1</v>
      </c>
      <c r="AL986">
        <v>0</v>
      </c>
      <c r="AM986">
        <v>0</v>
      </c>
      <c r="AN986">
        <v>0</v>
      </c>
      <c r="AO986">
        <v>0</v>
      </c>
      <c r="AP986">
        <v>0</v>
      </c>
      <c r="AQ986">
        <v>0</v>
      </c>
      <c r="AR986">
        <v>0</v>
      </c>
      <c r="AS986">
        <v>0</v>
      </c>
      <c r="AT986">
        <v>0</v>
      </c>
      <c r="AU986">
        <v>0</v>
      </c>
      <c r="AV986">
        <v>0</v>
      </c>
      <c r="AW986">
        <v>0</v>
      </c>
      <c r="AX986" s="141">
        <f t="shared" si="213"/>
        <v>1</v>
      </c>
      <c r="AY986" s="141">
        <f t="shared" ref="AY986:AY1049" si="235">COUNTIF(V986:AL986,"&lt;&gt;0")</f>
        <v>1</v>
      </c>
      <c r="AZ986">
        <f t="shared" ref="AZ986:AZ1049" si="236">COUNTIF(V986:AC986,"&lt;&gt;0")</f>
        <v>0</v>
      </c>
      <c r="BA986">
        <f t="shared" ref="BA986:BA1049" si="237">COUNTIF(AD986:AI986,"&lt;&gt;0")</f>
        <v>0</v>
      </c>
      <c r="BB986">
        <f t="shared" ref="BB986:BB1049" si="238">COUNTIF(AJ986:AL986,"&lt;&gt;0")</f>
        <v>1</v>
      </c>
      <c r="BC986">
        <f t="shared" ref="BC986:BC1049" si="239">COUNTIF(AS986:AW986,"&lt;&gt;0")</f>
        <v>0</v>
      </c>
      <c r="BD986">
        <f t="shared" ref="BD986:BD1049" si="240">COUNTIF(AM986:AR986,"&lt;&gt;0")</f>
        <v>0</v>
      </c>
      <c r="BE986" t="str">
        <f t="array" ref="BE986">IF(AY986=1,INDEX($V$7:$AL$7,MATCH(TRUE,INDEX($V986:$AW986&lt;&gt;0,),0)),IF(AY986=0,INDEX($AM$7:$AW$7,MATCH(1,$AM986:$AW986,0)),IF(BF986="Multiple strategies","mixed drivers",IF(BF986="Supply chain","multiple supply","multiple silviculture"))))</f>
        <v>technologies/design switch</v>
      </c>
      <c r="BF986" s="2" t="str" cm="1">
        <f t="array" ref="BF986">IF(COUNTIF(AZ986:BB986,"&lt;&gt;0")=1,INDEX($V$4:$AW$4,MATCH(TRUE,INDEX($V986:$AW986&lt;&gt;0,),0)),IF(COUNTIF(AZ986:BB986,"&lt;&gt;0")=0,INDEX($AM$4:$AW$4,MATCH(1,$AM986:$AW986,0)),"Multiple strategies"))</f>
        <v>Technology</v>
      </c>
      <c r="BG986" s="1" t="s">
        <v>230</v>
      </c>
      <c r="BH986" t="s">
        <v>230</v>
      </c>
      <c r="BJ986" t="s">
        <v>758</v>
      </c>
      <c r="BK986">
        <v>0</v>
      </c>
      <c r="BL986">
        <v>1105.3</v>
      </c>
      <c r="BN986">
        <f t="shared" si="222"/>
        <v>1105.3</v>
      </c>
      <c r="BO986">
        <f t="shared" si="234"/>
        <v>2255.7142857142858</v>
      </c>
      <c r="BP986" t="s">
        <v>233</v>
      </c>
      <c r="BQ986" s="266" t="s">
        <v>3263</v>
      </c>
      <c r="BR986" t="s">
        <v>730</v>
      </c>
      <c r="BS986" s="179">
        <v>-862000</v>
      </c>
      <c r="BT986" s="179">
        <v>-816000</v>
      </c>
      <c r="BU986" s="144">
        <f t="shared" si="231"/>
        <v>0.94663573085846864</v>
      </c>
      <c r="BV986" s="179">
        <f t="shared" si="232"/>
        <v>46000</v>
      </c>
      <c r="BW986" s="179"/>
      <c r="BX986">
        <f>BV986/1000</f>
        <v>46</v>
      </c>
      <c r="BY986">
        <f t="shared" ref="BY986:BY1049" si="241">IFERROR(BX986/BO986,"")</f>
        <v>2.039265357821406E-2</v>
      </c>
      <c r="BZ986">
        <v>0</v>
      </c>
      <c r="CA986">
        <v>1</v>
      </c>
      <c r="CB986">
        <v>0</v>
      </c>
      <c r="CC986">
        <v>1</v>
      </c>
      <c r="CD986">
        <v>0</v>
      </c>
      <c r="CE986">
        <v>0</v>
      </c>
      <c r="CF986">
        <v>0</v>
      </c>
      <c r="CG986">
        <v>1</v>
      </c>
      <c r="CH986">
        <v>0</v>
      </c>
      <c r="CI986">
        <v>0</v>
      </c>
      <c r="CJ986">
        <v>0</v>
      </c>
      <c r="CK986">
        <v>0</v>
      </c>
      <c r="CL986">
        <v>0</v>
      </c>
      <c r="CM986">
        <v>0</v>
      </c>
      <c r="CN986" t="str">
        <f t="shared" si="233"/>
        <v>refOK</v>
      </c>
      <c r="CO986">
        <f>IF($CN986="refNeedCorrection",BL986,BK986)</f>
        <v>0</v>
      </c>
      <c r="CP986">
        <f>IF($CN986="refNeedCorrection",BK986,BL986)</f>
        <v>1105.3</v>
      </c>
      <c r="CQ986">
        <f t="shared" si="221"/>
        <v>2255.7142857142858</v>
      </c>
      <c r="CR986" s="274">
        <f t="shared" si="210"/>
        <v>-862000</v>
      </c>
      <c r="CS986" s="274">
        <f t="shared" si="220"/>
        <v>-816000</v>
      </c>
      <c r="CT986">
        <f t="shared" si="214"/>
        <v>46</v>
      </c>
      <c r="CU986">
        <f t="shared" si="204"/>
        <v>2.039265357821406E-2</v>
      </c>
      <c r="CV986" s="2">
        <f t="shared" si="215"/>
        <v>5.336426914153132E-2</v>
      </c>
      <c r="CW986" s="1" t="s">
        <v>1205</v>
      </c>
      <c r="CX986" t="str">
        <f t="shared" ref="CX986:CX1049" si="242">IF(OR($CW986="prd",$CW986="std",$CW986="cit"),"loc",IF(OR($CW986="eur",$CW986="reg",$CW986="coy"),"reg",$CW986))</f>
        <v>reg</v>
      </c>
      <c r="CY986" t="s">
        <v>600</v>
      </c>
      <c r="DB986">
        <v>100</v>
      </c>
      <c r="DC986" t="str">
        <f t="shared" ref="DC986:DC1049" si="243">IF(DB986=0,"0",IF(AND(DB986&gt;=1,DB986&lt;=30),"1-30",IF(AND(DB986&gt;30,DB986&lt;=70),"31-70",IF(AND(DB986&gt;70,DB986&lt;=100),"71-100",IF(DB986&gt;100,"+100")))))</f>
        <v>71-100</v>
      </c>
      <c r="DD986">
        <v>0</v>
      </c>
      <c r="DE986">
        <v>0</v>
      </c>
      <c r="DF986">
        <v>0</v>
      </c>
      <c r="DG986">
        <v>1</v>
      </c>
      <c r="DI986">
        <f t="shared" si="230"/>
        <v>1</v>
      </c>
      <c r="DJ986" t="str">
        <f t="shared" si="203"/>
        <v>TimberInput</v>
      </c>
      <c r="DK986">
        <f t="shared" si="223"/>
        <v>0</v>
      </c>
      <c r="DL986">
        <f t="shared" si="224"/>
        <v>0</v>
      </c>
      <c r="DM986">
        <f t="shared" si="225"/>
        <v>0</v>
      </c>
      <c r="DN986" t="str">
        <f t="shared" si="226"/>
        <v>Timber</v>
      </c>
      <c r="DO986">
        <v>0</v>
      </c>
      <c r="DP986">
        <v>0</v>
      </c>
      <c r="DQ986">
        <v>0</v>
      </c>
      <c r="DR986">
        <v>0</v>
      </c>
      <c r="DS986">
        <v>0</v>
      </c>
      <c r="DT986">
        <f t="shared" si="212"/>
        <v>0</v>
      </c>
      <c r="DU986" s="143" t="str">
        <f t="shared" si="198"/>
        <v>explicit C balance</v>
      </c>
      <c r="DV986">
        <v>0</v>
      </c>
      <c r="DW986">
        <v>0</v>
      </c>
      <c r="DX986">
        <v>0</v>
      </c>
      <c r="DY986">
        <v>1</v>
      </c>
      <c r="DZ986">
        <v>0</v>
      </c>
      <c r="EA986" s="143">
        <v>0</v>
      </c>
      <c r="EB986">
        <v>1</v>
      </c>
      <c r="EC986">
        <v>1</v>
      </c>
      <c r="ED986">
        <v>1</v>
      </c>
      <c r="EE986">
        <v>1</v>
      </c>
      <c r="EF986">
        <v>1</v>
      </c>
      <c r="EG986">
        <v>1</v>
      </c>
      <c r="EH986">
        <v>0</v>
      </c>
      <c r="EI986" s="2">
        <v>0</v>
      </c>
      <c r="EK986" t="str">
        <f t="shared" si="227"/>
        <v/>
      </c>
      <c r="EL986" t="str">
        <f t="shared" si="228"/>
        <v/>
      </c>
      <c r="EM986" s="2" t="str">
        <f t="shared" ref="EM986:EM1049" si="244">IF(AND(AND(AND($DX986=0,$DW986=0),OR($EC986=1,$EA986=1)),SUM($EB986:$EE986)&gt;=2),"Technology approach","")</f>
        <v>Technology approach</v>
      </c>
      <c r="EP986" t="str">
        <f>IF(ISNUMBER(BU986),IF(ABS(BU986-[3]QC_indicators!$B$2)&gt;3*[3]QC_indicators!$C$2,"C ratio",IF(ISNUMBER(BY986),IF(ABS(BY986-[3]QC_indicators!$B$1)&gt;3*[3]QC_indicators!$C$1,"DF","no"))),IF(ISNUMBER(BY986),IF(ABS(BY986-[3]QC_indicators!$B$1)&gt;3*[3]QC_indicators!$C$1,"DF","no")))</f>
        <v>no</v>
      </c>
      <c r="ET986" s="266" t="s">
        <v>3153</v>
      </c>
      <c r="EU986" s="266"/>
    </row>
    <row r="987" spans="1:151" ht="15" hidden="1" customHeight="1">
      <c r="A987" s="1" t="s">
        <v>616</v>
      </c>
      <c r="B987" t="s">
        <v>1721</v>
      </c>
      <c r="C987" t="s">
        <v>1722</v>
      </c>
      <c r="D987" t="s">
        <v>1723</v>
      </c>
      <c r="E987" t="s">
        <v>1724</v>
      </c>
      <c r="F987" t="s">
        <v>1725</v>
      </c>
      <c r="G987" t="s">
        <v>622</v>
      </c>
      <c r="H987" t="s">
        <v>255</v>
      </c>
      <c r="I987">
        <v>2021</v>
      </c>
      <c r="J987">
        <v>2</v>
      </c>
      <c r="K987" t="s">
        <v>1726</v>
      </c>
      <c r="M987" t="str">
        <f t="shared" si="201"/>
        <v>Hawkins_2021</v>
      </c>
      <c r="N987" t="s">
        <v>223</v>
      </c>
      <c r="O987" s="145" t="s">
        <v>514</v>
      </c>
      <c r="Q987" t="s">
        <v>257</v>
      </c>
      <c r="R987" s="2" t="s">
        <v>275</v>
      </c>
      <c r="S987" s="1" t="s">
        <v>1738</v>
      </c>
      <c r="T987" t="s">
        <v>667</v>
      </c>
      <c r="U987" t="s">
        <v>1728</v>
      </c>
      <c r="V987">
        <v>0</v>
      </c>
      <c r="W987">
        <v>0</v>
      </c>
      <c r="X987">
        <v>0</v>
      </c>
      <c r="Y987">
        <v>0</v>
      </c>
      <c r="Z987">
        <v>0</v>
      </c>
      <c r="AA987">
        <v>0</v>
      </c>
      <c r="AB987">
        <v>0</v>
      </c>
      <c r="AC987">
        <v>0</v>
      </c>
      <c r="AD987">
        <v>0</v>
      </c>
      <c r="AE987">
        <v>0</v>
      </c>
      <c r="AF987">
        <v>0</v>
      </c>
      <c r="AG987">
        <v>0</v>
      </c>
      <c r="AH987">
        <v>0</v>
      </c>
      <c r="AI987">
        <v>0</v>
      </c>
      <c r="AJ987">
        <v>0</v>
      </c>
      <c r="AK987">
        <v>1</v>
      </c>
      <c r="AL987">
        <v>0</v>
      </c>
      <c r="AM987">
        <v>0</v>
      </c>
      <c r="AN987">
        <v>0</v>
      </c>
      <c r="AO987">
        <v>0</v>
      </c>
      <c r="AP987">
        <v>0</v>
      </c>
      <c r="AQ987">
        <v>0</v>
      </c>
      <c r="AR987">
        <v>0</v>
      </c>
      <c r="AS987">
        <v>0</v>
      </c>
      <c r="AT987">
        <v>0</v>
      </c>
      <c r="AU987">
        <v>0</v>
      </c>
      <c r="AV987">
        <v>0</v>
      </c>
      <c r="AW987">
        <v>0</v>
      </c>
      <c r="AX987" s="141">
        <f t="shared" si="213"/>
        <v>1</v>
      </c>
      <c r="AY987" s="141">
        <f t="shared" si="235"/>
        <v>1</v>
      </c>
      <c r="AZ987">
        <f t="shared" si="236"/>
        <v>0</v>
      </c>
      <c r="BA987">
        <f t="shared" si="237"/>
        <v>0</v>
      </c>
      <c r="BB987">
        <f t="shared" si="238"/>
        <v>1</v>
      </c>
      <c r="BC987">
        <f t="shared" si="239"/>
        <v>0</v>
      </c>
      <c r="BD987">
        <f t="shared" si="240"/>
        <v>0</v>
      </c>
      <c r="BE987" t="str">
        <f t="array" ref="BE987">IF(AY987=1,INDEX($V$7:$AL$7,MATCH(TRUE,INDEX($V987:$AW987&lt;&gt;0,),0)),IF(AY987=0,INDEX($AM$7:$AW$7,MATCH(1,$AM987:$AW987,0)),IF(BF987="Multiple strategies","mixed drivers",IF(BF987="Supply chain","multiple supply","multiple silviculture"))))</f>
        <v>technologies/design switch</v>
      </c>
      <c r="BF987" s="2" t="str" cm="1">
        <f t="array" ref="BF987">IF(COUNTIF(AZ987:BB987,"&lt;&gt;0")=1,INDEX($V$4:$AW$4,MATCH(TRUE,INDEX($V987:$AW987&lt;&gt;0,),0)),IF(COUNTIF(AZ987:BB987,"&lt;&gt;0")=0,INDEX($AM$4:$AW$4,MATCH(1,$AM987:$AW987,0)),"Multiple strategies"))</f>
        <v>Technology</v>
      </c>
      <c r="BG987" s="1" t="s">
        <v>230</v>
      </c>
      <c r="BH987" t="s">
        <v>230</v>
      </c>
      <c r="BJ987" t="s">
        <v>758</v>
      </c>
      <c r="BK987">
        <v>0</v>
      </c>
      <c r="BL987">
        <v>1105.3</v>
      </c>
      <c r="BN987">
        <f t="shared" si="222"/>
        <v>1105.3</v>
      </c>
      <c r="BO987">
        <f t="shared" si="234"/>
        <v>2255.7142857142858</v>
      </c>
      <c r="BP987" t="s">
        <v>233</v>
      </c>
      <c r="BQ987" s="266" t="s">
        <v>3263</v>
      </c>
      <c r="BR987" t="s">
        <v>730</v>
      </c>
      <c r="BS987" s="179">
        <v>-1120000</v>
      </c>
      <c r="BT987" s="179">
        <v>-816000</v>
      </c>
      <c r="BU987" s="144">
        <f t="shared" si="231"/>
        <v>0.72857142857142854</v>
      </c>
      <c r="BV987" s="179">
        <f t="shared" si="232"/>
        <v>304000</v>
      </c>
      <c r="BW987" s="179"/>
      <c r="BX987">
        <f>BV987/1000</f>
        <v>304</v>
      </c>
      <c r="BY987">
        <f t="shared" si="241"/>
        <v>0.13476884103863204</v>
      </c>
      <c r="BZ987">
        <v>0</v>
      </c>
      <c r="CA987">
        <v>1</v>
      </c>
      <c r="CB987">
        <v>0</v>
      </c>
      <c r="CC987">
        <v>1</v>
      </c>
      <c r="CD987">
        <v>0</v>
      </c>
      <c r="CE987">
        <v>0</v>
      </c>
      <c r="CF987">
        <v>0</v>
      </c>
      <c r="CG987">
        <v>1</v>
      </c>
      <c r="CH987">
        <v>0</v>
      </c>
      <c r="CI987">
        <v>0</v>
      </c>
      <c r="CJ987">
        <v>0</v>
      </c>
      <c r="CK987">
        <v>0</v>
      </c>
      <c r="CL987">
        <v>0</v>
      </c>
      <c r="CM987">
        <v>0</v>
      </c>
      <c r="CN987" t="str">
        <f t="shared" si="233"/>
        <v>refOK</v>
      </c>
      <c r="CO987">
        <f>IF($CN987="refNeedCorrection",BL987,BK987)</f>
        <v>0</v>
      </c>
      <c r="CP987">
        <f>IF($CN987="refNeedCorrection",BK987,BL987)</f>
        <v>1105.3</v>
      </c>
      <c r="CQ987">
        <f t="shared" si="221"/>
        <v>2255.7142857142858</v>
      </c>
      <c r="CR987" s="274">
        <f t="shared" si="210"/>
        <v>-1120000</v>
      </c>
      <c r="CS987" s="274">
        <f t="shared" si="220"/>
        <v>-816000</v>
      </c>
      <c r="CT987">
        <f t="shared" si="214"/>
        <v>304</v>
      </c>
      <c r="CU987">
        <f t="shared" si="204"/>
        <v>0.13476884103863204</v>
      </c>
      <c r="CV987" s="2">
        <f t="shared" si="215"/>
        <v>0.27142857142857141</v>
      </c>
      <c r="CW987" s="1" t="s">
        <v>1205</v>
      </c>
      <c r="CX987" t="str">
        <f t="shared" si="242"/>
        <v>reg</v>
      </c>
      <c r="CY987" t="s">
        <v>600</v>
      </c>
      <c r="DB987">
        <v>100</v>
      </c>
      <c r="DC987" t="str">
        <f t="shared" si="243"/>
        <v>71-100</v>
      </c>
      <c r="DD987">
        <v>0</v>
      </c>
      <c r="DE987">
        <v>0</v>
      </c>
      <c r="DF987">
        <v>0</v>
      </c>
      <c r="DG987">
        <v>1</v>
      </c>
      <c r="DI987">
        <f t="shared" si="230"/>
        <v>1</v>
      </c>
      <c r="DJ987" t="str">
        <f t="shared" si="203"/>
        <v>TimberInput</v>
      </c>
      <c r="DK987">
        <f t="shared" si="223"/>
        <v>0</v>
      </c>
      <c r="DL987">
        <f t="shared" si="224"/>
        <v>0</v>
      </c>
      <c r="DM987">
        <f t="shared" si="225"/>
        <v>0</v>
      </c>
      <c r="DN987" t="str">
        <f t="shared" si="226"/>
        <v>Timber</v>
      </c>
      <c r="DO987">
        <v>0</v>
      </c>
      <c r="DP987">
        <v>0</v>
      </c>
      <c r="DQ987">
        <v>0</v>
      </c>
      <c r="DR987">
        <v>0</v>
      </c>
      <c r="DS987">
        <v>0</v>
      </c>
      <c r="DT987">
        <f t="shared" si="212"/>
        <v>0</v>
      </c>
      <c r="DU987" s="143" t="str">
        <f t="shared" ref="DU987:DU1050" si="245">IF(DO987=1,"self-calculated DF",IF(DP987=1,"external DF used","explicit C balance"))</f>
        <v>explicit C balance</v>
      </c>
      <c r="DV987">
        <v>0</v>
      </c>
      <c r="DW987">
        <v>0</v>
      </c>
      <c r="DX987">
        <v>0</v>
      </c>
      <c r="DY987">
        <v>1</v>
      </c>
      <c r="DZ987">
        <v>0</v>
      </c>
      <c r="EA987" s="143">
        <v>0</v>
      </c>
      <c r="EB987">
        <v>1</v>
      </c>
      <c r="EC987">
        <v>1</v>
      </c>
      <c r="ED987">
        <v>1</v>
      </c>
      <c r="EE987">
        <v>1</v>
      </c>
      <c r="EF987">
        <v>1</v>
      </c>
      <c r="EG987">
        <v>1</v>
      </c>
      <c r="EH987">
        <v>0</v>
      </c>
      <c r="EI987" s="2">
        <v>0</v>
      </c>
      <c r="EK987" t="str">
        <f t="shared" si="227"/>
        <v/>
      </c>
      <c r="EL987" t="str">
        <f t="shared" si="228"/>
        <v/>
      </c>
      <c r="EM987" s="2" t="str">
        <f t="shared" si="244"/>
        <v>Technology approach</v>
      </c>
      <c r="EP987" t="str">
        <f>IF(ISNUMBER(BU987),IF(ABS(BU987-[3]QC_indicators!$B$2)&gt;3*[3]QC_indicators!$C$2,"C ratio",IF(ISNUMBER(BY987),IF(ABS(BY987-[3]QC_indicators!$B$1)&gt;3*[3]QC_indicators!$C$1,"DF","no"))),IF(ISNUMBER(BY987),IF(ABS(BY987-[3]QC_indicators!$B$1)&gt;3*[3]QC_indicators!$C$1,"DF","no")))</f>
        <v>no</v>
      </c>
      <c r="ET987" s="266" t="s">
        <v>3153</v>
      </c>
      <c r="EU987" s="266"/>
    </row>
    <row r="988" spans="1:151" ht="15" hidden="1" customHeight="1">
      <c r="A988" s="1" t="s">
        <v>1170</v>
      </c>
      <c r="B988" t="s">
        <v>1171</v>
      </c>
      <c r="C988" t="s">
        <v>1172</v>
      </c>
      <c r="D988" t="s">
        <v>1173</v>
      </c>
      <c r="E988" t="s">
        <v>1174</v>
      </c>
      <c r="F988" t="s">
        <v>1175</v>
      </c>
      <c r="G988" t="s">
        <v>1176</v>
      </c>
      <c r="H988" t="s">
        <v>255</v>
      </c>
      <c r="I988">
        <v>2010</v>
      </c>
      <c r="J988">
        <v>51</v>
      </c>
      <c r="K988" t="s">
        <v>1177</v>
      </c>
      <c r="M988" t="str">
        <f t="shared" si="201"/>
        <v>Vukotic_2010</v>
      </c>
      <c r="N988" t="s">
        <v>223</v>
      </c>
      <c r="O988" s="145" t="s">
        <v>1156</v>
      </c>
      <c r="Q988" t="s">
        <v>257</v>
      </c>
      <c r="R988" s="271" t="s">
        <v>275</v>
      </c>
      <c r="S988" s="1" t="s">
        <v>1178</v>
      </c>
      <c r="T988" t="s">
        <v>1179</v>
      </c>
      <c r="U988" t="s">
        <v>1184</v>
      </c>
      <c r="V988">
        <v>0</v>
      </c>
      <c r="W988">
        <v>0</v>
      </c>
      <c r="X988">
        <v>0</v>
      </c>
      <c r="Y988">
        <v>0</v>
      </c>
      <c r="Z988">
        <v>0</v>
      </c>
      <c r="AA988">
        <v>0</v>
      </c>
      <c r="AB988">
        <v>0</v>
      </c>
      <c r="AC988">
        <v>0</v>
      </c>
      <c r="AD988">
        <v>0</v>
      </c>
      <c r="AE988">
        <v>0</v>
      </c>
      <c r="AF988">
        <v>0</v>
      </c>
      <c r="AG988">
        <v>0</v>
      </c>
      <c r="AH988">
        <v>0</v>
      </c>
      <c r="AI988">
        <v>0</v>
      </c>
      <c r="AJ988">
        <v>0</v>
      </c>
      <c r="AK988">
        <v>1</v>
      </c>
      <c r="AL988">
        <v>0</v>
      </c>
      <c r="AM988">
        <v>0</v>
      </c>
      <c r="AN988">
        <v>0</v>
      </c>
      <c r="AO988">
        <v>0</v>
      </c>
      <c r="AP988">
        <v>0</v>
      </c>
      <c r="AQ988">
        <v>0</v>
      </c>
      <c r="AR988">
        <v>0</v>
      </c>
      <c r="AS988">
        <v>0</v>
      </c>
      <c r="AT988">
        <v>0</v>
      </c>
      <c r="AU988">
        <v>0</v>
      </c>
      <c r="AV988">
        <v>0</v>
      </c>
      <c r="AW988">
        <v>0</v>
      </c>
      <c r="AX988" s="141">
        <f t="shared" si="213"/>
        <v>1</v>
      </c>
      <c r="AY988" s="141">
        <f t="shared" si="235"/>
        <v>1</v>
      </c>
      <c r="AZ988">
        <f t="shared" si="236"/>
        <v>0</v>
      </c>
      <c r="BA988">
        <f t="shared" si="237"/>
        <v>0</v>
      </c>
      <c r="BB988">
        <f t="shared" si="238"/>
        <v>1</v>
      </c>
      <c r="BC988">
        <f t="shared" si="239"/>
        <v>0</v>
      </c>
      <c r="BD988">
        <f t="shared" si="240"/>
        <v>0</v>
      </c>
      <c r="BE988" t="str">
        <f t="array" ref="BE988">IF(AY988=1,INDEX($V$7:$AL$7,MATCH(TRUE,INDEX($V988:$AW988&lt;&gt;0,),0)),IF(AY988=0,INDEX($AM$7:$AW$7,MATCH(1,$AM988:$AW988,0)),IF(BF988="Multiple strategies","mixed drivers",IF(BF988="Supply chain","multiple supply","multiple silviculture"))))</f>
        <v>technologies/design switch</v>
      </c>
      <c r="BF988" s="2" t="str" cm="1">
        <f t="array" ref="BF988">IF(COUNTIF(AZ988:BB988,"&lt;&gt;0")=1,INDEX($V$4:$AW$4,MATCH(TRUE,INDEX($V988:$AW988&lt;&gt;0,),0)),IF(COUNTIF(AZ988:BB988,"&lt;&gt;0")=0,INDEX($AM$4:$AW$4,MATCH(1,$AM988:$AW988,0)),"Multiple strategies"))</f>
        <v>Technology</v>
      </c>
      <c r="BG988" s="1" t="s">
        <v>230</v>
      </c>
      <c r="BH988" t="s">
        <v>1181</v>
      </c>
      <c r="BJ988" t="s">
        <v>1182</v>
      </c>
      <c r="BK988">
        <v>0</v>
      </c>
      <c r="BL988">
        <v>0.27407407407407408</v>
      </c>
      <c r="BM988" s="143" t="e">
        <f>BL988/BK988</f>
        <v>#DIV/0!</v>
      </c>
      <c r="BN988">
        <f t="shared" si="222"/>
        <v>0.27407407407407408</v>
      </c>
      <c r="BO988">
        <f t="shared" si="234"/>
        <v>0.55933484504913078</v>
      </c>
      <c r="BP988" t="s">
        <v>233</v>
      </c>
      <c r="BR988" t="s">
        <v>1183</v>
      </c>
      <c r="BS988">
        <v>53.97</v>
      </c>
      <c r="BT988">
        <v>93.36</v>
      </c>
      <c r="BU988" s="144">
        <f t="shared" si="231"/>
        <v>1.7298499166203447</v>
      </c>
      <c r="BV988" s="144">
        <f t="shared" si="232"/>
        <v>39.39</v>
      </c>
      <c r="BW988" s="144"/>
      <c r="BX988" s="144">
        <f>BV988*0.001</f>
        <v>3.9390000000000001E-2</v>
      </c>
      <c r="BY988">
        <f t="shared" si="241"/>
        <v>7.0422932432432431E-2</v>
      </c>
      <c r="BZ988">
        <v>0</v>
      </c>
      <c r="CA988">
        <v>0</v>
      </c>
      <c r="CB988">
        <v>0</v>
      </c>
      <c r="CC988">
        <v>0</v>
      </c>
      <c r="CD988">
        <v>0</v>
      </c>
      <c r="CE988">
        <v>0</v>
      </c>
      <c r="CF988">
        <v>0</v>
      </c>
      <c r="CG988">
        <v>0</v>
      </c>
      <c r="CH988">
        <v>0</v>
      </c>
      <c r="CI988">
        <v>0</v>
      </c>
      <c r="CJ988">
        <v>0</v>
      </c>
      <c r="CK988">
        <v>0</v>
      </c>
      <c r="CL988">
        <v>0</v>
      </c>
      <c r="CM988">
        <v>0</v>
      </c>
      <c r="CN988" t="str">
        <f t="shared" si="233"/>
        <v>refOK</v>
      </c>
      <c r="CO988">
        <f>IF($CN988="refOK",$BK988,$BL988)</f>
        <v>0</v>
      </c>
      <c r="CP988">
        <f>IF($CN988="refOK",$BL988,$BK988)</f>
        <v>0.27407407407407408</v>
      </c>
      <c r="CQ988">
        <f t="shared" si="221"/>
        <v>0.55933484504913078</v>
      </c>
      <c r="CR988">
        <f t="shared" si="210"/>
        <v>53.97</v>
      </c>
      <c r="CS988">
        <f t="shared" si="220"/>
        <v>93.36</v>
      </c>
      <c r="CT988">
        <f t="shared" si="214"/>
        <v>3.9390000000000001E-2</v>
      </c>
      <c r="CU988">
        <f t="shared" si="204"/>
        <v>7.0422932432432431E-2</v>
      </c>
      <c r="CV988" s="2">
        <f t="shared" si="215"/>
        <v>0.72984991662034471</v>
      </c>
      <c r="CW988" s="1" t="s">
        <v>264</v>
      </c>
      <c r="CX988" t="str">
        <f t="shared" si="242"/>
        <v>loc</v>
      </c>
      <c r="CY988" t="s">
        <v>600</v>
      </c>
      <c r="DB988">
        <v>60</v>
      </c>
      <c r="DC988" t="str">
        <f t="shared" si="243"/>
        <v>31-70</v>
      </c>
      <c r="DD988">
        <v>0</v>
      </c>
      <c r="DE988">
        <v>0</v>
      </c>
      <c r="DF988">
        <v>0</v>
      </c>
      <c r="DG988">
        <v>1</v>
      </c>
      <c r="DI988">
        <f t="shared" si="230"/>
        <v>1</v>
      </c>
      <c r="DJ988" t="str">
        <f t="shared" si="203"/>
        <v>TimberInput</v>
      </c>
      <c r="DK988">
        <f t="shared" si="223"/>
        <v>0</v>
      </c>
      <c r="DL988">
        <f t="shared" si="224"/>
        <v>0</v>
      </c>
      <c r="DM988">
        <f t="shared" si="225"/>
        <v>0</v>
      </c>
      <c r="DN988" t="str">
        <f t="shared" si="226"/>
        <v>Timber</v>
      </c>
      <c r="DO988">
        <v>1</v>
      </c>
      <c r="DP988">
        <v>0</v>
      </c>
      <c r="DQ988">
        <v>0</v>
      </c>
      <c r="DR988">
        <v>0</v>
      </c>
      <c r="DS988">
        <v>0</v>
      </c>
      <c r="DT988">
        <f t="shared" si="212"/>
        <v>1</v>
      </c>
      <c r="DU988" s="143" t="str">
        <f t="shared" si="245"/>
        <v>self-calculated DF</v>
      </c>
      <c r="DV988">
        <v>0</v>
      </c>
      <c r="DW988">
        <v>0</v>
      </c>
      <c r="DX988">
        <v>0</v>
      </c>
      <c r="DY988">
        <v>0</v>
      </c>
      <c r="DZ988">
        <v>0</v>
      </c>
      <c r="EA988" s="143">
        <v>1</v>
      </c>
      <c r="EB988">
        <v>0</v>
      </c>
      <c r="EC988">
        <v>0</v>
      </c>
      <c r="ED988">
        <v>0</v>
      </c>
      <c r="EE988">
        <v>1</v>
      </c>
      <c r="EF988">
        <v>0</v>
      </c>
      <c r="EG988">
        <v>0</v>
      </c>
      <c r="EH988">
        <v>0</v>
      </c>
      <c r="EI988" s="2">
        <v>0</v>
      </c>
      <c r="EK988" t="str">
        <f t="shared" si="227"/>
        <v/>
      </c>
      <c r="EL988" t="str">
        <f t="shared" si="228"/>
        <v/>
      </c>
      <c r="EM988" s="2" t="str">
        <f t="shared" si="244"/>
        <v/>
      </c>
      <c r="EP988" t="str">
        <f>IF(ISNUMBER(BU988),IF(ABS(BU988-[3]QC_indicators!$B$2)&gt;3*[3]QC_indicators!$C$2,"C ratio",IF(ISNUMBER(BY988),IF(ABS(BY988-[3]QC_indicators!$B$1)&gt;3*[3]QC_indicators!$C$1,"DF","no"))),IF(ISNUMBER(BY988),IF(ABS(BY988-[3]QC_indicators!$B$1)&gt;3*[3]QC_indicators!$C$1,"DF","no")))</f>
        <v>no</v>
      </c>
      <c r="ET988" s="266" t="s">
        <v>3265</v>
      </c>
    </row>
    <row r="989" spans="1:151" ht="15" hidden="1" customHeight="1">
      <c r="A989" s="1" t="s">
        <v>1170</v>
      </c>
      <c r="B989" t="s">
        <v>1171</v>
      </c>
      <c r="C989" t="s">
        <v>1172</v>
      </c>
      <c r="D989" t="s">
        <v>1173</v>
      </c>
      <c r="E989" t="s">
        <v>1174</v>
      </c>
      <c r="F989" t="s">
        <v>1175</v>
      </c>
      <c r="G989" t="s">
        <v>1176</v>
      </c>
      <c r="H989" t="s">
        <v>255</v>
      </c>
      <c r="I989">
        <v>2010</v>
      </c>
      <c r="J989">
        <v>51</v>
      </c>
      <c r="K989" t="s">
        <v>1177</v>
      </c>
      <c r="M989" t="str">
        <f t="shared" si="201"/>
        <v>Vukotic_2010</v>
      </c>
      <c r="N989" t="s">
        <v>223</v>
      </c>
      <c r="O989" s="145" t="s">
        <v>1156</v>
      </c>
      <c r="Q989" t="s">
        <v>257</v>
      </c>
      <c r="R989" s="271" t="s">
        <v>275</v>
      </c>
      <c r="S989" s="1" t="s">
        <v>1178</v>
      </c>
      <c r="T989" t="s">
        <v>1179</v>
      </c>
      <c r="U989" t="s">
        <v>1184</v>
      </c>
      <c r="V989">
        <v>0</v>
      </c>
      <c r="W989">
        <v>0</v>
      </c>
      <c r="X989">
        <v>0</v>
      </c>
      <c r="Y989">
        <v>0</v>
      </c>
      <c r="Z989">
        <v>0</v>
      </c>
      <c r="AA989">
        <v>0</v>
      </c>
      <c r="AB989">
        <v>0</v>
      </c>
      <c r="AC989">
        <v>0</v>
      </c>
      <c r="AD989">
        <v>0</v>
      </c>
      <c r="AE989">
        <v>0</v>
      </c>
      <c r="AF989">
        <v>0</v>
      </c>
      <c r="AG989">
        <v>0</v>
      </c>
      <c r="AH989">
        <v>0</v>
      </c>
      <c r="AI989">
        <v>0</v>
      </c>
      <c r="AJ989">
        <v>0</v>
      </c>
      <c r="AK989">
        <v>1</v>
      </c>
      <c r="AL989">
        <v>0</v>
      </c>
      <c r="AM989">
        <v>0</v>
      </c>
      <c r="AN989">
        <v>0</v>
      </c>
      <c r="AO989">
        <v>0</v>
      </c>
      <c r="AP989">
        <v>0</v>
      </c>
      <c r="AQ989">
        <v>0</v>
      </c>
      <c r="AR989">
        <v>0</v>
      </c>
      <c r="AS989">
        <v>0</v>
      </c>
      <c r="AT989">
        <v>0</v>
      </c>
      <c r="AU989">
        <v>0</v>
      </c>
      <c r="AV989">
        <v>0</v>
      </c>
      <c r="AW989">
        <v>0</v>
      </c>
      <c r="AX989" s="141">
        <f t="shared" si="213"/>
        <v>1</v>
      </c>
      <c r="AY989" s="141">
        <f t="shared" si="235"/>
        <v>1</v>
      </c>
      <c r="AZ989">
        <f t="shared" si="236"/>
        <v>0</v>
      </c>
      <c r="BA989">
        <f t="shared" si="237"/>
        <v>0</v>
      </c>
      <c r="BB989">
        <f t="shared" si="238"/>
        <v>1</v>
      </c>
      <c r="BC989">
        <f t="shared" si="239"/>
        <v>0</v>
      </c>
      <c r="BD989">
        <f t="shared" si="240"/>
        <v>0</v>
      </c>
      <c r="BE989" t="str">
        <f t="array" ref="BE989">IF(AY989=1,INDEX($V$7:$AL$7,MATCH(TRUE,INDEX($V989:$AW989&lt;&gt;0,),0)),IF(AY989=0,INDEX($AM$7:$AW$7,MATCH(1,$AM989:$AW989,0)),IF(BF989="Multiple strategies","mixed drivers",IF(BF989="Supply chain","multiple supply","multiple silviculture"))))</f>
        <v>technologies/design switch</v>
      </c>
      <c r="BF989" s="2" t="str" cm="1">
        <f t="array" ref="BF989">IF(COUNTIF(AZ989:BB989,"&lt;&gt;0")=1,INDEX($V$4:$AW$4,MATCH(TRUE,INDEX($V989:$AW989&lt;&gt;0,),0)),IF(COUNTIF(AZ989:BB989,"&lt;&gt;0")=0,INDEX($AM$4:$AW$4,MATCH(1,$AM989:$AW989,0)),"Multiple strategies"))</f>
        <v>Technology</v>
      </c>
      <c r="BG989" s="1" t="s">
        <v>230</v>
      </c>
      <c r="BH989" t="s">
        <v>1181</v>
      </c>
      <c r="BJ989" t="s">
        <v>1182</v>
      </c>
      <c r="BK989">
        <v>0</v>
      </c>
      <c r="BL989">
        <v>0.27407407407407408</v>
      </c>
      <c r="BM989" s="143" t="e">
        <f>BL989/BK989</f>
        <v>#DIV/0!</v>
      </c>
      <c r="BN989">
        <f t="shared" si="222"/>
        <v>0.27407407407407408</v>
      </c>
      <c r="BO989">
        <f t="shared" si="234"/>
        <v>0.55933484504913078</v>
      </c>
      <c r="BP989" t="s">
        <v>233</v>
      </c>
      <c r="BR989" t="s">
        <v>1183</v>
      </c>
      <c r="BS989">
        <v>-272.77999999999997</v>
      </c>
      <c r="BT989">
        <v>-221.89</v>
      </c>
      <c r="BU989" s="144">
        <f t="shared" si="231"/>
        <v>0.81343940171566831</v>
      </c>
      <c r="BV989" s="144">
        <f t="shared" si="232"/>
        <v>50.889999999999986</v>
      </c>
      <c r="BW989" s="144"/>
      <c r="BX989" s="144">
        <f>BV989*0.001</f>
        <v>5.0889999999999991E-2</v>
      </c>
      <c r="BY989">
        <f t="shared" si="241"/>
        <v>9.0983067567567549E-2</v>
      </c>
      <c r="BZ989">
        <v>0</v>
      </c>
      <c r="CA989">
        <v>0</v>
      </c>
      <c r="CB989">
        <v>0</v>
      </c>
      <c r="CC989">
        <v>0</v>
      </c>
      <c r="CD989">
        <v>0</v>
      </c>
      <c r="CE989">
        <v>0</v>
      </c>
      <c r="CF989">
        <v>0</v>
      </c>
      <c r="CG989">
        <v>0</v>
      </c>
      <c r="CH989">
        <v>0</v>
      </c>
      <c r="CI989">
        <v>0</v>
      </c>
      <c r="CJ989">
        <v>0</v>
      </c>
      <c r="CK989">
        <v>0</v>
      </c>
      <c r="CL989">
        <v>0</v>
      </c>
      <c r="CM989">
        <v>0</v>
      </c>
      <c r="CN989" t="str">
        <f t="shared" si="233"/>
        <v>refOK</v>
      </c>
      <c r="CO989">
        <f>IF($CN989="refOK",$BK989,$BL989)</f>
        <v>0</v>
      </c>
      <c r="CP989">
        <f>IF($CN989="refOK",$BL989,$BK989)</f>
        <v>0.27407407407407408</v>
      </c>
      <c r="CQ989">
        <f t="shared" si="221"/>
        <v>0.55933484504913078</v>
      </c>
      <c r="CR989">
        <f t="shared" si="210"/>
        <v>-272.77999999999997</v>
      </c>
      <c r="CS989">
        <f t="shared" si="220"/>
        <v>-221.89</v>
      </c>
      <c r="CT989">
        <f t="shared" si="214"/>
        <v>5.0889999999999991E-2</v>
      </c>
      <c r="CU989">
        <f t="shared" si="204"/>
        <v>9.0983067567567549E-2</v>
      </c>
      <c r="CV989" s="2">
        <f t="shared" si="215"/>
        <v>0.18656059828433166</v>
      </c>
      <c r="CW989" s="1" t="s">
        <v>264</v>
      </c>
      <c r="CX989" t="str">
        <f t="shared" si="242"/>
        <v>loc</v>
      </c>
      <c r="CY989" t="s">
        <v>600</v>
      </c>
      <c r="DB989">
        <v>60</v>
      </c>
      <c r="DC989" t="str">
        <f t="shared" si="243"/>
        <v>31-70</v>
      </c>
      <c r="DD989">
        <v>0</v>
      </c>
      <c r="DE989">
        <v>0</v>
      </c>
      <c r="DF989">
        <v>0</v>
      </c>
      <c r="DG989">
        <v>1</v>
      </c>
      <c r="DI989">
        <f t="shared" si="230"/>
        <v>1</v>
      </c>
      <c r="DJ989" t="str">
        <f t="shared" si="203"/>
        <v>TimberInput</v>
      </c>
      <c r="DK989">
        <f t="shared" si="223"/>
        <v>0</v>
      </c>
      <c r="DL989">
        <f t="shared" si="224"/>
        <v>0</v>
      </c>
      <c r="DM989">
        <f t="shared" si="225"/>
        <v>0</v>
      </c>
      <c r="DN989" t="str">
        <f t="shared" si="226"/>
        <v>Timber</v>
      </c>
      <c r="DO989">
        <v>1</v>
      </c>
      <c r="DP989">
        <v>0</v>
      </c>
      <c r="DQ989">
        <v>0</v>
      </c>
      <c r="DR989">
        <v>0</v>
      </c>
      <c r="DS989">
        <v>0</v>
      </c>
      <c r="DT989">
        <f t="shared" si="212"/>
        <v>1</v>
      </c>
      <c r="DU989" s="143" t="str">
        <f t="shared" si="245"/>
        <v>self-calculated DF</v>
      </c>
      <c r="DV989">
        <v>0</v>
      </c>
      <c r="DW989">
        <v>0</v>
      </c>
      <c r="DX989">
        <v>0</v>
      </c>
      <c r="DY989">
        <v>0</v>
      </c>
      <c r="DZ989">
        <v>0</v>
      </c>
      <c r="EA989" s="143">
        <v>0</v>
      </c>
      <c r="EB989">
        <v>0</v>
      </c>
      <c r="EC989">
        <v>1</v>
      </c>
      <c r="ED989">
        <v>1</v>
      </c>
      <c r="EE989">
        <v>0</v>
      </c>
      <c r="EF989">
        <v>0</v>
      </c>
      <c r="EG989">
        <v>0</v>
      </c>
      <c r="EH989">
        <v>0</v>
      </c>
      <c r="EI989" s="2">
        <v>0</v>
      </c>
      <c r="EK989" t="str">
        <f t="shared" si="227"/>
        <v/>
      </c>
      <c r="EL989" t="str">
        <f t="shared" si="228"/>
        <v/>
      </c>
      <c r="EM989" s="2" t="str">
        <f t="shared" si="244"/>
        <v>Technology approach</v>
      </c>
      <c r="EP989" t="str">
        <f>IF(ISNUMBER(BU989),IF(ABS(BU989-[3]QC_indicators!$B$2)&gt;3*[3]QC_indicators!$C$2,"C ratio",IF(ISNUMBER(BY989),IF(ABS(BY989-[3]QC_indicators!$B$1)&gt;3*[3]QC_indicators!$C$1,"DF","no"))),IF(ISNUMBER(BY989),IF(ABS(BY989-[3]QC_indicators!$B$1)&gt;3*[3]QC_indicators!$C$1,"DF","no")))</f>
        <v>no</v>
      </c>
      <c r="ET989" s="266" t="s">
        <v>3265</v>
      </c>
    </row>
    <row r="990" spans="1:151" ht="15" hidden="1" customHeight="1">
      <c r="A990" s="1" t="s">
        <v>1170</v>
      </c>
      <c r="B990" t="s">
        <v>1171</v>
      </c>
      <c r="C990" t="s">
        <v>1172</v>
      </c>
      <c r="D990" t="s">
        <v>1173</v>
      </c>
      <c r="E990" t="s">
        <v>1174</v>
      </c>
      <c r="F990" t="s">
        <v>1175</v>
      </c>
      <c r="G990" t="s">
        <v>1176</v>
      </c>
      <c r="H990" t="s">
        <v>255</v>
      </c>
      <c r="I990">
        <v>2010</v>
      </c>
      <c r="J990">
        <v>51</v>
      </c>
      <c r="K990" t="s">
        <v>1177</v>
      </c>
      <c r="M990" t="str">
        <f t="shared" si="201"/>
        <v>Vukotic_2010</v>
      </c>
      <c r="N990" t="s">
        <v>223</v>
      </c>
      <c r="O990" s="145" t="s">
        <v>1156</v>
      </c>
      <c r="Q990" t="s">
        <v>257</v>
      </c>
      <c r="R990" s="271" t="s">
        <v>275</v>
      </c>
      <c r="S990" s="1" t="s">
        <v>1178</v>
      </c>
      <c r="T990" t="s">
        <v>1179</v>
      </c>
      <c r="U990" t="s">
        <v>1184</v>
      </c>
      <c r="V990">
        <v>0</v>
      </c>
      <c r="W990">
        <v>0</v>
      </c>
      <c r="X990">
        <v>0</v>
      </c>
      <c r="Y990">
        <v>0</v>
      </c>
      <c r="Z990">
        <v>0</v>
      </c>
      <c r="AA990">
        <v>0</v>
      </c>
      <c r="AB990">
        <v>0</v>
      </c>
      <c r="AC990">
        <v>0</v>
      </c>
      <c r="AD990">
        <v>0</v>
      </c>
      <c r="AE990">
        <v>0</v>
      </c>
      <c r="AF990">
        <v>0</v>
      </c>
      <c r="AG990">
        <v>0</v>
      </c>
      <c r="AH990">
        <v>0</v>
      </c>
      <c r="AI990">
        <v>0</v>
      </c>
      <c r="AJ990">
        <v>0</v>
      </c>
      <c r="AK990">
        <v>1</v>
      </c>
      <c r="AL990">
        <v>0</v>
      </c>
      <c r="AM990">
        <v>0</v>
      </c>
      <c r="AN990">
        <v>0</v>
      </c>
      <c r="AO990">
        <v>0</v>
      </c>
      <c r="AP990">
        <v>0</v>
      </c>
      <c r="AQ990">
        <v>0</v>
      </c>
      <c r="AR990">
        <v>0</v>
      </c>
      <c r="AS990">
        <v>0</v>
      </c>
      <c r="AT990">
        <v>0</v>
      </c>
      <c r="AU990">
        <v>0</v>
      </c>
      <c r="AV990">
        <v>0</v>
      </c>
      <c r="AW990">
        <v>0</v>
      </c>
      <c r="AX990" s="141">
        <f t="shared" si="213"/>
        <v>1</v>
      </c>
      <c r="AY990" s="141">
        <f t="shared" si="235"/>
        <v>1</v>
      </c>
      <c r="AZ990">
        <f t="shared" si="236"/>
        <v>0</v>
      </c>
      <c r="BA990">
        <f t="shared" si="237"/>
        <v>0</v>
      </c>
      <c r="BB990">
        <f t="shared" si="238"/>
        <v>1</v>
      </c>
      <c r="BC990">
        <f t="shared" si="239"/>
        <v>0</v>
      </c>
      <c r="BD990">
        <f t="shared" si="240"/>
        <v>0</v>
      </c>
      <c r="BE990" t="str">
        <f t="array" ref="BE990">IF(AY990=1,INDEX($V$7:$AL$7,MATCH(TRUE,INDEX($V990:$AW990&lt;&gt;0,),0)),IF(AY990=0,INDEX($AM$7:$AW$7,MATCH(1,$AM990:$AW990,0)),IF(BF990="Multiple strategies","mixed drivers",IF(BF990="Supply chain","multiple supply","multiple silviculture"))))</f>
        <v>technologies/design switch</v>
      </c>
      <c r="BF990" s="2" t="str" cm="1">
        <f t="array" ref="BF990">IF(COUNTIF(AZ990:BB990,"&lt;&gt;0")=1,INDEX($V$4:$AW$4,MATCH(TRUE,INDEX($V990:$AW990&lt;&gt;0,),0)),IF(COUNTIF(AZ990:BB990,"&lt;&gt;0")=0,INDEX($AM$4:$AW$4,MATCH(1,$AM990:$AW990,0)),"Multiple strategies"))</f>
        <v>Technology</v>
      </c>
      <c r="BG990" s="1" t="s">
        <v>230</v>
      </c>
      <c r="BH990" t="s">
        <v>1181</v>
      </c>
      <c r="BJ990" t="s">
        <v>1182</v>
      </c>
      <c r="BK990">
        <v>0</v>
      </c>
      <c r="BL990">
        <v>0.27407407407407408</v>
      </c>
      <c r="BM990" s="143" t="e">
        <f>BL990/BK990</f>
        <v>#DIV/0!</v>
      </c>
      <c r="BN990">
        <f t="shared" si="222"/>
        <v>0.27407407407407408</v>
      </c>
      <c r="BO990">
        <f t="shared" si="234"/>
        <v>0.55933484504913078</v>
      </c>
      <c r="BP990" t="s">
        <v>233</v>
      </c>
      <c r="BR990" t="s">
        <v>1183</v>
      </c>
      <c r="BS990">
        <v>-218.80999999999995</v>
      </c>
      <c r="BT990">
        <v>-128.52999999999997</v>
      </c>
      <c r="BU990" s="144">
        <f t="shared" si="231"/>
        <v>0.58740459759608799</v>
      </c>
      <c r="BV990" s="144">
        <f t="shared" si="232"/>
        <v>90.279999999999973</v>
      </c>
      <c r="BW990" s="144"/>
      <c r="BX990" s="144">
        <f>BV990*0.001</f>
        <v>9.0279999999999971E-2</v>
      </c>
      <c r="BY990">
        <f t="shared" si="241"/>
        <v>0.16140599999999994</v>
      </c>
      <c r="BZ990">
        <v>0</v>
      </c>
      <c r="CA990">
        <v>0</v>
      </c>
      <c r="CB990">
        <v>0</v>
      </c>
      <c r="CC990">
        <v>0</v>
      </c>
      <c r="CD990">
        <v>0</v>
      </c>
      <c r="CE990">
        <v>0</v>
      </c>
      <c r="CF990">
        <v>0</v>
      </c>
      <c r="CG990">
        <v>0</v>
      </c>
      <c r="CH990">
        <v>0</v>
      </c>
      <c r="CI990">
        <v>0</v>
      </c>
      <c r="CJ990">
        <v>0</v>
      </c>
      <c r="CK990">
        <v>0</v>
      </c>
      <c r="CL990">
        <v>0</v>
      </c>
      <c r="CM990">
        <v>0</v>
      </c>
      <c r="CN990" t="str">
        <f t="shared" si="233"/>
        <v>refOK</v>
      </c>
      <c r="CO990">
        <f>IF($CN990="refOK",$BK990,$BL990)</f>
        <v>0</v>
      </c>
      <c r="CP990">
        <f>IF($CN990="refOK",$BL990,$BK990)</f>
        <v>0.27407407407407408</v>
      </c>
      <c r="CQ990">
        <f t="shared" si="221"/>
        <v>0.55933484504913078</v>
      </c>
      <c r="CR990">
        <f t="shared" si="210"/>
        <v>-218.80999999999995</v>
      </c>
      <c r="CS990">
        <f t="shared" si="220"/>
        <v>-128.52999999999997</v>
      </c>
      <c r="CT990">
        <f t="shared" si="214"/>
        <v>9.0279999999999971E-2</v>
      </c>
      <c r="CU990">
        <f t="shared" si="204"/>
        <v>0.16140599999999994</v>
      </c>
      <c r="CV990" s="2">
        <f t="shared" si="215"/>
        <v>0.41259540240391207</v>
      </c>
      <c r="CW990" s="1" t="s">
        <v>264</v>
      </c>
      <c r="CX990" t="str">
        <f t="shared" si="242"/>
        <v>loc</v>
      </c>
      <c r="CY990" t="s">
        <v>600</v>
      </c>
      <c r="DB990">
        <v>60</v>
      </c>
      <c r="DC990" t="str">
        <f t="shared" si="243"/>
        <v>31-70</v>
      </c>
      <c r="DD990">
        <v>0</v>
      </c>
      <c r="DE990">
        <v>0</v>
      </c>
      <c r="DF990">
        <v>0</v>
      </c>
      <c r="DG990">
        <v>1</v>
      </c>
      <c r="DI990">
        <f t="shared" si="230"/>
        <v>1</v>
      </c>
      <c r="DJ990" t="str">
        <f t="shared" si="203"/>
        <v>TimberInput</v>
      </c>
      <c r="DK990">
        <f t="shared" si="223"/>
        <v>0</v>
      </c>
      <c r="DL990">
        <f t="shared" si="224"/>
        <v>0</v>
      </c>
      <c r="DM990">
        <f t="shared" si="225"/>
        <v>0</v>
      </c>
      <c r="DN990" t="str">
        <f t="shared" si="226"/>
        <v>Timber</v>
      </c>
      <c r="DO990">
        <v>1</v>
      </c>
      <c r="DP990">
        <v>0</v>
      </c>
      <c r="DQ990">
        <v>0</v>
      </c>
      <c r="DR990">
        <v>0</v>
      </c>
      <c r="DS990">
        <v>0</v>
      </c>
      <c r="DT990">
        <f t="shared" si="212"/>
        <v>1</v>
      </c>
      <c r="DU990" s="143" t="str">
        <f t="shared" si="245"/>
        <v>self-calculated DF</v>
      </c>
      <c r="DV990">
        <v>0</v>
      </c>
      <c r="DW990">
        <v>0</v>
      </c>
      <c r="DX990">
        <v>0</v>
      </c>
      <c r="DY990">
        <v>0</v>
      </c>
      <c r="DZ990">
        <v>0</v>
      </c>
      <c r="EA990" s="143">
        <v>1</v>
      </c>
      <c r="EB990">
        <v>0</v>
      </c>
      <c r="EC990">
        <v>1</v>
      </c>
      <c r="ED990">
        <v>1</v>
      </c>
      <c r="EE990">
        <v>1</v>
      </c>
      <c r="EF990">
        <v>0</v>
      </c>
      <c r="EG990">
        <v>0</v>
      </c>
      <c r="EH990">
        <v>0</v>
      </c>
      <c r="EI990" s="2">
        <v>0</v>
      </c>
      <c r="EK990" t="str">
        <f t="shared" si="227"/>
        <v/>
      </c>
      <c r="EL990" t="str">
        <f t="shared" si="228"/>
        <v/>
      </c>
      <c r="EM990" s="2" t="str">
        <f t="shared" si="244"/>
        <v>Technology approach</v>
      </c>
      <c r="EP990" t="str">
        <f>IF(ISNUMBER(BU990),IF(ABS(BU990-[3]QC_indicators!$B$2)&gt;3*[3]QC_indicators!$C$2,"C ratio",IF(ISNUMBER(BY990),IF(ABS(BY990-[3]QC_indicators!$B$1)&gt;3*[3]QC_indicators!$C$1,"DF","no"))),IF(ISNUMBER(BY990),IF(ABS(BY990-[3]QC_indicators!$B$1)&gt;3*[3]QC_indicators!$C$1,"DF","no")))</f>
        <v>no</v>
      </c>
      <c r="ET990" s="266" t="s">
        <v>3265</v>
      </c>
    </row>
    <row r="991" spans="1:151" ht="15" hidden="1" customHeight="1">
      <c r="A991" s="1" t="s">
        <v>616</v>
      </c>
      <c r="B991" t="s">
        <v>1721</v>
      </c>
      <c r="C991" t="s">
        <v>1722</v>
      </c>
      <c r="D991" t="s">
        <v>1723</v>
      </c>
      <c r="E991" t="s">
        <v>1724</v>
      </c>
      <c r="F991" t="s">
        <v>1725</v>
      </c>
      <c r="G991" t="s">
        <v>622</v>
      </c>
      <c r="H991" t="s">
        <v>255</v>
      </c>
      <c r="I991">
        <v>2021</v>
      </c>
      <c r="J991">
        <v>2</v>
      </c>
      <c r="K991" t="s">
        <v>1726</v>
      </c>
      <c r="M991" t="str">
        <f t="shared" si="201"/>
        <v>Hawkins_2021</v>
      </c>
      <c r="N991" t="s">
        <v>223</v>
      </c>
      <c r="O991" s="145" t="s">
        <v>514</v>
      </c>
      <c r="Q991" t="s">
        <v>257</v>
      </c>
      <c r="R991" s="2" t="s">
        <v>275</v>
      </c>
      <c r="S991" s="1" t="s">
        <v>1730</v>
      </c>
      <c r="T991" t="s">
        <v>1728</v>
      </c>
      <c r="U991" t="s">
        <v>1729</v>
      </c>
      <c r="V991">
        <v>0</v>
      </c>
      <c r="W991">
        <v>0</v>
      </c>
      <c r="X991">
        <v>0</v>
      </c>
      <c r="Y991">
        <v>0</v>
      </c>
      <c r="Z991">
        <v>0</v>
      </c>
      <c r="AA991">
        <v>0</v>
      </c>
      <c r="AB991">
        <v>0</v>
      </c>
      <c r="AC991">
        <v>0</v>
      </c>
      <c r="AD991">
        <v>0</v>
      </c>
      <c r="AE991">
        <v>0</v>
      </c>
      <c r="AF991">
        <v>0</v>
      </c>
      <c r="AG991">
        <v>0</v>
      </c>
      <c r="AH991">
        <v>0</v>
      </c>
      <c r="AI991">
        <v>0</v>
      </c>
      <c r="AJ991">
        <v>0</v>
      </c>
      <c r="AK991">
        <v>0</v>
      </c>
      <c r="AL991">
        <v>1</v>
      </c>
      <c r="AM991">
        <v>0</v>
      </c>
      <c r="AN991">
        <v>0</v>
      </c>
      <c r="AO991">
        <v>0</v>
      </c>
      <c r="AP991">
        <v>0</v>
      </c>
      <c r="AQ991">
        <v>0</v>
      </c>
      <c r="AR991">
        <v>0</v>
      </c>
      <c r="AS991">
        <v>0</v>
      </c>
      <c r="AT991">
        <v>0</v>
      </c>
      <c r="AU991">
        <v>0</v>
      </c>
      <c r="AV991">
        <v>0</v>
      </c>
      <c r="AW991">
        <v>0</v>
      </c>
      <c r="AX991" s="141">
        <f t="shared" si="213"/>
        <v>1</v>
      </c>
      <c r="AY991" s="141">
        <f t="shared" si="235"/>
        <v>1</v>
      </c>
      <c r="AZ991">
        <f t="shared" si="236"/>
        <v>0</v>
      </c>
      <c r="BA991">
        <f t="shared" si="237"/>
        <v>0</v>
      </c>
      <c r="BB991">
        <f t="shared" si="238"/>
        <v>1</v>
      </c>
      <c r="BC991">
        <f t="shared" si="239"/>
        <v>0</v>
      </c>
      <c r="BD991">
        <f t="shared" si="240"/>
        <v>0</v>
      </c>
      <c r="BE991" t="str">
        <f t="array" ref="BE991">IF(AY991=1,INDEX($V$7:$AL$7,MATCH(TRUE,INDEX($V991:$AW991&lt;&gt;0,),0)),IF(AY991=0,INDEX($AM$7:$AW$7,MATCH(1,$AM991:$AW991,0)),IF(BF991="Multiple strategies","mixed drivers",IF(BF991="Supply chain","multiple supply","multiple silviculture"))))</f>
        <v>CCS</v>
      </c>
      <c r="BF991" s="2" t="str" cm="1">
        <f t="array" ref="BF991">IF(COUNTIF(AZ991:BB991,"&lt;&gt;0")=1,INDEX($V$4:$AW$4,MATCH(TRUE,INDEX($V991:$AW991&lt;&gt;0,),0)),IF(COUNTIF(AZ991:BB991,"&lt;&gt;0")=0,INDEX($AM$4:$AW$4,MATCH(1,$AM991:$AW991,0)),"Multiple strategies"))</f>
        <v>Technology</v>
      </c>
      <c r="BG991" s="1" t="s">
        <v>230</v>
      </c>
      <c r="BH991" t="s">
        <v>230</v>
      </c>
      <c r="BJ991" t="s">
        <v>758</v>
      </c>
      <c r="BK991">
        <v>1105.3</v>
      </c>
      <c r="BL991">
        <v>1105.3</v>
      </c>
      <c r="BN991">
        <f t="shared" si="222"/>
        <v>0</v>
      </c>
      <c r="BO991">
        <f t="shared" si="234"/>
        <v>0</v>
      </c>
      <c r="BP991" t="s">
        <v>233</v>
      </c>
      <c r="BQ991" s="266" t="s">
        <v>3263</v>
      </c>
      <c r="BR991" t="s">
        <v>730</v>
      </c>
      <c r="BS991" s="179">
        <v>10200</v>
      </c>
      <c r="BT991" s="179">
        <v>10200</v>
      </c>
      <c r="BU991" s="144">
        <f t="shared" si="231"/>
        <v>1</v>
      </c>
      <c r="BV991" s="179">
        <f t="shared" si="232"/>
        <v>0</v>
      </c>
      <c r="BW991" s="179"/>
      <c r="BX991">
        <f t="shared" ref="BX991:BX996" si="246">BV991/1000</f>
        <v>0</v>
      </c>
      <c r="BY991" t="str">
        <f t="shared" si="241"/>
        <v/>
      </c>
      <c r="BZ991">
        <v>0</v>
      </c>
      <c r="CA991">
        <v>1</v>
      </c>
      <c r="CB991">
        <v>0</v>
      </c>
      <c r="CC991">
        <v>1</v>
      </c>
      <c r="CD991">
        <v>0</v>
      </c>
      <c r="CE991">
        <v>0</v>
      </c>
      <c r="CF991">
        <v>0</v>
      </c>
      <c r="CG991">
        <v>1</v>
      </c>
      <c r="CH991">
        <v>0</v>
      </c>
      <c r="CI991">
        <v>0</v>
      </c>
      <c r="CJ991">
        <v>0</v>
      </c>
      <c r="CK991">
        <v>0</v>
      </c>
      <c r="CL991">
        <v>0</v>
      </c>
      <c r="CM991">
        <v>0</v>
      </c>
      <c r="CN991" t="str">
        <f t="shared" si="233"/>
        <v>refOK</v>
      </c>
      <c r="CO991">
        <f t="shared" ref="CO991:CO996" si="247">IF($CN991="refNeedCorrection",BL991,BK991)</f>
        <v>1105.3</v>
      </c>
      <c r="CP991">
        <f t="shared" ref="CP991:CP996" si="248">IF($CN991="refNeedCorrection",BK991,BL991)</f>
        <v>1105.3</v>
      </c>
      <c r="CQ991">
        <f t="shared" si="221"/>
        <v>0</v>
      </c>
      <c r="CR991">
        <f t="shared" si="210"/>
        <v>10200</v>
      </c>
      <c r="CS991">
        <f t="shared" si="220"/>
        <v>10200</v>
      </c>
      <c r="CT991">
        <f t="shared" si="214"/>
        <v>0</v>
      </c>
      <c r="CU991" t="str">
        <f t="shared" si="204"/>
        <v/>
      </c>
      <c r="CV991" s="2">
        <f t="shared" si="215"/>
        <v>0</v>
      </c>
      <c r="CW991" s="1" t="s">
        <v>1205</v>
      </c>
      <c r="CX991" t="str">
        <f t="shared" si="242"/>
        <v>reg</v>
      </c>
      <c r="CY991" t="s">
        <v>600</v>
      </c>
      <c r="DB991">
        <v>35</v>
      </c>
      <c r="DC991" t="str">
        <f t="shared" si="243"/>
        <v>31-70</v>
      </c>
      <c r="DD991">
        <v>0</v>
      </c>
      <c r="DE991">
        <v>0</v>
      </c>
      <c r="DF991">
        <v>0</v>
      </c>
      <c r="DG991">
        <v>1</v>
      </c>
      <c r="DI991">
        <f t="shared" si="230"/>
        <v>1</v>
      </c>
      <c r="DJ991" t="str">
        <f t="shared" si="203"/>
        <v>TimberInput</v>
      </c>
      <c r="DK991">
        <f t="shared" si="223"/>
        <v>0</v>
      </c>
      <c r="DL991">
        <f t="shared" si="224"/>
        <v>0</v>
      </c>
      <c r="DM991">
        <f t="shared" si="225"/>
        <v>0</v>
      </c>
      <c r="DN991" t="str">
        <f t="shared" si="226"/>
        <v>Timber</v>
      </c>
      <c r="DO991">
        <v>0</v>
      </c>
      <c r="DP991">
        <v>0</v>
      </c>
      <c r="DQ991">
        <v>0</v>
      </c>
      <c r="DR991">
        <v>0</v>
      </c>
      <c r="DS991">
        <v>0</v>
      </c>
      <c r="DT991">
        <f t="shared" si="212"/>
        <v>0</v>
      </c>
      <c r="DU991" s="143" t="str">
        <f t="shared" si="245"/>
        <v>explicit C balance</v>
      </c>
      <c r="DV991">
        <v>0</v>
      </c>
      <c r="DW991">
        <v>0</v>
      </c>
      <c r="DX991">
        <v>0</v>
      </c>
      <c r="DY991">
        <v>1</v>
      </c>
      <c r="DZ991">
        <v>0</v>
      </c>
      <c r="EA991" s="143">
        <v>0</v>
      </c>
      <c r="EB991">
        <v>1</v>
      </c>
      <c r="EC991">
        <v>1</v>
      </c>
      <c r="ED991">
        <v>1</v>
      </c>
      <c r="EE991">
        <v>1</v>
      </c>
      <c r="EF991">
        <v>1</v>
      </c>
      <c r="EG991">
        <v>1</v>
      </c>
      <c r="EH991">
        <v>0</v>
      </c>
      <c r="EI991" s="2">
        <v>0</v>
      </c>
      <c r="EK991" t="str">
        <f t="shared" si="227"/>
        <v/>
      </c>
      <c r="EL991" t="str">
        <f t="shared" si="228"/>
        <v/>
      </c>
      <c r="EM991" s="2" t="str">
        <f t="shared" si="244"/>
        <v>Technology approach</v>
      </c>
      <c r="EP991" t="b">
        <f>IF(ISNUMBER(BU991),IF(ABS(BU991-[3]QC_indicators!$B$2)&gt;3*[3]QC_indicators!$C$2,"C ratio",IF(ISNUMBER(BY991),IF(ABS(BY991-[3]QC_indicators!$B$1)&gt;3*[3]QC_indicators!$C$1,"DF","no"))),IF(ISNUMBER(BY991),IF(ABS(BY991-[3]QC_indicators!$B$1)&gt;3*[3]QC_indicators!$C$1,"DF","no")))</f>
        <v>0</v>
      </c>
      <c r="ET991" s="266" t="s">
        <v>3153</v>
      </c>
    </row>
    <row r="992" spans="1:151" ht="15" hidden="1" customHeight="1">
      <c r="A992" s="1" t="s">
        <v>616</v>
      </c>
      <c r="B992" t="s">
        <v>1721</v>
      </c>
      <c r="C992" t="s">
        <v>1722</v>
      </c>
      <c r="D992" t="s">
        <v>1723</v>
      </c>
      <c r="E992" t="s">
        <v>1724</v>
      </c>
      <c r="F992" t="s">
        <v>1725</v>
      </c>
      <c r="G992" t="s">
        <v>622</v>
      </c>
      <c r="H992" t="s">
        <v>255</v>
      </c>
      <c r="I992">
        <v>2021</v>
      </c>
      <c r="J992">
        <v>2</v>
      </c>
      <c r="K992" t="s">
        <v>1726</v>
      </c>
      <c r="M992" t="str">
        <f t="shared" si="201"/>
        <v>Hawkins_2021</v>
      </c>
      <c r="N992" t="s">
        <v>223</v>
      </c>
      <c r="O992" s="145" t="s">
        <v>514</v>
      </c>
      <c r="Q992" t="s">
        <v>257</v>
      </c>
      <c r="R992" s="2" t="s">
        <v>275</v>
      </c>
      <c r="S992" s="1" t="s">
        <v>1740</v>
      </c>
      <c r="T992" t="s">
        <v>1046</v>
      </c>
      <c r="U992" t="s">
        <v>1728</v>
      </c>
      <c r="V992">
        <v>0</v>
      </c>
      <c r="W992">
        <v>0</v>
      </c>
      <c r="X992">
        <v>0</v>
      </c>
      <c r="Y992">
        <v>0</v>
      </c>
      <c r="Z992">
        <v>0</v>
      </c>
      <c r="AA992">
        <v>0</v>
      </c>
      <c r="AB992">
        <v>0</v>
      </c>
      <c r="AC992">
        <v>0</v>
      </c>
      <c r="AD992">
        <v>0</v>
      </c>
      <c r="AE992">
        <v>0</v>
      </c>
      <c r="AF992">
        <v>0</v>
      </c>
      <c r="AG992">
        <v>0</v>
      </c>
      <c r="AH992">
        <v>0</v>
      </c>
      <c r="AI992">
        <v>0</v>
      </c>
      <c r="AJ992">
        <v>0</v>
      </c>
      <c r="AK992">
        <v>1</v>
      </c>
      <c r="AL992">
        <v>0</v>
      </c>
      <c r="AM992">
        <v>0</v>
      </c>
      <c r="AN992">
        <v>0</v>
      </c>
      <c r="AO992">
        <v>0</v>
      </c>
      <c r="AP992">
        <v>0</v>
      </c>
      <c r="AQ992">
        <v>0</v>
      </c>
      <c r="AR992">
        <v>0</v>
      </c>
      <c r="AS992">
        <v>0</v>
      </c>
      <c r="AT992">
        <v>0</v>
      </c>
      <c r="AU992">
        <v>0</v>
      </c>
      <c r="AV992">
        <v>0</v>
      </c>
      <c r="AW992">
        <v>0</v>
      </c>
      <c r="AX992" s="141">
        <f t="shared" si="213"/>
        <v>1</v>
      </c>
      <c r="AY992" s="141">
        <f t="shared" si="235"/>
        <v>1</v>
      </c>
      <c r="AZ992">
        <f t="shared" si="236"/>
        <v>0</v>
      </c>
      <c r="BA992">
        <f t="shared" si="237"/>
        <v>0</v>
      </c>
      <c r="BB992">
        <f t="shared" si="238"/>
        <v>1</v>
      </c>
      <c r="BC992">
        <f t="shared" si="239"/>
        <v>0</v>
      </c>
      <c r="BD992">
        <f t="shared" si="240"/>
        <v>0</v>
      </c>
      <c r="BE992" t="str">
        <f t="array" ref="BE992">IF(AY992=1,INDEX($V$7:$AL$7,MATCH(TRUE,INDEX($V992:$AW992&lt;&gt;0,),0)),IF(AY992=0,INDEX($AM$7:$AW$7,MATCH(1,$AM992:$AW992,0)),IF(BF992="Multiple strategies","mixed drivers",IF(BF992="Supply chain","multiple supply","multiple silviculture"))))</f>
        <v>technologies/design switch</v>
      </c>
      <c r="BF992" s="2" t="str" cm="1">
        <f t="array" ref="BF992">IF(COUNTIF(AZ992:BB992,"&lt;&gt;0")=1,INDEX($V$4:$AW$4,MATCH(TRUE,INDEX($V992:$AW992&lt;&gt;0,),0)),IF(COUNTIF(AZ992:BB992,"&lt;&gt;0")=0,INDEX($AM$4:$AW$4,MATCH(1,$AM992:$AW992,0)),"Multiple strategies"))</f>
        <v>Technology</v>
      </c>
      <c r="BG992" s="1" t="s">
        <v>230</v>
      </c>
      <c r="BH992" t="s">
        <v>230</v>
      </c>
      <c r="BJ992" t="s">
        <v>758</v>
      </c>
      <c r="BK992">
        <v>0</v>
      </c>
      <c r="BL992">
        <v>1105.3</v>
      </c>
      <c r="BN992">
        <f t="shared" si="222"/>
        <v>1105.3</v>
      </c>
      <c r="BO992">
        <f t="shared" si="234"/>
        <v>2255.7142857142858</v>
      </c>
      <c r="BP992" t="s">
        <v>233</v>
      </c>
      <c r="BQ992" s="266" t="s">
        <v>3263</v>
      </c>
      <c r="BR992" t="s">
        <v>730</v>
      </c>
      <c r="BS992" s="179">
        <v>-1250000</v>
      </c>
      <c r="BT992" s="179">
        <v>10200</v>
      </c>
      <c r="BU992" s="144">
        <f t="shared" si="231"/>
        <v>-8.1600000000000006E-3</v>
      </c>
      <c r="BV992" s="179">
        <f t="shared" si="232"/>
        <v>1260200</v>
      </c>
      <c r="BW992" s="179"/>
      <c r="BX992">
        <f t="shared" si="246"/>
        <v>1260.2</v>
      </c>
      <c r="BY992">
        <f t="shared" si="241"/>
        <v>0.55867004433185563</v>
      </c>
      <c r="BZ992">
        <v>0</v>
      </c>
      <c r="CA992">
        <v>1</v>
      </c>
      <c r="CB992">
        <v>0</v>
      </c>
      <c r="CC992">
        <v>1</v>
      </c>
      <c r="CD992">
        <v>0</v>
      </c>
      <c r="CE992">
        <v>0</v>
      </c>
      <c r="CF992">
        <v>0</v>
      </c>
      <c r="CG992">
        <v>1</v>
      </c>
      <c r="CH992">
        <v>0</v>
      </c>
      <c r="CI992">
        <v>0</v>
      </c>
      <c r="CJ992">
        <v>0</v>
      </c>
      <c r="CK992">
        <v>0</v>
      </c>
      <c r="CL992">
        <v>0</v>
      </c>
      <c r="CM992">
        <v>0</v>
      </c>
      <c r="CN992" t="str">
        <f t="shared" si="233"/>
        <v>refOK</v>
      </c>
      <c r="CO992">
        <f t="shared" si="247"/>
        <v>0</v>
      </c>
      <c r="CP992">
        <f t="shared" si="248"/>
        <v>1105.3</v>
      </c>
      <c r="CQ992">
        <f t="shared" si="221"/>
        <v>2255.7142857142858</v>
      </c>
      <c r="CR992" s="275">
        <f t="shared" si="210"/>
        <v>-1250000</v>
      </c>
      <c r="CS992" s="275">
        <f t="shared" si="220"/>
        <v>10200</v>
      </c>
      <c r="CT992">
        <f t="shared" si="214"/>
        <v>1260.2</v>
      </c>
      <c r="CU992">
        <f t="shared" si="204"/>
        <v>0.55867004433185563</v>
      </c>
      <c r="CV992" s="2">
        <f t="shared" si="215"/>
        <v>1.0081599999999999</v>
      </c>
      <c r="CW992" s="1" t="s">
        <v>1205</v>
      </c>
      <c r="CX992" t="str">
        <f t="shared" si="242"/>
        <v>reg</v>
      </c>
      <c r="CY992" t="s">
        <v>600</v>
      </c>
      <c r="DB992">
        <v>35</v>
      </c>
      <c r="DC992" t="str">
        <f t="shared" si="243"/>
        <v>31-70</v>
      </c>
      <c r="DD992">
        <v>0</v>
      </c>
      <c r="DE992">
        <v>0</v>
      </c>
      <c r="DF992">
        <v>0</v>
      </c>
      <c r="DG992">
        <v>1</v>
      </c>
      <c r="DI992">
        <f t="shared" si="230"/>
        <v>1</v>
      </c>
      <c r="DJ992" t="str">
        <f t="shared" si="203"/>
        <v>TimberInput</v>
      </c>
      <c r="DK992">
        <f t="shared" si="223"/>
        <v>0</v>
      </c>
      <c r="DL992">
        <f t="shared" si="224"/>
        <v>0</v>
      </c>
      <c r="DM992">
        <f t="shared" si="225"/>
        <v>0</v>
      </c>
      <c r="DN992" t="str">
        <f t="shared" si="226"/>
        <v>Timber</v>
      </c>
      <c r="DO992">
        <v>0</v>
      </c>
      <c r="DP992">
        <v>0</v>
      </c>
      <c r="DQ992">
        <v>0</v>
      </c>
      <c r="DR992">
        <v>0</v>
      </c>
      <c r="DS992">
        <v>0</v>
      </c>
      <c r="DT992">
        <f t="shared" si="212"/>
        <v>0</v>
      </c>
      <c r="DU992" s="143" t="str">
        <f t="shared" si="245"/>
        <v>explicit C balance</v>
      </c>
      <c r="DV992">
        <v>0</v>
      </c>
      <c r="DW992">
        <v>0</v>
      </c>
      <c r="DX992">
        <v>0</v>
      </c>
      <c r="DY992">
        <v>1</v>
      </c>
      <c r="DZ992">
        <v>0</v>
      </c>
      <c r="EA992" s="143">
        <v>0</v>
      </c>
      <c r="EB992">
        <v>1</v>
      </c>
      <c r="EC992">
        <v>1</v>
      </c>
      <c r="ED992">
        <v>1</v>
      </c>
      <c r="EE992">
        <v>1</v>
      </c>
      <c r="EF992">
        <v>1</v>
      </c>
      <c r="EG992">
        <v>1</v>
      </c>
      <c r="EH992">
        <v>0</v>
      </c>
      <c r="EI992" s="2">
        <v>0</v>
      </c>
      <c r="EK992" t="str">
        <f t="shared" si="227"/>
        <v/>
      </c>
      <c r="EL992" t="str">
        <f t="shared" si="228"/>
        <v/>
      </c>
      <c r="EM992" s="2" t="str">
        <f t="shared" si="244"/>
        <v>Technology approach</v>
      </c>
      <c r="EP992" t="str">
        <f>IF(ISNUMBER(BU992),IF(ABS(BU992-[3]QC_indicators!$B$2)&gt;3*[3]QC_indicators!$C$2,"C ratio",IF(ISNUMBER(BY992),IF(ABS(BY992-[3]QC_indicators!$B$1)&gt;3*[3]QC_indicators!$C$1,"DF","no"))),IF(ISNUMBER(BY992),IF(ABS(BY992-[3]QC_indicators!$B$1)&gt;3*[3]QC_indicators!$C$1,"DF","no")))</f>
        <v>no</v>
      </c>
      <c r="ET992" s="266" t="s">
        <v>3153</v>
      </c>
      <c r="EU992" s="266"/>
    </row>
    <row r="993" spans="1:151" ht="15" hidden="1" customHeight="1">
      <c r="A993" s="1" t="s">
        <v>616</v>
      </c>
      <c r="B993" t="s">
        <v>1721</v>
      </c>
      <c r="C993" t="s">
        <v>1722</v>
      </c>
      <c r="D993" t="s">
        <v>1723</v>
      </c>
      <c r="E993" t="s">
        <v>1724</v>
      </c>
      <c r="F993" t="s">
        <v>1725</v>
      </c>
      <c r="G993" t="s">
        <v>622</v>
      </c>
      <c r="H993" t="s">
        <v>255</v>
      </c>
      <c r="I993">
        <v>2021</v>
      </c>
      <c r="J993">
        <v>2</v>
      </c>
      <c r="K993" t="s">
        <v>1726</v>
      </c>
      <c r="M993" t="str">
        <f t="shared" si="201"/>
        <v>Hawkins_2021</v>
      </c>
      <c r="N993" t="s">
        <v>223</v>
      </c>
      <c r="O993" s="145" t="s">
        <v>514</v>
      </c>
      <c r="Q993" t="s">
        <v>257</v>
      </c>
      <c r="R993" s="2" t="s">
        <v>275</v>
      </c>
      <c r="S993" s="1" t="s">
        <v>1742</v>
      </c>
      <c r="T993" t="s">
        <v>667</v>
      </c>
      <c r="U993" t="s">
        <v>1728</v>
      </c>
      <c r="V993">
        <v>0</v>
      </c>
      <c r="W993">
        <v>0</v>
      </c>
      <c r="X993">
        <v>0</v>
      </c>
      <c r="Y993">
        <v>0</v>
      </c>
      <c r="Z993">
        <v>0</v>
      </c>
      <c r="AA993">
        <v>0</v>
      </c>
      <c r="AB993">
        <v>0</v>
      </c>
      <c r="AC993">
        <v>0</v>
      </c>
      <c r="AD993">
        <v>0</v>
      </c>
      <c r="AE993">
        <v>0</v>
      </c>
      <c r="AF993">
        <v>0</v>
      </c>
      <c r="AG993">
        <v>0</v>
      </c>
      <c r="AH993">
        <v>0</v>
      </c>
      <c r="AI993">
        <v>0</v>
      </c>
      <c r="AJ993">
        <v>0</v>
      </c>
      <c r="AK993">
        <v>1</v>
      </c>
      <c r="AL993">
        <v>0</v>
      </c>
      <c r="AM993">
        <v>0</v>
      </c>
      <c r="AN993">
        <v>0</v>
      </c>
      <c r="AO993">
        <v>0</v>
      </c>
      <c r="AP993">
        <v>0</v>
      </c>
      <c r="AQ993">
        <v>0</v>
      </c>
      <c r="AR993">
        <v>0</v>
      </c>
      <c r="AS993">
        <v>0</v>
      </c>
      <c r="AT993">
        <v>0</v>
      </c>
      <c r="AU993">
        <v>0</v>
      </c>
      <c r="AV993">
        <v>0</v>
      </c>
      <c r="AW993">
        <v>0</v>
      </c>
      <c r="AX993" s="141">
        <f t="shared" si="213"/>
        <v>1</v>
      </c>
      <c r="AY993" s="141">
        <f t="shared" si="235"/>
        <v>1</v>
      </c>
      <c r="AZ993">
        <f t="shared" si="236"/>
        <v>0</v>
      </c>
      <c r="BA993">
        <f t="shared" si="237"/>
        <v>0</v>
      </c>
      <c r="BB993">
        <f t="shared" si="238"/>
        <v>1</v>
      </c>
      <c r="BC993">
        <f t="shared" si="239"/>
        <v>0</v>
      </c>
      <c r="BD993">
        <f t="shared" si="240"/>
        <v>0</v>
      </c>
      <c r="BE993" t="str">
        <f t="array" ref="BE993">IF(AY993=1,INDEX($V$7:$AL$7,MATCH(TRUE,INDEX($V993:$AW993&lt;&gt;0,),0)),IF(AY993=0,INDEX($AM$7:$AW$7,MATCH(1,$AM993:$AW993,0)),IF(BF993="Multiple strategies","mixed drivers",IF(BF993="Supply chain","multiple supply","multiple silviculture"))))</f>
        <v>technologies/design switch</v>
      </c>
      <c r="BF993" s="2" t="str" cm="1">
        <f t="array" ref="BF993">IF(COUNTIF(AZ993:BB993,"&lt;&gt;0")=1,INDEX($V$4:$AW$4,MATCH(TRUE,INDEX($V993:$AW993&lt;&gt;0,),0)),IF(COUNTIF(AZ993:BB993,"&lt;&gt;0")=0,INDEX($AM$4:$AW$4,MATCH(1,$AM993:$AW993,0)),"Multiple strategies"))</f>
        <v>Technology</v>
      </c>
      <c r="BG993" s="1" t="s">
        <v>230</v>
      </c>
      <c r="BH993" t="s">
        <v>230</v>
      </c>
      <c r="BJ993" t="s">
        <v>758</v>
      </c>
      <c r="BK993">
        <v>0</v>
      </c>
      <c r="BL993">
        <v>1105.3</v>
      </c>
      <c r="BN993">
        <f t="shared" si="222"/>
        <v>1105.3</v>
      </c>
      <c r="BO993">
        <f t="shared" si="234"/>
        <v>2255.7142857142858</v>
      </c>
      <c r="BP993" t="s">
        <v>233</v>
      </c>
      <c r="BQ993" s="266" t="s">
        <v>3263</v>
      </c>
      <c r="BR993" t="s">
        <v>730</v>
      </c>
      <c r="BS993" s="179">
        <v>-1580000</v>
      </c>
      <c r="BT993" s="179">
        <v>10200</v>
      </c>
      <c r="BU993" s="144">
        <f t="shared" si="231"/>
        <v>-6.4556962025316455E-3</v>
      </c>
      <c r="BV993" s="179">
        <f t="shared" si="232"/>
        <v>1590200</v>
      </c>
      <c r="BW993" s="179"/>
      <c r="BX993">
        <f t="shared" si="246"/>
        <v>1590.2</v>
      </c>
      <c r="BY993">
        <f t="shared" si="241"/>
        <v>0.7049651678277391</v>
      </c>
      <c r="BZ993">
        <v>0</v>
      </c>
      <c r="CA993">
        <v>1</v>
      </c>
      <c r="CB993">
        <v>0</v>
      </c>
      <c r="CC993">
        <v>1</v>
      </c>
      <c r="CD993">
        <v>0</v>
      </c>
      <c r="CE993">
        <v>0</v>
      </c>
      <c r="CF993">
        <v>0</v>
      </c>
      <c r="CG993">
        <v>1</v>
      </c>
      <c r="CH993">
        <v>0</v>
      </c>
      <c r="CI993">
        <v>0</v>
      </c>
      <c r="CJ993">
        <v>0</v>
      </c>
      <c r="CK993">
        <v>0</v>
      </c>
      <c r="CL993">
        <v>0</v>
      </c>
      <c r="CM993">
        <v>0</v>
      </c>
      <c r="CN993" t="str">
        <f t="shared" si="233"/>
        <v>refOK</v>
      </c>
      <c r="CO993">
        <f t="shared" si="247"/>
        <v>0</v>
      </c>
      <c r="CP993">
        <f t="shared" si="248"/>
        <v>1105.3</v>
      </c>
      <c r="CQ993">
        <f t="shared" si="221"/>
        <v>2255.7142857142858</v>
      </c>
      <c r="CR993" s="275">
        <f t="shared" si="210"/>
        <v>-1580000</v>
      </c>
      <c r="CS993" s="275">
        <f t="shared" si="220"/>
        <v>10200</v>
      </c>
      <c r="CT993">
        <f t="shared" si="214"/>
        <v>1590.2</v>
      </c>
      <c r="CU993">
        <f t="shared" si="204"/>
        <v>0.7049651678277391</v>
      </c>
      <c r="CV993" s="2">
        <f t="shared" si="215"/>
        <v>1.0064556962025317</v>
      </c>
      <c r="CW993" s="1" t="s">
        <v>1205</v>
      </c>
      <c r="CX993" t="str">
        <f t="shared" si="242"/>
        <v>reg</v>
      </c>
      <c r="CY993" t="s">
        <v>600</v>
      </c>
      <c r="DB993">
        <v>35</v>
      </c>
      <c r="DC993" t="str">
        <f t="shared" si="243"/>
        <v>31-70</v>
      </c>
      <c r="DD993">
        <v>0</v>
      </c>
      <c r="DE993">
        <v>0</v>
      </c>
      <c r="DF993">
        <v>0</v>
      </c>
      <c r="DG993">
        <v>1</v>
      </c>
      <c r="DI993">
        <f t="shared" si="230"/>
        <v>1</v>
      </c>
      <c r="DJ993" t="str">
        <f t="shared" si="203"/>
        <v>TimberInput</v>
      </c>
      <c r="DK993">
        <f t="shared" si="223"/>
        <v>0</v>
      </c>
      <c r="DL993">
        <f t="shared" si="224"/>
        <v>0</v>
      </c>
      <c r="DM993">
        <f t="shared" si="225"/>
        <v>0</v>
      </c>
      <c r="DN993" t="str">
        <f t="shared" si="226"/>
        <v>Timber</v>
      </c>
      <c r="DO993">
        <v>0</v>
      </c>
      <c r="DP993">
        <v>0</v>
      </c>
      <c r="DQ993">
        <v>0</v>
      </c>
      <c r="DR993">
        <v>0</v>
      </c>
      <c r="DS993">
        <v>0</v>
      </c>
      <c r="DT993">
        <f t="shared" si="212"/>
        <v>0</v>
      </c>
      <c r="DU993" s="143" t="str">
        <f t="shared" si="245"/>
        <v>explicit C balance</v>
      </c>
      <c r="DV993">
        <v>0</v>
      </c>
      <c r="DW993">
        <v>0</v>
      </c>
      <c r="DX993">
        <v>0</v>
      </c>
      <c r="DY993">
        <v>1</v>
      </c>
      <c r="DZ993">
        <v>0</v>
      </c>
      <c r="EA993" s="143">
        <v>0</v>
      </c>
      <c r="EB993">
        <v>1</v>
      </c>
      <c r="EC993">
        <v>1</v>
      </c>
      <c r="ED993">
        <v>1</v>
      </c>
      <c r="EE993">
        <v>1</v>
      </c>
      <c r="EF993">
        <v>1</v>
      </c>
      <c r="EG993">
        <v>1</v>
      </c>
      <c r="EH993">
        <v>0</v>
      </c>
      <c r="EI993" s="2">
        <v>0</v>
      </c>
      <c r="EK993" t="str">
        <f t="shared" si="227"/>
        <v/>
      </c>
      <c r="EL993" t="str">
        <f t="shared" si="228"/>
        <v/>
      </c>
      <c r="EM993" s="2" t="str">
        <f t="shared" si="244"/>
        <v>Technology approach</v>
      </c>
      <c r="EP993" t="str">
        <f>IF(ISNUMBER(BU993),IF(ABS(BU993-[3]QC_indicators!$B$2)&gt;3*[3]QC_indicators!$C$2,"C ratio",IF(ISNUMBER(BY993),IF(ABS(BY993-[3]QC_indicators!$B$1)&gt;3*[3]QC_indicators!$C$1,"DF","no"))),IF(ISNUMBER(BY993),IF(ABS(BY993-[3]QC_indicators!$B$1)&gt;3*[3]QC_indicators!$C$1,"DF","no")))</f>
        <v>no</v>
      </c>
      <c r="ET993" s="266" t="s">
        <v>3153</v>
      </c>
      <c r="EU993" s="266"/>
    </row>
    <row r="994" spans="1:151" ht="15" hidden="1" customHeight="1">
      <c r="A994" s="1" t="s">
        <v>616</v>
      </c>
      <c r="B994" t="s">
        <v>1721</v>
      </c>
      <c r="C994" t="s">
        <v>1722</v>
      </c>
      <c r="D994" t="s">
        <v>1723</v>
      </c>
      <c r="E994" t="s">
        <v>1724</v>
      </c>
      <c r="F994" t="s">
        <v>1725</v>
      </c>
      <c r="G994" t="s">
        <v>622</v>
      </c>
      <c r="H994" t="s">
        <v>255</v>
      </c>
      <c r="I994">
        <v>2021</v>
      </c>
      <c r="J994">
        <v>2</v>
      </c>
      <c r="K994" t="s">
        <v>1726</v>
      </c>
      <c r="M994" t="str">
        <f t="shared" si="201"/>
        <v>Hawkins_2021</v>
      </c>
      <c r="N994" t="s">
        <v>223</v>
      </c>
      <c r="O994" s="145" t="s">
        <v>514</v>
      </c>
      <c r="Q994" t="s">
        <v>257</v>
      </c>
      <c r="R994" s="2" t="s">
        <v>275</v>
      </c>
      <c r="S994" s="1" t="s">
        <v>1731</v>
      </c>
      <c r="T994" t="s">
        <v>1728</v>
      </c>
      <c r="U994" t="s">
        <v>1729</v>
      </c>
      <c r="V994">
        <v>0</v>
      </c>
      <c r="W994">
        <v>0</v>
      </c>
      <c r="X994">
        <v>0</v>
      </c>
      <c r="Y994">
        <v>0</v>
      </c>
      <c r="Z994">
        <v>0</v>
      </c>
      <c r="AA994">
        <v>0</v>
      </c>
      <c r="AB994">
        <v>0</v>
      </c>
      <c r="AC994">
        <v>0</v>
      </c>
      <c r="AD994">
        <v>0</v>
      </c>
      <c r="AE994">
        <v>0</v>
      </c>
      <c r="AF994">
        <v>0</v>
      </c>
      <c r="AG994">
        <v>0</v>
      </c>
      <c r="AH994">
        <v>0</v>
      </c>
      <c r="AI994">
        <v>0</v>
      </c>
      <c r="AJ994">
        <v>0</v>
      </c>
      <c r="AK994">
        <v>0</v>
      </c>
      <c r="AL994">
        <v>1</v>
      </c>
      <c r="AM994">
        <v>0</v>
      </c>
      <c r="AN994">
        <v>0</v>
      </c>
      <c r="AO994">
        <v>0</v>
      </c>
      <c r="AP994">
        <v>0</v>
      </c>
      <c r="AQ994">
        <v>0</v>
      </c>
      <c r="AR994">
        <v>0</v>
      </c>
      <c r="AS994">
        <v>0</v>
      </c>
      <c r="AT994">
        <v>0</v>
      </c>
      <c r="AU994">
        <v>0</v>
      </c>
      <c r="AV994">
        <v>0</v>
      </c>
      <c r="AW994">
        <v>0</v>
      </c>
      <c r="AX994" s="141">
        <f t="shared" si="213"/>
        <v>1</v>
      </c>
      <c r="AY994" s="141">
        <f t="shared" si="235"/>
        <v>1</v>
      </c>
      <c r="AZ994">
        <f t="shared" si="236"/>
        <v>0</v>
      </c>
      <c r="BA994">
        <f t="shared" si="237"/>
        <v>0</v>
      </c>
      <c r="BB994">
        <f t="shared" si="238"/>
        <v>1</v>
      </c>
      <c r="BC994">
        <f t="shared" si="239"/>
        <v>0</v>
      </c>
      <c r="BD994">
        <f t="shared" si="240"/>
        <v>0</v>
      </c>
      <c r="BE994" t="str">
        <f t="array" ref="BE994">IF(AY994=1,INDEX($V$7:$AL$7,MATCH(TRUE,INDEX($V994:$AW994&lt;&gt;0,),0)),IF(AY994=0,INDEX($AM$7:$AW$7,MATCH(1,$AM994:$AW994,0)),IF(BF994="Multiple strategies","mixed drivers",IF(BF994="Supply chain","multiple supply","multiple silviculture"))))</f>
        <v>CCS</v>
      </c>
      <c r="BF994" s="2" t="str" cm="1">
        <f t="array" ref="BF994">IF(COUNTIF(AZ994:BB994,"&lt;&gt;0")=1,INDEX($V$4:$AW$4,MATCH(TRUE,INDEX($V994:$AW994&lt;&gt;0,),0)),IF(COUNTIF(AZ994:BB994,"&lt;&gt;0")=0,INDEX($AM$4:$AW$4,MATCH(1,$AM994:$AW994,0)),"Multiple strategies"))</f>
        <v>Technology</v>
      </c>
      <c r="BG994" s="1" t="s">
        <v>230</v>
      </c>
      <c r="BH994" t="s">
        <v>230</v>
      </c>
      <c r="BJ994" t="s">
        <v>758</v>
      </c>
      <c r="BK994">
        <v>1105.3</v>
      </c>
      <c r="BL994">
        <v>1105.3</v>
      </c>
      <c r="BN994">
        <f t="shared" si="222"/>
        <v>0</v>
      </c>
      <c r="BO994">
        <f t="shared" si="234"/>
        <v>0</v>
      </c>
      <c r="BP994" t="s">
        <v>233</v>
      </c>
      <c r="BQ994" s="266" t="s">
        <v>3263</v>
      </c>
      <c r="BR994" t="s">
        <v>730</v>
      </c>
      <c r="BS994" s="179">
        <v>-1310000</v>
      </c>
      <c r="BT994" s="179">
        <v>-1310000</v>
      </c>
      <c r="BU994" s="144">
        <f t="shared" si="231"/>
        <v>1</v>
      </c>
      <c r="BV994" s="179">
        <f t="shared" si="232"/>
        <v>0</v>
      </c>
      <c r="BW994" s="179"/>
      <c r="BX994">
        <f t="shared" si="246"/>
        <v>0</v>
      </c>
      <c r="BY994" t="str">
        <f t="shared" si="241"/>
        <v/>
      </c>
      <c r="BZ994">
        <v>0</v>
      </c>
      <c r="CA994">
        <v>1</v>
      </c>
      <c r="CB994">
        <v>0</v>
      </c>
      <c r="CC994">
        <v>1</v>
      </c>
      <c r="CD994">
        <v>0</v>
      </c>
      <c r="CE994">
        <v>0</v>
      </c>
      <c r="CF994">
        <v>0</v>
      </c>
      <c r="CG994">
        <v>1</v>
      </c>
      <c r="CH994">
        <v>0</v>
      </c>
      <c r="CI994">
        <v>0</v>
      </c>
      <c r="CJ994">
        <v>0</v>
      </c>
      <c r="CK994">
        <v>0</v>
      </c>
      <c r="CL994">
        <v>0</v>
      </c>
      <c r="CM994">
        <v>0</v>
      </c>
      <c r="CN994" t="str">
        <f t="shared" si="233"/>
        <v>refOK</v>
      </c>
      <c r="CO994">
        <f t="shared" si="247"/>
        <v>1105.3</v>
      </c>
      <c r="CP994">
        <f t="shared" si="248"/>
        <v>1105.3</v>
      </c>
      <c r="CQ994">
        <f t="shared" si="221"/>
        <v>0</v>
      </c>
      <c r="CR994">
        <f t="shared" si="210"/>
        <v>-1310000</v>
      </c>
      <c r="CS994">
        <f t="shared" ref="CS994:CS1030" si="249">IF($CN994="refOK",$BT994,$BS994)*IF($BP994="Emissions positive",-1,1)</f>
        <v>-1310000</v>
      </c>
      <c r="CT994">
        <f t="shared" si="214"/>
        <v>0</v>
      </c>
      <c r="CU994" t="str">
        <f t="shared" si="204"/>
        <v/>
      </c>
      <c r="CV994" s="2">
        <f t="shared" si="215"/>
        <v>0</v>
      </c>
      <c r="CW994" s="1" t="s">
        <v>1205</v>
      </c>
      <c r="CX994" t="str">
        <f t="shared" si="242"/>
        <v>reg</v>
      </c>
      <c r="CY994" t="s">
        <v>600</v>
      </c>
      <c r="DB994">
        <v>2</v>
      </c>
      <c r="DC994" t="str">
        <f t="shared" si="243"/>
        <v>1-30</v>
      </c>
      <c r="DD994">
        <v>0</v>
      </c>
      <c r="DE994">
        <v>0</v>
      </c>
      <c r="DF994">
        <v>0</v>
      </c>
      <c r="DG994">
        <v>1</v>
      </c>
      <c r="DI994">
        <f t="shared" si="230"/>
        <v>1</v>
      </c>
      <c r="DJ994" t="str">
        <f t="shared" si="203"/>
        <v>TimberInput</v>
      </c>
      <c r="DK994">
        <f t="shared" si="223"/>
        <v>0</v>
      </c>
      <c r="DL994">
        <f t="shared" si="224"/>
        <v>0</v>
      </c>
      <c r="DM994">
        <f t="shared" si="225"/>
        <v>0</v>
      </c>
      <c r="DN994" t="str">
        <f t="shared" si="226"/>
        <v>Timber</v>
      </c>
      <c r="DO994">
        <v>0</v>
      </c>
      <c r="DP994">
        <v>0</v>
      </c>
      <c r="DQ994">
        <v>0</v>
      </c>
      <c r="DR994">
        <v>0</v>
      </c>
      <c r="DS994">
        <v>0</v>
      </c>
      <c r="DT994">
        <f t="shared" si="212"/>
        <v>0</v>
      </c>
      <c r="DU994" s="143" t="str">
        <f t="shared" si="245"/>
        <v>explicit C balance</v>
      </c>
      <c r="DV994">
        <v>0</v>
      </c>
      <c r="DW994">
        <v>0</v>
      </c>
      <c r="DX994">
        <v>0</v>
      </c>
      <c r="DY994">
        <v>1</v>
      </c>
      <c r="DZ994">
        <v>0</v>
      </c>
      <c r="EA994" s="143">
        <v>0</v>
      </c>
      <c r="EB994">
        <v>1</v>
      </c>
      <c r="EC994">
        <v>1</v>
      </c>
      <c r="ED994">
        <v>1</v>
      </c>
      <c r="EE994">
        <v>1</v>
      </c>
      <c r="EF994">
        <v>1</v>
      </c>
      <c r="EG994">
        <v>1</v>
      </c>
      <c r="EH994">
        <v>0</v>
      </c>
      <c r="EI994" s="2">
        <v>0</v>
      </c>
      <c r="EK994" t="str">
        <f t="shared" si="227"/>
        <v/>
      </c>
      <c r="EL994" t="str">
        <f t="shared" si="228"/>
        <v/>
      </c>
      <c r="EM994" s="2" t="str">
        <f t="shared" si="244"/>
        <v>Technology approach</v>
      </c>
      <c r="EP994" t="b">
        <f>IF(ISNUMBER(BU994),IF(ABS(BU994-[3]QC_indicators!$B$2)&gt;3*[3]QC_indicators!$C$2,"C ratio",IF(ISNUMBER(BY994),IF(ABS(BY994-[3]QC_indicators!$B$1)&gt;3*[3]QC_indicators!$C$1,"DF","no"))),IF(ISNUMBER(BY994),IF(ABS(BY994-[3]QC_indicators!$B$1)&gt;3*[3]QC_indicators!$C$1,"DF","no")))</f>
        <v>0</v>
      </c>
      <c r="ET994" s="266" t="s">
        <v>3153</v>
      </c>
    </row>
    <row r="995" spans="1:151" ht="15" hidden="1" customHeight="1">
      <c r="A995" s="1" t="s">
        <v>616</v>
      </c>
      <c r="B995" t="s">
        <v>1721</v>
      </c>
      <c r="C995" t="s">
        <v>1722</v>
      </c>
      <c r="D995" t="s">
        <v>1723</v>
      </c>
      <c r="E995" t="s">
        <v>1724</v>
      </c>
      <c r="F995" t="s">
        <v>1725</v>
      </c>
      <c r="G995" t="s">
        <v>622</v>
      </c>
      <c r="H995" t="s">
        <v>255</v>
      </c>
      <c r="I995">
        <v>2021</v>
      </c>
      <c r="J995">
        <v>2</v>
      </c>
      <c r="K995" t="s">
        <v>1726</v>
      </c>
      <c r="M995" t="str">
        <f t="shared" si="201"/>
        <v>Hawkins_2021</v>
      </c>
      <c r="N995" t="s">
        <v>223</v>
      </c>
      <c r="O995" s="145" t="s">
        <v>514</v>
      </c>
      <c r="Q995" t="s">
        <v>257</v>
      </c>
      <c r="R995" s="2" t="s">
        <v>275</v>
      </c>
      <c r="S995" s="1" t="s">
        <v>1739</v>
      </c>
      <c r="T995" t="s">
        <v>1046</v>
      </c>
      <c r="U995" t="s">
        <v>1728</v>
      </c>
      <c r="V995">
        <v>0</v>
      </c>
      <c r="W995">
        <v>0</v>
      </c>
      <c r="X995">
        <v>0</v>
      </c>
      <c r="Y995">
        <v>0</v>
      </c>
      <c r="Z995">
        <v>0</v>
      </c>
      <c r="AA995">
        <v>0</v>
      </c>
      <c r="AB995">
        <v>0</v>
      </c>
      <c r="AC995">
        <v>0</v>
      </c>
      <c r="AD995">
        <v>0</v>
      </c>
      <c r="AE995">
        <v>0</v>
      </c>
      <c r="AF995">
        <v>0</v>
      </c>
      <c r="AG995">
        <v>0</v>
      </c>
      <c r="AH995">
        <v>0</v>
      </c>
      <c r="AI995">
        <v>0</v>
      </c>
      <c r="AJ995">
        <v>0</v>
      </c>
      <c r="AK995">
        <v>1</v>
      </c>
      <c r="AL995">
        <v>0</v>
      </c>
      <c r="AM995">
        <v>0</v>
      </c>
      <c r="AN995">
        <v>0</v>
      </c>
      <c r="AO995">
        <v>0</v>
      </c>
      <c r="AP995">
        <v>0</v>
      </c>
      <c r="AQ995">
        <v>0</v>
      </c>
      <c r="AR995">
        <v>0</v>
      </c>
      <c r="AS995">
        <v>0</v>
      </c>
      <c r="AT995">
        <v>0</v>
      </c>
      <c r="AU995">
        <v>0</v>
      </c>
      <c r="AV995">
        <v>0</v>
      </c>
      <c r="AW995">
        <v>0</v>
      </c>
      <c r="AX995" s="141">
        <f t="shared" si="213"/>
        <v>1</v>
      </c>
      <c r="AY995" s="141">
        <f t="shared" si="235"/>
        <v>1</v>
      </c>
      <c r="AZ995">
        <f t="shared" si="236"/>
        <v>0</v>
      </c>
      <c r="BA995">
        <f t="shared" si="237"/>
        <v>0</v>
      </c>
      <c r="BB995">
        <f t="shared" si="238"/>
        <v>1</v>
      </c>
      <c r="BC995">
        <f t="shared" si="239"/>
        <v>0</v>
      </c>
      <c r="BD995">
        <f t="shared" si="240"/>
        <v>0</v>
      </c>
      <c r="BE995" t="str">
        <f t="array" ref="BE995">IF(AY995=1,INDEX($V$7:$AL$7,MATCH(TRUE,INDEX($V995:$AW995&lt;&gt;0,),0)),IF(AY995=0,INDEX($AM$7:$AW$7,MATCH(1,$AM995:$AW995,0)),IF(BF995="Multiple strategies","mixed drivers",IF(BF995="Supply chain","multiple supply","multiple silviculture"))))</f>
        <v>technologies/design switch</v>
      </c>
      <c r="BF995" s="2" t="str" cm="1">
        <f t="array" ref="BF995">IF(COUNTIF(AZ995:BB995,"&lt;&gt;0")=1,INDEX($V$4:$AW$4,MATCH(TRUE,INDEX($V995:$AW995&lt;&gt;0,),0)),IF(COUNTIF(AZ995:BB995,"&lt;&gt;0")=0,INDEX($AM$4:$AW$4,MATCH(1,$AM995:$AW995,0)),"Multiple strategies"))</f>
        <v>Technology</v>
      </c>
      <c r="BG995" s="1" t="s">
        <v>230</v>
      </c>
      <c r="BH995" t="s">
        <v>230</v>
      </c>
      <c r="BJ995" t="s">
        <v>758</v>
      </c>
      <c r="BK995">
        <v>0</v>
      </c>
      <c r="BL995">
        <v>1105.3</v>
      </c>
      <c r="BN995">
        <f t="shared" si="222"/>
        <v>1105.3</v>
      </c>
      <c r="BO995">
        <f t="shared" si="234"/>
        <v>2255.7142857142858</v>
      </c>
      <c r="BP995" t="s">
        <v>233</v>
      </c>
      <c r="BQ995" s="266" t="s">
        <v>3263</v>
      </c>
      <c r="BR995" t="s">
        <v>730</v>
      </c>
      <c r="BS995" s="179">
        <v>-2200000</v>
      </c>
      <c r="BT995" s="179">
        <v>-1310000</v>
      </c>
      <c r="BU995" s="144">
        <f t="shared" si="231"/>
        <v>0.59545454545454546</v>
      </c>
      <c r="BV995" s="179">
        <f t="shared" si="232"/>
        <v>890000</v>
      </c>
      <c r="BW995" s="179"/>
      <c r="BX995">
        <f t="shared" si="246"/>
        <v>890</v>
      </c>
      <c r="BY995">
        <f t="shared" si="241"/>
        <v>0.39455351488283724</v>
      </c>
      <c r="BZ995">
        <v>0</v>
      </c>
      <c r="CA995">
        <v>1</v>
      </c>
      <c r="CB995">
        <v>0</v>
      </c>
      <c r="CC995">
        <v>1</v>
      </c>
      <c r="CD995">
        <v>0</v>
      </c>
      <c r="CE995">
        <v>0</v>
      </c>
      <c r="CF995">
        <v>0</v>
      </c>
      <c r="CG995">
        <v>1</v>
      </c>
      <c r="CH995">
        <v>0</v>
      </c>
      <c r="CI995">
        <v>0</v>
      </c>
      <c r="CJ995">
        <v>0</v>
      </c>
      <c r="CK995">
        <v>0</v>
      </c>
      <c r="CL995">
        <v>0</v>
      </c>
      <c r="CM995">
        <v>0</v>
      </c>
      <c r="CN995" t="str">
        <f t="shared" si="233"/>
        <v>refOK</v>
      </c>
      <c r="CO995">
        <f t="shared" si="247"/>
        <v>0</v>
      </c>
      <c r="CP995">
        <f t="shared" si="248"/>
        <v>1105.3</v>
      </c>
      <c r="CQ995">
        <f t="shared" si="221"/>
        <v>2255.7142857142858</v>
      </c>
      <c r="CR995" s="275">
        <f t="shared" si="210"/>
        <v>-2200000</v>
      </c>
      <c r="CS995" s="275">
        <f t="shared" si="249"/>
        <v>-1310000</v>
      </c>
      <c r="CT995">
        <f t="shared" si="214"/>
        <v>890</v>
      </c>
      <c r="CU995">
        <f t="shared" si="204"/>
        <v>0.39455351488283724</v>
      </c>
      <c r="CV995" s="2">
        <f t="shared" si="215"/>
        <v>0.40454545454545454</v>
      </c>
      <c r="CW995" s="1" t="s">
        <v>1205</v>
      </c>
      <c r="CX995" t="str">
        <f t="shared" si="242"/>
        <v>reg</v>
      </c>
      <c r="CY995" t="s">
        <v>600</v>
      </c>
      <c r="DB995">
        <v>2</v>
      </c>
      <c r="DC995" t="str">
        <f t="shared" si="243"/>
        <v>1-30</v>
      </c>
      <c r="DD995">
        <v>0</v>
      </c>
      <c r="DE995">
        <v>0</v>
      </c>
      <c r="DF995">
        <v>0</v>
      </c>
      <c r="DG995">
        <v>1</v>
      </c>
      <c r="DI995">
        <f t="shared" si="230"/>
        <v>1</v>
      </c>
      <c r="DJ995" t="str">
        <f t="shared" si="203"/>
        <v>TimberInput</v>
      </c>
      <c r="DK995">
        <f t="shared" si="223"/>
        <v>0</v>
      </c>
      <c r="DL995">
        <f t="shared" si="224"/>
        <v>0</v>
      </c>
      <c r="DM995">
        <f t="shared" si="225"/>
        <v>0</v>
      </c>
      <c r="DN995" t="str">
        <f t="shared" si="226"/>
        <v>Timber</v>
      </c>
      <c r="DO995">
        <v>0</v>
      </c>
      <c r="DP995">
        <v>0</v>
      </c>
      <c r="DQ995">
        <v>0</v>
      </c>
      <c r="DR995">
        <v>0</v>
      </c>
      <c r="DS995">
        <v>0</v>
      </c>
      <c r="DT995">
        <f t="shared" si="212"/>
        <v>0</v>
      </c>
      <c r="DU995" s="143" t="str">
        <f t="shared" si="245"/>
        <v>explicit C balance</v>
      </c>
      <c r="DV995">
        <v>0</v>
      </c>
      <c r="DW995">
        <v>0</v>
      </c>
      <c r="DX995">
        <v>0</v>
      </c>
      <c r="DY995">
        <v>1</v>
      </c>
      <c r="DZ995">
        <v>0</v>
      </c>
      <c r="EA995" s="143">
        <v>0</v>
      </c>
      <c r="EB995">
        <v>1</v>
      </c>
      <c r="EC995">
        <v>1</v>
      </c>
      <c r="ED995">
        <v>1</v>
      </c>
      <c r="EE995">
        <v>1</v>
      </c>
      <c r="EF995">
        <v>1</v>
      </c>
      <c r="EG995">
        <v>1</v>
      </c>
      <c r="EH995">
        <v>0</v>
      </c>
      <c r="EI995" s="2">
        <v>0</v>
      </c>
      <c r="EK995" t="str">
        <f t="shared" si="227"/>
        <v/>
      </c>
      <c r="EL995" t="str">
        <f t="shared" si="228"/>
        <v/>
      </c>
      <c r="EM995" s="2" t="str">
        <f t="shared" si="244"/>
        <v>Technology approach</v>
      </c>
      <c r="EP995" t="str">
        <f>IF(ISNUMBER(BU995),IF(ABS(BU995-[3]QC_indicators!$B$2)&gt;3*[3]QC_indicators!$C$2,"C ratio",IF(ISNUMBER(BY995),IF(ABS(BY995-[3]QC_indicators!$B$1)&gt;3*[3]QC_indicators!$C$1,"DF","no"))),IF(ISNUMBER(BY995),IF(ABS(BY995-[3]QC_indicators!$B$1)&gt;3*[3]QC_indicators!$C$1,"DF","no")))</f>
        <v>no</v>
      </c>
      <c r="ET995" s="266" t="s">
        <v>3153</v>
      </c>
      <c r="EU995" s="266"/>
    </row>
    <row r="996" spans="1:151" ht="15" hidden="1" customHeight="1">
      <c r="A996" s="1" t="s">
        <v>616</v>
      </c>
      <c r="B996" t="s">
        <v>1721</v>
      </c>
      <c r="C996" t="s">
        <v>1722</v>
      </c>
      <c r="D996" t="s">
        <v>1723</v>
      </c>
      <c r="E996" t="s">
        <v>1724</v>
      </c>
      <c r="F996" t="s">
        <v>1725</v>
      </c>
      <c r="G996" t="s">
        <v>622</v>
      </c>
      <c r="H996" t="s">
        <v>255</v>
      </c>
      <c r="I996">
        <v>2021</v>
      </c>
      <c r="J996">
        <v>2</v>
      </c>
      <c r="K996" t="s">
        <v>1726</v>
      </c>
      <c r="M996" t="str">
        <f t="shared" si="201"/>
        <v>Hawkins_2021</v>
      </c>
      <c r="N996" t="s">
        <v>223</v>
      </c>
      <c r="O996" s="145" t="s">
        <v>514</v>
      </c>
      <c r="Q996" t="s">
        <v>257</v>
      </c>
      <c r="R996" s="2" t="s">
        <v>275</v>
      </c>
      <c r="S996" s="1" t="s">
        <v>1741</v>
      </c>
      <c r="T996" t="s">
        <v>667</v>
      </c>
      <c r="U996" t="s">
        <v>1728</v>
      </c>
      <c r="V996">
        <v>0</v>
      </c>
      <c r="W996">
        <v>0</v>
      </c>
      <c r="X996">
        <v>0</v>
      </c>
      <c r="Y996">
        <v>0</v>
      </c>
      <c r="Z996">
        <v>0</v>
      </c>
      <c r="AA996">
        <v>0</v>
      </c>
      <c r="AB996">
        <v>0</v>
      </c>
      <c r="AC996">
        <v>0</v>
      </c>
      <c r="AD996">
        <v>0</v>
      </c>
      <c r="AE996">
        <v>0</v>
      </c>
      <c r="AF996">
        <v>0</v>
      </c>
      <c r="AG996">
        <v>0</v>
      </c>
      <c r="AH996">
        <v>0</v>
      </c>
      <c r="AI996">
        <v>0</v>
      </c>
      <c r="AJ996">
        <v>0</v>
      </c>
      <c r="AK996">
        <v>1</v>
      </c>
      <c r="AL996">
        <v>0</v>
      </c>
      <c r="AM996">
        <v>0</v>
      </c>
      <c r="AN996">
        <v>0</v>
      </c>
      <c r="AO996">
        <v>0</v>
      </c>
      <c r="AP996">
        <v>0</v>
      </c>
      <c r="AQ996">
        <v>0</v>
      </c>
      <c r="AR996">
        <v>0</v>
      </c>
      <c r="AS996">
        <v>0</v>
      </c>
      <c r="AT996">
        <v>0</v>
      </c>
      <c r="AU996">
        <v>0</v>
      </c>
      <c r="AV996">
        <v>0</v>
      </c>
      <c r="AW996">
        <v>0</v>
      </c>
      <c r="AX996" s="141">
        <f t="shared" si="213"/>
        <v>1</v>
      </c>
      <c r="AY996" s="141">
        <f t="shared" si="235"/>
        <v>1</v>
      </c>
      <c r="AZ996">
        <f t="shared" si="236"/>
        <v>0</v>
      </c>
      <c r="BA996">
        <f t="shared" si="237"/>
        <v>0</v>
      </c>
      <c r="BB996">
        <f t="shared" si="238"/>
        <v>1</v>
      </c>
      <c r="BC996">
        <f t="shared" si="239"/>
        <v>0</v>
      </c>
      <c r="BD996">
        <f t="shared" si="240"/>
        <v>0</v>
      </c>
      <c r="BE996" t="str">
        <f t="array" ref="BE996">IF(AY996=1,INDEX($V$7:$AL$7,MATCH(TRUE,INDEX($V996:$AW996&lt;&gt;0,),0)),IF(AY996=0,INDEX($AM$7:$AW$7,MATCH(1,$AM996:$AW996,0)),IF(BF996="Multiple strategies","mixed drivers",IF(BF996="Supply chain","multiple supply","multiple silviculture"))))</f>
        <v>technologies/design switch</v>
      </c>
      <c r="BF996" s="2" t="str" cm="1">
        <f t="array" ref="BF996">IF(COUNTIF(AZ996:BB996,"&lt;&gt;0")=1,INDEX($V$4:$AW$4,MATCH(TRUE,INDEX($V996:$AW996&lt;&gt;0,),0)),IF(COUNTIF(AZ996:BB996,"&lt;&gt;0")=0,INDEX($AM$4:$AW$4,MATCH(1,$AM996:$AW996,0)),"Multiple strategies"))</f>
        <v>Technology</v>
      </c>
      <c r="BG996" s="1" t="s">
        <v>230</v>
      </c>
      <c r="BH996" t="s">
        <v>230</v>
      </c>
      <c r="BJ996" t="s">
        <v>758</v>
      </c>
      <c r="BK996">
        <v>0</v>
      </c>
      <c r="BL996">
        <v>1105.3</v>
      </c>
      <c r="BN996">
        <f t="shared" si="222"/>
        <v>1105.3</v>
      </c>
      <c r="BO996">
        <f t="shared" si="234"/>
        <v>2255.7142857142858</v>
      </c>
      <c r="BP996" t="s">
        <v>233</v>
      </c>
      <c r="BQ996" s="266" t="s">
        <v>3263</v>
      </c>
      <c r="BR996" t="s">
        <v>730</v>
      </c>
      <c r="BS996" s="179">
        <v>-2790000</v>
      </c>
      <c r="BT996" s="179">
        <v>-1310000</v>
      </c>
      <c r="BU996" s="144">
        <f t="shared" si="231"/>
        <v>0.46953405017921146</v>
      </c>
      <c r="BV996" s="179">
        <f t="shared" si="232"/>
        <v>1480000</v>
      </c>
      <c r="BW996" s="179"/>
      <c r="BX996">
        <f t="shared" si="246"/>
        <v>1480</v>
      </c>
      <c r="BY996">
        <f t="shared" si="241"/>
        <v>0.6561114629512349</v>
      </c>
      <c r="BZ996">
        <v>0</v>
      </c>
      <c r="CA996">
        <v>1</v>
      </c>
      <c r="CB996">
        <v>0</v>
      </c>
      <c r="CC996">
        <v>1</v>
      </c>
      <c r="CD996">
        <v>0</v>
      </c>
      <c r="CE996">
        <v>0</v>
      </c>
      <c r="CF996">
        <v>0</v>
      </c>
      <c r="CG996">
        <v>1</v>
      </c>
      <c r="CH996">
        <v>0</v>
      </c>
      <c r="CI996">
        <v>0</v>
      </c>
      <c r="CJ996">
        <v>0</v>
      </c>
      <c r="CK996">
        <v>0</v>
      </c>
      <c r="CL996">
        <v>0</v>
      </c>
      <c r="CM996">
        <v>0</v>
      </c>
      <c r="CN996" t="str">
        <f t="shared" si="233"/>
        <v>refOK</v>
      </c>
      <c r="CO996">
        <f t="shared" si="247"/>
        <v>0</v>
      </c>
      <c r="CP996">
        <f t="shared" si="248"/>
        <v>1105.3</v>
      </c>
      <c r="CQ996">
        <f t="shared" si="221"/>
        <v>2255.7142857142858</v>
      </c>
      <c r="CR996" s="275">
        <f t="shared" si="210"/>
        <v>-2790000</v>
      </c>
      <c r="CS996" s="275">
        <f t="shared" si="249"/>
        <v>-1310000</v>
      </c>
      <c r="CT996">
        <f t="shared" si="214"/>
        <v>1480</v>
      </c>
      <c r="CU996">
        <f t="shared" si="204"/>
        <v>0.6561114629512349</v>
      </c>
      <c r="CV996" s="2">
        <f t="shared" si="215"/>
        <v>0.53046594982078854</v>
      </c>
      <c r="CW996" s="1" t="s">
        <v>1205</v>
      </c>
      <c r="CX996" t="str">
        <f t="shared" si="242"/>
        <v>reg</v>
      </c>
      <c r="CY996" t="s">
        <v>600</v>
      </c>
      <c r="DB996">
        <v>2</v>
      </c>
      <c r="DC996" t="str">
        <f t="shared" si="243"/>
        <v>1-30</v>
      </c>
      <c r="DD996">
        <v>0</v>
      </c>
      <c r="DE996">
        <v>0</v>
      </c>
      <c r="DF996">
        <v>0</v>
      </c>
      <c r="DG996">
        <v>1</v>
      </c>
      <c r="DI996">
        <f t="shared" si="230"/>
        <v>1</v>
      </c>
      <c r="DJ996" t="str">
        <f t="shared" si="203"/>
        <v>TimberInput</v>
      </c>
      <c r="DK996">
        <f t="shared" si="223"/>
        <v>0</v>
      </c>
      <c r="DL996">
        <f t="shared" si="224"/>
        <v>0</v>
      </c>
      <c r="DM996">
        <f t="shared" si="225"/>
        <v>0</v>
      </c>
      <c r="DN996" t="str">
        <f t="shared" si="226"/>
        <v>Timber</v>
      </c>
      <c r="DO996">
        <v>0</v>
      </c>
      <c r="DP996">
        <v>0</v>
      </c>
      <c r="DQ996">
        <v>0</v>
      </c>
      <c r="DR996">
        <v>0</v>
      </c>
      <c r="DS996">
        <v>0</v>
      </c>
      <c r="DT996">
        <f t="shared" si="212"/>
        <v>0</v>
      </c>
      <c r="DU996" s="143" t="str">
        <f t="shared" si="245"/>
        <v>explicit C balance</v>
      </c>
      <c r="DV996">
        <v>0</v>
      </c>
      <c r="DW996">
        <v>0</v>
      </c>
      <c r="DX996">
        <v>0</v>
      </c>
      <c r="DY996">
        <v>1</v>
      </c>
      <c r="DZ996">
        <v>0</v>
      </c>
      <c r="EA996" s="143">
        <v>0</v>
      </c>
      <c r="EB996">
        <v>1</v>
      </c>
      <c r="EC996">
        <v>1</v>
      </c>
      <c r="ED996">
        <v>1</v>
      </c>
      <c r="EE996">
        <v>1</v>
      </c>
      <c r="EF996">
        <v>1</v>
      </c>
      <c r="EG996">
        <v>1</v>
      </c>
      <c r="EH996">
        <v>0</v>
      </c>
      <c r="EI996" s="2">
        <v>0</v>
      </c>
      <c r="EK996" t="str">
        <f t="shared" si="227"/>
        <v/>
      </c>
      <c r="EL996" t="str">
        <f t="shared" si="228"/>
        <v/>
      </c>
      <c r="EM996" s="2" t="str">
        <f t="shared" si="244"/>
        <v>Technology approach</v>
      </c>
      <c r="EP996" t="str">
        <f>IF(ISNUMBER(BU996),IF(ABS(BU996-[3]QC_indicators!$B$2)&gt;3*[3]QC_indicators!$C$2,"C ratio",IF(ISNUMBER(BY996),IF(ABS(BY996-[3]QC_indicators!$B$1)&gt;3*[3]QC_indicators!$C$1,"DF","no"))),IF(ISNUMBER(BY996),IF(ABS(BY996-[3]QC_indicators!$B$1)&gt;3*[3]QC_indicators!$C$1,"DF","no")))</f>
        <v>no</v>
      </c>
      <c r="ET996" s="266" t="s">
        <v>3153</v>
      </c>
      <c r="EU996" s="266"/>
    </row>
    <row r="997" spans="1:151" ht="15" hidden="1" customHeight="1">
      <c r="D997" t="s">
        <v>1663</v>
      </c>
      <c r="E997" t="s">
        <v>1664</v>
      </c>
      <c r="G997" t="s">
        <v>1665</v>
      </c>
      <c r="I997">
        <v>2007</v>
      </c>
      <c r="K997" t="s">
        <v>1666</v>
      </c>
      <c r="M997" t="str">
        <f t="shared" si="201"/>
        <v>Gustavsson_2007</v>
      </c>
      <c r="N997" t="s">
        <v>223</v>
      </c>
      <c r="O997" t="s">
        <v>224</v>
      </c>
      <c r="Q997" t="s">
        <v>257</v>
      </c>
      <c r="R997" s="271" t="s">
        <v>275</v>
      </c>
      <c r="S997" s="1" t="s">
        <v>1667</v>
      </c>
      <c r="T997" t="s">
        <v>755</v>
      </c>
      <c r="U997" s="143" t="s">
        <v>1668</v>
      </c>
      <c r="V997">
        <v>0</v>
      </c>
      <c r="W997">
        <v>0</v>
      </c>
      <c r="X997">
        <v>0</v>
      </c>
      <c r="Y997">
        <v>0</v>
      </c>
      <c r="Z997">
        <v>0</v>
      </c>
      <c r="AA997">
        <v>0</v>
      </c>
      <c r="AB997">
        <v>0</v>
      </c>
      <c r="AC997">
        <v>0</v>
      </c>
      <c r="AD997">
        <v>0</v>
      </c>
      <c r="AE997">
        <v>0</v>
      </c>
      <c r="AF997">
        <v>0</v>
      </c>
      <c r="AG997">
        <v>0</v>
      </c>
      <c r="AH997">
        <v>0</v>
      </c>
      <c r="AI997">
        <v>0</v>
      </c>
      <c r="AJ997">
        <v>0</v>
      </c>
      <c r="AK997">
        <v>1</v>
      </c>
      <c r="AL997">
        <v>0</v>
      </c>
      <c r="AM997">
        <v>0</v>
      </c>
      <c r="AN997">
        <v>0</v>
      </c>
      <c r="AO997">
        <v>0</v>
      </c>
      <c r="AP997">
        <v>0</v>
      </c>
      <c r="AQ997">
        <v>0</v>
      </c>
      <c r="AR997">
        <v>0</v>
      </c>
      <c r="AS997">
        <v>0</v>
      </c>
      <c r="AT997">
        <v>0</v>
      </c>
      <c r="AU997">
        <v>0</v>
      </c>
      <c r="AV997">
        <v>0</v>
      </c>
      <c r="AW997">
        <v>0</v>
      </c>
      <c r="AX997" s="141">
        <f t="shared" si="213"/>
        <v>1</v>
      </c>
      <c r="AY997" s="141">
        <f t="shared" si="235"/>
        <v>1</v>
      </c>
      <c r="AZ997">
        <f t="shared" si="236"/>
        <v>0</v>
      </c>
      <c r="BA997">
        <f t="shared" si="237"/>
        <v>0</v>
      </c>
      <c r="BB997">
        <f t="shared" si="238"/>
        <v>1</v>
      </c>
      <c r="BC997">
        <f t="shared" si="239"/>
        <v>0</v>
      </c>
      <c r="BD997">
        <f t="shared" si="240"/>
        <v>0</v>
      </c>
      <c r="BE997" t="str">
        <f t="array" ref="BE997">IF(AY997=1,INDEX($V$7:$AL$7,MATCH(TRUE,INDEX($V997:$AW997&lt;&gt;0,),0)),IF(AY997=0,INDEX($AM$7:$AW$7,MATCH(1,$AM997:$AW997,0)),IF(BF997="Multiple strategies","mixed drivers",IF(BF997="Supply chain","multiple supply","multiple silviculture"))))</f>
        <v>technologies/design switch</v>
      </c>
      <c r="BF997" s="2" t="str" cm="1">
        <f t="array" ref="BF997">IF(COUNTIF(AZ997:BB997,"&lt;&gt;0")=1,INDEX($V$4:$AW$4,MATCH(TRUE,INDEX($V997:$AW997&lt;&gt;0,),0)),IF(COUNTIF(AZ997:BB997,"&lt;&gt;0")=0,INDEX($AM$4:$AW$4,MATCH(1,$AM997:$AW997,0)),"Multiple strategies"))</f>
        <v>Technology</v>
      </c>
      <c r="BG997" s="142" t="s">
        <v>230</v>
      </c>
      <c r="BH997" t="s">
        <v>1669</v>
      </c>
      <c r="BI997" s="266" t="s">
        <v>1059</v>
      </c>
      <c r="BJ997" s="143" t="s">
        <v>3267</v>
      </c>
      <c r="BK997">
        <v>0</v>
      </c>
      <c r="BL997" s="143">
        <v>16.100000000000001</v>
      </c>
      <c r="BM997" s="143"/>
      <c r="BN997">
        <f t="shared" si="222"/>
        <v>16.100000000000001</v>
      </c>
      <c r="BO997" s="143">
        <f t="shared" ref="BO997:BO1015" si="250">1000*BL997/15.3/400</f>
        <v>2.630718954248366</v>
      </c>
      <c r="BP997" t="s">
        <v>233</v>
      </c>
      <c r="BQ997" s="155"/>
      <c r="BR997" t="s">
        <v>940</v>
      </c>
      <c r="BS997" s="143">
        <v>-1</v>
      </c>
      <c r="BT997" s="151">
        <v>0</v>
      </c>
      <c r="BU997">
        <v>0</v>
      </c>
      <c r="BV997">
        <v>1</v>
      </c>
      <c r="BX997">
        <f t="shared" ref="BX997:BX1015" si="251">BV997*C_to_CO2</f>
        <v>3.67</v>
      </c>
      <c r="BY997">
        <f t="shared" si="241"/>
        <v>1.3950559006211181</v>
      </c>
      <c r="BZ997" s="143">
        <v>0</v>
      </c>
      <c r="CA997" s="143">
        <v>0</v>
      </c>
      <c r="CB997" s="143">
        <v>0</v>
      </c>
      <c r="CC997" s="143">
        <v>0</v>
      </c>
      <c r="CD997" s="143">
        <v>0</v>
      </c>
      <c r="CE997" s="143">
        <v>0</v>
      </c>
      <c r="CF997" s="143">
        <v>0</v>
      </c>
      <c r="CG997" s="143">
        <v>0</v>
      </c>
      <c r="CH997" s="143">
        <v>0</v>
      </c>
      <c r="CI997" s="143">
        <v>0</v>
      </c>
      <c r="CJ997" s="143">
        <v>0</v>
      </c>
      <c r="CK997" s="143">
        <v>0</v>
      </c>
      <c r="CL997" s="143">
        <v>0</v>
      </c>
      <c r="CM997">
        <v>1</v>
      </c>
      <c r="CN997" t="str">
        <f t="shared" si="233"/>
        <v>refOK</v>
      </c>
      <c r="CO997">
        <f t="shared" ref="CO997:CO1015" si="252">IF($CN997="refOK",$BK997,$BL997)</f>
        <v>0</v>
      </c>
      <c r="CP997">
        <f t="shared" ref="CP997:CP1015" si="253">IF($CN997="refOK",$BL997,$BK997)</f>
        <v>16.100000000000001</v>
      </c>
      <c r="CQ997">
        <f t="shared" si="221"/>
        <v>2.630718954248366</v>
      </c>
      <c r="CR997">
        <f t="shared" si="210"/>
        <v>-1</v>
      </c>
      <c r="CS997">
        <f t="shared" si="249"/>
        <v>0</v>
      </c>
      <c r="CT997">
        <f t="shared" si="214"/>
        <v>3.67</v>
      </c>
      <c r="CU997">
        <f t="shared" si="204"/>
        <v>1.3950559006211181</v>
      </c>
      <c r="CV997" s="2">
        <f t="shared" si="215"/>
        <v>1</v>
      </c>
      <c r="CW997" s="1" t="s">
        <v>1205</v>
      </c>
      <c r="CX997" t="str">
        <f t="shared" si="242"/>
        <v>reg</v>
      </c>
      <c r="CY997" t="s">
        <v>445</v>
      </c>
      <c r="DA997" s="143"/>
      <c r="DB997" s="143">
        <v>0</v>
      </c>
      <c r="DC997" t="str">
        <f t="shared" si="243"/>
        <v>0</v>
      </c>
      <c r="DD997">
        <v>0</v>
      </c>
      <c r="DE997">
        <v>0</v>
      </c>
      <c r="DF997">
        <v>0</v>
      </c>
      <c r="DG997">
        <v>1</v>
      </c>
      <c r="DI997">
        <f t="shared" si="230"/>
        <v>1</v>
      </c>
      <c r="DJ997" t="str">
        <f t="shared" si="203"/>
        <v>TimberInput</v>
      </c>
      <c r="DK997">
        <f t="shared" si="223"/>
        <v>0</v>
      </c>
      <c r="DL997">
        <f t="shared" si="224"/>
        <v>0</v>
      </c>
      <c r="DM997">
        <f t="shared" si="225"/>
        <v>0</v>
      </c>
      <c r="DN997" t="str">
        <f t="shared" si="226"/>
        <v>Timber</v>
      </c>
      <c r="DO997">
        <v>0</v>
      </c>
      <c r="DP997" s="143">
        <v>0</v>
      </c>
      <c r="DQ997" s="143">
        <v>0</v>
      </c>
      <c r="DR997">
        <v>0</v>
      </c>
      <c r="DS997" s="143">
        <v>0</v>
      </c>
      <c r="DT997">
        <f t="shared" si="212"/>
        <v>0</v>
      </c>
      <c r="DU997" s="143" t="str">
        <f t="shared" si="245"/>
        <v>explicit C balance</v>
      </c>
      <c r="DV997" s="143">
        <v>0</v>
      </c>
      <c r="DW997" s="143">
        <v>0</v>
      </c>
      <c r="DX997" s="143">
        <v>0</v>
      </c>
      <c r="DY997" s="143">
        <v>1</v>
      </c>
      <c r="DZ997">
        <v>0</v>
      </c>
      <c r="EA997" s="143">
        <v>0</v>
      </c>
      <c r="EB997" s="143">
        <v>0</v>
      </c>
      <c r="EC997" s="143">
        <v>1</v>
      </c>
      <c r="ED997" s="143">
        <v>0</v>
      </c>
      <c r="EE997">
        <v>0</v>
      </c>
      <c r="EF997">
        <v>0</v>
      </c>
      <c r="EG997" s="143">
        <v>0</v>
      </c>
      <c r="EH997" s="143">
        <v>0</v>
      </c>
      <c r="EI997" s="2">
        <v>0</v>
      </c>
      <c r="EK997" t="str">
        <f t="shared" si="227"/>
        <v/>
      </c>
      <c r="EL997" t="str">
        <f t="shared" si="228"/>
        <v/>
      </c>
      <c r="EM997" s="2" t="str">
        <f t="shared" si="244"/>
        <v/>
      </c>
      <c r="EP997" t="str">
        <f>IF(ISNUMBER(BU997),IF(ABS(BU997-[3]QC_indicators!$B$2)&gt;3*[3]QC_indicators!$C$2,"C ratio",IF(ISNUMBER(BY997),IF(ABS(BY997-[3]QC_indicators!$B$1)&gt;3*[3]QC_indicators!$C$1,"DF","no"))),IF(ISNUMBER(BY997),IF(ABS(BY997-[3]QC_indicators!$B$1)&gt;3*[3]QC_indicators!$C$1,"DF","no")))</f>
        <v>no</v>
      </c>
      <c r="ER997" s="149" t="s">
        <v>350</v>
      </c>
      <c r="ET997" s="266" t="s">
        <v>3268</v>
      </c>
    </row>
    <row r="998" spans="1:151" ht="15" hidden="1" customHeight="1">
      <c r="D998" t="s">
        <v>1663</v>
      </c>
      <c r="E998" t="s">
        <v>1664</v>
      </c>
      <c r="G998" t="s">
        <v>1665</v>
      </c>
      <c r="I998">
        <v>2007</v>
      </c>
      <c r="K998" t="s">
        <v>1666</v>
      </c>
      <c r="M998" t="str">
        <f t="shared" si="201"/>
        <v>Gustavsson_2007</v>
      </c>
      <c r="N998" t="s">
        <v>223</v>
      </c>
      <c r="O998" t="s">
        <v>224</v>
      </c>
      <c r="Q998" t="s">
        <v>257</v>
      </c>
      <c r="R998" s="271" t="s">
        <v>275</v>
      </c>
      <c r="S998" s="1" t="s">
        <v>1667</v>
      </c>
      <c r="T998" t="s">
        <v>1670</v>
      </c>
      <c r="U998" s="266" t="s">
        <v>1671</v>
      </c>
      <c r="V998">
        <v>0</v>
      </c>
      <c r="W998">
        <v>0</v>
      </c>
      <c r="X998">
        <v>0</v>
      </c>
      <c r="Y998">
        <v>0</v>
      </c>
      <c r="Z998">
        <v>0</v>
      </c>
      <c r="AA998">
        <v>0</v>
      </c>
      <c r="AB998">
        <v>0</v>
      </c>
      <c r="AC998">
        <v>0</v>
      </c>
      <c r="AD998">
        <v>0</v>
      </c>
      <c r="AE998">
        <v>0</v>
      </c>
      <c r="AF998">
        <v>0</v>
      </c>
      <c r="AG998">
        <v>0</v>
      </c>
      <c r="AH998">
        <v>0</v>
      </c>
      <c r="AI998">
        <v>0</v>
      </c>
      <c r="AJ998">
        <v>0</v>
      </c>
      <c r="AK998">
        <v>1</v>
      </c>
      <c r="AL998">
        <v>0</v>
      </c>
      <c r="AM998">
        <v>0</v>
      </c>
      <c r="AN998">
        <v>0</v>
      </c>
      <c r="AO998">
        <v>0</v>
      </c>
      <c r="AP998">
        <v>0</v>
      </c>
      <c r="AQ998">
        <v>0</v>
      </c>
      <c r="AR998">
        <v>0</v>
      </c>
      <c r="AS998">
        <v>0</v>
      </c>
      <c r="AT998">
        <v>0</v>
      </c>
      <c r="AU998">
        <v>0</v>
      </c>
      <c r="AV998">
        <v>0</v>
      </c>
      <c r="AW998">
        <v>0</v>
      </c>
      <c r="AX998" s="141">
        <f t="shared" si="213"/>
        <v>1</v>
      </c>
      <c r="AY998" s="141">
        <f t="shared" si="235"/>
        <v>1</v>
      </c>
      <c r="AZ998">
        <f t="shared" si="236"/>
        <v>0</v>
      </c>
      <c r="BA998">
        <f t="shared" si="237"/>
        <v>0</v>
      </c>
      <c r="BB998">
        <f t="shared" si="238"/>
        <v>1</v>
      </c>
      <c r="BC998">
        <f t="shared" si="239"/>
        <v>0</v>
      </c>
      <c r="BD998">
        <f t="shared" si="240"/>
        <v>0</v>
      </c>
      <c r="BE998" t="str">
        <f t="array" ref="BE998">IF(AY998=1,INDEX($V$7:$AL$7,MATCH(TRUE,INDEX($V998:$AW998&lt;&gt;0,),0)),IF(AY998=0,INDEX($AM$7:$AW$7,MATCH(1,$AM998:$AW998,0)),IF(BF998="Multiple strategies","mixed drivers",IF(BF998="Supply chain","multiple supply","multiple silviculture"))))</f>
        <v>technologies/design switch</v>
      </c>
      <c r="BF998" s="2" t="str" cm="1">
        <f t="array" ref="BF998">IF(COUNTIF(AZ998:BB998,"&lt;&gt;0")=1,INDEX($V$4:$AW$4,MATCH(TRUE,INDEX($V998:$AW998&lt;&gt;0,),0)),IF(COUNTIF(AZ998:BB998,"&lt;&gt;0")=0,INDEX($AM$4:$AW$4,MATCH(1,$AM998:$AW998,0)),"Multiple strategies"))</f>
        <v>Technology</v>
      </c>
      <c r="BG998" s="142" t="s">
        <v>230</v>
      </c>
      <c r="BH998" t="s">
        <v>1669</v>
      </c>
      <c r="BI998" s="266" t="s">
        <v>1059</v>
      </c>
      <c r="BJ998" s="143" t="s">
        <v>3267</v>
      </c>
      <c r="BK998" s="143">
        <v>0</v>
      </c>
      <c r="BL998">
        <v>15.6</v>
      </c>
      <c r="BM998" t="e">
        <f>BL998/BK998</f>
        <v>#DIV/0!</v>
      </c>
      <c r="BN998">
        <f t="shared" si="222"/>
        <v>15.6</v>
      </c>
      <c r="BO998" s="143">
        <f t="shared" si="250"/>
        <v>2.5490196078431371</v>
      </c>
      <c r="BP998" t="s">
        <v>233</v>
      </c>
      <c r="BR998" t="s">
        <v>940</v>
      </c>
      <c r="BS998" s="151">
        <v>-1</v>
      </c>
      <c r="BT998" s="143">
        <v>0</v>
      </c>
      <c r="BU998" s="144">
        <f>IFERROR(BT998/BS998,"")</f>
        <v>0</v>
      </c>
      <c r="BV998">
        <f>BT998-BS998</f>
        <v>1</v>
      </c>
      <c r="BX998">
        <f t="shared" si="251"/>
        <v>3.67</v>
      </c>
      <c r="BY998">
        <f t="shared" si="241"/>
        <v>1.4397692307692309</v>
      </c>
      <c r="BZ998" s="143">
        <v>0</v>
      </c>
      <c r="CA998" s="143">
        <v>0</v>
      </c>
      <c r="CB998" s="143">
        <v>0</v>
      </c>
      <c r="CC998" s="143">
        <v>0</v>
      </c>
      <c r="CD998" s="143">
        <v>0</v>
      </c>
      <c r="CE998" s="143">
        <v>0</v>
      </c>
      <c r="CF998" s="143">
        <v>0</v>
      </c>
      <c r="CG998" s="143">
        <v>0</v>
      </c>
      <c r="CH998" s="143">
        <v>0</v>
      </c>
      <c r="CI998" s="143">
        <v>0</v>
      </c>
      <c r="CJ998" s="143">
        <v>0</v>
      </c>
      <c r="CK998" s="143">
        <v>0</v>
      </c>
      <c r="CL998" s="143">
        <v>0</v>
      </c>
      <c r="CM998">
        <v>1</v>
      </c>
      <c r="CN998" t="str">
        <f>IF(BL998&lt;BK998,"refNeedCorrection","refOK")</f>
        <v>refOK</v>
      </c>
      <c r="CO998">
        <f t="shared" si="252"/>
        <v>0</v>
      </c>
      <c r="CP998">
        <f t="shared" si="253"/>
        <v>15.6</v>
      </c>
      <c r="CQ998">
        <f t="shared" si="221"/>
        <v>2.5490196078431371</v>
      </c>
      <c r="CR998">
        <f t="shared" si="210"/>
        <v>-1</v>
      </c>
      <c r="CS998">
        <f t="shared" si="249"/>
        <v>0</v>
      </c>
      <c r="CT998">
        <f t="shared" si="214"/>
        <v>3.67</v>
      </c>
      <c r="CU998">
        <f t="shared" si="204"/>
        <v>1.4397692307692309</v>
      </c>
      <c r="CV998" s="2">
        <f t="shared" si="215"/>
        <v>1</v>
      </c>
      <c r="CW998" s="1" t="s">
        <v>1205</v>
      </c>
      <c r="CX998" t="str">
        <f t="shared" si="242"/>
        <v>reg</v>
      </c>
      <c r="CY998" t="s">
        <v>445</v>
      </c>
      <c r="DA998" s="143"/>
      <c r="DB998" s="143">
        <v>0</v>
      </c>
      <c r="DC998" t="str">
        <f t="shared" si="243"/>
        <v>0</v>
      </c>
      <c r="DD998">
        <v>0</v>
      </c>
      <c r="DE998">
        <v>1</v>
      </c>
      <c r="DF998">
        <v>0</v>
      </c>
      <c r="DG998">
        <v>0</v>
      </c>
      <c r="DI998">
        <f t="shared" si="230"/>
        <v>1</v>
      </c>
      <c r="DJ998" t="str">
        <f t="shared" si="203"/>
        <v>EnergyInput</v>
      </c>
      <c r="DK998">
        <f t="shared" si="223"/>
        <v>0</v>
      </c>
      <c r="DL998" t="str">
        <f t="shared" si="224"/>
        <v>Energy</v>
      </c>
      <c r="DM998">
        <f t="shared" si="225"/>
        <v>0</v>
      </c>
      <c r="DN998">
        <f t="shared" si="226"/>
        <v>0</v>
      </c>
      <c r="DO998">
        <v>0</v>
      </c>
      <c r="DP998" s="143">
        <v>0</v>
      </c>
      <c r="DQ998" s="143">
        <v>0</v>
      </c>
      <c r="DR998">
        <v>0</v>
      </c>
      <c r="DS998" s="143">
        <v>0</v>
      </c>
      <c r="DT998">
        <f t="shared" si="212"/>
        <v>0</v>
      </c>
      <c r="DU998" s="143" t="str">
        <f t="shared" si="245"/>
        <v>explicit C balance</v>
      </c>
      <c r="DV998" s="143">
        <v>0</v>
      </c>
      <c r="DW998" s="143">
        <v>0</v>
      </c>
      <c r="DX998" s="143">
        <v>0</v>
      </c>
      <c r="DY998" s="143">
        <v>0</v>
      </c>
      <c r="DZ998">
        <v>0</v>
      </c>
      <c r="EA998" s="143">
        <v>0</v>
      </c>
      <c r="EB998" s="143">
        <v>0</v>
      </c>
      <c r="EC998" s="143">
        <v>1</v>
      </c>
      <c r="ED998" s="143">
        <v>0</v>
      </c>
      <c r="EE998">
        <v>0</v>
      </c>
      <c r="EF998">
        <v>0</v>
      </c>
      <c r="EG998" s="143">
        <v>0</v>
      </c>
      <c r="EH998" s="143">
        <v>0</v>
      </c>
      <c r="EI998" s="2">
        <v>0</v>
      </c>
      <c r="EK998" t="str">
        <f t="shared" si="227"/>
        <v/>
      </c>
      <c r="EL998" t="str">
        <f t="shared" si="228"/>
        <v/>
      </c>
      <c r="EM998" s="2" t="str">
        <f t="shared" si="244"/>
        <v/>
      </c>
      <c r="EP998" t="str">
        <f>IF(ISNUMBER(BU998),IF(ABS(BU998-[3]QC_indicators!$B$2)&gt;3*[3]QC_indicators!$C$2,"C ratio",IF(ISNUMBER(BY998),IF(ABS(BY998-[3]QC_indicators!$B$1)&gt;3*[3]QC_indicators!$C$1,"DF","no"))),IF(ISNUMBER(BY998),IF(ABS(BY998-[3]QC_indicators!$B$1)&gt;3*[3]QC_indicators!$C$1,"DF","no")))</f>
        <v>no</v>
      </c>
      <c r="ER998" s="149" t="s">
        <v>350</v>
      </c>
      <c r="ET998" s="266" t="s">
        <v>3268</v>
      </c>
    </row>
    <row r="999" spans="1:151" ht="15" hidden="1" customHeight="1">
      <c r="D999" t="s">
        <v>1663</v>
      </c>
      <c r="E999" t="s">
        <v>1664</v>
      </c>
      <c r="G999" t="s">
        <v>1665</v>
      </c>
      <c r="I999">
        <v>2007</v>
      </c>
      <c r="K999" t="s">
        <v>1666</v>
      </c>
      <c r="M999" t="str">
        <f t="shared" si="201"/>
        <v>Gustavsson_2007</v>
      </c>
      <c r="N999" t="s">
        <v>223</v>
      </c>
      <c r="O999" t="s">
        <v>224</v>
      </c>
      <c r="Q999" t="s">
        <v>257</v>
      </c>
      <c r="R999" s="271" t="s">
        <v>275</v>
      </c>
      <c r="S999" s="1" t="s">
        <v>1667</v>
      </c>
      <c r="T999" t="s">
        <v>1672</v>
      </c>
      <c r="U999" s="143" t="s">
        <v>1673</v>
      </c>
      <c r="V999">
        <v>0</v>
      </c>
      <c r="W999">
        <v>0</v>
      </c>
      <c r="X999">
        <v>0</v>
      </c>
      <c r="Y999">
        <v>0</v>
      </c>
      <c r="Z999">
        <v>0</v>
      </c>
      <c r="AA999">
        <v>0</v>
      </c>
      <c r="AB999">
        <v>0</v>
      </c>
      <c r="AC999">
        <v>0</v>
      </c>
      <c r="AD999">
        <v>0</v>
      </c>
      <c r="AE999">
        <v>0</v>
      </c>
      <c r="AF999">
        <v>0</v>
      </c>
      <c r="AG999">
        <v>0</v>
      </c>
      <c r="AH999">
        <v>0</v>
      </c>
      <c r="AI999">
        <v>0</v>
      </c>
      <c r="AJ999">
        <v>0</v>
      </c>
      <c r="AK999">
        <v>1</v>
      </c>
      <c r="AL999">
        <v>0</v>
      </c>
      <c r="AM999">
        <v>0</v>
      </c>
      <c r="AN999">
        <v>0</v>
      </c>
      <c r="AO999">
        <v>0</v>
      </c>
      <c r="AP999">
        <v>0</v>
      </c>
      <c r="AQ999">
        <v>0</v>
      </c>
      <c r="AR999">
        <v>0</v>
      </c>
      <c r="AS999">
        <v>0</v>
      </c>
      <c r="AT999">
        <v>0</v>
      </c>
      <c r="AU999">
        <v>0</v>
      </c>
      <c r="AV999">
        <v>0</v>
      </c>
      <c r="AW999">
        <v>0</v>
      </c>
      <c r="AX999" s="141">
        <f t="shared" si="213"/>
        <v>1</v>
      </c>
      <c r="AY999" s="141">
        <f t="shared" si="235"/>
        <v>1</v>
      </c>
      <c r="AZ999">
        <f t="shared" si="236"/>
        <v>0</v>
      </c>
      <c r="BA999">
        <f t="shared" si="237"/>
        <v>0</v>
      </c>
      <c r="BB999">
        <f t="shared" si="238"/>
        <v>1</v>
      </c>
      <c r="BC999">
        <f t="shared" si="239"/>
        <v>0</v>
      </c>
      <c r="BD999">
        <f t="shared" si="240"/>
        <v>0</v>
      </c>
      <c r="BE999" t="str">
        <f t="array" ref="BE999">IF(AY999=1,INDEX($V$7:$AL$7,MATCH(TRUE,INDEX($V999:$AW999&lt;&gt;0,),0)),IF(AY999=0,INDEX($AM$7:$AW$7,MATCH(1,$AM999:$AW999,0)),IF(BF999="Multiple strategies","mixed drivers",IF(BF999="Supply chain","multiple supply","multiple silviculture"))))</f>
        <v>technologies/design switch</v>
      </c>
      <c r="BF999" s="2" t="str" cm="1">
        <f t="array" ref="BF999">IF(COUNTIF(AZ999:BB999,"&lt;&gt;0")=1,INDEX($V$4:$AW$4,MATCH(TRUE,INDEX($V999:$AW999&lt;&gt;0,),0)),IF(COUNTIF(AZ999:BB999,"&lt;&gt;0")=0,INDEX($AM$4:$AW$4,MATCH(1,$AM999:$AW999,0)),"Multiple strategies"))</f>
        <v>Technology</v>
      </c>
      <c r="BG999" s="142" t="s">
        <v>230</v>
      </c>
      <c r="BH999" t="s">
        <v>1669</v>
      </c>
      <c r="BI999" s="266" t="s">
        <v>1059</v>
      </c>
      <c r="BJ999" s="143" t="s">
        <v>3267</v>
      </c>
      <c r="BK999">
        <v>0</v>
      </c>
      <c r="BL999" s="143">
        <v>169.5</v>
      </c>
      <c r="BM999" s="143"/>
      <c r="BN999">
        <f t="shared" si="222"/>
        <v>169.5</v>
      </c>
      <c r="BO999" s="143">
        <f t="shared" si="250"/>
        <v>27.696078431372548</v>
      </c>
      <c r="BP999" t="s">
        <v>233</v>
      </c>
      <c r="BR999" t="s">
        <v>940</v>
      </c>
      <c r="BS999" s="143">
        <v>-1</v>
      </c>
      <c r="BT999" s="151">
        <v>0</v>
      </c>
      <c r="BU999">
        <v>0</v>
      </c>
      <c r="BV999">
        <v>1</v>
      </c>
      <c r="BX999">
        <f t="shared" si="251"/>
        <v>3.67</v>
      </c>
      <c r="BY999">
        <f t="shared" si="241"/>
        <v>0.13250973451327433</v>
      </c>
      <c r="BZ999" s="143">
        <v>0</v>
      </c>
      <c r="CA999" s="143">
        <v>0</v>
      </c>
      <c r="CB999" s="143">
        <v>0</v>
      </c>
      <c r="CC999" s="143">
        <v>0</v>
      </c>
      <c r="CD999" s="143">
        <v>0</v>
      </c>
      <c r="CE999" s="143">
        <v>0</v>
      </c>
      <c r="CF999" s="143">
        <v>0</v>
      </c>
      <c r="CG999" s="143">
        <v>0</v>
      </c>
      <c r="CH999" s="143">
        <v>0</v>
      </c>
      <c r="CI999" s="143">
        <v>0</v>
      </c>
      <c r="CJ999" s="143">
        <v>0</v>
      </c>
      <c r="CK999" s="143">
        <v>0</v>
      </c>
      <c r="CL999" s="143">
        <v>0</v>
      </c>
      <c r="CM999">
        <v>1</v>
      </c>
      <c r="CN999" t="str">
        <f t="shared" ref="CN999:CN1044" si="254">IF($BL999&lt;$BK999,"refNeedCorrection","refOK")</f>
        <v>refOK</v>
      </c>
      <c r="CO999">
        <f t="shared" si="252"/>
        <v>0</v>
      </c>
      <c r="CP999">
        <f t="shared" si="253"/>
        <v>169.5</v>
      </c>
      <c r="CQ999">
        <f t="shared" si="221"/>
        <v>27.696078431372548</v>
      </c>
      <c r="CR999">
        <f t="shared" si="210"/>
        <v>-1</v>
      </c>
      <c r="CS999">
        <f t="shared" si="249"/>
        <v>0</v>
      </c>
      <c r="CT999">
        <f t="shared" si="214"/>
        <v>3.67</v>
      </c>
      <c r="CU999">
        <f t="shared" si="204"/>
        <v>0.13250973451327433</v>
      </c>
      <c r="CV999" s="2">
        <f t="shared" si="215"/>
        <v>1</v>
      </c>
      <c r="CW999" s="1" t="s">
        <v>1205</v>
      </c>
      <c r="CX999" t="str">
        <f t="shared" si="242"/>
        <v>reg</v>
      </c>
      <c r="CY999" t="s">
        <v>445</v>
      </c>
      <c r="DA999" s="143"/>
      <c r="DB999" s="143">
        <v>0</v>
      </c>
      <c r="DC999" t="str">
        <f t="shared" si="243"/>
        <v>0</v>
      </c>
      <c r="DD999">
        <v>0</v>
      </c>
      <c r="DE999">
        <v>1</v>
      </c>
      <c r="DF999">
        <v>0</v>
      </c>
      <c r="DG999">
        <v>0</v>
      </c>
      <c r="DI999">
        <f t="shared" si="230"/>
        <v>1</v>
      </c>
      <c r="DJ999" t="str">
        <f t="shared" si="203"/>
        <v>EnergyInput</v>
      </c>
      <c r="DK999">
        <f t="shared" si="223"/>
        <v>0</v>
      </c>
      <c r="DL999" t="str">
        <f t="shared" si="224"/>
        <v>Energy</v>
      </c>
      <c r="DM999">
        <f t="shared" si="225"/>
        <v>0</v>
      </c>
      <c r="DN999">
        <f t="shared" si="226"/>
        <v>0</v>
      </c>
      <c r="DO999">
        <v>0</v>
      </c>
      <c r="DP999" s="143">
        <v>0</v>
      </c>
      <c r="DQ999" s="143">
        <v>0</v>
      </c>
      <c r="DR999">
        <v>0</v>
      </c>
      <c r="DS999" s="143">
        <v>0</v>
      </c>
      <c r="DT999">
        <f t="shared" si="212"/>
        <v>0</v>
      </c>
      <c r="DU999" s="143" t="str">
        <f t="shared" si="245"/>
        <v>explicit C balance</v>
      </c>
      <c r="DV999" s="143">
        <v>0</v>
      </c>
      <c r="DW999" s="143">
        <v>0</v>
      </c>
      <c r="DX999" s="143">
        <v>0</v>
      </c>
      <c r="DY999" s="143">
        <v>0</v>
      </c>
      <c r="DZ999">
        <v>0</v>
      </c>
      <c r="EA999" s="143">
        <v>0</v>
      </c>
      <c r="EB999" s="143">
        <v>0</v>
      </c>
      <c r="EC999" s="143">
        <v>1</v>
      </c>
      <c r="ED999" s="143">
        <v>0</v>
      </c>
      <c r="EE999">
        <v>0</v>
      </c>
      <c r="EF999">
        <v>0</v>
      </c>
      <c r="EG999" s="143">
        <v>0</v>
      </c>
      <c r="EH999" s="143">
        <v>0</v>
      </c>
      <c r="EI999" s="2">
        <v>0</v>
      </c>
      <c r="EK999" t="str">
        <f t="shared" si="227"/>
        <v/>
      </c>
      <c r="EL999" t="str">
        <f t="shared" si="228"/>
        <v/>
      </c>
      <c r="EM999" s="2" t="str">
        <f t="shared" si="244"/>
        <v/>
      </c>
      <c r="EP999" t="str">
        <f>IF(ISNUMBER(BU999),IF(ABS(BU999-[3]QC_indicators!$B$2)&gt;3*[3]QC_indicators!$C$2,"C ratio",IF(ISNUMBER(BY999),IF(ABS(BY999-[3]QC_indicators!$B$1)&gt;3*[3]QC_indicators!$C$1,"DF","no"))),IF(ISNUMBER(BY999),IF(ABS(BY999-[3]QC_indicators!$B$1)&gt;3*[3]QC_indicators!$C$1,"DF","no")))</f>
        <v>no</v>
      </c>
      <c r="ER999" s="149" t="s">
        <v>350</v>
      </c>
      <c r="ET999" s="266" t="s">
        <v>3268</v>
      </c>
    </row>
    <row r="1000" spans="1:151" ht="15" hidden="1" customHeight="1">
      <c r="D1000" t="s">
        <v>1663</v>
      </c>
      <c r="E1000" t="s">
        <v>1664</v>
      </c>
      <c r="G1000" t="s">
        <v>1665</v>
      </c>
      <c r="I1000">
        <v>2007</v>
      </c>
      <c r="K1000" t="s">
        <v>1666</v>
      </c>
      <c r="M1000" t="str">
        <f t="shared" si="201"/>
        <v>Gustavsson_2007</v>
      </c>
      <c r="N1000" t="s">
        <v>223</v>
      </c>
      <c r="O1000" t="s">
        <v>224</v>
      </c>
      <c r="Q1000" t="s">
        <v>257</v>
      </c>
      <c r="R1000" s="271" t="s">
        <v>275</v>
      </c>
      <c r="S1000" s="1" t="s">
        <v>1667</v>
      </c>
      <c r="T1000" t="s">
        <v>1672</v>
      </c>
      <c r="U1000" s="143" t="s">
        <v>1674</v>
      </c>
      <c r="V1000">
        <v>0</v>
      </c>
      <c r="W1000">
        <v>0</v>
      </c>
      <c r="X1000">
        <v>0</v>
      </c>
      <c r="Y1000">
        <v>0</v>
      </c>
      <c r="Z1000">
        <v>0</v>
      </c>
      <c r="AA1000">
        <v>0</v>
      </c>
      <c r="AB1000">
        <v>0</v>
      </c>
      <c r="AC1000">
        <v>0</v>
      </c>
      <c r="AD1000">
        <v>0</v>
      </c>
      <c r="AE1000">
        <v>0</v>
      </c>
      <c r="AF1000">
        <v>0</v>
      </c>
      <c r="AG1000">
        <v>0</v>
      </c>
      <c r="AH1000">
        <v>0</v>
      </c>
      <c r="AI1000">
        <v>0</v>
      </c>
      <c r="AJ1000">
        <v>0</v>
      </c>
      <c r="AK1000">
        <v>1</v>
      </c>
      <c r="AL1000">
        <v>0</v>
      </c>
      <c r="AM1000">
        <v>0</v>
      </c>
      <c r="AN1000">
        <v>0</v>
      </c>
      <c r="AO1000">
        <v>0</v>
      </c>
      <c r="AP1000">
        <v>0</v>
      </c>
      <c r="AQ1000">
        <v>0</v>
      </c>
      <c r="AR1000">
        <v>0</v>
      </c>
      <c r="AS1000">
        <v>0</v>
      </c>
      <c r="AT1000">
        <v>0</v>
      </c>
      <c r="AU1000">
        <v>0</v>
      </c>
      <c r="AV1000">
        <v>0</v>
      </c>
      <c r="AW1000">
        <v>0</v>
      </c>
      <c r="AX1000" s="141">
        <f t="shared" si="213"/>
        <v>1</v>
      </c>
      <c r="AY1000" s="141">
        <f t="shared" si="235"/>
        <v>1</v>
      </c>
      <c r="AZ1000">
        <f t="shared" si="236"/>
        <v>0</v>
      </c>
      <c r="BA1000">
        <f t="shared" si="237"/>
        <v>0</v>
      </c>
      <c r="BB1000">
        <f t="shared" si="238"/>
        <v>1</v>
      </c>
      <c r="BC1000">
        <f t="shared" si="239"/>
        <v>0</v>
      </c>
      <c r="BD1000">
        <f t="shared" si="240"/>
        <v>0</v>
      </c>
      <c r="BE1000" t="str">
        <f t="array" ref="BE1000">IF(AY1000=1,INDEX($V$7:$AL$7,MATCH(TRUE,INDEX($V1000:$AW1000&lt;&gt;0,),0)),IF(AY1000=0,INDEX($AM$7:$AW$7,MATCH(1,$AM1000:$AW1000,0)),IF(BF1000="Multiple strategies","mixed drivers",IF(BF1000="Supply chain","multiple supply","multiple silviculture"))))</f>
        <v>technologies/design switch</v>
      </c>
      <c r="BF1000" s="2" t="str" cm="1">
        <f t="array" ref="BF1000">IF(COUNTIF(AZ1000:BB1000,"&lt;&gt;0")=1,INDEX($V$4:$AW$4,MATCH(TRUE,INDEX($V1000:$AW1000&lt;&gt;0,),0)),IF(COUNTIF(AZ1000:BB1000,"&lt;&gt;0")=0,INDEX($AM$4:$AW$4,MATCH(1,$AM1000:$AW1000,0)),"Multiple strategies"))</f>
        <v>Technology</v>
      </c>
      <c r="BG1000" s="142" t="s">
        <v>230</v>
      </c>
      <c r="BH1000" t="s">
        <v>1669</v>
      </c>
      <c r="BI1000" s="266" t="s">
        <v>1059</v>
      </c>
      <c r="BJ1000" s="143" t="s">
        <v>3267</v>
      </c>
      <c r="BK1000">
        <v>0</v>
      </c>
      <c r="BL1000" s="143">
        <v>102.4</v>
      </c>
      <c r="BM1000" s="143"/>
      <c r="BN1000">
        <f t="shared" si="222"/>
        <v>102.4</v>
      </c>
      <c r="BO1000" s="143">
        <f t="shared" si="250"/>
        <v>16.732026143790851</v>
      </c>
      <c r="BP1000" t="s">
        <v>233</v>
      </c>
      <c r="BR1000" t="s">
        <v>940</v>
      </c>
      <c r="BS1000" s="143">
        <v>-1</v>
      </c>
      <c r="BT1000" s="151">
        <v>0</v>
      </c>
      <c r="BU1000">
        <v>0</v>
      </c>
      <c r="BV1000">
        <v>1</v>
      </c>
      <c r="BX1000">
        <f t="shared" si="251"/>
        <v>3.67</v>
      </c>
      <c r="BY1000">
        <f t="shared" si="241"/>
        <v>0.21933984374999999</v>
      </c>
      <c r="BZ1000" s="143">
        <v>0</v>
      </c>
      <c r="CA1000" s="143">
        <v>0</v>
      </c>
      <c r="CB1000" s="143">
        <v>0</v>
      </c>
      <c r="CC1000" s="143">
        <v>0</v>
      </c>
      <c r="CD1000" s="143">
        <v>0</v>
      </c>
      <c r="CE1000" s="143">
        <v>0</v>
      </c>
      <c r="CF1000" s="143">
        <v>0</v>
      </c>
      <c r="CG1000" s="143">
        <v>0</v>
      </c>
      <c r="CH1000" s="143">
        <v>0</v>
      </c>
      <c r="CI1000" s="143">
        <v>0</v>
      </c>
      <c r="CJ1000" s="143">
        <v>0</v>
      </c>
      <c r="CK1000" s="143">
        <v>0</v>
      </c>
      <c r="CL1000" s="143">
        <v>0</v>
      </c>
      <c r="CM1000">
        <v>1</v>
      </c>
      <c r="CN1000" t="str">
        <f t="shared" si="254"/>
        <v>refOK</v>
      </c>
      <c r="CO1000">
        <f t="shared" si="252"/>
        <v>0</v>
      </c>
      <c r="CP1000">
        <f t="shared" si="253"/>
        <v>102.4</v>
      </c>
      <c r="CQ1000">
        <f t="shared" si="221"/>
        <v>16.732026143790851</v>
      </c>
      <c r="CR1000">
        <f t="shared" si="210"/>
        <v>-1</v>
      </c>
      <c r="CS1000">
        <f t="shared" si="249"/>
        <v>0</v>
      </c>
      <c r="CT1000">
        <f t="shared" si="214"/>
        <v>3.67</v>
      </c>
      <c r="CU1000">
        <f t="shared" si="204"/>
        <v>0.21933984374999999</v>
      </c>
      <c r="CV1000" s="2">
        <f t="shared" si="215"/>
        <v>1</v>
      </c>
      <c r="CW1000" s="1" t="s">
        <v>1205</v>
      </c>
      <c r="CX1000" t="str">
        <f t="shared" si="242"/>
        <v>reg</v>
      </c>
      <c r="CY1000" t="s">
        <v>445</v>
      </c>
      <c r="DA1000" s="143"/>
      <c r="DB1000" s="143">
        <v>0</v>
      </c>
      <c r="DC1000" t="str">
        <f t="shared" si="243"/>
        <v>0</v>
      </c>
      <c r="DD1000">
        <v>0</v>
      </c>
      <c r="DE1000">
        <v>1</v>
      </c>
      <c r="DF1000">
        <v>0</v>
      </c>
      <c r="DG1000">
        <v>0</v>
      </c>
      <c r="DI1000">
        <f t="shared" si="230"/>
        <v>1</v>
      </c>
      <c r="DJ1000" t="str">
        <f t="shared" si="203"/>
        <v>EnergyInput</v>
      </c>
      <c r="DK1000">
        <f t="shared" si="223"/>
        <v>0</v>
      </c>
      <c r="DL1000" t="str">
        <f t="shared" si="224"/>
        <v>Energy</v>
      </c>
      <c r="DM1000">
        <f t="shared" si="225"/>
        <v>0</v>
      </c>
      <c r="DN1000">
        <f t="shared" si="226"/>
        <v>0</v>
      </c>
      <c r="DO1000">
        <v>0</v>
      </c>
      <c r="DP1000" s="143">
        <v>0</v>
      </c>
      <c r="DQ1000" s="143">
        <v>0</v>
      </c>
      <c r="DR1000">
        <v>0</v>
      </c>
      <c r="DS1000" s="143">
        <v>0</v>
      </c>
      <c r="DT1000">
        <f t="shared" si="212"/>
        <v>0</v>
      </c>
      <c r="DU1000" s="143" t="str">
        <f t="shared" si="245"/>
        <v>explicit C balance</v>
      </c>
      <c r="DV1000" s="143">
        <v>0</v>
      </c>
      <c r="DW1000" s="143">
        <v>0</v>
      </c>
      <c r="DX1000" s="143">
        <v>0</v>
      </c>
      <c r="DY1000" s="143">
        <v>0</v>
      </c>
      <c r="DZ1000">
        <v>0</v>
      </c>
      <c r="EA1000" s="143">
        <v>0</v>
      </c>
      <c r="EB1000" s="143">
        <v>0</v>
      </c>
      <c r="EC1000" s="143">
        <v>1</v>
      </c>
      <c r="ED1000" s="143">
        <v>0</v>
      </c>
      <c r="EE1000">
        <v>0</v>
      </c>
      <c r="EF1000">
        <v>0</v>
      </c>
      <c r="EG1000" s="143">
        <v>0</v>
      </c>
      <c r="EH1000" s="143">
        <v>0</v>
      </c>
      <c r="EI1000" s="2">
        <v>0</v>
      </c>
      <c r="EK1000" t="str">
        <f t="shared" si="227"/>
        <v/>
      </c>
      <c r="EL1000" t="str">
        <f t="shared" si="228"/>
        <v/>
      </c>
      <c r="EM1000" s="2" t="str">
        <f t="shared" si="244"/>
        <v/>
      </c>
      <c r="EP1000" t="str">
        <f>IF(ISNUMBER(BU1000),IF(ABS(BU1000-[3]QC_indicators!$B$2)&gt;3*[3]QC_indicators!$C$2,"C ratio",IF(ISNUMBER(BY1000),IF(ABS(BY1000-[3]QC_indicators!$B$1)&gt;3*[3]QC_indicators!$C$1,"DF","no"))),IF(ISNUMBER(BY1000),IF(ABS(BY1000-[3]QC_indicators!$B$1)&gt;3*[3]QC_indicators!$C$1,"DF","no")))</f>
        <v>no</v>
      </c>
      <c r="ER1000" s="149" t="s">
        <v>350</v>
      </c>
      <c r="ET1000" s="266" t="s">
        <v>3268</v>
      </c>
    </row>
    <row r="1001" spans="1:151" ht="15" hidden="1" customHeight="1">
      <c r="D1001" t="s">
        <v>1663</v>
      </c>
      <c r="E1001" t="s">
        <v>1664</v>
      </c>
      <c r="G1001" t="s">
        <v>1665</v>
      </c>
      <c r="I1001">
        <v>2007</v>
      </c>
      <c r="K1001" t="s">
        <v>1666</v>
      </c>
      <c r="M1001" t="str">
        <f t="shared" si="201"/>
        <v>Gustavsson_2007</v>
      </c>
      <c r="N1001" t="s">
        <v>223</v>
      </c>
      <c r="O1001" t="s">
        <v>224</v>
      </c>
      <c r="Q1001" t="s">
        <v>257</v>
      </c>
      <c r="R1001" s="271" t="s">
        <v>275</v>
      </c>
      <c r="S1001" s="1" t="s">
        <v>1667</v>
      </c>
      <c r="T1001" t="s">
        <v>1675</v>
      </c>
      <c r="U1001" s="143" t="s">
        <v>1676</v>
      </c>
      <c r="V1001">
        <v>0</v>
      </c>
      <c r="W1001">
        <v>0</v>
      </c>
      <c r="X1001">
        <v>0</v>
      </c>
      <c r="Y1001">
        <v>0</v>
      </c>
      <c r="Z1001">
        <v>0</v>
      </c>
      <c r="AA1001">
        <v>0</v>
      </c>
      <c r="AB1001">
        <v>0</v>
      </c>
      <c r="AC1001">
        <v>0</v>
      </c>
      <c r="AD1001">
        <v>0</v>
      </c>
      <c r="AE1001">
        <v>0</v>
      </c>
      <c r="AF1001">
        <v>0</v>
      </c>
      <c r="AG1001">
        <v>0</v>
      </c>
      <c r="AH1001">
        <v>0</v>
      </c>
      <c r="AI1001">
        <v>0</v>
      </c>
      <c r="AJ1001">
        <v>0</v>
      </c>
      <c r="AK1001">
        <v>1</v>
      </c>
      <c r="AL1001">
        <v>0</v>
      </c>
      <c r="AM1001">
        <v>0</v>
      </c>
      <c r="AN1001">
        <v>0</v>
      </c>
      <c r="AO1001">
        <v>0</v>
      </c>
      <c r="AP1001">
        <v>0</v>
      </c>
      <c r="AQ1001">
        <v>0</v>
      </c>
      <c r="AR1001">
        <v>0</v>
      </c>
      <c r="AS1001">
        <v>0</v>
      </c>
      <c r="AT1001">
        <v>0</v>
      </c>
      <c r="AU1001">
        <v>0</v>
      </c>
      <c r="AV1001">
        <v>0</v>
      </c>
      <c r="AW1001">
        <v>0</v>
      </c>
      <c r="AX1001" s="141">
        <f t="shared" si="213"/>
        <v>1</v>
      </c>
      <c r="AY1001" s="141">
        <f t="shared" si="235"/>
        <v>1</v>
      </c>
      <c r="AZ1001">
        <f t="shared" si="236"/>
        <v>0</v>
      </c>
      <c r="BA1001">
        <f t="shared" si="237"/>
        <v>0</v>
      </c>
      <c r="BB1001">
        <f t="shared" si="238"/>
        <v>1</v>
      </c>
      <c r="BC1001">
        <f t="shared" si="239"/>
        <v>0</v>
      </c>
      <c r="BD1001">
        <f t="shared" si="240"/>
        <v>0</v>
      </c>
      <c r="BE1001" t="str">
        <f t="array" ref="BE1001">IF(AY1001=1,INDEX($V$7:$AL$7,MATCH(TRUE,INDEX($V1001:$AW1001&lt;&gt;0,),0)),IF(AY1001=0,INDEX($AM$7:$AW$7,MATCH(1,$AM1001:$AW1001,0)),IF(BF1001="Multiple strategies","mixed drivers",IF(BF1001="Supply chain","multiple supply","multiple silviculture"))))</f>
        <v>technologies/design switch</v>
      </c>
      <c r="BF1001" s="2" t="str" cm="1">
        <f t="array" ref="BF1001">IF(COUNTIF(AZ1001:BB1001,"&lt;&gt;0")=1,INDEX($V$4:$AW$4,MATCH(TRUE,INDEX($V1001:$AW1001&lt;&gt;0,),0)),IF(COUNTIF(AZ1001:BB1001,"&lt;&gt;0")=0,INDEX($AM$4:$AW$4,MATCH(1,$AM1001:$AW1001,0)),"Multiple strategies"))</f>
        <v>Technology</v>
      </c>
      <c r="BG1001" s="142" t="s">
        <v>230</v>
      </c>
      <c r="BH1001" t="s">
        <v>1669</v>
      </c>
      <c r="BI1001" s="266" t="s">
        <v>1059</v>
      </c>
      <c r="BJ1001" s="143" t="s">
        <v>3267</v>
      </c>
      <c r="BK1001">
        <v>0</v>
      </c>
      <c r="BL1001" s="143">
        <v>79.599999999999994</v>
      </c>
      <c r="BM1001" s="143"/>
      <c r="BN1001">
        <f t="shared" si="222"/>
        <v>79.599999999999994</v>
      </c>
      <c r="BO1001" s="143">
        <f t="shared" si="250"/>
        <v>13.006535947712418</v>
      </c>
      <c r="BP1001" t="s">
        <v>233</v>
      </c>
      <c r="BR1001" t="s">
        <v>940</v>
      </c>
      <c r="BS1001" s="143">
        <v>-1</v>
      </c>
      <c r="BT1001" s="151">
        <v>0</v>
      </c>
      <c r="BU1001">
        <v>0</v>
      </c>
      <c r="BV1001">
        <v>1</v>
      </c>
      <c r="BX1001">
        <f t="shared" si="251"/>
        <v>3.67</v>
      </c>
      <c r="BY1001">
        <f t="shared" si="241"/>
        <v>0.28216582914572863</v>
      </c>
      <c r="BZ1001" s="143">
        <v>0</v>
      </c>
      <c r="CA1001" s="143">
        <v>0</v>
      </c>
      <c r="CB1001" s="143">
        <v>0</v>
      </c>
      <c r="CC1001" s="143">
        <v>0</v>
      </c>
      <c r="CD1001" s="143">
        <v>0</v>
      </c>
      <c r="CE1001" s="143">
        <v>0</v>
      </c>
      <c r="CF1001" s="143">
        <v>0</v>
      </c>
      <c r="CG1001" s="143">
        <v>0</v>
      </c>
      <c r="CH1001" s="143">
        <v>0</v>
      </c>
      <c r="CI1001" s="143">
        <v>0</v>
      </c>
      <c r="CJ1001" s="143">
        <v>0</v>
      </c>
      <c r="CK1001" s="143">
        <v>0</v>
      </c>
      <c r="CL1001" s="143">
        <v>0</v>
      </c>
      <c r="CM1001">
        <v>1</v>
      </c>
      <c r="CN1001" t="str">
        <f t="shared" si="254"/>
        <v>refOK</v>
      </c>
      <c r="CO1001">
        <f t="shared" si="252"/>
        <v>0</v>
      </c>
      <c r="CP1001">
        <f t="shared" si="253"/>
        <v>79.599999999999994</v>
      </c>
      <c r="CQ1001">
        <f t="shared" si="221"/>
        <v>13.006535947712418</v>
      </c>
      <c r="CR1001">
        <f t="shared" si="210"/>
        <v>-1</v>
      </c>
      <c r="CS1001">
        <f t="shared" si="249"/>
        <v>0</v>
      </c>
      <c r="CT1001">
        <f t="shared" si="214"/>
        <v>3.67</v>
      </c>
      <c r="CU1001">
        <f t="shared" si="204"/>
        <v>0.28216582914572863</v>
      </c>
      <c r="CV1001" s="2">
        <f t="shared" si="215"/>
        <v>1</v>
      </c>
      <c r="CW1001" s="1" t="s">
        <v>1205</v>
      </c>
      <c r="CX1001" t="str">
        <f t="shared" si="242"/>
        <v>reg</v>
      </c>
      <c r="CY1001" t="s">
        <v>445</v>
      </c>
      <c r="DA1001" s="143"/>
      <c r="DB1001" s="143">
        <v>0</v>
      </c>
      <c r="DC1001" t="str">
        <f t="shared" si="243"/>
        <v>0</v>
      </c>
      <c r="DD1001">
        <v>0</v>
      </c>
      <c r="DE1001">
        <v>1</v>
      </c>
      <c r="DF1001">
        <v>0</v>
      </c>
      <c r="DG1001">
        <v>0</v>
      </c>
      <c r="DI1001">
        <f t="shared" si="230"/>
        <v>1</v>
      </c>
      <c r="DJ1001" t="str">
        <f t="shared" si="203"/>
        <v>EnergyInput</v>
      </c>
      <c r="DK1001">
        <f t="shared" si="223"/>
        <v>0</v>
      </c>
      <c r="DL1001" t="str">
        <f t="shared" si="224"/>
        <v>Energy</v>
      </c>
      <c r="DM1001">
        <f t="shared" si="225"/>
        <v>0</v>
      </c>
      <c r="DN1001">
        <f t="shared" si="226"/>
        <v>0</v>
      </c>
      <c r="DO1001">
        <v>0</v>
      </c>
      <c r="DP1001" s="143">
        <v>0</v>
      </c>
      <c r="DQ1001" s="143">
        <v>0</v>
      </c>
      <c r="DR1001">
        <v>0</v>
      </c>
      <c r="DS1001" s="143">
        <v>0</v>
      </c>
      <c r="DT1001">
        <f t="shared" si="212"/>
        <v>0</v>
      </c>
      <c r="DU1001" s="143" t="str">
        <f t="shared" si="245"/>
        <v>explicit C balance</v>
      </c>
      <c r="DV1001" s="143">
        <v>0</v>
      </c>
      <c r="DW1001" s="143">
        <v>0</v>
      </c>
      <c r="DX1001" s="143">
        <v>0</v>
      </c>
      <c r="DY1001" s="143">
        <v>0</v>
      </c>
      <c r="DZ1001">
        <v>0</v>
      </c>
      <c r="EA1001" s="143">
        <v>0</v>
      </c>
      <c r="EB1001" s="143">
        <v>0</v>
      </c>
      <c r="EC1001" s="143">
        <v>1</v>
      </c>
      <c r="ED1001" s="143">
        <v>0</v>
      </c>
      <c r="EE1001">
        <v>0</v>
      </c>
      <c r="EF1001">
        <v>0</v>
      </c>
      <c r="EG1001" s="143">
        <v>0</v>
      </c>
      <c r="EH1001" s="143">
        <v>0</v>
      </c>
      <c r="EI1001" s="2">
        <v>0</v>
      </c>
      <c r="EK1001" t="str">
        <f t="shared" si="227"/>
        <v/>
      </c>
      <c r="EL1001" t="str">
        <f t="shared" si="228"/>
        <v/>
      </c>
      <c r="EM1001" s="2" t="str">
        <f t="shared" si="244"/>
        <v/>
      </c>
      <c r="EP1001" t="str">
        <f>IF(ISNUMBER(BU1001),IF(ABS(BU1001-[3]QC_indicators!$B$2)&gt;3*[3]QC_indicators!$C$2,"C ratio",IF(ISNUMBER(BY1001),IF(ABS(BY1001-[3]QC_indicators!$B$1)&gt;3*[3]QC_indicators!$C$1,"DF","no"))),IF(ISNUMBER(BY1001),IF(ABS(BY1001-[3]QC_indicators!$B$1)&gt;3*[3]QC_indicators!$C$1,"DF","no")))</f>
        <v>no</v>
      </c>
      <c r="ER1001" s="149" t="s">
        <v>350</v>
      </c>
      <c r="ET1001" s="266" t="s">
        <v>3268</v>
      </c>
    </row>
    <row r="1002" spans="1:151" ht="15" hidden="1" customHeight="1">
      <c r="D1002" t="s">
        <v>1663</v>
      </c>
      <c r="E1002" t="s">
        <v>1664</v>
      </c>
      <c r="G1002" t="s">
        <v>1665</v>
      </c>
      <c r="I1002">
        <v>2007</v>
      </c>
      <c r="K1002" t="s">
        <v>1666</v>
      </c>
      <c r="M1002" t="str">
        <f t="shared" si="201"/>
        <v>Gustavsson_2007</v>
      </c>
      <c r="N1002" t="s">
        <v>223</v>
      </c>
      <c r="O1002" t="s">
        <v>224</v>
      </c>
      <c r="Q1002" t="s">
        <v>257</v>
      </c>
      <c r="R1002" s="271" t="s">
        <v>275</v>
      </c>
      <c r="S1002" s="1" t="s">
        <v>1667</v>
      </c>
      <c r="T1002" t="s">
        <v>1677</v>
      </c>
      <c r="U1002" s="143" t="s">
        <v>1678</v>
      </c>
      <c r="V1002">
        <v>0</v>
      </c>
      <c r="W1002">
        <v>0</v>
      </c>
      <c r="X1002">
        <v>0</v>
      </c>
      <c r="Y1002">
        <v>0</v>
      </c>
      <c r="Z1002">
        <v>0</v>
      </c>
      <c r="AA1002">
        <v>0</v>
      </c>
      <c r="AB1002">
        <v>0</v>
      </c>
      <c r="AC1002">
        <v>0</v>
      </c>
      <c r="AD1002">
        <v>0</v>
      </c>
      <c r="AE1002">
        <v>0</v>
      </c>
      <c r="AF1002">
        <v>0</v>
      </c>
      <c r="AG1002">
        <v>0</v>
      </c>
      <c r="AH1002">
        <v>0</v>
      </c>
      <c r="AI1002">
        <v>0</v>
      </c>
      <c r="AJ1002">
        <v>0</v>
      </c>
      <c r="AK1002">
        <v>1</v>
      </c>
      <c r="AL1002">
        <v>0</v>
      </c>
      <c r="AM1002">
        <v>0</v>
      </c>
      <c r="AN1002">
        <v>0</v>
      </c>
      <c r="AO1002">
        <v>0</v>
      </c>
      <c r="AP1002">
        <v>0</v>
      </c>
      <c r="AQ1002">
        <v>0</v>
      </c>
      <c r="AR1002">
        <v>0</v>
      </c>
      <c r="AS1002">
        <v>0</v>
      </c>
      <c r="AT1002">
        <v>0</v>
      </c>
      <c r="AU1002">
        <v>0</v>
      </c>
      <c r="AV1002">
        <v>0</v>
      </c>
      <c r="AW1002">
        <v>0</v>
      </c>
      <c r="AX1002" s="141">
        <f t="shared" si="213"/>
        <v>1</v>
      </c>
      <c r="AY1002" s="141">
        <f t="shared" si="235"/>
        <v>1</v>
      </c>
      <c r="AZ1002">
        <f t="shared" si="236"/>
        <v>0</v>
      </c>
      <c r="BA1002">
        <f t="shared" si="237"/>
        <v>0</v>
      </c>
      <c r="BB1002">
        <f t="shared" si="238"/>
        <v>1</v>
      </c>
      <c r="BC1002">
        <f t="shared" si="239"/>
        <v>0</v>
      </c>
      <c r="BD1002">
        <f t="shared" si="240"/>
        <v>0</v>
      </c>
      <c r="BE1002" t="str">
        <f t="array" ref="BE1002">IF(AY1002=1,INDEX($V$7:$AL$7,MATCH(TRUE,INDEX($V1002:$AW1002&lt;&gt;0,),0)),IF(AY1002=0,INDEX($AM$7:$AW$7,MATCH(1,$AM1002:$AW1002,0)),IF(BF1002="Multiple strategies","mixed drivers",IF(BF1002="Supply chain","multiple supply","multiple silviculture"))))</f>
        <v>technologies/design switch</v>
      </c>
      <c r="BF1002" s="2" t="str" cm="1">
        <f t="array" ref="BF1002">IF(COUNTIF(AZ1002:BB1002,"&lt;&gt;0")=1,INDEX($V$4:$AW$4,MATCH(TRUE,INDEX($V1002:$AW1002&lt;&gt;0,),0)),IF(COUNTIF(AZ1002:BB1002,"&lt;&gt;0")=0,INDEX($AM$4:$AW$4,MATCH(1,$AM1002:$AW1002,0)),"Multiple strategies"))</f>
        <v>Technology</v>
      </c>
      <c r="BG1002" s="142" t="s">
        <v>230</v>
      </c>
      <c r="BH1002" t="s">
        <v>1669</v>
      </c>
      <c r="BI1002" s="266" t="s">
        <v>1059</v>
      </c>
      <c r="BJ1002" s="143" t="s">
        <v>3267</v>
      </c>
      <c r="BK1002">
        <v>0</v>
      </c>
      <c r="BL1002" s="143">
        <v>74.7</v>
      </c>
      <c r="BM1002" s="143"/>
      <c r="BN1002">
        <f t="shared" si="222"/>
        <v>74.7</v>
      </c>
      <c r="BO1002" s="143">
        <f t="shared" si="250"/>
        <v>12.205882352941176</v>
      </c>
      <c r="BP1002" t="s">
        <v>233</v>
      </c>
      <c r="BR1002" t="s">
        <v>940</v>
      </c>
      <c r="BS1002" s="143">
        <v>-1</v>
      </c>
      <c r="BT1002" s="151">
        <v>0</v>
      </c>
      <c r="BU1002">
        <v>0</v>
      </c>
      <c r="BV1002">
        <v>1</v>
      </c>
      <c r="BX1002">
        <f t="shared" si="251"/>
        <v>3.67</v>
      </c>
      <c r="BY1002">
        <f t="shared" si="241"/>
        <v>0.30067469879518072</v>
      </c>
      <c r="BZ1002" s="143">
        <v>0</v>
      </c>
      <c r="CA1002" s="143">
        <v>0</v>
      </c>
      <c r="CB1002" s="143">
        <v>0</v>
      </c>
      <c r="CC1002" s="143">
        <v>0</v>
      </c>
      <c r="CD1002" s="143">
        <v>0</v>
      </c>
      <c r="CE1002" s="143">
        <v>0</v>
      </c>
      <c r="CF1002" s="143">
        <v>0</v>
      </c>
      <c r="CG1002" s="143">
        <v>0</v>
      </c>
      <c r="CH1002" s="143">
        <v>0</v>
      </c>
      <c r="CI1002" s="143">
        <v>0</v>
      </c>
      <c r="CJ1002" s="143">
        <v>0</v>
      </c>
      <c r="CK1002" s="143">
        <v>0</v>
      </c>
      <c r="CL1002" s="143">
        <v>0</v>
      </c>
      <c r="CM1002">
        <v>1</v>
      </c>
      <c r="CN1002" t="str">
        <f t="shared" si="254"/>
        <v>refOK</v>
      </c>
      <c r="CO1002">
        <f t="shared" si="252"/>
        <v>0</v>
      </c>
      <c r="CP1002">
        <f t="shared" si="253"/>
        <v>74.7</v>
      </c>
      <c r="CQ1002">
        <f t="shared" si="221"/>
        <v>12.205882352941176</v>
      </c>
      <c r="CR1002">
        <f t="shared" si="210"/>
        <v>-1</v>
      </c>
      <c r="CS1002">
        <f t="shared" si="249"/>
        <v>0</v>
      </c>
      <c r="CT1002">
        <f t="shared" si="214"/>
        <v>3.67</v>
      </c>
      <c r="CU1002">
        <f t="shared" si="204"/>
        <v>0.30067469879518072</v>
      </c>
      <c r="CV1002" s="2">
        <f t="shared" si="215"/>
        <v>1</v>
      </c>
      <c r="CW1002" s="1" t="s">
        <v>1205</v>
      </c>
      <c r="CX1002" t="str">
        <f t="shared" si="242"/>
        <v>reg</v>
      </c>
      <c r="CY1002" t="s">
        <v>445</v>
      </c>
      <c r="DA1002" s="143"/>
      <c r="DB1002" s="143">
        <v>0</v>
      </c>
      <c r="DC1002" t="str">
        <f t="shared" si="243"/>
        <v>0</v>
      </c>
      <c r="DD1002">
        <v>0</v>
      </c>
      <c r="DE1002">
        <v>1</v>
      </c>
      <c r="DF1002">
        <v>0</v>
      </c>
      <c r="DG1002">
        <v>0</v>
      </c>
      <c r="DI1002">
        <f t="shared" si="230"/>
        <v>1</v>
      </c>
      <c r="DJ1002" t="str">
        <f t="shared" si="203"/>
        <v>EnergyInput</v>
      </c>
      <c r="DK1002">
        <f t="shared" si="223"/>
        <v>0</v>
      </c>
      <c r="DL1002" t="str">
        <f t="shared" si="224"/>
        <v>Energy</v>
      </c>
      <c r="DM1002">
        <f t="shared" si="225"/>
        <v>0</v>
      </c>
      <c r="DN1002">
        <f t="shared" si="226"/>
        <v>0</v>
      </c>
      <c r="DO1002">
        <v>0</v>
      </c>
      <c r="DP1002" s="143">
        <v>0</v>
      </c>
      <c r="DQ1002" s="143">
        <v>0</v>
      </c>
      <c r="DR1002">
        <v>0</v>
      </c>
      <c r="DS1002" s="143">
        <v>0</v>
      </c>
      <c r="DT1002">
        <f t="shared" si="212"/>
        <v>0</v>
      </c>
      <c r="DU1002" s="143" t="str">
        <f t="shared" si="245"/>
        <v>explicit C balance</v>
      </c>
      <c r="DV1002" s="143">
        <v>0</v>
      </c>
      <c r="DW1002" s="143">
        <v>0</v>
      </c>
      <c r="DX1002" s="143">
        <v>0</v>
      </c>
      <c r="DY1002" s="143">
        <v>0</v>
      </c>
      <c r="DZ1002">
        <v>0</v>
      </c>
      <c r="EA1002" s="143">
        <v>0</v>
      </c>
      <c r="EB1002" s="143">
        <v>0</v>
      </c>
      <c r="EC1002" s="143">
        <v>1</v>
      </c>
      <c r="ED1002" s="143">
        <v>0</v>
      </c>
      <c r="EE1002">
        <v>0</v>
      </c>
      <c r="EF1002">
        <v>0</v>
      </c>
      <c r="EG1002" s="143">
        <v>0</v>
      </c>
      <c r="EH1002" s="143">
        <v>0</v>
      </c>
      <c r="EI1002" s="2">
        <v>0</v>
      </c>
      <c r="EK1002" t="str">
        <f t="shared" si="227"/>
        <v/>
      </c>
      <c r="EL1002" t="str">
        <f t="shared" si="228"/>
        <v/>
      </c>
      <c r="EM1002" s="2" t="str">
        <f t="shared" si="244"/>
        <v/>
      </c>
      <c r="EP1002" t="str">
        <f>IF(ISNUMBER(BU1002),IF(ABS(BU1002-[3]QC_indicators!$B$2)&gt;3*[3]QC_indicators!$C$2,"C ratio",IF(ISNUMBER(BY1002),IF(ABS(BY1002-[3]QC_indicators!$B$1)&gt;3*[3]QC_indicators!$C$1,"DF","no"))),IF(ISNUMBER(BY1002),IF(ABS(BY1002-[3]QC_indicators!$B$1)&gt;3*[3]QC_indicators!$C$1,"DF","no")))</f>
        <v>no</v>
      </c>
      <c r="ER1002" s="149" t="s">
        <v>350</v>
      </c>
      <c r="ET1002" s="266" t="s">
        <v>3268</v>
      </c>
    </row>
    <row r="1003" spans="1:151" ht="15" hidden="1" customHeight="1">
      <c r="D1003" t="s">
        <v>1663</v>
      </c>
      <c r="E1003" t="s">
        <v>1664</v>
      </c>
      <c r="G1003" t="s">
        <v>1665</v>
      </c>
      <c r="I1003">
        <v>2007</v>
      </c>
      <c r="K1003" t="s">
        <v>1666</v>
      </c>
      <c r="M1003" t="str">
        <f t="shared" ref="M1003:M1066" si="255">LEFT($D1003,FIND(",",$D1003)-1)&amp;"_"&amp;I1003&amp;L1003</f>
        <v>Gustavsson_2007</v>
      </c>
      <c r="N1003" t="s">
        <v>223</v>
      </c>
      <c r="O1003" t="s">
        <v>224</v>
      </c>
      <c r="Q1003" t="s">
        <v>257</v>
      </c>
      <c r="R1003" s="271" t="s">
        <v>275</v>
      </c>
      <c r="S1003" s="1" t="s">
        <v>1667</v>
      </c>
      <c r="T1003" t="s">
        <v>1679</v>
      </c>
      <c r="U1003" s="143" t="s">
        <v>1680</v>
      </c>
      <c r="V1003">
        <v>0</v>
      </c>
      <c r="W1003">
        <v>0</v>
      </c>
      <c r="X1003">
        <v>0</v>
      </c>
      <c r="Y1003">
        <v>0</v>
      </c>
      <c r="Z1003">
        <v>0</v>
      </c>
      <c r="AA1003">
        <v>0</v>
      </c>
      <c r="AB1003">
        <v>0</v>
      </c>
      <c r="AC1003">
        <v>0</v>
      </c>
      <c r="AD1003">
        <v>0</v>
      </c>
      <c r="AE1003">
        <v>0</v>
      </c>
      <c r="AF1003">
        <v>0</v>
      </c>
      <c r="AG1003">
        <v>0</v>
      </c>
      <c r="AH1003">
        <v>0</v>
      </c>
      <c r="AI1003">
        <v>0</v>
      </c>
      <c r="AJ1003">
        <v>0</v>
      </c>
      <c r="AK1003">
        <v>1</v>
      </c>
      <c r="AL1003">
        <v>0</v>
      </c>
      <c r="AM1003">
        <v>0</v>
      </c>
      <c r="AN1003">
        <v>0</v>
      </c>
      <c r="AO1003">
        <v>0</v>
      </c>
      <c r="AP1003">
        <v>0</v>
      </c>
      <c r="AQ1003">
        <v>0</v>
      </c>
      <c r="AR1003">
        <v>0</v>
      </c>
      <c r="AS1003">
        <v>0</v>
      </c>
      <c r="AT1003">
        <v>0</v>
      </c>
      <c r="AU1003">
        <v>0</v>
      </c>
      <c r="AV1003">
        <v>0</v>
      </c>
      <c r="AW1003">
        <v>0</v>
      </c>
      <c r="AX1003" s="141">
        <f t="shared" si="213"/>
        <v>1</v>
      </c>
      <c r="AY1003" s="141">
        <f t="shared" si="235"/>
        <v>1</v>
      </c>
      <c r="AZ1003">
        <f t="shared" si="236"/>
        <v>0</v>
      </c>
      <c r="BA1003">
        <f t="shared" si="237"/>
        <v>0</v>
      </c>
      <c r="BB1003">
        <f t="shared" si="238"/>
        <v>1</v>
      </c>
      <c r="BC1003">
        <f t="shared" si="239"/>
        <v>0</v>
      </c>
      <c r="BD1003">
        <f t="shared" si="240"/>
        <v>0</v>
      </c>
      <c r="BE1003" t="str">
        <f t="array" ref="BE1003">IF(AY1003=1,INDEX($V$7:$AL$7,MATCH(TRUE,INDEX($V1003:$AW1003&lt;&gt;0,),0)),IF(AY1003=0,INDEX($AM$7:$AW$7,MATCH(1,$AM1003:$AW1003,0)),IF(BF1003="Multiple strategies","mixed drivers",IF(BF1003="Supply chain","multiple supply","multiple silviculture"))))</f>
        <v>technologies/design switch</v>
      </c>
      <c r="BF1003" s="2" t="str" cm="1">
        <f t="array" ref="BF1003">IF(COUNTIF(AZ1003:BB1003,"&lt;&gt;0")=1,INDEX($V$4:$AW$4,MATCH(TRUE,INDEX($V1003:$AW1003&lt;&gt;0,),0)),IF(COUNTIF(AZ1003:BB1003,"&lt;&gt;0")=0,INDEX($AM$4:$AW$4,MATCH(1,$AM1003:$AW1003,0)),"Multiple strategies"))</f>
        <v>Technology</v>
      </c>
      <c r="BG1003" s="142" t="s">
        <v>230</v>
      </c>
      <c r="BH1003" t="s">
        <v>1669</v>
      </c>
      <c r="BI1003" s="266" t="s">
        <v>1059</v>
      </c>
      <c r="BJ1003" s="143" t="s">
        <v>3267</v>
      </c>
      <c r="BK1003">
        <v>0</v>
      </c>
      <c r="BL1003" s="143">
        <v>74</v>
      </c>
      <c r="BM1003" s="143"/>
      <c r="BN1003">
        <f t="shared" si="222"/>
        <v>74</v>
      </c>
      <c r="BO1003" s="143">
        <f t="shared" si="250"/>
        <v>12.091503267973856</v>
      </c>
      <c r="BP1003" t="s">
        <v>233</v>
      </c>
      <c r="BR1003" t="s">
        <v>940</v>
      </c>
      <c r="BS1003" s="143">
        <v>-1</v>
      </c>
      <c r="BT1003" s="151">
        <v>0</v>
      </c>
      <c r="BU1003">
        <v>0</v>
      </c>
      <c r="BV1003">
        <v>1</v>
      </c>
      <c r="BX1003">
        <f t="shared" si="251"/>
        <v>3.67</v>
      </c>
      <c r="BY1003">
        <f t="shared" si="241"/>
        <v>0.30351891891891891</v>
      </c>
      <c r="BZ1003" s="143">
        <v>0</v>
      </c>
      <c r="CA1003" s="143">
        <v>0</v>
      </c>
      <c r="CB1003" s="143">
        <v>0</v>
      </c>
      <c r="CC1003" s="143">
        <v>0</v>
      </c>
      <c r="CD1003" s="143">
        <v>0</v>
      </c>
      <c r="CE1003" s="143">
        <v>0</v>
      </c>
      <c r="CF1003" s="143">
        <v>0</v>
      </c>
      <c r="CG1003" s="143">
        <v>0</v>
      </c>
      <c r="CH1003" s="143">
        <v>0</v>
      </c>
      <c r="CI1003" s="143">
        <v>0</v>
      </c>
      <c r="CJ1003" s="143">
        <v>0</v>
      </c>
      <c r="CK1003" s="143">
        <v>0</v>
      </c>
      <c r="CL1003" s="143">
        <v>0</v>
      </c>
      <c r="CM1003">
        <v>1</v>
      </c>
      <c r="CN1003" t="str">
        <f t="shared" si="254"/>
        <v>refOK</v>
      </c>
      <c r="CO1003">
        <f t="shared" si="252"/>
        <v>0</v>
      </c>
      <c r="CP1003">
        <f t="shared" si="253"/>
        <v>74</v>
      </c>
      <c r="CQ1003">
        <f t="shared" si="221"/>
        <v>12.091503267973856</v>
      </c>
      <c r="CR1003">
        <f t="shared" si="210"/>
        <v>-1</v>
      </c>
      <c r="CS1003">
        <f t="shared" si="249"/>
        <v>0</v>
      </c>
      <c r="CT1003">
        <f t="shared" si="214"/>
        <v>3.67</v>
      </c>
      <c r="CU1003">
        <f t="shared" si="204"/>
        <v>0.30351891891891891</v>
      </c>
      <c r="CV1003" s="2">
        <f t="shared" si="215"/>
        <v>1</v>
      </c>
      <c r="CW1003" s="1" t="s">
        <v>1205</v>
      </c>
      <c r="CX1003" t="str">
        <f t="shared" si="242"/>
        <v>reg</v>
      </c>
      <c r="CY1003" t="s">
        <v>445</v>
      </c>
      <c r="DA1003" s="143"/>
      <c r="DB1003" s="143">
        <v>0</v>
      </c>
      <c r="DC1003" t="str">
        <f t="shared" si="243"/>
        <v>0</v>
      </c>
      <c r="DD1003">
        <v>0</v>
      </c>
      <c r="DE1003">
        <v>1</v>
      </c>
      <c r="DF1003">
        <v>0</v>
      </c>
      <c r="DG1003">
        <v>0</v>
      </c>
      <c r="DI1003">
        <f t="shared" ref="DI1003:DI1015" si="256">SUM(DD1003:DG1003)</f>
        <v>1</v>
      </c>
      <c r="DJ1003" t="str">
        <f t="shared" ref="DJ1003:DJ1066" si="257">IF(DI1003=1,INDEX($DD$7:$DG$7,MATCH(1,$DD1003:$DG1003,0)),"mixedProduct")</f>
        <v>EnergyInput</v>
      </c>
      <c r="DK1003">
        <f t="shared" si="223"/>
        <v>0</v>
      </c>
      <c r="DL1003" t="str">
        <f t="shared" si="224"/>
        <v>Energy</v>
      </c>
      <c r="DM1003">
        <f t="shared" si="225"/>
        <v>0</v>
      </c>
      <c r="DN1003">
        <f t="shared" si="226"/>
        <v>0</v>
      </c>
      <c r="DO1003">
        <v>0</v>
      </c>
      <c r="DP1003" s="143">
        <v>0</v>
      </c>
      <c r="DQ1003" s="143">
        <v>0</v>
      </c>
      <c r="DR1003">
        <v>0</v>
      </c>
      <c r="DS1003" s="143">
        <v>0</v>
      </c>
      <c r="DT1003">
        <f t="shared" si="212"/>
        <v>0</v>
      </c>
      <c r="DU1003" s="143" t="str">
        <f t="shared" si="245"/>
        <v>explicit C balance</v>
      </c>
      <c r="DV1003" s="143">
        <v>0</v>
      </c>
      <c r="DW1003" s="143">
        <v>0</v>
      </c>
      <c r="DX1003" s="143">
        <v>0</v>
      </c>
      <c r="DY1003" s="143">
        <v>0</v>
      </c>
      <c r="DZ1003">
        <v>0</v>
      </c>
      <c r="EA1003" s="143">
        <v>0</v>
      </c>
      <c r="EB1003" s="143">
        <v>0</v>
      </c>
      <c r="EC1003" s="143">
        <v>1</v>
      </c>
      <c r="ED1003" s="143">
        <v>0</v>
      </c>
      <c r="EE1003">
        <v>0</v>
      </c>
      <c r="EF1003">
        <v>0</v>
      </c>
      <c r="EG1003" s="143">
        <v>0</v>
      </c>
      <c r="EH1003" s="143">
        <v>0</v>
      </c>
      <c r="EI1003" s="2">
        <v>0</v>
      </c>
      <c r="EK1003" t="str">
        <f t="shared" si="227"/>
        <v/>
      </c>
      <c r="EL1003" t="str">
        <f t="shared" si="228"/>
        <v/>
      </c>
      <c r="EM1003" s="2" t="str">
        <f t="shared" si="244"/>
        <v/>
      </c>
      <c r="EP1003" t="str">
        <f>IF(ISNUMBER(BU1003),IF(ABS(BU1003-[3]QC_indicators!$B$2)&gt;3*[3]QC_indicators!$C$2,"C ratio",IF(ISNUMBER(BY1003),IF(ABS(BY1003-[3]QC_indicators!$B$1)&gt;3*[3]QC_indicators!$C$1,"DF","no"))),IF(ISNUMBER(BY1003),IF(ABS(BY1003-[3]QC_indicators!$B$1)&gt;3*[3]QC_indicators!$C$1,"DF","no")))</f>
        <v>no</v>
      </c>
      <c r="ER1003" s="149" t="s">
        <v>350</v>
      </c>
      <c r="ET1003" s="266" t="s">
        <v>3268</v>
      </c>
    </row>
    <row r="1004" spans="1:151" ht="15" hidden="1" customHeight="1">
      <c r="D1004" t="s">
        <v>1663</v>
      </c>
      <c r="E1004" t="s">
        <v>1664</v>
      </c>
      <c r="G1004" t="s">
        <v>1665</v>
      </c>
      <c r="I1004">
        <v>2007</v>
      </c>
      <c r="K1004" t="s">
        <v>1666</v>
      </c>
      <c r="M1004" t="str">
        <f t="shared" si="255"/>
        <v>Gustavsson_2007</v>
      </c>
      <c r="N1004" t="s">
        <v>223</v>
      </c>
      <c r="O1004" t="s">
        <v>224</v>
      </c>
      <c r="Q1004" t="s">
        <v>257</v>
      </c>
      <c r="R1004" s="271" t="s">
        <v>275</v>
      </c>
      <c r="S1004" s="1" t="s">
        <v>1667</v>
      </c>
      <c r="T1004" t="s">
        <v>1681</v>
      </c>
      <c r="U1004" s="143" t="s">
        <v>1682</v>
      </c>
      <c r="V1004">
        <v>0</v>
      </c>
      <c r="W1004">
        <v>0</v>
      </c>
      <c r="X1004">
        <v>0</v>
      </c>
      <c r="Y1004">
        <v>0</v>
      </c>
      <c r="Z1004">
        <v>0</v>
      </c>
      <c r="AA1004">
        <v>0</v>
      </c>
      <c r="AB1004">
        <v>0</v>
      </c>
      <c r="AC1004">
        <v>0</v>
      </c>
      <c r="AD1004">
        <v>0</v>
      </c>
      <c r="AE1004">
        <v>0</v>
      </c>
      <c r="AF1004">
        <v>0</v>
      </c>
      <c r="AG1004">
        <v>0</v>
      </c>
      <c r="AH1004">
        <v>0</v>
      </c>
      <c r="AI1004">
        <v>0</v>
      </c>
      <c r="AJ1004">
        <v>0</v>
      </c>
      <c r="AK1004">
        <v>1</v>
      </c>
      <c r="AL1004">
        <v>0</v>
      </c>
      <c r="AM1004">
        <v>0</v>
      </c>
      <c r="AN1004">
        <v>0</v>
      </c>
      <c r="AO1004">
        <v>0</v>
      </c>
      <c r="AP1004">
        <v>0</v>
      </c>
      <c r="AQ1004">
        <v>0</v>
      </c>
      <c r="AR1004">
        <v>0</v>
      </c>
      <c r="AS1004">
        <v>0</v>
      </c>
      <c r="AT1004">
        <v>0</v>
      </c>
      <c r="AU1004">
        <v>0</v>
      </c>
      <c r="AV1004">
        <v>0</v>
      </c>
      <c r="AW1004">
        <v>0</v>
      </c>
      <c r="AX1004" s="141">
        <f t="shared" si="213"/>
        <v>1</v>
      </c>
      <c r="AY1004" s="141">
        <f t="shared" si="235"/>
        <v>1</v>
      </c>
      <c r="AZ1004">
        <f t="shared" si="236"/>
        <v>0</v>
      </c>
      <c r="BA1004">
        <f t="shared" si="237"/>
        <v>0</v>
      </c>
      <c r="BB1004">
        <f t="shared" si="238"/>
        <v>1</v>
      </c>
      <c r="BC1004">
        <f t="shared" si="239"/>
        <v>0</v>
      </c>
      <c r="BD1004">
        <f t="shared" si="240"/>
        <v>0</v>
      </c>
      <c r="BE1004" t="str">
        <f t="array" ref="BE1004">IF(AY1004=1,INDEX($V$7:$AL$7,MATCH(TRUE,INDEX($V1004:$AW1004&lt;&gt;0,),0)),IF(AY1004=0,INDEX($AM$7:$AW$7,MATCH(1,$AM1004:$AW1004,0)),IF(BF1004="Multiple strategies","mixed drivers",IF(BF1004="Supply chain","multiple supply","multiple silviculture"))))</f>
        <v>technologies/design switch</v>
      </c>
      <c r="BF1004" s="2" t="str" cm="1">
        <f t="array" ref="BF1004">IF(COUNTIF(AZ1004:BB1004,"&lt;&gt;0")=1,INDEX($V$4:$AW$4,MATCH(TRUE,INDEX($V1004:$AW1004&lt;&gt;0,),0)),IF(COUNTIF(AZ1004:BB1004,"&lt;&gt;0")=0,INDEX($AM$4:$AW$4,MATCH(1,$AM1004:$AW1004,0)),"Multiple strategies"))</f>
        <v>Technology</v>
      </c>
      <c r="BG1004" s="142" t="s">
        <v>230</v>
      </c>
      <c r="BH1004" t="s">
        <v>1669</v>
      </c>
      <c r="BI1004" s="266" t="s">
        <v>1059</v>
      </c>
      <c r="BJ1004" s="143" t="s">
        <v>3267</v>
      </c>
      <c r="BK1004">
        <v>0</v>
      </c>
      <c r="BL1004" s="143">
        <v>68</v>
      </c>
      <c r="BM1004" s="143" t="e">
        <f>BL1004/BK1004</f>
        <v>#DIV/0!</v>
      </c>
      <c r="BN1004">
        <f t="shared" si="222"/>
        <v>68</v>
      </c>
      <c r="BO1004" s="143">
        <f t="shared" si="250"/>
        <v>11.111111111111111</v>
      </c>
      <c r="BP1004" t="s">
        <v>233</v>
      </c>
      <c r="BR1004" t="s">
        <v>940</v>
      </c>
      <c r="BS1004" s="143">
        <v>-1</v>
      </c>
      <c r="BT1004" s="151">
        <v>0</v>
      </c>
      <c r="BU1004">
        <v>0</v>
      </c>
      <c r="BV1004">
        <v>1</v>
      </c>
      <c r="BX1004">
        <f t="shared" si="251"/>
        <v>3.67</v>
      </c>
      <c r="BY1004">
        <f t="shared" si="241"/>
        <v>0.33029999999999998</v>
      </c>
      <c r="BZ1004" s="143">
        <v>0</v>
      </c>
      <c r="CA1004" s="143">
        <v>0</v>
      </c>
      <c r="CB1004" s="143">
        <v>0</v>
      </c>
      <c r="CC1004" s="143">
        <v>0</v>
      </c>
      <c r="CD1004" s="143">
        <v>0</v>
      </c>
      <c r="CE1004" s="143">
        <v>0</v>
      </c>
      <c r="CF1004" s="143">
        <v>0</v>
      </c>
      <c r="CG1004" s="143">
        <v>0</v>
      </c>
      <c r="CH1004" s="143">
        <v>0</v>
      </c>
      <c r="CI1004" s="143">
        <v>0</v>
      </c>
      <c r="CJ1004" s="143">
        <v>0</v>
      </c>
      <c r="CK1004" s="143">
        <v>0</v>
      </c>
      <c r="CL1004" s="143">
        <v>0</v>
      </c>
      <c r="CM1004">
        <v>1</v>
      </c>
      <c r="CN1004" t="str">
        <f t="shared" si="254"/>
        <v>refOK</v>
      </c>
      <c r="CO1004">
        <f t="shared" si="252"/>
        <v>0</v>
      </c>
      <c r="CP1004">
        <f t="shared" si="253"/>
        <v>68</v>
      </c>
      <c r="CQ1004">
        <f t="shared" si="221"/>
        <v>11.111111111111111</v>
      </c>
      <c r="CR1004">
        <f t="shared" si="210"/>
        <v>-1</v>
      </c>
      <c r="CS1004">
        <f t="shared" si="249"/>
        <v>0</v>
      </c>
      <c r="CT1004">
        <f t="shared" si="214"/>
        <v>3.67</v>
      </c>
      <c r="CU1004">
        <f t="shared" si="204"/>
        <v>0.33029999999999998</v>
      </c>
      <c r="CV1004" s="2">
        <f t="shared" si="215"/>
        <v>1</v>
      </c>
      <c r="CW1004" s="1" t="s">
        <v>1205</v>
      </c>
      <c r="CX1004" t="str">
        <f t="shared" si="242"/>
        <v>reg</v>
      </c>
      <c r="CY1004" t="s">
        <v>445</v>
      </c>
      <c r="DA1004" s="143"/>
      <c r="DB1004" s="143">
        <v>0</v>
      </c>
      <c r="DC1004" t="str">
        <f t="shared" si="243"/>
        <v>0</v>
      </c>
      <c r="DD1004">
        <v>0</v>
      </c>
      <c r="DE1004">
        <v>1</v>
      </c>
      <c r="DF1004">
        <v>0</v>
      </c>
      <c r="DG1004">
        <v>0</v>
      </c>
      <c r="DI1004">
        <f t="shared" si="256"/>
        <v>1</v>
      </c>
      <c r="DJ1004" t="str">
        <f t="shared" si="257"/>
        <v>EnergyInput</v>
      </c>
      <c r="DK1004">
        <f t="shared" si="223"/>
        <v>0</v>
      </c>
      <c r="DL1004" t="str">
        <f t="shared" si="224"/>
        <v>Energy</v>
      </c>
      <c r="DM1004">
        <f t="shared" si="225"/>
        <v>0</v>
      </c>
      <c r="DN1004">
        <f t="shared" si="226"/>
        <v>0</v>
      </c>
      <c r="DO1004">
        <v>0</v>
      </c>
      <c r="DP1004" s="143">
        <v>0</v>
      </c>
      <c r="DQ1004" s="143">
        <v>0</v>
      </c>
      <c r="DR1004">
        <v>0</v>
      </c>
      <c r="DS1004" s="143">
        <v>0</v>
      </c>
      <c r="DT1004">
        <f t="shared" si="212"/>
        <v>0</v>
      </c>
      <c r="DU1004" s="143" t="str">
        <f t="shared" si="245"/>
        <v>explicit C balance</v>
      </c>
      <c r="DV1004" s="143">
        <v>0</v>
      </c>
      <c r="DW1004" s="143">
        <v>0</v>
      </c>
      <c r="DX1004" s="143">
        <v>0</v>
      </c>
      <c r="DY1004" s="143">
        <v>0</v>
      </c>
      <c r="DZ1004">
        <v>0</v>
      </c>
      <c r="EA1004" s="143">
        <v>0</v>
      </c>
      <c r="EB1004" s="143">
        <v>0</v>
      </c>
      <c r="EC1004" s="143">
        <v>1</v>
      </c>
      <c r="ED1004" s="143">
        <v>0</v>
      </c>
      <c r="EE1004">
        <v>0</v>
      </c>
      <c r="EF1004">
        <v>0</v>
      </c>
      <c r="EG1004" s="143">
        <v>0</v>
      </c>
      <c r="EH1004" s="143">
        <v>0</v>
      </c>
      <c r="EI1004" s="2">
        <v>0</v>
      </c>
      <c r="EK1004" t="str">
        <f t="shared" si="227"/>
        <v/>
      </c>
      <c r="EL1004" t="str">
        <f t="shared" si="228"/>
        <v/>
      </c>
      <c r="EM1004" s="2" t="str">
        <f t="shared" si="244"/>
        <v/>
      </c>
      <c r="EN1004" t="s">
        <v>1683</v>
      </c>
      <c r="EP1004" t="str">
        <f>IF(ISNUMBER(BU1004),IF(ABS(BU1004-[3]QC_indicators!$B$2)&gt;3*[3]QC_indicators!$C$2,"C ratio",IF(ISNUMBER(BY1004),IF(ABS(BY1004-[3]QC_indicators!$B$1)&gt;3*[3]QC_indicators!$C$1,"DF","no"))),IF(ISNUMBER(BY1004),IF(ABS(BY1004-[3]QC_indicators!$B$1)&gt;3*[3]QC_indicators!$C$1,"DF","no")))</f>
        <v>no</v>
      </c>
      <c r="ER1004" s="149" t="s">
        <v>350</v>
      </c>
      <c r="ET1004" s="266" t="s">
        <v>3268</v>
      </c>
    </row>
    <row r="1005" spans="1:151" ht="15" hidden="1" customHeight="1">
      <c r="D1005" t="s">
        <v>1663</v>
      </c>
      <c r="E1005" t="s">
        <v>1664</v>
      </c>
      <c r="G1005" t="s">
        <v>1665</v>
      </c>
      <c r="I1005">
        <v>2007</v>
      </c>
      <c r="K1005" t="s">
        <v>1666</v>
      </c>
      <c r="M1005" t="str">
        <f t="shared" si="255"/>
        <v>Gustavsson_2007</v>
      </c>
      <c r="N1005" t="s">
        <v>223</v>
      </c>
      <c r="O1005" t="s">
        <v>224</v>
      </c>
      <c r="Q1005" t="s">
        <v>257</v>
      </c>
      <c r="R1005" s="271" t="s">
        <v>275</v>
      </c>
      <c r="S1005" s="1" t="s">
        <v>1667</v>
      </c>
      <c r="T1005" t="s">
        <v>1684</v>
      </c>
      <c r="U1005" s="143" t="s">
        <v>1685</v>
      </c>
      <c r="V1005">
        <v>0</v>
      </c>
      <c r="W1005">
        <v>0</v>
      </c>
      <c r="X1005">
        <v>0</v>
      </c>
      <c r="Y1005">
        <v>0</v>
      </c>
      <c r="Z1005">
        <v>0</v>
      </c>
      <c r="AA1005">
        <v>0</v>
      </c>
      <c r="AB1005">
        <v>0</v>
      </c>
      <c r="AC1005">
        <v>0</v>
      </c>
      <c r="AD1005">
        <v>0</v>
      </c>
      <c r="AE1005">
        <v>0</v>
      </c>
      <c r="AF1005">
        <v>0</v>
      </c>
      <c r="AG1005">
        <v>0</v>
      </c>
      <c r="AH1005">
        <v>0</v>
      </c>
      <c r="AI1005">
        <v>0</v>
      </c>
      <c r="AJ1005">
        <v>0</v>
      </c>
      <c r="AK1005">
        <v>1</v>
      </c>
      <c r="AL1005">
        <v>0</v>
      </c>
      <c r="AM1005">
        <v>0</v>
      </c>
      <c r="AN1005">
        <v>0</v>
      </c>
      <c r="AO1005">
        <v>0</v>
      </c>
      <c r="AP1005">
        <v>0</v>
      </c>
      <c r="AQ1005">
        <v>0</v>
      </c>
      <c r="AR1005">
        <v>0</v>
      </c>
      <c r="AS1005">
        <v>0</v>
      </c>
      <c r="AT1005">
        <v>0</v>
      </c>
      <c r="AU1005">
        <v>0</v>
      </c>
      <c r="AV1005">
        <v>0</v>
      </c>
      <c r="AW1005">
        <v>0</v>
      </c>
      <c r="AX1005" s="141">
        <f t="shared" si="213"/>
        <v>1</v>
      </c>
      <c r="AY1005" s="141">
        <f t="shared" si="235"/>
        <v>1</v>
      </c>
      <c r="AZ1005">
        <f t="shared" si="236"/>
        <v>0</v>
      </c>
      <c r="BA1005">
        <f t="shared" si="237"/>
        <v>0</v>
      </c>
      <c r="BB1005">
        <f t="shared" si="238"/>
        <v>1</v>
      </c>
      <c r="BC1005">
        <f t="shared" si="239"/>
        <v>0</v>
      </c>
      <c r="BD1005">
        <f t="shared" si="240"/>
        <v>0</v>
      </c>
      <c r="BE1005" t="str">
        <f t="array" ref="BE1005">IF(AY1005=1,INDEX($V$7:$AL$7,MATCH(TRUE,INDEX($V1005:$AW1005&lt;&gt;0,),0)),IF(AY1005=0,INDEX($AM$7:$AW$7,MATCH(1,$AM1005:$AW1005,0)),IF(BF1005="Multiple strategies","mixed drivers",IF(BF1005="Supply chain","multiple supply","multiple silviculture"))))</f>
        <v>technologies/design switch</v>
      </c>
      <c r="BF1005" s="2" t="str" cm="1">
        <f t="array" ref="BF1005">IF(COUNTIF(AZ1005:BB1005,"&lt;&gt;0")=1,INDEX($V$4:$AW$4,MATCH(TRUE,INDEX($V1005:$AW1005&lt;&gt;0,),0)),IF(COUNTIF(AZ1005:BB1005,"&lt;&gt;0")=0,INDEX($AM$4:$AW$4,MATCH(1,$AM1005:$AW1005,0)),"Multiple strategies"))</f>
        <v>Technology</v>
      </c>
      <c r="BG1005" s="142" t="s">
        <v>230</v>
      </c>
      <c r="BH1005" t="s">
        <v>1669</v>
      </c>
      <c r="BI1005" s="266" t="s">
        <v>1059</v>
      </c>
      <c r="BJ1005" s="143" t="s">
        <v>3267</v>
      </c>
      <c r="BK1005">
        <v>0</v>
      </c>
      <c r="BL1005" s="143">
        <v>53.9</v>
      </c>
      <c r="BM1005" s="143"/>
      <c r="BN1005">
        <f t="shared" si="222"/>
        <v>53.9</v>
      </c>
      <c r="BO1005" s="143">
        <f t="shared" si="250"/>
        <v>8.8071895424836608</v>
      </c>
      <c r="BP1005" t="s">
        <v>233</v>
      </c>
      <c r="BR1005" t="s">
        <v>940</v>
      </c>
      <c r="BS1005" s="143">
        <v>-1</v>
      </c>
      <c r="BT1005" s="151">
        <v>0</v>
      </c>
      <c r="BU1005">
        <v>0</v>
      </c>
      <c r="BV1005">
        <v>1</v>
      </c>
      <c r="BX1005">
        <f t="shared" si="251"/>
        <v>3.67</v>
      </c>
      <c r="BY1005">
        <f t="shared" si="241"/>
        <v>0.41670500927643783</v>
      </c>
      <c r="BZ1005" s="143">
        <v>0</v>
      </c>
      <c r="CA1005" s="143">
        <v>0</v>
      </c>
      <c r="CB1005" s="143">
        <v>0</v>
      </c>
      <c r="CC1005" s="143">
        <v>0</v>
      </c>
      <c r="CD1005" s="143">
        <v>0</v>
      </c>
      <c r="CE1005" s="143">
        <v>0</v>
      </c>
      <c r="CF1005" s="143">
        <v>0</v>
      </c>
      <c r="CG1005" s="143">
        <v>0</v>
      </c>
      <c r="CH1005" s="143">
        <v>0</v>
      </c>
      <c r="CI1005" s="143">
        <v>0</v>
      </c>
      <c r="CJ1005" s="143">
        <v>0</v>
      </c>
      <c r="CK1005" s="143">
        <v>0</v>
      </c>
      <c r="CL1005" s="143">
        <v>0</v>
      </c>
      <c r="CM1005">
        <v>1</v>
      </c>
      <c r="CN1005" t="str">
        <f t="shared" si="254"/>
        <v>refOK</v>
      </c>
      <c r="CO1005">
        <f t="shared" si="252"/>
        <v>0</v>
      </c>
      <c r="CP1005">
        <f t="shared" si="253"/>
        <v>53.9</v>
      </c>
      <c r="CQ1005">
        <f t="shared" si="221"/>
        <v>8.8071895424836608</v>
      </c>
      <c r="CR1005">
        <f t="shared" si="210"/>
        <v>-1</v>
      </c>
      <c r="CS1005">
        <f t="shared" si="249"/>
        <v>0</v>
      </c>
      <c r="CT1005">
        <f t="shared" si="214"/>
        <v>3.67</v>
      </c>
      <c r="CU1005">
        <f t="shared" ref="CU1005:CU1068" si="258">IFERROR(CT1005/CQ1005,"")</f>
        <v>0.41670500927643783</v>
      </c>
      <c r="CV1005" s="2">
        <f t="shared" si="215"/>
        <v>1</v>
      </c>
      <c r="CW1005" s="1" t="s">
        <v>1205</v>
      </c>
      <c r="CX1005" t="str">
        <f t="shared" si="242"/>
        <v>reg</v>
      </c>
      <c r="CY1005" t="s">
        <v>445</v>
      </c>
      <c r="DA1005" s="143"/>
      <c r="DB1005" s="143">
        <v>0</v>
      </c>
      <c r="DC1005" t="str">
        <f t="shared" si="243"/>
        <v>0</v>
      </c>
      <c r="DD1005">
        <v>0</v>
      </c>
      <c r="DE1005">
        <v>1</v>
      </c>
      <c r="DF1005">
        <v>0</v>
      </c>
      <c r="DG1005">
        <v>0</v>
      </c>
      <c r="DI1005">
        <f t="shared" si="256"/>
        <v>1</v>
      </c>
      <c r="DJ1005" t="str">
        <f t="shared" si="257"/>
        <v>EnergyInput</v>
      </c>
      <c r="DK1005">
        <f t="shared" si="223"/>
        <v>0</v>
      </c>
      <c r="DL1005" t="str">
        <f t="shared" si="224"/>
        <v>Energy</v>
      </c>
      <c r="DM1005">
        <f t="shared" si="225"/>
        <v>0</v>
      </c>
      <c r="DN1005">
        <f t="shared" si="226"/>
        <v>0</v>
      </c>
      <c r="DO1005">
        <v>0</v>
      </c>
      <c r="DP1005" s="143">
        <v>0</v>
      </c>
      <c r="DQ1005" s="143">
        <v>0</v>
      </c>
      <c r="DR1005">
        <v>0</v>
      </c>
      <c r="DS1005" s="143">
        <v>0</v>
      </c>
      <c r="DT1005">
        <f t="shared" si="212"/>
        <v>0</v>
      </c>
      <c r="DU1005" s="143" t="str">
        <f t="shared" si="245"/>
        <v>explicit C balance</v>
      </c>
      <c r="DV1005" s="143">
        <v>0</v>
      </c>
      <c r="DW1005" s="143">
        <v>0</v>
      </c>
      <c r="DX1005" s="143">
        <v>0</v>
      </c>
      <c r="DY1005" s="143">
        <v>0</v>
      </c>
      <c r="DZ1005">
        <v>0</v>
      </c>
      <c r="EA1005" s="143">
        <v>0</v>
      </c>
      <c r="EB1005" s="143">
        <v>0</v>
      </c>
      <c r="EC1005" s="143">
        <v>1</v>
      </c>
      <c r="ED1005" s="143">
        <v>0</v>
      </c>
      <c r="EE1005">
        <v>0</v>
      </c>
      <c r="EF1005">
        <v>0</v>
      </c>
      <c r="EG1005" s="143">
        <v>0</v>
      </c>
      <c r="EH1005" s="143">
        <v>0</v>
      </c>
      <c r="EI1005" s="2">
        <v>0</v>
      </c>
      <c r="EK1005" t="str">
        <f t="shared" si="227"/>
        <v/>
      </c>
      <c r="EL1005" t="str">
        <f t="shared" si="228"/>
        <v/>
      </c>
      <c r="EM1005" s="2" t="str">
        <f t="shared" si="244"/>
        <v/>
      </c>
      <c r="EP1005" t="str">
        <f>IF(ISNUMBER(BU1005),IF(ABS(BU1005-[3]QC_indicators!$B$2)&gt;3*[3]QC_indicators!$C$2,"C ratio",IF(ISNUMBER(BY1005),IF(ABS(BY1005-[3]QC_indicators!$B$1)&gt;3*[3]QC_indicators!$C$1,"DF","no"))),IF(ISNUMBER(BY1005),IF(ABS(BY1005-[3]QC_indicators!$B$1)&gt;3*[3]QC_indicators!$C$1,"DF","no")))</f>
        <v>no</v>
      </c>
      <c r="ER1005" s="149" t="s">
        <v>350</v>
      </c>
      <c r="ET1005" s="266" t="s">
        <v>3268</v>
      </c>
    </row>
    <row r="1006" spans="1:151" ht="15" hidden="1" customHeight="1">
      <c r="D1006" t="s">
        <v>1663</v>
      </c>
      <c r="E1006" t="s">
        <v>1664</v>
      </c>
      <c r="G1006" t="s">
        <v>1665</v>
      </c>
      <c r="I1006">
        <v>2007</v>
      </c>
      <c r="K1006" t="s">
        <v>1666</v>
      </c>
      <c r="M1006" t="str">
        <f t="shared" si="255"/>
        <v>Gustavsson_2007</v>
      </c>
      <c r="N1006" t="s">
        <v>223</v>
      </c>
      <c r="O1006" t="s">
        <v>224</v>
      </c>
      <c r="Q1006" t="s">
        <v>257</v>
      </c>
      <c r="R1006" s="271" t="s">
        <v>275</v>
      </c>
      <c r="S1006" s="1" t="s">
        <v>1667</v>
      </c>
      <c r="T1006" t="s">
        <v>1686</v>
      </c>
      <c r="U1006" s="143" t="s">
        <v>1680</v>
      </c>
      <c r="V1006">
        <v>0</v>
      </c>
      <c r="W1006">
        <v>0</v>
      </c>
      <c r="X1006">
        <v>0</v>
      </c>
      <c r="Y1006">
        <v>0</v>
      </c>
      <c r="Z1006">
        <v>0</v>
      </c>
      <c r="AA1006">
        <v>0</v>
      </c>
      <c r="AB1006">
        <v>0</v>
      </c>
      <c r="AC1006">
        <v>0</v>
      </c>
      <c r="AD1006">
        <v>0</v>
      </c>
      <c r="AE1006">
        <v>0</v>
      </c>
      <c r="AF1006">
        <v>0</v>
      </c>
      <c r="AG1006">
        <v>0</v>
      </c>
      <c r="AH1006">
        <v>0</v>
      </c>
      <c r="AI1006">
        <v>0</v>
      </c>
      <c r="AJ1006">
        <v>0</v>
      </c>
      <c r="AK1006">
        <v>1</v>
      </c>
      <c r="AL1006">
        <v>0</v>
      </c>
      <c r="AM1006">
        <v>0</v>
      </c>
      <c r="AN1006">
        <v>0</v>
      </c>
      <c r="AO1006">
        <v>0</v>
      </c>
      <c r="AP1006">
        <v>0</v>
      </c>
      <c r="AQ1006">
        <v>0</v>
      </c>
      <c r="AR1006">
        <v>0</v>
      </c>
      <c r="AS1006">
        <v>0</v>
      </c>
      <c r="AT1006">
        <v>0</v>
      </c>
      <c r="AU1006">
        <v>0</v>
      </c>
      <c r="AV1006">
        <v>0</v>
      </c>
      <c r="AW1006">
        <v>0</v>
      </c>
      <c r="AX1006" s="141">
        <f t="shared" si="213"/>
        <v>1</v>
      </c>
      <c r="AY1006" s="141">
        <f t="shared" si="235"/>
        <v>1</v>
      </c>
      <c r="AZ1006">
        <f t="shared" si="236"/>
        <v>0</v>
      </c>
      <c r="BA1006">
        <f t="shared" si="237"/>
        <v>0</v>
      </c>
      <c r="BB1006">
        <f t="shared" si="238"/>
        <v>1</v>
      </c>
      <c r="BC1006">
        <f t="shared" si="239"/>
        <v>0</v>
      </c>
      <c r="BD1006">
        <f t="shared" si="240"/>
        <v>0</v>
      </c>
      <c r="BE1006" t="str">
        <f t="array" ref="BE1006">IF(AY1006=1,INDEX($V$7:$AL$7,MATCH(TRUE,INDEX($V1006:$AW1006&lt;&gt;0,),0)),IF(AY1006=0,INDEX($AM$7:$AW$7,MATCH(1,$AM1006:$AW1006,0)),IF(BF1006="Multiple strategies","mixed drivers",IF(BF1006="Supply chain","multiple supply","multiple silviculture"))))</f>
        <v>technologies/design switch</v>
      </c>
      <c r="BF1006" s="2" t="str" cm="1">
        <f t="array" ref="BF1006">IF(COUNTIF(AZ1006:BB1006,"&lt;&gt;0")=1,INDEX($V$4:$AW$4,MATCH(TRUE,INDEX($V1006:$AW1006&lt;&gt;0,),0)),IF(COUNTIF(AZ1006:BB1006,"&lt;&gt;0")=0,INDEX($AM$4:$AW$4,MATCH(1,$AM1006:$AW1006,0)),"Multiple strategies"))</f>
        <v>Technology</v>
      </c>
      <c r="BG1006" s="142" t="s">
        <v>230</v>
      </c>
      <c r="BH1006" t="s">
        <v>1669</v>
      </c>
      <c r="BI1006" s="266" t="s">
        <v>1059</v>
      </c>
      <c r="BJ1006" s="143" t="s">
        <v>3267</v>
      </c>
      <c r="BK1006">
        <v>0</v>
      </c>
      <c r="BL1006" s="143">
        <v>50.7</v>
      </c>
      <c r="BM1006" s="143"/>
      <c r="BN1006">
        <f t="shared" si="222"/>
        <v>50.7</v>
      </c>
      <c r="BO1006" s="143">
        <f t="shared" si="250"/>
        <v>8.2843137254901951</v>
      </c>
      <c r="BP1006" t="s">
        <v>233</v>
      </c>
      <c r="BR1006" t="s">
        <v>940</v>
      </c>
      <c r="BS1006" s="143">
        <v>-1</v>
      </c>
      <c r="BT1006" s="151">
        <v>0</v>
      </c>
      <c r="BU1006">
        <v>0</v>
      </c>
      <c r="BV1006">
        <v>1</v>
      </c>
      <c r="BX1006">
        <f t="shared" si="251"/>
        <v>3.67</v>
      </c>
      <c r="BY1006">
        <f t="shared" si="241"/>
        <v>0.44300591715976334</v>
      </c>
      <c r="BZ1006" s="143">
        <v>0</v>
      </c>
      <c r="CA1006" s="143">
        <v>0</v>
      </c>
      <c r="CB1006" s="143">
        <v>0</v>
      </c>
      <c r="CC1006" s="143">
        <v>0</v>
      </c>
      <c r="CD1006" s="143">
        <v>0</v>
      </c>
      <c r="CE1006" s="143">
        <v>0</v>
      </c>
      <c r="CF1006" s="143">
        <v>0</v>
      </c>
      <c r="CG1006" s="143">
        <v>0</v>
      </c>
      <c r="CH1006" s="143">
        <v>0</v>
      </c>
      <c r="CI1006" s="143">
        <v>0</v>
      </c>
      <c r="CJ1006" s="143">
        <v>0</v>
      </c>
      <c r="CK1006" s="143">
        <v>0</v>
      </c>
      <c r="CL1006" s="143">
        <v>0</v>
      </c>
      <c r="CM1006">
        <v>1</v>
      </c>
      <c r="CN1006" t="str">
        <f t="shared" si="254"/>
        <v>refOK</v>
      </c>
      <c r="CO1006">
        <f t="shared" si="252"/>
        <v>0</v>
      </c>
      <c r="CP1006">
        <f t="shared" si="253"/>
        <v>50.7</v>
      </c>
      <c r="CQ1006">
        <f t="shared" si="221"/>
        <v>8.2843137254901951</v>
      </c>
      <c r="CR1006">
        <f t="shared" si="210"/>
        <v>-1</v>
      </c>
      <c r="CS1006">
        <f t="shared" si="249"/>
        <v>0</v>
      </c>
      <c r="CT1006">
        <f t="shared" si="214"/>
        <v>3.67</v>
      </c>
      <c r="CU1006">
        <f t="shared" si="258"/>
        <v>0.44300591715976334</v>
      </c>
      <c r="CV1006" s="2">
        <f t="shared" si="215"/>
        <v>1</v>
      </c>
      <c r="CW1006" s="1" t="s">
        <v>1205</v>
      </c>
      <c r="CX1006" t="str">
        <f t="shared" si="242"/>
        <v>reg</v>
      </c>
      <c r="CY1006" t="s">
        <v>445</v>
      </c>
      <c r="DA1006" s="143"/>
      <c r="DB1006" s="143">
        <v>0</v>
      </c>
      <c r="DC1006" t="str">
        <f t="shared" si="243"/>
        <v>0</v>
      </c>
      <c r="DD1006">
        <v>0</v>
      </c>
      <c r="DE1006">
        <v>1</v>
      </c>
      <c r="DF1006">
        <v>0</v>
      </c>
      <c r="DG1006">
        <v>0</v>
      </c>
      <c r="DI1006">
        <f t="shared" si="256"/>
        <v>1</v>
      </c>
      <c r="DJ1006" t="str">
        <f t="shared" si="257"/>
        <v>EnergyInput</v>
      </c>
      <c r="DK1006">
        <f t="shared" si="223"/>
        <v>0</v>
      </c>
      <c r="DL1006" t="str">
        <f t="shared" si="224"/>
        <v>Energy</v>
      </c>
      <c r="DM1006">
        <f t="shared" si="225"/>
        <v>0</v>
      </c>
      <c r="DN1006">
        <f t="shared" si="226"/>
        <v>0</v>
      </c>
      <c r="DO1006">
        <v>0</v>
      </c>
      <c r="DP1006" s="143">
        <v>0</v>
      </c>
      <c r="DQ1006" s="143">
        <v>0</v>
      </c>
      <c r="DR1006">
        <v>0</v>
      </c>
      <c r="DS1006" s="143">
        <v>0</v>
      </c>
      <c r="DT1006">
        <f t="shared" si="212"/>
        <v>0</v>
      </c>
      <c r="DU1006" s="143" t="str">
        <f t="shared" si="245"/>
        <v>explicit C balance</v>
      </c>
      <c r="DV1006" s="143">
        <v>0</v>
      </c>
      <c r="DW1006" s="143">
        <v>0</v>
      </c>
      <c r="DX1006" s="143">
        <v>0</v>
      </c>
      <c r="DY1006" s="143">
        <v>0</v>
      </c>
      <c r="DZ1006">
        <v>0</v>
      </c>
      <c r="EA1006" s="143">
        <v>0</v>
      </c>
      <c r="EB1006" s="143">
        <v>0</v>
      </c>
      <c r="EC1006" s="143">
        <v>1</v>
      </c>
      <c r="ED1006" s="143">
        <v>0</v>
      </c>
      <c r="EE1006">
        <v>0</v>
      </c>
      <c r="EF1006">
        <v>0</v>
      </c>
      <c r="EG1006" s="143">
        <v>0</v>
      </c>
      <c r="EH1006" s="143">
        <v>0</v>
      </c>
      <c r="EI1006" s="2">
        <v>0</v>
      </c>
      <c r="EK1006" t="str">
        <f t="shared" si="227"/>
        <v/>
      </c>
      <c r="EL1006" t="str">
        <f t="shared" si="228"/>
        <v/>
      </c>
      <c r="EM1006" s="2" t="str">
        <f t="shared" si="244"/>
        <v/>
      </c>
      <c r="EP1006" t="str">
        <f>IF(ISNUMBER(BU1006),IF(ABS(BU1006-[3]QC_indicators!$B$2)&gt;3*[3]QC_indicators!$C$2,"C ratio",IF(ISNUMBER(BY1006),IF(ABS(BY1006-[3]QC_indicators!$B$1)&gt;3*[3]QC_indicators!$C$1,"DF","no"))),IF(ISNUMBER(BY1006),IF(ABS(BY1006-[3]QC_indicators!$B$1)&gt;3*[3]QC_indicators!$C$1,"DF","no")))</f>
        <v>no</v>
      </c>
      <c r="ER1006" s="149" t="s">
        <v>350</v>
      </c>
      <c r="ET1006" s="266" t="s">
        <v>3268</v>
      </c>
    </row>
    <row r="1007" spans="1:151" ht="15" hidden="1" customHeight="1">
      <c r="D1007" t="s">
        <v>1663</v>
      </c>
      <c r="E1007" t="s">
        <v>1664</v>
      </c>
      <c r="G1007" t="s">
        <v>1665</v>
      </c>
      <c r="I1007">
        <v>2007</v>
      </c>
      <c r="K1007" t="s">
        <v>1666</v>
      </c>
      <c r="M1007" t="str">
        <f t="shared" si="255"/>
        <v>Gustavsson_2007</v>
      </c>
      <c r="N1007" t="s">
        <v>223</v>
      </c>
      <c r="O1007" t="s">
        <v>224</v>
      </c>
      <c r="Q1007" t="s">
        <v>257</v>
      </c>
      <c r="R1007" s="271" t="s">
        <v>275</v>
      </c>
      <c r="S1007" s="1" t="s">
        <v>1667</v>
      </c>
      <c r="T1007" t="s">
        <v>1687</v>
      </c>
      <c r="U1007" s="143" t="s">
        <v>1688</v>
      </c>
      <c r="V1007">
        <v>0</v>
      </c>
      <c r="W1007">
        <v>0</v>
      </c>
      <c r="X1007">
        <v>0</v>
      </c>
      <c r="Y1007">
        <v>0</v>
      </c>
      <c r="Z1007">
        <v>0</v>
      </c>
      <c r="AA1007">
        <v>0</v>
      </c>
      <c r="AB1007">
        <v>0</v>
      </c>
      <c r="AC1007">
        <v>0</v>
      </c>
      <c r="AD1007">
        <v>0</v>
      </c>
      <c r="AE1007">
        <v>0</v>
      </c>
      <c r="AF1007">
        <v>0</v>
      </c>
      <c r="AG1007">
        <v>0</v>
      </c>
      <c r="AH1007">
        <v>0</v>
      </c>
      <c r="AI1007">
        <v>0</v>
      </c>
      <c r="AJ1007">
        <v>0</v>
      </c>
      <c r="AK1007">
        <v>1</v>
      </c>
      <c r="AL1007">
        <v>0</v>
      </c>
      <c r="AM1007">
        <v>0</v>
      </c>
      <c r="AN1007">
        <v>0</v>
      </c>
      <c r="AO1007">
        <v>0</v>
      </c>
      <c r="AP1007">
        <v>0</v>
      </c>
      <c r="AQ1007">
        <v>0</v>
      </c>
      <c r="AR1007">
        <v>0</v>
      </c>
      <c r="AS1007">
        <v>0</v>
      </c>
      <c r="AT1007">
        <v>0</v>
      </c>
      <c r="AU1007">
        <v>0</v>
      </c>
      <c r="AV1007">
        <v>0</v>
      </c>
      <c r="AW1007">
        <v>0</v>
      </c>
      <c r="AX1007" s="141">
        <f t="shared" si="213"/>
        <v>1</v>
      </c>
      <c r="AY1007" s="141">
        <f t="shared" si="235"/>
        <v>1</v>
      </c>
      <c r="AZ1007">
        <f t="shared" si="236"/>
        <v>0</v>
      </c>
      <c r="BA1007">
        <f t="shared" si="237"/>
        <v>0</v>
      </c>
      <c r="BB1007">
        <f t="shared" si="238"/>
        <v>1</v>
      </c>
      <c r="BC1007">
        <f t="shared" si="239"/>
        <v>0</v>
      </c>
      <c r="BD1007">
        <f t="shared" si="240"/>
        <v>0</v>
      </c>
      <c r="BE1007" t="str">
        <f t="array" ref="BE1007">IF(AY1007=1,INDEX($V$7:$AL$7,MATCH(TRUE,INDEX($V1007:$AW1007&lt;&gt;0,),0)),IF(AY1007=0,INDEX($AM$7:$AW$7,MATCH(1,$AM1007:$AW1007,0)),IF(BF1007="Multiple strategies","mixed drivers",IF(BF1007="Supply chain","multiple supply","multiple silviculture"))))</f>
        <v>technologies/design switch</v>
      </c>
      <c r="BF1007" s="2" t="str" cm="1">
        <f t="array" ref="BF1007">IF(COUNTIF(AZ1007:BB1007,"&lt;&gt;0")=1,INDEX($V$4:$AW$4,MATCH(TRUE,INDEX($V1007:$AW1007&lt;&gt;0,),0)),IF(COUNTIF(AZ1007:BB1007,"&lt;&gt;0")=0,INDEX($AM$4:$AW$4,MATCH(1,$AM1007:$AW1007,0)),"Multiple strategies"))</f>
        <v>Technology</v>
      </c>
      <c r="BG1007" s="142" t="s">
        <v>230</v>
      </c>
      <c r="BH1007" t="s">
        <v>1669</v>
      </c>
      <c r="BI1007" s="266" t="s">
        <v>1059</v>
      </c>
      <c r="BJ1007" s="143" t="s">
        <v>3267</v>
      </c>
      <c r="BK1007">
        <v>0</v>
      </c>
      <c r="BL1007" s="143">
        <v>41.1</v>
      </c>
      <c r="BM1007" s="143"/>
      <c r="BN1007">
        <f t="shared" si="222"/>
        <v>41.1</v>
      </c>
      <c r="BO1007" s="143">
        <f t="shared" si="250"/>
        <v>6.7156862745098032</v>
      </c>
      <c r="BP1007" t="s">
        <v>233</v>
      </c>
      <c r="BR1007" t="s">
        <v>940</v>
      </c>
      <c r="BS1007" s="143">
        <v>-1</v>
      </c>
      <c r="BT1007" s="151">
        <v>0</v>
      </c>
      <c r="BU1007">
        <v>0</v>
      </c>
      <c r="BV1007">
        <v>1</v>
      </c>
      <c r="BX1007">
        <f t="shared" si="251"/>
        <v>3.67</v>
      </c>
      <c r="BY1007">
        <f t="shared" si="241"/>
        <v>0.54648175182481762</v>
      </c>
      <c r="BZ1007" s="143">
        <v>0</v>
      </c>
      <c r="CA1007" s="143">
        <v>0</v>
      </c>
      <c r="CB1007" s="143">
        <v>0</v>
      </c>
      <c r="CC1007" s="143">
        <v>0</v>
      </c>
      <c r="CD1007" s="143">
        <v>0</v>
      </c>
      <c r="CE1007" s="143">
        <v>0</v>
      </c>
      <c r="CF1007" s="143">
        <v>0</v>
      </c>
      <c r="CG1007" s="143">
        <v>0</v>
      </c>
      <c r="CH1007" s="143">
        <v>0</v>
      </c>
      <c r="CI1007" s="143">
        <v>0</v>
      </c>
      <c r="CJ1007" s="143">
        <v>0</v>
      </c>
      <c r="CK1007" s="143">
        <v>0</v>
      </c>
      <c r="CL1007" s="143">
        <v>0</v>
      </c>
      <c r="CM1007">
        <v>1</v>
      </c>
      <c r="CN1007" t="str">
        <f t="shared" si="254"/>
        <v>refOK</v>
      </c>
      <c r="CO1007">
        <f t="shared" si="252"/>
        <v>0</v>
      </c>
      <c r="CP1007">
        <f t="shared" si="253"/>
        <v>41.1</v>
      </c>
      <c r="CQ1007">
        <f t="shared" si="221"/>
        <v>6.7156862745098032</v>
      </c>
      <c r="CR1007">
        <f t="shared" si="210"/>
        <v>-1</v>
      </c>
      <c r="CS1007">
        <f t="shared" si="249"/>
        <v>0</v>
      </c>
      <c r="CT1007">
        <f t="shared" si="214"/>
        <v>3.67</v>
      </c>
      <c r="CU1007">
        <f t="shared" si="258"/>
        <v>0.54648175182481762</v>
      </c>
      <c r="CV1007" s="2">
        <f t="shared" si="215"/>
        <v>1</v>
      </c>
      <c r="CW1007" s="1" t="s">
        <v>1205</v>
      </c>
      <c r="CX1007" t="str">
        <f t="shared" si="242"/>
        <v>reg</v>
      </c>
      <c r="CY1007" t="s">
        <v>445</v>
      </c>
      <c r="DA1007" s="143"/>
      <c r="DB1007" s="143">
        <v>0</v>
      </c>
      <c r="DC1007" t="str">
        <f t="shared" si="243"/>
        <v>0</v>
      </c>
      <c r="DD1007">
        <v>0</v>
      </c>
      <c r="DE1007">
        <v>1</v>
      </c>
      <c r="DF1007">
        <v>0</v>
      </c>
      <c r="DG1007">
        <v>0</v>
      </c>
      <c r="DI1007">
        <f t="shared" si="256"/>
        <v>1</v>
      </c>
      <c r="DJ1007" t="str">
        <f t="shared" si="257"/>
        <v>EnergyInput</v>
      </c>
      <c r="DK1007">
        <f t="shared" si="223"/>
        <v>0</v>
      </c>
      <c r="DL1007" t="str">
        <f t="shared" si="224"/>
        <v>Energy</v>
      </c>
      <c r="DM1007">
        <f t="shared" si="225"/>
        <v>0</v>
      </c>
      <c r="DN1007">
        <f t="shared" si="226"/>
        <v>0</v>
      </c>
      <c r="DO1007">
        <v>0</v>
      </c>
      <c r="DP1007" s="143">
        <v>0</v>
      </c>
      <c r="DQ1007" s="143">
        <v>0</v>
      </c>
      <c r="DR1007">
        <v>0</v>
      </c>
      <c r="DS1007" s="143">
        <v>0</v>
      </c>
      <c r="DT1007">
        <f t="shared" si="212"/>
        <v>0</v>
      </c>
      <c r="DU1007" s="143" t="str">
        <f t="shared" si="245"/>
        <v>explicit C balance</v>
      </c>
      <c r="DV1007" s="143">
        <v>0</v>
      </c>
      <c r="DW1007" s="143">
        <v>0</v>
      </c>
      <c r="DX1007" s="143">
        <v>0</v>
      </c>
      <c r="DY1007" s="143">
        <v>0</v>
      </c>
      <c r="DZ1007">
        <v>0</v>
      </c>
      <c r="EA1007" s="143">
        <v>0</v>
      </c>
      <c r="EB1007" s="143">
        <v>0</v>
      </c>
      <c r="EC1007" s="143">
        <v>1</v>
      </c>
      <c r="ED1007" s="143">
        <v>0</v>
      </c>
      <c r="EE1007">
        <v>0</v>
      </c>
      <c r="EF1007">
        <v>0</v>
      </c>
      <c r="EG1007" s="143">
        <v>0</v>
      </c>
      <c r="EH1007" s="143">
        <v>0</v>
      </c>
      <c r="EI1007" s="2">
        <v>0</v>
      </c>
      <c r="EK1007" t="str">
        <f t="shared" si="227"/>
        <v/>
      </c>
      <c r="EL1007" t="str">
        <f t="shared" si="228"/>
        <v/>
      </c>
      <c r="EM1007" s="2" t="str">
        <f t="shared" si="244"/>
        <v/>
      </c>
      <c r="EP1007" t="str">
        <f>IF(ISNUMBER(BU1007),IF(ABS(BU1007-[3]QC_indicators!$B$2)&gt;3*[3]QC_indicators!$C$2,"C ratio",IF(ISNUMBER(BY1007),IF(ABS(BY1007-[3]QC_indicators!$B$1)&gt;3*[3]QC_indicators!$C$1,"DF","no"))),IF(ISNUMBER(BY1007),IF(ABS(BY1007-[3]QC_indicators!$B$1)&gt;3*[3]QC_indicators!$C$1,"DF","no")))</f>
        <v>no</v>
      </c>
      <c r="ER1007" s="149" t="s">
        <v>350</v>
      </c>
      <c r="ET1007" s="266" t="s">
        <v>3268</v>
      </c>
    </row>
    <row r="1008" spans="1:151" ht="15" hidden="1" customHeight="1">
      <c r="D1008" t="s">
        <v>1663</v>
      </c>
      <c r="E1008" t="s">
        <v>1664</v>
      </c>
      <c r="G1008" t="s">
        <v>1665</v>
      </c>
      <c r="I1008">
        <v>2007</v>
      </c>
      <c r="K1008" t="s">
        <v>1666</v>
      </c>
      <c r="M1008" t="str">
        <f t="shared" si="255"/>
        <v>Gustavsson_2007</v>
      </c>
      <c r="N1008" t="s">
        <v>223</v>
      </c>
      <c r="O1008" t="s">
        <v>224</v>
      </c>
      <c r="Q1008" t="s">
        <v>257</v>
      </c>
      <c r="R1008" s="271" t="s">
        <v>275</v>
      </c>
      <c r="S1008" s="1" t="s">
        <v>1667</v>
      </c>
      <c r="T1008" t="s">
        <v>1670</v>
      </c>
      <c r="U1008" s="143" t="s">
        <v>1689</v>
      </c>
      <c r="V1008">
        <v>0</v>
      </c>
      <c r="W1008">
        <v>0</v>
      </c>
      <c r="X1008">
        <v>0</v>
      </c>
      <c r="Y1008">
        <v>0</v>
      </c>
      <c r="Z1008">
        <v>0</v>
      </c>
      <c r="AA1008">
        <v>0</v>
      </c>
      <c r="AB1008">
        <v>0</v>
      </c>
      <c r="AC1008">
        <v>0</v>
      </c>
      <c r="AD1008">
        <v>0</v>
      </c>
      <c r="AE1008">
        <v>0</v>
      </c>
      <c r="AF1008">
        <v>0</v>
      </c>
      <c r="AG1008">
        <v>0</v>
      </c>
      <c r="AH1008">
        <v>0</v>
      </c>
      <c r="AI1008">
        <v>0</v>
      </c>
      <c r="AJ1008">
        <v>0</v>
      </c>
      <c r="AK1008">
        <v>1</v>
      </c>
      <c r="AL1008">
        <v>0</v>
      </c>
      <c r="AM1008">
        <v>0</v>
      </c>
      <c r="AN1008">
        <v>0</v>
      </c>
      <c r="AO1008">
        <v>0</v>
      </c>
      <c r="AP1008">
        <v>0</v>
      </c>
      <c r="AQ1008">
        <v>0</v>
      </c>
      <c r="AR1008">
        <v>0</v>
      </c>
      <c r="AS1008">
        <v>0</v>
      </c>
      <c r="AT1008">
        <v>0</v>
      </c>
      <c r="AU1008">
        <v>0</v>
      </c>
      <c r="AV1008">
        <v>0</v>
      </c>
      <c r="AW1008">
        <v>0</v>
      </c>
      <c r="AX1008" s="141">
        <f t="shared" si="213"/>
        <v>1</v>
      </c>
      <c r="AY1008" s="141">
        <f t="shared" si="235"/>
        <v>1</v>
      </c>
      <c r="AZ1008">
        <f t="shared" si="236"/>
        <v>0</v>
      </c>
      <c r="BA1008">
        <f t="shared" si="237"/>
        <v>0</v>
      </c>
      <c r="BB1008">
        <f t="shared" si="238"/>
        <v>1</v>
      </c>
      <c r="BC1008">
        <f t="shared" si="239"/>
        <v>0</v>
      </c>
      <c r="BD1008">
        <f t="shared" si="240"/>
        <v>0</v>
      </c>
      <c r="BE1008" t="str">
        <f t="array" ref="BE1008">IF(AY1008=1,INDEX($V$7:$AL$7,MATCH(TRUE,INDEX($V1008:$AW1008&lt;&gt;0,),0)),IF(AY1008=0,INDEX($AM$7:$AW$7,MATCH(1,$AM1008:$AW1008,0)),IF(BF1008="Multiple strategies","mixed drivers",IF(BF1008="Supply chain","multiple supply","multiple silviculture"))))</f>
        <v>technologies/design switch</v>
      </c>
      <c r="BF1008" s="2" t="str" cm="1">
        <f t="array" ref="BF1008">IF(COUNTIF(AZ1008:BB1008,"&lt;&gt;0")=1,INDEX($V$4:$AW$4,MATCH(TRUE,INDEX($V1008:$AW1008&lt;&gt;0,),0)),IF(COUNTIF(AZ1008:BB1008,"&lt;&gt;0")=0,INDEX($AM$4:$AW$4,MATCH(1,$AM1008:$AW1008,0)),"Multiple strategies"))</f>
        <v>Technology</v>
      </c>
      <c r="BG1008" s="142" t="s">
        <v>230</v>
      </c>
      <c r="BH1008" t="s">
        <v>1669</v>
      </c>
      <c r="BI1008" s="266" t="s">
        <v>1059</v>
      </c>
      <c r="BJ1008" s="143" t="s">
        <v>3267</v>
      </c>
      <c r="BK1008">
        <v>0</v>
      </c>
      <c r="BL1008" s="143">
        <v>31.6</v>
      </c>
      <c r="BM1008" s="143"/>
      <c r="BN1008">
        <f t="shared" si="222"/>
        <v>31.6</v>
      </c>
      <c r="BO1008" s="143">
        <f t="shared" si="250"/>
        <v>5.1633986928104569</v>
      </c>
      <c r="BP1008" t="s">
        <v>233</v>
      </c>
      <c r="BR1008" t="s">
        <v>940</v>
      </c>
      <c r="BS1008" s="143">
        <v>-1</v>
      </c>
      <c r="BT1008" s="151">
        <v>0</v>
      </c>
      <c r="BU1008">
        <v>0</v>
      </c>
      <c r="BV1008">
        <v>1</v>
      </c>
      <c r="BX1008">
        <f t="shared" si="251"/>
        <v>3.67</v>
      </c>
      <c r="BY1008">
        <f t="shared" si="241"/>
        <v>0.71077215189873422</v>
      </c>
      <c r="BZ1008" s="143">
        <v>0</v>
      </c>
      <c r="CA1008" s="143">
        <v>0</v>
      </c>
      <c r="CB1008" s="143">
        <v>0</v>
      </c>
      <c r="CC1008" s="143">
        <v>0</v>
      </c>
      <c r="CD1008" s="143">
        <v>0</v>
      </c>
      <c r="CE1008" s="143">
        <v>0</v>
      </c>
      <c r="CF1008" s="143">
        <v>0</v>
      </c>
      <c r="CG1008" s="143">
        <v>0</v>
      </c>
      <c r="CH1008" s="143">
        <v>0</v>
      </c>
      <c r="CI1008" s="143">
        <v>0</v>
      </c>
      <c r="CJ1008" s="143">
        <v>0</v>
      </c>
      <c r="CK1008" s="143">
        <v>0</v>
      </c>
      <c r="CL1008" s="143">
        <v>0</v>
      </c>
      <c r="CM1008">
        <v>1</v>
      </c>
      <c r="CN1008" t="str">
        <f t="shared" si="254"/>
        <v>refOK</v>
      </c>
      <c r="CO1008">
        <f t="shared" si="252"/>
        <v>0</v>
      </c>
      <c r="CP1008">
        <f t="shared" si="253"/>
        <v>31.6</v>
      </c>
      <c r="CQ1008">
        <f t="shared" si="221"/>
        <v>5.1633986928104569</v>
      </c>
      <c r="CR1008">
        <f t="shared" si="210"/>
        <v>-1</v>
      </c>
      <c r="CS1008">
        <f t="shared" si="249"/>
        <v>0</v>
      </c>
      <c r="CT1008">
        <f t="shared" si="214"/>
        <v>3.67</v>
      </c>
      <c r="CU1008">
        <f t="shared" si="258"/>
        <v>0.71077215189873422</v>
      </c>
      <c r="CV1008" s="2">
        <f t="shared" si="215"/>
        <v>1</v>
      </c>
      <c r="CW1008" s="1" t="s">
        <v>1205</v>
      </c>
      <c r="CX1008" t="str">
        <f t="shared" si="242"/>
        <v>reg</v>
      </c>
      <c r="CY1008" t="s">
        <v>445</v>
      </c>
      <c r="DA1008" s="143"/>
      <c r="DB1008" s="143">
        <v>0</v>
      </c>
      <c r="DC1008" t="str">
        <f t="shared" si="243"/>
        <v>0</v>
      </c>
      <c r="DD1008">
        <v>0</v>
      </c>
      <c r="DE1008">
        <v>1</v>
      </c>
      <c r="DF1008">
        <v>0</v>
      </c>
      <c r="DG1008">
        <v>0</v>
      </c>
      <c r="DI1008">
        <f t="shared" si="256"/>
        <v>1</v>
      </c>
      <c r="DJ1008" t="str">
        <f t="shared" si="257"/>
        <v>EnergyInput</v>
      </c>
      <c r="DK1008">
        <f t="shared" si="223"/>
        <v>0</v>
      </c>
      <c r="DL1008" t="str">
        <f t="shared" si="224"/>
        <v>Energy</v>
      </c>
      <c r="DM1008">
        <f t="shared" si="225"/>
        <v>0</v>
      </c>
      <c r="DN1008">
        <f t="shared" si="226"/>
        <v>0</v>
      </c>
      <c r="DO1008">
        <v>0</v>
      </c>
      <c r="DP1008" s="143">
        <v>0</v>
      </c>
      <c r="DQ1008" s="143">
        <v>0</v>
      </c>
      <c r="DR1008">
        <v>0</v>
      </c>
      <c r="DS1008" s="143">
        <v>0</v>
      </c>
      <c r="DT1008">
        <f t="shared" si="212"/>
        <v>0</v>
      </c>
      <c r="DU1008" s="143" t="str">
        <f t="shared" si="245"/>
        <v>explicit C balance</v>
      </c>
      <c r="DV1008" s="143">
        <v>0</v>
      </c>
      <c r="DW1008" s="143">
        <v>0</v>
      </c>
      <c r="DX1008" s="143">
        <v>0</v>
      </c>
      <c r="DY1008" s="143">
        <v>0</v>
      </c>
      <c r="DZ1008">
        <v>0</v>
      </c>
      <c r="EA1008" s="143">
        <v>0</v>
      </c>
      <c r="EB1008" s="143">
        <v>0</v>
      </c>
      <c r="EC1008" s="143">
        <v>1</v>
      </c>
      <c r="ED1008" s="143">
        <v>0</v>
      </c>
      <c r="EE1008">
        <v>0</v>
      </c>
      <c r="EF1008">
        <v>0</v>
      </c>
      <c r="EG1008" s="143">
        <v>0</v>
      </c>
      <c r="EH1008" s="143">
        <v>0</v>
      </c>
      <c r="EI1008" s="2">
        <v>0</v>
      </c>
      <c r="EK1008" t="str">
        <f t="shared" si="227"/>
        <v/>
      </c>
      <c r="EL1008" t="str">
        <f t="shared" si="228"/>
        <v/>
      </c>
      <c r="EM1008" s="2" t="str">
        <f t="shared" si="244"/>
        <v/>
      </c>
      <c r="EP1008" t="str">
        <f>IF(ISNUMBER(BU1008),IF(ABS(BU1008-[3]QC_indicators!$B$2)&gt;3*[3]QC_indicators!$C$2,"C ratio",IF(ISNUMBER(BY1008),IF(ABS(BY1008-[3]QC_indicators!$B$1)&gt;3*[3]QC_indicators!$C$1,"DF","no"))),IF(ISNUMBER(BY1008),IF(ABS(BY1008-[3]QC_indicators!$B$1)&gt;3*[3]QC_indicators!$C$1,"DF","no")))</f>
        <v>no</v>
      </c>
      <c r="ER1008" s="149" t="s">
        <v>350</v>
      </c>
      <c r="ET1008" s="266" t="s">
        <v>3268</v>
      </c>
    </row>
    <row r="1009" spans="1:150" ht="15" hidden="1" customHeight="1">
      <c r="D1009" t="s">
        <v>1663</v>
      </c>
      <c r="E1009" t="s">
        <v>1664</v>
      </c>
      <c r="G1009" t="s">
        <v>1665</v>
      </c>
      <c r="I1009">
        <v>2007</v>
      </c>
      <c r="K1009" t="s">
        <v>1666</v>
      </c>
      <c r="M1009" t="str">
        <f t="shared" si="255"/>
        <v>Gustavsson_2007</v>
      </c>
      <c r="N1009" t="s">
        <v>223</v>
      </c>
      <c r="O1009" t="s">
        <v>224</v>
      </c>
      <c r="Q1009" t="s">
        <v>257</v>
      </c>
      <c r="R1009" s="271" t="s">
        <v>275</v>
      </c>
      <c r="S1009" s="1" t="s">
        <v>1667</v>
      </c>
      <c r="T1009" t="s">
        <v>1679</v>
      </c>
      <c r="U1009" s="143" t="s">
        <v>1685</v>
      </c>
      <c r="V1009">
        <v>0</v>
      </c>
      <c r="W1009">
        <v>0</v>
      </c>
      <c r="X1009">
        <v>0</v>
      </c>
      <c r="Y1009">
        <v>0</v>
      </c>
      <c r="Z1009">
        <v>0</v>
      </c>
      <c r="AA1009">
        <v>0</v>
      </c>
      <c r="AB1009">
        <v>0</v>
      </c>
      <c r="AC1009">
        <v>0</v>
      </c>
      <c r="AD1009">
        <v>0</v>
      </c>
      <c r="AE1009">
        <v>0</v>
      </c>
      <c r="AF1009">
        <v>0</v>
      </c>
      <c r="AG1009">
        <v>0</v>
      </c>
      <c r="AH1009">
        <v>0</v>
      </c>
      <c r="AI1009">
        <v>0</v>
      </c>
      <c r="AJ1009">
        <v>0</v>
      </c>
      <c r="AK1009">
        <v>1</v>
      </c>
      <c r="AL1009">
        <v>0</v>
      </c>
      <c r="AM1009">
        <v>0</v>
      </c>
      <c r="AN1009">
        <v>0</v>
      </c>
      <c r="AO1009">
        <v>0</v>
      </c>
      <c r="AP1009">
        <v>0</v>
      </c>
      <c r="AQ1009">
        <v>0</v>
      </c>
      <c r="AR1009">
        <v>0</v>
      </c>
      <c r="AS1009">
        <v>0</v>
      </c>
      <c r="AT1009">
        <v>0</v>
      </c>
      <c r="AU1009">
        <v>0</v>
      </c>
      <c r="AV1009">
        <v>0</v>
      </c>
      <c r="AW1009">
        <v>0</v>
      </c>
      <c r="AX1009" s="141">
        <f t="shared" si="213"/>
        <v>1</v>
      </c>
      <c r="AY1009" s="141">
        <f t="shared" si="235"/>
        <v>1</v>
      </c>
      <c r="AZ1009">
        <f t="shared" si="236"/>
        <v>0</v>
      </c>
      <c r="BA1009">
        <f t="shared" si="237"/>
        <v>0</v>
      </c>
      <c r="BB1009">
        <f t="shared" si="238"/>
        <v>1</v>
      </c>
      <c r="BC1009">
        <f t="shared" si="239"/>
        <v>0</v>
      </c>
      <c r="BD1009">
        <f t="shared" si="240"/>
        <v>0</v>
      </c>
      <c r="BE1009" t="str">
        <f t="array" ref="BE1009">IF(AY1009=1,INDEX($V$7:$AL$7,MATCH(TRUE,INDEX($V1009:$AW1009&lt;&gt;0,),0)),IF(AY1009=0,INDEX($AM$7:$AW$7,MATCH(1,$AM1009:$AW1009,0)),IF(BF1009="Multiple strategies","mixed drivers",IF(BF1009="Supply chain","multiple supply","multiple silviculture"))))</f>
        <v>technologies/design switch</v>
      </c>
      <c r="BF1009" s="2" t="str" cm="1">
        <f t="array" ref="BF1009">IF(COUNTIF(AZ1009:BB1009,"&lt;&gt;0")=1,INDEX($V$4:$AW$4,MATCH(TRUE,INDEX($V1009:$AW1009&lt;&gt;0,),0)),IF(COUNTIF(AZ1009:BB1009,"&lt;&gt;0")=0,INDEX($AM$4:$AW$4,MATCH(1,$AM1009:$AW1009,0)),"Multiple strategies"))</f>
        <v>Technology</v>
      </c>
      <c r="BG1009" s="142" t="s">
        <v>230</v>
      </c>
      <c r="BH1009" t="s">
        <v>1669</v>
      </c>
      <c r="BI1009" s="266" t="s">
        <v>1059</v>
      </c>
      <c r="BJ1009" s="143" t="s">
        <v>3267</v>
      </c>
      <c r="BK1009">
        <v>0</v>
      </c>
      <c r="BL1009" s="143">
        <v>27.1</v>
      </c>
      <c r="BM1009" s="143"/>
      <c r="BN1009">
        <f t="shared" si="222"/>
        <v>27.1</v>
      </c>
      <c r="BO1009" s="143">
        <f t="shared" si="250"/>
        <v>4.4281045751633989</v>
      </c>
      <c r="BP1009" t="s">
        <v>233</v>
      </c>
      <c r="BR1009" t="s">
        <v>940</v>
      </c>
      <c r="BS1009" s="143">
        <v>-1</v>
      </c>
      <c r="BT1009" s="151">
        <v>0</v>
      </c>
      <c r="BU1009">
        <v>0</v>
      </c>
      <c r="BV1009">
        <v>1</v>
      </c>
      <c r="BX1009">
        <f t="shared" si="251"/>
        <v>3.67</v>
      </c>
      <c r="BY1009">
        <f t="shared" si="241"/>
        <v>0.82879704797047959</v>
      </c>
      <c r="BZ1009" s="143">
        <v>0</v>
      </c>
      <c r="CA1009" s="143">
        <v>0</v>
      </c>
      <c r="CB1009" s="143">
        <v>0</v>
      </c>
      <c r="CC1009" s="143">
        <v>0</v>
      </c>
      <c r="CD1009" s="143">
        <v>0</v>
      </c>
      <c r="CE1009" s="143">
        <v>0</v>
      </c>
      <c r="CF1009" s="143">
        <v>0</v>
      </c>
      <c r="CG1009" s="143">
        <v>0</v>
      </c>
      <c r="CH1009" s="143">
        <v>0</v>
      </c>
      <c r="CI1009" s="143">
        <v>0</v>
      </c>
      <c r="CJ1009" s="143">
        <v>0</v>
      </c>
      <c r="CK1009" s="143">
        <v>0</v>
      </c>
      <c r="CL1009" s="143">
        <v>0</v>
      </c>
      <c r="CM1009">
        <v>1</v>
      </c>
      <c r="CN1009" t="str">
        <f t="shared" si="254"/>
        <v>refOK</v>
      </c>
      <c r="CO1009">
        <f t="shared" si="252"/>
        <v>0</v>
      </c>
      <c r="CP1009">
        <f t="shared" si="253"/>
        <v>27.1</v>
      </c>
      <c r="CQ1009">
        <f t="shared" si="221"/>
        <v>4.4281045751633989</v>
      </c>
      <c r="CR1009">
        <f t="shared" ref="CR1009:CR1030" si="259">IF($CN1009="refOK",$BS1009,$BT1009)*IF($BP1009="Emissions positive",-1,1)</f>
        <v>-1</v>
      </c>
      <c r="CS1009">
        <f t="shared" si="249"/>
        <v>0</v>
      </c>
      <c r="CT1009">
        <f t="shared" si="214"/>
        <v>3.67</v>
      </c>
      <c r="CU1009">
        <f t="shared" si="258"/>
        <v>0.82879704797047959</v>
      </c>
      <c r="CV1009" s="2">
        <f t="shared" si="215"/>
        <v>1</v>
      </c>
      <c r="CW1009" s="1" t="s">
        <v>1205</v>
      </c>
      <c r="CX1009" t="str">
        <f t="shared" si="242"/>
        <v>reg</v>
      </c>
      <c r="CY1009" t="s">
        <v>445</v>
      </c>
      <c r="DA1009" s="143"/>
      <c r="DB1009" s="143">
        <v>0</v>
      </c>
      <c r="DC1009" t="str">
        <f t="shared" si="243"/>
        <v>0</v>
      </c>
      <c r="DD1009">
        <v>0</v>
      </c>
      <c r="DE1009">
        <v>1</v>
      </c>
      <c r="DF1009">
        <v>0</v>
      </c>
      <c r="DG1009">
        <v>0</v>
      </c>
      <c r="DI1009">
        <f t="shared" si="256"/>
        <v>1</v>
      </c>
      <c r="DJ1009" t="str">
        <f t="shared" si="257"/>
        <v>EnergyInput</v>
      </c>
      <c r="DK1009">
        <f t="shared" si="223"/>
        <v>0</v>
      </c>
      <c r="DL1009" t="str">
        <f t="shared" si="224"/>
        <v>Energy</v>
      </c>
      <c r="DM1009">
        <f t="shared" si="225"/>
        <v>0</v>
      </c>
      <c r="DN1009">
        <f t="shared" si="226"/>
        <v>0</v>
      </c>
      <c r="DO1009">
        <v>0</v>
      </c>
      <c r="DP1009" s="143">
        <v>0</v>
      </c>
      <c r="DQ1009" s="143">
        <v>0</v>
      </c>
      <c r="DR1009">
        <v>0</v>
      </c>
      <c r="DS1009" s="143">
        <v>0</v>
      </c>
      <c r="DT1009">
        <f t="shared" ref="DT1009:DT1072" si="260">SUM(DO1009:DP1009)</f>
        <v>0</v>
      </c>
      <c r="DU1009" s="143" t="str">
        <f t="shared" si="245"/>
        <v>explicit C balance</v>
      </c>
      <c r="DV1009" s="143">
        <v>0</v>
      </c>
      <c r="DW1009" s="143">
        <v>0</v>
      </c>
      <c r="DX1009" s="143">
        <v>0</v>
      </c>
      <c r="DY1009" s="143">
        <v>0</v>
      </c>
      <c r="DZ1009">
        <v>0</v>
      </c>
      <c r="EA1009" s="143">
        <v>0</v>
      </c>
      <c r="EB1009" s="143">
        <v>0</v>
      </c>
      <c r="EC1009" s="143">
        <v>1</v>
      </c>
      <c r="ED1009" s="143">
        <v>0</v>
      </c>
      <c r="EE1009">
        <v>0</v>
      </c>
      <c r="EF1009">
        <v>0</v>
      </c>
      <c r="EG1009" s="143">
        <v>0</v>
      </c>
      <c r="EH1009" s="143">
        <v>0</v>
      </c>
      <c r="EI1009" s="2">
        <v>0</v>
      </c>
      <c r="EK1009" t="str">
        <f t="shared" si="227"/>
        <v/>
      </c>
      <c r="EL1009" t="str">
        <f t="shared" si="228"/>
        <v/>
      </c>
      <c r="EM1009" s="2" t="str">
        <f t="shared" si="244"/>
        <v/>
      </c>
      <c r="EP1009" t="str">
        <f>IF(ISNUMBER(BU1009),IF(ABS(BU1009-[3]QC_indicators!$B$2)&gt;3*[3]QC_indicators!$C$2,"C ratio",IF(ISNUMBER(BY1009),IF(ABS(BY1009-[3]QC_indicators!$B$1)&gt;3*[3]QC_indicators!$C$1,"DF","no"))),IF(ISNUMBER(BY1009),IF(ABS(BY1009-[3]QC_indicators!$B$1)&gt;3*[3]QC_indicators!$C$1,"DF","no")))</f>
        <v>no</v>
      </c>
      <c r="ER1009" s="149" t="s">
        <v>350</v>
      </c>
      <c r="ET1009" s="266" t="s">
        <v>3268</v>
      </c>
    </row>
    <row r="1010" spans="1:150" ht="15" hidden="1" customHeight="1">
      <c r="D1010" t="s">
        <v>1663</v>
      </c>
      <c r="E1010" t="s">
        <v>1664</v>
      </c>
      <c r="G1010" t="s">
        <v>1665</v>
      </c>
      <c r="I1010">
        <v>2007</v>
      </c>
      <c r="K1010" t="s">
        <v>1666</v>
      </c>
      <c r="M1010" t="str">
        <f t="shared" si="255"/>
        <v>Gustavsson_2007</v>
      </c>
      <c r="N1010" t="s">
        <v>223</v>
      </c>
      <c r="O1010" t="s">
        <v>224</v>
      </c>
      <c r="Q1010" t="s">
        <v>257</v>
      </c>
      <c r="R1010" s="271" t="s">
        <v>275</v>
      </c>
      <c r="S1010" s="1" t="s">
        <v>1667</v>
      </c>
      <c r="T1010" t="s">
        <v>1681</v>
      </c>
      <c r="U1010" s="143" t="s">
        <v>1685</v>
      </c>
      <c r="V1010">
        <v>0</v>
      </c>
      <c r="W1010">
        <v>0</v>
      </c>
      <c r="X1010">
        <v>0</v>
      </c>
      <c r="Y1010">
        <v>0</v>
      </c>
      <c r="Z1010">
        <v>0</v>
      </c>
      <c r="AA1010">
        <v>0</v>
      </c>
      <c r="AB1010">
        <v>0</v>
      </c>
      <c r="AC1010">
        <v>0</v>
      </c>
      <c r="AD1010">
        <v>0</v>
      </c>
      <c r="AE1010">
        <v>0</v>
      </c>
      <c r="AF1010">
        <v>0</v>
      </c>
      <c r="AG1010">
        <v>0</v>
      </c>
      <c r="AH1010">
        <v>0</v>
      </c>
      <c r="AI1010">
        <v>0</v>
      </c>
      <c r="AJ1010">
        <v>0</v>
      </c>
      <c r="AK1010">
        <v>1</v>
      </c>
      <c r="AL1010">
        <v>0</v>
      </c>
      <c r="AM1010">
        <v>0</v>
      </c>
      <c r="AN1010">
        <v>0</v>
      </c>
      <c r="AO1010">
        <v>0</v>
      </c>
      <c r="AP1010">
        <v>0</v>
      </c>
      <c r="AQ1010">
        <v>0</v>
      </c>
      <c r="AR1010">
        <v>0</v>
      </c>
      <c r="AS1010">
        <v>0</v>
      </c>
      <c r="AT1010">
        <v>0</v>
      </c>
      <c r="AU1010">
        <v>0</v>
      </c>
      <c r="AV1010">
        <v>0</v>
      </c>
      <c r="AW1010">
        <v>0</v>
      </c>
      <c r="AX1010" s="141">
        <f t="shared" si="213"/>
        <v>1</v>
      </c>
      <c r="AY1010" s="141">
        <f t="shared" si="235"/>
        <v>1</v>
      </c>
      <c r="AZ1010">
        <f t="shared" si="236"/>
        <v>0</v>
      </c>
      <c r="BA1010">
        <f t="shared" si="237"/>
        <v>0</v>
      </c>
      <c r="BB1010">
        <f t="shared" si="238"/>
        <v>1</v>
      </c>
      <c r="BC1010">
        <f t="shared" si="239"/>
        <v>0</v>
      </c>
      <c r="BD1010">
        <f t="shared" si="240"/>
        <v>0</v>
      </c>
      <c r="BE1010" t="str">
        <f t="array" ref="BE1010">IF(AY1010=1,INDEX($V$7:$AL$7,MATCH(TRUE,INDEX($V1010:$AW1010&lt;&gt;0,),0)),IF(AY1010=0,INDEX($AM$7:$AW$7,MATCH(1,$AM1010:$AW1010,0)),IF(BF1010="Multiple strategies","mixed drivers",IF(BF1010="Supply chain","multiple supply","multiple silviculture"))))</f>
        <v>technologies/design switch</v>
      </c>
      <c r="BF1010" s="2" t="str" cm="1">
        <f t="array" ref="BF1010">IF(COUNTIF(AZ1010:BB1010,"&lt;&gt;0")=1,INDEX($V$4:$AW$4,MATCH(TRUE,INDEX($V1010:$AW1010&lt;&gt;0,),0)),IF(COUNTIF(AZ1010:BB1010,"&lt;&gt;0")=0,INDEX($AM$4:$AW$4,MATCH(1,$AM1010:$AW1010,0)),"Multiple strategies"))</f>
        <v>Technology</v>
      </c>
      <c r="BG1010" s="142" t="s">
        <v>230</v>
      </c>
      <c r="BH1010" t="s">
        <v>1669</v>
      </c>
      <c r="BI1010" s="266" t="s">
        <v>1059</v>
      </c>
      <c r="BJ1010" s="143" t="s">
        <v>3267</v>
      </c>
      <c r="BK1010">
        <v>0</v>
      </c>
      <c r="BL1010" s="143">
        <v>25.3</v>
      </c>
      <c r="BM1010" s="143"/>
      <c r="BN1010">
        <f t="shared" si="222"/>
        <v>25.3</v>
      </c>
      <c r="BO1010" s="143">
        <f t="shared" si="250"/>
        <v>4.1339869281045747</v>
      </c>
      <c r="BP1010" t="s">
        <v>233</v>
      </c>
      <c r="BR1010" t="s">
        <v>940</v>
      </c>
      <c r="BS1010" s="143">
        <v>-1</v>
      </c>
      <c r="BT1010" s="151">
        <v>0</v>
      </c>
      <c r="BU1010">
        <v>0</v>
      </c>
      <c r="BV1010">
        <v>1</v>
      </c>
      <c r="BX1010">
        <f t="shared" si="251"/>
        <v>3.67</v>
      </c>
      <c r="BY1010">
        <f t="shared" si="241"/>
        <v>0.88776284584980247</v>
      </c>
      <c r="BZ1010" s="143">
        <v>0</v>
      </c>
      <c r="CA1010" s="143">
        <v>0</v>
      </c>
      <c r="CB1010" s="143">
        <v>0</v>
      </c>
      <c r="CC1010" s="143">
        <v>0</v>
      </c>
      <c r="CD1010" s="143">
        <v>0</v>
      </c>
      <c r="CE1010" s="143">
        <v>0</v>
      </c>
      <c r="CF1010" s="143">
        <v>0</v>
      </c>
      <c r="CG1010" s="143">
        <v>0</v>
      </c>
      <c r="CH1010" s="143">
        <v>0</v>
      </c>
      <c r="CI1010" s="143">
        <v>0</v>
      </c>
      <c r="CJ1010" s="143">
        <v>0</v>
      </c>
      <c r="CK1010" s="143">
        <v>0</v>
      </c>
      <c r="CL1010" s="143">
        <v>0</v>
      </c>
      <c r="CM1010">
        <v>1</v>
      </c>
      <c r="CN1010" t="str">
        <f t="shared" si="254"/>
        <v>refOK</v>
      </c>
      <c r="CO1010">
        <f t="shared" si="252"/>
        <v>0</v>
      </c>
      <c r="CP1010">
        <f t="shared" si="253"/>
        <v>25.3</v>
      </c>
      <c r="CQ1010">
        <f t="shared" si="221"/>
        <v>4.1339869281045747</v>
      </c>
      <c r="CR1010">
        <f t="shared" si="259"/>
        <v>-1</v>
      </c>
      <c r="CS1010">
        <f t="shared" si="249"/>
        <v>0</v>
      </c>
      <c r="CT1010">
        <f t="shared" si="214"/>
        <v>3.67</v>
      </c>
      <c r="CU1010">
        <f t="shared" si="258"/>
        <v>0.88776284584980247</v>
      </c>
      <c r="CV1010" s="2">
        <f t="shared" si="215"/>
        <v>1</v>
      </c>
      <c r="CW1010" s="1" t="s">
        <v>1205</v>
      </c>
      <c r="CX1010" t="str">
        <f t="shared" si="242"/>
        <v>reg</v>
      </c>
      <c r="CY1010" t="s">
        <v>445</v>
      </c>
      <c r="DA1010" s="143"/>
      <c r="DB1010" s="143">
        <v>0</v>
      </c>
      <c r="DC1010" t="str">
        <f t="shared" si="243"/>
        <v>0</v>
      </c>
      <c r="DD1010">
        <v>0</v>
      </c>
      <c r="DE1010">
        <v>1</v>
      </c>
      <c r="DF1010">
        <v>0</v>
      </c>
      <c r="DG1010">
        <v>0</v>
      </c>
      <c r="DI1010">
        <f t="shared" si="256"/>
        <v>1</v>
      </c>
      <c r="DJ1010" t="str">
        <f t="shared" si="257"/>
        <v>EnergyInput</v>
      </c>
      <c r="DK1010">
        <f t="shared" si="223"/>
        <v>0</v>
      </c>
      <c r="DL1010" t="str">
        <f t="shared" si="224"/>
        <v>Energy</v>
      </c>
      <c r="DM1010">
        <f t="shared" si="225"/>
        <v>0</v>
      </c>
      <c r="DN1010">
        <f t="shared" si="226"/>
        <v>0</v>
      </c>
      <c r="DO1010">
        <v>0</v>
      </c>
      <c r="DP1010" s="143">
        <v>0</v>
      </c>
      <c r="DQ1010" s="143">
        <v>0</v>
      </c>
      <c r="DR1010">
        <v>0</v>
      </c>
      <c r="DS1010" s="143">
        <v>0</v>
      </c>
      <c r="DT1010">
        <f t="shared" si="260"/>
        <v>0</v>
      </c>
      <c r="DU1010" s="143" t="str">
        <f t="shared" si="245"/>
        <v>explicit C balance</v>
      </c>
      <c r="DV1010" s="143">
        <v>0</v>
      </c>
      <c r="DW1010" s="143">
        <v>0</v>
      </c>
      <c r="DX1010" s="143">
        <v>0</v>
      </c>
      <c r="DY1010" s="143">
        <v>0</v>
      </c>
      <c r="DZ1010">
        <v>0</v>
      </c>
      <c r="EA1010" s="143">
        <v>0</v>
      </c>
      <c r="EB1010" s="143">
        <v>0</v>
      </c>
      <c r="EC1010" s="143">
        <v>1</v>
      </c>
      <c r="ED1010" s="143">
        <v>0</v>
      </c>
      <c r="EE1010">
        <v>0</v>
      </c>
      <c r="EF1010">
        <v>0</v>
      </c>
      <c r="EG1010" s="143">
        <v>0</v>
      </c>
      <c r="EH1010" s="143">
        <v>0</v>
      </c>
      <c r="EI1010" s="2">
        <v>0</v>
      </c>
      <c r="EK1010" t="str">
        <f t="shared" si="227"/>
        <v/>
      </c>
      <c r="EL1010" t="str">
        <f t="shared" si="228"/>
        <v/>
      </c>
      <c r="EM1010" s="2" t="str">
        <f t="shared" si="244"/>
        <v/>
      </c>
      <c r="EP1010" t="str">
        <f>IF(ISNUMBER(BU1010),IF(ABS(BU1010-[3]QC_indicators!$B$2)&gt;3*[3]QC_indicators!$C$2,"C ratio",IF(ISNUMBER(BY1010),IF(ABS(BY1010-[3]QC_indicators!$B$1)&gt;3*[3]QC_indicators!$C$1,"DF","no"))),IF(ISNUMBER(BY1010),IF(ABS(BY1010-[3]QC_indicators!$B$1)&gt;3*[3]QC_indicators!$C$1,"DF","no")))</f>
        <v>no</v>
      </c>
      <c r="ER1010" s="149" t="s">
        <v>350</v>
      </c>
      <c r="ET1010" s="266" t="s">
        <v>3268</v>
      </c>
    </row>
    <row r="1011" spans="1:150" ht="15" hidden="1" customHeight="1">
      <c r="D1011" t="s">
        <v>1663</v>
      </c>
      <c r="E1011" t="s">
        <v>1664</v>
      </c>
      <c r="G1011" t="s">
        <v>1665</v>
      </c>
      <c r="I1011">
        <v>2007</v>
      </c>
      <c r="K1011" t="s">
        <v>1666</v>
      </c>
      <c r="M1011" t="str">
        <f t="shared" si="255"/>
        <v>Gustavsson_2007</v>
      </c>
      <c r="N1011" t="s">
        <v>223</v>
      </c>
      <c r="O1011" t="s">
        <v>224</v>
      </c>
      <c r="Q1011" t="s">
        <v>257</v>
      </c>
      <c r="R1011" s="271" t="s">
        <v>275</v>
      </c>
      <c r="S1011" s="1" t="s">
        <v>1667</v>
      </c>
      <c r="T1011" t="s">
        <v>1686</v>
      </c>
      <c r="U1011" s="143" t="s">
        <v>1685</v>
      </c>
      <c r="V1011">
        <v>0</v>
      </c>
      <c r="W1011">
        <v>0</v>
      </c>
      <c r="X1011">
        <v>0</v>
      </c>
      <c r="Y1011">
        <v>0</v>
      </c>
      <c r="Z1011">
        <v>0</v>
      </c>
      <c r="AA1011">
        <v>0</v>
      </c>
      <c r="AB1011">
        <v>0</v>
      </c>
      <c r="AC1011">
        <v>0</v>
      </c>
      <c r="AD1011">
        <v>0</v>
      </c>
      <c r="AE1011">
        <v>0</v>
      </c>
      <c r="AF1011">
        <v>0</v>
      </c>
      <c r="AG1011">
        <v>0</v>
      </c>
      <c r="AH1011">
        <v>0</v>
      </c>
      <c r="AI1011">
        <v>0</v>
      </c>
      <c r="AJ1011">
        <v>0</v>
      </c>
      <c r="AK1011">
        <v>1</v>
      </c>
      <c r="AL1011">
        <v>0</v>
      </c>
      <c r="AM1011">
        <v>0</v>
      </c>
      <c r="AN1011">
        <v>0</v>
      </c>
      <c r="AO1011">
        <v>0</v>
      </c>
      <c r="AP1011">
        <v>0</v>
      </c>
      <c r="AQ1011">
        <v>0</v>
      </c>
      <c r="AR1011">
        <v>0</v>
      </c>
      <c r="AS1011">
        <v>0</v>
      </c>
      <c r="AT1011">
        <v>0</v>
      </c>
      <c r="AU1011">
        <v>0</v>
      </c>
      <c r="AV1011">
        <v>0</v>
      </c>
      <c r="AW1011">
        <v>0</v>
      </c>
      <c r="AX1011" s="141">
        <f t="shared" si="213"/>
        <v>1</v>
      </c>
      <c r="AY1011" s="141">
        <f t="shared" si="235"/>
        <v>1</v>
      </c>
      <c r="AZ1011">
        <f t="shared" si="236"/>
        <v>0</v>
      </c>
      <c r="BA1011">
        <f t="shared" si="237"/>
        <v>0</v>
      </c>
      <c r="BB1011">
        <f t="shared" si="238"/>
        <v>1</v>
      </c>
      <c r="BC1011">
        <f t="shared" si="239"/>
        <v>0</v>
      </c>
      <c r="BD1011">
        <f t="shared" si="240"/>
        <v>0</v>
      </c>
      <c r="BE1011" t="str">
        <f t="array" ref="BE1011">IF(AY1011=1,INDEX($V$7:$AL$7,MATCH(TRUE,INDEX($V1011:$AW1011&lt;&gt;0,),0)),IF(AY1011=0,INDEX($AM$7:$AW$7,MATCH(1,$AM1011:$AW1011,0)),IF(BF1011="Multiple strategies","mixed drivers",IF(BF1011="Supply chain","multiple supply","multiple silviculture"))))</f>
        <v>technologies/design switch</v>
      </c>
      <c r="BF1011" s="2" t="str" cm="1">
        <f t="array" ref="BF1011">IF(COUNTIF(AZ1011:BB1011,"&lt;&gt;0")=1,INDEX($V$4:$AW$4,MATCH(TRUE,INDEX($V1011:$AW1011&lt;&gt;0,),0)),IF(COUNTIF(AZ1011:BB1011,"&lt;&gt;0")=0,INDEX($AM$4:$AW$4,MATCH(1,$AM1011:$AW1011,0)),"Multiple strategies"))</f>
        <v>Technology</v>
      </c>
      <c r="BG1011" s="142" t="s">
        <v>230</v>
      </c>
      <c r="BH1011" t="s">
        <v>1669</v>
      </c>
      <c r="BI1011" s="266" t="s">
        <v>1059</v>
      </c>
      <c r="BJ1011" s="143" t="s">
        <v>3267</v>
      </c>
      <c r="BK1011">
        <v>0</v>
      </c>
      <c r="BL1011" s="143">
        <v>25.2</v>
      </c>
      <c r="BM1011" s="143"/>
      <c r="BN1011">
        <f t="shared" si="222"/>
        <v>25.2</v>
      </c>
      <c r="BO1011" s="143">
        <f t="shared" si="250"/>
        <v>4.117647058823529</v>
      </c>
      <c r="BP1011" t="s">
        <v>233</v>
      </c>
      <c r="BR1011" t="s">
        <v>940</v>
      </c>
      <c r="BS1011" s="143">
        <v>-1</v>
      </c>
      <c r="BT1011" s="151">
        <v>0</v>
      </c>
      <c r="BU1011">
        <v>0</v>
      </c>
      <c r="BV1011">
        <v>1</v>
      </c>
      <c r="BX1011">
        <f t="shared" si="251"/>
        <v>3.67</v>
      </c>
      <c r="BY1011">
        <f t="shared" si="241"/>
        <v>0.89128571428571435</v>
      </c>
      <c r="BZ1011" s="143">
        <v>0</v>
      </c>
      <c r="CA1011" s="143">
        <v>0</v>
      </c>
      <c r="CB1011" s="143">
        <v>0</v>
      </c>
      <c r="CC1011" s="143">
        <v>0</v>
      </c>
      <c r="CD1011" s="143">
        <v>0</v>
      </c>
      <c r="CE1011" s="143">
        <v>0</v>
      </c>
      <c r="CF1011" s="143">
        <v>0</v>
      </c>
      <c r="CG1011" s="143">
        <v>0</v>
      </c>
      <c r="CH1011" s="143">
        <v>0</v>
      </c>
      <c r="CI1011" s="143">
        <v>0</v>
      </c>
      <c r="CJ1011" s="143">
        <v>0</v>
      </c>
      <c r="CK1011" s="143">
        <v>0</v>
      </c>
      <c r="CL1011" s="143">
        <v>0</v>
      </c>
      <c r="CM1011">
        <v>1</v>
      </c>
      <c r="CN1011" t="str">
        <f t="shared" si="254"/>
        <v>refOK</v>
      </c>
      <c r="CO1011">
        <f t="shared" si="252"/>
        <v>0</v>
      </c>
      <c r="CP1011">
        <f t="shared" si="253"/>
        <v>25.2</v>
      </c>
      <c r="CQ1011">
        <f t="shared" si="221"/>
        <v>4.117647058823529</v>
      </c>
      <c r="CR1011">
        <f t="shared" si="259"/>
        <v>-1</v>
      </c>
      <c r="CS1011">
        <f t="shared" si="249"/>
        <v>0</v>
      </c>
      <c r="CT1011">
        <f t="shared" si="214"/>
        <v>3.67</v>
      </c>
      <c r="CU1011">
        <f t="shared" si="258"/>
        <v>0.89128571428571435</v>
      </c>
      <c r="CV1011" s="2">
        <f t="shared" si="215"/>
        <v>1</v>
      </c>
      <c r="CW1011" s="1" t="s">
        <v>1205</v>
      </c>
      <c r="CX1011" t="str">
        <f t="shared" si="242"/>
        <v>reg</v>
      </c>
      <c r="CY1011" t="s">
        <v>445</v>
      </c>
      <c r="DA1011" s="143"/>
      <c r="DB1011" s="143">
        <v>0</v>
      </c>
      <c r="DC1011" t="str">
        <f t="shared" si="243"/>
        <v>0</v>
      </c>
      <c r="DD1011">
        <v>0</v>
      </c>
      <c r="DE1011">
        <v>1</v>
      </c>
      <c r="DF1011">
        <v>0</v>
      </c>
      <c r="DG1011">
        <v>0</v>
      </c>
      <c r="DI1011">
        <f t="shared" si="256"/>
        <v>1</v>
      </c>
      <c r="DJ1011" t="str">
        <f t="shared" si="257"/>
        <v>EnergyInput</v>
      </c>
      <c r="DK1011">
        <f t="shared" si="223"/>
        <v>0</v>
      </c>
      <c r="DL1011" t="str">
        <f t="shared" si="224"/>
        <v>Energy</v>
      </c>
      <c r="DM1011">
        <f t="shared" si="225"/>
        <v>0</v>
      </c>
      <c r="DN1011">
        <f t="shared" si="226"/>
        <v>0</v>
      </c>
      <c r="DO1011">
        <v>0</v>
      </c>
      <c r="DP1011" s="143">
        <v>0</v>
      </c>
      <c r="DQ1011" s="143">
        <v>0</v>
      </c>
      <c r="DR1011">
        <v>0</v>
      </c>
      <c r="DS1011" s="143">
        <v>0</v>
      </c>
      <c r="DT1011">
        <f t="shared" si="260"/>
        <v>0</v>
      </c>
      <c r="DU1011" s="143" t="str">
        <f t="shared" si="245"/>
        <v>explicit C balance</v>
      </c>
      <c r="DV1011" s="143">
        <v>0</v>
      </c>
      <c r="DW1011" s="143">
        <v>0</v>
      </c>
      <c r="DX1011" s="143">
        <v>0</v>
      </c>
      <c r="DY1011" s="143">
        <v>0</v>
      </c>
      <c r="DZ1011">
        <v>0</v>
      </c>
      <c r="EA1011" s="143">
        <v>0</v>
      </c>
      <c r="EB1011" s="143">
        <v>0</v>
      </c>
      <c r="EC1011" s="143">
        <v>1</v>
      </c>
      <c r="ED1011" s="143">
        <v>0</v>
      </c>
      <c r="EE1011">
        <v>0</v>
      </c>
      <c r="EF1011">
        <v>0</v>
      </c>
      <c r="EG1011" s="143">
        <v>0</v>
      </c>
      <c r="EH1011" s="143">
        <v>0</v>
      </c>
      <c r="EI1011" s="2">
        <v>0</v>
      </c>
      <c r="EK1011" t="str">
        <f t="shared" si="227"/>
        <v/>
      </c>
      <c r="EL1011" t="str">
        <f t="shared" si="228"/>
        <v/>
      </c>
      <c r="EM1011" s="2" t="str">
        <f t="shared" si="244"/>
        <v/>
      </c>
      <c r="EP1011" t="str">
        <f>IF(ISNUMBER(BU1011),IF(ABS(BU1011-[3]QC_indicators!$B$2)&gt;3*[3]QC_indicators!$C$2,"C ratio",IF(ISNUMBER(BY1011),IF(ABS(BY1011-[3]QC_indicators!$B$1)&gt;3*[3]QC_indicators!$C$1,"DF","no"))),IF(ISNUMBER(BY1011),IF(ABS(BY1011-[3]QC_indicators!$B$1)&gt;3*[3]QC_indicators!$C$1,"DF","no")))</f>
        <v>no</v>
      </c>
      <c r="ER1011" s="149" t="s">
        <v>350</v>
      </c>
      <c r="ET1011" s="266" t="s">
        <v>3268</v>
      </c>
    </row>
    <row r="1012" spans="1:150" ht="15" hidden="1" customHeight="1">
      <c r="D1012" t="s">
        <v>1663</v>
      </c>
      <c r="E1012" t="s">
        <v>1664</v>
      </c>
      <c r="G1012" t="s">
        <v>1665</v>
      </c>
      <c r="I1012">
        <v>2007</v>
      </c>
      <c r="K1012" t="s">
        <v>1666</v>
      </c>
      <c r="M1012" t="str">
        <f t="shared" si="255"/>
        <v>Gustavsson_2007</v>
      </c>
      <c r="N1012" t="s">
        <v>223</v>
      </c>
      <c r="O1012" t="s">
        <v>224</v>
      </c>
      <c r="Q1012" t="s">
        <v>257</v>
      </c>
      <c r="R1012" s="271" t="s">
        <v>275</v>
      </c>
      <c r="S1012" s="1" t="s">
        <v>1667</v>
      </c>
      <c r="T1012" t="s">
        <v>1690</v>
      </c>
      <c r="U1012" s="143" t="s">
        <v>1685</v>
      </c>
      <c r="V1012">
        <v>0</v>
      </c>
      <c r="W1012">
        <v>0</v>
      </c>
      <c r="X1012">
        <v>0</v>
      </c>
      <c r="Y1012">
        <v>0</v>
      </c>
      <c r="Z1012">
        <v>0</v>
      </c>
      <c r="AA1012">
        <v>0</v>
      </c>
      <c r="AB1012">
        <v>0</v>
      </c>
      <c r="AC1012">
        <v>0</v>
      </c>
      <c r="AD1012">
        <v>0</v>
      </c>
      <c r="AE1012">
        <v>0</v>
      </c>
      <c r="AF1012">
        <v>0</v>
      </c>
      <c r="AG1012">
        <v>0</v>
      </c>
      <c r="AH1012">
        <v>0</v>
      </c>
      <c r="AI1012">
        <v>0</v>
      </c>
      <c r="AJ1012">
        <v>0</v>
      </c>
      <c r="AK1012">
        <v>1</v>
      </c>
      <c r="AL1012">
        <v>0</v>
      </c>
      <c r="AM1012">
        <v>0</v>
      </c>
      <c r="AN1012">
        <v>0</v>
      </c>
      <c r="AO1012">
        <v>0</v>
      </c>
      <c r="AP1012">
        <v>0</v>
      </c>
      <c r="AQ1012">
        <v>0</v>
      </c>
      <c r="AR1012">
        <v>0</v>
      </c>
      <c r="AS1012">
        <v>0</v>
      </c>
      <c r="AT1012">
        <v>0</v>
      </c>
      <c r="AU1012">
        <v>0</v>
      </c>
      <c r="AV1012">
        <v>0</v>
      </c>
      <c r="AW1012">
        <v>0</v>
      </c>
      <c r="AX1012" s="141">
        <f t="shared" si="213"/>
        <v>1</v>
      </c>
      <c r="AY1012" s="141">
        <f t="shared" si="235"/>
        <v>1</v>
      </c>
      <c r="AZ1012">
        <f t="shared" si="236"/>
        <v>0</v>
      </c>
      <c r="BA1012">
        <f t="shared" si="237"/>
        <v>0</v>
      </c>
      <c r="BB1012">
        <f t="shared" si="238"/>
        <v>1</v>
      </c>
      <c r="BC1012">
        <f t="shared" si="239"/>
        <v>0</v>
      </c>
      <c r="BD1012">
        <f t="shared" si="240"/>
        <v>0</v>
      </c>
      <c r="BE1012" t="str">
        <f t="array" ref="BE1012">IF(AY1012=1,INDEX($V$7:$AL$7,MATCH(TRUE,INDEX($V1012:$AW1012&lt;&gt;0,),0)),IF(AY1012=0,INDEX($AM$7:$AW$7,MATCH(1,$AM1012:$AW1012,0)),IF(BF1012="Multiple strategies","mixed drivers",IF(BF1012="Supply chain","multiple supply","multiple silviculture"))))</f>
        <v>technologies/design switch</v>
      </c>
      <c r="BF1012" s="2" t="str" cm="1">
        <f t="array" ref="BF1012">IF(COUNTIF(AZ1012:BB1012,"&lt;&gt;0")=1,INDEX($V$4:$AW$4,MATCH(TRUE,INDEX($V1012:$AW1012&lt;&gt;0,),0)),IF(COUNTIF(AZ1012:BB1012,"&lt;&gt;0")=0,INDEX($AM$4:$AW$4,MATCH(1,$AM1012:$AW1012,0)),"Multiple strategies"))</f>
        <v>Technology</v>
      </c>
      <c r="BG1012" s="142" t="s">
        <v>230</v>
      </c>
      <c r="BH1012" t="s">
        <v>1669</v>
      </c>
      <c r="BI1012" s="266" t="s">
        <v>1059</v>
      </c>
      <c r="BJ1012" s="143" t="s">
        <v>3267</v>
      </c>
      <c r="BK1012">
        <v>0</v>
      </c>
      <c r="BL1012" s="143">
        <v>24.4</v>
      </c>
      <c r="BM1012" s="143"/>
      <c r="BN1012">
        <f t="shared" si="222"/>
        <v>24.4</v>
      </c>
      <c r="BO1012" s="143">
        <f t="shared" si="250"/>
        <v>3.986928104575163</v>
      </c>
      <c r="BP1012" t="s">
        <v>233</v>
      </c>
      <c r="BR1012" t="s">
        <v>940</v>
      </c>
      <c r="BS1012" s="143">
        <v>-1</v>
      </c>
      <c r="BT1012" s="151">
        <v>0</v>
      </c>
      <c r="BU1012">
        <v>0</v>
      </c>
      <c r="BV1012">
        <v>1</v>
      </c>
      <c r="BX1012">
        <f t="shared" si="251"/>
        <v>3.67</v>
      </c>
      <c r="BY1012">
        <f t="shared" si="241"/>
        <v>0.92050819672131157</v>
      </c>
      <c r="BZ1012" s="143">
        <v>0</v>
      </c>
      <c r="CA1012" s="143">
        <v>0</v>
      </c>
      <c r="CB1012" s="143">
        <v>0</v>
      </c>
      <c r="CC1012" s="143">
        <v>0</v>
      </c>
      <c r="CD1012" s="143">
        <v>0</v>
      </c>
      <c r="CE1012" s="143">
        <v>0</v>
      </c>
      <c r="CF1012" s="143">
        <v>0</v>
      </c>
      <c r="CG1012" s="143">
        <v>0</v>
      </c>
      <c r="CH1012" s="143">
        <v>0</v>
      </c>
      <c r="CI1012" s="143">
        <v>0</v>
      </c>
      <c r="CJ1012" s="143">
        <v>0</v>
      </c>
      <c r="CK1012" s="143">
        <v>0</v>
      </c>
      <c r="CL1012" s="143">
        <v>0</v>
      </c>
      <c r="CM1012">
        <v>1</v>
      </c>
      <c r="CN1012" t="str">
        <f t="shared" si="254"/>
        <v>refOK</v>
      </c>
      <c r="CO1012">
        <f t="shared" si="252"/>
        <v>0</v>
      </c>
      <c r="CP1012">
        <f t="shared" si="253"/>
        <v>24.4</v>
      </c>
      <c r="CQ1012">
        <f t="shared" si="221"/>
        <v>3.986928104575163</v>
      </c>
      <c r="CR1012">
        <f t="shared" si="259"/>
        <v>-1</v>
      </c>
      <c r="CS1012">
        <f t="shared" si="249"/>
        <v>0</v>
      </c>
      <c r="CT1012">
        <f t="shared" si="214"/>
        <v>3.67</v>
      </c>
      <c r="CU1012">
        <f t="shared" si="258"/>
        <v>0.92050819672131157</v>
      </c>
      <c r="CV1012" s="2">
        <f t="shared" si="215"/>
        <v>1</v>
      </c>
      <c r="CW1012" s="1" t="s">
        <v>1205</v>
      </c>
      <c r="CX1012" t="str">
        <f t="shared" si="242"/>
        <v>reg</v>
      </c>
      <c r="CY1012" t="s">
        <v>445</v>
      </c>
      <c r="DA1012" s="143"/>
      <c r="DB1012" s="143">
        <v>0</v>
      </c>
      <c r="DC1012" t="str">
        <f t="shared" si="243"/>
        <v>0</v>
      </c>
      <c r="DD1012">
        <v>0</v>
      </c>
      <c r="DE1012">
        <v>1</v>
      </c>
      <c r="DF1012">
        <v>0</v>
      </c>
      <c r="DG1012">
        <v>0</v>
      </c>
      <c r="DI1012">
        <f t="shared" si="256"/>
        <v>1</v>
      </c>
      <c r="DJ1012" t="str">
        <f t="shared" si="257"/>
        <v>EnergyInput</v>
      </c>
      <c r="DK1012">
        <f t="shared" si="223"/>
        <v>0</v>
      </c>
      <c r="DL1012" t="str">
        <f t="shared" si="224"/>
        <v>Energy</v>
      </c>
      <c r="DM1012">
        <f t="shared" si="225"/>
        <v>0</v>
      </c>
      <c r="DN1012">
        <f t="shared" si="226"/>
        <v>0</v>
      </c>
      <c r="DO1012">
        <v>0</v>
      </c>
      <c r="DP1012" s="143">
        <v>0</v>
      </c>
      <c r="DQ1012" s="143">
        <v>0</v>
      </c>
      <c r="DR1012">
        <v>0</v>
      </c>
      <c r="DS1012" s="143">
        <v>0</v>
      </c>
      <c r="DT1012">
        <f t="shared" si="260"/>
        <v>0</v>
      </c>
      <c r="DU1012" s="143" t="str">
        <f t="shared" si="245"/>
        <v>explicit C balance</v>
      </c>
      <c r="DV1012" s="143">
        <v>0</v>
      </c>
      <c r="DW1012" s="143">
        <v>0</v>
      </c>
      <c r="DX1012" s="143">
        <v>0</v>
      </c>
      <c r="DY1012" s="143">
        <v>0</v>
      </c>
      <c r="DZ1012">
        <v>0</v>
      </c>
      <c r="EA1012" s="143">
        <v>0</v>
      </c>
      <c r="EB1012" s="143">
        <v>0</v>
      </c>
      <c r="EC1012" s="143">
        <v>1</v>
      </c>
      <c r="ED1012" s="143">
        <v>0</v>
      </c>
      <c r="EE1012">
        <v>0</v>
      </c>
      <c r="EF1012">
        <v>0</v>
      </c>
      <c r="EG1012" s="143">
        <v>0</v>
      </c>
      <c r="EH1012" s="143">
        <v>0</v>
      </c>
      <c r="EI1012" s="2">
        <v>0</v>
      </c>
      <c r="EK1012" t="str">
        <f t="shared" si="227"/>
        <v/>
      </c>
      <c r="EL1012" t="str">
        <f t="shared" si="228"/>
        <v/>
      </c>
      <c r="EM1012" s="2" t="str">
        <f t="shared" si="244"/>
        <v/>
      </c>
      <c r="EP1012" t="str">
        <f>IF(ISNUMBER(BU1012),IF(ABS(BU1012-[3]QC_indicators!$B$2)&gt;3*[3]QC_indicators!$C$2,"C ratio",IF(ISNUMBER(BY1012),IF(ABS(BY1012-[3]QC_indicators!$B$1)&gt;3*[3]QC_indicators!$C$1,"DF","no"))),IF(ISNUMBER(BY1012),IF(ABS(BY1012-[3]QC_indicators!$B$1)&gt;3*[3]QC_indicators!$C$1,"DF","no")))</f>
        <v>no</v>
      </c>
      <c r="ER1012" s="149" t="s">
        <v>350</v>
      </c>
      <c r="ET1012" s="266" t="s">
        <v>3268</v>
      </c>
    </row>
    <row r="1013" spans="1:150" ht="15" hidden="1" customHeight="1">
      <c r="D1013" t="s">
        <v>1663</v>
      </c>
      <c r="E1013" t="s">
        <v>1664</v>
      </c>
      <c r="G1013" t="s">
        <v>1665</v>
      </c>
      <c r="I1013">
        <v>2007</v>
      </c>
      <c r="K1013" t="s">
        <v>1666</v>
      </c>
      <c r="M1013" t="str">
        <f t="shared" si="255"/>
        <v>Gustavsson_2007</v>
      </c>
      <c r="N1013" t="s">
        <v>223</v>
      </c>
      <c r="O1013" t="s">
        <v>224</v>
      </c>
      <c r="Q1013" t="s">
        <v>257</v>
      </c>
      <c r="R1013" s="271" t="s">
        <v>275</v>
      </c>
      <c r="S1013" s="1" t="s">
        <v>1667</v>
      </c>
      <c r="T1013" t="s">
        <v>1691</v>
      </c>
      <c r="U1013" s="143" t="s">
        <v>1682</v>
      </c>
      <c r="V1013">
        <v>0</v>
      </c>
      <c r="W1013">
        <v>0</v>
      </c>
      <c r="X1013">
        <v>0</v>
      </c>
      <c r="Y1013">
        <v>0</v>
      </c>
      <c r="Z1013">
        <v>0</v>
      </c>
      <c r="AA1013">
        <v>0</v>
      </c>
      <c r="AB1013">
        <v>0</v>
      </c>
      <c r="AC1013">
        <v>0</v>
      </c>
      <c r="AD1013">
        <v>0</v>
      </c>
      <c r="AE1013">
        <v>0</v>
      </c>
      <c r="AF1013">
        <v>0</v>
      </c>
      <c r="AG1013">
        <v>0</v>
      </c>
      <c r="AH1013">
        <v>0</v>
      </c>
      <c r="AI1013">
        <v>0</v>
      </c>
      <c r="AJ1013">
        <v>0</v>
      </c>
      <c r="AK1013">
        <v>1</v>
      </c>
      <c r="AL1013">
        <v>0</v>
      </c>
      <c r="AM1013">
        <v>0</v>
      </c>
      <c r="AN1013">
        <v>0</v>
      </c>
      <c r="AO1013">
        <v>0</v>
      </c>
      <c r="AP1013">
        <v>0</v>
      </c>
      <c r="AQ1013">
        <v>0</v>
      </c>
      <c r="AR1013">
        <v>0</v>
      </c>
      <c r="AS1013">
        <v>0</v>
      </c>
      <c r="AT1013">
        <v>0</v>
      </c>
      <c r="AU1013">
        <v>0</v>
      </c>
      <c r="AV1013">
        <v>0</v>
      </c>
      <c r="AW1013">
        <v>0</v>
      </c>
      <c r="AX1013" s="141">
        <f t="shared" si="213"/>
        <v>1</v>
      </c>
      <c r="AY1013" s="141">
        <f t="shared" si="235"/>
        <v>1</v>
      </c>
      <c r="AZ1013">
        <f t="shared" si="236"/>
        <v>0</v>
      </c>
      <c r="BA1013">
        <f t="shared" si="237"/>
        <v>0</v>
      </c>
      <c r="BB1013">
        <f t="shared" si="238"/>
        <v>1</v>
      </c>
      <c r="BC1013">
        <f t="shared" si="239"/>
        <v>0</v>
      </c>
      <c r="BD1013">
        <f t="shared" si="240"/>
        <v>0</v>
      </c>
      <c r="BE1013" t="str">
        <f t="array" ref="BE1013">IF(AY1013=1,INDEX($V$7:$AL$7,MATCH(TRUE,INDEX($V1013:$AW1013&lt;&gt;0,),0)),IF(AY1013=0,INDEX($AM$7:$AW$7,MATCH(1,$AM1013:$AW1013,0)),IF(BF1013="Multiple strategies","mixed drivers",IF(BF1013="Supply chain","multiple supply","multiple silviculture"))))</f>
        <v>technologies/design switch</v>
      </c>
      <c r="BF1013" s="2" t="str" cm="1">
        <f t="array" ref="BF1013">IF(COUNTIF(AZ1013:BB1013,"&lt;&gt;0")=1,INDEX($V$4:$AW$4,MATCH(TRUE,INDEX($V1013:$AW1013&lt;&gt;0,),0)),IF(COUNTIF(AZ1013:BB1013,"&lt;&gt;0")=0,INDEX($AM$4:$AW$4,MATCH(1,$AM1013:$AW1013,0)),"Multiple strategies"))</f>
        <v>Technology</v>
      </c>
      <c r="BG1013" s="142" t="s">
        <v>230</v>
      </c>
      <c r="BH1013" t="s">
        <v>1669</v>
      </c>
      <c r="BI1013" s="266" t="s">
        <v>1059</v>
      </c>
      <c r="BJ1013" s="143" t="s">
        <v>3267</v>
      </c>
      <c r="BK1013">
        <v>0</v>
      </c>
      <c r="BL1013" s="143">
        <v>19.3</v>
      </c>
      <c r="BM1013" s="143"/>
      <c r="BN1013">
        <f t="shared" si="222"/>
        <v>19.3</v>
      </c>
      <c r="BO1013" s="143">
        <f t="shared" si="250"/>
        <v>3.15359477124183</v>
      </c>
      <c r="BP1013" t="s">
        <v>233</v>
      </c>
      <c r="BR1013" t="s">
        <v>940</v>
      </c>
      <c r="BS1013" s="143">
        <v>-1</v>
      </c>
      <c r="BT1013" s="151">
        <v>0</v>
      </c>
      <c r="BU1013">
        <v>0</v>
      </c>
      <c r="BV1013">
        <v>1</v>
      </c>
      <c r="BX1013">
        <f t="shared" si="251"/>
        <v>3.67</v>
      </c>
      <c r="BY1013">
        <f t="shared" si="241"/>
        <v>1.1637512953367877</v>
      </c>
      <c r="BZ1013" s="143">
        <v>0</v>
      </c>
      <c r="CA1013" s="143">
        <v>0</v>
      </c>
      <c r="CB1013" s="143">
        <v>0</v>
      </c>
      <c r="CC1013" s="143">
        <v>0</v>
      </c>
      <c r="CD1013" s="143">
        <v>0</v>
      </c>
      <c r="CE1013" s="143">
        <v>0</v>
      </c>
      <c r="CF1013" s="143">
        <v>0</v>
      </c>
      <c r="CG1013" s="143">
        <v>0</v>
      </c>
      <c r="CH1013" s="143">
        <v>0</v>
      </c>
      <c r="CI1013" s="143">
        <v>0</v>
      </c>
      <c r="CJ1013" s="143">
        <v>0</v>
      </c>
      <c r="CK1013" s="143">
        <v>0</v>
      </c>
      <c r="CL1013" s="143">
        <v>0</v>
      </c>
      <c r="CM1013">
        <v>1</v>
      </c>
      <c r="CN1013" t="str">
        <f t="shared" si="254"/>
        <v>refOK</v>
      </c>
      <c r="CO1013">
        <f t="shared" si="252"/>
        <v>0</v>
      </c>
      <c r="CP1013">
        <f t="shared" si="253"/>
        <v>19.3</v>
      </c>
      <c r="CQ1013">
        <f t="shared" si="221"/>
        <v>3.15359477124183</v>
      </c>
      <c r="CR1013">
        <f t="shared" si="259"/>
        <v>-1</v>
      </c>
      <c r="CS1013">
        <f t="shared" si="249"/>
        <v>0</v>
      </c>
      <c r="CT1013">
        <f t="shared" si="214"/>
        <v>3.67</v>
      </c>
      <c r="CU1013">
        <f t="shared" si="258"/>
        <v>1.1637512953367877</v>
      </c>
      <c r="CV1013" s="2">
        <f t="shared" si="215"/>
        <v>1</v>
      </c>
      <c r="CW1013" s="1" t="s">
        <v>1205</v>
      </c>
      <c r="CX1013" t="str">
        <f t="shared" si="242"/>
        <v>reg</v>
      </c>
      <c r="CY1013" t="s">
        <v>445</v>
      </c>
      <c r="DA1013" s="143"/>
      <c r="DB1013" s="143">
        <v>0</v>
      </c>
      <c r="DC1013" t="str">
        <f t="shared" si="243"/>
        <v>0</v>
      </c>
      <c r="DD1013">
        <v>0</v>
      </c>
      <c r="DE1013">
        <v>1</v>
      </c>
      <c r="DF1013">
        <v>0</v>
      </c>
      <c r="DG1013">
        <v>0</v>
      </c>
      <c r="DI1013">
        <f t="shared" si="256"/>
        <v>1</v>
      </c>
      <c r="DJ1013" t="str">
        <f t="shared" si="257"/>
        <v>EnergyInput</v>
      </c>
      <c r="DK1013">
        <f t="shared" si="223"/>
        <v>0</v>
      </c>
      <c r="DL1013" t="str">
        <f t="shared" si="224"/>
        <v>Energy</v>
      </c>
      <c r="DM1013">
        <f t="shared" si="225"/>
        <v>0</v>
      </c>
      <c r="DN1013">
        <f t="shared" si="226"/>
        <v>0</v>
      </c>
      <c r="DO1013">
        <v>0</v>
      </c>
      <c r="DP1013" s="143">
        <v>0</v>
      </c>
      <c r="DQ1013" s="143">
        <v>0</v>
      </c>
      <c r="DR1013">
        <v>0</v>
      </c>
      <c r="DS1013" s="143">
        <v>0</v>
      </c>
      <c r="DT1013">
        <f t="shared" si="260"/>
        <v>0</v>
      </c>
      <c r="DU1013" s="143" t="str">
        <f t="shared" si="245"/>
        <v>explicit C balance</v>
      </c>
      <c r="DV1013" s="143">
        <v>0</v>
      </c>
      <c r="DW1013" s="143">
        <v>0</v>
      </c>
      <c r="DX1013" s="143">
        <v>0</v>
      </c>
      <c r="DY1013" s="143">
        <v>0</v>
      </c>
      <c r="DZ1013">
        <v>0</v>
      </c>
      <c r="EA1013" s="143">
        <v>0</v>
      </c>
      <c r="EB1013" s="143">
        <v>0</v>
      </c>
      <c r="EC1013" s="143">
        <v>1</v>
      </c>
      <c r="ED1013" s="143">
        <v>0</v>
      </c>
      <c r="EE1013">
        <v>0</v>
      </c>
      <c r="EF1013">
        <v>0</v>
      </c>
      <c r="EG1013" s="143">
        <v>0</v>
      </c>
      <c r="EH1013" s="143">
        <v>0</v>
      </c>
      <c r="EI1013" s="2">
        <v>0</v>
      </c>
      <c r="EK1013" t="str">
        <f t="shared" si="227"/>
        <v/>
      </c>
      <c r="EL1013" t="str">
        <f t="shared" si="228"/>
        <v/>
      </c>
      <c r="EM1013" s="2" t="str">
        <f t="shared" si="244"/>
        <v/>
      </c>
      <c r="EP1013" t="str">
        <f>IF(ISNUMBER(BU1013),IF(ABS(BU1013-[3]QC_indicators!$B$2)&gt;3*[3]QC_indicators!$C$2,"C ratio",IF(ISNUMBER(BY1013),IF(ABS(BY1013-[3]QC_indicators!$B$1)&gt;3*[3]QC_indicators!$C$1,"DF","no"))),IF(ISNUMBER(BY1013),IF(ABS(BY1013-[3]QC_indicators!$B$1)&gt;3*[3]QC_indicators!$C$1,"DF","no")))</f>
        <v>no</v>
      </c>
      <c r="ER1013" s="149" t="s">
        <v>350</v>
      </c>
      <c r="ET1013" s="266" t="s">
        <v>3268</v>
      </c>
    </row>
    <row r="1014" spans="1:150" ht="15" hidden="1" customHeight="1">
      <c r="D1014" t="s">
        <v>1663</v>
      </c>
      <c r="E1014" t="s">
        <v>1664</v>
      </c>
      <c r="G1014" t="s">
        <v>1665</v>
      </c>
      <c r="I1014">
        <v>2007</v>
      </c>
      <c r="K1014" t="s">
        <v>1666</v>
      </c>
      <c r="M1014" t="str">
        <f t="shared" si="255"/>
        <v>Gustavsson_2007</v>
      </c>
      <c r="N1014" t="s">
        <v>223</v>
      </c>
      <c r="O1014" t="s">
        <v>224</v>
      </c>
      <c r="Q1014" t="s">
        <v>257</v>
      </c>
      <c r="R1014" s="271" t="s">
        <v>275</v>
      </c>
      <c r="S1014" s="1" t="s">
        <v>1667</v>
      </c>
      <c r="T1014" t="s">
        <v>1692</v>
      </c>
      <c r="U1014" s="143" t="s">
        <v>1685</v>
      </c>
      <c r="V1014">
        <v>0</v>
      </c>
      <c r="W1014">
        <v>0</v>
      </c>
      <c r="X1014">
        <v>0</v>
      </c>
      <c r="Y1014">
        <v>0</v>
      </c>
      <c r="Z1014">
        <v>0</v>
      </c>
      <c r="AA1014">
        <v>0</v>
      </c>
      <c r="AB1014">
        <v>0</v>
      </c>
      <c r="AC1014">
        <v>0</v>
      </c>
      <c r="AD1014">
        <v>0</v>
      </c>
      <c r="AE1014">
        <v>0</v>
      </c>
      <c r="AF1014">
        <v>0</v>
      </c>
      <c r="AG1014">
        <v>0</v>
      </c>
      <c r="AH1014">
        <v>0</v>
      </c>
      <c r="AI1014">
        <v>0</v>
      </c>
      <c r="AJ1014">
        <v>0</v>
      </c>
      <c r="AK1014">
        <v>1</v>
      </c>
      <c r="AL1014">
        <v>0</v>
      </c>
      <c r="AM1014">
        <v>0</v>
      </c>
      <c r="AN1014">
        <v>0</v>
      </c>
      <c r="AO1014">
        <v>0</v>
      </c>
      <c r="AP1014">
        <v>0</v>
      </c>
      <c r="AQ1014">
        <v>0</v>
      </c>
      <c r="AR1014">
        <v>0</v>
      </c>
      <c r="AS1014">
        <v>0</v>
      </c>
      <c r="AT1014">
        <v>0</v>
      </c>
      <c r="AU1014">
        <v>0</v>
      </c>
      <c r="AV1014">
        <v>0</v>
      </c>
      <c r="AW1014">
        <v>0</v>
      </c>
      <c r="AX1014" s="141">
        <f t="shared" si="213"/>
        <v>1</v>
      </c>
      <c r="AY1014" s="141">
        <f t="shared" si="235"/>
        <v>1</v>
      </c>
      <c r="AZ1014">
        <f t="shared" si="236"/>
        <v>0</v>
      </c>
      <c r="BA1014">
        <f t="shared" si="237"/>
        <v>0</v>
      </c>
      <c r="BB1014">
        <f t="shared" si="238"/>
        <v>1</v>
      </c>
      <c r="BC1014">
        <f t="shared" si="239"/>
        <v>0</v>
      </c>
      <c r="BD1014">
        <f t="shared" si="240"/>
        <v>0</v>
      </c>
      <c r="BE1014" t="str">
        <f t="array" ref="BE1014">IF(AY1014=1,INDEX($V$7:$AL$7,MATCH(TRUE,INDEX($V1014:$AW1014&lt;&gt;0,),0)),IF(AY1014=0,INDEX($AM$7:$AW$7,MATCH(1,$AM1014:$AW1014,0)),IF(BF1014="Multiple strategies","mixed drivers",IF(BF1014="Supply chain","multiple supply","multiple silviculture"))))</f>
        <v>technologies/design switch</v>
      </c>
      <c r="BF1014" s="2" t="str" cm="1">
        <f t="array" ref="BF1014">IF(COUNTIF(AZ1014:BB1014,"&lt;&gt;0")=1,INDEX($V$4:$AW$4,MATCH(TRUE,INDEX($V1014:$AW1014&lt;&gt;0,),0)),IF(COUNTIF(AZ1014:BB1014,"&lt;&gt;0")=0,INDEX($AM$4:$AW$4,MATCH(1,$AM1014:$AW1014,0)),"Multiple strategies"))</f>
        <v>Technology</v>
      </c>
      <c r="BG1014" s="142" t="s">
        <v>230</v>
      </c>
      <c r="BH1014" t="s">
        <v>1669</v>
      </c>
      <c r="BI1014" s="266" t="s">
        <v>1059</v>
      </c>
      <c r="BJ1014" s="143" t="s">
        <v>3267</v>
      </c>
      <c r="BK1014">
        <v>0</v>
      </c>
      <c r="BL1014" s="143">
        <v>16.899999999999999</v>
      </c>
      <c r="BM1014" s="143"/>
      <c r="BN1014">
        <f t="shared" si="222"/>
        <v>16.899999999999999</v>
      </c>
      <c r="BO1014" s="143">
        <f t="shared" si="250"/>
        <v>2.7614379084967315</v>
      </c>
      <c r="BP1014" t="s">
        <v>233</v>
      </c>
      <c r="BR1014" t="s">
        <v>940</v>
      </c>
      <c r="BS1014" s="143">
        <v>-1</v>
      </c>
      <c r="BT1014" s="151">
        <v>0</v>
      </c>
      <c r="BU1014">
        <v>0</v>
      </c>
      <c r="BV1014">
        <v>1</v>
      </c>
      <c r="BX1014">
        <f t="shared" si="251"/>
        <v>3.67</v>
      </c>
      <c r="BY1014">
        <f t="shared" si="241"/>
        <v>1.3290177514792902</v>
      </c>
      <c r="BZ1014" s="143">
        <v>0</v>
      </c>
      <c r="CA1014" s="143">
        <v>0</v>
      </c>
      <c r="CB1014" s="143">
        <v>0</v>
      </c>
      <c r="CC1014" s="143">
        <v>0</v>
      </c>
      <c r="CD1014" s="143">
        <v>0</v>
      </c>
      <c r="CE1014" s="143">
        <v>0</v>
      </c>
      <c r="CF1014" s="143">
        <v>0</v>
      </c>
      <c r="CG1014" s="143">
        <v>0</v>
      </c>
      <c r="CH1014" s="143">
        <v>0</v>
      </c>
      <c r="CI1014" s="143">
        <v>0</v>
      </c>
      <c r="CJ1014" s="143">
        <v>0</v>
      </c>
      <c r="CK1014" s="143">
        <v>0</v>
      </c>
      <c r="CL1014" s="143">
        <v>0</v>
      </c>
      <c r="CM1014">
        <v>1</v>
      </c>
      <c r="CN1014" t="str">
        <f t="shared" si="254"/>
        <v>refOK</v>
      </c>
      <c r="CO1014">
        <f t="shared" si="252"/>
        <v>0</v>
      </c>
      <c r="CP1014">
        <f t="shared" si="253"/>
        <v>16.899999999999999</v>
      </c>
      <c r="CQ1014">
        <f t="shared" si="221"/>
        <v>2.7614379084967315</v>
      </c>
      <c r="CR1014">
        <f t="shared" si="259"/>
        <v>-1</v>
      </c>
      <c r="CS1014">
        <f t="shared" si="249"/>
        <v>0</v>
      </c>
      <c r="CT1014">
        <f t="shared" si="214"/>
        <v>3.67</v>
      </c>
      <c r="CU1014">
        <f t="shared" si="258"/>
        <v>1.3290177514792902</v>
      </c>
      <c r="CV1014" s="2">
        <f t="shared" si="215"/>
        <v>1</v>
      </c>
      <c r="CW1014" s="1" t="s">
        <v>1205</v>
      </c>
      <c r="CX1014" t="str">
        <f t="shared" si="242"/>
        <v>reg</v>
      </c>
      <c r="CY1014" t="s">
        <v>445</v>
      </c>
      <c r="DA1014" s="143"/>
      <c r="DB1014" s="143">
        <v>0</v>
      </c>
      <c r="DC1014" t="str">
        <f t="shared" si="243"/>
        <v>0</v>
      </c>
      <c r="DD1014">
        <v>0</v>
      </c>
      <c r="DE1014">
        <v>1</v>
      </c>
      <c r="DF1014">
        <v>0</v>
      </c>
      <c r="DG1014">
        <v>0</v>
      </c>
      <c r="DI1014">
        <f t="shared" si="256"/>
        <v>1</v>
      </c>
      <c r="DJ1014" t="str">
        <f t="shared" si="257"/>
        <v>EnergyInput</v>
      </c>
      <c r="DK1014">
        <f t="shared" si="223"/>
        <v>0</v>
      </c>
      <c r="DL1014" t="str">
        <f t="shared" si="224"/>
        <v>Energy</v>
      </c>
      <c r="DM1014">
        <f t="shared" si="225"/>
        <v>0</v>
      </c>
      <c r="DN1014">
        <f t="shared" si="226"/>
        <v>0</v>
      </c>
      <c r="DO1014">
        <v>0</v>
      </c>
      <c r="DP1014" s="143">
        <v>0</v>
      </c>
      <c r="DQ1014" s="143">
        <v>0</v>
      </c>
      <c r="DR1014">
        <v>0</v>
      </c>
      <c r="DS1014" s="143">
        <v>0</v>
      </c>
      <c r="DT1014">
        <f t="shared" si="260"/>
        <v>0</v>
      </c>
      <c r="DU1014" s="143" t="str">
        <f t="shared" si="245"/>
        <v>explicit C balance</v>
      </c>
      <c r="DV1014" s="143">
        <v>0</v>
      </c>
      <c r="DW1014" s="143">
        <v>0</v>
      </c>
      <c r="DX1014" s="143">
        <v>0</v>
      </c>
      <c r="DY1014" s="143">
        <v>0</v>
      </c>
      <c r="DZ1014">
        <v>0</v>
      </c>
      <c r="EA1014" s="143">
        <v>0</v>
      </c>
      <c r="EB1014" s="143">
        <v>0</v>
      </c>
      <c r="EC1014" s="143">
        <v>1</v>
      </c>
      <c r="ED1014" s="143">
        <v>0</v>
      </c>
      <c r="EE1014">
        <v>0</v>
      </c>
      <c r="EF1014">
        <v>0</v>
      </c>
      <c r="EG1014" s="143">
        <v>0</v>
      </c>
      <c r="EH1014" s="143">
        <v>0</v>
      </c>
      <c r="EI1014" s="2">
        <v>0</v>
      </c>
      <c r="EK1014" t="str">
        <f t="shared" si="227"/>
        <v/>
      </c>
      <c r="EL1014" t="str">
        <f t="shared" si="228"/>
        <v/>
      </c>
      <c r="EM1014" s="2" t="str">
        <f t="shared" si="244"/>
        <v/>
      </c>
      <c r="EP1014" t="str">
        <f>IF(ISNUMBER(BU1014),IF(ABS(BU1014-[3]QC_indicators!$B$2)&gt;3*[3]QC_indicators!$C$2,"C ratio",IF(ISNUMBER(BY1014),IF(ABS(BY1014-[3]QC_indicators!$B$1)&gt;3*[3]QC_indicators!$C$1,"DF","no"))),IF(ISNUMBER(BY1014),IF(ABS(BY1014-[3]QC_indicators!$B$1)&gt;3*[3]QC_indicators!$C$1,"DF","no")))</f>
        <v>no</v>
      </c>
      <c r="ER1014" s="149" t="s">
        <v>350</v>
      </c>
      <c r="ET1014" s="266" t="s">
        <v>3268</v>
      </c>
    </row>
    <row r="1015" spans="1:150" ht="15" hidden="1" customHeight="1">
      <c r="D1015" t="s">
        <v>1663</v>
      </c>
      <c r="E1015" t="s">
        <v>1664</v>
      </c>
      <c r="G1015" t="s">
        <v>1665</v>
      </c>
      <c r="I1015">
        <v>2007</v>
      </c>
      <c r="K1015" t="s">
        <v>1666</v>
      </c>
      <c r="M1015" t="str">
        <f t="shared" si="255"/>
        <v>Gustavsson_2007</v>
      </c>
      <c r="N1015" t="s">
        <v>223</v>
      </c>
      <c r="O1015" t="s">
        <v>224</v>
      </c>
      <c r="Q1015" t="s">
        <v>257</v>
      </c>
      <c r="R1015" s="271" t="s">
        <v>275</v>
      </c>
      <c r="S1015" s="1" t="s">
        <v>1667</v>
      </c>
      <c r="T1015" t="s">
        <v>1692</v>
      </c>
      <c r="U1015" s="143" t="s">
        <v>1688</v>
      </c>
      <c r="V1015">
        <v>0</v>
      </c>
      <c r="W1015">
        <v>0</v>
      </c>
      <c r="X1015">
        <v>0</v>
      </c>
      <c r="Y1015">
        <v>0</v>
      </c>
      <c r="Z1015">
        <v>0</v>
      </c>
      <c r="AA1015">
        <v>0</v>
      </c>
      <c r="AB1015">
        <v>0</v>
      </c>
      <c r="AC1015">
        <v>0</v>
      </c>
      <c r="AD1015">
        <v>0</v>
      </c>
      <c r="AE1015">
        <v>0</v>
      </c>
      <c r="AF1015">
        <v>0</v>
      </c>
      <c r="AG1015">
        <v>0</v>
      </c>
      <c r="AH1015">
        <v>0</v>
      </c>
      <c r="AI1015">
        <v>0</v>
      </c>
      <c r="AJ1015">
        <v>0</v>
      </c>
      <c r="AK1015">
        <v>1</v>
      </c>
      <c r="AL1015">
        <v>0</v>
      </c>
      <c r="AM1015">
        <v>0</v>
      </c>
      <c r="AN1015">
        <v>0</v>
      </c>
      <c r="AO1015">
        <v>0</v>
      </c>
      <c r="AP1015">
        <v>0</v>
      </c>
      <c r="AQ1015">
        <v>0</v>
      </c>
      <c r="AR1015">
        <v>0</v>
      </c>
      <c r="AS1015">
        <v>0</v>
      </c>
      <c r="AT1015">
        <v>0</v>
      </c>
      <c r="AU1015">
        <v>0</v>
      </c>
      <c r="AV1015">
        <v>0</v>
      </c>
      <c r="AW1015">
        <v>0</v>
      </c>
      <c r="AX1015" s="141">
        <f t="shared" si="213"/>
        <v>1</v>
      </c>
      <c r="AY1015" s="141">
        <f t="shared" si="235"/>
        <v>1</v>
      </c>
      <c r="AZ1015">
        <f t="shared" si="236"/>
        <v>0</v>
      </c>
      <c r="BA1015">
        <f t="shared" si="237"/>
        <v>0</v>
      </c>
      <c r="BB1015">
        <f t="shared" si="238"/>
        <v>1</v>
      </c>
      <c r="BC1015">
        <f t="shared" si="239"/>
        <v>0</v>
      </c>
      <c r="BD1015">
        <f t="shared" si="240"/>
        <v>0</v>
      </c>
      <c r="BE1015" t="str">
        <f t="array" ref="BE1015">IF(AY1015=1,INDEX($V$7:$AL$7,MATCH(TRUE,INDEX($V1015:$AW1015&lt;&gt;0,),0)),IF(AY1015=0,INDEX($AM$7:$AW$7,MATCH(1,$AM1015:$AW1015,0)),IF(BF1015="Multiple strategies","mixed drivers",IF(BF1015="Supply chain","multiple supply","multiple silviculture"))))</f>
        <v>technologies/design switch</v>
      </c>
      <c r="BF1015" s="2" t="str" cm="1">
        <f t="array" ref="BF1015">IF(COUNTIF(AZ1015:BB1015,"&lt;&gt;0")=1,INDEX($V$4:$AW$4,MATCH(TRUE,INDEX($V1015:$AW1015&lt;&gt;0,),0)),IF(COUNTIF(AZ1015:BB1015,"&lt;&gt;0")=0,INDEX($AM$4:$AW$4,MATCH(1,$AM1015:$AW1015,0)),"Multiple strategies"))</f>
        <v>Technology</v>
      </c>
      <c r="BG1015" s="142" t="s">
        <v>230</v>
      </c>
      <c r="BH1015" t="s">
        <v>1669</v>
      </c>
      <c r="BI1015" s="266" t="s">
        <v>1059</v>
      </c>
      <c r="BJ1015" s="143" t="s">
        <v>3267</v>
      </c>
      <c r="BK1015">
        <v>0</v>
      </c>
      <c r="BL1015" s="143">
        <v>8.5</v>
      </c>
      <c r="BM1015" s="143"/>
      <c r="BN1015">
        <f t="shared" si="222"/>
        <v>8.5</v>
      </c>
      <c r="BO1015" s="143">
        <f t="shared" si="250"/>
        <v>1.3888888888888888</v>
      </c>
      <c r="BP1015" t="s">
        <v>233</v>
      </c>
      <c r="BR1015" t="s">
        <v>940</v>
      </c>
      <c r="BS1015" s="143">
        <v>-1</v>
      </c>
      <c r="BT1015" s="151">
        <v>0</v>
      </c>
      <c r="BU1015">
        <v>0</v>
      </c>
      <c r="BV1015">
        <v>1</v>
      </c>
      <c r="BX1015">
        <f t="shared" si="251"/>
        <v>3.67</v>
      </c>
      <c r="BY1015" s="143">
        <f>1000*BV1015/15.3/400</f>
        <v>0.16339869281045749</v>
      </c>
      <c r="BZ1015" s="143">
        <v>0</v>
      </c>
      <c r="CA1015" s="143">
        <v>0</v>
      </c>
      <c r="CB1015" s="143">
        <v>0</v>
      </c>
      <c r="CC1015" s="143">
        <v>0</v>
      </c>
      <c r="CD1015" s="143">
        <v>0</v>
      </c>
      <c r="CE1015" s="143">
        <v>0</v>
      </c>
      <c r="CF1015" s="143">
        <v>0</v>
      </c>
      <c r="CG1015" s="143">
        <v>0</v>
      </c>
      <c r="CH1015" s="143">
        <v>0</v>
      </c>
      <c r="CI1015" s="143">
        <v>0</v>
      </c>
      <c r="CJ1015" s="143">
        <v>0</v>
      </c>
      <c r="CK1015" s="143">
        <v>0</v>
      </c>
      <c r="CL1015" s="143">
        <v>0</v>
      </c>
      <c r="CM1015">
        <v>1</v>
      </c>
      <c r="CN1015" t="str">
        <f t="shared" si="254"/>
        <v>refOK</v>
      </c>
      <c r="CO1015">
        <f t="shared" si="252"/>
        <v>0</v>
      </c>
      <c r="CP1015">
        <f t="shared" si="253"/>
        <v>8.5</v>
      </c>
      <c r="CQ1015">
        <f t="shared" si="221"/>
        <v>1.3888888888888888</v>
      </c>
      <c r="CR1015">
        <f t="shared" si="259"/>
        <v>-1</v>
      </c>
      <c r="CS1015">
        <f t="shared" si="249"/>
        <v>0</v>
      </c>
      <c r="CT1015">
        <f t="shared" si="214"/>
        <v>3.67</v>
      </c>
      <c r="CU1015">
        <f t="shared" si="258"/>
        <v>2.6423999999999999</v>
      </c>
      <c r="CV1015" s="2">
        <f t="shared" si="215"/>
        <v>1</v>
      </c>
      <c r="CW1015" s="1" t="s">
        <v>1205</v>
      </c>
      <c r="CX1015" t="str">
        <f t="shared" si="242"/>
        <v>reg</v>
      </c>
      <c r="CY1015" t="s">
        <v>445</v>
      </c>
      <c r="DA1015" s="143"/>
      <c r="DB1015" s="143">
        <v>0</v>
      </c>
      <c r="DC1015" t="str">
        <f t="shared" si="243"/>
        <v>0</v>
      </c>
      <c r="DD1015">
        <v>0</v>
      </c>
      <c r="DE1015">
        <v>1</v>
      </c>
      <c r="DF1015">
        <v>0</v>
      </c>
      <c r="DG1015">
        <v>0</v>
      </c>
      <c r="DI1015">
        <f t="shared" si="256"/>
        <v>1</v>
      </c>
      <c r="DJ1015" t="str">
        <f t="shared" si="257"/>
        <v>EnergyInput</v>
      </c>
      <c r="DK1015">
        <f t="shared" si="223"/>
        <v>0</v>
      </c>
      <c r="DL1015" t="str">
        <f t="shared" si="224"/>
        <v>Energy</v>
      </c>
      <c r="DM1015">
        <f t="shared" si="225"/>
        <v>0</v>
      </c>
      <c r="DN1015">
        <f t="shared" si="226"/>
        <v>0</v>
      </c>
      <c r="DO1015">
        <v>0</v>
      </c>
      <c r="DP1015" s="143">
        <v>0</v>
      </c>
      <c r="DQ1015" s="143">
        <v>0</v>
      </c>
      <c r="DR1015">
        <v>0</v>
      </c>
      <c r="DS1015" s="143">
        <v>0</v>
      </c>
      <c r="DT1015">
        <f t="shared" si="260"/>
        <v>0</v>
      </c>
      <c r="DU1015" s="143" t="str">
        <f t="shared" si="245"/>
        <v>explicit C balance</v>
      </c>
      <c r="DV1015" s="143">
        <v>0</v>
      </c>
      <c r="DW1015" s="143">
        <v>0</v>
      </c>
      <c r="DX1015" s="143">
        <v>0</v>
      </c>
      <c r="DY1015" s="143">
        <v>0</v>
      </c>
      <c r="DZ1015">
        <v>0</v>
      </c>
      <c r="EA1015" s="143">
        <v>0</v>
      </c>
      <c r="EB1015" s="143">
        <v>0</v>
      </c>
      <c r="EC1015" s="143">
        <v>1</v>
      </c>
      <c r="ED1015" s="143">
        <v>0</v>
      </c>
      <c r="EE1015">
        <v>0</v>
      </c>
      <c r="EF1015">
        <v>0</v>
      </c>
      <c r="EG1015" s="143">
        <v>0</v>
      </c>
      <c r="EH1015" s="143">
        <v>0</v>
      </c>
      <c r="EI1015" s="2">
        <v>0</v>
      </c>
      <c r="EK1015" t="str">
        <f t="shared" si="227"/>
        <v/>
      </c>
      <c r="EL1015" t="str">
        <f t="shared" si="228"/>
        <v/>
      </c>
      <c r="EM1015" s="2" t="str">
        <f t="shared" si="244"/>
        <v/>
      </c>
      <c r="EP1015" t="str">
        <f>IF(ISNUMBER(BU1015),IF(ABS(BU1015-[3]QC_indicators!$B$2)&gt;3*[3]QC_indicators!$C$2,"C ratio",IF(ISNUMBER(BY1015),IF(ABS(BY1015-[3]QC_indicators!$B$1)&gt;3*[3]QC_indicators!$C$1,"DF","no"))),IF(ISNUMBER(BY1015),IF(ABS(BY1015-[3]QC_indicators!$B$1)&gt;3*[3]QC_indicators!$C$1,"DF","no")))</f>
        <v>no</v>
      </c>
      <c r="ER1015" s="149" t="s">
        <v>350</v>
      </c>
      <c r="ET1015" s="266" t="s">
        <v>3268</v>
      </c>
    </row>
    <row r="1016" spans="1:150" ht="15" hidden="1" customHeight="1">
      <c r="A1016" s="1" t="s">
        <v>399</v>
      </c>
      <c r="B1016" t="s">
        <v>400</v>
      </c>
      <c r="C1016" t="s">
        <v>401</v>
      </c>
      <c r="D1016" t="s">
        <v>402</v>
      </c>
      <c r="E1016" t="s">
        <v>403</v>
      </c>
      <c r="F1016" t="s">
        <v>404</v>
      </c>
      <c r="G1016" t="s">
        <v>405</v>
      </c>
      <c r="H1016" t="s">
        <v>255</v>
      </c>
      <c r="I1016">
        <v>2022</v>
      </c>
      <c r="J1016">
        <v>2</v>
      </c>
      <c r="K1016" s="266" t="s">
        <v>406</v>
      </c>
      <c r="L1016" t="s">
        <v>407</v>
      </c>
      <c r="M1016" t="str">
        <f t="shared" si="255"/>
        <v>Balasbaneh_2022b</v>
      </c>
      <c r="N1016" t="s">
        <v>223</v>
      </c>
      <c r="O1016" s="145" t="s">
        <v>224</v>
      </c>
      <c r="Q1016" t="s">
        <v>390</v>
      </c>
      <c r="R1016" s="271" t="s">
        <v>275</v>
      </c>
      <c r="S1016" s="1" t="s">
        <v>391</v>
      </c>
      <c r="T1016" t="s">
        <v>408</v>
      </c>
      <c r="U1016" t="s">
        <v>409</v>
      </c>
      <c r="V1016">
        <v>0</v>
      </c>
      <c r="W1016">
        <v>0</v>
      </c>
      <c r="X1016">
        <v>0</v>
      </c>
      <c r="Y1016">
        <v>0</v>
      </c>
      <c r="Z1016">
        <v>0</v>
      </c>
      <c r="AA1016">
        <v>0</v>
      </c>
      <c r="AB1016">
        <v>0</v>
      </c>
      <c r="AC1016">
        <v>0</v>
      </c>
      <c r="AD1016">
        <v>0</v>
      </c>
      <c r="AE1016">
        <v>0</v>
      </c>
      <c r="AF1016">
        <v>0</v>
      </c>
      <c r="AG1016">
        <v>0</v>
      </c>
      <c r="AH1016">
        <v>0</v>
      </c>
      <c r="AI1016">
        <v>0</v>
      </c>
      <c r="AJ1016">
        <v>0</v>
      </c>
      <c r="AK1016">
        <v>1</v>
      </c>
      <c r="AL1016">
        <v>0</v>
      </c>
      <c r="AM1016">
        <v>0</v>
      </c>
      <c r="AN1016">
        <v>0</v>
      </c>
      <c r="AO1016">
        <v>0</v>
      </c>
      <c r="AP1016">
        <v>0</v>
      </c>
      <c r="AQ1016">
        <v>0</v>
      </c>
      <c r="AR1016">
        <v>0</v>
      </c>
      <c r="AS1016">
        <v>0</v>
      </c>
      <c r="AT1016">
        <v>0</v>
      </c>
      <c r="AU1016">
        <v>0</v>
      </c>
      <c r="AV1016">
        <v>0</v>
      </c>
      <c r="AW1016">
        <v>0</v>
      </c>
      <c r="AX1016" s="141">
        <f t="shared" si="213"/>
        <v>1</v>
      </c>
      <c r="AY1016" s="141">
        <f t="shared" si="235"/>
        <v>1</v>
      </c>
      <c r="AZ1016">
        <f t="shared" si="236"/>
        <v>0</v>
      </c>
      <c r="BA1016">
        <f t="shared" si="237"/>
        <v>0</v>
      </c>
      <c r="BB1016">
        <f t="shared" si="238"/>
        <v>1</v>
      </c>
      <c r="BC1016">
        <f t="shared" si="239"/>
        <v>0</v>
      </c>
      <c r="BD1016">
        <f t="shared" si="240"/>
        <v>0</v>
      </c>
      <c r="BE1016" t="str">
        <f t="array" ref="BE1016">IF(AY1016=1,INDEX($V$7:$AL$7,MATCH(TRUE,INDEX($V1016:$AW1016&lt;&gt;0,),0)),IF(AY1016=0,INDEX($AM$7:$AW$7,MATCH(1,$AM1016:$AW1016,0)),IF(BF1016="Multiple strategies","mixed drivers",IF(BF1016="Supply chain","multiple supply","multiple silviculture"))))</f>
        <v>technologies/design switch</v>
      </c>
      <c r="BF1016" s="2" t="str" cm="1">
        <f t="array" ref="BF1016">IF(COUNTIF(AZ1016:BB1016,"&lt;&gt;0")=1,INDEX($V$4:$AW$4,MATCH(TRUE,INDEX($V1016:$AW1016&lt;&gt;0,),0)),IF(COUNTIF(AZ1016:BB1016,"&lt;&gt;0")=0,INDEX($AM$4:$AW$4,MATCH(1,$AM1016:$AW1016,0)),"Multiple strategies"))</f>
        <v>Technology</v>
      </c>
      <c r="BG1016" s="1" t="s">
        <v>230</v>
      </c>
      <c r="BH1016" s="266" t="s">
        <v>410</v>
      </c>
      <c r="BI1016" t="s">
        <v>411</v>
      </c>
      <c r="BJ1016" t="s">
        <v>346</v>
      </c>
      <c r="BK1016">
        <v>0</v>
      </c>
      <c r="BL1016">
        <v>5500</v>
      </c>
      <c r="BN1016">
        <f t="shared" si="222"/>
        <v>5500</v>
      </c>
      <c r="BO1016">
        <f>BN1016*kg_to_m3</f>
        <v>11.224489795918368</v>
      </c>
      <c r="BP1016" t="s">
        <v>396</v>
      </c>
      <c r="BQ1016" t="s">
        <v>412</v>
      </c>
      <c r="BR1016" t="s">
        <v>398</v>
      </c>
      <c r="BS1016">
        <f>13000-2500</f>
        <v>10500</v>
      </c>
      <c r="BT1016">
        <f>8500-3200</f>
        <v>5300</v>
      </c>
      <c r="BU1016" s="144">
        <f>IFERROR(BT1016/BS1016,"")</f>
        <v>0.50476190476190474</v>
      </c>
      <c r="BV1016">
        <f>BT1016-BS1016</f>
        <v>-5200</v>
      </c>
      <c r="BX1016">
        <f t="shared" ref="BX1016:BX1022" si="261">BV1016/1000</f>
        <v>-5.2</v>
      </c>
      <c r="BY1016">
        <f t="shared" ref="BY1016:BY1079" si="262">IFERROR(BX1016/BO1016,"")</f>
        <v>-0.46327272727272728</v>
      </c>
      <c r="BZ1016">
        <v>1</v>
      </c>
      <c r="CA1016">
        <v>0</v>
      </c>
      <c r="CB1016">
        <v>0</v>
      </c>
      <c r="CC1016">
        <v>0</v>
      </c>
      <c r="CD1016">
        <v>0</v>
      </c>
      <c r="CE1016">
        <v>0</v>
      </c>
      <c r="CF1016">
        <v>0</v>
      </c>
      <c r="CG1016">
        <v>0</v>
      </c>
      <c r="CH1016">
        <v>0</v>
      </c>
      <c r="CI1016">
        <v>0</v>
      </c>
      <c r="CJ1016">
        <v>0</v>
      </c>
      <c r="CK1016">
        <v>0</v>
      </c>
      <c r="CL1016">
        <v>0</v>
      </c>
      <c r="CM1016">
        <v>0</v>
      </c>
      <c r="CN1016" t="str">
        <f t="shared" si="254"/>
        <v>refOK</v>
      </c>
      <c r="CO1016"/>
      <c r="CP1016"/>
      <c r="CQ1016">
        <f t="shared" si="221"/>
        <v>11.224489795918368</v>
      </c>
      <c r="CR1016">
        <f t="shared" si="259"/>
        <v>-10500</v>
      </c>
      <c r="CS1016">
        <f t="shared" si="249"/>
        <v>-5300</v>
      </c>
      <c r="CT1016">
        <f t="shared" si="214"/>
        <v>5.2</v>
      </c>
      <c r="CU1016">
        <f t="shared" si="258"/>
        <v>0.46327272727272728</v>
      </c>
      <c r="CV1016" s="2">
        <f t="shared" si="215"/>
        <v>0.49523809523809526</v>
      </c>
      <c r="CW1016" s="1" t="s">
        <v>264</v>
      </c>
      <c r="CX1016" t="str">
        <f t="shared" si="242"/>
        <v>loc</v>
      </c>
      <c r="CY1016" t="s">
        <v>349</v>
      </c>
      <c r="DB1016">
        <v>0</v>
      </c>
      <c r="DC1016" t="str">
        <f t="shared" si="243"/>
        <v>0</v>
      </c>
      <c r="DD1016">
        <v>0</v>
      </c>
      <c r="DE1016">
        <v>0</v>
      </c>
      <c r="DF1016">
        <v>0</v>
      </c>
      <c r="DG1016">
        <v>1</v>
      </c>
      <c r="DH1016">
        <v>0</v>
      </c>
      <c r="DI1016">
        <f>SUM(DD1016:DH1016)</f>
        <v>1</v>
      </c>
      <c r="DJ1016" t="str">
        <f t="shared" si="257"/>
        <v>TimberInput</v>
      </c>
      <c r="DK1016">
        <f t="shared" si="223"/>
        <v>0</v>
      </c>
      <c r="DL1016">
        <f t="shared" si="224"/>
        <v>0</v>
      </c>
      <c r="DM1016">
        <f t="shared" si="225"/>
        <v>0</v>
      </c>
      <c r="DN1016" t="str">
        <f t="shared" si="226"/>
        <v>Timber</v>
      </c>
      <c r="DO1016">
        <v>0</v>
      </c>
      <c r="DP1016">
        <v>0</v>
      </c>
      <c r="DQ1016">
        <v>0</v>
      </c>
      <c r="DR1016">
        <v>0</v>
      </c>
      <c r="DS1016">
        <v>0</v>
      </c>
      <c r="DT1016">
        <f t="shared" si="260"/>
        <v>0</v>
      </c>
      <c r="DU1016" t="str">
        <f t="shared" si="245"/>
        <v>explicit C balance</v>
      </c>
      <c r="DV1016">
        <v>0</v>
      </c>
      <c r="DW1016">
        <v>0</v>
      </c>
      <c r="DX1016">
        <v>0</v>
      </c>
      <c r="DY1016">
        <v>0</v>
      </c>
      <c r="DZ1016">
        <v>0</v>
      </c>
      <c r="EA1016" s="143">
        <v>1</v>
      </c>
      <c r="EB1016">
        <v>1</v>
      </c>
      <c r="EC1016">
        <v>1</v>
      </c>
      <c r="ED1016">
        <v>0</v>
      </c>
      <c r="EE1016">
        <v>1</v>
      </c>
      <c r="EF1016">
        <v>0</v>
      </c>
      <c r="EG1016">
        <v>0</v>
      </c>
      <c r="EH1016">
        <v>0</v>
      </c>
      <c r="EI1016" s="2">
        <v>0</v>
      </c>
      <c r="EK1016" t="str">
        <f t="shared" si="227"/>
        <v/>
      </c>
      <c r="EL1016" t="str">
        <f t="shared" si="228"/>
        <v/>
      </c>
      <c r="EM1016" s="2" t="str">
        <f t="shared" si="244"/>
        <v>Technology approach</v>
      </c>
      <c r="EP1016" t="str">
        <f>IF(ISNUMBER(BU1016),IF(ABS(BU1016-[3]QC_indicators!$B$2)&gt;3*[3]QC_indicators!$C$2,"C ratio",IF(ISNUMBER(BY1016),IF(ABS(BY1016-[3]QC_indicators!$B$1)&gt;3*[3]QC_indicators!$C$1,"DF","no"))),IF(ISNUMBER(BY1016),IF(ABS(BY1016-[3]QC_indicators!$B$1)&gt;3*[3]QC_indicators!$C$1,"DF","no")))</f>
        <v>no</v>
      </c>
      <c r="ET1016" s="266" t="s">
        <v>3153</v>
      </c>
    </row>
    <row r="1017" spans="1:150" ht="15" hidden="1" customHeight="1">
      <c r="A1017" s="1" t="s">
        <v>616</v>
      </c>
      <c r="B1017" t="s">
        <v>617</v>
      </c>
      <c r="C1017" t="s">
        <v>618</v>
      </c>
      <c r="D1017" t="s">
        <v>619</v>
      </c>
      <c r="E1017" t="s">
        <v>620</v>
      </c>
      <c r="F1017" t="s">
        <v>621</v>
      </c>
      <c r="G1017" t="s">
        <v>622</v>
      </c>
      <c r="H1017" t="s">
        <v>255</v>
      </c>
      <c r="I1017">
        <v>2020</v>
      </c>
      <c r="J1017">
        <v>3</v>
      </c>
      <c r="K1017" t="s">
        <v>623</v>
      </c>
      <c r="M1017" t="str">
        <f t="shared" si="255"/>
        <v>Demertzi_2020</v>
      </c>
      <c r="N1017" t="s">
        <v>223</v>
      </c>
      <c r="O1017" s="145" t="s">
        <v>224</v>
      </c>
      <c r="Q1017" t="s">
        <v>257</v>
      </c>
      <c r="R1017" s="2" t="s">
        <v>275</v>
      </c>
      <c r="S1017" s="1" t="s">
        <v>624</v>
      </c>
      <c r="T1017" t="s">
        <v>625</v>
      </c>
      <c r="U1017" t="s">
        <v>626</v>
      </c>
      <c r="V1017">
        <v>0</v>
      </c>
      <c r="W1017">
        <v>0</v>
      </c>
      <c r="X1017">
        <v>0</v>
      </c>
      <c r="Y1017">
        <v>0</v>
      </c>
      <c r="Z1017">
        <v>0</v>
      </c>
      <c r="AA1017">
        <v>0</v>
      </c>
      <c r="AB1017">
        <v>0</v>
      </c>
      <c r="AC1017">
        <v>0</v>
      </c>
      <c r="AD1017">
        <v>0</v>
      </c>
      <c r="AE1017">
        <v>0</v>
      </c>
      <c r="AF1017">
        <v>0</v>
      </c>
      <c r="AG1017">
        <v>0</v>
      </c>
      <c r="AH1017">
        <v>0</v>
      </c>
      <c r="AI1017">
        <v>0</v>
      </c>
      <c r="AJ1017">
        <v>0</v>
      </c>
      <c r="AK1017">
        <v>1</v>
      </c>
      <c r="AL1017">
        <v>0</v>
      </c>
      <c r="AM1017">
        <v>0</v>
      </c>
      <c r="AN1017">
        <v>0</v>
      </c>
      <c r="AO1017">
        <v>0</v>
      </c>
      <c r="AP1017">
        <v>0</v>
      </c>
      <c r="AQ1017">
        <v>0</v>
      </c>
      <c r="AR1017">
        <v>0</v>
      </c>
      <c r="AS1017">
        <v>0</v>
      </c>
      <c r="AT1017">
        <v>0</v>
      </c>
      <c r="AU1017">
        <v>0</v>
      </c>
      <c r="AV1017">
        <v>0</v>
      </c>
      <c r="AW1017">
        <v>0</v>
      </c>
      <c r="AX1017" s="141">
        <f t="shared" si="213"/>
        <v>1</v>
      </c>
      <c r="AY1017" s="141">
        <f t="shared" si="235"/>
        <v>1</v>
      </c>
      <c r="AZ1017">
        <f t="shared" si="236"/>
        <v>0</v>
      </c>
      <c r="BA1017">
        <f t="shared" si="237"/>
        <v>0</v>
      </c>
      <c r="BB1017">
        <f t="shared" si="238"/>
        <v>1</v>
      </c>
      <c r="BC1017">
        <f t="shared" si="239"/>
        <v>0</v>
      </c>
      <c r="BD1017">
        <f t="shared" si="240"/>
        <v>0</v>
      </c>
      <c r="BE1017" t="str">
        <f t="array" ref="BE1017">IF(AY1017=1,INDEX($V$7:$AL$7,MATCH(TRUE,INDEX($V1017:$AW1017&lt;&gt;0,),0)),IF(AY1017=0,INDEX($AM$7:$AW$7,MATCH(1,$AM1017:$AW1017,0)),IF(BF1017="Multiple strategies","mixed drivers",IF(BF1017="Supply chain","multiple supply","multiple silviculture"))))</f>
        <v>technologies/design switch</v>
      </c>
      <c r="BF1017" s="2" t="str" cm="1">
        <f t="array" ref="BF1017">IF(COUNTIF(AZ1017:BB1017,"&lt;&gt;0")=1,INDEX($V$4:$AW$4,MATCH(TRUE,INDEX($V1017:$AW1017&lt;&gt;0,),0)),IF(COUNTIF(AZ1017:BB1017,"&lt;&gt;0")=0,INDEX($AM$4:$AW$4,MATCH(1,$AM1017:$AW1017,0)),"Multiple strategies"))</f>
        <v>Technology</v>
      </c>
      <c r="BG1017" s="1" t="s">
        <v>230</v>
      </c>
      <c r="BH1017" t="s">
        <v>627</v>
      </c>
      <c r="BJ1017" t="s">
        <v>262</v>
      </c>
      <c r="BK1017">
        <v>0</v>
      </c>
      <c r="BL1017">
        <v>54</v>
      </c>
      <c r="BN1017">
        <f t="shared" si="222"/>
        <v>54</v>
      </c>
      <c r="BO1017">
        <f>BN1017*kg_to_m3</f>
        <v>0.11020408163265308</v>
      </c>
      <c r="BP1017" t="s">
        <v>233</v>
      </c>
      <c r="BR1017" t="s">
        <v>398</v>
      </c>
      <c r="BS1017">
        <v>-71.7</v>
      </c>
      <c r="BT1017">
        <v>-1.36</v>
      </c>
      <c r="BU1017" s="144">
        <v>1.8967921896792191E-2</v>
      </c>
      <c r="BV1017">
        <v>70.34</v>
      </c>
      <c r="BX1017">
        <f t="shared" si="261"/>
        <v>7.034E-2</v>
      </c>
      <c r="BY1017">
        <f t="shared" si="262"/>
        <v>0.63827037037037027</v>
      </c>
      <c r="BZ1017">
        <v>1</v>
      </c>
      <c r="CA1017">
        <v>0</v>
      </c>
      <c r="CB1017">
        <v>0</v>
      </c>
      <c r="CC1017">
        <v>0</v>
      </c>
      <c r="CD1017">
        <v>0</v>
      </c>
      <c r="CE1017">
        <v>0</v>
      </c>
      <c r="CF1017">
        <v>0</v>
      </c>
      <c r="CG1017">
        <v>0</v>
      </c>
      <c r="CH1017">
        <v>0</v>
      </c>
      <c r="CI1017">
        <v>0</v>
      </c>
      <c r="CJ1017">
        <v>0</v>
      </c>
      <c r="CK1017">
        <v>0</v>
      </c>
      <c r="CL1017">
        <v>0</v>
      </c>
      <c r="CM1017">
        <v>0</v>
      </c>
      <c r="CN1017" t="str">
        <f t="shared" si="254"/>
        <v>refOK</v>
      </c>
      <c r="CO1017">
        <f t="shared" ref="CO1017:CO1026" si="263">IF($CN1017="refOK",$BK1017,$BL1017)</f>
        <v>0</v>
      </c>
      <c r="CP1017">
        <f t="shared" ref="CP1017:CP1026" si="264">IF($CN1017="refOK",$BL1017,$BK1017)</f>
        <v>54</v>
      </c>
      <c r="CQ1017">
        <f t="shared" si="221"/>
        <v>0.11020408163265308</v>
      </c>
      <c r="CR1017">
        <f t="shared" si="259"/>
        <v>-71.7</v>
      </c>
      <c r="CS1017">
        <f t="shared" si="249"/>
        <v>-1.36</v>
      </c>
      <c r="CT1017">
        <f t="shared" si="214"/>
        <v>7.034E-2</v>
      </c>
      <c r="CU1017">
        <f t="shared" si="258"/>
        <v>0.63827037037037027</v>
      </c>
      <c r="CV1017" s="2">
        <f t="shared" si="215"/>
        <v>0.98103207810320781</v>
      </c>
      <c r="CW1017" s="1" t="s">
        <v>264</v>
      </c>
      <c r="CX1017" t="str">
        <f t="shared" si="242"/>
        <v>loc</v>
      </c>
      <c r="CY1017" t="s">
        <v>628</v>
      </c>
      <c r="DB1017">
        <v>0</v>
      </c>
      <c r="DC1017" t="str">
        <f t="shared" si="243"/>
        <v>0</v>
      </c>
      <c r="DD1017">
        <v>0</v>
      </c>
      <c r="DE1017">
        <v>0</v>
      </c>
      <c r="DF1017">
        <v>0</v>
      </c>
      <c r="DG1017">
        <v>1</v>
      </c>
      <c r="DI1017">
        <f t="shared" ref="DI1017:DI1053" si="265">SUM(DD1017:DG1017)</f>
        <v>1</v>
      </c>
      <c r="DJ1017" t="str">
        <f t="shared" si="257"/>
        <v>TimberInput</v>
      </c>
      <c r="DK1017">
        <f t="shared" si="223"/>
        <v>0</v>
      </c>
      <c r="DL1017">
        <f t="shared" si="224"/>
        <v>0</v>
      </c>
      <c r="DM1017">
        <f t="shared" si="225"/>
        <v>0</v>
      </c>
      <c r="DN1017" t="str">
        <f t="shared" si="226"/>
        <v>Timber</v>
      </c>
      <c r="DO1017">
        <v>0</v>
      </c>
      <c r="DP1017">
        <v>0</v>
      </c>
      <c r="DQ1017">
        <v>0</v>
      </c>
      <c r="DR1017">
        <v>0</v>
      </c>
      <c r="DS1017">
        <v>0</v>
      </c>
      <c r="DT1017">
        <f t="shared" si="260"/>
        <v>0</v>
      </c>
      <c r="DU1017" s="143" t="str">
        <f t="shared" si="245"/>
        <v>explicit C balance</v>
      </c>
      <c r="DV1017">
        <v>0</v>
      </c>
      <c r="DW1017">
        <v>0</v>
      </c>
      <c r="DX1017">
        <v>0</v>
      </c>
      <c r="DY1017">
        <v>0</v>
      </c>
      <c r="DZ1017">
        <v>0</v>
      </c>
      <c r="EA1017" s="143">
        <v>0</v>
      </c>
      <c r="EB1017">
        <v>0</v>
      </c>
      <c r="EC1017">
        <v>1</v>
      </c>
      <c r="ED1017">
        <v>0</v>
      </c>
      <c r="EE1017">
        <v>0</v>
      </c>
      <c r="EF1017">
        <v>0</v>
      </c>
      <c r="EG1017">
        <v>0</v>
      </c>
      <c r="EH1017">
        <v>0</v>
      </c>
      <c r="EI1017" s="2">
        <v>0</v>
      </c>
      <c r="EK1017" t="str">
        <f t="shared" si="227"/>
        <v/>
      </c>
      <c r="EL1017" t="str">
        <f t="shared" si="228"/>
        <v/>
      </c>
      <c r="EM1017" s="2" t="str">
        <f t="shared" si="244"/>
        <v/>
      </c>
      <c r="EP1017" t="str">
        <f>IF(ISNUMBER(BU1017),IF(ABS(BU1017-[3]QC_indicators!$B$2)&gt;3*[3]QC_indicators!$C$2,"C ratio",IF(ISNUMBER(BY1017),IF(ABS(BY1017-[3]QC_indicators!$B$1)&gt;3*[3]QC_indicators!$C$1,"DF","no"))),IF(ISNUMBER(BY1017),IF(ABS(BY1017-[3]QC_indicators!$B$1)&gt;3*[3]QC_indicators!$C$1,"DF","no")))</f>
        <v>no</v>
      </c>
      <c r="ER1017" s="149" t="s">
        <v>350</v>
      </c>
      <c r="ET1017" s="266" t="s">
        <v>3153</v>
      </c>
    </row>
    <row r="1018" spans="1:150" ht="15" hidden="1" customHeight="1">
      <c r="A1018" s="1" t="s">
        <v>616</v>
      </c>
      <c r="B1018" t="s">
        <v>617</v>
      </c>
      <c r="C1018" t="s">
        <v>618</v>
      </c>
      <c r="D1018" t="s">
        <v>619</v>
      </c>
      <c r="E1018" t="s">
        <v>620</v>
      </c>
      <c r="F1018" t="s">
        <v>621</v>
      </c>
      <c r="G1018" t="s">
        <v>622</v>
      </c>
      <c r="H1018" t="s">
        <v>255</v>
      </c>
      <c r="I1018">
        <v>2020</v>
      </c>
      <c r="J1018">
        <v>3</v>
      </c>
      <c r="K1018" t="s">
        <v>623</v>
      </c>
      <c r="M1018" t="str">
        <f t="shared" si="255"/>
        <v>Demertzi_2020</v>
      </c>
      <c r="N1018" t="s">
        <v>223</v>
      </c>
      <c r="O1018" s="145" t="s">
        <v>224</v>
      </c>
      <c r="Q1018" t="s">
        <v>257</v>
      </c>
      <c r="R1018" s="2" t="s">
        <v>275</v>
      </c>
      <c r="S1018" s="1" t="s">
        <v>624</v>
      </c>
      <c r="T1018" t="s">
        <v>629</v>
      </c>
      <c r="U1018" t="s">
        <v>626</v>
      </c>
      <c r="V1018">
        <v>0</v>
      </c>
      <c r="W1018">
        <v>0</v>
      </c>
      <c r="X1018">
        <v>0</v>
      </c>
      <c r="Y1018">
        <v>0</v>
      </c>
      <c r="Z1018">
        <v>0</v>
      </c>
      <c r="AA1018">
        <v>0</v>
      </c>
      <c r="AB1018">
        <v>0</v>
      </c>
      <c r="AC1018">
        <v>0</v>
      </c>
      <c r="AD1018">
        <v>0</v>
      </c>
      <c r="AE1018">
        <v>0</v>
      </c>
      <c r="AF1018">
        <v>0</v>
      </c>
      <c r="AG1018">
        <v>0</v>
      </c>
      <c r="AH1018">
        <v>0</v>
      </c>
      <c r="AI1018">
        <v>0</v>
      </c>
      <c r="AJ1018">
        <v>0</v>
      </c>
      <c r="AK1018">
        <v>1</v>
      </c>
      <c r="AL1018">
        <v>0</v>
      </c>
      <c r="AM1018">
        <v>0</v>
      </c>
      <c r="AN1018">
        <v>0</v>
      </c>
      <c r="AO1018">
        <v>0</v>
      </c>
      <c r="AP1018">
        <v>0</v>
      </c>
      <c r="AQ1018">
        <v>0</v>
      </c>
      <c r="AR1018">
        <v>0</v>
      </c>
      <c r="AS1018">
        <v>0</v>
      </c>
      <c r="AT1018">
        <v>0</v>
      </c>
      <c r="AU1018">
        <v>0</v>
      </c>
      <c r="AV1018">
        <v>0</v>
      </c>
      <c r="AW1018">
        <v>0</v>
      </c>
      <c r="AX1018" s="141">
        <f t="shared" si="213"/>
        <v>1</v>
      </c>
      <c r="AY1018" s="141">
        <f t="shared" si="235"/>
        <v>1</v>
      </c>
      <c r="AZ1018">
        <f t="shared" si="236"/>
        <v>0</v>
      </c>
      <c r="BA1018">
        <f t="shared" si="237"/>
        <v>0</v>
      </c>
      <c r="BB1018">
        <f t="shared" si="238"/>
        <v>1</v>
      </c>
      <c r="BC1018">
        <f t="shared" si="239"/>
        <v>0</v>
      </c>
      <c r="BD1018">
        <f t="shared" si="240"/>
        <v>0</v>
      </c>
      <c r="BE1018" t="str">
        <f t="array" ref="BE1018">IF(AY1018=1,INDEX($V$7:$AL$7,MATCH(TRUE,INDEX($V1018:$AW1018&lt;&gt;0,),0)),IF(AY1018=0,INDEX($AM$7:$AW$7,MATCH(1,$AM1018:$AW1018,0)),IF(BF1018="Multiple strategies","mixed drivers",IF(BF1018="Supply chain","multiple supply","multiple silviculture"))))</f>
        <v>technologies/design switch</v>
      </c>
      <c r="BF1018" s="2" t="str" cm="1">
        <f t="array" ref="BF1018">IF(COUNTIF(AZ1018:BB1018,"&lt;&gt;0")=1,INDEX($V$4:$AW$4,MATCH(TRUE,INDEX($V1018:$AW1018&lt;&gt;0,),0)),IF(COUNTIF(AZ1018:BB1018,"&lt;&gt;0")=0,INDEX($AM$4:$AW$4,MATCH(1,$AM1018:$AW1018,0)),"Multiple strategies"))</f>
        <v>Technology</v>
      </c>
      <c r="BG1018" s="1" t="s">
        <v>230</v>
      </c>
      <c r="BH1018" t="s">
        <v>627</v>
      </c>
      <c r="BJ1018" t="s">
        <v>262</v>
      </c>
      <c r="BK1018">
        <v>0</v>
      </c>
      <c r="BL1018">
        <v>54</v>
      </c>
      <c r="BN1018">
        <f t="shared" si="222"/>
        <v>54</v>
      </c>
      <c r="BO1018">
        <f>BN1018*kg_to_m3</f>
        <v>0.11020408163265308</v>
      </c>
      <c r="BP1018" t="s">
        <v>233</v>
      </c>
      <c r="BR1018" t="s">
        <v>398</v>
      </c>
      <c r="BS1018">
        <v>-190</v>
      </c>
      <c r="BT1018">
        <v>-1.36</v>
      </c>
      <c r="BU1018" s="144">
        <v>7.1578947368421061E-3</v>
      </c>
      <c r="BV1018">
        <v>188.64</v>
      </c>
      <c r="BX1018">
        <f t="shared" si="261"/>
        <v>0.18863999999999997</v>
      </c>
      <c r="BY1018">
        <f t="shared" si="262"/>
        <v>1.7117333333333329</v>
      </c>
      <c r="BZ1018">
        <v>1</v>
      </c>
      <c r="CA1018">
        <v>0</v>
      </c>
      <c r="CB1018">
        <v>0</v>
      </c>
      <c r="CC1018">
        <v>0</v>
      </c>
      <c r="CD1018">
        <v>0</v>
      </c>
      <c r="CE1018">
        <v>0</v>
      </c>
      <c r="CF1018">
        <v>0</v>
      </c>
      <c r="CG1018">
        <v>0</v>
      </c>
      <c r="CH1018">
        <v>0</v>
      </c>
      <c r="CI1018">
        <v>0</v>
      </c>
      <c r="CJ1018">
        <v>0</v>
      </c>
      <c r="CK1018">
        <v>0</v>
      </c>
      <c r="CL1018">
        <v>0</v>
      </c>
      <c r="CM1018">
        <v>0</v>
      </c>
      <c r="CN1018" t="str">
        <f t="shared" si="254"/>
        <v>refOK</v>
      </c>
      <c r="CO1018">
        <f t="shared" si="263"/>
        <v>0</v>
      </c>
      <c r="CP1018">
        <f t="shared" si="264"/>
        <v>54</v>
      </c>
      <c r="CQ1018">
        <f t="shared" si="221"/>
        <v>0.11020408163265308</v>
      </c>
      <c r="CR1018">
        <f t="shared" si="259"/>
        <v>-190</v>
      </c>
      <c r="CS1018">
        <f t="shared" si="249"/>
        <v>-1.36</v>
      </c>
      <c r="CT1018">
        <f t="shared" si="214"/>
        <v>0.18863999999999997</v>
      </c>
      <c r="CU1018">
        <f t="shared" si="258"/>
        <v>1.7117333333333329</v>
      </c>
      <c r="CV1018" s="2">
        <f t="shared" si="215"/>
        <v>0.99284210526315786</v>
      </c>
      <c r="CW1018" s="1" t="s">
        <v>264</v>
      </c>
      <c r="CX1018" t="str">
        <f t="shared" si="242"/>
        <v>loc</v>
      </c>
      <c r="CY1018" t="s">
        <v>628</v>
      </c>
      <c r="DB1018">
        <v>0</v>
      </c>
      <c r="DC1018" t="str">
        <f t="shared" si="243"/>
        <v>0</v>
      </c>
      <c r="DD1018">
        <v>0</v>
      </c>
      <c r="DE1018">
        <v>0</v>
      </c>
      <c r="DF1018">
        <v>0</v>
      </c>
      <c r="DG1018">
        <v>1</v>
      </c>
      <c r="DI1018">
        <f t="shared" si="265"/>
        <v>1</v>
      </c>
      <c r="DJ1018" t="str">
        <f t="shared" si="257"/>
        <v>TimberInput</v>
      </c>
      <c r="DK1018">
        <f t="shared" si="223"/>
        <v>0</v>
      </c>
      <c r="DL1018">
        <f t="shared" si="224"/>
        <v>0</v>
      </c>
      <c r="DM1018">
        <f t="shared" si="225"/>
        <v>0</v>
      </c>
      <c r="DN1018" t="str">
        <f t="shared" si="226"/>
        <v>Timber</v>
      </c>
      <c r="DO1018">
        <v>0</v>
      </c>
      <c r="DP1018">
        <v>0</v>
      </c>
      <c r="DQ1018">
        <v>0</v>
      </c>
      <c r="DR1018">
        <v>0</v>
      </c>
      <c r="DS1018">
        <v>0</v>
      </c>
      <c r="DT1018">
        <f t="shared" si="260"/>
        <v>0</v>
      </c>
      <c r="DU1018" s="143" t="str">
        <f t="shared" si="245"/>
        <v>explicit C balance</v>
      </c>
      <c r="DV1018">
        <v>0</v>
      </c>
      <c r="DW1018">
        <v>0</v>
      </c>
      <c r="DX1018">
        <v>0</v>
      </c>
      <c r="DY1018">
        <v>0</v>
      </c>
      <c r="DZ1018">
        <v>0</v>
      </c>
      <c r="EA1018" s="143">
        <v>0</v>
      </c>
      <c r="EB1018">
        <v>0</v>
      </c>
      <c r="EC1018">
        <v>1</v>
      </c>
      <c r="ED1018">
        <v>0</v>
      </c>
      <c r="EE1018">
        <v>0</v>
      </c>
      <c r="EF1018">
        <v>0</v>
      </c>
      <c r="EG1018">
        <v>0</v>
      </c>
      <c r="EH1018">
        <v>0</v>
      </c>
      <c r="EI1018" s="2">
        <v>0</v>
      </c>
      <c r="EK1018" t="str">
        <f t="shared" si="227"/>
        <v/>
      </c>
      <c r="EL1018" t="str">
        <f t="shared" si="228"/>
        <v/>
      </c>
      <c r="EM1018" s="2" t="str">
        <f t="shared" si="244"/>
        <v/>
      </c>
      <c r="EP1018" t="str">
        <f>IF(ISNUMBER(BU1018),IF(ABS(BU1018-[3]QC_indicators!$B$2)&gt;3*[3]QC_indicators!$C$2,"C ratio",IF(ISNUMBER(BY1018),IF(ABS(BY1018-[3]QC_indicators!$B$1)&gt;3*[3]QC_indicators!$C$1,"DF","no"))),IF(ISNUMBER(BY1018),IF(ABS(BY1018-[3]QC_indicators!$B$1)&gt;3*[3]QC_indicators!$C$1,"DF","no")))</f>
        <v>no</v>
      </c>
      <c r="ER1018" s="149" t="s">
        <v>350</v>
      </c>
      <c r="ET1018" s="266" t="s">
        <v>3153</v>
      </c>
    </row>
    <row r="1019" spans="1:150" ht="15" hidden="1" customHeight="1">
      <c r="A1019" s="1" t="s">
        <v>616</v>
      </c>
      <c r="B1019" t="s">
        <v>617</v>
      </c>
      <c r="C1019" t="s">
        <v>618</v>
      </c>
      <c r="D1019" t="s">
        <v>619</v>
      </c>
      <c r="E1019" t="s">
        <v>620</v>
      </c>
      <c r="F1019" t="s">
        <v>621</v>
      </c>
      <c r="G1019" t="s">
        <v>622</v>
      </c>
      <c r="H1019" t="s">
        <v>255</v>
      </c>
      <c r="I1019">
        <v>2020</v>
      </c>
      <c r="J1019">
        <v>3</v>
      </c>
      <c r="K1019" t="s">
        <v>623</v>
      </c>
      <c r="M1019" t="str">
        <f t="shared" si="255"/>
        <v>Demertzi_2020</v>
      </c>
      <c r="N1019" t="s">
        <v>223</v>
      </c>
      <c r="O1019" s="145" t="s">
        <v>224</v>
      </c>
      <c r="Q1019" t="s">
        <v>257</v>
      </c>
      <c r="R1019" s="2" t="s">
        <v>275</v>
      </c>
      <c r="S1019" s="1" t="s">
        <v>624</v>
      </c>
      <c r="T1019" t="s">
        <v>630</v>
      </c>
      <c r="U1019" t="s">
        <v>626</v>
      </c>
      <c r="V1019">
        <v>0</v>
      </c>
      <c r="W1019">
        <v>0</v>
      </c>
      <c r="X1019">
        <v>0</v>
      </c>
      <c r="Y1019">
        <v>0</v>
      </c>
      <c r="Z1019">
        <v>0</v>
      </c>
      <c r="AA1019">
        <v>0</v>
      </c>
      <c r="AB1019">
        <v>0</v>
      </c>
      <c r="AC1019">
        <v>0</v>
      </c>
      <c r="AD1019">
        <v>0</v>
      </c>
      <c r="AE1019">
        <v>0</v>
      </c>
      <c r="AF1019">
        <v>0</v>
      </c>
      <c r="AG1019">
        <v>0</v>
      </c>
      <c r="AH1019">
        <v>0</v>
      </c>
      <c r="AI1019">
        <v>0</v>
      </c>
      <c r="AJ1019">
        <v>0</v>
      </c>
      <c r="AK1019">
        <v>1</v>
      </c>
      <c r="AL1019">
        <v>0</v>
      </c>
      <c r="AM1019">
        <v>0</v>
      </c>
      <c r="AN1019">
        <v>0</v>
      </c>
      <c r="AO1019">
        <v>0</v>
      </c>
      <c r="AP1019">
        <v>0</v>
      </c>
      <c r="AQ1019">
        <v>0</v>
      </c>
      <c r="AR1019">
        <v>0</v>
      </c>
      <c r="AS1019">
        <v>0</v>
      </c>
      <c r="AT1019">
        <v>0</v>
      </c>
      <c r="AU1019">
        <v>0</v>
      </c>
      <c r="AV1019">
        <v>0</v>
      </c>
      <c r="AW1019">
        <v>0</v>
      </c>
      <c r="AX1019" s="141">
        <f t="shared" ref="AX1019:AX1082" si="266">COUNTIF(V1019:AW1019,"&lt;&gt;0")</f>
        <v>1</v>
      </c>
      <c r="AY1019" s="141">
        <f t="shared" si="235"/>
        <v>1</v>
      </c>
      <c r="AZ1019">
        <f t="shared" si="236"/>
        <v>0</v>
      </c>
      <c r="BA1019">
        <f t="shared" si="237"/>
        <v>0</v>
      </c>
      <c r="BB1019">
        <f t="shared" si="238"/>
        <v>1</v>
      </c>
      <c r="BC1019">
        <f t="shared" si="239"/>
        <v>0</v>
      </c>
      <c r="BD1019">
        <f t="shared" si="240"/>
        <v>0</v>
      </c>
      <c r="BE1019" t="str">
        <f t="array" ref="BE1019">IF(AY1019=1,INDEX($V$7:$AL$7,MATCH(TRUE,INDEX($V1019:$AW1019&lt;&gt;0,),0)),IF(AY1019=0,INDEX($AM$7:$AW$7,MATCH(1,$AM1019:$AW1019,0)),IF(BF1019="Multiple strategies","mixed drivers",IF(BF1019="Supply chain","multiple supply","multiple silviculture"))))</f>
        <v>technologies/design switch</v>
      </c>
      <c r="BF1019" s="2" t="str" cm="1">
        <f t="array" ref="BF1019">IF(COUNTIF(AZ1019:BB1019,"&lt;&gt;0")=1,INDEX($V$4:$AW$4,MATCH(TRUE,INDEX($V1019:$AW1019&lt;&gt;0,),0)),IF(COUNTIF(AZ1019:BB1019,"&lt;&gt;0")=0,INDEX($AM$4:$AW$4,MATCH(1,$AM1019:$AW1019,0)),"Multiple strategies"))</f>
        <v>Technology</v>
      </c>
      <c r="BG1019" s="1" t="s">
        <v>230</v>
      </c>
      <c r="BH1019" t="s">
        <v>627</v>
      </c>
      <c r="BJ1019" t="s">
        <v>262</v>
      </c>
      <c r="BK1019">
        <v>0</v>
      </c>
      <c r="BL1019">
        <v>54</v>
      </c>
      <c r="BN1019">
        <f t="shared" si="222"/>
        <v>54</v>
      </c>
      <c r="BO1019">
        <f>BN1019*kg_to_m3</f>
        <v>0.11020408163265308</v>
      </c>
      <c r="BP1019" t="s">
        <v>233</v>
      </c>
      <c r="BR1019" t="s">
        <v>398</v>
      </c>
      <c r="BS1019">
        <v>-229</v>
      </c>
      <c r="BT1019">
        <v>-1.36</v>
      </c>
      <c r="BU1019" s="144">
        <v>5.9388646288209609E-3</v>
      </c>
      <c r="BV1019">
        <v>227.64</v>
      </c>
      <c r="BX1019">
        <f t="shared" si="261"/>
        <v>0.22763999999999998</v>
      </c>
      <c r="BY1019">
        <f t="shared" si="262"/>
        <v>2.0656222222222218</v>
      </c>
      <c r="BZ1019">
        <v>1</v>
      </c>
      <c r="CA1019">
        <v>0</v>
      </c>
      <c r="CB1019">
        <v>0</v>
      </c>
      <c r="CC1019">
        <v>0</v>
      </c>
      <c r="CD1019">
        <v>0</v>
      </c>
      <c r="CE1019">
        <v>0</v>
      </c>
      <c r="CF1019">
        <v>0</v>
      </c>
      <c r="CG1019">
        <v>0</v>
      </c>
      <c r="CH1019">
        <v>0</v>
      </c>
      <c r="CI1019">
        <v>0</v>
      </c>
      <c r="CJ1019">
        <v>0</v>
      </c>
      <c r="CK1019">
        <v>0</v>
      </c>
      <c r="CL1019">
        <v>0</v>
      </c>
      <c r="CM1019">
        <v>0</v>
      </c>
      <c r="CN1019" t="str">
        <f t="shared" si="254"/>
        <v>refOK</v>
      </c>
      <c r="CO1019">
        <f t="shared" si="263"/>
        <v>0</v>
      </c>
      <c r="CP1019">
        <f t="shared" si="264"/>
        <v>54</v>
      </c>
      <c r="CQ1019">
        <f t="shared" si="221"/>
        <v>0.11020408163265308</v>
      </c>
      <c r="CR1019">
        <f t="shared" si="259"/>
        <v>-229</v>
      </c>
      <c r="CS1019">
        <f t="shared" si="249"/>
        <v>-1.36</v>
      </c>
      <c r="CT1019">
        <f t="shared" si="214"/>
        <v>0.22763999999999998</v>
      </c>
      <c r="CU1019">
        <f t="shared" si="258"/>
        <v>2.0656222222222218</v>
      </c>
      <c r="CV1019" s="2">
        <f t="shared" si="215"/>
        <v>0.99406113537117902</v>
      </c>
      <c r="CW1019" s="1" t="s">
        <v>264</v>
      </c>
      <c r="CX1019" t="str">
        <f t="shared" si="242"/>
        <v>loc</v>
      </c>
      <c r="CY1019" t="s">
        <v>628</v>
      </c>
      <c r="DB1019">
        <v>0</v>
      </c>
      <c r="DC1019" t="str">
        <f t="shared" si="243"/>
        <v>0</v>
      </c>
      <c r="DD1019">
        <v>0</v>
      </c>
      <c r="DE1019">
        <v>0</v>
      </c>
      <c r="DF1019">
        <v>0</v>
      </c>
      <c r="DG1019">
        <v>1</v>
      </c>
      <c r="DI1019">
        <f t="shared" si="265"/>
        <v>1</v>
      </c>
      <c r="DJ1019" t="str">
        <f t="shared" si="257"/>
        <v>TimberInput</v>
      </c>
      <c r="DK1019">
        <f t="shared" si="223"/>
        <v>0</v>
      </c>
      <c r="DL1019">
        <f t="shared" si="224"/>
        <v>0</v>
      </c>
      <c r="DM1019">
        <f t="shared" si="225"/>
        <v>0</v>
      </c>
      <c r="DN1019" t="str">
        <f t="shared" si="226"/>
        <v>Timber</v>
      </c>
      <c r="DO1019">
        <v>0</v>
      </c>
      <c r="DP1019">
        <v>0</v>
      </c>
      <c r="DQ1019">
        <v>0</v>
      </c>
      <c r="DR1019">
        <v>0</v>
      </c>
      <c r="DS1019">
        <v>0</v>
      </c>
      <c r="DT1019">
        <f t="shared" si="260"/>
        <v>0</v>
      </c>
      <c r="DU1019" s="143" t="str">
        <f t="shared" si="245"/>
        <v>explicit C balance</v>
      </c>
      <c r="DV1019">
        <v>0</v>
      </c>
      <c r="DW1019">
        <v>0</v>
      </c>
      <c r="DX1019">
        <v>0</v>
      </c>
      <c r="DY1019">
        <v>0</v>
      </c>
      <c r="DZ1019">
        <v>0</v>
      </c>
      <c r="EA1019" s="143">
        <v>0</v>
      </c>
      <c r="EB1019">
        <v>0</v>
      </c>
      <c r="EC1019">
        <v>1</v>
      </c>
      <c r="ED1019">
        <v>0</v>
      </c>
      <c r="EE1019">
        <v>0</v>
      </c>
      <c r="EF1019">
        <v>0</v>
      </c>
      <c r="EG1019">
        <v>0</v>
      </c>
      <c r="EH1019">
        <v>0</v>
      </c>
      <c r="EI1019" s="2">
        <v>0</v>
      </c>
      <c r="EK1019" t="str">
        <f t="shared" si="227"/>
        <v/>
      </c>
      <c r="EL1019" t="str">
        <f t="shared" si="228"/>
        <v/>
      </c>
      <c r="EM1019" s="2" t="str">
        <f t="shared" si="244"/>
        <v/>
      </c>
      <c r="EP1019" t="str">
        <f>IF(ISNUMBER(BU1019),IF(ABS(BU1019-[3]QC_indicators!$B$2)&gt;3*[3]QC_indicators!$C$2,"C ratio",IF(ISNUMBER(BY1019),IF(ABS(BY1019-[3]QC_indicators!$B$1)&gt;3*[3]QC_indicators!$C$1,"DF","no"))),IF(ISNUMBER(BY1019),IF(ABS(BY1019-[3]QC_indicators!$B$1)&gt;3*[3]QC_indicators!$C$1,"DF","no")))</f>
        <v>no</v>
      </c>
      <c r="ER1019" s="149" t="s">
        <v>350</v>
      </c>
      <c r="ET1019" s="266" t="s">
        <v>3153</v>
      </c>
    </row>
    <row r="1020" spans="1:150" ht="15" hidden="1" customHeight="1">
      <c r="A1020" s="1" t="s">
        <v>616</v>
      </c>
      <c r="B1020" t="s">
        <v>617</v>
      </c>
      <c r="C1020" t="s">
        <v>618</v>
      </c>
      <c r="D1020" t="s">
        <v>619</v>
      </c>
      <c r="E1020" t="s">
        <v>620</v>
      </c>
      <c r="F1020" t="s">
        <v>621</v>
      </c>
      <c r="G1020" t="s">
        <v>622</v>
      </c>
      <c r="H1020" t="s">
        <v>255</v>
      </c>
      <c r="I1020">
        <v>2020</v>
      </c>
      <c r="J1020">
        <v>3</v>
      </c>
      <c r="K1020" t="s">
        <v>623</v>
      </c>
      <c r="M1020" t="str">
        <f t="shared" si="255"/>
        <v>Demertzi_2020</v>
      </c>
      <c r="N1020" t="s">
        <v>223</v>
      </c>
      <c r="O1020" s="145" t="s">
        <v>224</v>
      </c>
      <c r="Q1020" t="s">
        <v>257</v>
      </c>
      <c r="R1020" s="2" t="s">
        <v>275</v>
      </c>
      <c r="S1020" s="1" t="s">
        <v>624</v>
      </c>
      <c r="T1020" t="s">
        <v>631</v>
      </c>
      <c r="U1020" t="s">
        <v>626</v>
      </c>
      <c r="V1020">
        <v>0</v>
      </c>
      <c r="W1020">
        <v>0</v>
      </c>
      <c r="X1020">
        <v>0</v>
      </c>
      <c r="Y1020">
        <v>0</v>
      </c>
      <c r="Z1020">
        <v>0</v>
      </c>
      <c r="AA1020">
        <v>0</v>
      </c>
      <c r="AB1020">
        <v>0</v>
      </c>
      <c r="AC1020">
        <v>0</v>
      </c>
      <c r="AD1020">
        <v>0</v>
      </c>
      <c r="AE1020">
        <v>0</v>
      </c>
      <c r="AF1020">
        <v>0</v>
      </c>
      <c r="AG1020">
        <v>0</v>
      </c>
      <c r="AH1020">
        <v>0</v>
      </c>
      <c r="AI1020">
        <v>0</v>
      </c>
      <c r="AJ1020">
        <v>0</v>
      </c>
      <c r="AK1020">
        <v>1</v>
      </c>
      <c r="AL1020">
        <v>0</v>
      </c>
      <c r="AM1020">
        <v>0</v>
      </c>
      <c r="AN1020">
        <v>0</v>
      </c>
      <c r="AO1020">
        <v>0</v>
      </c>
      <c r="AP1020">
        <v>0</v>
      </c>
      <c r="AQ1020">
        <v>0</v>
      </c>
      <c r="AR1020">
        <v>0</v>
      </c>
      <c r="AS1020">
        <v>0</v>
      </c>
      <c r="AT1020">
        <v>0</v>
      </c>
      <c r="AU1020">
        <v>0</v>
      </c>
      <c r="AV1020">
        <v>0</v>
      </c>
      <c r="AW1020">
        <v>0</v>
      </c>
      <c r="AX1020" s="141">
        <f t="shared" si="266"/>
        <v>1</v>
      </c>
      <c r="AY1020" s="141">
        <f t="shared" si="235"/>
        <v>1</v>
      </c>
      <c r="AZ1020">
        <f t="shared" si="236"/>
        <v>0</v>
      </c>
      <c r="BA1020">
        <f t="shared" si="237"/>
        <v>0</v>
      </c>
      <c r="BB1020">
        <f t="shared" si="238"/>
        <v>1</v>
      </c>
      <c r="BC1020">
        <f t="shared" si="239"/>
        <v>0</v>
      </c>
      <c r="BD1020">
        <f t="shared" si="240"/>
        <v>0</v>
      </c>
      <c r="BE1020" t="str">
        <f t="array" ref="BE1020">IF(AY1020=1,INDEX($V$7:$AL$7,MATCH(TRUE,INDEX($V1020:$AW1020&lt;&gt;0,),0)),IF(AY1020=0,INDEX($AM$7:$AW$7,MATCH(1,$AM1020:$AW1020,0)),IF(BF1020="Multiple strategies","mixed drivers",IF(BF1020="Supply chain","multiple supply","multiple silviculture"))))</f>
        <v>technologies/design switch</v>
      </c>
      <c r="BF1020" s="2" t="str" cm="1">
        <f t="array" ref="BF1020">IF(COUNTIF(AZ1020:BB1020,"&lt;&gt;0")=1,INDEX($V$4:$AW$4,MATCH(TRUE,INDEX($V1020:$AW1020&lt;&gt;0,),0)),IF(COUNTIF(AZ1020:BB1020,"&lt;&gt;0")=0,INDEX($AM$4:$AW$4,MATCH(1,$AM1020:$AW1020,0)),"Multiple strategies"))</f>
        <v>Technology</v>
      </c>
      <c r="BG1020" s="1" t="s">
        <v>230</v>
      </c>
      <c r="BH1020" t="s">
        <v>627</v>
      </c>
      <c r="BJ1020" t="s">
        <v>262</v>
      </c>
      <c r="BK1020">
        <v>0</v>
      </c>
      <c r="BL1020">
        <v>54</v>
      </c>
      <c r="BN1020">
        <f t="shared" si="222"/>
        <v>54</v>
      </c>
      <c r="BO1020">
        <f>BN1020*kg_to_m3</f>
        <v>0.11020408163265308</v>
      </c>
      <c r="BP1020" t="s">
        <v>233</v>
      </c>
      <c r="BR1020" t="s">
        <v>398</v>
      </c>
      <c r="BS1020">
        <v>-271</v>
      </c>
      <c r="BT1020">
        <v>-1.36</v>
      </c>
      <c r="BU1020" s="144">
        <v>5.018450184501845E-3</v>
      </c>
      <c r="BV1020">
        <v>269.64</v>
      </c>
      <c r="BX1020">
        <f t="shared" si="261"/>
        <v>0.26963999999999999</v>
      </c>
      <c r="BY1020">
        <f t="shared" si="262"/>
        <v>2.446733333333333</v>
      </c>
      <c r="BZ1020">
        <v>1</v>
      </c>
      <c r="CA1020">
        <v>0</v>
      </c>
      <c r="CB1020">
        <v>0</v>
      </c>
      <c r="CC1020">
        <v>0</v>
      </c>
      <c r="CD1020">
        <v>0</v>
      </c>
      <c r="CE1020">
        <v>0</v>
      </c>
      <c r="CF1020">
        <v>0</v>
      </c>
      <c r="CG1020">
        <v>0</v>
      </c>
      <c r="CH1020">
        <v>0</v>
      </c>
      <c r="CI1020">
        <v>0</v>
      </c>
      <c r="CJ1020">
        <v>0</v>
      </c>
      <c r="CK1020">
        <v>0</v>
      </c>
      <c r="CL1020">
        <v>0</v>
      </c>
      <c r="CM1020">
        <v>0</v>
      </c>
      <c r="CN1020" t="str">
        <f t="shared" si="254"/>
        <v>refOK</v>
      </c>
      <c r="CO1020">
        <f t="shared" si="263"/>
        <v>0</v>
      </c>
      <c r="CP1020">
        <f t="shared" si="264"/>
        <v>54</v>
      </c>
      <c r="CQ1020">
        <f t="shared" si="221"/>
        <v>0.11020408163265308</v>
      </c>
      <c r="CR1020">
        <f t="shared" si="259"/>
        <v>-271</v>
      </c>
      <c r="CS1020">
        <f t="shared" si="249"/>
        <v>-1.36</v>
      </c>
      <c r="CT1020">
        <f t="shared" ref="CT1020:CT1083" si="267">IF($CN1020="refNeedCorrection",-BX1020,BX1020)*IF($BP1020="Emissions positive",-1,1)</f>
        <v>0.26963999999999999</v>
      </c>
      <c r="CU1020">
        <f t="shared" si="258"/>
        <v>2.446733333333333</v>
      </c>
      <c r="CV1020" s="2">
        <f t="shared" ref="CV1020:CV1083" si="268">IFERROR((CS1020-CR1020)/ABS(CR1020),"")</f>
        <v>0.99498154981549813</v>
      </c>
      <c r="CW1020" s="1" t="s">
        <v>264</v>
      </c>
      <c r="CX1020" t="str">
        <f t="shared" si="242"/>
        <v>loc</v>
      </c>
      <c r="CY1020" t="s">
        <v>628</v>
      </c>
      <c r="DB1020">
        <v>0</v>
      </c>
      <c r="DC1020" t="str">
        <f t="shared" si="243"/>
        <v>0</v>
      </c>
      <c r="DD1020">
        <v>0</v>
      </c>
      <c r="DE1020">
        <v>0</v>
      </c>
      <c r="DF1020">
        <v>0</v>
      </c>
      <c r="DG1020">
        <v>1</v>
      </c>
      <c r="DI1020">
        <f t="shared" si="265"/>
        <v>1</v>
      </c>
      <c r="DJ1020" t="str">
        <f t="shared" si="257"/>
        <v>TimberInput</v>
      </c>
      <c r="DK1020">
        <f t="shared" si="223"/>
        <v>0</v>
      </c>
      <c r="DL1020">
        <f t="shared" si="224"/>
        <v>0</v>
      </c>
      <c r="DM1020">
        <f t="shared" si="225"/>
        <v>0</v>
      </c>
      <c r="DN1020" t="str">
        <f t="shared" si="226"/>
        <v>Timber</v>
      </c>
      <c r="DO1020">
        <v>0</v>
      </c>
      <c r="DP1020">
        <v>0</v>
      </c>
      <c r="DQ1020">
        <v>0</v>
      </c>
      <c r="DR1020">
        <v>0</v>
      </c>
      <c r="DS1020">
        <v>0</v>
      </c>
      <c r="DT1020">
        <f t="shared" si="260"/>
        <v>0</v>
      </c>
      <c r="DU1020" s="143" t="str">
        <f t="shared" si="245"/>
        <v>explicit C balance</v>
      </c>
      <c r="DV1020">
        <v>0</v>
      </c>
      <c r="DW1020">
        <v>0</v>
      </c>
      <c r="DX1020">
        <v>0</v>
      </c>
      <c r="DY1020">
        <v>0</v>
      </c>
      <c r="DZ1020">
        <v>0</v>
      </c>
      <c r="EA1020" s="143">
        <v>0</v>
      </c>
      <c r="EB1020">
        <v>0</v>
      </c>
      <c r="EC1020">
        <v>1</v>
      </c>
      <c r="ED1020">
        <v>0</v>
      </c>
      <c r="EE1020">
        <v>0</v>
      </c>
      <c r="EF1020">
        <v>0</v>
      </c>
      <c r="EG1020">
        <v>0</v>
      </c>
      <c r="EH1020">
        <v>0</v>
      </c>
      <c r="EI1020" s="2">
        <v>0</v>
      </c>
      <c r="EK1020" t="str">
        <f t="shared" si="227"/>
        <v/>
      </c>
      <c r="EL1020" t="str">
        <f t="shared" si="228"/>
        <v/>
      </c>
      <c r="EM1020" s="2" t="str">
        <f t="shared" si="244"/>
        <v/>
      </c>
      <c r="EP1020" t="str">
        <f>IF(ISNUMBER(BU1020),IF(ABS(BU1020-[3]QC_indicators!$B$2)&gt;3*[3]QC_indicators!$C$2,"C ratio",IF(ISNUMBER(BY1020),IF(ABS(BY1020-[3]QC_indicators!$B$1)&gt;3*[3]QC_indicators!$C$1,"DF","no"))),IF(ISNUMBER(BY1020),IF(ABS(BY1020-[3]QC_indicators!$B$1)&gt;3*[3]QC_indicators!$C$1,"DF","no")))</f>
        <v>no</v>
      </c>
      <c r="ER1020" s="149" t="s">
        <v>350</v>
      </c>
      <c r="ET1020" s="266" t="s">
        <v>3153</v>
      </c>
    </row>
    <row r="1021" spans="1:150" ht="15" hidden="1" customHeight="1">
      <c r="A1021" s="1" t="s">
        <v>601</v>
      </c>
      <c r="B1021" t="s">
        <v>790</v>
      </c>
      <c r="C1021" t="s">
        <v>791</v>
      </c>
      <c r="D1021" t="s">
        <v>792</v>
      </c>
      <c r="E1021" t="s">
        <v>793</v>
      </c>
      <c r="F1021" t="s">
        <v>794</v>
      </c>
      <c r="G1021" t="s">
        <v>607</v>
      </c>
      <c r="H1021" t="s">
        <v>255</v>
      </c>
      <c r="I1021">
        <v>2022</v>
      </c>
      <c r="J1021">
        <v>2</v>
      </c>
      <c r="K1021" t="s">
        <v>795</v>
      </c>
      <c r="M1021" t="str">
        <f t="shared" si="255"/>
        <v>Hegeir_2022</v>
      </c>
      <c r="N1021" t="s">
        <v>223</v>
      </c>
      <c r="O1021" s="161" t="s">
        <v>224</v>
      </c>
      <c r="Q1021" t="s">
        <v>390</v>
      </c>
      <c r="R1021" s="2" t="s">
        <v>275</v>
      </c>
      <c r="S1021" s="154" t="s">
        <v>796</v>
      </c>
      <c r="T1021" s="149" t="s">
        <v>797</v>
      </c>
      <c r="U1021" t="s">
        <v>626</v>
      </c>
      <c r="V1021">
        <v>0</v>
      </c>
      <c r="W1021">
        <v>0</v>
      </c>
      <c r="X1021">
        <v>0</v>
      </c>
      <c r="Y1021">
        <v>0</v>
      </c>
      <c r="Z1021">
        <v>0</v>
      </c>
      <c r="AA1021">
        <v>0</v>
      </c>
      <c r="AB1021">
        <v>0</v>
      </c>
      <c r="AC1021">
        <v>0</v>
      </c>
      <c r="AD1021">
        <v>0</v>
      </c>
      <c r="AE1021">
        <v>0</v>
      </c>
      <c r="AF1021">
        <v>0</v>
      </c>
      <c r="AG1021">
        <v>0</v>
      </c>
      <c r="AH1021">
        <v>0</v>
      </c>
      <c r="AI1021">
        <v>0</v>
      </c>
      <c r="AJ1021">
        <v>0</v>
      </c>
      <c r="AK1021">
        <v>1</v>
      </c>
      <c r="AL1021">
        <v>0</v>
      </c>
      <c r="AM1021">
        <v>0</v>
      </c>
      <c r="AN1021">
        <v>0</v>
      </c>
      <c r="AO1021">
        <v>0</v>
      </c>
      <c r="AP1021">
        <v>0</v>
      </c>
      <c r="AQ1021">
        <v>0</v>
      </c>
      <c r="AR1021">
        <v>0</v>
      </c>
      <c r="AS1021">
        <v>0</v>
      </c>
      <c r="AT1021">
        <v>0</v>
      </c>
      <c r="AU1021">
        <v>0</v>
      </c>
      <c r="AV1021">
        <v>0</v>
      </c>
      <c r="AW1021">
        <v>0</v>
      </c>
      <c r="AX1021" s="141">
        <f t="shared" si="266"/>
        <v>1</v>
      </c>
      <c r="AY1021" s="141">
        <f t="shared" si="235"/>
        <v>1</v>
      </c>
      <c r="AZ1021">
        <f t="shared" si="236"/>
        <v>0</v>
      </c>
      <c r="BA1021">
        <f t="shared" si="237"/>
        <v>0</v>
      </c>
      <c r="BB1021">
        <f t="shared" si="238"/>
        <v>1</v>
      </c>
      <c r="BC1021">
        <f t="shared" si="239"/>
        <v>0</v>
      </c>
      <c r="BD1021">
        <f t="shared" si="240"/>
        <v>0</v>
      </c>
      <c r="BE1021" t="str">
        <f t="array" ref="BE1021">IF(AY1021=1,INDEX($V$7:$AL$7,MATCH(TRUE,INDEX($V1021:$AW1021&lt;&gt;0,),0)),IF(AY1021=0,INDEX($AM$7:$AW$7,MATCH(1,$AM1021:$AW1021,0)),IF(BF1021="Multiple strategies","mixed drivers",IF(BF1021="Supply chain","multiple supply","multiple silviculture"))))</f>
        <v>technologies/design switch</v>
      </c>
      <c r="BF1021" s="2" t="str" cm="1">
        <f t="array" ref="BF1021">IF(COUNTIF(AZ1021:BB1021,"&lt;&gt;0")=1,INDEX($V$4:$AW$4,MATCH(TRUE,INDEX($V1021:$AW1021&lt;&gt;0,),0)),IF(COUNTIF(AZ1021:BB1021,"&lt;&gt;0")=0,INDEX($AM$4:$AW$4,MATCH(1,$AM1021:$AW1021,0)),"Multiple strategies"))</f>
        <v>Technology</v>
      </c>
      <c r="BG1021" s="1" t="s">
        <v>230</v>
      </c>
      <c r="BH1021" t="s">
        <v>798</v>
      </c>
      <c r="BJ1021" t="s">
        <v>799</v>
      </c>
      <c r="BK1021">
        <v>0</v>
      </c>
      <c r="BL1021">
        <f>94.91/(25*42)</f>
        <v>9.0390476190476188E-2</v>
      </c>
      <c r="BN1021">
        <f t="shared" si="222"/>
        <v>9.0390476190476188E-2</v>
      </c>
      <c r="BO1021">
        <f>BL1021-BK1021</f>
        <v>9.0390476190476188E-2</v>
      </c>
      <c r="BP1021" t="s">
        <v>396</v>
      </c>
      <c r="BR1021" t="s">
        <v>263</v>
      </c>
      <c r="BS1021">
        <v>47.96</v>
      </c>
      <c r="BT1021">
        <v>-39.9</v>
      </c>
      <c r="BV1021">
        <f t="shared" ref="BV1021:BV1032" si="269">BT1021-BS1021</f>
        <v>-87.86</v>
      </c>
      <c r="BX1021">
        <f t="shared" si="261"/>
        <v>-8.7859999999999994E-2</v>
      </c>
      <c r="BY1021">
        <f t="shared" si="262"/>
        <v>-0.97200505742282162</v>
      </c>
      <c r="BZ1021">
        <v>0</v>
      </c>
      <c r="CA1021">
        <v>0</v>
      </c>
      <c r="CB1021">
        <v>0</v>
      </c>
      <c r="CC1021">
        <v>0</v>
      </c>
      <c r="CD1021">
        <v>0</v>
      </c>
      <c r="CE1021">
        <v>0</v>
      </c>
      <c r="CF1021">
        <v>0</v>
      </c>
      <c r="CG1021">
        <v>0</v>
      </c>
      <c r="CH1021">
        <v>0</v>
      </c>
      <c r="CI1021">
        <v>0</v>
      </c>
      <c r="CJ1021">
        <v>0</v>
      </c>
      <c r="CK1021">
        <v>0</v>
      </c>
      <c r="CL1021">
        <v>0</v>
      </c>
      <c r="CM1021">
        <v>0</v>
      </c>
      <c r="CN1021" t="str">
        <f t="shared" si="254"/>
        <v>refOK</v>
      </c>
      <c r="CO1021">
        <f t="shared" si="263"/>
        <v>0</v>
      </c>
      <c r="CP1021">
        <f t="shared" si="264"/>
        <v>9.0390476190476188E-2</v>
      </c>
      <c r="CQ1021">
        <f t="shared" si="221"/>
        <v>9.0390476190476188E-2</v>
      </c>
      <c r="CR1021">
        <f t="shared" si="259"/>
        <v>-47.96</v>
      </c>
      <c r="CS1021">
        <f t="shared" si="249"/>
        <v>39.9</v>
      </c>
      <c r="CT1021">
        <f t="shared" si="267"/>
        <v>8.7859999999999994E-2</v>
      </c>
      <c r="CU1021">
        <f t="shared" si="258"/>
        <v>0.97200505742282162</v>
      </c>
      <c r="CV1021" s="2">
        <f t="shared" si="268"/>
        <v>1.8319432860717264</v>
      </c>
      <c r="CW1021" s="162" t="s">
        <v>264</v>
      </c>
      <c r="CX1021" t="str">
        <f t="shared" si="242"/>
        <v>loc</v>
      </c>
      <c r="CY1021" t="s">
        <v>265</v>
      </c>
      <c r="DB1021">
        <v>0</v>
      </c>
      <c r="DC1021" t="str">
        <f t="shared" si="243"/>
        <v>0</v>
      </c>
      <c r="DD1021">
        <v>0</v>
      </c>
      <c r="DE1021">
        <v>0</v>
      </c>
      <c r="DF1021">
        <v>0</v>
      </c>
      <c r="DG1021">
        <v>1</v>
      </c>
      <c r="DH1021">
        <v>0</v>
      </c>
      <c r="DI1021">
        <f t="shared" si="265"/>
        <v>1</v>
      </c>
      <c r="DJ1021" t="str">
        <f t="shared" si="257"/>
        <v>TimberInput</v>
      </c>
      <c r="DK1021">
        <f t="shared" si="223"/>
        <v>0</v>
      </c>
      <c r="DL1021">
        <f t="shared" si="224"/>
        <v>0</v>
      </c>
      <c r="DM1021">
        <f t="shared" si="225"/>
        <v>0</v>
      </c>
      <c r="DN1021" t="str">
        <f t="shared" si="226"/>
        <v>Timber</v>
      </c>
      <c r="DO1021">
        <v>0</v>
      </c>
      <c r="DP1021">
        <v>0</v>
      </c>
      <c r="DQ1021">
        <v>0</v>
      </c>
      <c r="DR1021">
        <v>0</v>
      </c>
      <c r="DS1021">
        <v>0</v>
      </c>
      <c r="DT1021">
        <f t="shared" si="260"/>
        <v>0</v>
      </c>
      <c r="DU1021" s="143" t="str">
        <f t="shared" si="245"/>
        <v>explicit C balance</v>
      </c>
      <c r="DV1021">
        <v>0</v>
      </c>
      <c r="DW1021">
        <v>0</v>
      </c>
      <c r="DX1021">
        <v>0</v>
      </c>
      <c r="DY1021">
        <v>1</v>
      </c>
      <c r="DZ1021">
        <v>0</v>
      </c>
      <c r="EA1021">
        <v>0</v>
      </c>
      <c r="EB1021">
        <v>1</v>
      </c>
      <c r="EC1021">
        <v>1</v>
      </c>
      <c r="ED1021">
        <v>0</v>
      </c>
      <c r="EE1021">
        <v>0</v>
      </c>
      <c r="EF1021">
        <v>0</v>
      </c>
      <c r="EG1021">
        <v>0</v>
      </c>
      <c r="EH1021">
        <v>0</v>
      </c>
      <c r="EI1021" s="2">
        <v>0</v>
      </c>
      <c r="EK1021" t="str">
        <f t="shared" si="227"/>
        <v/>
      </c>
      <c r="EL1021" t="str">
        <f t="shared" si="228"/>
        <v/>
      </c>
      <c r="EM1021" s="2" t="str">
        <f t="shared" si="244"/>
        <v>Technology approach</v>
      </c>
      <c r="EP1021" t="str">
        <f>IF(ISNUMBER(BU1021),IF(ABS(BU1021-[3]QC_indicators!$B$2)&gt;3*[3]QC_indicators!$C$2,"C ratio",IF(ISNUMBER(BY1021),IF(ABS(BY1021-[3]QC_indicators!$B$1)&gt;3*[3]QC_indicators!$C$1,"DF","no"))),IF(ISNUMBER(BY1021),IF(ABS(BY1021-[3]QC_indicators!$B$1)&gt;3*[3]QC_indicators!$C$1,"DF","no")))</f>
        <v>no</v>
      </c>
      <c r="ET1021" s="266" t="s">
        <v>3153</v>
      </c>
    </row>
    <row r="1022" spans="1:150" ht="15" hidden="1" customHeight="1">
      <c r="A1022" s="1" t="s">
        <v>601</v>
      </c>
      <c r="B1022" t="s">
        <v>790</v>
      </c>
      <c r="C1022" t="s">
        <v>791</v>
      </c>
      <c r="D1022" t="s">
        <v>792</v>
      </c>
      <c r="E1022" t="s">
        <v>793</v>
      </c>
      <c r="F1022" t="s">
        <v>794</v>
      </c>
      <c r="G1022" t="s">
        <v>607</v>
      </c>
      <c r="H1022" t="s">
        <v>255</v>
      </c>
      <c r="I1022">
        <v>2022</v>
      </c>
      <c r="J1022">
        <v>2</v>
      </c>
      <c r="K1022" t="s">
        <v>795</v>
      </c>
      <c r="M1022" t="str">
        <f t="shared" si="255"/>
        <v>Hegeir_2022</v>
      </c>
      <c r="N1022" t="s">
        <v>223</v>
      </c>
      <c r="O1022" s="161" t="s">
        <v>224</v>
      </c>
      <c r="Q1022" t="s">
        <v>390</v>
      </c>
      <c r="R1022" s="2" t="s">
        <v>275</v>
      </c>
      <c r="S1022" s="154" t="s">
        <v>796</v>
      </c>
      <c r="T1022" s="149" t="s">
        <v>631</v>
      </c>
      <c r="U1022" t="s">
        <v>626</v>
      </c>
      <c r="V1022">
        <v>0</v>
      </c>
      <c r="W1022">
        <v>0</v>
      </c>
      <c r="X1022">
        <v>0</v>
      </c>
      <c r="Y1022">
        <v>0</v>
      </c>
      <c r="Z1022">
        <v>0</v>
      </c>
      <c r="AA1022">
        <v>0</v>
      </c>
      <c r="AB1022">
        <v>0</v>
      </c>
      <c r="AC1022">
        <v>0</v>
      </c>
      <c r="AD1022">
        <v>0</v>
      </c>
      <c r="AE1022">
        <v>0</v>
      </c>
      <c r="AF1022">
        <v>0</v>
      </c>
      <c r="AG1022">
        <v>0</v>
      </c>
      <c r="AH1022">
        <v>0</v>
      </c>
      <c r="AI1022">
        <v>0</v>
      </c>
      <c r="AJ1022">
        <v>0</v>
      </c>
      <c r="AK1022">
        <v>1</v>
      </c>
      <c r="AL1022">
        <v>0</v>
      </c>
      <c r="AM1022">
        <v>0</v>
      </c>
      <c r="AN1022">
        <v>0</v>
      </c>
      <c r="AO1022">
        <v>0</v>
      </c>
      <c r="AP1022">
        <v>0</v>
      </c>
      <c r="AQ1022">
        <v>0</v>
      </c>
      <c r="AR1022">
        <v>0</v>
      </c>
      <c r="AS1022">
        <v>0</v>
      </c>
      <c r="AT1022">
        <v>0</v>
      </c>
      <c r="AU1022">
        <v>0</v>
      </c>
      <c r="AV1022">
        <v>0</v>
      </c>
      <c r="AW1022">
        <v>0</v>
      </c>
      <c r="AX1022" s="141">
        <f t="shared" si="266"/>
        <v>1</v>
      </c>
      <c r="AY1022" s="141">
        <f t="shared" si="235"/>
        <v>1</v>
      </c>
      <c r="AZ1022">
        <f t="shared" si="236"/>
        <v>0</v>
      </c>
      <c r="BA1022">
        <f t="shared" si="237"/>
        <v>0</v>
      </c>
      <c r="BB1022">
        <f t="shared" si="238"/>
        <v>1</v>
      </c>
      <c r="BC1022">
        <f t="shared" si="239"/>
        <v>0</v>
      </c>
      <c r="BD1022">
        <f t="shared" si="240"/>
        <v>0</v>
      </c>
      <c r="BE1022" t="str">
        <f t="array" ref="BE1022">IF(AY1022=1,INDEX($V$7:$AL$7,MATCH(TRUE,INDEX($V1022:$AW1022&lt;&gt;0,),0)),IF(AY1022=0,INDEX($AM$7:$AW$7,MATCH(1,$AM1022:$AW1022,0)),IF(BF1022="Multiple strategies","mixed drivers",IF(BF1022="Supply chain","multiple supply","multiple silviculture"))))</f>
        <v>technologies/design switch</v>
      </c>
      <c r="BF1022" s="2" t="str" cm="1">
        <f t="array" ref="BF1022">IF(COUNTIF(AZ1022:BB1022,"&lt;&gt;0")=1,INDEX($V$4:$AW$4,MATCH(TRUE,INDEX($V1022:$AW1022&lt;&gt;0,),0)),IF(COUNTIF(AZ1022:BB1022,"&lt;&gt;0")=0,INDEX($AM$4:$AW$4,MATCH(1,$AM1022:$AW1022,0)),"Multiple strategies"))</f>
        <v>Technology</v>
      </c>
      <c r="BG1022" s="1" t="s">
        <v>230</v>
      </c>
      <c r="BH1022" t="s">
        <v>798</v>
      </c>
      <c r="BJ1022" t="s">
        <v>799</v>
      </c>
      <c r="BK1022">
        <v>0</v>
      </c>
      <c r="BL1022">
        <f>94.91/(25*42)</f>
        <v>9.0390476190476188E-2</v>
      </c>
      <c r="BN1022">
        <f t="shared" si="222"/>
        <v>9.0390476190476188E-2</v>
      </c>
      <c r="BO1022">
        <f>BL1022-BK1022</f>
        <v>9.0390476190476188E-2</v>
      </c>
      <c r="BP1022" t="s">
        <v>396</v>
      </c>
      <c r="BR1022" t="s">
        <v>263</v>
      </c>
      <c r="BS1022">
        <v>39.29</v>
      </c>
      <c r="BT1022">
        <v>-39.9</v>
      </c>
      <c r="BV1022">
        <f t="shared" si="269"/>
        <v>-79.19</v>
      </c>
      <c r="BX1022">
        <f t="shared" si="261"/>
        <v>-7.9189999999999997E-2</v>
      </c>
      <c r="BY1022">
        <f t="shared" si="262"/>
        <v>-0.87608787272152566</v>
      </c>
      <c r="BZ1022">
        <v>0</v>
      </c>
      <c r="CA1022">
        <v>0</v>
      </c>
      <c r="CB1022">
        <v>0</v>
      </c>
      <c r="CC1022">
        <v>0</v>
      </c>
      <c r="CD1022">
        <v>0</v>
      </c>
      <c r="CE1022">
        <v>0</v>
      </c>
      <c r="CF1022">
        <v>0</v>
      </c>
      <c r="CG1022">
        <v>0</v>
      </c>
      <c r="CH1022">
        <v>0</v>
      </c>
      <c r="CI1022">
        <v>0</v>
      </c>
      <c r="CJ1022">
        <v>0</v>
      </c>
      <c r="CK1022">
        <v>0</v>
      </c>
      <c r="CL1022">
        <v>0</v>
      </c>
      <c r="CM1022">
        <v>0</v>
      </c>
      <c r="CN1022" t="str">
        <f t="shared" si="254"/>
        <v>refOK</v>
      </c>
      <c r="CO1022">
        <f t="shared" si="263"/>
        <v>0</v>
      </c>
      <c r="CP1022">
        <f t="shared" si="264"/>
        <v>9.0390476190476188E-2</v>
      </c>
      <c r="CQ1022">
        <f t="shared" si="221"/>
        <v>9.0390476190476188E-2</v>
      </c>
      <c r="CR1022">
        <f t="shared" si="259"/>
        <v>-39.29</v>
      </c>
      <c r="CS1022">
        <f t="shared" si="249"/>
        <v>39.9</v>
      </c>
      <c r="CT1022">
        <f t="shared" si="267"/>
        <v>7.9189999999999997E-2</v>
      </c>
      <c r="CU1022">
        <f t="shared" si="258"/>
        <v>0.87608787272152566</v>
      </c>
      <c r="CV1022" s="2">
        <f t="shared" si="268"/>
        <v>2.0155255790277424</v>
      </c>
      <c r="CW1022" s="162" t="s">
        <v>264</v>
      </c>
      <c r="CX1022" t="str">
        <f t="shared" si="242"/>
        <v>loc</v>
      </c>
      <c r="CY1022" t="s">
        <v>265</v>
      </c>
      <c r="DB1022">
        <v>0</v>
      </c>
      <c r="DC1022" t="str">
        <f t="shared" si="243"/>
        <v>0</v>
      </c>
      <c r="DD1022">
        <v>0</v>
      </c>
      <c r="DE1022">
        <v>0</v>
      </c>
      <c r="DF1022">
        <v>0</v>
      </c>
      <c r="DG1022">
        <v>1</v>
      </c>
      <c r="DH1022">
        <v>0</v>
      </c>
      <c r="DI1022">
        <f t="shared" si="265"/>
        <v>1</v>
      </c>
      <c r="DJ1022" t="str">
        <f t="shared" si="257"/>
        <v>TimberInput</v>
      </c>
      <c r="DK1022">
        <f t="shared" si="223"/>
        <v>0</v>
      </c>
      <c r="DL1022">
        <f t="shared" si="224"/>
        <v>0</v>
      </c>
      <c r="DM1022">
        <f t="shared" si="225"/>
        <v>0</v>
      </c>
      <c r="DN1022" t="str">
        <f t="shared" si="226"/>
        <v>Timber</v>
      </c>
      <c r="DO1022">
        <v>0</v>
      </c>
      <c r="DP1022">
        <v>0</v>
      </c>
      <c r="DQ1022">
        <v>0</v>
      </c>
      <c r="DR1022">
        <v>0</v>
      </c>
      <c r="DS1022">
        <v>0</v>
      </c>
      <c r="DT1022">
        <f t="shared" si="260"/>
        <v>0</v>
      </c>
      <c r="DU1022" s="143" t="str">
        <f t="shared" si="245"/>
        <v>explicit C balance</v>
      </c>
      <c r="DV1022">
        <v>0</v>
      </c>
      <c r="DW1022">
        <v>0</v>
      </c>
      <c r="DX1022">
        <v>0</v>
      </c>
      <c r="DY1022">
        <v>1</v>
      </c>
      <c r="DZ1022">
        <v>0</v>
      </c>
      <c r="EA1022">
        <v>0</v>
      </c>
      <c r="EB1022">
        <v>1</v>
      </c>
      <c r="EC1022">
        <v>1</v>
      </c>
      <c r="ED1022">
        <v>0</v>
      </c>
      <c r="EE1022">
        <v>0</v>
      </c>
      <c r="EF1022">
        <v>0</v>
      </c>
      <c r="EG1022">
        <v>0</v>
      </c>
      <c r="EH1022">
        <v>0</v>
      </c>
      <c r="EI1022" s="2">
        <v>0</v>
      </c>
      <c r="EK1022" t="str">
        <f t="shared" si="227"/>
        <v/>
      </c>
      <c r="EL1022" t="str">
        <f t="shared" si="228"/>
        <v/>
      </c>
      <c r="EM1022" s="2" t="str">
        <f t="shared" si="244"/>
        <v>Technology approach</v>
      </c>
      <c r="EP1022" t="str">
        <f>IF(ISNUMBER(BU1022),IF(ABS(BU1022-[3]QC_indicators!$B$2)&gt;3*[3]QC_indicators!$C$2,"C ratio",IF(ISNUMBER(BY1022),IF(ABS(BY1022-[3]QC_indicators!$B$1)&gt;3*[3]QC_indicators!$C$1,"DF","no"))),IF(ISNUMBER(BY1022),IF(ABS(BY1022-[3]QC_indicators!$B$1)&gt;3*[3]QC_indicators!$C$1,"DF","no")))</f>
        <v>no</v>
      </c>
      <c r="ET1022" s="266" t="s">
        <v>3153</v>
      </c>
    </row>
    <row r="1023" spans="1:150" ht="15" hidden="1" customHeight="1">
      <c r="A1023" s="1" t="s">
        <v>431</v>
      </c>
      <c r="B1023" t="s">
        <v>432</v>
      </c>
      <c r="C1023" t="s">
        <v>433</v>
      </c>
      <c r="D1023" t="s">
        <v>434</v>
      </c>
      <c r="E1023" t="s">
        <v>435</v>
      </c>
      <c r="F1023" t="s">
        <v>436</v>
      </c>
      <c r="G1023" t="s">
        <v>437</v>
      </c>
      <c r="H1023" t="s">
        <v>255</v>
      </c>
      <c r="I1023">
        <v>2000</v>
      </c>
      <c r="J1023">
        <v>174</v>
      </c>
      <c r="K1023" t="s">
        <v>438</v>
      </c>
      <c r="M1023" t="str">
        <f t="shared" si="255"/>
        <v>Borjesson_2000</v>
      </c>
      <c r="N1023" t="s">
        <v>223</v>
      </c>
      <c r="O1023" s="145" t="s">
        <v>224</v>
      </c>
      <c r="Q1023" t="s">
        <v>257</v>
      </c>
      <c r="R1023" s="255" t="s">
        <v>226</v>
      </c>
      <c r="S1023" s="1" t="s">
        <v>455</v>
      </c>
      <c r="T1023" t="s">
        <v>448</v>
      </c>
      <c r="U1023" t="s">
        <v>456</v>
      </c>
      <c r="V1023">
        <v>0</v>
      </c>
      <c r="W1023">
        <v>0</v>
      </c>
      <c r="X1023">
        <v>0</v>
      </c>
      <c r="Y1023">
        <v>0</v>
      </c>
      <c r="Z1023">
        <v>0</v>
      </c>
      <c r="AA1023">
        <v>0</v>
      </c>
      <c r="AB1023">
        <v>0</v>
      </c>
      <c r="AC1023">
        <v>0</v>
      </c>
      <c r="AD1023">
        <v>0</v>
      </c>
      <c r="AE1023">
        <v>0</v>
      </c>
      <c r="AF1023">
        <v>0</v>
      </c>
      <c r="AG1023">
        <v>0</v>
      </c>
      <c r="AH1023">
        <v>0</v>
      </c>
      <c r="AI1023">
        <v>0</v>
      </c>
      <c r="AJ1023">
        <v>0</v>
      </c>
      <c r="AK1023">
        <v>1</v>
      </c>
      <c r="AL1023">
        <v>0</v>
      </c>
      <c r="AM1023">
        <v>0</v>
      </c>
      <c r="AN1023">
        <v>0</v>
      </c>
      <c r="AO1023">
        <v>0</v>
      </c>
      <c r="AP1023">
        <v>0</v>
      </c>
      <c r="AQ1023">
        <v>0</v>
      </c>
      <c r="AR1023">
        <v>0</v>
      </c>
      <c r="AS1023">
        <v>0</v>
      </c>
      <c r="AT1023">
        <v>0</v>
      </c>
      <c r="AU1023">
        <v>0</v>
      </c>
      <c r="AV1023">
        <v>0</v>
      </c>
      <c r="AW1023">
        <v>0</v>
      </c>
      <c r="AX1023" s="141">
        <f t="shared" si="266"/>
        <v>1</v>
      </c>
      <c r="AY1023" s="141">
        <f t="shared" si="235"/>
        <v>1</v>
      </c>
      <c r="AZ1023">
        <f t="shared" si="236"/>
        <v>0</v>
      </c>
      <c r="BA1023">
        <f t="shared" si="237"/>
        <v>0</v>
      </c>
      <c r="BB1023">
        <f t="shared" si="238"/>
        <v>1</v>
      </c>
      <c r="BC1023">
        <f t="shared" si="239"/>
        <v>0</v>
      </c>
      <c r="BD1023">
        <f t="shared" si="240"/>
        <v>0</v>
      </c>
      <c r="BE1023" t="str">
        <f t="array" ref="BE1023">IF(AY1023=1,INDEX($V$7:$AL$7,MATCH(TRUE,INDEX($V1023:$AW1023&lt;&gt;0,),0)),IF(AY1023=0,INDEX($AM$7:$AW$7,MATCH(1,$AM1023:$AW1023,0)),IF(BF1023="Multiple strategies","mixed drivers",IF(BF1023="Supply chain","multiple supply","multiple silviculture"))))</f>
        <v>technologies/design switch</v>
      </c>
      <c r="BF1023" s="2" t="str" cm="1">
        <f t="array" ref="BF1023">IF(COUNTIF(AZ1023:BB1023,"&lt;&gt;0")=1,INDEX($V$4:$AW$4,MATCH(TRUE,INDEX($V1023:$AW1023&lt;&gt;0,),0)),IF(COUNTIF(AZ1023:BB1023,"&lt;&gt;0")=0,INDEX($AM$4:$AW$4,MATCH(1,$AM1023:$AW1023,0)),"Multiple strategies"))</f>
        <v>Technology</v>
      </c>
      <c r="BG1023" s="142" t="s">
        <v>230</v>
      </c>
      <c r="BH1023" t="s">
        <v>442</v>
      </c>
      <c r="BI1023" s="266" t="s">
        <v>3276</v>
      </c>
      <c r="BJ1023" t="s">
        <v>443</v>
      </c>
      <c r="BK1023">
        <v>0</v>
      </c>
      <c r="BL1023">
        <v>44</v>
      </c>
      <c r="BM1023" s="143"/>
      <c r="BN1023">
        <f t="shared" si="222"/>
        <v>44</v>
      </c>
      <c r="BO1023">
        <f>BN1023*tC_to_m3</f>
        <v>191.05514546244029</v>
      </c>
      <c r="BP1023" t="s">
        <v>233</v>
      </c>
      <c r="BQ1023" s="260" t="s">
        <v>815</v>
      </c>
      <c r="BR1023" t="s">
        <v>444</v>
      </c>
      <c r="BS1023" s="141">
        <v>42</v>
      </c>
      <c r="BT1023" s="141">
        <v>64</v>
      </c>
      <c r="BU1023" s="144">
        <f t="shared" ref="BU1023:BU1032" si="270">IFERROR(BT1023/BS1023,"")</f>
        <v>1.5238095238095237</v>
      </c>
      <c r="BV1023">
        <f t="shared" si="269"/>
        <v>22</v>
      </c>
      <c r="BX1023">
        <f>BV1023*C_to_CO2</f>
        <v>80.739999999999995</v>
      </c>
      <c r="BY1023">
        <f t="shared" si="262"/>
        <v>0.42260049999999999</v>
      </c>
      <c r="BZ1023" s="143">
        <v>0</v>
      </c>
      <c r="CA1023" s="143">
        <v>0</v>
      </c>
      <c r="CB1023" s="143">
        <v>0</v>
      </c>
      <c r="CC1023" s="143">
        <v>0</v>
      </c>
      <c r="CD1023" s="143">
        <v>0</v>
      </c>
      <c r="CE1023" s="143">
        <v>0</v>
      </c>
      <c r="CF1023" s="143">
        <v>0</v>
      </c>
      <c r="CG1023" s="143">
        <v>0</v>
      </c>
      <c r="CH1023" s="143">
        <v>0</v>
      </c>
      <c r="CI1023" s="143">
        <v>0</v>
      </c>
      <c r="CJ1023" s="143">
        <v>0</v>
      </c>
      <c r="CK1023" s="143">
        <v>0</v>
      </c>
      <c r="CL1023" s="143">
        <v>0</v>
      </c>
      <c r="CM1023">
        <v>0</v>
      </c>
      <c r="CN1023" t="str">
        <f t="shared" si="254"/>
        <v>refOK</v>
      </c>
      <c r="CO1023">
        <f t="shared" si="263"/>
        <v>0</v>
      </c>
      <c r="CP1023">
        <f t="shared" si="264"/>
        <v>44</v>
      </c>
      <c r="CQ1023">
        <f t="shared" si="221"/>
        <v>191.05514546244029</v>
      </c>
      <c r="CR1023">
        <f t="shared" si="259"/>
        <v>42</v>
      </c>
      <c r="CS1023">
        <f t="shared" si="249"/>
        <v>64</v>
      </c>
      <c r="CT1023">
        <f t="shared" si="267"/>
        <v>80.739999999999995</v>
      </c>
      <c r="CU1023">
        <f t="shared" si="258"/>
        <v>0.42260049999999999</v>
      </c>
      <c r="CV1023" s="2">
        <f t="shared" si="268"/>
        <v>0.52380952380952384</v>
      </c>
      <c r="CW1023" s="1" t="s">
        <v>264</v>
      </c>
      <c r="CX1023" t="str">
        <f t="shared" si="242"/>
        <v>loc</v>
      </c>
      <c r="CY1023" t="s">
        <v>445</v>
      </c>
      <c r="DB1023">
        <v>100</v>
      </c>
      <c r="DC1023" t="str">
        <f t="shared" si="243"/>
        <v>71-100</v>
      </c>
      <c r="DD1023">
        <v>0</v>
      </c>
      <c r="DE1023">
        <v>0</v>
      </c>
      <c r="DF1023">
        <v>0</v>
      </c>
      <c r="DG1023">
        <v>1</v>
      </c>
      <c r="DI1023">
        <f t="shared" si="265"/>
        <v>1</v>
      </c>
      <c r="DJ1023" t="str">
        <f t="shared" si="257"/>
        <v>TimberInput</v>
      </c>
      <c r="DK1023">
        <f t="shared" si="223"/>
        <v>0</v>
      </c>
      <c r="DL1023">
        <f t="shared" si="224"/>
        <v>0</v>
      </c>
      <c r="DM1023">
        <f t="shared" si="225"/>
        <v>0</v>
      </c>
      <c r="DN1023" t="str">
        <f t="shared" si="226"/>
        <v>Timber</v>
      </c>
      <c r="DO1023">
        <v>1</v>
      </c>
      <c r="DP1023" s="143">
        <v>0</v>
      </c>
      <c r="DQ1023" s="143">
        <v>0</v>
      </c>
      <c r="DR1023" s="143">
        <v>0</v>
      </c>
      <c r="DS1023">
        <v>0</v>
      </c>
      <c r="DT1023">
        <f t="shared" si="260"/>
        <v>1</v>
      </c>
      <c r="DU1023" s="143" t="str">
        <f t="shared" si="245"/>
        <v>self-calculated DF</v>
      </c>
      <c r="DV1023">
        <v>0</v>
      </c>
      <c r="DW1023" s="143">
        <v>0</v>
      </c>
      <c r="DX1023" s="143">
        <v>1</v>
      </c>
      <c r="DY1023" s="143">
        <v>1</v>
      </c>
      <c r="DZ1023">
        <v>1</v>
      </c>
      <c r="EA1023" s="143">
        <v>1</v>
      </c>
      <c r="EB1023">
        <v>0</v>
      </c>
      <c r="EC1023" s="143">
        <v>1</v>
      </c>
      <c r="ED1023" s="143">
        <v>0</v>
      </c>
      <c r="EE1023">
        <v>0</v>
      </c>
      <c r="EF1023">
        <v>0</v>
      </c>
      <c r="EG1023" s="143">
        <v>0</v>
      </c>
      <c r="EH1023" s="143">
        <v>0</v>
      </c>
      <c r="EI1023" s="2">
        <v>0</v>
      </c>
      <c r="EK1023" t="str">
        <f t="shared" si="227"/>
        <v/>
      </c>
      <c r="EL1023" t="str">
        <f t="shared" si="228"/>
        <v/>
      </c>
      <c r="EM1023" s="2" t="str">
        <f t="shared" si="244"/>
        <v/>
      </c>
      <c r="EP1023" t="str">
        <f>IF(ISNUMBER(BU1023),IF(ABS(BU1023-[4]QC_indicators!$B$2)&gt;3*[4]QC_indicators!$C$2,"C ratio",IF(ISNUMBER(BY1023),IF(ABS(BY1023-[4]QC_indicators!$B$1)&gt;3*[4]QC_indicators!$C$1,"DF","no"))),IF(ISNUMBER(BY1023),IF(ABS(BY1023-[4]QC_indicators!$B$1)&gt;3*[4]QC_indicators!$C$1,"DF","no")))</f>
        <v>no</v>
      </c>
      <c r="ET1023" s="266" t="s">
        <v>3275</v>
      </c>
    </row>
    <row r="1024" spans="1:150" ht="15" hidden="1" customHeight="1">
      <c r="A1024" s="1" t="s">
        <v>431</v>
      </c>
      <c r="B1024" t="s">
        <v>432</v>
      </c>
      <c r="C1024" t="s">
        <v>433</v>
      </c>
      <c r="D1024" t="s">
        <v>434</v>
      </c>
      <c r="E1024" t="s">
        <v>435</v>
      </c>
      <c r="F1024" t="s">
        <v>436</v>
      </c>
      <c r="G1024" t="s">
        <v>437</v>
      </c>
      <c r="H1024" t="s">
        <v>255</v>
      </c>
      <c r="I1024">
        <v>2000</v>
      </c>
      <c r="J1024">
        <v>174</v>
      </c>
      <c r="K1024" t="s">
        <v>438</v>
      </c>
      <c r="M1024" t="str">
        <f t="shared" si="255"/>
        <v>Borjesson_2000</v>
      </c>
      <c r="N1024" t="s">
        <v>223</v>
      </c>
      <c r="O1024" s="145" t="s">
        <v>224</v>
      </c>
      <c r="Q1024" t="s">
        <v>257</v>
      </c>
      <c r="R1024" s="255" t="s">
        <v>226</v>
      </c>
      <c r="S1024" s="1" t="s">
        <v>455</v>
      </c>
      <c r="T1024" t="s">
        <v>450</v>
      </c>
      <c r="U1024" t="s">
        <v>456</v>
      </c>
      <c r="V1024">
        <v>0</v>
      </c>
      <c r="W1024">
        <v>0</v>
      </c>
      <c r="X1024">
        <v>0</v>
      </c>
      <c r="Y1024">
        <v>0</v>
      </c>
      <c r="Z1024">
        <v>0</v>
      </c>
      <c r="AA1024">
        <v>0</v>
      </c>
      <c r="AB1024">
        <v>0</v>
      </c>
      <c r="AC1024">
        <v>0</v>
      </c>
      <c r="AD1024">
        <v>0</v>
      </c>
      <c r="AE1024">
        <v>0</v>
      </c>
      <c r="AF1024">
        <v>0</v>
      </c>
      <c r="AG1024">
        <v>0</v>
      </c>
      <c r="AH1024">
        <v>0</v>
      </c>
      <c r="AI1024">
        <v>0</v>
      </c>
      <c r="AJ1024">
        <v>0</v>
      </c>
      <c r="AK1024">
        <v>1</v>
      </c>
      <c r="AL1024">
        <v>0</v>
      </c>
      <c r="AM1024">
        <v>0</v>
      </c>
      <c r="AN1024">
        <v>0</v>
      </c>
      <c r="AO1024">
        <v>0</v>
      </c>
      <c r="AP1024">
        <v>0</v>
      </c>
      <c r="AQ1024">
        <v>0</v>
      </c>
      <c r="AR1024">
        <v>0</v>
      </c>
      <c r="AS1024">
        <v>0</v>
      </c>
      <c r="AT1024">
        <v>0</v>
      </c>
      <c r="AU1024">
        <v>0</v>
      </c>
      <c r="AV1024">
        <v>0</v>
      </c>
      <c r="AW1024">
        <v>0</v>
      </c>
      <c r="AX1024" s="141">
        <f t="shared" si="266"/>
        <v>1</v>
      </c>
      <c r="AY1024" s="141">
        <f t="shared" si="235"/>
        <v>1</v>
      </c>
      <c r="AZ1024">
        <f t="shared" si="236"/>
        <v>0</v>
      </c>
      <c r="BA1024">
        <f t="shared" si="237"/>
        <v>0</v>
      </c>
      <c r="BB1024">
        <f t="shared" si="238"/>
        <v>1</v>
      </c>
      <c r="BC1024">
        <f t="shared" si="239"/>
        <v>0</v>
      </c>
      <c r="BD1024">
        <f t="shared" si="240"/>
        <v>0</v>
      </c>
      <c r="BE1024" t="str">
        <f t="array" ref="BE1024">IF(AY1024=1,INDEX($V$7:$AL$7,MATCH(TRUE,INDEX($V1024:$AW1024&lt;&gt;0,),0)),IF(AY1024=0,INDEX($AM$7:$AW$7,MATCH(1,$AM1024:$AW1024,0)),IF(BF1024="Multiple strategies","mixed drivers",IF(BF1024="Supply chain","multiple supply","multiple silviculture"))))</f>
        <v>technologies/design switch</v>
      </c>
      <c r="BF1024" s="2" t="str" cm="1">
        <f t="array" ref="BF1024">IF(COUNTIF(AZ1024:BB1024,"&lt;&gt;0")=1,INDEX($V$4:$AW$4,MATCH(TRUE,INDEX($V1024:$AW1024&lt;&gt;0,),0)),IF(COUNTIF(AZ1024:BB1024,"&lt;&gt;0")=0,INDEX($AM$4:$AW$4,MATCH(1,$AM1024:$AW1024,0)),"Multiple strategies"))</f>
        <v>Technology</v>
      </c>
      <c r="BG1024" s="142" t="s">
        <v>230</v>
      </c>
      <c r="BH1024" t="s">
        <v>442</v>
      </c>
      <c r="BI1024" s="266" t="s">
        <v>3276</v>
      </c>
      <c r="BJ1024" t="s">
        <v>443</v>
      </c>
      <c r="BK1024">
        <v>0</v>
      </c>
      <c r="BL1024">
        <v>44</v>
      </c>
      <c r="BM1024" s="143"/>
      <c r="BN1024">
        <f t="shared" si="222"/>
        <v>44</v>
      </c>
      <c r="BO1024">
        <f>BN1024*tC_to_m3</f>
        <v>191.05514546244029</v>
      </c>
      <c r="BP1024" t="s">
        <v>233</v>
      </c>
      <c r="BQ1024" s="260" t="s">
        <v>815</v>
      </c>
      <c r="BR1024" t="s">
        <v>444</v>
      </c>
      <c r="BS1024" s="141">
        <v>33</v>
      </c>
      <c r="BT1024" s="141">
        <v>64</v>
      </c>
      <c r="BU1024" s="144">
        <f t="shared" si="270"/>
        <v>1.9393939393939394</v>
      </c>
      <c r="BV1024">
        <f t="shared" si="269"/>
        <v>31</v>
      </c>
      <c r="BX1024">
        <f>BV1024*C_to_CO2</f>
        <v>113.77</v>
      </c>
      <c r="BY1024">
        <f t="shared" si="262"/>
        <v>0.59548252272727276</v>
      </c>
      <c r="BZ1024" s="143">
        <v>0</v>
      </c>
      <c r="CA1024" s="143">
        <v>0</v>
      </c>
      <c r="CB1024" s="143">
        <v>0</v>
      </c>
      <c r="CC1024" s="143">
        <v>0</v>
      </c>
      <c r="CD1024" s="143">
        <v>0</v>
      </c>
      <c r="CE1024" s="143">
        <v>0</v>
      </c>
      <c r="CF1024" s="143">
        <v>0</v>
      </c>
      <c r="CG1024" s="143">
        <v>0</v>
      </c>
      <c r="CH1024" s="143">
        <v>0</v>
      </c>
      <c r="CI1024" s="143">
        <v>0</v>
      </c>
      <c r="CJ1024" s="143">
        <v>0</v>
      </c>
      <c r="CK1024" s="143">
        <v>0</v>
      </c>
      <c r="CL1024" s="143">
        <v>0</v>
      </c>
      <c r="CM1024">
        <v>0</v>
      </c>
      <c r="CN1024" t="str">
        <f t="shared" si="254"/>
        <v>refOK</v>
      </c>
      <c r="CO1024">
        <f t="shared" si="263"/>
        <v>0</v>
      </c>
      <c r="CP1024">
        <f t="shared" si="264"/>
        <v>44</v>
      </c>
      <c r="CQ1024">
        <f t="shared" si="221"/>
        <v>191.05514546244029</v>
      </c>
      <c r="CR1024">
        <f t="shared" si="259"/>
        <v>33</v>
      </c>
      <c r="CS1024">
        <f t="shared" si="249"/>
        <v>64</v>
      </c>
      <c r="CT1024">
        <f t="shared" si="267"/>
        <v>113.77</v>
      </c>
      <c r="CU1024">
        <f t="shared" si="258"/>
        <v>0.59548252272727276</v>
      </c>
      <c r="CV1024" s="2">
        <f t="shared" si="268"/>
        <v>0.93939393939393945</v>
      </c>
      <c r="CW1024" s="1" t="s">
        <v>264</v>
      </c>
      <c r="CX1024" t="str">
        <f t="shared" si="242"/>
        <v>loc</v>
      </c>
      <c r="CY1024" t="s">
        <v>445</v>
      </c>
      <c r="DB1024">
        <v>100</v>
      </c>
      <c r="DC1024" t="str">
        <f t="shared" si="243"/>
        <v>71-100</v>
      </c>
      <c r="DD1024">
        <v>0</v>
      </c>
      <c r="DE1024">
        <v>0</v>
      </c>
      <c r="DF1024">
        <v>0</v>
      </c>
      <c r="DG1024">
        <v>1</v>
      </c>
      <c r="DI1024">
        <f t="shared" si="265"/>
        <v>1</v>
      </c>
      <c r="DJ1024" t="str">
        <f t="shared" si="257"/>
        <v>TimberInput</v>
      </c>
      <c r="DK1024">
        <f t="shared" si="223"/>
        <v>0</v>
      </c>
      <c r="DL1024">
        <f t="shared" si="224"/>
        <v>0</v>
      </c>
      <c r="DM1024">
        <f t="shared" si="225"/>
        <v>0</v>
      </c>
      <c r="DN1024" t="str">
        <f t="shared" si="226"/>
        <v>Timber</v>
      </c>
      <c r="DO1024">
        <v>1</v>
      </c>
      <c r="DP1024" s="143">
        <v>0</v>
      </c>
      <c r="DQ1024" s="143">
        <v>0</v>
      </c>
      <c r="DR1024" s="143">
        <v>0</v>
      </c>
      <c r="DS1024">
        <v>0</v>
      </c>
      <c r="DT1024">
        <f t="shared" si="260"/>
        <v>1</v>
      </c>
      <c r="DU1024" s="143" t="str">
        <f t="shared" si="245"/>
        <v>self-calculated DF</v>
      </c>
      <c r="DV1024">
        <v>0</v>
      </c>
      <c r="DW1024" s="143">
        <v>0</v>
      </c>
      <c r="DX1024" s="143">
        <v>1</v>
      </c>
      <c r="DY1024" s="143">
        <v>1</v>
      </c>
      <c r="DZ1024">
        <v>1</v>
      </c>
      <c r="EA1024" s="143">
        <v>1</v>
      </c>
      <c r="EB1024">
        <v>0</v>
      </c>
      <c r="EC1024" s="143">
        <v>1</v>
      </c>
      <c r="ED1024" s="143">
        <v>0</v>
      </c>
      <c r="EE1024">
        <v>0</v>
      </c>
      <c r="EF1024">
        <v>0</v>
      </c>
      <c r="EG1024" s="143">
        <v>0</v>
      </c>
      <c r="EH1024" s="143">
        <v>0</v>
      </c>
      <c r="EI1024" s="2">
        <v>0</v>
      </c>
      <c r="EK1024" t="str">
        <f t="shared" si="227"/>
        <v/>
      </c>
      <c r="EL1024" t="str">
        <f t="shared" si="228"/>
        <v/>
      </c>
      <c r="EM1024" s="2" t="str">
        <f t="shared" si="244"/>
        <v/>
      </c>
      <c r="EP1024" t="str">
        <f>IF(ISNUMBER(BU1024),IF(ABS(BU1024-[4]QC_indicators!$B$2)&gt;3*[4]QC_indicators!$C$2,"C ratio",IF(ISNUMBER(BY1024),IF(ABS(BY1024-[4]QC_indicators!$B$1)&gt;3*[4]QC_indicators!$C$1,"DF","no"))),IF(ISNUMBER(BY1024),IF(ABS(BY1024-[4]QC_indicators!$B$1)&gt;3*[4]QC_indicators!$C$1,"DF","no")))</f>
        <v>no</v>
      </c>
      <c r="ET1024" s="266" t="s">
        <v>3275</v>
      </c>
    </row>
    <row r="1025" spans="1:150" ht="15" hidden="1" customHeight="1">
      <c r="A1025" s="1" t="s">
        <v>431</v>
      </c>
      <c r="B1025" t="s">
        <v>432</v>
      </c>
      <c r="C1025" t="s">
        <v>433</v>
      </c>
      <c r="D1025" t="s">
        <v>434</v>
      </c>
      <c r="E1025" t="s">
        <v>435</v>
      </c>
      <c r="F1025" t="s">
        <v>436</v>
      </c>
      <c r="G1025" t="s">
        <v>437</v>
      </c>
      <c r="H1025" t="s">
        <v>255</v>
      </c>
      <c r="I1025">
        <v>2000</v>
      </c>
      <c r="J1025">
        <v>174</v>
      </c>
      <c r="K1025" t="s">
        <v>438</v>
      </c>
      <c r="M1025" t="str">
        <f t="shared" si="255"/>
        <v>Borjesson_2000</v>
      </c>
      <c r="N1025" t="s">
        <v>223</v>
      </c>
      <c r="O1025" s="145" t="s">
        <v>224</v>
      </c>
      <c r="Q1025" t="s">
        <v>257</v>
      </c>
      <c r="R1025" s="255" t="s">
        <v>226</v>
      </c>
      <c r="S1025" s="1" t="s">
        <v>455</v>
      </c>
      <c r="T1025" t="s">
        <v>452</v>
      </c>
      <c r="U1025" t="s">
        <v>456</v>
      </c>
      <c r="V1025">
        <v>0</v>
      </c>
      <c r="W1025">
        <v>0</v>
      </c>
      <c r="X1025">
        <v>0</v>
      </c>
      <c r="Y1025">
        <v>0</v>
      </c>
      <c r="Z1025">
        <v>0</v>
      </c>
      <c r="AA1025">
        <v>0</v>
      </c>
      <c r="AB1025">
        <v>0</v>
      </c>
      <c r="AC1025">
        <v>0</v>
      </c>
      <c r="AD1025">
        <v>0</v>
      </c>
      <c r="AE1025">
        <v>0</v>
      </c>
      <c r="AF1025">
        <v>0</v>
      </c>
      <c r="AG1025">
        <v>0</v>
      </c>
      <c r="AH1025">
        <v>0</v>
      </c>
      <c r="AI1025">
        <v>0</v>
      </c>
      <c r="AJ1025">
        <v>0</v>
      </c>
      <c r="AK1025">
        <v>1</v>
      </c>
      <c r="AL1025">
        <v>0</v>
      </c>
      <c r="AM1025">
        <v>0</v>
      </c>
      <c r="AN1025">
        <v>0</v>
      </c>
      <c r="AO1025">
        <v>0</v>
      </c>
      <c r="AP1025">
        <v>0</v>
      </c>
      <c r="AQ1025">
        <v>0</v>
      </c>
      <c r="AR1025">
        <v>0</v>
      </c>
      <c r="AS1025">
        <v>0</v>
      </c>
      <c r="AT1025">
        <v>0</v>
      </c>
      <c r="AU1025">
        <v>0</v>
      </c>
      <c r="AV1025">
        <v>0</v>
      </c>
      <c r="AW1025">
        <v>0</v>
      </c>
      <c r="AX1025" s="141">
        <f t="shared" si="266"/>
        <v>1</v>
      </c>
      <c r="AY1025" s="141">
        <f t="shared" si="235"/>
        <v>1</v>
      </c>
      <c r="AZ1025">
        <f t="shared" si="236"/>
        <v>0</v>
      </c>
      <c r="BA1025">
        <f t="shared" si="237"/>
        <v>0</v>
      </c>
      <c r="BB1025">
        <f t="shared" si="238"/>
        <v>1</v>
      </c>
      <c r="BC1025">
        <f t="shared" si="239"/>
        <v>0</v>
      </c>
      <c r="BD1025">
        <f t="shared" si="240"/>
        <v>0</v>
      </c>
      <c r="BE1025" t="str">
        <f t="array" ref="BE1025">IF(AY1025=1,INDEX($V$7:$AL$7,MATCH(TRUE,INDEX($V1025:$AW1025&lt;&gt;0,),0)),IF(AY1025=0,INDEX($AM$7:$AW$7,MATCH(1,$AM1025:$AW1025,0)),IF(BF1025="Multiple strategies","mixed drivers",IF(BF1025="Supply chain","multiple supply","multiple silviculture"))))</f>
        <v>technologies/design switch</v>
      </c>
      <c r="BF1025" s="2" t="str" cm="1">
        <f t="array" ref="BF1025">IF(COUNTIF(AZ1025:BB1025,"&lt;&gt;0")=1,INDEX($V$4:$AW$4,MATCH(TRUE,INDEX($V1025:$AW1025&lt;&gt;0,),0)),IF(COUNTIF(AZ1025:BB1025,"&lt;&gt;0")=0,INDEX($AM$4:$AW$4,MATCH(1,$AM1025:$AW1025,0)),"Multiple strategies"))</f>
        <v>Technology</v>
      </c>
      <c r="BG1025" s="142" t="s">
        <v>230</v>
      </c>
      <c r="BH1025" t="s">
        <v>442</v>
      </c>
      <c r="BI1025" s="266" t="s">
        <v>3276</v>
      </c>
      <c r="BJ1025" t="s">
        <v>443</v>
      </c>
      <c r="BK1025">
        <v>0</v>
      </c>
      <c r="BL1025">
        <v>44</v>
      </c>
      <c r="BM1025" s="143"/>
      <c r="BN1025">
        <f t="shared" si="222"/>
        <v>44</v>
      </c>
      <c r="BO1025">
        <f>BN1025*tC_to_m3</f>
        <v>191.05514546244029</v>
      </c>
      <c r="BP1025" t="s">
        <v>233</v>
      </c>
      <c r="BQ1025" s="260" t="s">
        <v>815</v>
      </c>
      <c r="BR1025" t="s">
        <v>444</v>
      </c>
      <c r="BS1025" s="141">
        <v>25</v>
      </c>
      <c r="BT1025" s="141">
        <v>64</v>
      </c>
      <c r="BU1025" s="144">
        <f t="shared" si="270"/>
        <v>2.56</v>
      </c>
      <c r="BV1025">
        <f t="shared" si="269"/>
        <v>39</v>
      </c>
      <c r="BX1025">
        <f>BV1025*C_to_CO2</f>
        <v>143.13</v>
      </c>
      <c r="BY1025">
        <f t="shared" si="262"/>
        <v>0.74915543181818178</v>
      </c>
      <c r="BZ1025" s="143">
        <v>0</v>
      </c>
      <c r="CA1025" s="143">
        <v>0</v>
      </c>
      <c r="CB1025" s="143">
        <v>0</v>
      </c>
      <c r="CC1025" s="143">
        <v>0</v>
      </c>
      <c r="CD1025" s="143">
        <v>0</v>
      </c>
      <c r="CE1025" s="143">
        <v>0</v>
      </c>
      <c r="CF1025" s="143">
        <v>0</v>
      </c>
      <c r="CG1025" s="143">
        <v>0</v>
      </c>
      <c r="CH1025" s="143">
        <v>0</v>
      </c>
      <c r="CI1025" s="143">
        <v>0</v>
      </c>
      <c r="CJ1025" s="143">
        <v>0</v>
      </c>
      <c r="CK1025" s="143">
        <v>0</v>
      </c>
      <c r="CL1025" s="143">
        <v>0</v>
      </c>
      <c r="CM1025">
        <v>0</v>
      </c>
      <c r="CN1025" t="str">
        <f t="shared" si="254"/>
        <v>refOK</v>
      </c>
      <c r="CO1025">
        <f t="shared" si="263"/>
        <v>0</v>
      </c>
      <c r="CP1025">
        <f t="shared" si="264"/>
        <v>44</v>
      </c>
      <c r="CQ1025">
        <f t="shared" si="221"/>
        <v>191.05514546244029</v>
      </c>
      <c r="CR1025">
        <f t="shared" si="259"/>
        <v>25</v>
      </c>
      <c r="CS1025">
        <f t="shared" si="249"/>
        <v>64</v>
      </c>
      <c r="CT1025">
        <f t="shared" si="267"/>
        <v>143.13</v>
      </c>
      <c r="CU1025">
        <f t="shared" si="258"/>
        <v>0.74915543181818178</v>
      </c>
      <c r="CV1025" s="2">
        <f t="shared" si="268"/>
        <v>1.56</v>
      </c>
      <c r="CW1025" s="1" t="s">
        <v>264</v>
      </c>
      <c r="CX1025" t="str">
        <f t="shared" si="242"/>
        <v>loc</v>
      </c>
      <c r="CY1025" t="s">
        <v>445</v>
      </c>
      <c r="DB1025">
        <v>100</v>
      </c>
      <c r="DC1025" t="str">
        <f t="shared" si="243"/>
        <v>71-100</v>
      </c>
      <c r="DD1025">
        <v>0</v>
      </c>
      <c r="DE1025">
        <v>0</v>
      </c>
      <c r="DF1025">
        <v>0</v>
      </c>
      <c r="DG1025">
        <v>1</v>
      </c>
      <c r="DI1025">
        <f t="shared" si="265"/>
        <v>1</v>
      </c>
      <c r="DJ1025" t="str">
        <f t="shared" si="257"/>
        <v>TimberInput</v>
      </c>
      <c r="DK1025">
        <f t="shared" si="223"/>
        <v>0</v>
      </c>
      <c r="DL1025">
        <f t="shared" si="224"/>
        <v>0</v>
      </c>
      <c r="DM1025">
        <f t="shared" si="225"/>
        <v>0</v>
      </c>
      <c r="DN1025" t="str">
        <f t="shared" si="226"/>
        <v>Timber</v>
      </c>
      <c r="DO1025">
        <v>1</v>
      </c>
      <c r="DP1025" s="143">
        <v>0</v>
      </c>
      <c r="DQ1025" s="143">
        <v>0</v>
      </c>
      <c r="DR1025" s="143">
        <v>0</v>
      </c>
      <c r="DS1025">
        <v>0</v>
      </c>
      <c r="DT1025">
        <f t="shared" si="260"/>
        <v>1</v>
      </c>
      <c r="DU1025" s="143" t="str">
        <f t="shared" si="245"/>
        <v>self-calculated DF</v>
      </c>
      <c r="DV1025">
        <v>0</v>
      </c>
      <c r="DW1025" s="143">
        <v>0</v>
      </c>
      <c r="DX1025" s="143">
        <v>1</v>
      </c>
      <c r="DY1025" s="143">
        <v>1</v>
      </c>
      <c r="DZ1025">
        <v>1</v>
      </c>
      <c r="EA1025" s="143">
        <v>1</v>
      </c>
      <c r="EB1025">
        <v>0</v>
      </c>
      <c r="EC1025" s="143">
        <v>1</v>
      </c>
      <c r="ED1025" s="143">
        <v>0</v>
      </c>
      <c r="EE1025">
        <v>0</v>
      </c>
      <c r="EF1025">
        <v>0</v>
      </c>
      <c r="EG1025" s="143">
        <v>0</v>
      </c>
      <c r="EH1025" s="143">
        <v>0</v>
      </c>
      <c r="EI1025" s="2">
        <v>0</v>
      </c>
      <c r="EK1025" t="str">
        <f t="shared" si="227"/>
        <v/>
      </c>
      <c r="EL1025" t="str">
        <f t="shared" si="228"/>
        <v/>
      </c>
      <c r="EM1025" s="2" t="str">
        <f t="shared" si="244"/>
        <v/>
      </c>
      <c r="EP1025" t="str">
        <f>IF(ISNUMBER(BU1025),IF(ABS(BU1025-[4]QC_indicators!$B$2)&gt;3*[4]QC_indicators!$C$2,"C ratio",IF(ISNUMBER(BY1025),IF(ABS(BY1025-[4]QC_indicators!$B$1)&gt;3*[4]QC_indicators!$C$1,"DF","no"))),IF(ISNUMBER(BY1025),IF(ABS(BY1025-[4]QC_indicators!$B$1)&gt;3*[4]QC_indicators!$C$1,"DF","no")))</f>
        <v>no</v>
      </c>
      <c r="ET1025" s="266" t="s">
        <v>3275</v>
      </c>
    </row>
    <row r="1026" spans="1:150" ht="15" hidden="1" customHeight="1">
      <c r="A1026" s="1" t="s">
        <v>431</v>
      </c>
      <c r="B1026" t="s">
        <v>432</v>
      </c>
      <c r="C1026" t="s">
        <v>433</v>
      </c>
      <c r="D1026" t="s">
        <v>434</v>
      </c>
      <c r="E1026" t="s">
        <v>435</v>
      </c>
      <c r="F1026" t="s">
        <v>436</v>
      </c>
      <c r="G1026" t="s">
        <v>437</v>
      </c>
      <c r="H1026" t="s">
        <v>255</v>
      </c>
      <c r="I1026">
        <v>2000</v>
      </c>
      <c r="J1026">
        <v>174</v>
      </c>
      <c r="K1026" t="s">
        <v>438</v>
      </c>
      <c r="M1026" t="str">
        <f t="shared" si="255"/>
        <v>Borjesson_2000</v>
      </c>
      <c r="N1026" t="s">
        <v>223</v>
      </c>
      <c r="O1026" s="145" t="s">
        <v>224</v>
      </c>
      <c r="Q1026" t="s">
        <v>257</v>
      </c>
      <c r="R1026" s="255" t="s">
        <v>226</v>
      </c>
      <c r="S1026" s="1" t="s">
        <v>455</v>
      </c>
      <c r="T1026" t="s">
        <v>458</v>
      </c>
      <c r="U1026" t="s">
        <v>456</v>
      </c>
      <c r="V1026">
        <v>0</v>
      </c>
      <c r="W1026">
        <v>0</v>
      </c>
      <c r="X1026">
        <v>0</v>
      </c>
      <c r="Y1026">
        <v>0</v>
      </c>
      <c r="Z1026">
        <v>0</v>
      </c>
      <c r="AA1026">
        <v>0</v>
      </c>
      <c r="AB1026">
        <v>0</v>
      </c>
      <c r="AC1026">
        <v>0</v>
      </c>
      <c r="AD1026">
        <v>0</v>
      </c>
      <c r="AE1026">
        <v>0</v>
      </c>
      <c r="AF1026">
        <v>0</v>
      </c>
      <c r="AG1026">
        <v>0</v>
      </c>
      <c r="AH1026">
        <v>0</v>
      </c>
      <c r="AI1026">
        <v>0</v>
      </c>
      <c r="AJ1026">
        <v>0</v>
      </c>
      <c r="AK1026">
        <v>1</v>
      </c>
      <c r="AL1026">
        <v>0</v>
      </c>
      <c r="AM1026">
        <v>0</v>
      </c>
      <c r="AN1026">
        <v>0</v>
      </c>
      <c r="AO1026">
        <v>0</v>
      </c>
      <c r="AP1026">
        <v>0</v>
      </c>
      <c r="AQ1026">
        <v>0</v>
      </c>
      <c r="AR1026">
        <v>0</v>
      </c>
      <c r="AS1026">
        <v>0</v>
      </c>
      <c r="AT1026">
        <v>0</v>
      </c>
      <c r="AU1026">
        <v>0</v>
      </c>
      <c r="AV1026">
        <v>0</v>
      </c>
      <c r="AW1026">
        <v>0</v>
      </c>
      <c r="AX1026" s="141">
        <f t="shared" si="266"/>
        <v>1</v>
      </c>
      <c r="AY1026" s="141">
        <f t="shared" si="235"/>
        <v>1</v>
      </c>
      <c r="AZ1026">
        <f t="shared" si="236"/>
        <v>0</v>
      </c>
      <c r="BA1026">
        <f t="shared" si="237"/>
        <v>0</v>
      </c>
      <c r="BB1026">
        <f t="shared" si="238"/>
        <v>1</v>
      </c>
      <c r="BC1026">
        <f t="shared" si="239"/>
        <v>0</v>
      </c>
      <c r="BD1026">
        <f t="shared" si="240"/>
        <v>0</v>
      </c>
      <c r="BE1026" t="str">
        <f t="array" ref="BE1026">IF(AY1026=1,INDEX($V$7:$AL$7,MATCH(TRUE,INDEX($V1026:$AW1026&lt;&gt;0,),0)),IF(AY1026=0,INDEX($AM$7:$AW$7,MATCH(1,$AM1026:$AW1026,0)),IF(BF1026="Multiple strategies","mixed drivers",IF(BF1026="Supply chain","multiple supply","multiple silviculture"))))</f>
        <v>technologies/design switch</v>
      </c>
      <c r="BF1026" s="2" t="str" cm="1">
        <f t="array" ref="BF1026">IF(COUNTIF(AZ1026:BB1026,"&lt;&gt;0")=1,INDEX($V$4:$AW$4,MATCH(TRUE,INDEX($V1026:$AW1026&lt;&gt;0,),0)),IF(COUNTIF(AZ1026:BB1026,"&lt;&gt;0")=0,INDEX($AM$4:$AW$4,MATCH(1,$AM1026:$AW1026,0)),"Multiple strategies"))</f>
        <v>Technology</v>
      </c>
      <c r="BG1026" s="142" t="s">
        <v>230</v>
      </c>
      <c r="BH1026" t="s">
        <v>442</v>
      </c>
      <c r="BI1026" s="266" t="s">
        <v>3276</v>
      </c>
      <c r="BJ1026" t="s">
        <v>443</v>
      </c>
      <c r="BK1026">
        <v>0</v>
      </c>
      <c r="BL1026">
        <v>44</v>
      </c>
      <c r="BM1026" s="143"/>
      <c r="BN1026">
        <f t="shared" si="222"/>
        <v>44</v>
      </c>
      <c r="BO1026">
        <f>BN1026*tC_to_m3</f>
        <v>191.05514546244029</v>
      </c>
      <c r="BP1026" t="s">
        <v>233</v>
      </c>
      <c r="BQ1026" s="260" t="s">
        <v>815</v>
      </c>
      <c r="BR1026" t="s">
        <v>444</v>
      </c>
      <c r="BS1026" s="141">
        <v>18</v>
      </c>
      <c r="BT1026" s="141">
        <v>64</v>
      </c>
      <c r="BU1026" s="144">
        <f t="shared" si="270"/>
        <v>3.5555555555555554</v>
      </c>
      <c r="BV1026">
        <f t="shared" si="269"/>
        <v>46</v>
      </c>
      <c r="BX1026">
        <f>BV1026*C_to_CO2</f>
        <v>168.82</v>
      </c>
      <c r="BY1026">
        <f t="shared" si="262"/>
        <v>0.88361922727272724</v>
      </c>
      <c r="BZ1026" s="143">
        <v>0</v>
      </c>
      <c r="CA1026" s="143">
        <v>0</v>
      </c>
      <c r="CB1026" s="143">
        <v>0</v>
      </c>
      <c r="CC1026" s="143">
        <v>0</v>
      </c>
      <c r="CD1026" s="143">
        <v>0</v>
      </c>
      <c r="CE1026" s="143">
        <v>0</v>
      </c>
      <c r="CF1026" s="143">
        <v>0</v>
      </c>
      <c r="CG1026" s="143">
        <v>0</v>
      </c>
      <c r="CH1026" s="143">
        <v>0</v>
      </c>
      <c r="CI1026" s="143">
        <v>0</v>
      </c>
      <c r="CJ1026" s="143">
        <v>0</v>
      </c>
      <c r="CK1026" s="143">
        <v>0</v>
      </c>
      <c r="CL1026" s="143">
        <v>0</v>
      </c>
      <c r="CM1026">
        <v>0</v>
      </c>
      <c r="CN1026" t="str">
        <f t="shared" si="254"/>
        <v>refOK</v>
      </c>
      <c r="CO1026">
        <f t="shared" si="263"/>
        <v>0</v>
      </c>
      <c r="CP1026">
        <f t="shared" si="264"/>
        <v>44</v>
      </c>
      <c r="CQ1026">
        <f t="shared" si="221"/>
        <v>191.05514546244029</v>
      </c>
      <c r="CR1026">
        <f t="shared" si="259"/>
        <v>18</v>
      </c>
      <c r="CS1026">
        <f t="shared" si="249"/>
        <v>64</v>
      </c>
      <c r="CT1026">
        <f t="shared" si="267"/>
        <v>168.82</v>
      </c>
      <c r="CU1026">
        <f t="shared" si="258"/>
        <v>0.88361922727272724</v>
      </c>
      <c r="CV1026" s="2">
        <f t="shared" si="268"/>
        <v>2.5555555555555554</v>
      </c>
      <c r="CW1026" s="1" t="s">
        <v>264</v>
      </c>
      <c r="CX1026" t="str">
        <f t="shared" si="242"/>
        <v>loc</v>
      </c>
      <c r="CY1026" t="s">
        <v>445</v>
      </c>
      <c r="DB1026">
        <v>100</v>
      </c>
      <c r="DC1026" t="str">
        <f t="shared" si="243"/>
        <v>71-100</v>
      </c>
      <c r="DD1026">
        <v>0</v>
      </c>
      <c r="DE1026">
        <v>0</v>
      </c>
      <c r="DF1026">
        <v>0</v>
      </c>
      <c r="DG1026">
        <v>1</v>
      </c>
      <c r="DI1026">
        <f t="shared" si="265"/>
        <v>1</v>
      </c>
      <c r="DJ1026" t="str">
        <f t="shared" si="257"/>
        <v>TimberInput</v>
      </c>
      <c r="DK1026">
        <f t="shared" si="223"/>
        <v>0</v>
      </c>
      <c r="DL1026">
        <f t="shared" si="224"/>
        <v>0</v>
      </c>
      <c r="DM1026">
        <f t="shared" si="225"/>
        <v>0</v>
      </c>
      <c r="DN1026" t="str">
        <f t="shared" si="226"/>
        <v>Timber</v>
      </c>
      <c r="DO1026">
        <v>1</v>
      </c>
      <c r="DP1026" s="143">
        <v>0</v>
      </c>
      <c r="DQ1026" s="143">
        <v>0</v>
      </c>
      <c r="DR1026" s="143">
        <v>0</v>
      </c>
      <c r="DS1026">
        <v>0</v>
      </c>
      <c r="DT1026">
        <f t="shared" si="260"/>
        <v>1</v>
      </c>
      <c r="DU1026" s="143" t="str">
        <f t="shared" si="245"/>
        <v>self-calculated DF</v>
      </c>
      <c r="DV1026">
        <v>0</v>
      </c>
      <c r="DW1026" s="143">
        <v>0</v>
      </c>
      <c r="DX1026" s="143">
        <v>1</v>
      </c>
      <c r="DY1026" s="143">
        <v>1</v>
      </c>
      <c r="DZ1026">
        <v>1</v>
      </c>
      <c r="EA1026" s="143">
        <v>1</v>
      </c>
      <c r="EB1026">
        <v>0</v>
      </c>
      <c r="EC1026" s="143">
        <v>1</v>
      </c>
      <c r="ED1026" s="143">
        <v>0</v>
      </c>
      <c r="EE1026">
        <v>0</v>
      </c>
      <c r="EF1026">
        <v>0</v>
      </c>
      <c r="EG1026" s="143">
        <v>0</v>
      </c>
      <c r="EH1026" s="143">
        <v>0</v>
      </c>
      <c r="EI1026" s="2">
        <v>0</v>
      </c>
      <c r="EK1026" t="str">
        <f t="shared" si="227"/>
        <v/>
      </c>
      <c r="EL1026" t="str">
        <f t="shared" si="228"/>
        <v/>
      </c>
      <c r="EM1026" s="2" t="str">
        <f t="shared" si="244"/>
        <v/>
      </c>
      <c r="EP1026" t="str">
        <f>IF(ISNUMBER(BU1026),IF(ABS(BU1026-[4]QC_indicators!$B$2)&gt;3*[4]QC_indicators!$C$2,"C ratio",IF(ISNUMBER(BY1026),IF(ABS(BY1026-[4]QC_indicators!$B$1)&gt;3*[4]QC_indicators!$C$1,"DF","no"))),IF(ISNUMBER(BY1026),IF(ABS(BY1026-[4]QC_indicators!$B$1)&gt;3*[4]QC_indicators!$C$1,"DF","no")))</f>
        <v>no</v>
      </c>
      <c r="ET1026" s="266" t="s">
        <v>3275</v>
      </c>
    </row>
    <row r="1027" spans="1:150" ht="15" hidden="1" customHeight="1">
      <c r="A1027" s="1" t="s">
        <v>334</v>
      </c>
      <c r="B1027" t="s">
        <v>721</v>
      </c>
      <c r="C1027" t="s">
        <v>722</v>
      </c>
      <c r="D1027" t="s">
        <v>723</v>
      </c>
      <c r="E1027" t="s">
        <v>724</v>
      </c>
      <c r="F1027" t="s">
        <v>725</v>
      </c>
      <c r="G1027" t="s">
        <v>340</v>
      </c>
      <c r="H1027" t="s">
        <v>255</v>
      </c>
      <c r="I1027">
        <v>2015</v>
      </c>
      <c r="J1027">
        <v>86</v>
      </c>
      <c r="K1027" t="s">
        <v>726</v>
      </c>
      <c r="M1027" t="str">
        <f t="shared" si="255"/>
        <v>Fouquet_2015</v>
      </c>
      <c r="N1027" t="s">
        <v>223</v>
      </c>
      <c r="O1027" s="145" t="s">
        <v>275</v>
      </c>
      <c r="Q1027" t="s">
        <v>257</v>
      </c>
      <c r="R1027" s="255" t="s">
        <v>226</v>
      </c>
      <c r="S1027" s="1" t="s">
        <v>732</v>
      </c>
      <c r="T1027" s="266" t="s">
        <v>3331</v>
      </c>
      <c r="U1027" s="266" t="s">
        <v>3332</v>
      </c>
      <c r="V1027">
        <v>0</v>
      </c>
      <c r="W1027">
        <v>0</v>
      </c>
      <c r="X1027">
        <v>0</v>
      </c>
      <c r="Y1027">
        <v>0</v>
      </c>
      <c r="Z1027">
        <v>0</v>
      </c>
      <c r="AA1027">
        <v>0</v>
      </c>
      <c r="AB1027">
        <v>0</v>
      </c>
      <c r="AC1027">
        <v>0</v>
      </c>
      <c r="AD1027">
        <v>0</v>
      </c>
      <c r="AE1027">
        <v>0</v>
      </c>
      <c r="AF1027">
        <v>0</v>
      </c>
      <c r="AG1027">
        <v>0</v>
      </c>
      <c r="AH1027">
        <v>0</v>
      </c>
      <c r="AI1027">
        <v>0</v>
      </c>
      <c r="AJ1027">
        <v>0</v>
      </c>
      <c r="AK1027">
        <v>1</v>
      </c>
      <c r="AL1027">
        <v>0</v>
      </c>
      <c r="AM1027">
        <v>0</v>
      </c>
      <c r="AN1027">
        <v>0</v>
      </c>
      <c r="AO1027">
        <v>0</v>
      </c>
      <c r="AP1027">
        <v>0</v>
      </c>
      <c r="AQ1027">
        <v>0</v>
      </c>
      <c r="AR1027">
        <v>0</v>
      </c>
      <c r="AS1027">
        <v>0</v>
      </c>
      <c r="AT1027">
        <v>0</v>
      </c>
      <c r="AU1027">
        <v>0</v>
      </c>
      <c r="AV1027">
        <v>0</v>
      </c>
      <c r="AW1027">
        <v>0</v>
      </c>
      <c r="AX1027" s="141">
        <f t="shared" si="266"/>
        <v>1</v>
      </c>
      <c r="AY1027" s="141">
        <f t="shared" si="235"/>
        <v>1</v>
      </c>
      <c r="AZ1027">
        <f t="shared" si="236"/>
        <v>0</v>
      </c>
      <c r="BA1027">
        <f t="shared" si="237"/>
        <v>0</v>
      </c>
      <c r="BB1027">
        <f t="shared" si="238"/>
        <v>1</v>
      </c>
      <c r="BC1027">
        <f t="shared" si="239"/>
        <v>0</v>
      </c>
      <c r="BD1027">
        <f t="shared" si="240"/>
        <v>0</v>
      </c>
      <c r="BE1027" t="str">
        <f t="array" ref="BE1027">IF(AY1027=1,INDEX($V$7:$AL$7,MATCH(TRUE,INDEX($V1027:$AW1027&lt;&gt;0,),0)),IF(AY1027=0,INDEX($AM$7:$AW$7,MATCH(1,$AM1027:$AW1027,0)),IF(BF1027="Multiple strategies","mixed drivers",IF(BF1027="Supply chain","multiple supply","multiple silviculture"))))</f>
        <v>technologies/design switch</v>
      </c>
      <c r="BF1027" s="2" t="str" cm="1">
        <f t="array" ref="BF1027">IF(COUNTIF(AZ1027:BB1027,"&lt;&gt;0")=1,INDEX($V$4:$AW$4,MATCH(TRUE,INDEX($V1027:$AW1027&lt;&gt;0,),0)),IF(COUNTIF(AZ1027:BB1027,"&lt;&gt;0")=0,INDEX($AM$4:$AW$4,MATCH(1,$AM1027:$AW1027,0)),"Multiple strategies"))</f>
        <v>Technology</v>
      </c>
      <c r="BG1027" s="1" t="s">
        <v>230</v>
      </c>
      <c r="BH1027" t="s">
        <v>729</v>
      </c>
      <c r="BI1027" s="260" t="s">
        <v>3328</v>
      </c>
      <c r="BJ1027" s="260" t="s">
        <v>346</v>
      </c>
      <c r="BK1027" s="260">
        <v>477</v>
      </c>
      <c r="BL1027" s="260">
        <f xml:space="preserve"> 5341+3892+7551+1439+923+477</f>
        <v>19623</v>
      </c>
      <c r="BN1027">
        <f t="shared" si="222"/>
        <v>19146</v>
      </c>
      <c r="BO1027" s="260">
        <f>BN1027/1000*tC_to_m3</f>
        <v>83.135041250542784</v>
      </c>
      <c r="BP1027" s="260" t="s">
        <v>396</v>
      </c>
      <c r="BQ1027" s="260" t="s">
        <v>3329</v>
      </c>
      <c r="BR1027" t="s">
        <v>398</v>
      </c>
      <c r="BS1027" s="260">
        <v>176247</v>
      </c>
      <c r="BT1027" s="260">
        <f>7475</f>
        <v>7475</v>
      </c>
      <c r="BU1027" s="144">
        <f t="shared" si="270"/>
        <v>4.2412069425295185E-2</v>
      </c>
      <c r="BV1027">
        <f t="shared" si="269"/>
        <v>-168772</v>
      </c>
      <c r="BX1027">
        <f t="shared" ref="BX1027:BX1044" si="271">BV1027/1000</f>
        <v>-168.77199999999999</v>
      </c>
      <c r="BY1027">
        <f t="shared" si="262"/>
        <v>-2.0300946202862211</v>
      </c>
      <c r="BZ1027">
        <v>0</v>
      </c>
      <c r="CA1027">
        <v>0</v>
      </c>
      <c r="CB1027">
        <v>0</v>
      </c>
      <c r="CC1027">
        <v>0</v>
      </c>
      <c r="CD1027">
        <v>0</v>
      </c>
      <c r="CE1027">
        <v>0</v>
      </c>
      <c r="CF1027">
        <v>0</v>
      </c>
      <c r="CG1027">
        <v>0</v>
      </c>
      <c r="CH1027">
        <v>0</v>
      </c>
      <c r="CI1027">
        <v>0</v>
      </c>
      <c r="CJ1027">
        <v>0</v>
      </c>
      <c r="CK1027">
        <v>0</v>
      </c>
      <c r="CL1027">
        <v>0</v>
      </c>
      <c r="CM1027">
        <v>0</v>
      </c>
      <c r="CN1027" t="str">
        <f t="shared" si="254"/>
        <v>refOK</v>
      </c>
      <c r="CO1027">
        <f t="shared" ref="CO1027:CO1032" si="272">IF($CN1027="refNeedCorrection",BL1027,BK1027)</f>
        <v>477</v>
      </c>
      <c r="CP1027">
        <f t="shared" ref="CP1027:CP1032" si="273">IF($CN1027="refNeedCorrection",BK1027,BL1027)</f>
        <v>19623</v>
      </c>
      <c r="CQ1027">
        <f t="shared" si="221"/>
        <v>83.135041250542784</v>
      </c>
      <c r="CR1027">
        <f t="shared" si="259"/>
        <v>-176247</v>
      </c>
      <c r="CS1027">
        <f t="shared" si="249"/>
        <v>-7475</v>
      </c>
      <c r="CT1027">
        <f t="shared" si="267"/>
        <v>168.77199999999999</v>
      </c>
      <c r="CU1027">
        <f t="shared" si="258"/>
        <v>2.0300946202862211</v>
      </c>
      <c r="CV1027" s="2">
        <f t="shared" si="268"/>
        <v>0.95758793057470482</v>
      </c>
      <c r="CW1027" s="1" t="s">
        <v>264</v>
      </c>
      <c r="CX1027" t="str">
        <f t="shared" si="242"/>
        <v>loc</v>
      </c>
      <c r="CY1027" t="s">
        <v>731</v>
      </c>
      <c r="DB1027">
        <v>100</v>
      </c>
      <c r="DC1027" t="str">
        <f t="shared" si="243"/>
        <v>71-100</v>
      </c>
      <c r="DD1027">
        <v>0</v>
      </c>
      <c r="DE1027">
        <v>0</v>
      </c>
      <c r="DF1027">
        <v>0</v>
      </c>
      <c r="DG1027">
        <v>1</v>
      </c>
      <c r="DI1027">
        <f t="shared" si="265"/>
        <v>1</v>
      </c>
      <c r="DJ1027" t="str">
        <f t="shared" si="257"/>
        <v>TimberInput</v>
      </c>
      <c r="DK1027">
        <f t="shared" si="223"/>
        <v>0</v>
      </c>
      <c r="DL1027">
        <f t="shared" si="224"/>
        <v>0</v>
      </c>
      <c r="DM1027">
        <f t="shared" si="225"/>
        <v>0</v>
      </c>
      <c r="DN1027" t="str">
        <f t="shared" si="226"/>
        <v>Timber</v>
      </c>
      <c r="DO1027">
        <v>0</v>
      </c>
      <c r="DP1027">
        <v>0</v>
      </c>
      <c r="DQ1027">
        <v>0</v>
      </c>
      <c r="DR1027">
        <v>0</v>
      </c>
      <c r="DS1027">
        <v>0</v>
      </c>
      <c r="DT1027">
        <f t="shared" si="260"/>
        <v>0</v>
      </c>
      <c r="DU1027" s="143" t="str">
        <f t="shared" si="245"/>
        <v>explicit C balance</v>
      </c>
      <c r="DV1027">
        <v>0</v>
      </c>
      <c r="DW1027">
        <v>0</v>
      </c>
      <c r="DX1027">
        <v>0</v>
      </c>
      <c r="DY1027">
        <v>1</v>
      </c>
      <c r="DZ1027">
        <v>1</v>
      </c>
      <c r="EA1027">
        <v>1</v>
      </c>
      <c r="EB1027">
        <v>0</v>
      </c>
      <c r="EC1027">
        <v>1</v>
      </c>
      <c r="ED1027">
        <v>1</v>
      </c>
      <c r="EE1027">
        <v>1</v>
      </c>
      <c r="EF1027">
        <v>0</v>
      </c>
      <c r="EG1027">
        <v>0</v>
      </c>
      <c r="EH1027">
        <v>0</v>
      </c>
      <c r="EI1027" s="2">
        <v>0</v>
      </c>
      <c r="EK1027" t="str">
        <f t="shared" si="227"/>
        <v/>
      </c>
      <c r="EL1027" t="str">
        <f t="shared" si="228"/>
        <v/>
      </c>
      <c r="EM1027" s="2" t="str">
        <f t="shared" si="244"/>
        <v>Technology approach</v>
      </c>
      <c r="EP1027" t="str">
        <f>IF(ISNUMBER(BU1027),IF(ABS(BU1027-[4]QC_indicators!$B$2)&gt;3*[4]QC_indicators!$C$2,"C ratio",IF(ISNUMBER(BY1027),IF(ABS(BY1027-[4]QC_indicators!$B$1)&gt;3*[4]QC_indicators!$C$1,"DF","no"))),IF(ISNUMBER(BY1027),IF(ABS(BY1027-[4]QC_indicators!$B$1)&gt;3*[4]QC_indicators!$C$1,"DF","no")))</f>
        <v>no</v>
      </c>
      <c r="ET1027" s="266" t="s">
        <v>3275</v>
      </c>
    </row>
    <row r="1028" spans="1:150" ht="15" hidden="1" customHeight="1">
      <c r="A1028" s="1" t="s">
        <v>334</v>
      </c>
      <c r="B1028" t="s">
        <v>721</v>
      </c>
      <c r="C1028" t="s">
        <v>722</v>
      </c>
      <c r="D1028" t="s">
        <v>723</v>
      </c>
      <c r="E1028" t="s">
        <v>724</v>
      </c>
      <c r="F1028" t="s">
        <v>725</v>
      </c>
      <c r="G1028" t="s">
        <v>340</v>
      </c>
      <c r="H1028" t="s">
        <v>255</v>
      </c>
      <c r="I1028">
        <v>2015</v>
      </c>
      <c r="J1028">
        <v>86</v>
      </c>
      <c r="K1028" t="s">
        <v>726</v>
      </c>
      <c r="M1028" t="str">
        <f t="shared" si="255"/>
        <v>Fouquet_2015</v>
      </c>
      <c r="N1028" t="s">
        <v>223</v>
      </c>
      <c r="O1028" s="145" t="s">
        <v>275</v>
      </c>
      <c r="Q1028" t="s">
        <v>257</v>
      </c>
      <c r="R1028" s="255" t="s">
        <v>226</v>
      </c>
      <c r="S1028" s="1" t="s">
        <v>733</v>
      </c>
      <c r="T1028" s="266" t="s">
        <v>3333</v>
      </c>
      <c r="U1028" s="266" t="s">
        <v>3332</v>
      </c>
      <c r="V1028">
        <v>0</v>
      </c>
      <c r="W1028">
        <v>0</v>
      </c>
      <c r="X1028">
        <v>0</v>
      </c>
      <c r="Y1028">
        <v>0</v>
      </c>
      <c r="Z1028">
        <v>0</v>
      </c>
      <c r="AA1028">
        <v>0</v>
      </c>
      <c r="AB1028">
        <v>0</v>
      </c>
      <c r="AC1028">
        <v>0</v>
      </c>
      <c r="AD1028">
        <v>0</v>
      </c>
      <c r="AE1028">
        <v>0</v>
      </c>
      <c r="AF1028">
        <v>0</v>
      </c>
      <c r="AG1028">
        <v>0</v>
      </c>
      <c r="AH1028">
        <v>0</v>
      </c>
      <c r="AI1028">
        <v>0</v>
      </c>
      <c r="AJ1028">
        <v>0</v>
      </c>
      <c r="AK1028">
        <v>1</v>
      </c>
      <c r="AL1028">
        <v>0</v>
      </c>
      <c r="AM1028">
        <v>0</v>
      </c>
      <c r="AN1028">
        <v>0</v>
      </c>
      <c r="AO1028">
        <v>0</v>
      </c>
      <c r="AP1028">
        <v>0</v>
      </c>
      <c r="AQ1028">
        <v>0</v>
      </c>
      <c r="AR1028">
        <v>0</v>
      </c>
      <c r="AS1028">
        <v>0</v>
      </c>
      <c r="AT1028">
        <v>0</v>
      </c>
      <c r="AU1028">
        <v>0</v>
      </c>
      <c r="AV1028">
        <v>0</v>
      </c>
      <c r="AW1028">
        <v>0</v>
      </c>
      <c r="AX1028" s="141">
        <f t="shared" si="266"/>
        <v>1</v>
      </c>
      <c r="AY1028" s="141">
        <f t="shared" si="235"/>
        <v>1</v>
      </c>
      <c r="AZ1028">
        <f t="shared" si="236"/>
        <v>0</v>
      </c>
      <c r="BA1028">
        <f t="shared" si="237"/>
        <v>0</v>
      </c>
      <c r="BB1028">
        <f t="shared" si="238"/>
        <v>1</v>
      </c>
      <c r="BC1028">
        <f t="shared" si="239"/>
        <v>0</v>
      </c>
      <c r="BD1028">
        <f t="shared" si="240"/>
        <v>0</v>
      </c>
      <c r="BE1028" t="str">
        <f t="array" ref="BE1028">IF(AY1028=1,INDEX($V$7:$AL$7,MATCH(TRUE,INDEX($V1028:$AW1028&lt;&gt;0,),0)),IF(AY1028=0,INDEX($AM$7:$AW$7,MATCH(1,$AM1028:$AW1028,0)),IF(BF1028="Multiple strategies","mixed drivers",IF(BF1028="Supply chain","multiple supply","multiple silviculture"))))</f>
        <v>technologies/design switch</v>
      </c>
      <c r="BF1028" s="2" t="str" cm="1">
        <f t="array" ref="BF1028">IF(COUNTIF(AZ1028:BB1028,"&lt;&gt;0")=1,INDEX($V$4:$AW$4,MATCH(TRUE,INDEX($V1028:$AW1028&lt;&gt;0,),0)),IF(COUNTIF(AZ1028:BB1028,"&lt;&gt;0")=0,INDEX($AM$4:$AW$4,MATCH(1,$AM1028:$AW1028,0)),"Multiple strategies"))</f>
        <v>Technology</v>
      </c>
      <c r="BG1028" s="1" t="s">
        <v>230</v>
      </c>
      <c r="BH1028" t="s">
        <v>729</v>
      </c>
      <c r="BI1028" s="260" t="s">
        <v>3328</v>
      </c>
      <c r="BJ1028" s="260" t="s">
        <v>346</v>
      </c>
      <c r="BK1028" s="260">
        <v>477</v>
      </c>
      <c r="BL1028" s="260">
        <f xml:space="preserve"> 5341+3892+7551+1439+923+477</f>
        <v>19623</v>
      </c>
      <c r="BN1028">
        <f t="shared" si="222"/>
        <v>19146</v>
      </c>
      <c r="BO1028" s="260">
        <f>BN1028/1000*tC_to_m3</f>
        <v>83.135041250542784</v>
      </c>
      <c r="BP1028" s="260" t="s">
        <v>396</v>
      </c>
      <c r="BQ1028" s="260" t="s">
        <v>3329</v>
      </c>
      <c r="BR1028" t="s">
        <v>398</v>
      </c>
      <c r="BS1028" s="260">
        <v>154593</v>
      </c>
      <c r="BT1028" s="260">
        <f>7475</f>
        <v>7475</v>
      </c>
      <c r="BU1028" s="144">
        <f t="shared" si="270"/>
        <v>4.8352771470894541E-2</v>
      </c>
      <c r="BV1028">
        <f t="shared" si="269"/>
        <v>-147118</v>
      </c>
      <c r="BX1028">
        <f t="shared" si="271"/>
        <v>-147.11799999999999</v>
      </c>
      <c r="BY1028">
        <f t="shared" si="262"/>
        <v>-1.7696268358926144</v>
      </c>
      <c r="BZ1028">
        <v>0</v>
      </c>
      <c r="CA1028">
        <v>0</v>
      </c>
      <c r="CB1028">
        <v>0</v>
      </c>
      <c r="CC1028">
        <v>0</v>
      </c>
      <c r="CD1028">
        <v>0</v>
      </c>
      <c r="CE1028">
        <v>0</v>
      </c>
      <c r="CF1028">
        <v>0</v>
      </c>
      <c r="CG1028">
        <v>0</v>
      </c>
      <c r="CH1028">
        <v>0</v>
      </c>
      <c r="CI1028">
        <v>0</v>
      </c>
      <c r="CJ1028">
        <v>0</v>
      </c>
      <c r="CK1028">
        <v>0</v>
      </c>
      <c r="CL1028">
        <v>0</v>
      </c>
      <c r="CM1028">
        <v>0</v>
      </c>
      <c r="CN1028" t="str">
        <f t="shared" si="254"/>
        <v>refOK</v>
      </c>
      <c r="CO1028">
        <f t="shared" si="272"/>
        <v>477</v>
      </c>
      <c r="CP1028">
        <f t="shared" si="273"/>
        <v>19623</v>
      </c>
      <c r="CQ1028">
        <f t="shared" ref="CQ1028:CQ1091" si="274">IF($CN1028="refOK",$BO1028,-$BO1028)</f>
        <v>83.135041250542784</v>
      </c>
      <c r="CR1028">
        <f t="shared" si="259"/>
        <v>-154593</v>
      </c>
      <c r="CS1028">
        <f t="shared" si="249"/>
        <v>-7475</v>
      </c>
      <c r="CT1028">
        <f t="shared" si="267"/>
        <v>147.11799999999999</v>
      </c>
      <c r="CU1028">
        <f t="shared" si="258"/>
        <v>1.7696268358926144</v>
      </c>
      <c r="CV1028" s="2">
        <f t="shared" si="268"/>
        <v>0.95164722852910544</v>
      </c>
      <c r="CW1028" s="1" t="s">
        <v>264</v>
      </c>
      <c r="CX1028" t="str">
        <f t="shared" si="242"/>
        <v>loc</v>
      </c>
      <c r="CY1028" t="s">
        <v>731</v>
      </c>
      <c r="DB1028">
        <v>100</v>
      </c>
      <c r="DC1028" t="str">
        <f t="shared" si="243"/>
        <v>71-100</v>
      </c>
      <c r="DD1028">
        <v>0</v>
      </c>
      <c r="DE1028">
        <v>0</v>
      </c>
      <c r="DF1028">
        <v>0</v>
      </c>
      <c r="DG1028">
        <v>1</v>
      </c>
      <c r="DI1028">
        <f t="shared" si="265"/>
        <v>1</v>
      </c>
      <c r="DJ1028" t="str">
        <f t="shared" si="257"/>
        <v>TimberInput</v>
      </c>
      <c r="DK1028">
        <f t="shared" si="223"/>
        <v>0</v>
      </c>
      <c r="DL1028">
        <f t="shared" si="224"/>
        <v>0</v>
      </c>
      <c r="DM1028">
        <f t="shared" si="225"/>
        <v>0</v>
      </c>
      <c r="DN1028" t="str">
        <f t="shared" si="226"/>
        <v>Timber</v>
      </c>
      <c r="DO1028">
        <v>0</v>
      </c>
      <c r="DP1028">
        <v>0</v>
      </c>
      <c r="DQ1028">
        <v>0</v>
      </c>
      <c r="DR1028">
        <v>0</v>
      </c>
      <c r="DS1028">
        <v>0</v>
      </c>
      <c r="DT1028">
        <f t="shared" si="260"/>
        <v>0</v>
      </c>
      <c r="DU1028" s="143" t="str">
        <f t="shared" si="245"/>
        <v>explicit C balance</v>
      </c>
      <c r="DV1028">
        <v>0</v>
      </c>
      <c r="DW1028">
        <v>0</v>
      </c>
      <c r="DX1028">
        <v>0</v>
      </c>
      <c r="DY1028">
        <v>1</v>
      </c>
      <c r="DZ1028">
        <v>1</v>
      </c>
      <c r="EA1028">
        <v>1</v>
      </c>
      <c r="EB1028">
        <v>0</v>
      </c>
      <c r="EC1028">
        <v>1</v>
      </c>
      <c r="ED1028">
        <v>1</v>
      </c>
      <c r="EE1028">
        <v>1</v>
      </c>
      <c r="EF1028">
        <v>0</v>
      </c>
      <c r="EG1028">
        <v>0</v>
      </c>
      <c r="EH1028">
        <v>0</v>
      </c>
      <c r="EI1028" s="2">
        <v>0</v>
      </c>
      <c r="EK1028" t="str">
        <f t="shared" si="227"/>
        <v/>
      </c>
      <c r="EL1028" t="str">
        <f t="shared" si="228"/>
        <v/>
      </c>
      <c r="EM1028" s="2" t="str">
        <f t="shared" si="244"/>
        <v>Technology approach</v>
      </c>
      <c r="EP1028" t="str">
        <f>IF(ISNUMBER(BU1028),IF(ABS(BU1028-[4]QC_indicators!$B$2)&gt;3*[4]QC_indicators!$C$2,"C ratio",IF(ISNUMBER(BY1028),IF(ABS(BY1028-[4]QC_indicators!$B$1)&gt;3*[4]QC_indicators!$C$1,"DF","no"))),IF(ISNUMBER(BY1028),IF(ABS(BY1028-[4]QC_indicators!$B$1)&gt;3*[4]QC_indicators!$C$1,"DF","no")))</f>
        <v>no</v>
      </c>
      <c r="ET1028" s="266" t="s">
        <v>3275</v>
      </c>
    </row>
    <row r="1029" spans="1:150" ht="15" hidden="1" customHeight="1">
      <c r="A1029" s="1" t="s">
        <v>334</v>
      </c>
      <c r="B1029" t="s">
        <v>721</v>
      </c>
      <c r="C1029" t="s">
        <v>722</v>
      </c>
      <c r="D1029" t="s">
        <v>723</v>
      </c>
      <c r="E1029" t="s">
        <v>724</v>
      </c>
      <c r="F1029" t="s">
        <v>725</v>
      </c>
      <c r="G1029" t="s">
        <v>340</v>
      </c>
      <c r="H1029" t="s">
        <v>255</v>
      </c>
      <c r="I1029">
        <v>2015</v>
      </c>
      <c r="J1029">
        <v>86</v>
      </c>
      <c r="K1029" t="s">
        <v>726</v>
      </c>
      <c r="M1029" t="str">
        <f t="shared" si="255"/>
        <v>Fouquet_2015</v>
      </c>
      <c r="N1029" t="s">
        <v>223</v>
      </c>
      <c r="O1029" s="145" t="s">
        <v>275</v>
      </c>
      <c r="Q1029" t="s">
        <v>257</v>
      </c>
      <c r="R1029" s="255" t="s">
        <v>226</v>
      </c>
      <c r="S1029" s="1" t="s">
        <v>732</v>
      </c>
      <c r="T1029" s="266" t="s">
        <v>3331</v>
      </c>
      <c r="U1029" s="266" t="s">
        <v>3334</v>
      </c>
      <c r="V1029">
        <v>0</v>
      </c>
      <c r="W1029">
        <v>0</v>
      </c>
      <c r="X1029">
        <v>0</v>
      </c>
      <c r="Y1029">
        <v>0</v>
      </c>
      <c r="Z1029">
        <v>0</v>
      </c>
      <c r="AA1029">
        <v>0</v>
      </c>
      <c r="AB1029">
        <v>0</v>
      </c>
      <c r="AC1029">
        <v>0</v>
      </c>
      <c r="AD1029">
        <v>0</v>
      </c>
      <c r="AE1029">
        <v>0</v>
      </c>
      <c r="AF1029">
        <v>0</v>
      </c>
      <c r="AG1029">
        <v>0</v>
      </c>
      <c r="AH1029">
        <v>0</v>
      </c>
      <c r="AI1029">
        <v>0</v>
      </c>
      <c r="AJ1029">
        <v>0</v>
      </c>
      <c r="AK1029">
        <v>1</v>
      </c>
      <c r="AL1029">
        <v>0</v>
      </c>
      <c r="AM1029">
        <v>0</v>
      </c>
      <c r="AN1029">
        <v>0</v>
      </c>
      <c r="AO1029">
        <v>0</v>
      </c>
      <c r="AP1029">
        <v>0</v>
      </c>
      <c r="AQ1029">
        <v>0</v>
      </c>
      <c r="AR1029">
        <v>0</v>
      </c>
      <c r="AS1029">
        <v>0</v>
      </c>
      <c r="AT1029">
        <v>0</v>
      </c>
      <c r="AU1029">
        <v>0</v>
      </c>
      <c r="AV1029">
        <v>0</v>
      </c>
      <c r="AW1029">
        <v>0</v>
      </c>
      <c r="AX1029" s="141">
        <f t="shared" si="266"/>
        <v>1</v>
      </c>
      <c r="AY1029" s="141">
        <f t="shared" si="235"/>
        <v>1</v>
      </c>
      <c r="AZ1029">
        <f t="shared" si="236"/>
        <v>0</v>
      </c>
      <c r="BA1029">
        <f t="shared" si="237"/>
        <v>0</v>
      </c>
      <c r="BB1029">
        <f t="shared" si="238"/>
        <v>1</v>
      </c>
      <c r="BC1029">
        <f t="shared" si="239"/>
        <v>0</v>
      </c>
      <c r="BD1029">
        <f t="shared" si="240"/>
        <v>0</v>
      </c>
      <c r="BE1029" t="str">
        <f t="array" ref="BE1029">IF(AY1029=1,INDEX($V$7:$AL$7,MATCH(TRUE,INDEX($V1029:$AW1029&lt;&gt;0,),0)),IF(AY1029=0,INDEX($AM$7:$AW$7,MATCH(1,$AM1029:$AW1029,0)),IF(BF1029="Multiple strategies","mixed drivers",IF(BF1029="Supply chain","multiple supply","multiple silviculture"))))</f>
        <v>technologies/design switch</v>
      </c>
      <c r="BF1029" s="2" t="str" cm="1">
        <f t="array" ref="BF1029">IF(COUNTIF(AZ1029:BB1029,"&lt;&gt;0")=1,INDEX($V$4:$AW$4,MATCH(TRUE,INDEX($V1029:$AW1029&lt;&gt;0,),0)),IF(COUNTIF(AZ1029:BB1029,"&lt;&gt;0")=0,INDEX($AM$4:$AW$4,MATCH(1,$AM1029:$AW1029,0)),"Multiple strategies"))</f>
        <v>Technology</v>
      </c>
      <c r="BG1029" s="1" t="s">
        <v>230</v>
      </c>
      <c r="BH1029" t="s">
        <v>729</v>
      </c>
      <c r="BI1029" s="260" t="s">
        <v>3328</v>
      </c>
      <c r="BJ1029" s="260" t="s">
        <v>346</v>
      </c>
      <c r="BK1029" s="260">
        <v>477</v>
      </c>
      <c r="BL1029" s="260">
        <f xml:space="preserve"> 5341+3892+7551+1439+923+477</f>
        <v>19623</v>
      </c>
      <c r="BN1029">
        <f t="shared" ref="BN1029:BN1092" si="275">BL1029-BK1029</f>
        <v>19146</v>
      </c>
      <c r="BO1029" s="260">
        <f>BN1029/1000*tC_to_m3</f>
        <v>83.135041250542784</v>
      </c>
      <c r="BP1029" s="260" t="s">
        <v>396</v>
      </c>
      <c r="BQ1029" s="260" t="s">
        <v>3329</v>
      </c>
      <c r="BR1029" t="s">
        <v>398</v>
      </c>
      <c r="BS1029" s="260">
        <v>176247</v>
      </c>
      <c r="BT1029" s="260">
        <f>9761</f>
        <v>9761</v>
      </c>
      <c r="BU1029" s="144">
        <f t="shared" si="270"/>
        <v>5.5382502964589471E-2</v>
      </c>
      <c r="BV1029">
        <f t="shared" si="269"/>
        <v>-166486</v>
      </c>
      <c r="BX1029">
        <f t="shared" si="271"/>
        <v>-166.48599999999999</v>
      </c>
      <c r="BY1029">
        <f t="shared" si="262"/>
        <v>-2.0025971900135793</v>
      </c>
      <c r="BZ1029">
        <v>0</v>
      </c>
      <c r="CA1029">
        <v>0</v>
      </c>
      <c r="CB1029">
        <v>0</v>
      </c>
      <c r="CC1029">
        <v>0</v>
      </c>
      <c r="CD1029">
        <v>0</v>
      </c>
      <c r="CE1029">
        <v>0</v>
      </c>
      <c r="CF1029">
        <v>0</v>
      </c>
      <c r="CG1029">
        <v>0</v>
      </c>
      <c r="CH1029">
        <v>0</v>
      </c>
      <c r="CI1029">
        <v>0</v>
      </c>
      <c r="CJ1029">
        <v>0</v>
      </c>
      <c r="CK1029">
        <v>0</v>
      </c>
      <c r="CL1029">
        <v>0</v>
      </c>
      <c r="CM1029">
        <v>0</v>
      </c>
      <c r="CN1029" t="str">
        <f t="shared" si="254"/>
        <v>refOK</v>
      </c>
      <c r="CO1029">
        <f t="shared" si="272"/>
        <v>477</v>
      </c>
      <c r="CP1029">
        <f t="shared" si="273"/>
        <v>19623</v>
      </c>
      <c r="CQ1029">
        <f t="shared" si="274"/>
        <v>83.135041250542784</v>
      </c>
      <c r="CR1029">
        <f t="shared" si="259"/>
        <v>-176247</v>
      </c>
      <c r="CS1029">
        <f t="shared" si="249"/>
        <v>-9761</v>
      </c>
      <c r="CT1029">
        <f t="shared" si="267"/>
        <v>166.48599999999999</v>
      </c>
      <c r="CU1029">
        <f t="shared" si="258"/>
        <v>2.0025971900135793</v>
      </c>
      <c r="CV1029" s="2">
        <f t="shared" si="268"/>
        <v>0.94461749703541054</v>
      </c>
      <c r="CW1029" s="1" t="s">
        <v>264</v>
      </c>
      <c r="CX1029" t="str">
        <f t="shared" si="242"/>
        <v>loc</v>
      </c>
      <c r="CY1029" t="s">
        <v>731</v>
      </c>
      <c r="DB1029">
        <v>100</v>
      </c>
      <c r="DC1029" t="str">
        <f t="shared" si="243"/>
        <v>71-100</v>
      </c>
      <c r="DD1029">
        <v>0</v>
      </c>
      <c r="DE1029">
        <v>0</v>
      </c>
      <c r="DF1029">
        <v>0</v>
      </c>
      <c r="DG1029">
        <v>1</v>
      </c>
      <c r="DI1029">
        <f t="shared" si="265"/>
        <v>1</v>
      </c>
      <c r="DJ1029" t="str">
        <f t="shared" si="257"/>
        <v>TimberInput</v>
      </c>
      <c r="DK1029">
        <f t="shared" si="223"/>
        <v>0</v>
      </c>
      <c r="DL1029">
        <f t="shared" si="224"/>
        <v>0</v>
      </c>
      <c r="DM1029">
        <f t="shared" si="225"/>
        <v>0</v>
      </c>
      <c r="DN1029" t="str">
        <f t="shared" si="226"/>
        <v>Timber</v>
      </c>
      <c r="DO1029">
        <v>0</v>
      </c>
      <c r="DP1029">
        <v>0</v>
      </c>
      <c r="DQ1029">
        <v>0</v>
      </c>
      <c r="DR1029">
        <v>0</v>
      </c>
      <c r="DS1029">
        <v>0</v>
      </c>
      <c r="DT1029">
        <f t="shared" si="260"/>
        <v>0</v>
      </c>
      <c r="DU1029" s="143" t="str">
        <f t="shared" si="245"/>
        <v>explicit C balance</v>
      </c>
      <c r="DV1029">
        <v>0</v>
      </c>
      <c r="DW1029">
        <v>0</v>
      </c>
      <c r="DX1029">
        <v>0</v>
      </c>
      <c r="DY1029">
        <v>1</v>
      </c>
      <c r="DZ1029">
        <v>1</v>
      </c>
      <c r="EA1029">
        <v>1</v>
      </c>
      <c r="EB1029">
        <v>0</v>
      </c>
      <c r="EC1029">
        <v>1</v>
      </c>
      <c r="ED1029">
        <v>1</v>
      </c>
      <c r="EE1029">
        <v>1</v>
      </c>
      <c r="EF1029">
        <v>0</v>
      </c>
      <c r="EG1029">
        <v>0</v>
      </c>
      <c r="EH1029">
        <v>0</v>
      </c>
      <c r="EI1029" s="2">
        <v>0</v>
      </c>
      <c r="EK1029" t="str">
        <f t="shared" si="227"/>
        <v/>
      </c>
      <c r="EL1029" t="str">
        <f t="shared" si="228"/>
        <v/>
      </c>
      <c r="EM1029" s="2" t="str">
        <f t="shared" si="244"/>
        <v>Technology approach</v>
      </c>
      <c r="EP1029" t="str">
        <f>IF(ISNUMBER(BU1029),IF(ABS(BU1029-[4]QC_indicators!$B$2)&gt;3*[4]QC_indicators!$C$2,"C ratio",IF(ISNUMBER(BY1029),IF(ABS(BY1029-[4]QC_indicators!$B$1)&gt;3*[4]QC_indicators!$C$1,"DF","no"))),IF(ISNUMBER(BY1029),IF(ABS(BY1029-[4]QC_indicators!$B$1)&gt;3*[4]QC_indicators!$C$1,"DF","no")))</f>
        <v>no</v>
      </c>
      <c r="ET1029" s="266" t="s">
        <v>3275</v>
      </c>
    </row>
    <row r="1030" spans="1:150" ht="15" hidden="1" customHeight="1">
      <c r="A1030" s="1" t="s">
        <v>658</v>
      </c>
      <c r="B1030" t="s">
        <v>659</v>
      </c>
      <c r="C1030" t="s">
        <v>660</v>
      </c>
      <c r="D1030" t="s">
        <v>661</v>
      </c>
      <c r="E1030" t="s">
        <v>662</v>
      </c>
      <c r="F1030" t="s">
        <v>663</v>
      </c>
      <c r="G1030" t="s">
        <v>664</v>
      </c>
      <c r="H1030" t="s">
        <v>255</v>
      </c>
      <c r="I1030">
        <v>2021</v>
      </c>
      <c r="J1030">
        <v>1</v>
      </c>
      <c r="K1030" t="s">
        <v>665</v>
      </c>
      <c r="M1030" t="str">
        <f t="shared" si="255"/>
        <v>Dolezal_2021</v>
      </c>
      <c r="N1030" t="s">
        <v>223</v>
      </c>
      <c r="O1030" s="145" t="s">
        <v>275</v>
      </c>
      <c r="Q1030" t="s">
        <v>257</v>
      </c>
      <c r="R1030" s="255" t="s">
        <v>226</v>
      </c>
      <c r="S1030" s="1" t="s">
        <v>666</v>
      </c>
      <c r="T1030" t="s">
        <v>667</v>
      </c>
      <c r="U1030" t="s">
        <v>183</v>
      </c>
      <c r="V1030">
        <v>0</v>
      </c>
      <c r="W1030">
        <v>0</v>
      </c>
      <c r="X1030">
        <v>0</v>
      </c>
      <c r="Y1030">
        <v>0</v>
      </c>
      <c r="Z1030">
        <v>0</v>
      </c>
      <c r="AA1030">
        <v>0</v>
      </c>
      <c r="AB1030">
        <v>0</v>
      </c>
      <c r="AC1030">
        <v>0</v>
      </c>
      <c r="AD1030">
        <v>0</v>
      </c>
      <c r="AE1030">
        <v>0</v>
      </c>
      <c r="AF1030">
        <v>0</v>
      </c>
      <c r="AG1030">
        <v>0</v>
      </c>
      <c r="AH1030">
        <v>0</v>
      </c>
      <c r="AI1030">
        <v>0</v>
      </c>
      <c r="AJ1030">
        <v>0</v>
      </c>
      <c r="AK1030">
        <v>1</v>
      </c>
      <c r="AL1030">
        <v>0</v>
      </c>
      <c r="AM1030">
        <v>0</v>
      </c>
      <c r="AN1030">
        <v>0</v>
      </c>
      <c r="AO1030">
        <v>0</v>
      </c>
      <c r="AP1030">
        <v>0</v>
      </c>
      <c r="AQ1030">
        <v>0</v>
      </c>
      <c r="AR1030">
        <v>0</v>
      </c>
      <c r="AS1030">
        <v>0</v>
      </c>
      <c r="AT1030">
        <v>0</v>
      </c>
      <c r="AU1030">
        <v>0</v>
      </c>
      <c r="AV1030">
        <v>0</v>
      </c>
      <c r="AW1030">
        <v>0</v>
      </c>
      <c r="AX1030" s="141">
        <f t="shared" si="266"/>
        <v>1</v>
      </c>
      <c r="AY1030" s="141">
        <f t="shared" si="235"/>
        <v>1</v>
      </c>
      <c r="AZ1030">
        <f t="shared" si="236"/>
        <v>0</v>
      </c>
      <c r="BA1030">
        <f t="shared" si="237"/>
        <v>0</v>
      </c>
      <c r="BB1030">
        <f t="shared" si="238"/>
        <v>1</v>
      </c>
      <c r="BC1030">
        <f t="shared" si="239"/>
        <v>0</v>
      </c>
      <c r="BD1030">
        <f t="shared" si="240"/>
        <v>0</v>
      </c>
      <c r="BE1030" t="str">
        <f t="array" ref="BE1030">IF(AY1030=1,INDEX($V$7:$AL$7,MATCH(TRUE,INDEX($V1030:$AW1030&lt;&gt;0,),0)),IF(AY1030=0,INDEX($AM$7:$AW$7,MATCH(1,$AM1030:$AW1030,0)),IF(BF1030="Multiple strategies","mixed drivers",IF(BF1030="Supply chain","multiple supply","multiple silviculture"))))</f>
        <v>technologies/design switch</v>
      </c>
      <c r="BF1030" s="2" t="str" cm="1">
        <f t="array" ref="BF1030">IF(COUNTIF(AZ1030:BB1030,"&lt;&gt;0")=1,INDEX($V$4:$AW$4,MATCH(TRUE,INDEX($V1030:$AW1030&lt;&gt;0,),0)),IF(COUNTIF(AZ1030:BB1030,"&lt;&gt;0")=0,INDEX($AM$4:$AW$4,MATCH(1,$AM1030:$AW1030,0)),"Multiple strategies"))</f>
        <v>Technology</v>
      </c>
      <c r="BG1030" s="1" t="s">
        <v>230</v>
      </c>
      <c r="BH1030" s="266" t="s">
        <v>260</v>
      </c>
      <c r="BI1030" s="266" t="s">
        <v>3314</v>
      </c>
      <c r="BJ1030" s="266" t="s">
        <v>653</v>
      </c>
      <c r="BK1030" s="260">
        <v>0</v>
      </c>
      <c r="BL1030" s="260">
        <v>528</v>
      </c>
      <c r="BM1030" s="261"/>
      <c r="BN1030" s="260">
        <f t="shared" si="275"/>
        <v>528</v>
      </c>
      <c r="BO1030" s="260">
        <f t="shared" ref="BO1030:BO1044" si="276">BN1030*t_to_m3</f>
        <v>1077.5510204081634</v>
      </c>
      <c r="BP1030" s="260" t="s">
        <v>396</v>
      </c>
      <c r="BQ1030" s="260" t="s">
        <v>3315</v>
      </c>
      <c r="BR1030" s="260" t="s">
        <v>3316</v>
      </c>
      <c r="BS1030" s="260">
        <f>(57+1942+29)*3528.65</f>
        <v>7156102.2000000002</v>
      </c>
      <c r="BT1030" s="260">
        <f>(51+1942+44)*3528.65</f>
        <v>7187860.0499999998</v>
      </c>
      <c r="BU1030" s="144">
        <f t="shared" si="270"/>
        <v>1.0044378698224852</v>
      </c>
      <c r="BV1030">
        <f t="shared" si="269"/>
        <v>31757.849999999627</v>
      </c>
      <c r="BX1030">
        <f t="shared" si="271"/>
        <v>31.757849999999628</v>
      </c>
      <c r="BY1030">
        <f t="shared" si="262"/>
        <v>2.947224715909056E-2</v>
      </c>
      <c r="BZ1030">
        <v>0</v>
      </c>
      <c r="CA1030">
        <v>0</v>
      </c>
      <c r="CB1030">
        <v>0</v>
      </c>
      <c r="CC1030">
        <v>0</v>
      </c>
      <c r="CD1030">
        <v>0</v>
      </c>
      <c r="CE1030">
        <v>0</v>
      </c>
      <c r="CF1030">
        <v>0</v>
      </c>
      <c r="CG1030">
        <v>0</v>
      </c>
      <c r="CH1030">
        <v>0</v>
      </c>
      <c r="CI1030">
        <v>0</v>
      </c>
      <c r="CJ1030">
        <v>0</v>
      </c>
      <c r="CK1030">
        <v>0</v>
      </c>
      <c r="CL1030">
        <v>0</v>
      </c>
      <c r="CM1030">
        <v>0</v>
      </c>
      <c r="CN1030" t="str">
        <f t="shared" si="254"/>
        <v>refOK</v>
      </c>
      <c r="CO1030">
        <f t="shared" si="272"/>
        <v>0</v>
      </c>
      <c r="CP1030">
        <f t="shared" si="273"/>
        <v>528</v>
      </c>
      <c r="CQ1030">
        <f t="shared" si="274"/>
        <v>1077.5510204081634</v>
      </c>
      <c r="CR1030">
        <f t="shared" si="259"/>
        <v>-7156102.2000000002</v>
      </c>
      <c r="CS1030">
        <f t="shared" si="249"/>
        <v>-7187860.0499999998</v>
      </c>
      <c r="CT1030">
        <f t="shared" si="267"/>
        <v>-31.757849999999628</v>
      </c>
      <c r="CU1030">
        <f t="shared" si="258"/>
        <v>-2.947224715909056E-2</v>
      </c>
      <c r="CV1030" s="2">
        <f t="shared" si="268"/>
        <v>-4.4378698224851552E-3</v>
      </c>
      <c r="CW1030" s="1" t="s">
        <v>264</v>
      </c>
      <c r="CX1030" t="str">
        <f t="shared" si="242"/>
        <v>loc</v>
      </c>
      <c r="CY1030" t="s">
        <v>668</v>
      </c>
      <c r="DB1030">
        <v>100</v>
      </c>
      <c r="DC1030" t="str">
        <f t="shared" si="243"/>
        <v>71-100</v>
      </c>
      <c r="DD1030">
        <v>0</v>
      </c>
      <c r="DE1030">
        <v>0</v>
      </c>
      <c r="DF1030">
        <v>0</v>
      </c>
      <c r="DG1030">
        <v>1</v>
      </c>
      <c r="DI1030">
        <f t="shared" si="265"/>
        <v>1</v>
      </c>
      <c r="DJ1030" t="str">
        <f t="shared" si="257"/>
        <v>TimberInput</v>
      </c>
      <c r="DK1030">
        <f t="shared" si="223"/>
        <v>0</v>
      </c>
      <c r="DL1030">
        <f t="shared" si="224"/>
        <v>0</v>
      </c>
      <c r="DM1030">
        <f t="shared" si="225"/>
        <v>0</v>
      </c>
      <c r="DN1030" t="str">
        <f t="shared" si="226"/>
        <v>Timber</v>
      </c>
      <c r="DO1030">
        <v>0</v>
      </c>
      <c r="DP1030">
        <v>0</v>
      </c>
      <c r="DQ1030">
        <v>0</v>
      </c>
      <c r="DR1030">
        <v>0</v>
      </c>
      <c r="DS1030">
        <v>0</v>
      </c>
      <c r="DT1030">
        <f t="shared" si="260"/>
        <v>0</v>
      </c>
      <c r="DU1030" s="143" t="str">
        <f t="shared" si="245"/>
        <v>explicit C balance</v>
      </c>
      <c r="DV1030">
        <v>0</v>
      </c>
      <c r="DW1030">
        <v>0</v>
      </c>
      <c r="DX1030">
        <v>0</v>
      </c>
      <c r="DY1030">
        <v>0</v>
      </c>
      <c r="DZ1030">
        <v>0</v>
      </c>
      <c r="EA1030">
        <v>1</v>
      </c>
      <c r="EB1030">
        <v>0</v>
      </c>
      <c r="EC1030">
        <v>1</v>
      </c>
      <c r="ED1030">
        <v>0</v>
      </c>
      <c r="EE1030">
        <v>1</v>
      </c>
      <c r="EF1030" s="260">
        <v>0</v>
      </c>
      <c r="EG1030" s="260">
        <v>0</v>
      </c>
      <c r="EH1030">
        <v>0</v>
      </c>
      <c r="EI1030" s="2">
        <v>0</v>
      </c>
      <c r="EK1030" t="str">
        <f t="shared" si="227"/>
        <v/>
      </c>
      <c r="EL1030" t="str">
        <f t="shared" si="228"/>
        <v/>
      </c>
      <c r="EM1030" s="2" t="str">
        <f t="shared" si="244"/>
        <v>Technology approach</v>
      </c>
      <c r="EP1030" t="str">
        <f>IF(ISNUMBER(BU1030),IF(ABS(BU1030-[4]QC_indicators!$B$2)&gt;3*[4]QC_indicators!$C$2,"C ratio",IF(ISNUMBER(BY1030),IF(ABS(BY1030-[4]QC_indicators!$B$1)&gt;3*[4]QC_indicators!$C$1,"DF","no"))),IF(ISNUMBER(BY1030),IF(ABS(BY1030-[4]QC_indicators!$B$1)&gt;3*[4]QC_indicators!$C$1,"DF","no")))</f>
        <v>no</v>
      </c>
      <c r="ET1030" s="266" t="s">
        <v>3275</v>
      </c>
    </row>
    <row r="1031" spans="1:150" ht="15" hidden="1" customHeight="1">
      <c r="A1031" s="1" t="s">
        <v>658</v>
      </c>
      <c r="B1031" t="s">
        <v>659</v>
      </c>
      <c r="C1031" t="s">
        <v>660</v>
      </c>
      <c r="D1031" t="s">
        <v>661</v>
      </c>
      <c r="E1031" t="s">
        <v>662</v>
      </c>
      <c r="F1031" t="s">
        <v>663</v>
      </c>
      <c r="G1031" t="s">
        <v>664</v>
      </c>
      <c r="H1031" t="s">
        <v>255</v>
      </c>
      <c r="I1031">
        <v>2021</v>
      </c>
      <c r="J1031">
        <v>1</v>
      </c>
      <c r="K1031" t="s">
        <v>665</v>
      </c>
      <c r="M1031" t="str">
        <f t="shared" si="255"/>
        <v>Dolezal_2021</v>
      </c>
      <c r="N1031" t="s">
        <v>223</v>
      </c>
      <c r="O1031" s="145" t="s">
        <v>275</v>
      </c>
      <c r="Q1031" t="s">
        <v>257</v>
      </c>
      <c r="R1031" s="255" t="s">
        <v>226</v>
      </c>
      <c r="S1031" s="1" t="s">
        <v>666</v>
      </c>
      <c r="T1031" t="s">
        <v>667</v>
      </c>
      <c r="U1031" t="s">
        <v>183</v>
      </c>
      <c r="V1031">
        <v>0</v>
      </c>
      <c r="W1031">
        <v>0</v>
      </c>
      <c r="X1031">
        <v>0</v>
      </c>
      <c r="Y1031">
        <v>0</v>
      </c>
      <c r="Z1031">
        <v>0</v>
      </c>
      <c r="AA1031">
        <v>0</v>
      </c>
      <c r="AB1031">
        <v>0</v>
      </c>
      <c r="AC1031">
        <v>0</v>
      </c>
      <c r="AD1031">
        <v>0</v>
      </c>
      <c r="AE1031">
        <v>0</v>
      </c>
      <c r="AF1031">
        <v>0</v>
      </c>
      <c r="AG1031">
        <v>0</v>
      </c>
      <c r="AH1031">
        <v>0</v>
      </c>
      <c r="AI1031">
        <v>0</v>
      </c>
      <c r="AJ1031">
        <v>0</v>
      </c>
      <c r="AK1031">
        <v>1</v>
      </c>
      <c r="AL1031">
        <v>0</v>
      </c>
      <c r="AM1031">
        <v>0</v>
      </c>
      <c r="AN1031">
        <v>0</v>
      </c>
      <c r="AO1031">
        <v>0</v>
      </c>
      <c r="AP1031">
        <v>0</v>
      </c>
      <c r="AQ1031">
        <v>0</v>
      </c>
      <c r="AR1031">
        <v>0</v>
      </c>
      <c r="AS1031">
        <v>0</v>
      </c>
      <c r="AT1031">
        <v>0</v>
      </c>
      <c r="AU1031">
        <v>0</v>
      </c>
      <c r="AV1031">
        <v>0</v>
      </c>
      <c r="AW1031">
        <v>0</v>
      </c>
      <c r="AX1031" s="141">
        <f t="shared" si="266"/>
        <v>1</v>
      </c>
      <c r="AY1031" s="141">
        <f t="shared" si="235"/>
        <v>1</v>
      </c>
      <c r="AZ1031">
        <f t="shared" si="236"/>
        <v>0</v>
      </c>
      <c r="BA1031">
        <f t="shared" si="237"/>
        <v>0</v>
      </c>
      <c r="BB1031">
        <f t="shared" si="238"/>
        <v>1</v>
      </c>
      <c r="BC1031">
        <f t="shared" si="239"/>
        <v>0</v>
      </c>
      <c r="BD1031">
        <f t="shared" si="240"/>
        <v>0</v>
      </c>
      <c r="BE1031" t="str">
        <f t="array" ref="BE1031">IF(AY1031=1,INDEX($V$7:$AL$7,MATCH(TRUE,INDEX($V1031:$AW1031&lt;&gt;0,),0)),IF(AY1031=0,INDEX($AM$7:$AW$7,MATCH(1,$AM1031:$AW1031,0)),IF(BF1031="Multiple strategies","mixed drivers",IF(BF1031="Supply chain","multiple supply","multiple silviculture"))))</f>
        <v>technologies/design switch</v>
      </c>
      <c r="BF1031" s="2" t="str" cm="1">
        <f t="array" ref="BF1031">IF(COUNTIF(AZ1031:BB1031,"&lt;&gt;0")=1,INDEX($V$4:$AW$4,MATCH(TRUE,INDEX($V1031:$AW1031&lt;&gt;0,),0)),IF(COUNTIF(AZ1031:BB1031,"&lt;&gt;0")=0,INDEX($AM$4:$AW$4,MATCH(1,$AM1031:$AW1031,0)),"Multiple strategies"))</f>
        <v>Technology</v>
      </c>
      <c r="BG1031" s="1" t="s">
        <v>230</v>
      </c>
      <c r="BH1031" s="266" t="s">
        <v>260</v>
      </c>
      <c r="BI1031" s="266" t="s">
        <v>3317</v>
      </c>
      <c r="BJ1031" s="266" t="s">
        <v>653</v>
      </c>
      <c r="BK1031" s="260">
        <v>0</v>
      </c>
      <c r="BL1031" s="260">
        <v>528</v>
      </c>
      <c r="BM1031" s="261"/>
      <c r="BN1031" s="260">
        <f t="shared" si="275"/>
        <v>528</v>
      </c>
      <c r="BO1031" s="260">
        <f t="shared" si="276"/>
        <v>1077.5510204081634</v>
      </c>
      <c r="BP1031" s="260" t="s">
        <v>396</v>
      </c>
      <c r="BQ1031" s="260" t="s">
        <v>3318</v>
      </c>
      <c r="BR1031" s="260" t="s">
        <v>3316</v>
      </c>
      <c r="BS1031" s="260">
        <f>(186+22+0+57+1942+29-149)*3528.65</f>
        <v>7364292.5499999998</v>
      </c>
      <c r="BT1031" s="260">
        <f>(215+22+15+51+1942+44-71)*3528.65</f>
        <v>7826545.7000000002</v>
      </c>
      <c r="BU1031" s="144">
        <f t="shared" si="270"/>
        <v>1.0627695256348826</v>
      </c>
      <c r="BV1031">
        <f t="shared" si="269"/>
        <v>462253.15000000037</v>
      </c>
      <c r="BX1031">
        <f t="shared" si="271"/>
        <v>462.25315000000035</v>
      </c>
      <c r="BY1031">
        <f t="shared" si="262"/>
        <v>0.42898493087121242</v>
      </c>
      <c r="BZ1031">
        <v>0</v>
      </c>
      <c r="CA1031">
        <v>0</v>
      </c>
      <c r="CB1031">
        <v>0</v>
      </c>
      <c r="CC1031">
        <v>0</v>
      </c>
      <c r="CD1031">
        <v>0</v>
      </c>
      <c r="CE1031">
        <v>0</v>
      </c>
      <c r="CF1031">
        <v>0</v>
      </c>
      <c r="CG1031">
        <v>0</v>
      </c>
      <c r="CH1031">
        <v>0</v>
      </c>
      <c r="CI1031">
        <v>0</v>
      </c>
      <c r="CJ1031">
        <v>0</v>
      </c>
      <c r="CK1031">
        <v>0</v>
      </c>
      <c r="CL1031">
        <v>0</v>
      </c>
      <c r="CM1031">
        <v>0</v>
      </c>
      <c r="CN1031" t="str">
        <f t="shared" si="254"/>
        <v>refOK</v>
      </c>
      <c r="CO1031">
        <f t="shared" si="272"/>
        <v>0</v>
      </c>
      <c r="CP1031">
        <f t="shared" si="273"/>
        <v>528</v>
      </c>
      <c r="CQ1031">
        <f t="shared" si="274"/>
        <v>1077.5510204081634</v>
      </c>
      <c r="CR1031">
        <f>IF($CN1031="refOK",$BS1032,$BT1032)*IF($BP1031="Emissions positive",-1,1)</f>
        <v>-769245.70000000007</v>
      </c>
      <c r="CS1031">
        <f>IF($CN1031="refOK",$BT1032,$BS1032)*IF($BP1031="Emissions positive",-1,1)</f>
        <v>-938620.9</v>
      </c>
      <c r="CT1031">
        <f t="shared" si="267"/>
        <v>-462.25315000000035</v>
      </c>
      <c r="CU1031">
        <f t="shared" si="258"/>
        <v>-0.42898493087121242</v>
      </c>
      <c r="CV1031" s="2">
        <f t="shared" si="268"/>
        <v>-0.22018348623853204</v>
      </c>
      <c r="CW1031" s="1" t="s">
        <v>264</v>
      </c>
      <c r="CX1031" t="str">
        <f t="shared" si="242"/>
        <v>loc</v>
      </c>
      <c r="CY1031" t="s">
        <v>668</v>
      </c>
      <c r="DB1031">
        <v>100</v>
      </c>
      <c r="DC1031" t="str">
        <f t="shared" si="243"/>
        <v>71-100</v>
      </c>
      <c r="DD1031">
        <v>0</v>
      </c>
      <c r="DE1031">
        <v>0</v>
      </c>
      <c r="DF1031">
        <v>0</v>
      </c>
      <c r="DG1031">
        <v>1</v>
      </c>
      <c r="DI1031">
        <f t="shared" si="265"/>
        <v>1</v>
      </c>
      <c r="DJ1031" t="str">
        <f t="shared" si="257"/>
        <v>TimberInput</v>
      </c>
      <c r="DK1031">
        <f t="shared" si="223"/>
        <v>0</v>
      </c>
      <c r="DL1031">
        <f t="shared" si="224"/>
        <v>0</v>
      </c>
      <c r="DM1031">
        <f t="shared" si="225"/>
        <v>0</v>
      </c>
      <c r="DN1031" t="str">
        <f t="shared" si="226"/>
        <v>Timber</v>
      </c>
      <c r="DO1031">
        <v>0</v>
      </c>
      <c r="DP1031">
        <v>0</v>
      </c>
      <c r="DQ1031">
        <v>0</v>
      </c>
      <c r="DR1031">
        <v>0</v>
      </c>
      <c r="DS1031">
        <v>0</v>
      </c>
      <c r="DT1031">
        <f t="shared" si="260"/>
        <v>0</v>
      </c>
      <c r="DU1031" s="143" t="str">
        <f t="shared" si="245"/>
        <v>explicit C balance</v>
      </c>
      <c r="DV1031">
        <v>0</v>
      </c>
      <c r="DW1031">
        <v>0</v>
      </c>
      <c r="DX1031">
        <v>0</v>
      </c>
      <c r="DY1031">
        <v>1</v>
      </c>
      <c r="DZ1031">
        <v>0</v>
      </c>
      <c r="EA1031">
        <v>1</v>
      </c>
      <c r="EB1031">
        <v>0</v>
      </c>
      <c r="EC1031">
        <v>1</v>
      </c>
      <c r="ED1031">
        <v>1</v>
      </c>
      <c r="EE1031">
        <v>1</v>
      </c>
      <c r="EF1031" s="260">
        <v>0</v>
      </c>
      <c r="EG1031" s="260">
        <v>0</v>
      </c>
      <c r="EH1031">
        <v>0</v>
      </c>
      <c r="EI1031" s="2">
        <v>0</v>
      </c>
      <c r="EK1031" t="str">
        <f t="shared" si="227"/>
        <v/>
      </c>
      <c r="EL1031" t="str">
        <f t="shared" si="228"/>
        <v/>
      </c>
      <c r="EM1031" s="2" t="str">
        <f t="shared" si="244"/>
        <v>Technology approach</v>
      </c>
      <c r="EP1031" t="str">
        <f>IF(ISNUMBER(BU1031),IF(ABS(BU1031-[4]QC_indicators!$B$2)&gt;3*[4]QC_indicators!$C$2,"C ratio",IF(ISNUMBER(BY1031),IF(ABS(BY1031-[4]QC_indicators!$B$1)&gt;3*[4]QC_indicators!$C$1,"DF","no"))),IF(ISNUMBER(BY1031),IF(ABS(BY1031-[4]QC_indicators!$B$1)&gt;3*[4]QC_indicators!$C$1,"DF","no")))</f>
        <v>no</v>
      </c>
      <c r="ET1031" s="266" t="s">
        <v>3275</v>
      </c>
    </row>
    <row r="1032" spans="1:150" ht="15" hidden="1" customHeight="1">
      <c r="A1032" s="1" t="s">
        <v>658</v>
      </c>
      <c r="B1032" t="s">
        <v>659</v>
      </c>
      <c r="C1032" t="s">
        <v>660</v>
      </c>
      <c r="D1032" t="s">
        <v>661</v>
      </c>
      <c r="E1032" t="s">
        <v>662</v>
      </c>
      <c r="F1032" t="s">
        <v>663</v>
      </c>
      <c r="G1032" t="s">
        <v>664</v>
      </c>
      <c r="H1032" t="s">
        <v>255</v>
      </c>
      <c r="I1032">
        <v>2021</v>
      </c>
      <c r="J1032">
        <v>1</v>
      </c>
      <c r="K1032" t="s">
        <v>665</v>
      </c>
      <c r="M1032" t="str">
        <f t="shared" si="255"/>
        <v>Dolezal_2021</v>
      </c>
      <c r="N1032" t="s">
        <v>223</v>
      </c>
      <c r="O1032" s="145" t="s">
        <v>275</v>
      </c>
      <c r="Q1032" t="s">
        <v>257</v>
      </c>
      <c r="R1032" s="255" t="s">
        <v>226</v>
      </c>
      <c r="S1032" s="1" t="s">
        <v>666</v>
      </c>
      <c r="T1032" t="s">
        <v>667</v>
      </c>
      <c r="U1032" t="s">
        <v>183</v>
      </c>
      <c r="V1032">
        <v>0</v>
      </c>
      <c r="W1032">
        <v>0</v>
      </c>
      <c r="X1032">
        <v>0</v>
      </c>
      <c r="Y1032">
        <v>0</v>
      </c>
      <c r="Z1032">
        <v>0</v>
      </c>
      <c r="AA1032">
        <v>0</v>
      </c>
      <c r="AB1032">
        <v>0</v>
      </c>
      <c r="AC1032">
        <v>0</v>
      </c>
      <c r="AD1032">
        <v>0</v>
      </c>
      <c r="AE1032">
        <v>0</v>
      </c>
      <c r="AF1032">
        <v>0</v>
      </c>
      <c r="AG1032">
        <v>0</v>
      </c>
      <c r="AH1032">
        <v>0</v>
      </c>
      <c r="AI1032">
        <v>0</v>
      </c>
      <c r="AJ1032">
        <v>0</v>
      </c>
      <c r="AK1032">
        <v>1</v>
      </c>
      <c r="AL1032">
        <v>0</v>
      </c>
      <c r="AM1032">
        <v>0</v>
      </c>
      <c r="AN1032">
        <v>0</v>
      </c>
      <c r="AO1032">
        <v>0</v>
      </c>
      <c r="AP1032">
        <v>0</v>
      </c>
      <c r="AQ1032">
        <v>0</v>
      </c>
      <c r="AR1032">
        <v>0</v>
      </c>
      <c r="AS1032">
        <v>0</v>
      </c>
      <c r="AT1032">
        <v>0</v>
      </c>
      <c r="AU1032">
        <v>0</v>
      </c>
      <c r="AV1032">
        <v>0</v>
      </c>
      <c r="AW1032">
        <v>0</v>
      </c>
      <c r="AX1032" s="141">
        <f t="shared" si="266"/>
        <v>1</v>
      </c>
      <c r="AY1032" s="141">
        <f t="shared" si="235"/>
        <v>1</v>
      </c>
      <c r="AZ1032">
        <f t="shared" si="236"/>
        <v>0</v>
      </c>
      <c r="BA1032">
        <f t="shared" si="237"/>
        <v>0</v>
      </c>
      <c r="BB1032">
        <f t="shared" si="238"/>
        <v>1</v>
      </c>
      <c r="BC1032">
        <f t="shared" si="239"/>
        <v>0</v>
      </c>
      <c r="BD1032">
        <f t="shared" si="240"/>
        <v>0</v>
      </c>
      <c r="BE1032" t="str">
        <f t="array" ref="BE1032">IF(AY1032=1,INDEX($V$7:$AL$7,MATCH(TRUE,INDEX($V1032:$AW1032&lt;&gt;0,),0)),IF(AY1032=0,INDEX($AM$7:$AW$7,MATCH(1,$AM1032:$AW1032,0)),IF(BF1032="Multiple strategies","mixed drivers",IF(BF1032="Supply chain","multiple supply","multiple silviculture"))))</f>
        <v>technologies/design switch</v>
      </c>
      <c r="BF1032" s="2" t="str" cm="1">
        <f t="array" ref="BF1032">IF(COUNTIF(AZ1032:BB1032,"&lt;&gt;0")=1,INDEX($V$4:$AW$4,MATCH(TRUE,INDEX($V1032:$AW1032&lt;&gt;0,),0)),IF(COUNTIF(AZ1032:BB1032,"&lt;&gt;0")=0,INDEX($AM$4:$AW$4,MATCH(1,$AM1032:$AW1032,0)),"Multiple strategies"))</f>
        <v>Technology</v>
      </c>
      <c r="BG1032" s="1" t="s">
        <v>230</v>
      </c>
      <c r="BH1032" s="266" t="s">
        <v>260</v>
      </c>
      <c r="BI1032" s="266" t="s">
        <v>3317</v>
      </c>
      <c r="BJ1032" s="266" t="s">
        <v>653</v>
      </c>
      <c r="BK1032" s="260">
        <v>0</v>
      </c>
      <c r="BL1032" s="260">
        <v>528</v>
      </c>
      <c r="BM1032" s="261"/>
      <c r="BN1032" s="260">
        <f t="shared" si="275"/>
        <v>528</v>
      </c>
      <c r="BO1032" s="260">
        <f t="shared" si="276"/>
        <v>1077.5510204081634</v>
      </c>
      <c r="BP1032" s="260" t="s">
        <v>396</v>
      </c>
      <c r="BQ1032" s="260" t="s">
        <v>3319</v>
      </c>
      <c r="BR1032" s="260" t="s">
        <v>3316</v>
      </c>
      <c r="BS1032" s="260">
        <f xml:space="preserve"> 218*3528.65</f>
        <v>769245.70000000007</v>
      </c>
      <c r="BT1032" s="260">
        <f xml:space="preserve"> 266*3528.65</f>
        <v>938620.9</v>
      </c>
      <c r="BU1032" s="144">
        <f t="shared" si="270"/>
        <v>1.2201834862385321</v>
      </c>
      <c r="BV1032">
        <f t="shared" si="269"/>
        <v>169375.19999999995</v>
      </c>
      <c r="BX1032">
        <f t="shared" si="271"/>
        <v>169.37519999999995</v>
      </c>
      <c r="BY1032">
        <f t="shared" si="262"/>
        <v>0.15718531818181811</v>
      </c>
      <c r="BZ1032">
        <v>0</v>
      </c>
      <c r="CA1032">
        <v>0</v>
      </c>
      <c r="CB1032">
        <v>0</v>
      </c>
      <c r="CC1032">
        <v>0</v>
      </c>
      <c r="CD1032">
        <v>0</v>
      </c>
      <c r="CE1032">
        <v>0</v>
      </c>
      <c r="CF1032">
        <v>0</v>
      </c>
      <c r="CG1032">
        <v>0</v>
      </c>
      <c r="CH1032">
        <v>0</v>
      </c>
      <c r="CI1032">
        <v>0</v>
      </c>
      <c r="CJ1032">
        <v>0</v>
      </c>
      <c r="CK1032">
        <v>0</v>
      </c>
      <c r="CL1032">
        <v>0</v>
      </c>
      <c r="CM1032">
        <v>0</v>
      </c>
      <c r="CN1032" t="str">
        <f t="shared" si="254"/>
        <v>refOK</v>
      </c>
      <c r="CO1032">
        <f t="shared" si="272"/>
        <v>0</v>
      </c>
      <c r="CP1032">
        <f t="shared" si="273"/>
        <v>528</v>
      </c>
      <c r="CQ1032">
        <f t="shared" si="274"/>
        <v>1077.5510204081634</v>
      </c>
      <c r="CR1032" t="e">
        <f>IF($CN1032="refOK",#REF!,#REF!)*IF($BP1032="Emissions positive",-1,1)</f>
        <v>#REF!</v>
      </c>
      <c r="CS1032" t="e">
        <f>IF($CN1032="refOK",#REF!,#REF!)*IF($BP1032="Emissions positive",-1,1)</f>
        <v>#REF!</v>
      </c>
      <c r="CT1032">
        <f t="shared" si="267"/>
        <v>-169.37519999999995</v>
      </c>
      <c r="CU1032">
        <f t="shared" si="258"/>
        <v>-0.15718531818181811</v>
      </c>
      <c r="CV1032" s="2" t="str">
        <f t="shared" si="268"/>
        <v/>
      </c>
      <c r="CW1032" s="1" t="s">
        <v>264</v>
      </c>
      <c r="CX1032" t="str">
        <f t="shared" si="242"/>
        <v>loc</v>
      </c>
      <c r="CY1032" t="s">
        <v>668</v>
      </c>
      <c r="DB1032">
        <v>100</v>
      </c>
      <c r="DC1032" t="str">
        <f t="shared" si="243"/>
        <v>71-100</v>
      </c>
      <c r="DD1032">
        <v>0</v>
      </c>
      <c r="DE1032">
        <v>0</v>
      </c>
      <c r="DF1032">
        <v>0</v>
      </c>
      <c r="DG1032">
        <v>1</v>
      </c>
      <c r="DI1032">
        <f t="shared" si="265"/>
        <v>1</v>
      </c>
      <c r="DJ1032" t="str">
        <f t="shared" si="257"/>
        <v>TimberInput</v>
      </c>
      <c r="DK1032">
        <f t="shared" ref="DK1032:DK1095" si="277">IF(DD1032=1,DK$7,0)</f>
        <v>0</v>
      </c>
      <c r="DL1032">
        <f t="shared" ref="DL1032:DL1095" si="278">IF(DE1032=1,DL$7,0)</f>
        <v>0</v>
      </c>
      <c r="DM1032">
        <f t="shared" ref="DM1032:DM1095" si="279">IF(DF1032=1,DM$7,0)</f>
        <v>0</v>
      </c>
      <c r="DN1032" t="str">
        <f t="shared" ref="DN1032:DN1095" si="280">IF(DG1032=1,DN$7,0)</f>
        <v>Timber</v>
      </c>
      <c r="DO1032">
        <v>0</v>
      </c>
      <c r="DP1032">
        <v>0</v>
      </c>
      <c r="DQ1032">
        <v>0</v>
      </c>
      <c r="DR1032">
        <v>0</v>
      </c>
      <c r="DS1032">
        <v>0</v>
      </c>
      <c r="DT1032">
        <f t="shared" si="260"/>
        <v>0</v>
      </c>
      <c r="DU1032" s="143" t="str">
        <f t="shared" si="245"/>
        <v>explicit C balance</v>
      </c>
      <c r="DV1032">
        <v>0</v>
      </c>
      <c r="DW1032">
        <v>0</v>
      </c>
      <c r="DX1032">
        <v>0</v>
      </c>
      <c r="DY1032">
        <v>1</v>
      </c>
      <c r="DZ1032">
        <v>0</v>
      </c>
      <c r="EA1032">
        <v>1</v>
      </c>
      <c r="EB1032">
        <v>0</v>
      </c>
      <c r="EC1032">
        <v>1</v>
      </c>
      <c r="ED1032">
        <v>0</v>
      </c>
      <c r="EE1032">
        <v>1</v>
      </c>
      <c r="EF1032" s="260">
        <v>0</v>
      </c>
      <c r="EG1032" s="260">
        <v>0</v>
      </c>
      <c r="EH1032">
        <v>0</v>
      </c>
      <c r="EI1032" s="2">
        <v>0</v>
      </c>
      <c r="EK1032" t="str">
        <f t="shared" ref="EK1032:EK1095" si="281">IF(AND(AND(AND(OR($DX1032=1,$DW1032=1),OR($EC1032=1,$EA1032=1)),SUM($DV1032:$DZ1032,$EF1032)&gt;=4),SUM($EA1032:$EE1032)&gt;=2),"Whole sector","")</f>
        <v/>
      </c>
      <c r="EL1032" t="str">
        <f t="shared" ref="EL1032:EL1095" si="282">IF(AND(AND(OR($DX1032=1,$DW1032=1),AND($EC1032=0,$EA1032=0)),SUM($DV1032:$DZ1032,$EF1032)&gt;=4),"Ecosystem approach","")</f>
        <v/>
      </c>
      <c r="EM1032" s="2" t="str">
        <f t="shared" si="244"/>
        <v>Technology approach</v>
      </c>
      <c r="EP1032" t="str">
        <f>IF(ISNUMBER(BU1032),IF(ABS(BU1032-[4]QC_indicators!$B$2)&gt;3*[4]QC_indicators!$C$2,"C ratio",IF(ISNUMBER(BY1032),IF(ABS(BY1032-[4]QC_indicators!$B$1)&gt;3*[4]QC_indicators!$C$1,"DF","no"))),IF(ISNUMBER(BY1032),IF(ABS(BY1032-[4]QC_indicators!$B$1)&gt;3*[4]QC_indicators!$C$1,"DF","no")))</f>
        <v>no</v>
      </c>
      <c r="ET1032" s="266" t="s">
        <v>3275</v>
      </c>
    </row>
    <row r="1033" spans="1:150" ht="15" hidden="1" customHeight="1">
      <c r="A1033" s="1" t="s">
        <v>248</v>
      </c>
      <c r="B1033" t="s">
        <v>643</v>
      </c>
      <c r="C1033" t="s">
        <v>644</v>
      </c>
      <c r="D1033" t="s">
        <v>645</v>
      </c>
      <c r="E1033" t="s">
        <v>646</v>
      </c>
      <c r="F1033" t="s">
        <v>647</v>
      </c>
      <c r="G1033" t="s">
        <v>254</v>
      </c>
      <c r="H1033" t="s">
        <v>255</v>
      </c>
      <c r="I1033">
        <v>2014</v>
      </c>
      <c r="J1033">
        <v>76</v>
      </c>
      <c r="K1033" t="s">
        <v>648</v>
      </c>
      <c r="M1033" t="str">
        <f t="shared" si="255"/>
        <v>Dodoo_2014</v>
      </c>
      <c r="N1033" t="s">
        <v>223</v>
      </c>
      <c r="O1033" s="145" t="s">
        <v>224</v>
      </c>
      <c r="Q1033" t="s">
        <v>257</v>
      </c>
      <c r="R1033" s="255" t="s">
        <v>226</v>
      </c>
      <c r="S1033" s="1" t="s">
        <v>649</v>
      </c>
      <c r="T1033" t="s">
        <v>650</v>
      </c>
      <c r="U1033" t="s">
        <v>651</v>
      </c>
      <c r="V1033">
        <v>0</v>
      </c>
      <c r="W1033">
        <v>0</v>
      </c>
      <c r="X1033">
        <v>0</v>
      </c>
      <c r="Y1033">
        <v>0</v>
      </c>
      <c r="Z1033">
        <v>0</v>
      </c>
      <c r="AA1033">
        <v>0</v>
      </c>
      <c r="AB1033">
        <v>0</v>
      </c>
      <c r="AC1033">
        <v>0</v>
      </c>
      <c r="AD1033">
        <v>0</v>
      </c>
      <c r="AE1033">
        <v>0</v>
      </c>
      <c r="AF1033">
        <v>0</v>
      </c>
      <c r="AG1033">
        <v>0</v>
      </c>
      <c r="AH1033">
        <v>0</v>
      </c>
      <c r="AI1033">
        <v>0</v>
      </c>
      <c r="AJ1033">
        <v>0</v>
      </c>
      <c r="AK1033">
        <v>1</v>
      </c>
      <c r="AL1033">
        <v>0</v>
      </c>
      <c r="AM1033">
        <v>0</v>
      </c>
      <c r="AN1033">
        <v>0</v>
      </c>
      <c r="AO1033">
        <v>0</v>
      </c>
      <c r="AP1033">
        <v>0</v>
      </c>
      <c r="AQ1033">
        <v>0</v>
      </c>
      <c r="AR1033">
        <v>0</v>
      </c>
      <c r="AS1033">
        <v>0</v>
      </c>
      <c r="AT1033">
        <v>0</v>
      </c>
      <c r="AU1033">
        <v>0</v>
      </c>
      <c r="AV1033">
        <v>0</v>
      </c>
      <c r="AW1033">
        <v>0</v>
      </c>
      <c r="AX1033" s="141">
        <f t="shared" si="266"/>
        <v>1</v>
      </c>
      <c r="AY1033" s="141">
        <f t="shared" si="235"/>
        <v>1</v>
      </c>
      <c r="AZ1033">
        <f t="shared" si="236"/>
        <v>0</v>
      </c>
      <c r="BA1033">
        <f t="shared" si="237"/>
        <v>0</v>
      </c>
      <c r="BB1033">
        <f t="shared" si="238"/>
        <v>1</v>
      </c>
      <c r="BC1033">
        <f t="shared" si="239"/>
        <v>0</v>
      </c>
      <c r="BD1033">
        <f t="shared" si="240"/>
        <v>0</v>
      </c>
      <c r="BE1033" t="str">
        <f t="array" ref="BE1033">IF(AY1033=1,INDEX($V$7:$AL$7,MATCH(TRUE,INDEX($V1033:$AW1033&lt;&gt;0,),0)),IF(AY1033=0,INDEX($AM$7:$AW$7,MATCH(1,$AM1033:$AW1033,0)),IF(BF1033="Multiple strategies","mixed drivers",IF(BF1033="Supply chain","multiple supply","multiple silviculture"))))</f>
        <v>technologies/design switch</v>
      </c>
      <c r="BF1033" s="2" t="str" cm="1">
        <f t="array" ref="BF1033">IF(COUNTIF(AZ1033:BB1033,"&lt;&gt;0")=1,INDEX($V$4:$AW$4,MATCH(TRUE,INDEX($V1033:$AW1033&lt;&gt;0,),0)),IF(COUNTIF(AZ1033:BB1033,"&lt;&gt;0")=0,INDEX($AM$4:$AW$4,MATCH(1,$AM1033:$AW1033,0)),"Multiple strategies"))</f>
        <v>Technology</v>
      </c>
      <c r="BG1033" s="1" t="s">
        <v>230</v>
      </c>
      <c r="BH1033" t="s">
        <v>652</v>
      </c>
      <c r="BI1033" s="260" t="s">
        <v>3310</v>
      </c>
      <c r="BJ1033" t="s">
        <v>653</v>
      </c>
      <c r="BK1033" s="260">
        <f t="shared" ref="BK1033:BK1044" si="283">55+21+10+5+5</f>
        <v>96</v>
      </c>
      <c r="BL1033" s="260">
        <v>120</v>
      </c>
      <c r="BN1033">
        <f t="shared" si="275"/>
        <v>24</v>
      </c>
      <c r="BO1033">
        <f t="shared" si="276"/>
        <v>48.979591836734699</v>
      </c>
      <c r="BP1033" t="s">
        <v>233</v>
      </c>
      <c r="BQ1033" s="260" t="s">
        <v>3311</v>
      </c>
      <c r="BR1033" t="s">
        <v>263</v>
      </c>
      <c r="BS1033">
        <v>-139</v>
      </c>
      <c r="BT1033">
        <v>-159</v>
      </c>
      <c r="BU1033" s="144">
        <v>1.1438848920863309</v>
      </c>
      <c r="BV1033">
        <v>-20</v>
      </c>
      <c r="BX1033">
        <f t="shared" si="271"/>
        <v>-0.02</v>
      </c>
      <c r="BY1033">
        <f t="shared" si="262"/>
        <v>-4.083333333333333E-4</v>
      </c>
      <c r="BZ1033">
        <v>0</v>
      </c>
      <c r="CA1033">
        <v>0</v>
      </c>
      <c r="CB1033">
        <v>0</v>
      </c>
      <c r="CC1033">
        <v>0</v>
      </c>
      <c r="CD1033">
        <v>0</v>
      </c>
      <c r="CE1033">
        <v>0</v>
      </c>
      <c r="CF1033">
        <v>0</v>
      </c>
      <c r="CG1033">
        <v>0</v>
      </c>
      <c r="CH1033">
        <v>0</v>
      </c>
      <c r="CI1033">
        <v>0</v>
      </c>
      <c r="CJ1033">
        <v>0</v>
      </c>
      <c r="CK1033">
        <v>0</v>
      </c>
      <c r="CL1033">
        <v>0</v>
      </c>
      <c r="CM1033">
        <v>0</v>
      </c>
      <c r="CN1033" t="str">
        <f t="shared" si="254"/>
        <v>refOK</v>
      </c>
      <c r="CO1033">
        <f t="shared" ref="CO1033:CO1054" si="284">IF($CN1033="refOK",$BK1033,$BL1033)</f>
        <v>96</v>
      </c>
      <c r="CP1033">
        <f t="shared" ref="CP1033:CP1054" si="285">IF($CN1033="refOK",$BL1033,$BK1033)</f>
        <v>120</v>
      </c>
      <c r="CQ1033">
        <f t="shared" si="274"/>
        <v>48.979591836734699</v>
      </c>
      <c r="CR1033">
        <f t="shared" ref="CR1033:CR1053" si="286">IF($CN1033="refOK",$BS1033,$BT1033)*IF($BP1033="Emissions positive",-1,1)</f>
        <v>-139</v>
      </c>
      <c r="CS1033">
        <f t="shared" ref="CS1033:CS1053" si="287">IF($CN1033="refOK",$BT1033,$BS1033)*IF($BP1033="Emissions positive",-1,1)</f>
        <v>-159</v>
      </c>
      <c r="CT1033">
        <f t="shared" si="267"/>
        <v>-0.02</v>
      </c>
      <c r="CU1033">
        <f t="shared" si="258"/>
        <v>-4.083333333333333E-4</v>
      </c>
      <c r="CV1033" s="2">
        <f t="shared" si="268"/>
        <v>-0.14388489208633093</v>
      </c>
      <c r="CW1033" s="1" t="s">
        <v>264</v>
      </c>
      <c r="CX1033" t="str">
        <f t="shared" si="242"/>
        <v>loc</v>
      </c>
      <c r="CY1033" t="s">
        <v>445</v>
      </c>
      <c r="DB1033">
        <v>50</v>
      </c>
      <c r="DC1033" t="str">
        <f t="shared" si="243"/>
        <v>31-70</v>
      </c>
      <c r="DD1033">
        <v>0</v>
      </c>
      <c r="DE1033">
        <v>0</v>
      </c>
      <c r="DF1033">
        <v>0</v>
      </c>
      <c r="DG1033">
        <v>1</v>
      </c>
      <c r="DI1033">
        <f t="shared" si="265"/>
        <v>1</v>
      </c>
      <c r="DJ1033" t="str">
        <f t="shared" si="257"/>
        <v>TimberInput</v>
      </c>
      <c r="DK1033">
        <f t="shared" si="277"/>
        <v>0</v>
      </c>
      <c r="DL1033">
        <f t="shared" si="278"/>
        <v>0</v>
      </c>
      <c r="DM1033">
        <f t="shared" si="279"/>
        <v>0</v>
      </c>
      <c r="DN1033" t="str">
        <f t="shared" si="280"/>
        <v>Timber</v>
      </c>
      <c r="DO1033">
        <v>0</v>
      </c>
      <c r="DP1033">
        <v>0</v>
      </c>
      <c r="DQ1033">
        <v>0</v>
      </c>
      <c r="DR1033">
        <v>0</v>
      </c>
      <c r="DS1033">
        <v>0</v>
      </c>
      <c r="DT1033">
        <f t="shared" si="260"/>
        <v>0</v>
      </c>
      <c r="DU1033" s="143" t="str">
        <f t="shared" si="245"/>
        <v>explicit C balance</v>
      </c>
      <c r="DV1033">
        <v>0</v>
      </c>
      <c r="DW1033">
        <v>0</v>
      </c>
      <c r="DX1033">
        <v>0</v>
      </c>
      <c r="DY1033">
        <v>0</v>
      </c>
      <c r="DZ1033">
        <v>0</v>
      </c>
      <c r="EA1033" s="143">
        <v>0</v>
      </c>
      <c r="EB1033">
        <v>0</v>
      </c>
      <c r="EC1033">
        <v>1</v>
      </c>
      <c r="ED1033">
        <v>0</v>
      </c>
      <c r="EE1033">
        <v>0</v>
      </c>
      <c r="EF1033">
        <v>0</v>
      </c>
      <c r="EG1033">
        <v>0</v>
      </c>
      <c r="EH1033">
        <v>0</v>
      </c>
      <c r="EI1033" s="2">
        <v>0</v>
      </c>
      <c r="EK1033" t="str">
        <f t="shared" si="281"/>
        <v/>
      </c>
      <c r="EL1033" t="str">
        <f t="shared" si="282"/>
        <v/>
      </c>
      <c r="EM1033" s="2" t="str">
        <f t="shared" si="244"/>
        <v/>
      </c>
      <c r="EP1033" t="str">
        <f>IF(ISNUMBER(BU1033),IF(ABS(BU1033-[4]QC_indicators!$B$2)&gt;3*[4]QC_indicators!$C$2,"C ratio",IF(ISNUMBER(BY1033),IF(ABS(BY1033-[4]QC_indicators!$B$1)&gt;3*[4]QC_indicators!$C$1,"DF","no"))),IF(ISNUMBER(BY1033),IF(ABS(BY1033-[4]QC_indicators!$B$1)&gt;3*[4]QC_indicators!$C$1,"DF","no")))</f>
        <v>no</v>
      </c>
      <c r="ER1033" s="149" t="s">
        <v>350</v>
      </c>
      <c r="ET1033" s="266" t="s">
        <v>3275</v>
      </c>
    </row>
    <row r="1034" spans="1:150" ht="15" hidden="1" customHeight="1">
      <c r="A1034" s="1" t="s">
        <v>248</v>
      </c>
      <c r="B1034" t="s">
        <v>643</v>
      </c>
      <c r="C1034" t="s">
        <v>644</v>
      </c>
      <c r="D1034" t="s">
        <v>645</v>
      </c>
      <c r="E1034" t="s">
        <v>646</v>
      </c>
      <c r="F1034" t="s">
        <v>647</v>
      </c>
      <c r="G1034" t="s">
        <v>254</v>
      </c>
      <c r="H1034" t="s">
        <v>255</v>
      </c>
      <c r="I1034">
        <v>2014</v>
      </c>
      <c r="J1034">
        <v>76</v>
      </c>
      <c r="K1034" t="s">
        <v>648</v>
      </c>
      <c r="M1034" t="str">
        <f t="shared" si="255"/>
        <v>Dodoo_2014</v>
      </c>
      <c r="N1034" t="s">
        <v>223</v>
      </c>
      <c r="O1034" s="145" t="s">
        <v>224</v>
      </c>
      <c r="Q1034" t="s">
        <v>257</v>
      </c>
      <c r="R1034" s="255" t="s">
        <v>226</v>
      </c>
      <c r="S1034" s="1" t="s">
        <v>649</v>
      </c>
      <c r="T1034" t="s">
        <v>654</v>
      </c>
      <c r="U1034" t="s">
        <v>655</v>
      </c>
      <c r="V1034">
        <v>0</v>
      </c>
      <c r="W1034">
        <v>0</v>
      </c>
      <c r="X1034">
        <v>0</v>
      </c>
      <c r="Y1034">
        <v>0</v>
      </c>
      <c r="Z1034">
        <v>0</v>
      </c>
      <c r="AA1034">
        <v>0</v>
      </c>
      <c r="AB1034">
        <v>0</v>
      </c>
      <c r="AC1034">
        <v>0</v>
      </c>
      <c r="AD1034">
        <v>0</v>
      </c>
      <c r="AE1034">
        <v>0</v>
      </c>
      <c r="AF1034">
        <v>0</v>
      </c>
      <c r="AG1034">
        <v>0</v>
      </c>
      <c r="AH1034">
        <v>0</v>
      </c>
      <c r="AI1034">
        <v>0</v>
      </c>
      <c r="AJ1034">
        <v>0</v>
      </c>
      <c r="AK1034">
        <v>1</v>
      </c>
      <c r="AL1034">
        <v>0</v>
      </c>
      <c r="AM1034">
        <v>0</v>
      </c>
      <c r="AN1034">
        <v>0</v>
      </c>
      <c r="AO1034">
        <v>0</v>
      </c>
      <c r="AP1034">
        <v>0</v>
      </c>
      <c r="AQ1034">
        <v>0</v>
      </c>
      <c r="AR1034">
        <v>0</v>
      </c>
      <c r="AS1034">
        <v>0</v>
      </c>
      <c r="AT1034">
        <v>0</v>
      </c>
      <c r="AU1034">
        <v>0</v>
      </c>
      <c r="AV1034">
        <v>0</v>
      </c>
      <c r="AW1034">
        <v>0</v>
      </c>
      <c r="AX1034" s="141">
        <f t="shared" si="266"/>
        <v>1</v>
      </c>
      <c r="AY1034" s="141">
        <f t="shared" si="235"/>
        <v>1</v>
      </c>
      <c r="AZ1034">
        <f t="shared" si="236"/>
        <v>0</v>
      </c>
      <c r="BA1034">
        <f t="shared" si="237"/>
        <v>0</v>
      </c>
      <c r="BB1034">
        <f t="shared" si="238"/>
        <v>1</v>
      </c>
      <c r="BC1034">
        <f t="shared" si="239"/>
        <v>0</v>
      </c>
      <c r="BD1034">
        <f t="shared" si="240"/>
        <v>0</v>
      </c>
      <c r="BE1034" t="str">
        <f t="array" ref="BE1034">IF(AY1034=1,INDEX($V$7:$AL$7,MATCH(TRUE,INDEX($V1034:$AW1034&lt;&gt;0,),0)),IF(AY1034=0,INDEX($AM$7:$AW$7,MATCH(1,$AM1034:$AW1034,0)),IF(BF1034="Multiple strategies","mixed drivers",IF(BF1034="Supply chain","multiple supply","multiple silviculture"))))</f>
        <v>technologies/design switch</v>
      </c>
      <c r="BF1034" s="2" t="str" cm="1">
        <f t="array" ref="BF1034">IF(COUNTIF(AZ1034:BB1034,"&lt;&gt;0")=1,INDEX($V$4:$AW$4,MATCH(TRUE,INDEX($V1034:$AW1034&lt;&gt;0,),0)),IF(COUNTIF(AZ1034:BB1034,"&lt;&gt;0")=0,INDEX($AM$4:$AW$4,MATCH(1,$AM1034:$AW1034,0)),"Multiple strategies"))</f>
        <v>Technology</v>
      </c>
      <c r="BG1034" s="1" t="s">
        <v>230</v>
      </c>
      <c r="BH1034" t="s">
        <v>652</v>
      </c>
      <c r="BI1034" s="260" t="s">
        <v>3310</v>
      </c>
      <c r="BJ1034" t="s">
        <v>653</v>
      </c>
      <c r="BK1034" s="260">
        <f t="shared" si="283"/>
        <v>96</v>
      </c>
      <c r="BL1034" s="260">
        <v>124</v>
      </c>
      <c r="BN1034">
        <f t="shared" si="275"/>
        <v>28</v>
      </c>
      <c r="BO1034">
        <f t="shared" si="276"/>
        <v>57.142857142857146</v>
      </c>
      <c r="BP1034" t="s">
        <v>233</v>
      </c>
      <c r="BQ1034" s="260" t="s">
        <v>3311</v>
      </c>
      <c r="BR1034" t="s">
        <v>263</v>
      </c>
      <c r="BS1034">
        <v>-145</v>
      </c>
      <c r="BT1034">
        <v>-165</v>
      </c>
      <c r="BU1034" s="144">
        <v>1.1379310344827587</v>
      </c>
      <c r="BV1034">
        <v>-20</v>
      </c>
      <c r="BX1034">
        <f t="shared" si="271"/>
        <v>-0.02</v>
      </c>
      <c r="BY1034">
        <f t="shared" si="262"/>
        <v>-3.5E-4</v>
      </c>
      <c r="BZ1034">
        <v>0</v>
      </c>
      <c r="CA1034">
        <v>0</v>
      </c>
      <c r="CB1034">
        <v>0</v>
      </c>
      <c r="CC1034">
        <v>0</v>
      </c>
      <c r="CD1034">
        <v>0</v>
      </c>
      <c r="CE1034">
        <v>0</v>
      </c>
      <c r="CF1034">
        <v>0</v>
      </c>
      <c r="CG1034">
        <v>0</v>
      </c>
      <c r="CH1034">
        <v>0</v>
      </c>
      <c r="CI1034">
        <v>0</v>
      </c>
      <c r="CJ1034">
        <v>0</v>
      </c>
      <c r="CK1034">
        <v>0</v>
      </c>
      <c r="CL1034">
        <v>0</v>
      </c>
      <c r="CM1034">
        <v>0</v>
      </c>
      <c r="CN1034" t="str">
        <f t="shared" si="254"/>
        <v>refOK</v>
      </c>
      <c r="CO1034">
        <f t="shared" si="284"/>
        <v>96</v>
      </c>
      <c r="CP1034">
        <f t="shared" si="285"/>
        <v>124</v>
      </c>
      <c r="CQ1034">
        <f t="shared" si="274"/>
        <v>57.142857142857146</v>
      </c>
      <c r="CR1034">
        <f t="shared" si="286"/>
        <v>-145</v>
      </c>
      <c r="CS1034">
        <f t="shared" si="287"/>
        <v>-165</v>
      </c>
      <c r="CT1034">
        <f t="shared" si="267"/>
        <v>-0.02</v>
      </c>
      <c r="CU1034">
        <f t="shared" si="258"/>
        <v>-3.5E-4</v>
      </c>
      <c r="CV1034" s="2">
        <f t="shared" si="268"/>
        <v>-0.13793103448275862</v>
      </c>
      <c r="CW1034" s="1" t="s">
        <v>264</v>
      </c>
      <c r="CX1034" t="str">
        <f t="shared" si="242"/>
        <v>loc</v>
      </c>
      <c r="CY1034" t="s">
        <v>445</v>
      </c>
      <c r="DB1034">
        <v>50</v>
      </c>
      <c r="DC1034" t="str">
        <f t="shared" si="243"/>
        <v>31-70</v>
      </c>
      <c r="DD1034">
        <v>0</v>
      </c>
      <c r="DE1034">
        <v>0</v>
      </c>
      <c r="DF1034">
        <v>0</v>
      </c>
      <c r="DG1034">
        <v>1</v>
      </c>
      <c r="DI1034">
        <f t="shared" si="265"/>
        <v>1</v>
      </c>
      <c r="DJ1034" t="str">
        <f t="shared" si="257"/>
        <v>TimberInput</v>
      </c>
      <c r="DK1034">
        <f t="shared" si="277"/>
        <v>0</v>
      </c>
      <c r="DL1034">
        <f t="shared" si="278"/>
        <v>0</v>
      </c>
      <c r="DM1034">
        <f t="shared" si="279"/>
        <v>0</v>
      </c>
      <c r="DN1034" t="str">
        <f t="shared" si="280"/>
        <v>Timber</v>
      </c>
      <c r="DO1034">
        <v>0</v>
      </c>
      <c r="DP1034">
        <v>0</v>
      </c>
      <c r="DQ1034">
        <v>0</v>
      </c>
      <c r="DR1034">
        <v>0</v>
      </c>
      <c r="DS1034">
        <v>0</v>
      </c>
      <c r="DT1034">
        <f t="shared" si="260"/>
        <v>0</v>
      </c>
      <c r="DU1034" s="143" t="str">
        <f t="shared" si="245"/>
        <v>explicit C balance</v>
      </c>
      <c r="DV1034">
        <v>0</v>
      </c>
      <c r="DW1034">
        <v>0</v>
      </c>
      <c r="DX1034">
        <v>0</v>
      </c>
      <c r="DY1034">
        <v>0</v>
      </c>
      <c r="DZ1034">
        <v>0</v>
      </c>
      <c r="EA1034" s="143">
        <v>0</v>
      </c>
      <c r="EB1034">
        <v>0</v>
      </c>
      <c r="EC1034">
        <v>1</v>
      </c>
      <c r="ED1034">
        <v>0</v>
      </c>
      <c r="EE1034">
        <v>0</v>
      </c>
      <c r="EF1034">
        <v>0</v>
      </c>
      <c r="EG1034">
        <v>0</v>
      </c>
      <c r="EH1034">
        <v>0</v>
      </c>
      <c r="EI1034" s="2">
        <v>0</v>
      </c>
      <c r="EK1034" t="str">
        <f t="shared" si="281"/>
        <v/>
      </c>
      <c r="EL1034" t="str">
        <f t="shared" si="282"/>
        <v/>
      </c>
      <c r="EM1034" s="2" t="str">
        <f t="shared" si="244"/>
        <v/>
      </c>
      <c r="EP1034" t="str">
        <f>IF(ISNUMBER(BU1034),IF(ABS(BU1034-[4]QC_indicators!$B$2)&gt;3*[4]QC_indicators!$C$2,"C ratio",IF(ISNUMBER(BY1034),IF(ABS(BY1034-[4]QC_indicators!$B$1)&gt;3*[4]QC_indicators!$C$1,"DF","no"))),IF(ISNUMBER(BY1034),IF(ABS(BY1034-[4]QC_indicators!$B$1)&gt;3*[4]QC_indicators!$C$1,"DF","no")))</f>
        <v>no</v>
      </c>
      <c r="ER1034" s="149" t="s">
        <v>350</v>
      </c>
      <c r="ET1034" s="266" t="s">
        <v>3275</v>
      </c>
    </row>
    <row r="1035" spans="1:150" ht="15" hidden="1" customHeight="1">
      <c r="A1035" s="1" t="s">
        <v>248</v>
      </c>
      <c r="B1035" t="s">
        <v>643</v>
      </c>
      <c r="C1035" t="s">
        <v>644</v>
      </c>
      <c r="D1035" t="s">
        <v>645</v>
      </c>
      <c r="E1035" t="s">
        <v>646</v>
      </c>
      <c r="F1035" t="s">
        <v>647</v>
      </c>
      <c r="G1035" t="s">
        <v>254</v>
      </c>
      <c r="H1035" t="s">
        <v>255</v>
      </c>
      <c r="I1035">
        <v>2014</v>
      </c>
      <c r="J1035">
        <v>76</v>
      </c>
      <c r="K1035" t="s">
        <v>648</v>
      </c>
      <c r="M1035" t="str">
        <f t="shared" si="255"/>
        <v>Dodoo_2014</v>
      </c>
      <c r="N1035" t="s">
        <v>223</v>
      </c>
      <c r="O1035" s="145" t="s">
        <v>224</v>
      </c>
      <c r="Q1035" t="s">
        <v>257</v>
      </c>
      <c r="R1035" s="255" t="s">
        <v>226</v>
      </c>
      <c r="S1035" s="1" t="s">
        <v>649</v>
      </c>
      <c r="T1035" t="s">
        <v>654</v>
      </c>
      <c r="U1035" t="s">
        <v>655</v>
      </c>
      <c r="V1035">
        <v>0</v>
      </c>
      <c r="W1035">
        <v>0</v>
      </c>
      <c r="X1035">
        <v>0</v>
      </c>
      <c r="Y1035">
        <v>0</v>
      </c>
      <c r="Z1035">
        <v>0</v>
      </c>
      <c r="AA1035">
        <v>0</v>
      </c>
      <c r="AB1035">
        <v>0</v>
      </c>
      <c r="AC1035">
        <v>0</v>
      </c>
      <c r="AD1035">
        <v>0</v>
      </c>
      <c r="AE1035">
        <v>0</v>
      </c>
      <c r="AF1035">
        <v>0</v>
      </c>
      <c r="AG1035">
        <v>0</v>
      </c>
      <c r="AH1035">
        <v>0</v>
      </c>
      <c r="AI1035">
        <v>0</v>
      </c>
      <c r="AJ1035">
        <v>0</v>
      </c>
      <c r="AK1035">
        <v>1</v>
      </c>
      <c r="AL1035">
        <v>0</v>
      </c>
      <c r="AM1035">
        <v>0</v>
      </c>
      <c r="AN1035">
        <v>0</v>
      </c>
      <c r="AO1035">
        <v>0</v>
      </c>
      <c r="AP1035">
        <v>0</v>
      </c>
      <c r="AQ1035">
        <v>0</v>
      </c>
      <c r="AR1035">
        <v>0</v>
      </c>
      <c r="AS1035">
        <v>0</v>
      </c>
      <c r="AT1035">
        <v>0</v>
      </c>
      <c r="AU1035">
        <v>0</v>
      </c>
      <c r="AV1035">
        <v>0</v>
      </c>
      <c r="AW1035">
        <v>0</v>
      </c>
      <c r="AX1035" s="141">
        <f t="shared" si="266"/>
        <v>1</v>
      </c>
      <c r="AY1035" s="141">
        <f t="shared" si="235"/>
        <v>1</v>
      </c>
      <c r="AZ1035">
        <f t="shared" si="236"/>
        <v>0</v>
      </c>
      <c r="BA1035">
        <f t="shared" si="237"/>
        <v>0</v>
      </c>
      <c r="BB1035">
        <f t="shared" si="238"/>
        <v>1</v>
      </c>
      <c r="BC1035">
        <f t="shared" si="239"/>
        <v>0</v>
      </c>
      <c r="BD1035">
        <f t="shared" si="240"/>
        <v>0</v>
      </c>
      <c r="BE1035" t="str">
        <f t="array" ref="BE1035">IF(AY1035=1,INDEX($V$7:$AL$7,MATCH(TRUE,INDEX($V1035:$AW1035&lt;&gt;0,),0)),IF(AY1035=0,INDEX($AM$7:$AW$7,MATCH(1,$AM1035:$AW1035,0)),IF(BF1035="Multiple strategies","mixed drivers",IF(BF1035="Supply chain","multiple supply","multiple silviculture"))))</f>
        <v>technologies/design switch</v>
      </c>
      <c r="BF1035" s="2" t="str" cm="1">
        <f t="array" ref="BF1035">IF(COUNTIF(AZ1035:BB1035,"&lt;&gt;0")=1,INDEX($V$4:$AW$4,MATCH(TRUE,INDEX($V1035:$AW1035&lt;&gt;0,),0)),IF(COUNTIF(AZ1035:BB1035,"&lt;&gt;0")=0,INDEX($AM$4:$AW$4,MATCH(1,$AM1035:$AW1035,0)),"Multiple strategies"))</f>
        <v>Technology</v>
      </c>
      <c r="BG1035" s="1" t="s">
        <v>230</v>
      </c>
      <c r="BH1035" t="s">
        <v>652</v>
      </c>
      <c r="BI1035" s="260" t="s">
        <v>3310</v>
      </c>
      <c r="BJ1035" t="s">
        <v>653</v>
      </c>
      <c r="BK1035" s="260">
        <f t="shared" si="283"/>
        <v>96</v>
      </c>
      <c r="BL1035" s="260">
        <v>124</v>
      </c>
      <c r="BN1035">
        <f t="shared" si="275"/>
        <v>28</v>
      </c>
      <c r="BO1035">
        <f t="shared" si="276"/>
        <v>57.142857142857146</v>
      </c>
      <c r="BP1035" t="s">
        <v>233</v>
      </c>
      <c r="BQ1035" s="260" t="s">
        <v>3312</v>
      </c>
      <c r="BR1035" t="s">
        <v>263</v>
      </c>
      <c r="BS1035">
        <v>33</v>
      </c>
      <c r="BT1035">
        <v>39</v>
      </c>
      <c r="BU1035" s="144">
        <v>1.1818181818181819</v>
      </c>
      <c r="BV1035">
        <v>6</v>
      </c>
      <c r="BX1035">
        <f t="shared" si="271"/>
        <v>6.0000000000000001E-3</v>
      </c>
      <c r="BY1035">
        <f t="shared" si="262"/>
        <v>1.0499999999999999E-4</v>
      </c>
      <c r="BZ1035">
        <v>0</v>
      </c>
      <c r="CA1035">
        <v>0</v>
      </c>
      <c r="CB1035">
        <v>0</v>
      </c>
      <c r="CC1035">
        <v>0</v>
      </c>
      <c r="CD1035">
        <v>0</v>
      </c>
      <c r="CE1035">
        <v>0</v>
      </c>
      <c r="CF1035">
        <v>0</v>
      </c>
      <c r="CG1035">
        <v>0</v>
      </c>
      <c r="CH1035">
        <v>0</v>
      </c>
      <c r="CI1035">
        <v>0</v>
      </c>
      <c r="CJ1035">
        <v>0</v>
      </c>
      <c r="CK1035">
        <v>0</v>
      </c>
      <c r="CL1035">
        <v>0</v>
      </c>
      <c r="CM1035">
        <v>0</v>
      </c>
      <c r="CN1035" t="str">
        <f t="shared" si="254"/>
        <v>refOK</v>
      </c>
      <c r="CO1035">
        <f t="shared" si="284"/>
        <v>96</v>
      </c>
      <c r="CP1035">
        <f t="shared" si="285"/>
        <v>124</v>
      </c>
      <c r="CQ1035">
        <f t="shared" si="274"/>
        <v>57.142857142857146</v>
      </c>
      <c r="CR1035">
        <f t="shared" si="286"/>
        <v>33</v>
      </c>
      <c r="CS1035">
        <f t="shared" si="287"/>
        <v>39</v>
      </c>
      <c r="CT1035">
        <f t="shared" si="267"/>
        <v>6.0000000000000001E-3</v>
      </c>
      <c r="CU1035">
        <f t="shared" si="258"/>
        <v>1.0499999999999999E-4</v>
      </c>
      <c r="CV1035" s="2">
        <f t="shared" si="268"/>
        <v>0.18181818181818182</v>
      </c>
      <c r="CW1035" s="1" t="s">
        <v>264</v>
      </c>
      <c r="CX1035" t="str">
        <f t="shared" si="242"/>
        <v>loc</v>
      </c>
      <c r="CY1035" t="s">
        <v>445</v>
      </c>
      <c r="DB1035">
        <v>50</v>
      </c>
      <c r="DC1035" t="str">
        <f t="shared" si="243"/>
        <v>31-70</v>
      </c>
      <c r="DD1035">
        <v>0</v>
      </c>
      <c r="DE1035">
        <v>0</v>
      </c>
      <c r="DF1035">
        <v>0</v>
      </c>
      <c r="DG1035">
        <v>1</v>
      </c>
      <c r="DI1035">
        <f t="shared" si="265"/>
        <v>1</v>
      </c>
      <c r="DJ1035" t="str">
        <f t="shared" si="257"/>
        <v>TimberInput</v>
      </c>
      <c r="DK1035">
        <f t="shared" si="277"/>
        <v>0</v>
      </c>
      <c r="DL1035">
        <f t="shared" si="278"/>
        <v>0</v>
      </c>
      <c r="DM1035">
        <f t="shared" si="279"/>
        <v>0</v>
      </c>
      <c r="DN1035" t="str">
        <f t="shared" si="280"/>
        <v>Timber</v>
      </c>
      <c r="DO1035">
        <v>0</v>
      </c>
      <c r="DP1035">
        <v>0</v>
      </c>
      <c r="DQ1035">
        <v>0</v>
      </c>
      <c r="DR1035">
        <v>0</v>
      </c>
      <c r="DS1035">
        <v>0</v>
      </c>
      <c r="DT1035">
        <f t="shared" si="260"/>
        <v>0</v>
      </c>
      <c r="DU1035" s="143" t="str">
        <f t="shared" si="245"/>
        <v>explicit C balance</v>
      </c>
      <c r="DV1035">
        <v>0</v>
      </c>
      <c r="DW1035">
        <v>0</v>
      </c>
      <c r="DX1035">
        <v>0</v>
      </c>
      <c r="DY1035">
        <v>1</v>
      </c>
      <c r="DZ1035">
        <v>0</v>
      </c>
      <c r="EA1035" s="143">
        <v>0</v>
      </c>
      <c r="EB1035">
        <v>0</v>
      </c>
      <c r="EC1035">
        <v>1</v>
      </c>
      <c r="ED1035">
        <v>0</v>
      </c>
      <c r="EE1035">
        <v>0</v>
      </c>
      <c r="EF1035">
        <v>0</v>
      </c>
      <c r="EG1035">
        <v>0</v>
      </c>
      <c r="EH1035">
        <v>0</v>
      </c>
      <c r="EI1035" s="2">
        <v>0</v>
      </c>
      <c r="EK1035" t="str">
        <f t="shared" si="281"/>
        <v/>
      </c>
      <c r="EL1035" t="str">
        <f t="shared" si="282"/>
        <v/>
      </c>
      <c r="EM1035" s="2" t="str">
        <f t="shared" si="244"/>
        <v/>
      </c>
      <c r="EP1035" t="str">
        <f>IF(ISNUMBER(BU1035),IF(ABS(BU1035-[4]QC_indicators!$B$2)&gt;3*[4]QC_indicators!$C$2,"C ratio",IF(ISNUMBER(BY1035),IF(ABS(BY1035-[4]QC_indicators!$B$1)&gt;3*[4]QC_indicators!$C$1,"DF","no"))),IF(ISNUMBER(BY1035),IF(ABS(BY1035-[4]QC_indicators!$B$1)&gt;3*[4]QC_indicators!$C$1,"DF","no")))</f>
        <v>no</v>
      </c>
      <c r="ER1035" s="149" t="s">
        <v>350</v>
      </c>
      <c r="ET1035" s="266" t="s">
        <v>3275</v>
      </c>
    </row>
    <row r="1036" spans="1:150" ht="15" hidden="1" customHeight="1">
      <c r="A1036" s="1" t="s">
        <v>248</v>
      </c>
      <c r="B1036" t="s">
        <v>643</v>
      </c>
      <c r="C1036" t="s">
        <v>644</v>
      </c>
      <c r="D1036" t="s">
        <v>645</v>
      </c>
      <c r="E1036" t="s">
        <v>646</v>
      </c>
      <c r="F1036" t="s">
        <v>647</v>
      </c>
      <c r="G1036" t="s">
        <v>254</v>
      </c>
      <c r="H1036" t="s">
        <v>255</v>
      </c>
      <c r="I1036">
        <v>2014</v>
      </c>
      <c r="J1036">
        <v>76</v>
      </c>
      <c r="K1036" t="s">
        <v>648</v>
      </c>
      <c r="M1036" t="str">
        <f t="shared" si="255"/>
        <v>Dodoo_2014</v>
      </c>
      <c r="N1036" t="s">
        <v>223</v>
      </c>
      <c r="O1036" s="145" t="s">
        <v>224</v>
      </c>
      <c r="Q1036" t="s">
        <v>257</v>
      </c>
      <c r="R1036" s="255" t="s">
        <v>226</v>
      </c>
      <c r="S1036" s="1" t="s">
        <v>649</v>
      </c>
      <c r="T1036" t="s">
        <v>650</v>
      </c>
      <c r="U1036" t="s">
        <v>651</v>
      </c>
      <c r="V1036">
        <v>0</v>
      </c>
      <c r="W1036">
        <v>0</v>
      </c>
      <c r="X1036">
        <v>0</v>
      </c>
      <c r="Y1036">
        <v>0</v>
      </c>
      <c r="Z1036">
        <v>0</v>
      </c>
      <c r="AA1036">
        <v>0</v>
      </c>
      <c r="AB1036">
        <v>0</v>
      </c>
      <c r="AC1036">
        <v>0</v>
      </c>
      <c r="AD1036">
        <v>0</v>
      </c>
      <c r="AE1036">
        <v>0</v>
      </c>
      <c r="AF1036">
        <v>0</v>
      </c>
      <c r="AG1036">
        <v>0</v>
      </c>
      <c r="AH1036">
        <v>0</v>
      </c>
      <c r="AI1036">
        <v>0</v>
      </c>
      <c r="AJ1036">
        <v>0</v>
      </c>
      <c r="AK1036">
        <v>1</v>
      </c>
      <c r="AL1036">
        <v>0</v>
      </c>
      <c r="AM1036">
        <v>0</v>
      </c>
      <c r="AN1036">
        <v>0</v>
      </c>
      <c r="AO1036">
        <v>0</v>
      </c>
      <c r="AP1036">
        <v>0</v>
      </c>
      <c r="AQ1036">
        <v>0</v>
      </c>
      <c r="AR1036">
        <v>0</v>
      </c>
      <c r="AS1036">
        <v>0</v>
      </c>
      <c r="AT1036">
        <v>0</v>
      </c>
      <c r="AU1036">
        <v>0</v>
      </c>
      <c r="AV1036">
        <v>0</v>
      </c>
      <c r="AW1036">
        <v>0</v>
      </c>
      <c r="AX1036" s="141">
        <f t="shared" si="266"/>
        <v>1</v>
      </c>
      <c r="AY1036" s="141">
        <f t="shared" si="235"/>
        <v>1</v>
      </c>
      <c r="AZ1036">
        <f t="shared" si="236"/>
        <v>0</v>
      </c>
      <c r="BA1036">
        <f t="shared" si="237"/>
        <v>0</v>
      </c>
      <c r="BB1036">
        <f t="shared" si="238"/>
        <v>1</v>
      </c>
      <c r="BC1036">
        <f t="shared" si="239"/>
        <v>0</v>
      </c>
      <c r="BD1036">
        <f t="shared" si="240"/>
        <v>0</v>
      </c>
      <c r="BE1036" t="str">
        <f t="array" ref="BE1036">IF(AY1036=1,INDEX($V$7:$AL$7,MATCH(TRUE,INDEX($V1036:$AW1036&lt;&gt;0,),0)),IF(AY1036=0,INDEX($AM$7:$AW$7,MATCH(1,$AM1036:$AW1036,0)),IF(BF1036="Multiple strategies","mixed drivers",IF(BF1036="Supply chain","multiple supply","multiple silviculture"))))</f>
        <v>technologies/design switch</v>
      </c>
      <c r="BF1036" s="2" t="str" cm="1">
        <f t="array" ref="BF1036">IF(COUNTIF(AZ1036:BB1036,"&lt;&gt;0")=1,INDEX($V$4:$AW$4,MATCH(TRUE,INDEX($V1036:$AW1036&lt;&gt;0,),0)),IF(COUNTIF(AZ1036:BB1036,"&lt;&gt;0")=0,INDEX($AM$4:$AW$4,MATCH(1,$AM1036:$AW1036,0)),"Multiple strategies"))</f>
        <v>Technology</v>
      </c>
      <c r="BG1036" s="1" t="s">
        <v>230</v>
      </c>
      <c r="BH1036" t="s">
        <v>652</v>
      </c>
      <c r="BI1036" s="260" t="s">
        <v>3310</v>
      </c>
      <c r="BJ1036" t="s">
        <v>653</v>
      </c>
      <c r="BK1036" s="260">
        <f t="shared" si="283"/>
        <v>96</v>
      </c>
      <c r="BL1036" s="260">
        <v>120</v>
      </c>
      <c r="BN1036">
        <f t="shared" si="275"/>
        <v>24</v>
      </c>
      <c r="BO1036">
        <f t="shared" si="276"/>
        <v>48.979591836734699</v>
      </c>
      <c r="BP1036" t="s">
        <v>233</v>
      </c>
      <c r="BQ1036" s="260" t="s">
        <v>3312</v>
      </c>
      <c r="BR1036" t="s">
        <v>263</v>
      </c>
      <c r="BS1036">
        <v>27</v>
      </c>
      <c r="BT1036">
        <v>38</v>
      </c>
      <c r="BU1036" s="144">
        <v>1.4074074074074074</v>
      </c>
      <c r="BV1036">
        <v>11</v>
      </c>
      <c r="BX1036">
        <f t="shared" si="271"/>
        <v>1.0999999999999999E-2</v>
      </c>
      <c r="BY1036">
        <f t="shared" si="262"/>
        <v>2.2458333333333331E-4</v>
      </c>
      <c r="BZ1036">
        <v>0</v>
      </c>
      <c r="CA1036">
        <v>0</v>
      </c>
      <c r="CB1036">
        <v>0</v>
      </c>
      <c r="CC1036">
        <v>0</v>
      </c>
      <c r="CD1036">
        <v>0</v>
      </c>
      <c r="CE1036">
        <v>0</v>
      </c>
      <c r="CF1036">
        <v>0</v>
      </c>
      <c r="CG1036">
        <v>0</v>
      </c>
      <c r="CH1036">
        <v>0</v>
      </c>
      <c r="CI1036">
        <v>0</v>
      </c>
      <c r="CJ1036">
        <v>0</v>
      </c>
      <c r="CK1036">
        <v>0</v>
      </c>
      <c r="CL1036">
        <v>0</v>
      </c>
      <c r="CM1036">
        <v>0</v>
      </c>
      <c r="CN1036" t="str">
        <f t="shared" si="254"/>
        <v>refOK</v>
      </c>
      <c r="CO1036">
        <f t="shared" si="284"/>
        <v>96</v>
      </c>
      <c r="CP1036">
        <f t="shared" si="285"/>
        <v>120</v>
      </c>
      <c r="CQ1036">
        <f t="shared" si="274"/>
        <v>48.979591836734699</v>
      </c>
      <c r="CR1036">
        <f t="shared" si="286"/>
        <v>27</v>
      </c>
      <c r="CS1036">
        <f t="shared" si="287"/>
        <v>38</v>
      </c>
      <c r="CT1036">
        <f t="shared" si="267"/>
        <v>1.0999999999999999E-2</v>
      </c>
      <c r="CU1036">
        <f t="shared" si="258"/>
        <v>2.2458333333333331E-4</v>
      </c>
      <c r="CV1036" s="2">
        <f t="shared" si="268"/>
        <v>0.40740740740740738</v>
      </c>
      <c r="CW1036" s="1" t="s">
        <v>264</v>
      </c>
      <c r="CX1036" t="str">
        <f t="shared" si="242"/>
        <v>loc</v>
      </c>
      <c r="CY1036" t="s">
        <v>445</v>
      </c>
      <c r="DB1036">
        <v>50</v>
      </c>
      <c r="DC1036" t="str">
        <f t="shared" si="243"/>
        <v>31-70</v>
      </c>
      <c r="DD1036">
        <v>0</v>
      </c>
      <c r="DE1036">
        <v>0</v>
      </c>
      <c r="DF1036">
        <v>0</v>
      </c>
      <c r="DG1036">
        <v>1</v>
      </c>
      <c r="DI1036">
        <f t="shared" si="265"/>
        <v>1</v>
      </c>
      <c r="DJ1036" t="str">
        <f t="shared" si="257"/>
        <v>TimberInput</v>
      </c>
      <c r="DK1036">
        <f t="shared" si="277"/>
        <v>0</v>
      </c>
      <c r="DL1036">
        <f t="shared" si="278"/>
        <v>0</v>
      </c>
      <c r="DM1036">
        <f t="shared" si="279"/>
        <v>0</v>
      </c>
      <c r="DN1036" t="str">
        <f t="shared" si="280"/>
        <v>Timber</v>
      </c>
      <c r="DO1036">
        <v>0</v>
      </c>
      <c r="DP1036">
        <v>0</v>
      </c>
      <c r="DQ1036">
        <v>0</v>
      </c>
      <c r="DR1036">
        <v>0</v>
      </c>
      <c r="DS1036">
        <v>0</v>
      </c>
      <c r="DT1036">
        <f t="shared" si="260"/>
        <v>0</v>
      </c>
      <c r="DU1036" s="143" t="str">
        <f t="shared" si="245"/>
        <v>explicit C balance</v>
      </c>
      <c r="DV1036">
        <v>0</v>
      </c>
      <c r="DW1036">
        <v>0</v>
      </c>
      <c r="DX1036">
        <v>0</v>
      </c>
      <c r="DY1036">
        <v>1</v>
      </c>
      <c r="DZ1036">
        <v>0</v>
      </c>
      <c r="EA1036" s="143">
        <v>0</v>
      </c>
      <c r="EB1036">
        <v>0</v>
      </c>
      <c r="EC1036">
        <v>1</v>
      </c>
      <c r="ED1036">
        <v>0</v>
      </c>
      <c r="EE1036">
        <v>0</v>
      </c>
      <c r="EF1036">
        <v>0</v>
      </c>
      <c r="EG1036">
        <v>0</v>
      </c>
      <c r="EH1036">
        <v>0</v>
      </c>
      <c r="EI1036" s="2">
        <v>0</v>
      </c>
      <c r="EK1036" t="str">
        <f t="shared" si="281"/>
        <v/>
      </c>
      <c r="EL1036" t="str">
        <f t="shared" si="282"/>
        <v/>
      </c>
      <c r="EM1036" s="2" t="str">
        <f t="shared" si="244"/>
        <v/>
      </c>
      <c r="EP1036" t="str">
        <f>IF(ISNUMBER(BU1036),IF(ABS(BU1036-[4]QC_indicators!$B$2)&gt;3*[4]QC_indicators!$C$2,"C ratio",IF(ISNUMBER(BY1036),IF(ABS(BY1036-[4]QC_indicators!$B$1)&gt;3*[4]QC_indicators!$C$1,"DF","no"))),IF(ISNUMBER(BY1036),IF(ABS(BY1036-[4]QC_indicators!$B$1)&gt;3*[4]QC_indicators!$C$1,"DF","no")))</f>
        <v>no</v>
      </c>
      <c r="ER1036" s="149" t="s">
        <v>350</v>
      </c>
      <c r="ET1036" s="266" t="s">
        <v>3275</v>
      </c>
    </row>
    <row r="1037" spans="1:150" ht="15" hidden="1" customHeight="1">
      <c r="A1037" s="1" t="s">
        <v>248</v>
      </c>
      <c r="B1037" t="s">
        <v>643</v>
      </c>
      <c r="C1037" t="s">
        <v>644</v>
      </c>
      <c r="D1037" t="s">
        <v>645</v>
      </c>
      <c r="E1037" t="s">
        <v>646</v>
      </c>
      <c r="F1037" t="s">
        <v>647</v>
      </c>
      <c r="G1037" t="s">
        <v>254</v>
      </c>
      <c r="H1037" t="s">
        <v>255</v>
      </c>
      <c r="I1037">
        <v>2014</v>
      </c>
      <c r="J1037">
        <v>76</v>
      </c>
      <c r="K1037" t="s">
        <v>648</v>
      </c>
      <c r="M1037" t="str">
        <f t="shared" si="255"/>
        <v>Dodoo_2014</v>
      </c>
      <c r="N1037" t="s">
        <v>223</v>
      </c>
      <c r="O1037" s="145" t="s">
        <v>224</v>
      </c>
      <c r="Q1037" t="s">
        <v>257</v>
      </c>
      <c r="R1037" s="255" t="s">
        <v>226</v>
      </c>
      <c r="S1037" s="1" t="s">
        <v>649</v>
      </c>
      <c r="T1037" t="s">
        <v>654</v>
      </c>
      <c r="U1037" t="s">
        <v>656</v>
      </c>
      <c r="V1037">
        <v>0</v>
      </c>
      <c r="W1037">
        <v>0</v>
      </c>
      <c r="X1037">
        <v>0</v>
      </c>
      <c r="Y1037">
        <v>0</v>
      </c>
      <c r="Z1037">
        <v>0</v>
      </c>
      <c r="AA1037">
        <v>0</v>
      </c>
      <c r="AB1037">
        <v>0</v>
      </c>
      <c r="AC1037">
        <v>0</v>
      </c>
      <c r="AD1037">
        <v>0</v>
      </c>
      <c r="AE1037">
        <v>0</v>
      </c>
      <c r="AF1037">
        <v>0</v>
      </c>
      <c r="AG1037">
        <v>0</v>
      </c>
      <c r="AH1037">
        <v>0</v>
      </c>
      <c r="AI1037">
        <v>0</v>
      </c>
      <c r="AJ1037">
        <v>0</v>
      </c>
      <c r="AK1037">
        <v>1</v>
      </c>
      <c r="AL1037">
        <v>0</v>
      </c>
      <c r="AM1037">
        <v>0</v>
      </c>
      <c r="AN1037">
        <v>0</v>
      </c>
      <c r="AO1037">
        <v>0</v>
      </c>
      <c r="AP1037">
        <v>0</v>
      </c>
      <c r="AQ1037">
        <v>0</v>
      </c>
      <c r="AR1037">
        <v>0</v>
      </c>
      <c r="AS1037">
        <v>0</v>
      </c>
      <c r="AT1037">
        <v>0</v>
      </c>
      <c r="AU1037">
        <v>0</v>
      </c>
      <c r="AV1037">
        <v>0</v>
      </c>
      <c r="AW1037">
        <v>0</v>
      </c>
      <c r="AX1037" s="141">
        <f t="shared" si="266"/>
        <v>1</v>
      </c>
      <c r="AY1037" s="141">
        <f t="shared" si="235"/>
        <v>1</v>
      </c>
      <c r="AZ1037">
        <f t="shared" si="236"/>
        <v>0</v>
      </c>
      <c r="BA1037">
        <f t="shared" si="237"/>
        <v>0</v>
      </c>
      <c r="BB1037">
        <f t="shared" si="238"/>
        <v>1</v>
      </c>
      <c r="BC1037">
        <f t="shared" si="239"/>
        <v>0</v>
      </c>
      <c r="BD1037">
        <f t="shared" si="240"/>
        <v>0</v>
      </c>
      <c r="BE1037" t="str">
        <f t="array" ref="BE1037">IF(AY1037=1,INDEX($V$7:$AL$7,MATCH(TRUE,INDEX($V1037:$AW1037&lt;&gt;0,),0)),IF(AY1037=0,INDEX($AM$7:$AW$7,MATCH(1,$AM1037:$AW1037,0)),IF(BF1037="Multiple strategies","mixed drivers",IF(BF1037="Supply chain","multiple supply","multiple silviculture"))))</f>
        <v>technologies/design switch</v>
      </c>
      <c r="BF1037" s="2" t="str" cm="1">
        <f t="array" ref="BF1037">IF(COUNTIF(AZ1037:BB1037,"&lt;&gt;0")=1,INDEX($V$4:$AW$4,MATCH(TRUE,INDEX($V1037:$AW1037&lt;&gt;0,),0)),IF(COUNTIF(AZ1037:BB1037,"&lt;&gt;0")=0,INDEX($AM$4:$AW$4,MATCH(1,$AM1037:$AW1037,0)),"Multiple strategies"))</f>
        <v>Technology</v>
      </c>
      <c r="BG1037" s="1" t="s">
        <v>230</v>
      </c>
      <c r="BH1037" t="s">
        <v>652</v>
      </c>
      <c r="BI1037" s="260" t="s">
        <v>3310</v>
      </c>
      <c r="BJ1037" t="s">
        <v>653</v>
      </c>
      <c r="BK1037" s="260">
        <f t="shared" si="283"/>
        <v>96</v>
      </c>
      <c r="BL1037" s="260">
        <v>141</v>
      </c>
      <c r="BN1037">
        <f t="shared" si="275"/>
        <v>45</v>
      </c>
      <c r="BO1037">
        <f t="shared" si="276"/>
        <v>91.83673469387756</v>
      </c>
      <c r="BP1037" t="s">
        <v>233</v>
      </c>
      <c r="BQ1037" s="260" t="s">
        <v>3311</v>
      </c>
      <c r="BR1037" t="s">
        <v>263</v>
      </c>
      <c r="BS1037">
        <v>-145</v>
      </c>
      <c r="BT1037">
        <v>-133</v>
      </c>
      <c r="BU1037" s="144">
        <v>0.91724137931034477</v>
      </c>
      <c r="BV1037">
        <v>12</v>
      </c>
      <c r="BX1037">
        <f t="shared" si="271"/>
        <v>1.2E-2</v>
      </c>
      <c r="BY1037">
        <f t="shared" si="262"/>
        <v>1.3066666666666665E-4</v>
      </c>
      <c r="BZ1037">
        <v>0</v>
      </c>
      <c r="CA1037">
        <v>0</v>
      </c>
      <c r="CB1037">
        <v>0</v>
      </c>
      <c r="CC1037">
        <v>0</v>
      </c>
      <c r="CD1037">
        <v>0</v>
      </c>
      <c r="CE1037">
        <v>0</v>
      </c>
      <c r="CF1037">
        <v>0</v>
      </c>
      <c r="CG1037">
        <v>0</v>
      </c>
      <c r="CH1037">
        <v>0</v>
      </c>
      <c r="CI1037">
        <v>0</v>
      </c>
      <c r="CJ1037">
        <v>0</v>
      </c>
      <c r="CK1037">
        <v>0</v>
      </c>
      <c r="CL1037">
        <v>0</v>
      </c>
      <c r="CM1037">
        <v>0</v>
      </c>
      <c r="CN1037" t="str">
        <f t="shared" si="254"/>
        <v>refOK</v>
      </c>
      <c r="CO1037">
        <f t="shared" si="284"/>
        <v>96</v>
      </c>
      <c r="CP1037">
        <f t="shared" si="285"/>
        <v>141</v>
      </c>
      <c r="CQ1037">
        <f t="shared" si="274"/>
        <v>91.83673469387756</v>
      </c>
      <c r="CR1037">
        <f t="shared" si="286"/>
        <v>-145</v>
      </c>
      <c r="CS1037">
        <f t="shared" si="287"/>
        <v>-133</v>
      </c>
      <c r="CT1037">
        <f t="shared" si="267"/>
        <v>1.2E-2</v>
      </c>
      <c r="CU1037">
        <f t="shared" si="258"/>
        <v>1.3066666666666665E-4</v>
      </c>
      <c r="CV1037" s="2">
        <f t="shared" si="268"/>
        <v>8.2758620689655171E-2</v>
      </c>
      <c r="CW1037" s="1" t="s">
        <v>264</v>
      </c>
      <c r="CX1037" t="str">
        <f t="shared" si="242"/>
        <v>loc</v>
      </c>
      <c r="CY1037" t="s">
        <v>445</v>
      </c>
      <c r="DB1037">
        <v>50</v>
      </c>
      <c r="DC1037" t="str">
        <f t="shared" si="243"/>
        <v>31-70</v>
      </c>
      <c r="DD1037">
        <v>0</v>
      </c>
      <c r="DE1037">
        <v>0</v>
      </c>
      <c r="DF1037">
        <v>0</v>
      </c>
      <c r="DG1037">
        <v>1</v>
      </c>
      <c r="DI1037">
        <f t="shared" si="265"/>
        <v>1</v>
      </c>
      <c r="DJ1037" t="str">
        <f t="shared" si="257"/>
        <v>TimberInput</v>
      </c>
      <c r="DK1037">
        <f t="shared" si="277"/>
        <v>0</v>
      </c>
      <c r="DL1037">
        <f t="shared" si="278"/>
        <v>0</v>
      </c>
      <c r="DM1037">
        <f t="shared" si="279"/>
        <v>0</v>
      </c>
      <c r="DN1037" t="str">
        <f t="shared" si="280"/>
        <v>Timber</v>
      </c>
      <c r="DO1037">
        <v>0</v>
      </c>
      <c r="DP1037">
        <v>0</v>
      </c>
      <c r="DQ1037">
        <v>0</v>
      </c>
      <c r="DR1037">
        <v>0</v>
      </c>
      <c r="DS1037">
        <v>0</v>
      </c>
      <c r="DT1037">
        <f t="shared" si="260"/>
        <v>0</v>
      </c>
      <c r="DU1037" s="143" t="str">
        <f t="shared" si="245"/>
        <v>explicit C balance</v>
      </c>
      <c r="DV1037">
        <v>0</v>
      </c>
      <c r="DW1037">
        <v>0</v>
      </c>
      <c r="DX1037">
        <v>0</v>
      </c>
      <c r="DY1037">
        <v>0</v>
      </c>
      <c r="DZ1037">
        <v>0</v>
      </c>
      <c r="EA1037" s="143">
        <v>0</v>
      </c>
      <c r="EB1037">
        <v>0</v>
      </c>
      <c r="EC1037">
        <v>1</v>
      </c>
      <c r="ED1037">
        <v>0</v>
      </c>
      <c r="EE1037">
        <v>0</v>
      </c>
      <c r="EF1037">
        <v>0</v>
      </c>
      <c r="EG1037">
        <v>0</v>
      </c>
      <c r="EH1037">
        <v>0</v>
      </c>
      <c r="EI1037" s="2">
        <v>0</v>
      </c>
      <c r="EK1037" t="str">
        <f t="shared" si="281"/>
        <v/>
      </c>
      <c r="EL1037" t="str">
        <f t="shared" si="282"/>
        <v/>
      </c>
      <c r="EM1037" s="2" t="str">
        <f t="shared" si="244"/>
        <v/>
      </c>
      <c r="EP1037" t="str">
        <f>IF(ISNUMBER(BU1037),IF(ABS(BU1037-[4]QC_indicators!$B$2)&gt;3*[4]QC_indicators!$C$2,"C ratio",IF(ISNUMBER(BY1037),IF(ABS(BY1037-[4]QC_indicators!$B$1)&gt;3*[4]QC_indicators!$C$1,"DF","no"))),IF(ISNUMBER(BY1037),IF(ABS(BY1037-[4]QC_indicators!$B$1)&gt;3*[4]QC_indicators!$C$1,"DF","no")))</f>
        <v>no</v>
      </c>
      <c r="ER1037" s="149" t="s">
        <v>350</v>
      </c>
      <c r="ET1037" s="266" t="s">
        <v>3275</v>
      </c>
    </row>
    <row r="1038" spans="1:150" ht="15" hidden="1" customHeight="1">
      <c r="A1038" s="1" t="s">
        <v>248</v>
      </c>
      <c r="B1038" t="s">
        <v>643</v>
      </c>
      <c r="C1038" t="s">
        <v>644</v>
      </c>
      <c r="D1038" t="s">
        <v>645</v>
      </c>
      <c r="E1038" t="s">
        <v>646</v>
      </c>
      <c r="F1038" t="s">
        <v>647</v>
      </c>
      <c r="G1038" t="s">
        <v>254</v>
      </c>
      <c r="H1038" t="s">
        <v>255</v>
      </c>
      <c r="I1038">
        <v>2014</v>
      </c>
      <c r="J1038">
        <v>76</v>
      </c>
      <c r="K1038" t="s">
        <v>648</v>
      </c>
      <c r="M1038" t="str">
        <f t="shared" si="255"/>
        <v>Dodoo_2014</v>
      </c>
      <c r="N1038" t="s">
        <v>223</v>
      </c>
      <c r="O1038" s="145" t="s">
        <v>224</v>
      </c>
      <c r="Q1038" t="s">
        <v>257</v>
      </c>
      <c r="R1038" s="255" t="s">
        <v>226</v>
      </c>
      <c r="S1038" s="1" t="s">
        <v>649</v>
      </c>
      <c r="T1038" t="s">
        <v>650</v>
      </c>
      <c r="U1038" t="s">
        <v>657</v>
      </c>
      <c r="V1038">
        <v>0</v>
      </c>
      <c r="W1038">
        <v>0</v>
      </c>
      <c r="X1038">
        <v>0</v>
      </c>
      <c r="Y1038">
        <v>0</v>
      </c>
      <c r="Z1038">
        <v>0</v>
      </c>
      <c r="AA1038">
        <v>0</v>
      </c>
      <c r="AB1038">
        <v>0</v>
      </c>
      <c r="AC1038">
        <v>0</v>
      </c>
      <c r="AD1038">
        <v>0</v>
      </c>
      <c r="AE1038">
        <v>0</v>
      </c>
      <c r="AF1038">
        <v>0</v>
      </c>
      <c r="AG1038">
        <v>0</v>
      </c>
      <c r="AH1038">
        <v>0</v>
      </c>
      <c r="AI1038">
        <v>0</v>
      </c>
      <c r="AJ1038">
        <v>0</v>
      </c>
      <c r="AK1038">
        <v>1</v>
      </c>
      <c r="AL1038">
        <v>0</v>
      </c>
      <c r="AM1038">
        <v>0</v>
      </c>
      <c r="AN1038">
        <v>0</v>
      </c>
      <c r="AO1038">
        <v>0</v>
      </c>
      <c r="AP1038">
        <v>0</v>
      </c>
      <c r="AQ1038">
        <v>0</v>
      </c>
      <c r="AR1038">
        <v>0</v>
      </c>
      <c r="AS1038">
        <v>0</v>
      </c>
      <c r="AT1038">
        <v>0</v>
      </c>
      <c r="AU1038">
        <v>0</v>
      </c>
      <c r="AV1038">
        <v>0</v>
      </c>
      <c r="AW1038">
        <v>0</v>
      </c>
      <c r="AX1038" s="141">
        <f t="shared" si="266"/>
        <v>1</v>
      </c>
      <c r="AY1038" s="141">
        <f t="shared" si="235"/>
        <v>1</v>
      </c>
      <c r="AZ1038">
        <f t="shared" si="236"/>
        <v>0</v>
      </c>
      <c r="BA1038">
        <f t="shared" si="237"/>
        <v>0</v>
      </c>
      <c r="BB1038">
        <f t="shared" si="238"/>
        <v>1</v>
      </c>
      <c r="BC1038">
        <f t="shared" si="239"/>
        <v>0</v>
      </c>
      <c r="BD1038">
        <f t="shared" si="240"/>
        <v>0</v>
      </c>
      <c r="BE1038" t="str">
        <f t="array" ref="BE1038">IF(AY1038=1,INDEX($V$7:$AL$7,MATCH(TRUE,INDEX($V1038:$AW1038&lt;&gt;0,),0)),IF(AY1038=0,INDEX($AM$7:$AW$7,MATCH(1,$AM1038:$AW1038,0)),IF(BF1038="Multiple strategies","mixed drivers",IF(BF1038="Supply chain","multiple supply","multiple silviculture"))))</f>
        <v>technologies/design switch</v>
      </c>
      <c r="BF1038" s="2" t="str" cm="1">
        <f t="array" ref="BF1038">IF(COUNTIF(AZ1038:BB1038,"&lt;&gt;0")=1,INDEX($V$4:$AW$4,MATCH(TRUE,INDEX($V1038:$AW1038&lt;&gt;0,),0)),IF(COUNTIF(AZ1038:BB1038,"&lt;&gt;0")=0,INDEX($AM$4:$AW$4,MATCH(1,$AM1038:$AW1038,0)),"Multiple strategies"))</f>
        <v>Technology</v>
      </c>
      <c r="BG1038" s="1" t="s">
        <v>230</v>
      </c>
      <c r="BH1038" t="s">
        <v>652</v>
      </c>
      <c r="BI1038" s="260" t="s">
        <v>3310</v>
      </c>
      <c r="BJ1038" t="s">
        <v>653</v>
      </c>
      <c r="BK1038" s="260">
        <f t="shared" si="283"/>
        <v>96</v>
      </c>
      <c r="BL1038" s="260">
        <v>129.6</v>
      </c>
      <c r="BN1038">
        <f t="shared" si="275"/>
        <v>33.599999999999994</v>
      </c>
      <c r="BO1038">
        <f t="shared" si="276"/>
        <v>68.571428571428555</v>
      </c>
      <c r="BP1038" t="s">
        <v>233</v>
      </c>
      <c r="BQ1038" s="260" t="s">
        <v>3311</v>
      </c>
      <c r="BR1038" t="s">
        <v>263</v>
      </c>
      <c r="BS1038">
        <v>-139</v>
      </c>
      <c r="BT1038">
        <v>-120</v>
      </c>
      <c r="BU1038" s="144">
        <v>0.86330935251798557</v>
      </c>
      <c r="BV1038">
        <v>19</v>
      </c>
      <c r="BX1038">
        <f t="shared" si="271"/>
        <v>1.9E-2</v>
      </c>
      <c r="BY1038">
        <f t="shared" si="262"/>
        <v>2.7708333333333339E-4</v>
      </c>
      <c r="BZ1038">
        <v>0</v>
      </c>
      <c r="CA1038">
        <v>0</v>
      </c>
      <c r="CB1038">
        <v>0</v>
      </c>
      <c r="CC1038">
        <v>0</v>
      </c>
      <c r="CD1038">
        <v>0</v>
      </c>
      <c r="CE1038">
        <v>0</v>
      </c>
      <c r="CF1038">
        <v>0</v>
      </c>
      <c r="CG1038">
        <v>0</v>
      </c>
      <c r="CH1038">
        <v>0</v>
      </c>
      <c r="CI1038">
        <v>0</v>
      </c>
      <c r="CJ1038">
        <v>0</v>
      </c>
      <c r="CK1038">
        <v>0</v>
      </c>
      <c r="CL1038">
        <v>0</v>
      </c>
      <c r="CM1038">
        <v>0</v>
      </c>
      <c r="CN1038" t="str">
        <f t="shared" si="254"/>
        <v>refOK</v>
      </c>
      <c r="CO1038">
        <f t="shared" si="284"/>
        <v>96</v>
      </c>
      <c r="CP1038">
        <f t="shared" si="285"/>
        <v>129.6</v>
      </c>
      <c r="CQ1038">
        <f t="shared" si="274"/>
        <v>68.571428571428555</v>
      </c>
      <c r="CR1038">
        <f t="shared" si="286"/>
        <v>-139</v>
      </c>
      <c r="CS1038">
        <f t="shared" si="287"/>
        <v>-120</v>
      </c>
      <c r="CT1038">
        <f t="shared" si="267"/>
        <v>1.9E-2</v>
      </c>
      <c r="CU1038">
        <f t="shared" si="258"/>
        <v>2.7708333333333339E-4</v>
      </c>
      <c r="CV1038" s="2">
        <f t="shared" si="268"/>
        <v>0.1366906474820144</v>
      </c>
      <c r="CW1038" s="1" t="s">
        <v>264</v>
      </c>
      <c r="CX1038" t="str">
        <f t="shared" si="242"/>
        <v>loc</v>
      </c>
      <c r="CY1038" t="s">
        <v>445</v>
      </c>
      <c r="DB1038">
        <v>50</v>
      </c>
      <c r="DC1038" t="str">
        <f t="shared" si="243"/>
        <v>31-70</v>
      </c>
      <c r="DD1038">
        <v>0</v>
      </c>
      <c r="DE1038">
        <v>0</v>
      </c>
      <c r="DF1038">
        <v>0</v>
      </c>
      <c r="DG1038">
        <v>1</v>
      </c>
      <c r="DI1038">
        <f t="shared" si="265"/>
        <v>1</v>
      </c>
      <c r="DJ1038" t="str">
        <f t="shared" si="257"/>
        <v>TimberInput</v>
      </c>
      <c r="DK1038">
        <f t="shared" si="277"/>
        <v>0</v>
      </c>
      <c r="DL1038">
        <f t="shared" si="278"/>
        <v>0</v>
      </c>
      <c r="DM1038">
        <f t="shared" si="279"/>
        <v>0</v>
      </c>
      <c r="DN1038" t="str">
        <f t="shared" si="280"/>
        <v>Timber</v>
      </c>
      <c r="DO1038">
        <v>0</v>
      </c>
      <c r="DP1038">
        <v>0</v>
      </c>
      <c r="DQ1038">
        <v>0</v>
      </c>
      <c r="DR1038">
        <v>0</v>
      </c>
      <c r="DS1038">
        <v>0</v>
      </c>
      <c r="DT1038">
        <f t="shared" si="260"/>
        <v>0</v>
      </c>
      <c r="DU1038" s="143" t="str">
        <f t="shared" si="245"/>
        <v>explicit C balance</v>
      </c>
      <c r="DV1038">
        <v>0</v>
      </c>
      <c r="DW1038">
        <v>0</v>
      </c>
      <c r="DX1038">
        <v>0</v>
      </c>
      <c r="DY1038">
        <v>0</v>
      </c>
      <c r="DZ1038">
        <v>0</v>
      </c>
      <c r="EA1038" s="143">
        <v>0</v>
      </c>
      <c r="EB1038">
        <v>0</v>
      </c>
      <c r="EC1038">
        <v>1</v>
      </c>
      <c r="ED1038">
        <v>0</v>
      </c>
      <c r="EE1038">
        <v>0</v>
      </c>
      <c r="EF1038">
        <v>0</v>
      </c>
      <c r="EG1038">
        <v>0</v>
      </c>
      <c r="EH1038">
        <v>0</v>
      </c>
      <c r="EI1038" s="2">
        <v>0</v>
      </c>
      <c r="EK1038" t="str">
        <f t="shared" si="281"/>
        <v/>
      </c>
      <c r="EL1038" t="str">
        <f t="shared" si="282"/>
        <v/>
      </c>
      <c r="EM1038" s="2" t="str">
        <f t="shared" si="244"/>
        <v/>
      </c>
      <c r="EP1038" t="str">
        <f>IF(ISNUMBER(BU1038),IF(ABS(BU1038-[4]QC_indicators!$B$2)&gt;3*[4]QC_indicators!$C$2,"C ratio",IF(ISNUMBER(BY1038),IF(ABS(BY1038-[4]QC_indicators!$B$1)&gt;3*[4]QC_indicators!$C$1,"DF","no"))),IF(ISNUMBER(BY1038),IF(ABS(BY1038-[4]QC_indicators!$B$1)&gt;3*[4]QC_indicators!$C$1,"DF","no")))</f>
        <v>no</v>
      </c>
      <c r="ER1038" s="149" t="s">
        <v>350</v>
      </c>
      <c r="ET1038" s="266" t="s">
        <v>3275</v>
      </c>
    </row>
    <row r="1039" spans="1:150" ht="15" hidden="1" customHeight="1">
      <c r="A1039" s="1" t="s">
        <v>248</v>
      </c>
      <c r="B1039" t="s">
        <v>643</v>
      </c>
      <c r="C1039" t="s">
        <v>644</v>
      </c>
      <c r="D1039" t="s">
        <v>645</v>
      </c>
      <c r="E1039" t="s">
        <v>646</v>
      </c>
      <c r="F1039" t="s">
        <v>647</v>
      </c>
      <c r="G1039" t="s">
        <v>254</v>
      </c>
      <c r="H1039" t="s">
        <v>255</v>
      </c>
      <c r="I1039">
        <v>2014</v>
      </c>
      <c r="J1039">
        <v>76</v>
      </c>
      <c r="K1039" t="s">
        <v>648</v>
      </c>
      <c r="M1039" t="str">
        <f t="shared" si="255"/>
        <v>Dodoo_2014</v>
      </c>
      <c r="N1039" t="s">
        <v>223</v>
      </c>
      <c r="O1039" s="145" t="s">
        <v>224</v>
      </c>
      <c r="Q1039" t="s">
        <v>257</v>
      </c>
      <c r="R1039" s="255" t="s">
        <v>226</v>
      </c>
      <c r="S1039" s="1" t="s">
        <v>649</v>
      </c>
      <c r="T1039" t="s">
        <v>654</v>
      </c>
      <c r="U1039" t="s">
        <v>656</v>
      </c>
      <c r="V1039">
        <v>0</v>
      </c>
      <c r="W1039">
        <v>0</v>
      </c>
      <c r="X1039">
        <v>0</v>
      </c>
      <c r="Y1039">
        <v>0</v>
      </c>
      <c r="Z1039">
        <v>0</v>
      </c>
      <c r="AA1039">
        <v>0</v>
      </c>
      <c r="AB1039">
        <v>0</v>
      </c>
      <c r="AC1039">
        <v>0</v>
      </c>
      <c r="AD1039">
        <v>0</v>
      </c>
      <c r="AE1039">
        <v>0</v>
      </c>
      <c r="AF1039">
        <v>0</v>
      </c>
      <c r="AG1039">
        <v>0</v>
      </c>
      <c r="AH1039">
        <v>0</v>
      </c>
      <c r="AI1039">
        <v>0</v>
      </c>
      <c r="AJ1039">
        <v>0</v>
      </c>
      <c r="AK1039">
        <v>1</v>
      </c>
      <c r="AL1039">
        <v>0</v>
      </c>
      <c r="AM1039">
        <v>0</v>
      </c>
      <c r="AN1039">
        <v>0</v>
      </c>
      <c r="AO1039">
        <v>0</v>
      </c>
      <c r="AP1039">
        <v>0</v>
      </c>
      <c r="AQ1039">
        <v>0</v>
      </c>
      <c r="AR1039">
        <v>0</v>
      </c>
      <c r="AS1039">
        <v>0</v>
      </c>
      <c r="AT1039">
        <v>0</v>
      </c>
      <c r="AU1039">
        <v>0</v>
      </c>
      <c r="AV1039">
        <v>0</v>
      </c>
      <c r="AW1039">
        <v>0</v>
      </c>
      <c r="AX1039" s="141">
        <f t="shared" si="266"/>
        <v>1</v>
      </c>
      <c r="AY1039" s="141">
        <f t="shared" si="235"/>
        <v>1</v>
      </c>
      <c r="AZ1039">
        <f t="shared" si="236"/>
        <v>0</v>
      </c>
      <c r="BA1039">
        <f t="shared" si="237"/>
        <v>0</v>
      </c>
      <c r="BB1039">
        <f t="shared" si="238"/>
        <v>1</v>
      </c>
      <c r="BC1039">
        <f t="shared" si="239"/>
        <v>0</v>
      </c>
      <c r="BD1039">
        <f t="shared" si="240"/>
        <v>0</v>
      </c>
      <c r="BE1039" t="str">
        <f t="array" ref="BE1039">IF(AY1039=1,INDEX($V$7:$AL$7,MATCH(TRUE,INDEX($V1039:$AW1039&lt;&gt;0,),0)),IF(AY1039=0,INDEX($AM$7:$AW$7,MATCH(1,$AM1039:$AW1039,0)),IF(BF1039="Multiple strategies","mixed drivers",IF(BF1039="Supply chain","multiple supply","multiple silviculture"))))</f>
        <v>technologies/design switch</v>
      </c>
      <c r="BF1039" s="2" t="str" cm="1">
        <f t="array" ref="BF1039">IF(COUNTIF(AZ1039:BB1039,"&lt;&gt;0")=1,INDEX($V$4:$AW$4,MATCH(TRUE,INDEX($V1039:$AW1039&lt;&gt;0,),0)),IF(COUNTIF(AZ1039:BB1039,"&lt;&gt;0")=0,INDEX($AM$4:$AW$4,MATCH(1,$AM1039:$AW1039,0)),"Multiple strategies"))</f>
        <v>Technology</v>
      </c>
      <c r="BG1039" s="1" t="s">
        <v>230</v>
      </c>
      <c r="BH1039" t="s">
        <v>652</v>
      </c>
      <c r="BI1039" s="260" t="s">
        <v>3310</v>
      </c>
      <c r="BJ1039" t="s">
        <v>653</v>
      </c>
      <c r="BK1039" s="260">
        <f t="shared" si="283"/>
        <v>96</v>
      </c>
      <c r="BL1039" s="260">
        <v>141</v>
      </c>
      <c r="BN1039">
        <f t="shared" si="275"/>
        <v>45</v>
      </c>
      <c r="BO1039">
        <f t="shared" si="276"/>
        <v>91.83673469387756</v>
      </c>
      <c r="BP1039" t="s">
        <v>233</v>
      </c>
      <c r="BQ1039" s="260" t="s">
        <v>3312</v>
      </c>
      <c r="BR1039" t="s">
        <v>263</v>
      </c>
      <c r="BS1039">
        <v>33</v>
      </c>
      <c r="BT1039">
        <v>98</v>
      </c>
      <c r="BU1039" s="144">
        <v>2.9696969696969697</v>
      </c>
      <c r="BV1039">
        <v>65</v>
      </c>
      <c r="BX1039">
        <f t="shared" si="271"/>
        <v>6.5000000000000002E-2</v>
      </c>
      <c r="BY1039">
        <f t="shared" si="262"/>
        <v>7.0777777777777777E-4</v>
      </c>
      <c r="BZ1039">
        <v>0</v>
      </c>
      <c r="CA1039">
        <v>0</v>
      </c>
      <c r="CB1039">
        <v>0</v>
      </c>
      <c r="CC1039">
        <v>0</v>
      </c>
      <c r="CD1039">
        <v>0</v>
      </c>
      <c r="CE1039">
        <v>0</v>
      </c>
      <c r="CF1039">
        <v>0</v>
      </c>
      <c r="CG1039">
        <v>0</v>
      </c>
      <c r="CH1039">
        <v>0</v>
      </c>
      <c r="CI1039">
        <v>0</v>
      </c>
      <c r="CJ1039">
        <v>0</v>
      </c>
      <c r="CK1039">
        <v>0</v>
      </c>
      <c r="CL1039">
        <v>0</v>
      </c>
      <c r="CM1039">
        <v>0</v>
      </c>
      <c r="CN1039" t="str">
        <f t="shared" si="254"/>
        <v>refOK</v>
      </c>
      <c r="CO1039">
        <f t="shared" si="284"/>
        <v>96</v>
      </c>
      <c r="CP1039">
        <f t="shared" si="285"/>
        <v>141</v>
      </c>
      <c r="CQ1039">
        <f t="shared" si="274"/>
        <v>91.83673469387756</v>
      </c>
      <c r="CR1039">
        <f t="shared" si="286"/>
        <v>33</v>
      </c>
      <c r="CS1039">
        <f t="shared" si="287"/>
        <v>98</v>
      </c>
      <c r="CT1039">
        <f t="shared" si="267"/>
        <v>6.5000000000000002E-2</v>
      </c>
      <c r="CU1039">
        <f t="shared" si="258"/>
        <v>7.0777777777777777E-4</v>
      </c>
      <c r="CV1039" s="2">
        <f t="shared" si="268"/>
        <v>1.9696969696969697</v>
      </c>
      <c r="CW1039" s="1" t="s">
        <v>264</v>
      </c>
      <c r="CX1039" t="str">
        <f t="shared" si="242"/>
        <v>loc</v>
      </c>
      <c r="CY1039" t="s">
        <v>445</v>
      </c>
      <c r="DB1039">
        <v>50</v>
      </c>
      <c r="DC1039" t="str">
        <f t="shared" si="243"/>
        <v>31-70</v>
      </c>
      <c r="DD1039">
        <v>0</v>
      </c>
      <c r="DE1039">
        <v>0</v>
      </c>
      <c r="DF1039">
        <v>0</v>
      </c>
      <c r="DG1039">
        <v>1</v>
      </c>
      <c r="DI1039">
        <f t="shared" si="265"/>
        <v>1</v>
      </c>
      <c r="DJ1039" t="str">
        <f t="shared" si="257"/>
        <v>TimberInput</v>
      </c>
      <c r="DK1039">
        <f t="shared" si="277"/>
        <v>0</v>
      </c>
      <c r="DL1039">
        <f t="shared" si="278"/>
        <v>0</v>
      </c>
      <c r="DM1039">
        <f t="shared" si="279"/>
        <v>0</v>
      </c>
      <c r="DN1039" t="str">
        <f t="shared" si="280"/>
        <v>Timber</v>
      </c>
      <c r="DO1039">
        <v>0</v>
      </c>
      <c r="DP1039">
        <v>0</v>
      </c>
      <c r="DQ1039">
        <v>0</v>
      </c>
      <c r="DR1039">
        <v>0</v>
      </c>
      <c r="DS1039">
        <v>0</v>
      </c>
      <c r="DT1039">
        <f t="shared" si="260"/>
        <v>0</v>
      </c>
      <c r="DU1039" s="143" t="str">
        <f t="shared" si="245"/>
        <v>explicit C balance</v>
      </c>
      <c r="DV1039">
        <v>0</v>
      </c>
      <c r="DW1039">
        <v>0</v>
      </c>
      <c r="DX1039">
        <v>0</v>
      </c>
      <c r="DY1039">
        <v>1</v>
      </c>
      <c r="DZ1039">
        <v>0</v>
      </c>
      <c r="EA1039" s="143">
        <v>0</v>
      </c>
      <c r="EB1039">
        <v>0</v>
      </c>
      <c r="EC1039">
        <v>1</v>
      </c>
      <c r="ED1039">
        <v>0</v>
      </c>
      <c r="EE1039">
        <v>0</v>
      </c>
      <c r="EF1039">
        <v>0</v>
      </c>
      <c r="EG1039">
        <v>0</v>
      </c>
      <c r="EH1039">
        <v>0</v>
      </c>
      <c r="EI1039" s="2">
        <v>0</v>
      </c>
      <c r="EK1039" t="str">
        <f t="shared" si="281"/>
        <v/>
      </c>
      <c r="EL1039" t="str">
        <f t="shared" si="282"/>
        <v/>
      </c>
      <c r="EM1039" s="2" t="str">
        <f t="shared" si="244"/>
        <v/>
      </c>
      <c r="EP1039" t="str">
        <f>IF(ISNUMBER(BU1039),IF(ABS(BU1039-[4]QC_indicators!$B$2)&gt;3*[4]QC_indicators!$C$2,"C ratio",IF(ISNUMBER(BY1039),IF(ABS(BY1039-[4]QC_indicators!$B$1)&gt;3*[4]QC_indicators!$C$1,"DF","no"))),IF(ISNUMBER(BY1039),IF(ABS(BY1039-[4]QC_indicators!$B$1)&gt;3*[4]QC_indicators!$C$1,"DF","no")))</f>
        <v>no</v>
      </c>
      <c r="ER1039" s="149" t="s">
        <v>350</v>
      </c>
      <c r="ET1039" s="266" t="s">
        <v>3275</v>
      </c>
    </row>
    <row r="1040" spans="1:150" ht="15" hidden="1" customHeight="1">
      <c r="A1040" s="1" t="s">
        <v>248</v>
      </c>
      <c r="B1040" t="s">
        <v>643</v>
      </c>
      <c r="C1040" t="s">
        <v>644</v>
      </c>
      <c r="D1040" t="s">
        <v>645</v>
      </c>
      <c r="E1040" t="s">
        <v>646</v>
      </c>
      <c r="F1040" t="s">
        <v>647</v>
      </c>
      <c r="G1040" t="s">
        <v>254</v>
      </c>
      <c r="H1040" t="s">
        <v>255</v>
      </c>
      <c r="I1040">
        <v>2014</v>
      </c>
      <c r="J1040">
        <v>76</v>
      </c>
      <c r="K1040" t="s">
        <v>648</v>
      </c>
      <c r="M1040" t="str">
        <f t="shared" si="255"/>
        <v>Dodoo_2014</v>
      </c>
      <c r="N1040" t="s">
        <v>223</v>
      </c>
      <c r="O1040" s="145" t="s">
        <v>224</v>
      </c>
      <c r="Q1040" t="s">
        <v>257</v>
      </c>
      <c r="R1040" s="255" t="s">
        <v>226</v>
      </c>
      <c r="S1040" s="1" t="s">
        <v>649</v>
      </c>
      <c r="T1040" t="s">
        <v>650</v>
      </c>
      <c r="U1040" t="s">
        <v>657</v>
      </c>
      <c r="V1040">
        <v>0</v>
      </c>
      <c r="W1040">
        <v>0</v>
      </c>
      <c r="X1040">
        <v>0</v>
      </c>
      <c r="Y1040">
        <v>0</v>
      </c>
      <c r="Z1040">
        <v>0</v>
      </c>
      <c r="AA1040">
        <v>0</v>
      </c>
      <c r="AB1040">
        <v>0</v>
      </c>
      <c r="AC1040">
        <v>0</v>
      </c>
      <c r="AD1040">
        <v>0</v>
      </c>
      <c r="AE1040">
        <v>0</v>
      </c>
      <c r="AF1040">
        <v>0</v>
      </c>
      <c r="AG1040">
        <v>0</v>
      </c>
      <c r="AH1040">
        <v>0</v>
      </c>
      <c r="AI1040">
        <v>0</v>
      </c>
      <c r="AJ1040">
        <v>0</v>
      </c>
      <c r="AK1040">
        <v>1</v>
      </c>
      <c r="AL1040">
        <v>0</v>
      </c>
      <c r="AM1040">
        <v>0</v>
      </c>
      <c r="AN1040">
        <v>0</v>
      </c>
      <c r="AO1040">
        <v>0</v>
      </c>
      <c r="AP1040">
        <v>0</v>
      </c>
      <c r="AQ1040">
        <v>0</v>
      </c>
      <c r="AR1040">
        <v>0</v>
      </c>
      <c r="AS1040">
        <v>0</v>
      </c>
      <c r="AT1040">
        <v>0</v>
      </c>
      <c r="AU1040">
        <v>0</v>
      </c>
      <c r="AV1040">
        <v>0</v>
      </c>
      <c r="AW1040">
        <v>0</v>
      </c>
      <c r="AX1040" s="141">
        <f t="shared" si="266"/>
        <v>1</v>
      </c>
      <c r="AY1040" s="141">
        <f t="shared" si="235"/>
        <v>1</v>
      </c>
      <c r="AZ1040">
        <f t="shared" si="236"/>
        <v>0</v>
      </c>
      <c r="BA1040">
        <f t="shared" si="237"/>
        <v>0</v>
      </c>
      <c r="BB1040">
        <f t="shared" si="238"/>
        <v>1</v>
      </c>
      <c r="BC1040">
        <f t="shared" si="239"/>
        <v>0</v>
      </c>
      <c r="BD1040">
        <f t="shared" si="240"/>
        <v>0</v>
      </c>
      <c r="BE1040" t="str">
        <f t="array" ref="BE1040">IF(AY1040=1,INDEX($V$7:$AL$7,MATCH(TRUE,INDEX($V1040:$AW1040&lt;&gt;0,),0)),IF(AY1040=0,INDEX($AM$7:$AW$7,MATCH(1,$AM1040:$AW1040,0)),IF(BF1040="Multiple strategies","mixed drivers",IF(BF1040="Supply chain","multiple supply","multiple silviculture"))))</f>
        <v>technologies/design switch</v>
      </c>
      <c r="BF1040" s="2" t="str" cm="1">
        <f t="array" ref="BF1040">IF(COUNTIF(AZ1040:BB1040,"&lt;&gt;0")=1,INDEX($V$4:$AW$4,MATCH(TRUE,INDEX($V1040:$AW1040&lt;&gt;0,),0)),IF(COUNTIF(AZ1040:BB1040,"&lt;&gt;0")=0,INDEX($AM$4:$AW$4,MATCH(1,$AM1040:$AW1040,0)),"Multiple strategies"))</f>
        <v>Technology</v>
      </c>
      <c r="BG1040" s="1" t="s">
        <v>230</v>
      </c>
      <c r="BH1040" t="s">
        <v>652</v>
      </c>
      <c r="BI1040" s="260" t="s">
        <v>3310</v>
      </c>
      <c r="BJ1040" t="s">
        <v>653</v>
      </c>
      <c r="BK1040" s="260">
        <f t="shared" si="283"/>
        <v>96</v>
      </c>
      <c r="BL1040" s="260">
        <v>129.6</v>
      </c>
      <c r="BN1040">
        <f t="shared" si="275"/>
        <v>33.599999999999994</v>
      </c>
      <c r="BO1040">
        <f t="shared" si="276"/>
        <v>68.571428571428555</v>
      </c>
      <c r="BP1040" t="s">
        <v>233</v>
      </c>
      <c r="BQ1040" s="260" t="s">
        <v>3312</v>
      </c>
      <c r="BR1040" t="s">
        <v>263</v>
      </c>
      <c r="BS1040">
        <v>27</v>
      </c>
      <c r="BT1040">
        <v>93</v>
      </c>
      <c r="BU1040" s="144">
        <v>3.4444444444444446</v>
      </c>
      <c r="BV1040">
        <v>66</v>
      </c>
      <c r="BX1040">
        <f t="shared" si="271"/>
        <v>6.6000000000000003E-2</v>
      </c>
      <c r="BY1040">
        <f t="shared" si="262"/>
        <v>9.6250000000000025E-4</v>
      </c>
      <c r="BZ1040">
        <v>0</v>
      </c>
      <c r="CA1040">
        <v>0</v>
      </c>
      <c r="CB1040">
        <v>0</v>
      </c>
      <c r="CC1040">
        <v>0</v>
      </c>
      <c r="CD1040">
        <v>0</v>
      </c>
      <c r="CE1040">
        <v>0</v>
      </c>
      <c r="CF1040">
        <v>0</v>
      </c>
      <c r="CG1040">
        <v>0</v>
      </c>
      <c r="CH1040">
        <v>0</v>
      </c>
      <c r="CI1040">
        <v>0</v>
      </c>
      <c r="CJ1040">
        <v>0</v>
      </c>
      <c r="CK1040">
        <v>0</v>
      </c>
      <c r="CL1040">
        <v>0</v>
      </c>
      <c r="CM1040">
        <v>0</v>
      </c>
      <c r="CN1040" t="str">
        <f t="shared" si="254"/>
        <v>refOK</v>
      </c>
      <c r="CO1040">
        <f t="shared" si="284"/>
        <v>96</v>
      </c>
      <c r="CP1040">
        <f t="shared" si="285"/>
        <v>129.6</v>
      </c>
      <c r="CQ1040">
        <f t="shared" si="274"/>
        <v>68.571428571428555</v>
      </c>
      <c r="CR1040">
        <f t="shared" si="286"/>
        <v>27</v>
      </c>
      <c r="CS1040">
        <f t="shared" si="287"/>
        <v>93</v>
      </c>
      <c r="CT1040">
        <f t="shared" si="267"/>
        <v>6.6000000000000003E-2</v>
      </c>
      <c r="CU1040">
        <f t="shared" si="258"/>
        <v>9.6250000000000025E-4</v>
      </c>
      <c r="CV1040" s="2">
        <f t="shared" si="268"/>
        <v>2.4444444444444446</v>
      </c>
      <c r="CW1040" s="1" t="s">
        <v>264</v>
      </c>
      <c r="CX1040" t="str">
        <f t="shared" si="242"/>
        <v>loc</v>
      </c>
      <c r="CY1040" t="s">
        <v>445</v>
      </c>
      <c r="DB1040">
        <v>50</v>
      </c>
      <c r="DC1040" t="str">
        <f t="shared" si="243"/>
        <v>31-70</v>
      </c>
      <c r="DD1040">
        <v>0</v>
      </c>
      <c r="DE1040">
        <v>0</v>
      </c>
      <c r="DF1040">
        <v>0</v>
      </c>
      <c r="DG1040">
        <v>1</v>
      </c>
      <c r="DI1040">
        <f t="shared" si="265"/>
        <v>1</v>
      </c>
      <c r="DJ1040" t="str">
        <f t="shared" si="257"/>
        <v>TimberInput</v>
      </c>
      <c r="DK1040">
        <f t="shared" si="277"/>
        <v>0</v>
      </c>
      <c r="DL1040">
        <f t="shared" si="278"/>
        <v>0</v>
      </c>
      <c r="DM1040">
        <f t="shared" si="279"/>
        <v>0</v>
      </c>
      <c r="DN1040" t="str">
        <f t="shared" si="280"/>
        <v>Timber</v>
      </c>
      <c r="DO1040">
        <v>0</v>
      </c>
      <c r="DP1040">
        <v>0</v>
      </c>
      <c r="DQ1040">
        <v>0</v>
      </c>
      <c r="DR1040">
        <v>0</v>
      </c>
      <c r="DS1040">
        <v>0</v>
      </c>
      <c r="DT1040">
        <f t="shared" si="260"/>
        <v>0</v>
      </c>
      <c r="DU1040" s="143" t="str">
        <f t="shared" si="245"/>
        <v>explicit C balance</v>
      </c>
      <c r="DV1040">
        <v>0</v>
      </c>
      <c r="DW1040">
        <v>0</v>
      </c>
      <c r="DX1040">
        <v>0</v>
      </c>
      <c r="DY1040">
        <v>1</v>
      </c>
      <c r="DZ1040">
        <v>0</v>
      </c>
      <c r="EA1040" s="143">
        <v>0</v>
      </c>
      <c r="EB1040">
        <v>0</v>
      </c>
      <c r="EC1040">
        <v>1</v>
      </c>
      <c r="ED1040">
        <v>0</v>
      </c>
      <c r="EE1040">
        <v>0</v>
      </c>
      <c r="EF1040">
        <v>0</v>
      </c>
      <c r="EG1040">
        <v>0</v>
      </c>
      <c r="EH1040">
        <v>0</v>
      </c>
      <c r="EI1040" s="2">
        <v>0</v>
      </c>
      <c r="EK1040" t="str">
        <f t="shared" si="281"/>
        <v/>
      </c>
      <c r="EL1040" t="str">
        <f t="shared" si="282"/>
        <v/>
      </c>
      <c r="EM1040" s="2" t="str">
        <f t="shared" si="244"/>
        <v/>
      </c>
      <c r="EP1040" t="str">
        <f>IF(ISNUMBER(BU1040),IF(ABS(BU1040-[4]QC_indicators!$B$2)&gt;3*[4]QC_indicators!$C$2,"C ratio",IF(ISNUMBER(BY1040),IF(ABS(BY1040-[4]QC_indicators!$B$1)&gt;3*[4]QC_indicators!$C$1,"DF","no"))),IF(ISNUMBER(BY1040),IF(ABS(BY1040-[4]QC_indicators!$B$1)&gt;3*[4]QC_indicators!$C$1,"DF","no")))</f>
        <v>no</v>
      </c>
      <c r="ER1040" s="149" t="s">
        <v>350</v>
      </c>
      <c r="ET1040" s="266" t="s">
        <v>3275</v>
      </c>
    </row>
    <row r="1041" spans="1:150" ht="15" hidden="1" customHeight="1">
      <c r="A1041" s="1" t="s">
        <v>248</v>
      </c>
      <c r="B1041" t="s">
        <v>643</v>
      </c>
      <c r="C1041" t="s">
        <v>644</v>
      </c>
      <c r="D1041" t="s">
        <v>645</v>
      </c>
      <c r="E1041" t="s">
        <v>646</v>
      </c>
      <c r="F1041" t="s">
        <v>647</v>
      </c>
      <c r="G1041" t="s">
        <v>254</v>
      </c>
      <c r="H1041" t="s">
        <v>255</v>
      </c>
      <c r="I1041">
        <v>2014</v>
      </c>
      <c r="J1041">
        <v>76</v>
      </c>
      <c r="K1041" t="s">
        <v>648</v>
      </c>
      <c r="M1041" t="str">
        <f t="shared" si="255"/>
        <v>Dodoo_2014</v>
      </c>
      <c r="N1041" t="s">
        <v>223</v>
      </c>
      <c r="O1041" s="145" t="s">
        <v>224</v>
      </c>
      <c r="Q1041" t="s">
        <v>257</v>
      </c>
      <c r="R1041" s="255" t="s">
        <v>226</v>
      </c>
      <c r="S1041" s="1" t="s">
        <v>649</v>
      </c>
      <c r="T1041" t="s">
        <v>654</v>
      </c>
      <c r="U1041" t="s">
        <v>655</v>
      </c>
      <c r="V1041">
        <v>0</v>
      </c>
      <c r="W1041">
        <v>0</v>
      </c>
      <c r="X1041">
        <v>0</v>
      </c>
      <c r="Y1041">
        <v>0</v>
      </c>
      <c r="Z1041">
        <v>0</v>
      </c>
      <c r="AA1041">
        <v>0</v>
      </c>
      <c r="AB1041">
        <v>0</v>
      </c>
      <c r="AC1041">
        <v>0</v>
      </c>
      <c r="AD1041">
        <v>0</v>
      </c>
      <c r="AE1041">
        <v>0</v>
      </c>
      <c r="AF1041">
        <v>0</v>
      </c>
      <c r="AG1041">
        <v>0</v>
      </c>
      <c r="AH1041">
        <v>0</v>
      </c>
      <c r="AI1041">
        <v>0</v>
      </c>
      <c r="AJ1041">
        <v>0</v>
      </c>
      <c r="AK1041">
        <v>1</v>
      </c>
      <c r="AL1041">
        <v>0</v>
      </c>
      <c r="AM1041">
        <v>0</v>
      </c>
      <c r="AN1041">
        <v>0</v>
      </c>
      <c r="AO1041">
        <v>0</v>
      </c>
      <c r="AP1041">
        <v>0</v>
      </c>
      <c r="AQ1041">
        <v>0</v>
      </c>
      <c r="AR1041">
        <v>0</v>
      </c>
      <c r="AS1041">
        <v>0</v>
      </c>
      <c r="AT1041">
        <v>0</v>
      </c>
      <c r="AU1041">
        <v>0</v>
      </c>
      <c r="AV1041">
        <v>0</v>
      </c>
      <c r="AW1041">
        <v>0</v>
      </c>
      <c r="AX1041" s="141">
        <f t="shared" si="266"/>
        <v>1</v>
      </c>
      <c r="AY1041" s="141">
        <f t="shared" si="235"/>
        <v>1</v>
      </c>
      <c r="AZ1041">
        <f t="shared" si="236"/>
        <v>0</v>
      </c>
      <c r="BA1041">
        <f t="shared" si="237"/>
        <v>0</v>
      </c>
      <c r="BB1041">
        <f t="shared" si="238"/>
        <v>1</v>
      </c>
      <c r="BC1041">
        <f t="shared" si="239"/>
        <v>0</v>
      </c>
      <c r="BD1041">
        <f t="shared" si="240"/>
        <v>0</v>
      </c>
      <c r="BE1041" t="str">
        <f t="array" ref="BE1041">IF(AY1041=1,INDEX($V$7:$AL$7,MATCH(TRUE,INDEX($V1041:$AW1041&lt;&gt;0,),0)),IF(AY1041=0,INDEX($AM$7:$AW$7,MATCH(1,$AM1041:$AW1041,0)),IF(BF1041="Multiple strategies","mixed drivers",IF(BF1041="Supply chain","multiple supply","multiple silviculture"))))</f>
        <v>technologies/design switch</v>
      </c>
      <c r="BF1041" s="2" t="str" cm="1">
        <f t="array" ref="BF1041">IF(COUNTIF(AZ1041:BB1041,"&lt;&gt;0")=1,INDEX($V$4:$AW$4,MATCH(TRUE,INDEX($V1041:$AW1041&lt;&gt;0,),0)),IF(COUNTIF(AZ1041:BB1041,"&lt;&gt;0")=0,INDEX($AM$4:$AW$4,MATCH(1,$AM1041:$AW1041,0)),"Multiple strategies"))</f>
        <v>Technology</v>
      </c>
      <c r="BG1041" s="1" t="s">
        <v>230</v>
      </c>
      <c r="BH1041" t="s">
        <v>652</v>
      </c>
      <c r="BI1041" s="260" t="s">
        <v>3310</v>
      </c>
      <c r="BJ1041" t="s">
        <v>653</v>
      </c>
      <c r="BK1041" s="260">
        <f t="shared" si="283"/>
        <v>96</v>
      </c>
      <c r="BL1041" s="260">
        <v>124</v>
      </c>
      <c r="BN1041">
        <f t="shared" si="275"/>
        <v>28</v>
      </c>
      <c r="BO1041">
        <f t="shared" si="276"/>
        <v>57.142857142857146</v>
      </c>
      <c r="BP1041" t="s">
        <v>233</v>
      </c>
      <c r="BQ1041" s="260" t="s">
        <v>3313</v>
      </c>
      <c r="BR1041" t="s">
        <v>263</v>
      </c>
      <c r="BS1041">
        <v>257</v>
      </c>
      <c r="BT1041">
        <v>446</v>
      </c>
      <c r="BU1041" s="144">
        <v>1.7354085603112841</v>
      </c>
      <c r="BV1041">
        <v>189</v>
      </c>
      <c r="BX1041">
        <f t="shared" si="271"/>
        <v>0.189</v>
      </c>
      <c r="BY1041">
        <f t="shared" si="262"/>
        <v>3.3074999999999997E-3</v>
      </c>
      <c r="BZ1041">
        <v>0</v>
      </c>
      <c r="CA1041">
        <v>0</v>
      </c>
      <c r="CB1041">
        <v>0</v>
      </c>
      <c r="CC1041">
        <v>0</v>
      </c>
      <c r="CD1041">
        <v>0</v>
      </c>
      <c r="CE1041">
        <v>0</v>
      </c>
      <c r="CF1041">
        <v>0</v>
      </c>
      <c r="CG1041">
        <v>0</v>
      </c>
      <c r="CH1041">
        <v>0</v>
      </c>
      <c r="CI1041">
        <v>0</v>
      </c>
      <c r="CJ1041">
        <v>0</v>
      </c>
      <c r="CK1041">
        <v>0</v>
      </c>
      <c r="CL1041">
        <v>0</v>
      </c>
      <c r="CM1041">
        <v>0</v>
      </c>
      <c r="CN1041" t="str">
        <f t="shared" si="254"/>
        <v>refOK</v>
      </c>
      <c r="CO1041">
        <f t="shared" si="284"/>
        <v>96</v>
      </c>
      <c r="CP1041">
        <f t="shared" si="285"/>
        <v>124</v>
      </c>
      <c r="CQ1041">
        <f t="shared" si="274"/>
        <v>57.142857142857146</v>
      </c>
      <c r="CR1041">
        <f t="shared" si="286"/>
        <v>257</v>
      </c>
      <c r="CS1041">
        <f t="shared" si="287"/>
        <v>446</v>
      </c>
      <c r="CT1041">
        <f t="shared" si="267"/>
        <v>0.189</v>
      </c>
      <c r="CU1041">
        <f t="shared" si="258"/>
        <v>3.3074999999999997E-3</v>
      </c>
      <c r="CV1041" s="2">
        <f t="shared" si="268"/>
        <v>0.7354085603112841</v>
      </c>
      <c r="CW1041" s="1" t="s">
        <v>264</v>
      </c>
      <c r="CX1041" t="str">
        <f t="shared" si="242"/>
        <v>loc</v>
      </c>
      <c r="CY1041" t="s">
        <v>445</v>
      </c>
      <c r="DB1041">
        <v>50</v>
      </c>
      <c r="DC1041" t="str">
        <f t="shared" si="243"/>
        <v>31-70</v>
      </c>
      <c r="DD1041">
        <v>0</v>
      </c>
      <c r="DE1041">
        <v>0</v>
      </c>
      <c r="DF1041">
        <v>0</v>
      </c>
      <c r="DG1041">
        <v>1</v>
      </c>
      <c r="DI1041">
        <f t="shared" si="265"/>
        <v>1</v>
      </c>
      <c r="DJ1041" t="str">
        <f t="shared" si="257"/>
        <v>TimberInput</v>
      </c>
      <c r="DK1041">
        <f t="shared" si="277"/>
        <v>0</v>
      </c>
      <c r="DL1041">
        <f t="shared" si="278"/>
        <v>0</v>
      </c>
      <c r="DM1041">
        <f t="shared" si="279"/>
        <v>0</v>
      </c>
      <c r="DN1041" t="str">
        <f t="shared" si="280"/>
        <v>Timber</v>
      </c>
      <c r="DO1041">
        <v>0</v>
      </c>
      <c r="DP1041">
        <v>0</v>
      </c>
      <c r="DQ1041">
        <v>0</v>
      </c>
      <c r="DR1041">
        <v>0</v>
      </c>
      <c r="DS1041">
        <v>0</v>
      </c>
      <c r="DT1041">
        <f t="shared" si="260"/>
        <v>0</v>
      </c>
      <c r="DU1041" s="143" t="str">
        <f t="shared" si="245"/>
        <v>explicit C balance</v>
      </c>
      <c r="DV1041">
        <v>0</v>
      </c>
      <c r="DW1041">
        <v>0</v>
      </c>
      <c r="DX1041">
        <v>0</v>
      </c>
      <c r="DY1041">
        <v>1</v>
      </c>
      <c r="DZ1041">
        <v>0</v>
      </c>
      <c r="EA1041" s="266">
        <v>1</v>
      </c>
      <c r="EB1041">
        <v>0</v>
      </c>
      <c r="EC1041">
        <v>1</v>
      </c>
      <c r="ED1041">
        <v>0</v>
      </c>
      <c r="EE1041">
        <v>0</v>
      </c>
      <c r="EF1041">
        <v>0</v>
      </c>
      <c r="EG1041">
        <v>0</v>
      </c>
      <c r="EH1041">
        <v>0</v>
      </c>
      <c r="EI1041" s="2">
        <v>0</v>
      </c>
      <c r="EK1041" t="str">
        <f t="shared" si="281"/>
        <v/>
      </c>
      <c r="EL1041" t="str">
        <f t="shared" si="282"/>
        <v/>
      </c>
      <c r="EM1041" s="2" t="str">
        <f t="shared" si="244"/>
        <v/>
      </c>
      <c r="EP1041" t="str">
        <f>IF(ISNUMBER(BU1041),IF(ABS(BU1041-[4]QC_indicators!$B$2)&gt;3*[4]QC_indicators!$C$2,"C ratio",IF(ISNUMBER(BY1041),IF(ABS(BY1041-[4]QC_indicators!$B$1)&gt;3*[4]QC_indicators!$C$1,"DF","no"))),IF(ISNUMBER(BY1041),IF(ABS(BY1041-[4]QC_indicators!$B$1)&gt;3*[4]QC_indicators!$C$1,"DF","no")))</f>
        <v>no</v>
      </c>
      <c r="ER1041" s="149" t="s">
        <v>350</v>
      </c>
      <c r="ET1041" s="266" t="s">
        <v>3275</v>
      </c>
    </row>
    <row r="1042" spans="1:150" ht="15" hidden="1" customHeight="1">
      <c r="A1042" s="1" t="s">
        <v>248</v>
      </c>
      <c r="B1042" t="s">
        <v>643</v>
      </c>
      <c r="C1042" t="s">
        <v>644</v>
      </c>
      <c r="D1042" t="s">
        <v>645</v>
      </c>
      <c r="E1042" t="s">
        <v>646</v>
      </c>
      <c r="F1042" t="s">
        <v>647</v>
      </c>
      <c r="G1042" t="s">
        <v>254</v>
      </c>
      <c r="H1042" t="s">
        <v>255</v>
      </c>
      <c r="I1042">
        <v>2014</v>
      </c>
      <c r="J1042">
        <v>76</v>
      </c>
      <c r="K1042" t="s">
        <v>648</v>
      </c>
      <c r="M1042" t="str">
        <f t="shared" si="255"/>
        <v>Dodoo_2014</v>
      </c>
      <c r="N1042" t="s">
        <v>223</v>
      </c>
      <c r="O1042" s="145" t="s">
        <v>224</v>
      </c>
      <c r="Q1042" t="s">
        <v>257</v>
      </c>
      <c r="R1042" s="255" t="s">
        <v>226</v>
      </c>
      <c r="S1042" s="1" t="s">
        <v>649</v>
      </c>
      <c r="T1042" t="s">
        <v>650</v>
      </c>
      <c r="U1042" t="s">
        <v>651</v>
      </c>
      <c r="V1042">
        <v>0</v>
      </c>
      <c r="W1042">
        <v>0</v>
      </c>
      <c r="X1042">
        <v>0</v>
      </c>
      <c r="Y1042">
        <v>0</v>
      </c>
      <c r="Z1042">
        <v>0</v>
      </c>
      <c r="AA1042">
        <v>0</v>
      </c>
      <c r="AB1042">
        <v>0</v>
      </c>
      <c r="AC1042">
        <v>0</v>
      </c>
      <c r="AD1042">
        <v>0</v>
      </c>
      <c r="AE1042">
        <v>0</v>
      </c>
      <c r="AF1042">
        <v>0</v>
      </c>
      <c r="AG1042">
        <v>0</v>
      </c>
      <c r="AH1042">
        <v>0</v>
      </c>
      <c r="AI1042">
        <v>0</v>
      </c>
      <c r="AJ1042">
        <v>0</v>
      </c>
      <c r="AK1042">
        <v>1</v>
      </c>
      <c r="AL1042">
        <v>0</v>
      </c>
      <c r="AM1042">
        <v>0</v>
      </c>
      <c r="AN1042">
        <v>0</v>
      </c>
      <c r="AO1042">
        <v>0</v>
      </c>
      <c r="AP1042">
        <v>0</v>
      </c>
      <c r="AQ1042">
        <v>0</v>
      </c>
      <c r="AR1042">
        <v>0</v>
      </c>
      <c r="AS1042">
        <v>0</v>
      </c>
      <c r="AT1042">
        <v>0</v>
      </c>
      <c r="AU1042">
        <v>0</v>
      </c>
      <c r="AV1042">
        <v>0</v>
      </c>
      <c r="AW1042">
        <v>0</v>
      </c>
      <c r="AX1042" s="141">
        <f t="shared" si="266"/>
        <v>1</v>
      </c>
      <c r="AY1042" s="141">
        <f t="shared" si="235"/>
        <v>1</v>
      </c>
      <c r="AZ1042">
        <f t="shared" si="236"/>
        <v>0</v>
      </c>
      <c r="BA1042">
        <f t="shared" si="237"/>
        <v>0</v>
      </c>
      <c r="BB1042">
        <f t="shared" si="238"/>
        <v>1</v>
      </c>
      <c r="BC1042">
        <f t="shared" si="239"/>
        <v>0</v>
      </c>
      <c r="BD1042">
        <f t="shared" si="240"/>
        <v>0</v>
      </c>
      <c r="BE1042" t="str">
        <f t="array" ref="BE1042">IF(AY1042=1,INDEX($V$7:$AL$7,MATCH(TRUE,INDEX($V1042:$AW1042&lt;&gt;0,),0)),IF(AY1042=0,INDEX($AM$7:$AW$7,MATCH(1,$AM1042:$AW1042,0)),IF(BF1042="Multiple strategies","mixed drivers",IF(BF1042="Supply chain","multiple supply","multiple silviculture"))))</f>
        <v>technologies/design switch</v>
      </c>
      <c r="BF1042" s="2" t="str" cm="1">
        <f t="array" ref="BF1042">IF(COUNTIF(AZ1042:BB1042,"&lt;&gt;0")=1,INDEX($V$4:$AW$4,MATCH(TRUE,INDEX($V1042:$AW1042&lt;&gt;0,),0)),IF(COUNTIF(AZ1042:BB1042,"&lt;&gt;0")=0,INDEX($AM$4:$AW$4,MATCH(1,$AM1042:$AW1042,0)),"Multiple strategies"))</f>
        <v>Technology</v>
      </c>
      <c r="BG1042" s="1" t="s">
        <v>230</v>
      </c>
      <c r="BH1042" t="s">
        <v>652</v>
      </c>
      <c r="BI1042" s="260" t="s">
        <v>3310</v>
      </c>
      <c r="BJ1042" t="s">
        <v>653</v>
      </c>
      <c r="BK1042" s="260">
        <f t="shared" si="283"/>
        <v>96</v>
      </c>
      <c r="BL1042" s="260">
        <v>120</v>
      </c>
      <c r="BN1042">
        <f t="shared" si="275"/>
        <v>24</v>
      </c>
      <c r="BO1042">
        <f t="shared" si="276"/>
        <v>48.979591836734699</v>
      </c>
      <c r="BP1042" t="s">
        <v>233</v>
      </c>
      <c r="BQ1042" s="260" t="s">
        <v>3313</v>
      </c>
      <c r="BR1042" t="s">
        <v>263</v>
      </c>
      <c r="BS1042">
        <v>230</v>
      </c>
      <c r="BT1042">
        <v>434</v>
      </c>
      <c r="BU1042" s="144">
        <v>1.8869565217391304</v>
      </c>
      <c r="BV1042">
        <v>204</v>
      </c>
      <c r="BX1042">
        <f t="shared" si="271"/>
        <v>0.20399999999999999</v>
      </c>
      <c r="BY1042">
        <f t="shared" si="262"/>
        <v>4.1649999999999994E-3</v>
      </c>
      <c r="BZ1042">
        <v>0</v>
      </c>
      <c r="CA1042">
        <v>0</v>
      </c>
      <c r="CB1042">
        <v>0</v>
      </c>
      <c r="CC1042">
        <v>0</v>
      </c>
      <c r="CD1042">
        <v>0</v>
      </c>
      <c r="CE1042">
        <v>0</v>
      </c>
      <c r="CF1042">
        <v>0</v>
      </c>
      <c r="CG1042">
        <v>0</v>
      </c>
      <c r="CH1042">
        <v>0</v>
      </c>
      <c r="CI1042">
        <v>0</v>
      </c>
      <c r="CJ1042">
        <v>0</v>
      </c>
      <c r="CK1042">
        <v>0</v>
      </c>
      <c r="CL1042">
        <v>0</v>
      </c>
      <c r="CM1042">
        <v>0</v>
      </c>
      <c r="CN1042" t="str">
        <f t="shared" si="254"/>
        <v>refOK</v>
      </c>
      <c r="CO1042">
        <f t="shared" si="284"/>
        <v>96</v>
      </c>
      <c r="CP1042">
        <f t="shared" si="285"/>
        <v>120</v>
      </c>
      <c r="CQ1042">
        <f t="shared" si="274"/>
        <v>48.979591836734699</v>
      </c>
      <c r="CR1042">
        <f t="shared" si="286"/>
        <v>230</v>
      </c>
      <c r="CS1042">
        <f t="shared" si="287"/>
        <v>434</v>
      </c>
      <c r="CT1042">
        <f t="shared" si="267"/>
        <v>0.20399999999999999</v>
      </c>
      <c r="CU1042">
        <f t="shared" si="258"/>
        <v>4.1649999999999994E-3</v>
      </c>
      <c r="CV1042" s="2">
        <f t="shared" si="268"/>
        <v>0.88695652173913042</v>
      </c>
      <c r="CW1042" s="1" t="s">
        <v>264</v>
      </c>
      <c r="CX1042" t="str">
        <f t="shared" si="242"/>
        <v>loc</v>
      </c>
      <c r="CY1042" t="s">
        <v>445</v>
      </c>
      <c r="DB1042">
        <v>50</v>
      </c>
      <c r="DC1042" t="str">
        <f t="shared" si="243"/>
        <v>31-70</v>
      </c>
      <c r="DD1042">
        <v>0</v>
      </c>
      <c r="DE1042">
        <v>0</v>
      </c>
      <c r="DF1042">
        <v>0</v>
      </c>
      <c r="DG1042">
        <v>1</v>
      </c>
      <c r="DI1042">
        <f t="shared" si="265"/>
        <v>1</v>
      </c>
      <c r="DJ1042" t="str">
        <f t="shared" si="257"/>
        <v>TimberInput</v>
      </c>
      <c r="DK1042">
        <f t="shared" si="277"/>
        <v>0</v>
      </c>
      <c r="DL1042">
        <f t="shared" si="278"/>
        <v>0</v>
      </c>
      <c r="DM1042">
        <f t="shared" si="279"/>
        <v>0</v>
      </c>
      <c r="DN1042" t="str">
        <f t="shared" si="280"/>
        <v>Timber</v>
      </c>
      <c r="DO1042">
        <v>0</v>
      </c>
      <c r="DP1042">
        <v>0</v>
      </c>
      <c r="DQ1042">
        <v>0</v>
      </c>
      <c r="DR1042">
        <v>0</v>
      </c>
      <c r="DS1042">
        <v>0</v>
      </c>
      <c r="DT1042">
        <f t="shared" si="260"/>
        <v>0</v>
      </c>
      <c r="DU1042" s="143" t="str">
        <f t="shared" si="245"/>
        <v>explicit C balance</v>
      </c>
      <c r="DV1042">
        <v>0</v>
      </c>
      <c r="DW1042">
        <v>0</v>
      </c>
      <c r="DX1042">
        <v>0</v>
      </c>
      <c r="DY1042">
        <v>1</v>
      </c>
      <c r="DZ1042">
        <v>0</v>
      </c>
      <c r="EA1042" s="266">
        <v>1</v>
      </c>
      <c r="EB1042">
        <v>0</v>
      </c>
      <c r="EC1042">
        <v>1</v>
      </c>
      <c r="ED1042">
        <v>0</v>
      </c>
      <c r="EE1042">
        <v>0</v>
      </c>
      <c r="EF1042">
        <v>0</v>
      </c>
      <c r="EG1042">
        <v>0</v>
      </c>
      <c r="EH1042">
        <v>0</v>
      </c>
      <c r="EI1042" s="2">
        <v>0</v>
      </c>
      <c r="EK1042" t="str">
        <f t="shared" si="281"/>
        <v/>
      </c>
      <c r="EL1042" t="str">
        <f t="shared" si="282"/>
        <v/>
      </c>
      <c r="EM1042" s="2" t="str">
        <f t="shared" si="244"/>
        <v/>
      </c>
      <c r="EP1042" t="str">
        <f>IF(ISNUMBER(BU1042),IF(ABS(BU1042-[4]QC_indicators!$B$2)&gt;3*[4]QC_indicators!$C$2,"C ratio",IF(ISNUMBER(BY1042),IF(ABS(BY1042-[4]QC_indicators!$B$1)&gt;3*[4]QC_indicators!$C$1,"DF","no"))),IF(ISNUMBER(BY1042),IF(ABS(BY1042-[4]QC_indicators!$B$1)&gt;3*[4]QC_indicators!$C$1,"DF","no")))</f>
        <v>no</v>
      </c>
      <c r="ER1042" s="149" t="s">
        <v>350</v>
      </c>
      <c r="ET1042" s="266" t="s">
        <v>3275</v>
      </c>
    </row>
    <row r="1043" spans="1:150" ht="15" hidden="1" customHeight="1">
      <c r="A1043" s="1" t="s">
        <v>248</v>
      </c>
      <c r="B1043" t="s">
        <v>643</v>
      </c>
      <c r="C1043" t="s">
        <v>644</v>
      </c>
      <c r="D1043" t="s">
        <v>645</v>
      </c>
      <c r="E1043" t="s">
        <v>646</v>
      </c>
      <c r="F1043" t="s">
        <v>647</v>
      </c>
      <c r="G1043" t="s">
        <v>254</v>
      </c>
      <c r="H1043" t="s">
        <v>255</v>
      </c>
      <c r="I1043">
        <v>2014</v>
      </c>
      <c r="J1043">
        <v>76</v>
      </c>
      <c r="K1043" t="s">
        <v>648</v>
      </c>
      <c r="M1043" t="str">
        <f t="shared" si="255"/>
        <v>Dodoo_2014</v>
      </c>
      <c r="N1043" t="s">
        <v>223</v>
      </c>
      <c r="O1043" s="145" t="s">
        <v>224</v>
      </c>
      <c r="Q1043" t="s">
        <v>257</v>
      </c>
      <c r="R1043" s="255" t="s">
        <v>226</v>
      </c>
      <c r="S1043" s="1" t="s">
        <v>649</v>
      </c>
      <c r="T1043" t="s">
        <v>654</v>
      </c>
      <c r="U1043" t="s">
        <v>656</v>
      </c>
      <c r="V1043">
        <v>0</v>
      </c>
      <c r="W1043">
        <v>0</v>
      </c>
      <c r="X1043">
        <v>0</v>
      </c>
      <c r="Y1043">
        <v>0</v>
      </c>
      <c r="Z1043">
        <v>0</v>
      </c>
      <c r="AA1043">
        <v>0</v>
      </c>
      <c r="AB1043">
        <v>0</v>
      </c>
      <c r="AC1043">
        <v>0</v>
      </c>
      <c r="AD1043">
        <v>0</v>
      </c>
      <c r="AE1043">
        <v>0</v>
      </c>
      <c r="AF1043">
        <v>0</v>
      </c>
      <c r="AG1043">
        <v>0</v>
      </c>
      <c r="AH1043">
        <v>0</v>
      </c>
      <c r="AI1043">
        <v>0</v>
      </c>
      <c r="AJ1043">
        <v>0</v>
      </c>
      <c r="AK1043">
        <v>1</v>
      </c>
      <c r="AL1043">
        <v>0</v>
      </c>
      <c r="AM1043">
        <v>0</v>
      </c>
      <c r="AN1043">
        <v>0</v>
      </c>
      <c r="AO1043">
        <v>0</v>
      </c>
      <c r="AP1043">
        <v>0</v>
      </c>
      <c r="AQ1043">
        <v>0</v>
      </c>
      <c r="AR1043">
        <v>0</v>
      </c>
      <c r="AS1043">
        <v>0</v>
      </c>
      <c r="AT1043">
        <v>0</v>
      </c>
      <c r="AU1043">
        <v>0</v>
      </c>
      <c r="AV1043">
        <v>0</v>
      </c>
      <c r="AW1043">
        <v>0</v>
      </c>
      <c r="AX1043" s="141">
        <f t="shared" si="266"/>
        <v>1</v>
      </c>
      <c r="AY1043" s="141">
        <f t="shared" si="235"/>
        <v>1</v>
      </c>
      <c r="AZ1043">
        <f t="shared" si="236"/>
        <v>0</v>
      </c>
      <c r="BA1043">
        <f t="shared" si="237"/>
        <v>0</v>
      </c>
      <c r="BB1043">
        <f t="shared" si="238"/>
        <v>1</v>
      </c>
      <c r="BC1043">
        <f t="shared" si="239"/>
        <v>0</v>
      </c>
      <c r="BD1043">
        <f t="shared" si="240"/>
        <v>0</v>
      </c>
      <c r="BE1043" t="str">
        <f t="array" ref="BE1043">IF(AY1043=1,INDEX($V$7:$AL$7,MATCH(TRUE,INDEX($V1043:$AW1043&lt;&gt;0,),0)),IF(AY1043=0,INDEX($AM$7:$AW$7,MATCH(1,$AM1043:$AW1043,0)),IF(BF1043="Multiple strategies","mixed drivers",IF(BF1043="Supply chain","multiple supply","multiple silviculture"))))</f>
        <v>technologies/design switch</v>
      </c>
      <c r="BF1043" s="2" t="str" cm="1">
        <f t="array" ref="BF1043">IF(COUNTIF(AZ1043:BB1043,"&lt;&gt;0")=1,INDEX($V$4:$AW$4,MATCH(TRUE,INDEX($V1043:$AW1043&lt;&gt;0,),0)),IF(COUNTIF(AZ1043:BB1043,"&lt;&gt;0")=0,INDEX($AM$4:$AW$4,MATCH(1,$AM1043:$AW1043,0)),"Multiple strategies"))</f>
        <v>Technology</v>
      </c>
      <c r="BG1043" s="1" t="s">
        <v>230</v>
      </c>
      <c r="BH1043" t="s">
        <v>652</v>
      </c>
      <c r="BI1043" s="260" t="s">
        <v>3310</v>
      </c>
      <c r="BJ1043" t="s">
        <v>653</v>
      </c>
      <c r="BK1043" s="260">
        <f t="shared" si="283"/>
        <v>96</v>
      </c>
      <c r="BL1043" s="260">
        <v>141</v>
      </c>
      <c r="BN1043">
        <f t="shared" si="275"/>
        <v>45</v>
      </c>
      <c r="BO1043">
        <f t="shared" si="276"/>
        <v>91.83673469387756</v>
      </c>
      <c r="BP1043" t="s">
        <v>233</v>
      </c>
      <c r="BQ1043" s="260" t="s">
        <v>3313</v>
      </c>
      <c r="BR1043" t="s">
        <v>263</v>
      </c>
      <c r="BS1043">
        <v>257</v>
      </c>
      <c r="BT1043">
        <v>541</v>
      </c>
      <c r="BU1043" s="144">
        <v>2.1050583657587549</v>
      </c>
      <c r="BV1043">
        <v>284</v>
      </c>
      <c r="BX1043">
        <f t="shared" si="271"/>
        <v>0.28399999999999997</v>
      </c>
      <c r="BY1043">
        <f t="shared" si="262"/>
        <v>3.0924444444444437E-3</v>
      </c>
      <c r="BZ1043">
        <v>0</v>
      </c>
      <c r="CA1043">
        <v>0</v>
      </c>
      <c r="CB1043">
        <v>0</v>
      </c>
      <c r="CC1043">
        <v>0</v>
      </c>
      <c r="CD1043">
        <v>0</v>
      </c>
      <c r="CE1043">
        <v>0</v>
      </c>
      <c r="CF1043">
        <v>0</v>
      </c>
      <c r="CG1043">
        <v>0</v>
      </c>
      <c r="CH1043">
        <v>0</v>
      </c>
      <c r="CI1043">
        <v>0</v>
      </c>
      <c r="CJ1043">
        <v>0</v>
      </c>
      <c r="CK1043">
        <v>0</v>
      </c>
      <c r="CL1043">
        <v>0</v>
      </c>
      <c r="CM1043">
        <v>0</v>
      </c>
      <c r="CN1043" t="str">
        <f t="shared" si="254"/>
        <v>refOK</v>
      </c>
      <c r="CO1043">
        <f t="shared" si="284"/>
        <v>96</v>
      </c>
      <c r="CP1043">
        <f t="shared" si="285"/>
        <v>141</v>
      </c>
      <c r="CQ1043">
        <f t="shared" si="274"/>
        <v>91.83673469387756</v>
      </c>
      <c r="CR1043">
        <f t="shared" si="286"/>
        <v>257</v>
      </c>
      <c r="CS1043">
        <f t="shared" si="287"/>
        <v>541</v>
      </c>
      <c r="CT1043">
        <f t="shared" si="267"/>
        <v>0.28399999999999997</v>
      </c>
      <c r="CU1043">
        <f t="shared" si="258"/>
        <v>3.0924444444444437E-3</v>
      </c>
      <c r="CV1043" s="2">
        <f t="shared" si="268"/>
        <v>1.1050583657587549</v>
      </c>
      <c r="CW1043" s="1" t="s">
        <v>264</v>
      </c>
      <c r="CX1043" t="str">
        <f t="shared" si="242"/>
        <v>loc</v>
      </c>
      <c r="CY1043" t="s">
        <v>445</v>
      </c>
      <c r="DB1043">
        <v>50</v>
      </c>
      <c r="DC1043" t="str">
        <f t="shared" si="243"/>
        <v>31-70</v>
      </c>
      <c r="DD1043">
        <v>0</v>
      </c>
      <c r="DE1043">
        <v>0</v>
      </c>
      <c r="DF1043">
        <v>0</v>
      </c>
      <c r="DG1043">
        <v>1</v>
      </c>
      <c r="DI1043">
        <f t="shared" si="265"/>
        <v>1</v>
      </c>
      <c r="DJ1043" t="str">
        <f t="shared" si="257"/>
        <v>TimberInput</v>
      </c>
      <c r="DK1043">
        <f t="shared" si="277"/>
        <v>0</v>
      </c>
      <c r="DL1043">
        <f t="shared" si="278"/>
        <v>0</v>
      </c>
      <c r="DM1043">
        <f t="shared" si="279"/>
        <v>0</v>
      </c>
      <c r="DN1043" t="str">
        <f t="shared" si="280"/>
        <v>Timber</v>
      </c>
      <c r="DO1043">
        <v>0</v>
      </c>
      <c r="DP1043">
        <v>0</v>
      </c>
      <c r="DQ1043">
        <v>0</v>
      </c>
      <c r="DR1043">
        <v>0</v>
      </c>
      <c r="DS1043">
        <v>0</v>
      </c>
      <c r="DT1043">
        <f t="shared" si="260"/>
        <v>0</v>
      </c>
      <c r="DU1043" s="143" t="str">
        <f t="shared" si="245"/>
        <v>explicit C balance</v>
      </c>
      <c r="DV1043">
        <v>0</v>
      </c>
      <c r="DW1043">
        <v>0</v>
      </c>
      <c r="DX1043">
        <v>0</v>
      </c>
      <c r="DY1043">
        <v>1</v>
      </c>
      <c r="DZ1043">
        <v>0</v>
      </c>
      <c r="EA1043" s="266">
        <v>1</v>
      </c>
      <c r="EB1043">
        <v>0</v>
      </c>
      <c r="EC1043">
        <v>1</v>
      </c>
      <c r="ED1043">
        <v>0</v>
      </c>
      <c r="EE1043">
        <v>0</v>
      </c>
      <c r="EF1043">
        <v>0</v>
      </c>
      <c r="EG1043">
        <v>0</v>
      </c>
      <c r="EH1043">
        <v>0</v>
      </c>
      <c r="EI1043" s="2">
        <v>0</v>
      </c>
      <c r="EK1043" t="str">
        <f t="shared" si="281"/>
        <v/>
      </c>
      <c r="EL1043" t="str">
        <f t="shared" si="282"/>
        <v/>
      </c>
      <c r="EM1043" s="2" t="str">
        <f t="shared" si="244"/>
        <v/>
      </c>
      <c r="EP1043" t="str">
        <f>IF(ISNUMBER(BU1043),IF(ABS(BU1043-[4]QC_indicators!$B$2)&gt;3*[4]QC_indicators!$C$2,"C ratio",IF(ISNUMBER(BY1043),IF(ABS(BY1043-[4]QC_indicators!$B$1)&gt;3*[4]QC_indicators!$C$1,"DF","no"))),IF(ISNUMBER(BY1043),IF(ABS(BY1043-[4]QC_indicators!$B$1)&gt;3*[4]QC_indicators!$C$1,"DF","no")))</f>
        <v>no</v>
      </c>
      <c r="ER1043" s="149" t="s">
        <v>350</v>
      </c>
      <c r="ET1043" s="266" t="s">
        <v>3275</v>
      </c>
    </row>
    <row r="1044" spans="1:150" ht="15" hidden="1" customHeight="1">
      <c r="A1044" s="1" t="s">
        <v>248</v>
      </c>
      <c r="B1044" t="s">
        <v>643</v>
      </c>
      <c r="C1044" t="s">
        <v>644</v>
      </c>
      <c r="D1044" t="s">
        <v>645</v>
      </c>
      <c r="E1044" t="s">
        <v>646</v>
      </c>
      <c r="F1044" t="s">
        <v>647</v>
      </c>
      <c r="G1044" t="s">
        <v>254</v>
      </c>
      <c r="H1044" t="s">
        <v>255</v>
      </c>
      <c r="I1044">
        <v>2014</v>
      </c>
      <c r="J1044">
        <v>76</v>
      </c>
      <c r="K1044" t="s">
        <v>648</v>
      </c>
      <c r="M1044" t="str">
        <f t="shared" si="255"/>
        <v>Dodoo_2014</v>
      </c>
      <c r="N1044" t="s">
        <v>223</v>
      </c>
      <c r="O1044" s="145" t="s">
        <v>224</v>
      </c>
      <c r="Q1044" t="s">
        <v>257</v>
      </c>
      <c r="R1044" s="255" t="s">
        <v>226</v>
      </c>
      <c r="S1044" s="1" t="s">
        <v>649</v>
      </c>
      <c r="T1044" t="s">
        <v>650</v>
      </c>
      <c r="U1044" t="s">
        <v>657</v>
      </c>
      <c r="V1044">
        <v>0</v>
      </c>
      <c r="W1044">
        <v>0</v>
      </c>
      <c r="X1044">
        <v>0</v>
      </c>
      <c r="Y1044">
        <v>0</v>
      </c>
      <c r="Z1044">
        <v>0</v>
      </c>
      <c r="AA1044">
        <v>0</v>
      </c>
      <c r="AB1044">
        <v>0</v>
      </c>
      <c r="AC1044">
        <v>0</v>
      </c>
      <c r="AD1044">
        <v>0</v>
      </c>
      <c r="AE1044">
        <v>0</v>
      </c>
      <c r="AF1044">
        <v>0</v>
      </c>
      <c r="AG1044">
        <v>0</v>
      </c>
      <c r="AH1044">
        <v>0</v>
      </c>
      <c r="AI1044">
        <v>0</v>
      </c>
      <c r="AJ1044">
        <v>0</v>
      </c>
      <c r="AK1044">
        <v>1</v>
      </c>
      <c r="AL1044">
        <v>0</v>
      </c>
      <c r="AM1044">
        <v>0</v>
      </c>
      <c r="AN1044">
        <v>0</v>
      </c>
      <c r="AO1044">
        <v>0</v>
      </c>
      <c r="AP1044">
        <v>0</v>
      </c>
      <c r="AQ1044">
        <v>0</v>
      </c>
      <c r="AR1044">
        <v>0</v>
      </c>
      <c r="AS1044">
        <v>0</v>
      </c>
      <c r="AT1044">
        <v>0</v>
      </c>
      <c r="AU1044">
        <v>0</v>
      </c>
      <c r="AV1044">
        <v>0</v>
      </c>
      <c r="AW1044">
        <v>0</v>
      </c>
      <c r="AX1044" s="141">
        <f t="shared" si="266"/>
        <v>1</v>
      </c>
      <c r="AY1044" s="141">
        <f t="shared" si="235"/>
        <v>1</v>
      </c>
      <c r="AZ1044">
        <f t="shared" si="236"/>
        <v>0</v>
      </c>
      <c r="BA1044">
        <f t="shared" si="237"/>
        <v>0</v>
      </c>
      <c r="BB1044">
        <f t="shared" si="238"/>
        <v>1</v>
      </c>
      <c r="BC1044">
        <f t="shared" si="239"/>
        <v>0</v>
      </c>
      <c r="BD1044">
        <f t="shared" si="240"/>
        <v>0</v>
      </c>
      <c r="BE1044" t="str">
        <f t="array" ref="BE1044">IF(AY1044=1,INDEX($V$7:$AL$7,MATCH(TRUE,INDEX($V1044:$AW1044&lt;&gt;0,),0)),IF(AY1044=0,INDEX($AM$7:$AW$7,MATCH(1,$AM1044:$AW1044,0)),IF(BF1044="Multiple strategies","mixed drivers",IF(BF1044="Supply chain","multiple supply","multiple silviculture"))))</f>
        <v>technologies/design switch</v>
      </c>
      <c r="BF1044" s="2" t="str" cm="1">
        <f t="array" ref="BF1044">IF(COUNTIF(AZ1044:BB1044,"&lt;&gt;0")=1,INDEX($V$4:$AW$4,MATCH(TRUE,INDEX($V1044:$AW1044&lt;&gt;0,),0)),IF(COUNTIF(AZ1044:BB1044,"&lt;&gt;0")=0,INDEX($AM$4:$AW$4,MATCH(1,$AM1044:$AW1044,0)),"Multiple strategies"))</f>
        <v>Technology</v>
      </c>
      <c r="BG1044" s="1" t="s">
        <v>230</v>
      </c>
      <c r="BH1044" t="s">
        <v>652</v>
      </c>
      <c r="BI1044" s="260" t="s">
        <v>3310</v>
      </c>
      <c r="BJ1044" t="s">
        <v>653</v>
      </c>
      <c r="BK1044" s="260">
        <f t="shared" si="283"/>
        <v>96</v>
      </c>
      <c r="BL1044" s="260">
        <v>129.6</v>
      </c>
      <c r="BN1044">
        <f t="shared" si="275"/>
        <v>33.599999999999994</v>
      </c>
      <c r="BO1044">
        <f t="shared" si="276"/>
        <v>68.571428571428555</v>
      </c>
      <c r="BP1044" t="s">
        <v>233</v>
      </c>
      <c r="BQ1044" s="260" t="s">
        <v>3313</v>
      </c>
      <c r="BR1044" t="s">
        <v>263</v>
      </c>
      <c r="BS1044">
        <v>230</v>
      </c>
      <c r="BT1044">
        <v>510</v>
      </c>
      <c r="BU1044" s="144">
        <v>2.2173913043478262</v>
      </c>
      <c r="BV1044">
        <v>280</v>
      </c>
      <c r="BX1044">
        <f t="shared" si="271"/>
        <v>0.28000000000000003</v>
      </c>
      <c r="BY1044">
        <f t="shared" si="262"/>
        <v>4.0833333333333346E-3</v>
      </c>
      <c r="BZ1044">
        <v>0</v>
      </c>
      <c r="CA1044">
        <v>0</v>
      </c>
      <c r="CB1044">
        <v>0</v>
      </c>
      <c r="CC1044">
        <v>0</v>
      </c>
      <c r="CD1044">
        <v>0</v>
      </c>
      <c r="CE1044">
        <v>0</v>
      </c>
      <c r="CF1044">
        <v>0</v>
      </c>
      <c r="CG1044">
        <v>0</v>
      </c>
      <c r="CH1044">
        <v>0</v>
      </c>
      <c r="CI1044">
        <v>0</v>
      </c>
      <c r="CJ1044">
        <v>0</v>
      </c>
      <c r="CK1044">
        <v>0</v>
      </c>
      <c r="CL1044">
        <v>0</v>
      </c>
      <c r="CM1044">
        <v>0</v>
      </c>
      <c r="CN1044" t="str">
        <f t="shared" si="254"/>
        <v>refOK</v>
      </c>
      <c r="CO1044">
        <f t="shared" si="284"/>
        <v>96</v>
      </c>
      <c r="CP1044">
        <f t="shared" si="285"/>
        <v>129.6</v>
      </c>
      <c r="CQ1044">
        <f t="shared" si="274"/>
        <v>68.571428571428555</v>
      </c>
      <c r="CR1044">
        <f t="shared" si="286"/>
        <v>230</v>
      </c>
      <c r="CS1044">
        <f t="shared" si="287"/>
        <v>510</v>
      </c>
      <c r="CT1044">
        <f t="shared" si="267"/>
        <v>0.28000000000000003</v>
      </c>
      <c r="CU1044">
        <f t="shared" si="258"/>
        <v>4.0833333333333346E-3</v>
      </c>
      <c r="CV1044" s="2">
        <f t="shared" si="268"/>
        <v>1.2173913043478262</v>
      </c>
      <c r="CW1044" s="1" t="s">
        <v>264</v>
      </c>
      <c r="CX1044" t="str">
        <f t="shared" si="242"/>
        <v>loc</v>
      </c>
      <c r="CY1044" t="s">
        <v>445</v>
      </c>
      <c r="DB1044">
        <v>50</v>
      </c>
      <c r="DC1044" t="str">
        <f t="shared" si="243"/>
        <v>31-70</v>
      </c>
      <c r="DD1044">
        <v>0</v>
      </c>
      <c r="DE1044">
        <v>0</v>
      </c>
      <c r="DF1044">
        <v>0</v>
      </c>
      <c r="DG1044">
        <v>1</v>
      </c>
      <c r="DI1044">
        <f t="shared" si="265"/>
        <v>1</v>
      </c>
      <c r="DJ1044" t="str">
        <f t="shared" si="257"/>
        <v>TimberInput</v>
      </c>
      <c r="DK1044">
        <f t="shared" si="277"/>
        <v>0</v>
      </c>
      <c r="DL1044">
        <f t="shared" si="278"/>
        <v>0</v>
      </c>
      <c r="DM1044">
        <f t="shared" si="279"/>
        <v>0</v>
      </c>
      <c r="DN1044" t="str">
        <f t="shared" si="280"/>
        <v>Timber</v>
      </c>
      <c r="DO1044">
        <v>0</v>
      </c>
      <c r="DP1044">
        <v>0</v>
      </c>
      <c r="DQ1044">
        <v>0</v>
      </c>
      <c r="DR1044">
        <v>0</v>
      </c>
      <c r="DS1044">
        <v>0</v>
      </c>
      <c r="DT1044">
        <f t="shared" si="260"/>
        <v>0</v>
      </c>
      <c r="DU1044" s="143" t="str">
        <f t="shared" si="245"/>
        <v>explicit C balance</v>
      </c>
      <c r="DV1044">
        <v>0</v>
      </c>
      <c r="DW1044">
        <v>0</v>
      </c>
      <c r="DX1044">
        <v>0</v>
      </c>
      <c r="DY1044">
        <v>1</v>
      </c>
      <c r="DZ1044">
        <v>0</v>
      </c>
      <c r="EA1044" s="266">
        <v>1</v>
      </c>
      <c r="EB1044">
        <v>0</v>
      </c>
      <c r="EC1044">
        <v>1</v>
      </c>
      <c r="ED1044">
        <v>0</v>
      </c>
      <c r="EE1044">
        <v>0</v>
      </c>
      <c r="EF1044">
        <v>0</v>
      </c>
      <c r="EG1044">
        <v>0</v>
      </c>
      <c r="EH1044">
        <v>0</v>
      </c>
      <c r="EI1044" s="2">
        <v>0</v>
      </c>
      <c r="EK1044" t="str">
        <f t="shared" si="281"/>
        <v/>
      </c>
      <c r="EL1044" t="str">
        <f t="shared" si="282"/>
        <v/>
      </c>
      <c r="EM1044" s="2" t="str">
        <f t="shared" si="244"/>
        <v/>
      </c>
      <c r="EP1044" t="str">
        <f>IF(ISNUMBER(BU1044),IF(ABS(BU1044-[4]QC_indicators!$B$2)&gt;3*[4]QC_indicators!$C$2,"C ratio",IF(ISNUMBER(BY1044),IF(ABS(BY1044-[4]QC_indicators!$B$1)&gt;3*[4]QC_indicators!$C$1,"DF","no"))),IF(ISNUMBER(BY1044),IF(ABS(BY1044-[4]QC_indicators!$B$1)&gt;3*[4]QC_indicators!$C$1,"DF","no")))</f>
        <v>no</v>
      </c>
      <c r="ER1044" s="149" t="s">
        <v>350</v>
      </c>
      <c r="ET1044" s="266" t="s">
        <v>3275</v>
      </c>
    </row>
    <row r="1045" spans="1:150" ht="15" hidden="1" customHeight="1">
      <c r="A1045" s="1" t="s">
        <v>1288</v>
      </c>
      <c r="B1045" t="s">
        <v>1782</v>
      </c>
      <c r="C1045" t="s">
        <v>1783</v>
      </c>
      <c r="D1045" t="s">
        <v>1784</v>
      </c>
      <c r="E1045" t="s">
        <v>1785</v>
      </c>
      <c r="F1045" t="s">
        <v>1786</v>
      </c>
      <c r="G1045" t="s">
        <v>1294</v>
      </c>
      <c r="H1045" t="s">
        <v>255</v>
      </c>
      <c r="I1045">
        <v>2018</v>
      </c>
      <c r="J1045">
        <v>10</v>
      </c>
      <c r="K1045" t="s">
        <v>1787</v>
      </c>
      <c r="M1045" t="str">
        <f t="shared" si="255"/>
        <v>Kalt_2018</v>
      </c>
      <c r="N1045" t="s">
        <v>223</v>
      </c>
      <c r="O1045" s="145" t="s">
        <v>514</v>
      </c>
      <c r="Q1045" t="s">
        <v>257</v>
      </c>
      <c r="R1045" s="285" t="s">
        <v>226</v>
      </c>
      <c r="S1045" s="1" t="s">
        <v>1788</v>
      </c>
      <c r="T1045" t="s">
        <v>1789</v>
      </c>
      <c r="U1045" t="s">
        <v>1790</v>
      </c>
      <c r="V1045">
        <v>0</v>
      </c>
      <c r="W1045">
        <v>0</v>
      </c>
      <c r="X1045">
        <v>0</v>
      </c>
      <c r="Y1045">
        <v>0</v>
      </c>
      <c r="Z1045">
        <v>0</v>
      </c>
      <c r="AA1045">
        <v>0</v>
      </c>
      <c r="AB1045">
        <v>0</v>
      </c>
      <c r="AC1045">
        <v>0</v>
      </c>
      <c r="AD1045">
        <v>0</v>
      </c>
      <c r="AE1045">
        <v>0</v>
      </c>
      <c r="AF1045">
        <v>0</v>
      </c>
      <c r="AG1045">
        <v>0</v>
      </c>
      <c r="AH1045">
        <v>0</v>
      </c>
      <c r="AI1045">
        <v>0</v>
      </c>
      <c r="AJ1045">
        <v>0</v>
      </c>
      <c r="AK1045">
        <v>1</v>
      </c>
      <c r="AL1045">
        <v>0</v>
      </c>
      <c r="AM1045">
        <v>0</v>
      </c>
      <c r="AN1045">
        <v>0</v>
      </c>
      <c r="AO1045">
        <v>0</v>
      </c>
      <c r="AP1045">
        <v>0</v>
      </c>
      <c r="AQ1045">
        <v>0</v>
      </c>
      <c r="AR1045">
        <v>0</v>
      </c>
      <c r="AS1045">
        <v>0</v>
      </c>
      <c r="AT1045">
        <v>0</v>
      </c>
      <c r="AU1045">
        <v>0</v>
      </c>
      <c r="AV1045">
        <v>0</v>
      </c>
      <c r="AW1045">
        <v>0</v>
      </c>
      <c r="AX1045" s="141">
        <f t="shared" si="266"/>
        <v>1</v>
      </c>
      <c r="AY1045" s="141">
        <f t="shared" si="235"/>
        <v>1</v>
      </c>
      <c r="AZ1045">
        <f t="shared" si="236"/>
        <v>0</v>
      </c>
      <c r="BA1045">
        <f t="shared" si="237"/>
        <v>0</v>
      </c>
      <c r="BB1045">
        <f t="shared" si="238"/>
        <v>1</v>
      </c>
      <c r="BC1045">
        <f t="shared" si="239"/>
        <v>0</v>
      </c>
      <c r="BD1045">
        <f t="shared" si="240"/>
        <v>0</v>
      </c>
      <c r="BE1045" t="str">
        <f t="array" ref="BE1045">IF(AY1045=1,INDEX($V$7:$AL$7,MATCH(TRUE,INDEX($V1045:$AW1045&lt;&gt;0,),0)),IF(AY1045=0,INDEX($AM$7:$AW$7,MATCH(1,$AM1045:$AW1045,0)),IF(BF1045="Multiple strategies","mixed drivers",IF(BF1045="Supply chain","multiple supply","multiple silviculture"))))</f>
        <v>technologies/design switch</v>
      </c>
      <c r="BF1045" s="2" t="str" cm="1">
        <f t="array" ref="BF1045">IF(COUNTIF(AZ1045:BB1045,"&lt;&gt;0")=1,INDEX($V$4:$AW$4,MATCH(TRUE,INDEX($V1045:$AW1045&lt;&gt;0,),0)),IF(COUNTIF(AZ1045:BB1045,"&lt;&gt;0")=0,INDEX($AM$4:$AW$4,MATCH(1,$AM1045:$AW1045,0)),"Multiple strategies"))</f>
        <v>Technology</v>
      </c>
      <c r="BG1045" s="1" t="s">
        <v>230</v>
      </c>
      <c r="BH1045" t="s">
        <v>230</v>
      </c>
      <c r="BI1045" s="151" t="s">
        <v>3084</v>
      </c>
      <c r="BJ1045" t="s">
        <v>1700</v>
      </c>
      <c r="BK1045">
        <f>BL1045-4870</f>
        <v>525275</v>
      </c>
      <c r="BL1045">
        <v>530145</v>
      </c>
      <c r="BM1045">
        <f>BL1045/BK1045</f>
        <v>1.0092713340631099</v>
      </c>
      <c r="BN1045">
        <f t="shared" si="275"/>
        <v>4870</v>
      </c>
      <c r="BO1045">
        <f>BN1045*1000</f>
        <v>4870000</v>
      </c>
      <c r="BP1045" t="s">
        <v>233</v>
      </c>
      <c r="BQ1045" t="s">
        <v>3085</v>
      </c>
      <c r="BR1045" t="s">
        <v>1302</v>
      </c>
      <c r="BS1045">
        <v>0</v>
      </c>
      <c r="BT1045">
        <v>21.5</v>
      </c>
      <c r="BU1045" s="144" t="str">
        <f t="shared" ref="BU1045:BU1057" si="288">IFERROR(BT1045/BS1045,"")</f>
        <v/>
      </c>
      <c r="BV1045">
        <f>BT1045-BS1045</f>
        <v>21.5</v>
      </c>
      <c r="BX1045">
        <f t="shared" ref="BX1045:BX1053" si="289">BV1045*10^6</f>
        <v>21500000</v>
      </c>
      <c r="BY1045">
        <f t="shared" si="262"/>
        <v>4.4147843942505132</v>
      </c>
      <c r="BZ1045">
        <v>0</v>
      </c>
      <c r="CA1045">
        <v>0</v>
      </c>
      <c r="CB1045">
        <v>0</v>
      </c>
      <c r="CC1045">
        <v>0</v>
      </c>
      <c r="CD1045">
        <v>0</v>
      </c>
      <c r="CE1045">
        <v>0</v>
      </c>
      <c r="CF1045">
        <v>0</v>
      </c>
      <c r="CG1045">
        <v>0</v>
      </c>
      <c r="CH1045">
        <v>0</v>
      </c>
      <c r="CI1045">
        <v>0</v>
      </c>
      <c r="CJ1045">
        <v>0</v>
      </c>
      <c r="CK1045">
        <v>0</v>
      </c>
      <c r="CL1045">
        <v>0</v>
      </c>
      <c r="CM1045">
        <v>0</v>
      </c>
      <c r="CN1045" t="str">
        <f t="shared" ref="CN1045:CN1053" si="290">IF(BL1045&lt;BK1045,"refNeedCorrection","refOK")</f>
        <v>refOK</v>
      </c>
      <c r="CO1045">
        <f t="shared" si="284"/>
        <v>525275</v>
      </c>
      <c r="CP1045">
        <f t="shared" si="285"/>
        <v>530145</v>
      </c>
      <c r="CQ1045">
        <f t="shared" si="274"/>
        <v>4870000</v>
      </c>
      <c r="CR1045">
        <f t="shared" si="286"/>
        <v>0</v>
      </c>
      <c r="CS1045">
        <f t="shared" si="287"/>
        <v>21.5</v>
      </c>
      <c r="CT1045">
        <f t="shared" si="267"/>
        <v>21500000</v>
      </c>
      <c r="CU1045">
        <f t="shared" si="258"/>
        <v>4.4147843942505132</v>
      </c>
      <c r="CV1045" s="2" t="str">
        <f t="shared" si="268"/>
        <v/>
      </c>
      <c r="CW1045" s="1" t="s">
        <v>1205</v>
      </c>
      <c r="CX1045" t="str">
        <f t="shared" si="242"/>
        <v>reg</v>
      </c>
      <c r="CY1045" t="s">
        <v>668</v>
      </c>
      <c r="CZ1045">
        <v>2015</v>
      </c>
      <c r="DA1045">
        <v>2050</v>
      </c>
      <c r="DB1045">
        <v>35</v>
      </c>
      <c r="DC1045" t="str">
        <f t="shared" si="243"/>
        <v>31-70</v>
      </c>
      <c r="DD1045">
        <v>0</v>
      </c>
      <c r="DE1045">
        <v>0</v>
      </c>
      <c r="DF1045">
        <v>0</v>
      </c>
      <c r="DG1045">
        <v>1</v>
      </c>
      <c r="DH1045">
        <v>0</v>
      </c>
      <c r="DI1045">
        <f t="shared" si="265"/>
        <v>1</v>
      </c>
      <c r="DJ1045" t="str">
        <f t="shared" si="257"/>
        <v>TimberInput</v>
      </c>
      <c r="DK1045">
        <f t="shared" si="277"/>
        <v>0</v>
      </c>
      <c r="DL1045">
        <f t="shared" si="278"/>
        <v>0</v>
      </c>
      <c r="DM1045">
        <f t="shared" si="279"/>
        <v>0</v>
      </c>
      <c r="DN1045" t="str">
        <f t="shared" si="280"/>
        <v>Timber</v>
      </c>
      <c r="DO1045">
        <v>0</v>
      </c>
      <c r="DP1045">
        <v>1</v>
      </c>
      <c r="DQ1045">
        <v>0</v>
      </c>
      <c r="DR1045" t="s">
        <v>1791</v>
      </c>
      <c r="DS1045">
        <v>1</v>
      </c>
      <c r="DT1045">
        <f t="shared" si="260"/>
        <v>1</v>
      </c>
      <c r="DU1045" s="143" t="str">
        <f t="shared" si="245"/>
        <v>external DF used</v>
      </c>
      <c r="DV1045">
        <v>0</v>
      </c>
      <c r="DW1045">
        <v>0</v>
      </c>
      <c r="DX1045">
        <v>0</v>
      </c>
      <c r="DY1045">
        <v>1</v>
      </c>
      <c r="DZ1045">
        <v>0</v>
      </c>
      <c r="EA1045" s="143">
        <v>1</v>
      </c>
      <c r="EB1045">
        <v>0</v>
      </c>
      <c r="EC1045">
        <v>1</v>
      </c>
      <c r="ED1045">
        <v>0</v>
      </c>
      <c r="EE1045">
        <v>0</v>
      </c>
      <c r="EF1045">
        <v>0</v>
      </c>
      <c r="EG1045">
        <v>0</v>
      </c>
      <c r="EH1045">
        <v>0</v>
      </c>
      <c r="EI1045" s="2">
        <v>0</v>
      </c>
      <c r="EK1045" t="str">
        <f t="shared" si="281"/>
        <v/>
      </c>
      <c r="EL1045" t="str">
        <f t="shared" si="282"/>
        <v/>
      </c>
      <c r="EM1045" s="2" t="str">
        <f t="shared" si="244"/>
        <v/>
      </c>
      <c r="EP1045" t="str">
        <f>IF(ISNUMBER(BU1045),IF(ABS(BU1045-[4]QC_indicators!$B$2)&gt;3*[4]QC_indicators!$C$2,"C ratio",IF(ISNUMBER(BY1045),IF(ABS(BY1045-[4]QC_indicators!$B$1)&gt;3*[4]QC_indicators!$C$1,"DF","no"))),IF(ISNUMBER(BY1045),IF(ABS(BY1045-[4]QC_indicators!$B$1)&gt;3*[4]QC_indicators!$C$1,"DF","no")))</f>
        <v>no</v>
      </c>
      <c r="ET1045" s="266" t="s">
        <v>3275</v>
      </c>
    </row>
    <row r="1046" spans="1:150" ht="15" hidden="1" customHeight="1">
      <c r="A1046" s="1" t="s">
        <v>1288</v>
      </c>
      <c r="B1046" t="s">
        <v>1782</v>
      </c>
      <c r="C1046" t="s">
        <v>1783</v>
      </c>
      <c r="D1046" t="s">
        <v>1784</v>
      </c>
      <c r="E1046" t="s">
        <v>1785</v>
      </c>
      <c r="F1046" t="s">
        <v>1786</v>
      </c>
      <c r="G1046" t="s">
        <v>1294</v>
      </c>
      <c r="H1046" t="s">
        <v>255</v>
      </c>
      <c r="I1046">
        <v>2018</v>
      </c>
      <c r="J1046">
        <v>10</v>
      </c>
      <c r="K1046" t="s">
        <v>1787</v>
      </c>
      <c r="M1046" t="str">
        <f t="shared" si="255"/>
        <v>Kalt_2018</v>
      </c>
      <c r="N1046" t="s">
        <v>223</v>
      </c>
      <c r="O1046" s="145" t="s">
        <v>514</v>
      </c>
      <c r="Q1046" t="s">
        <v>257</v>
      </c>
      <c r="R1046" s="285" t="s">
        <v>226</v>
      </c>
      <c r="S1046" s="1" t="s">
        <v>1788</v>
      </c>
      <c r="T1046" t="s">
        <v>1789</v>
      </c>
      <c r="U1046" t="s">
        <v>1792</v>
      </c>
      <c r="V1046">
        <v>0</v>
      </c>
      <c r="W1046">
        <v>0</v>
      </c>
      <c r="X1046">
        <v>0</v>
      </c>
      <c r="Y1046">
        <v>0</v>
      </c>
      <c r="Z1046">
        <v>0</v>
      </c>
      <c r="AA1046">
        <v>0</v>
      </c>
      <c r="AB1046">
        <v>0</v>
      </c>
      <c r="AC1046">
        <v>0</v>
      </c>
      <c r="AD1046">
        <v>0</v>
      </c>
      <c r="AE1046">
        <v>0</v>
      </c>
      <c r="AF1046">
        <v>0</v>
      </c>
      <c r="AG1046">
        <v>0</v>
      </c>
      <c r="AH1046">
        <v>0</v>
      </c>
      <c r="AI1046">
        <v>0</v>
      </c>
      <c r="AJ1046">
        <v>0</v>
      </c>
      <c r="AK1046">
        <v>1</v>
      </c>
      <c r="AL1046">
        <v>0</v>
      </c>
      <c r="AM1046">
        <v>0</v>
      </c>
      <c r="AN1046">
        <v>0</v>
      </c>
      <c r="AO1046">
        <v>0</v>
      </c>
      <c r="AP1046">
        <v>0</v>
      </c>
      <c r="AQ1046">
        <v>0</v>
      </c>
      <c r="AR1046">
        <v>0</v>
      </c>
      <c r="AS1046">
        <v>0</v>
      </c>
      <c r="AT1046">
        <v>0</v>
      </c>
      <c r="AU1046">
        <v>0</v>
      </c>
      <c r="AV1046">
        <v>0</v>
      </c>
      <c r="AW1046">
        <v>0</v>
      </c>
      <c r="AX1046" s="141">
        <f t="shared" si="266"/>
        <v>1</v>
      </c>
      <c r="AY1046" s="141">
        <f t="shared" si="235"/>
        <v>1</v>
      </c>
      <c r="AZ1046">
        <f t="shared" si="236"/>
        <v>0</v>
      </c>
      <c r="BA1046">
        <f t="shared" si="237"/>
        <v>0</v>
      </c>
      <c r="BB1046">
        <f t="shared" si="238"/>
        <v>1</v>
      </c>
      <c r="BC1046">
        <f t="shared" si="239"/>
        <v>0</v>
      </c>
      <c r="BD1046">
        <f t="shared" si="240"/>
        <v>0</v>
      </c>
      <c r="BE1046" t="str">
        <f t="array" ref="BE1046">IF(AY1046=1,INDEX($V$7:$AL$7,MATCH(TRUE,INDEX($V1046:$AW1046&lt;&gt;0,),0)),IF(AY1046=0,INDEX($AM$7:$AW$7,MATCH(1,$AM1046:$AW1046,0)),IF(BF1046="Multiple strategies","mixed drivers",IF(BF1046="Supply chain","multiple supply","multiple silviculture"))))</f>
        <v>technologies/design switch</v>
      </c>
      <c r="BF1046" s="2" t="str" cm="1">
        <f t="array" ref="BF1046">IF(COUNTIF(AZ1046:BB1046,"&lt;&gt;0")=1,INDEX($V$4:$AW$4,MATCH(TRUE,INDEX($V1046:$AW1046&lt;&gt;0,),0)),IF(COUNTIF(AZ1046:BB1046,"&lt;&gt;0")=0,INDEX($AM$4:$AW$4,MATCH(1,$AM1046:$AW1046,0)),"Multiple strategies"))</f>
        <v>Technology</v>
      </c>
      <c r="BG1046" s="1" t="s">
        <v>230</v>
      </c>
      <c r="BH1046" t="s">
        <v>230</v>
      </c>
      <c r="BI1046" s="151" t="s">
        <v>3084</v>
      </c>
      <c r="BJ1046" t="s">
        <v>1700</v>
      </c>
      <c r="BK1046">
        <f>BL1046-1811</f>
        <v>528334</v>
      </c>
      <c r="BL1046">
        <v>530145</v>
      </c>
      <c r="BM1046">
        <f>BL1046/BK1046</f>
        <v>1.0034277559271219</v>
      </c>
      <c r="BN1046">
        <f t="shared" si="275"/>
        <v>1811</v>
      </c>
      <c r="BO1046">
        <f>BN1046*1000</f>
        <v>1811000</v>
      </c>
      <c r="BP1046" t="s">
        <v>233</v>
      </c>
      <c r="BQ1046" t="s">
        <v>3085</v>
      </c>
      <c r="BR1046" t="s">
        <v>1302</v>
      </c>
      <c r="BS1046">
        <v>0</v>
      </c>
      <c r="BT1046">
        <v>10.55</v>
      </c>
      <c r="BU1046" s="144" t="str">
        <f t="shared" si="288"/>
        <v/>
      </c>
      <c r="BV1046">
        <f>BT1046-BS1046</f>
        <v>10.55</v>
      </c>
      <c r="BX1046">
        <f t="shared" si="289"/>
        <v>10550000</v>
      </c>
      <c r="BY1046">
        <f t="shared" si="262"/>
        <v>5.8255107675317506</v>
      </c>
      <c r="BZ1046">
        <v>0</v>
      </c>
      <c r="CA1046">
        <v>0</v>
      </c>
      <c r="CB1046">
        <v>0</v>
      </c>
      <c r="CC1046">
        <v>0</v>
      </c>
      <c r="CD1046">
        <v>0</v>
      </c>
      <c r="CE1046">
        <v>0</v>
      </c>
      <c r="CF1046">
        <v>0</v>
      </c>
      <c r="CG1046">
        <v>0</v>
      </c>
      <c r="CH1046">
        <v>0</v>
      </c>
      <c r="CI1046">
        <v>0</v>
      </c>
      <c r="CJ1046">
        <v>0</v>
      </c>
      <c r="CK1046">
        <v>0</v>
      </c>
      <c r="CL1046">
        <v>0</v>
      </c>
      <c r="CM1046">
        <v>0</v>
      </c>
      <c r="CN1046" t="str">
        <f t="shared" si="290"/>
        <v>refOK</v>
      </c>
      <c r="CO1046">
        <f t="shared" si="284"/>
        <v>528334</v>
      </c>
      <c r="CP1046">
        <f t="shared" si="285"/>
        <v>530145</v>
      </c>
      <c r="CQ1046">
        <f t="shared" si="274"/>
        <v>1811000</v>
      </c>
      <c r="CR1046">
        <f t="shared" si="286"/>
        <v>0</v>
      </c>
      <c r="CS1046">
        <f t="shared" si="287"/>
        <v>10.55</v>
      </c>
      <c r="CT1046">
        <f t="shared" si="267"/>
        <v>10550000</v>
      </c>
      <c r="CU1046">
        <f t="shared" si="258"/>
        <v>5.8255107675317506</v>
      </c>
      <c r="CV1046" s="2" t="str">
        <f t="shared" si="268"/>
        <v/>
      </c>
      <c r="CW1046" s="1" t="s">
        <v>1205</v>
      </c>
      <c r="CX1046" t="str">
        <f t="shared" si="242"/>
        <v>reg</v>
      </c>
      <c r="CY1046" t="s">
        <v>668</v>
      </c>
      <c r="CZ1046">
        <v>2015</v>
      </c>
      <c r="DA1046">
        <v>2050</v>
      </c>
      <c r="DB1046">
        <v>35</v>
      </c>
      <c r="DC1046" t="str">
        <f t="shared" si="243"/>
        <v>31-70</v>
      </c>
      <c r="DD1046">
        <v>0</v>
      </c>
      <c r="DE1046">
        <v>0</v>
      </c>
      <c r="DF1046">
        <v>0</v>
      </c>
      <c r="DG1046">
        <v>1</v>
      </c>
      <c r="DH1046">
        <v>0</v>
      </c>
      <c r="DI1046">
        <f t="shared" si="265"/>
        <v>1</v>
      </c>
      <c r="DJ1046" t="str">
        <f t="shared" si="257"/>
        <v>TimberInput</v>
      </c>
      <c r="DK1046">
        <f t="shared" si="277"/>
        <v>0</v>
      </c>
      <c r="DL1046">
        <f t="shared" si="278"/>
        <v>0</v>
      </c>
      <c r="DM1046">
        <f t="shared" si="279"/>
        <v>0</v>
      </c>
      <c r="DN1046" t="str">
        <f t="shared" si="280"/>
        <v>Timber</v>
      </c>
      <c r="DO1046">
        <v>0</v>
      </c>
      <c r="DP1046">
        <v>1</v>
      </c>
      <c r="DQ1046">
        <v>0</v>
      </c>
      <c r="DR1046" t="s">
        <v>1791</v>
      </c>
      <c r="DS1046">
        <v>0</v>
      </c>
      <c r="DT1046">
        <f t="shared" si="260"/>
        <v>1</v>
      </c>
      <c r="DU1046" s="143" t="str">
        <f t="shared" si="245"/>
        <v>external DF used</v>
      </c>
      <c r="DV1046">
        <v>0</v>
      </c>
      <c r="DW1046">
        <v>0</v>
      </c>
      <c r="DX1046">
        <v>0</v>
      </c>
      <c r="DY1046">
        <v>1</v>
      </c>
      <c r="DZ1046">
        <v>0</v>
      </c>
      <c r="EA1046" s="143">
        <v>1</v>
      </c>
      <c r="EB1046">
        <v>0</v>
      </c>
      <c r="EC1046">
        <v>1</v>
      </c>
      <c r="ED1046">
        <v>0</v>
      </c>
      <c r="EE1046">
        <v>0</v>
      </c>
      <c r="EF1046">
        <v>0</v>
      </c>
      <c r="EG1046">
        <v>0</v>
      </c>
      <c r="EH1046">
        <v>0</v>
      </c>
      <c r="EI1046" s="2">
        <v>0</v>
      </c>
      <c r="EK1046" t="str">
        <f t="shared" si="281"/>
        <v/>
      </c>
      <c r="EL1046" t="str">
        <f t="shared" si="282"/>
        <v/>
      </c>
      <c r="EM1046" s="2" t="str">
        <f t="shared" si="244"/>
        <v/>
      </c>
      <c r="EP1046" t="str">
        <f>IF(ISNUMBER(BU1046),IF(ABS(BU1046-[4]QC_indicators!$B$2)&gt;3*[4]QC_indicators!$C$2,"C ratio",IF(ISNUMBER(BY1046),IF(ABS(BY1046-[4]QC_indicators!$B$1)&gt;3*[4]QC_indicators!$C$1,"DF","no"))),IF(ISNUMBER(BY1046),IF(ABS(BY1046-[4]QC_indicators!$B$1)&gt;3*[4]QC_indicators!$C$1,"DF","no")))</f>
        <v>DF</v>
      </c>
      <c r="ET1046" s="266" t="s">
        <v>3275</v>
      </c>
    </row>
    <row r="1047" spans="1:150" ht="15" hidden="1" customHeight="1">
      <c r="A1047" s="1" t="s">
        <v>880</v>
      </c>
      <c r="B1047" t="s">
        <v>1793</v>
      </c>
      <c r="C1047" t="s">
        <v>1794</v>
      </c>
      <c r="D1047" t="s">
        <v>1795</v>
      </c>
      <c r="E1047" t="s">
        <v>1796</v>
      </c>
      <c r="F1047" t="s">
        <v>1797</v>
      </c>
      <c r="G1047" t="s">
        <v>1186</v>
      </c>
      <c r="H1047" t="s">
        <v>255</v>
      </c>
      <c r="I1047">
        <v>2011</v>
      </c>
      <c r="J1047">
        <v>6</v>
      </c>
      <c r="K1047" t="s">
        <v>1798</v>
      </c>
      <c r="M1047" t="str">
        <f t="shared" si="255"/>
        <v>Kayo_2011</v>
      </c>
      <c r="N1047" t="s">
        <v>223</v>
      </c>
      <c r="O1047" s="145" t="s">
        <v>514</v>
      </c>
      <c r="Q1047" t="s">
        <v>257</v>
      </c>
      <c r="R1047" s="255" t="s">
        <v>226</v>
      </c>
      <c r="S1047" s="265" t="s">
        <v>3363</v>
      </c>
      <c r="T1047" t="s">
        <v>1675</v>
      </c>
      <c r="U1047" t="s">
        <v>1799</v>
      </c>
      <c r="V1047">
        <v>0</v>
      </c>
      <c r="W1047">
        <v>0</v>
      </c>
      <c r="X1047">
        <v>0</v>
      </c>
      <c r="Y1047">
        <v>0</v>
      </c>
      <c r="Z1047">
        <v>0</v>
      </c>
      <c r="AA1047">
        <v>0</v>
      </c>
      <c r="AB1047">
        <v>0</v>
      </c>
      <c r="AC1047">
        <v>0</v>
      </c>
      <c r="AD1047">
        <v>0</v>
      </c>
      <c r="AE1047">
        <v>0</v>
      </c>
      <c r="AF1047">
        <v>0</v>
      </c>
      <c r="AG1047">
        <v>0</v>
      </c>
      <c r="AH1047">
        <v>0</v>
      </c>
      <c r="AI1047">
        <v>0</v>
      </c>
      <c r="AJ1047">
        <v>0</v>
      </c>
      <c r="AK1047">
        <v>1</v>
      </c>
      <c r="AL1047">
        <v>0</v>
      </c>
      <c r="AM1047">
        <v>0</v>
      </c>
      <c r="AN1047">
        <v>0</v>
      </c>
      <c r="AO1047">
        <v>0</v>
      </c>
      <c r="AP1047">
        <v>0</v>
      </c>
      <c r="AQ1047">
        <v>0</v>
      </c>
      <c r="AR1047">
        <v>0</v>
      </c>
      <c r="AS1047">
        <v>0</v>
      </c>
      <c r="AT1047">
        <v>0</v>
      </c>
      <c r="AU1047">
        <v>0</v>
      </c>
      <c r="AV1047">
        <v>0</v>
      </c>
      <c r="AW1047">
        <v>0</v>
      </c>
      <c r="AX1047" s="141">
        <f t="shared" si="266"/>
        <v>1</v>
      </c>
      <c r="AY1047" s="141">
        <f t="shared" si="235"/>
        <v>1</v>
      </c>
      <c r="AZ1047">
        <f t="shared" si="236"/>
        <v>0</v>
      </c>
      <c r="BA1047">
        <f t="shared" si="237"/>
        <v>0</v>
      </c>
      <c r="BB1047">
        <f t="shared" si="238"/>
        <v>1</v>
      </c>
      <c r="BC1047">
        <f t="shared" si="239"/>
        <v>0</v>
      </c>
      <c r="BD1047">
        <f t="shared" si="240"/>
        <v>0</v>
      </c>
      <c r="BE1047" t="str">
        <f t="array" ref="BE1047">IF(AY1047=1,INDEX($V$7:$AL$7,MATCH(TRUE,INDEX($V1047:$AW1047&lt;&gt;0,),0)),IF(AY1047=0,INDEX($AM$7:$AW$7,MATCH(1,$AM1047:$AW1047,0)),IF(BF1047="Multiple strategies","mixed drivers",IF(BF1047="Supply chain","multiple supply","multiple silviculture"))))</f>
        <v>technologies/design switch</v>
      </c>
      <c r="BF1047" s="2" t="str" cm="1">
        <f t="array" ref="BF1047">IF(COUNTIF(AZ1047:BB1047,"&lt;&gt;0")=1,INDEX($V$4:$AW$4,MATCH(TRUE,INDEX($V1047:$AW1047&lt;&gt;0,),0)),IF(COUNTIF(AZ1047:BB1047,"&lt;&gt;0")=0,INDEX($AM$4:$AW$4,MATCH(1,$AM1047:$AW1047,0)),"Multiple strategies"))</f>
        <v>Technology</v>
      </c>
      <c r="BG1047" s="1" t="s">
        <v>230</v>
      </c>
      <c r="BH1047" t="s">
        <v>1801</v>
      </c>
      <c r="BI1047" s="260" t="s">
        <v>3348</v>
      </c>
      <c r="BJ1047" s="260" t="s">
        <v>3349</v>
      </c>
      <c r="BK1047">
        <v>0</v>
      </c>
      <c r="BL1047">
        <v>18</v>
      </c>
      <c r="BN1047">
        <f t="shared" si="275"/>
        <v>18</v>
      </c>
      <c r="BO1047">
        <f t="shared" ref="BO1047:BO1053" si="291">BN1047*10^6*t_to_m3</f>
        <v>36734693.877551019</v>
      </c>
      <c r="BP1047" t="s">
        <v>233</v>
      </c>
      <c r="BQ1047" s="260" t="s">
        <v>3360</v>
      </c>
      <c r="BR1047" t="s">
        <v>1302</v>
      </c>
      <c r="BU1047" s="144" t="str">
        <f t="shared" si="288"/>
        <v/>
      </c>
      <c r="BV1047">
        <v>-13.8</v>
      </c>
      <c r="BX1047">
        <f t="shared" si="289"/>
        <v>-13800000</v>
      </c>
      <c r="BY1047">
        <f t="shared" si="262"/>
        <v>-0.3756666666666667</v>
      </c>
      <c r="BZ1047">
        <v>0</v>
      </c>
      <c r="CA1047">
        <v>0</v>
      </c>
      <c r="CB1047">
        <v>0</v>
      </c>
      <c r="CC1047">
        <v>0</v>
      </c>
      <c r="CD1047">
        <v>0</v>
      </c>
      <c r="CE1047">
        <v>0</v>
      </c>
      <c r="CF1047">
        <v>0</v>
      </c>
      <c r="CG1047">
        <v>0</v>
      </c>
      <c r="CH1047">
        <v>0</v>
      </c>
      <c r="CI1047">
        <v>0</v>
      </c>
      <c r="CJ1047">
        <v>0</v>
      </c>
      <c r="CK1047">
        <v>0</v>
      </c>
      <c r="CL1047">
        <v>0</v>
      </c>
      <c r="CM1047">
        <v>0</v>
      </c>
      <c r="CN1047" t="str">
        <f t="shared" si="290"/>
        <v>refOK</v>
      </c>
      <c r="CO1047">
        <f t="shared" si="284"/>
        <v>0</v>
      </c>
      <c r="CP1047">
        <f t="shared" si="285"/>
        <v>18</v>
      </c>
      <c r="CQ1047">
        <f t="shared" si="274"/>
        <v>36734693.877551019</v>
      </c>
      <c r="CR1047">
        <f t="shared" si="286"/>
        <v>0</v>
      </c>
      <c r="CS1047">
        <f t="shared" si="287"/>
        <v>0</v>
      </c>
      <c r="CT1047">
        <f t="shared" si="267"/>
        <v>-13800000</v>
      </c>
      <c r="CU1047">
        <f t="shared" si="258"/>
        <v>-0.3756666666666667</v>
      </c>
      <c r="CV1047" s="2" t="str">
        <f t="shared" si="268"/>
        <v/>
      </c>
      <c r="CW1047" s="1" t="s">
        <v>1205</v>
      </c>
      <c r="CX1047" t="str">
        <f t="shared" si="242"/>
        <v>reg</v>
      </c>
      <c r="CY1047" t="s">
        <v>963</v>
      </c>
      <c r="CZ1047">
        <v>2005</v>
      </c>
      <c r="DA1047">
        <v>2050</v>
      </c>
      <c r="DB1047">
        <v>45</v>
      </c>
      <c r="DC1047" t="str">
        <f t="shared" si="243"/>
        <v>31-70</v>
      </c>
      <c r="DD1047">
        <v>0</v>
      </c>
      <c r="DE1047">
        <v>1</v>
      </c>
      <c r="DF1047">
        <v>0</v>
      </c>
      <c r="DG1047">
        <v>0</v>
      </c>
      <c r="DI1047">
        <f t="shared" si="265"/>
        <v>1</v>
      </c>
      <c r="DJ1047" t="str">
        <f t="shared" si="257"/>
        <v>EnergyInput</v>
      </c>
      <c r="DK1047">
        <f t="shared" si="277"/>
        <v>0</v>
      </c>
      <c r="DL1047" t="str">
        <f t="shared" si="278"/>
        <v>Energy</v>
      </c>
      <c r="DM1047">
        <f t="shared" si="279"/>
        <v>0</v>
      </c>
      <c r="DN1047">
        <f t="shared" si="280"/>
        <v>0</v>
      </c>
      <c r="DO1047">
        <v>0</v>
      </c>
      <c r="DP1047">
        <v>0</v>
      </c>
      <c r="DQ1047">
        <v>0</v>
      </c>
      <c r="DR1047">
        <v>0</v>
      </c>
      <c r="DS1047">
        <v>0</v>
      </c>
      <c r="DT1047">
        <f t="shared" si="260"/>
        <v>0</v>
      </c>
      <c r="DU1047" s="143" t="str">
        <f t="shared" si="245"/>
        <v>explicit C balance</v>
      </c>
      <c r="DV1047">
        <v>0</v>
      </c>
      <c r="DW1047">
        <v>1</v>
      </c>
      <c r="DX1047">
        <v>1</v>
      </c>
      <c r="DY1047">
        <v>0</v>
      </c>
      <c r="DZ1047">
        <v>0</v>
      </c>
      <c r="EA1047" s="143">
        <v>1</v>
      </c>
      <c r="EB1047">
        <v>1</v>
      </c>
      <c r="EC1047">
        <v>0</v>
      </c>
      <c r="ED1047">
        <v>0</v>
      </c>
      <c r="EE1047">
        <v>0</v>
      </c>
      <c r="EF1047">
        <v>1</v>
      </c>
      <c r="EG1047">
        <v>1</v>
      </c>
      <c r="EH1047">
        <v>0</v>
      </c>
      <c r="EI1047" s="2">
        <v>0</v>
      </c>
      <c r="EK1047" t="str">
        <f t="shared" si="281"/>
        <v/>
      </c>
      <c r="EL1047" t="str">
        <f t="shared" si="282"/>
        <v/>
      </c>
      <c r="EM1047" s="2" t="str">
        <f t="shared" si="244"/>
        <v/>
      </c>
      <c r="EP1047" t="str">
        <f>IF(ISNUMBER(BU1047),IF(ABS(BU1047-[4]QC_indicators!$B$2)&gt;3*[4]QC_indicators!$C$2,"C ratio",IF(ISNUMBER(BY1047),IF(ABS(BY1047-[4]QC_indicators!$B$1)&gt;3*[4]QC_indicators!$C$1,"DF","no"))),IF(ISNUMBER(BY1047),IF(ABS(BY1047-[4]QC_indicators!$B$1)&gt;3*[4]QC_indicators!$C$1,"DF","no")))</f>
        <v>no</v>
      </c>
      <c r="ET1047" s="266" t="s">
        <v>3275</v>
      </c>
    </row>
    <row r="1048" spans="1:150" ht="15" hidden="1" customHeight="1">
      <c r="A1048" s="1" t="s">
        <v>880</v>
      </c>
      <c r="B1048" t="s">
        <v>1793</v>
      </c>
      <c r="C1048" t="s">
        <v>1794</v>
      </c>
      <c r="D1048" t="s">
        <v>1795</v>
      </c>
      <c r="E1048" t="s">
        <v>1796</v>
      </c>
      <c r="F1048" t="s">
        <v>1797</v>
      </c>
      <c r="G1048" t="s">
        <v>1186</v>
      </c>
      <c r="H1048" t="s">
        <v>255</v>
      </c>
      <c r="I1048">
        <v>2011</v>
      </c>
      <c r="J1048">
        <v>6</v>
      </c>
      <c r="K1048" t="s">
        <v>1798</v>
      </c>
      <c r="M1048" t="str">
        <f t="shared" si="255"/>
        <v>Kayo_2011</v>
      </c>
      <c r="N1048" t="s">
        <v>223</v>
      </c>
      <c r="O1048" s="145" t="s">
        <v>514</v>
      </c>
      <c r="Q1048" t="s">
        <v>257</v>
      </c>
      <c r="R1048" s="255" t="s">
        <v>226</v>
      </c>
      <c r="S1048" s="265" t="s">
        <v>3365</v>
      </c>
      <c r="T1048" t="s">
        <v>1807</v>
      </c>
      <c r="U1048" s="266" t="s">
        <v>1808</v>
      </c>
      <c r="V1048">
        <v>0</v>
      </c>
      <c r="W1048">
        <v>0</v>
      </c>
      <c r="X1048">
        <v>0</v>
      </c>
      <c r="Y1048">
        <v>0</v>
      </c>
      <c r="Z1048">
        <v>0</v>
      </c>
      <c r="AA1048">
        <v>0</v>
      </c>
      <c r="AB1048">
        <v>0</v>
      </c>
      <c r="AC1048">
        <v>0</v>
      </c>
      <c r="AD1048">
        <v>0</v>
      </c>
      <c r="AE1048">
        <v>0</v>
      </c>
      <c r="AF1048">
        <v>0</v>
      </c>
      <c r="AG1048">
        <v>0</v>
      </c>
      <c r="AH1048">
        <v>0</v>
      </c>
      <c r="AI1048">
        <v>0</v>
      </c>
      <c r="AJ1048">
        <v>0</v>
      </c>
      <c r="AK1048">
        <v>1</v>
      </c>
      <c r="AL1048">
        <v>0</v>
      </c>
      <c r="AM1048">
        <v>0</v>
      </c>
      <c r="AN1048">
        <v>0</v>
      </c>
      <c r="AO1048">
        <v>0</v>
      </c>
      <c r="AP1048">
        <v>0</v>
      </c>
      <c r="AQ1048">
        <v>0</v>
      </c>
      <c r="AR1048">
        <v>0</v>
      </c>
      <c r="AS1048">
        <v>0</v>
      </c>
      <c r="AT1048">
        <v>0</v>
      </c>
      <c r="AU1048">
        <v>0</v>
      </c>
      <c r="AV1048">
        <v>0</v>
      </c>
      <c r="AW1048">
        <v>0</v>
      </c>
      <c r="AX1048" s="141">
        <f t="shared" si="266"/>
        <v>1</v>
      </c>
      <c r="AY1048" s="141">
        <f t="shared" si="235"/>
        <v>1</v>
      </c>
      <c r="AZ1048">
        <f t="shared" si="236"/>
        <v>0</v>
      </c>
      <c r="BA1048">
        <f t="shared" si="237"/>
        <v>0</v>
      </c>
      <c r="BB1048">
        <f t="shared" si="238"/>
        <v>1</v>
      </c>
      <c r="BC1048">
        <f t="shared" si="239"/>
        <v>0</v>
      </c>
      <c r="BD1048">
        <f t="shared" si="240"/>
        <v>0</v>
      </c>
      <c r="BE1048" t="str">
        <f t="array" ref="BE1048">IF(AY1048=1,INDEX($V$7:$AL$7,MATCH(TRUE,INDEX($V1048:$AW1048&lt;&gt;0,),0)),IF(AY1048=0,INDEX($AM$7:$AW$7,MATCH(1,$AM1048:$AW1048,0)),IF(BF1048="Multiple strategies","mixed drivers",IF(BF1048="Supply chain","multiple supply","multiple silviculture"))))</f>
        <v>technologies/design switch</v>
      </c>
      <c r="BF1048" s="2" t="str" cm="1">
        <f t="array" ref="BF1048">IF(COUNTIF(AZ1048:BB1048,"&lt;&gt;0")=1,INDEX($V$4:$AW$4,MATCH(TRUE,INDEX($V1048:$AW1048&lt;&gt;0,),0)),IF(COUNTIF(AZ1048:BB1048,"&lt;&gt;0")=0,INDEX($AM$4:$AW$4,MATCH(1,$AM1048:$AW1048,0)),"Multiple strategies"))</f>
        <v>Technology</v>
      </c>
      <c r="BG1048" s="1" t="s">
        <v>230</v>
      </c>
      <c r="BH1048" t="s">
        <v>1801</v>
      </c>
      <c r="BI1048" s="260" t="s">
        <v>3348</v>
      </c>
      <c r="BJ1048" s="260" t="s">
        <v>3349</v>
      </c>
      <c r="BK1048">
        <v>0</v>
      </c>
      <c r="BL1048">
        <v>86</v>
      </c>
      <c r="BN1048">
        <f t="shared" si="275"/>
        <v>86</v>
      </c>
      <c r="BO1048">
        <f t="shared" si="291"/>
        <v>175510204.08163264</v>
      </c>
      <c r="BP1048" t="s">
        <v>233</v>
      </c>
      <c r="BQ1048" s="260" t="s">
        <v>3343</v>
      </c>
      <c r="BR1048" t="s">
        <v>1302</v>
      </c>
      <c r="BU1048" s="144" t="str">
        <f t="shared" si="288"/>
        <v/>
      </c>
      <c r="BV1048">
        <v>-12</v>
      </c>
      <c r="BX1048">
        <f t="shared" si="289"/>
        <v>-12000000</v>
      </c>
      <c r="BY1048">
        <f t="shared" si="262"/>
        <v>-6.8372093023255823E-2</v>
      </c>
      <c r="BZ1048">
        <v>0</v>
      </c>
      <c r="CA1048">
        <v>0</v>
      </c>
      <c r="CB1048">
        <v>0</v>
      </c>
      <c r="CC1048">
        <v>0</v>
      </c>
      <c r="CD1048">
        <v>0</v>
      </c>
      <c r="CE1048">
        <v>0</v>
      </c>
      <c r="CF1048">
        <v>0</v>
      </c>
      <c r="CG1048">
        <v>0</v>
      </c>
      <c r="CH1048">
        <v>0</v>
      </c>
      <c r="CI1048">
        <v>0</v>
      </c>
      <c r="CJ1048">
        <v>0</v>
      </c>
      <c r="CK1048">
        <v>0</v>
      </c>
      <c r="CL1048">
        <v>0</v>
      </c>
      <c r="CM1048">
        <v>0</v>
      </c>
      <c r="CN1048" t="str">
        <f t="shared" si="290"/>
        <v>refOK</v>
      </c>
      <c r="CO1048">
        <f t="shared" si="284"/>
        <v>0</v>
      </c>
      <c r="CP1048">
        <f t="shared" si="285"/>
        <v>86</v>
      </c>
      <c r="CQ1048">
        <f t="shared" si="274"/>
        <v>175510204.08163264</v>
      </c>
      <c r="CR1048">
        <f t="shared" si="286"/>
        <v>0</v>
      </c>
      <c r="CS1048">
        <f t="shared" si="287"/>
        <v>0</v>
      </c>
      <c r="CT1048">
        <f t="shared" si="267"/>
        <v>-12000000</v>
      </c>
      <c r="CU1048">
        <f t="shared" si="258"/>
        <v>-6.8372093023255823E-2</v>
      </c>
      <c r="CV1048" s="2" t="str">
        <f t="shared" si="268"/>
        <v/>
      </c>
      <c r="CW1048" s="1" t="s">
        <v>1205</v>
      </c>
      <c r="CX1048" t="str">
        <f t="shared" si="242"/>
        <v>reg</v>
      </c>
      <c r="CY1048" t="s">
        <v>963</v>
      </c>
      <c r="CZ1048">
        <v>2005</v>
      </c>
      <c r="DA1048">
        <v>2050</v>
      </c>
      <c r="DB1048">
        <v>45</v>
      </c>
      <c r="DC1048" t="str">
        <f t="shared" si="243"/>
        <v>31-70</v>
      </c>
      <c r="DD1048">
        <v>0</v>
      </c>
      <c r="DE1048">
        <v>1</v>
      </c>
      <c r="DF1048">
        <v>0</v>
      </c>
      <c r="DG1048">
        <v>0</v>
      </c>
      <c r="DI1048">
        <f t="shared" si="265"/>
        <v>1</v>
      </c>
      <c r="DJ1048" t="str">
        <f t="shared" si="257"/>
        <v>EnergyInput</v>
      </c>
      <c r="DK1048">
        <f t="shared" si="277"/>
        <v>0</v>
      </c>
      <c r="DL1048" t="str">
        <f t="shared" si="278"/>
        <v>Energy</v>
      </c>
      <c r="DM1048">
        <f t="shared" si="279"/>
        <v>0</v>
      </c>
      <c r="DN1048">
        <f t="shared" si="280"/>
        <v>0</v>
      </c>
      <c r="DO1048">
        <v>0</v>
      </c>
      <c r="DP1048">
        <v>0</v>
      </c>
      <c r="DQ1048">
        <v>0</v>
      </c>
      <c r="DR1048">
        <v>0</v>
      </c>
      <c r="DS1048">
        <v>0</v>
      </c>
      <c r="DT1048">
        <f t="shared" si="260"/>
        <v>0</v>
      </c>
      <c r="DU1048" s="143" t="str">
        <f t="shared" si="245"/>
        <v>explicit C balance</v>
      </c>
      <c r="DV1048">
        <v>0</v>
      </c>
      <c r="DW1048">
        <v>1</v>
      </c>
      <c r="DX1048">
        <v>1</v>
      </c>
      <c r="DY1048">
        <v>0</v>
      </c>
      <c r="DZ1048">
        <v>0</v>
      </c>
      <c r="EA1048" s="143">
        <v>1</v>
      </c>
      <c r="EB1048">
        <v>1</v>
      </c>
      <c r="EC1048">
        <v>0</v>
      </c>
      <c r="ED1048">
        <v>0</v>
      </c>
      <c r="EE1048">
        <v>0</v>
      </c>
      <c r="EF1048">
        <v>1</v>
      </c>
      <c r="EG1048">
        <v>1</v>
      </c>
      <c r="EH1048">
        <v>0</v>
      </c>
      <c r="EI1048" s="2">
        <v>0</v>
      </c>
      <c r="EK1048" t="str">
        <f t="shared" si="281"/>
        <v/>
      </c>
      <c r="EL1048" t="str">
        <f t="shared" si="282"/>
        <v/>
      </c>
      <c r="EM1048" s="2" t="str">
        <f t="shared" si="244"/>
        <v/>
      </c>
      <c r="EP1048" t="str">
        <f>IF(ISNUMBER(BU1048),IF(ABS(BU1048-[4]QC_indicators!$B$2)&gt;3*[4]QC_indicators!$C$2,"C ratio",IF(ISNUMBER(BY1048),IF(ABS(BY1048-[4]QC_indicators!$B$1)&gt;3*[4]QC_indicators!$C$1,"DF","no"))),IF(ISNUMBER(BY1048),IF(ABS(BY1048-[4]QC_indicators!$B$1)&gt;3*[4]QC_indicators!$C$1,"DF","no")))</f>
        <v>no</v>
      </c>
      <c r="ET1048" s="266" t="s">
        <v>3275</v>
      </c>
    </row>
    <row r="1049" spans="1:150" ht="15" hidden="1" customHeight="1">
      <c r="A1049" s="1" t="s">
        <v>880</v>
      </c>
      <c r="B1049" t="s">
        <v>1793</v>
      </c>
      <c r="C1049" t="s">
        <v>1794</v>
      </c>
      <c r="D1049" t="s">
        <v>1795</v>
      </c>
      <c r="E1049" t="s">
        <v>1796</v>
      </c>
      <c r="F1049" t="s">
        <v>1797</v>
      </c>
      <c r="G1049" t="s">
        <v>1186</v>
      </c>
      <c r="H1049" t="s">
        <v>255</v>
      </c>
      <c r="I1049">
        <v>2011</v>
      </c>
      <c r="J1049">
        <v>6</v>
      </c>
      <c r="K1049" t="s">
        <v>1798</v>
      </c>
      <c r="M1049" t="str">
        <f t="shared" si="255"/>
        <v>Kayo_2011</v>
      </c>
      <c r="N1049" t="s">
        <v>223</v>
      </c>
      <c r="O1049" s="145" t="s">
        <v>514</v>
      </c>
      <c r="Q1049" t="s">
        <v>257</v>
      </c>
      <c r="R1049" s="255" t="s">
        <v>226</v>
      </c>
      <c r="S1049" s="265" t="s">
        <v>3365</v>
      </c>
      <c r="T1049" t="s">
        <v>1807</v>
      </c>
      <c r="U1049" s="266" t="s">
        <v>3366</v>
      </c>
      <c r="V1049">
        <v>0</v>
      </c>
      <c r="W1049">
        <v>0</v>
      </c>
      <c r="X1049">
        <v>0</v>
      </c>
      <c r="Y1049">
        <v>0</v>
      </c>
      <c r="Z1049">
        <v>0</v>
      </c>
      <c r="AA1049">
        <v>0</v>
      </c>
      <c r="AB1049">
        <v>0</v>
      </c>
      <c r="AC1049">
        <v>0</v>
      </c>
      <c r="AD1049">
        <v>0</v>
      </c>
      <c r="AE1049">
        <v>0</v>
      </c>
      <c r="AF1049">
        <v>0</v>
      </c>
      <c r="AG1049">
        <v>0</v>
      </c>
      <c r="AH1049">
        <v>0</v>
      </c>
      <c r="AI1049">
        <v>0</v>
      </c>
      <c r="AJ1049">
        <v>0</v>
      </c>
      <c r="AK1049">
        <v>1</v>
      </c>
      <c r="AL1049">
        <v>0</v>
      </c>
      <c r="AM1049">
        <v>0</v>
      </c>
      <c r="AN1049">
        <v>0</v>
      </c>
      <c r="AO1049">
        <v>0</v>
      </c>
      <c r="AP1049">
        <v>0</v>
      </c>
      <c r="AQ1049">
        <v>0</v>
      </c>
      <c r="AR1049">
        <v>0</v>
      </c>
      <c r="AS1049">
        <v>0</v>
      </c>
      <c r="AT1049">
        <v>0</v>
      </c>
      <c r="AU1049">
        <v>0</v>
      </c>
      <c r="AV1049">
        <v>0</v>
      </c>
      <c r="AW1049">
        <v>0</v>
      </c>
      <c r="AX1049" s="141">
        <f t="shared" si="266"/>
        <v>1</v>
      </c>
      <c r="AY1049" s="141">
        <f t="shared" si="235"/>
        <v>1</v>
      </c>
      <c r="AZ1049">
        <f t="shared" si="236"/>
        <v>0</v>
      </c>
      <c r="BA1049">
        <f t="shared" si="237"/>
        <v>0</v>
      </c>
      <c r="BB1049">
        <f t="shared" si="238"/>
        <v>1</v>
      </c>
      <c r="BC1049">
        <f t="shared" si="239"/>
        <v>0</v>
      </c>
      <c r="BD1049">
        <f t="shared" si="240"/>
        <v>0</v>
      </c>
      <c r="BE1049" t="str">
        <f t="array" ref="BE1049">IF(AY1049=1,INDEX($V$7:$AL$7,MATCH(TRUE,INDEX($V1049:$AW1049&lt;&gt;0,),0)),IF(AY1049=0,INDEX($AM$7:$AW$7,MATCH(1,$AM1049:$AW1049,0)),IF(BF1049="Multiple strategies","mixed drivers",IF(BF1049="Supply chain","multiple supply","multiple silviculture"))))</f>
        <v>technologies/design switch</v>
      </c>
      <c r="BF1049" s="2" t="str" cm="1">
        <f t="array" ref="BF1049">IF(COUNTIF(AZ1049:BB1049,"&lt;&gt;0")=1,INDEX($V$4:$AW$4,MATCH(TRUE,INDEX($V1049:$AW1049&lt;&gt;0,),0)),IF(COUNTIF(AZ1049:BB1049,"&lt;&gt;0")=0,INDEX($AM$4:$AW$4,MATCH(1,$AM1049:$AW1049,0)),"Multiple strategies"))</f>
        <v>Technology</v>
      </c>
      <c r="BG1049" s="1" t="s">
        <v>230</v>
      </c>
      <c r="BH1049" t="s">
        <v>1801</v>
      </c>
      <c r="BI1049" s="260" t="s">
        <v>3348</v>
      </c>
      <c r="BJ1049" s="260" t="s">
        <v>3349</v>
      </c>
      <c r="BK1049">
        <v>0</v>
      </c>
      <c r="BL1049">
        <v>32</v>
      </c>
      <c r="BN1049">
        <f t="shared" si="275"/>
        <v>32</v>
      </c>
      <c r="BO1049">
        <f t="shared" si="291"/>
        <v>65306122.448979594</v>
      </c>
      <c r="BP1049" t="s">
        <v>233</v>
      </c>
      <c r="BQ1049" s="260" t="s">
        <v>3343</v>
      </c>
      <c r="BR1049" t="s">
        <v>1302</v>
      </c>
      <c r="BU1049" s="144" t="str">
        <f t="shared" si="288"/>
        <v/>
      </c>
      <c r="BV1049">
        <v>21</v>
      </c>
      <c r="BX1049">
        <f t="shared" si="289"/>
        <v>21000000</v>
      </c>
      <c r="BY1049">
        <f t="shared" si="262"/>
        <v>0.32156249999999997</v>
      </c>
      <c r="BZ1049">
        <v>0</v>
      </c>
      <c r="CA1049">
        <v>0</v>
      </c>
      <c r="CB1049">
        <v>0</v>
      </c>
      <c r="CC1049">
        <v>0</v>
      </c>
      <c r="CD1049">
        <v>0</v>
      </c>
      <c r="CE1049">
        <v>0</v>
      </c>
      <c r="CF1049">
        <v>0</v>
      </c>
      <c r="CG1049">
        <v>0</v>
      </c>
      <c r="CH1049">
        <v>0</v>
      </c>
      <c r="CI1049">
        <v>0</v>
      </c>
      <c r="CJ1049">
        <v>0</v>
      </c>
      <c r="CK1049">
        <v>0</v>
      </c>
      <c r="CL1049">
        <v>0</v>
      </c>
      <c r="CM1049">
        <v>0</v>
      </c>
      <c r="CN1049" t="str">
        <f t="shared" si="290"/>
        <v>refOK</v>
      </c>
      <c r="CO1049">
        <f t="shared" si="284"/>
        <v>0</v>
      </c>
      <c r="CP1049">
        <f t="shared" si="285"/>
        <v>32</v>
      </c>
      <c r="CQ1049">
        <f t="shared" si="274"/>
        <v>65306122.448979594</v>
      </c>
      <c r="CR1049">
        <f t="shared" si="286"/>
        <v>0</v>
      </c>
      <c r="CS1049">
        <f t="shared" si="287"/>
        <v>0</v>
      </c>
      <c r="CT1049">
        <f t="shared" si="267"/>
        <v>21000000</v>
      </c>
      <c r="CU1049">
        <f t="shared" si="258"/>
        <v>0.32156249999999997</v>
      </c>
      <c r="CV1049" s="2" t="str">
        <f t="shared" si="268"/>
        <v/>
      </c>
      <c r="CW1049" s="1" t="s">
        <v>1205</v>
      </c>
      <c r="CX1049" t="str">
        <f t="shared" si="242"/>
        <v>reg</v>
      </c>
      <c r="CY1049" t="s">
        <v>963</v>
      </c>
      <c r="CZ1049">
        <v>2005</v>
      </c>
      <c r="DA1049">
        <v>2050</v>
      </c>
      <c r="DB1049">
        <v>45</v>
      </c>
      <c r="DC1049" t="str">
        <f t="shared" si="243"/>
        <v>31-70</v>
      </c>
      <c r="DD1049">
        <v>0</v>
      </c>
      <c r="DE1049">
        <v>1</v>
      </c>
      <c r="DF1049">
        <v>0</v>
      </c>
      <c r="DG1049">
        <v>0</v>
      </c>
      <c r="DI1049">
        <f t="shared" si="265"/>
        <v>1</v>
      </c>
      <c r="DJ1049" t="str">
        <f t="shared" si="257"/>
        <v>EnergyInput</v>
      </c>
      <c r="DK1049">
        <f t="shared" si="277"/>
        <v>0</v>
      </c>
      <c r="DL1049" t="str">
        <f t="shared" si="278"/>
        <v>Energy</v>
      </c>
      <c r="DM1049">
        <f t="shared" si="279"/>
        <v>0</v>
      </c>
      <c r="DN1049">
        <f t="shared" si="280"/>
        <v>0</v>
      </c>
      <c r="DO1049">
        <v>0</v>
      </c>
      <c r="DP1049">
        <v>0</v>
      </c>
      <c r="DQ1049">
        <v>0</v>
      </c>
      <c r="DR1049">
        <v>0</v>
      </c>
      <c r="DS1049">
        <v>0</v>
      </c>
      <c r="DT1049">
        <f t="shared" si="260"/>
        <v>0</v>
      </c>
      <c r="DU1049" s="143" t="str">
        <f t="shared" si="245"/>
        <v>explicit C balance</v>
      </c>
      <c r="DV1049">
        <v>0</v>
      </c>
      <c r="DW1049">
        <v>1</v>
      </c>
      <c r="DX1049">
        <v>1</v>
      </c>
      <c r="DY1049">
        <v>0</v>
      </c>
      <c r="DZ1049">
        <v>0</v>
      </c>
      <c r="EA1049" s="143">
        <v>1</v>
      </c>
      <c r="EB1049">
        <v>1</v>
      </c>
      <c r="EC1049">
        <v>0</v>
      </c>
      <c r="ED1049">
        <v>0</v>
      </c>
      <c r="EE1049">
        <v>0</v>
      </c>
      <c r="EF1049">
        <v>1</v>
      </c>
      <c r="EG1049">
        <v>1</v>
      </c>
      <c r="EH1049">
        <v>0</v>
      </c>
      <c r="EI1049" s="2">
        <v>0</v>
      </c>
      <c r="EK1049" t="str">
        <f t="shared" si="281"/>
        <v/>
      </c>
      <c r="EL1049" t="str">
        <f t="shared" si="282"/>
        <v/>
      </c>
      <c r="EM1049" s="2" t="str">
        <f t="shared" si="244"/>
        <v/>
      </c>
      <c r="EP1049" t="str">
        <f>IF(ISNUMBER(BU1049),IF(ABS(BU1049-[4]QC_indicators!$B$2)&gt;3*[4]QC_indicators!$C$2,"C ratio",IF(ISNUMBER(BY1049),IF(ABS(BY1049-[4]QC_indicators!$B$1)&gt;3*[4]QC_indicators!$C$1,"DF","no"))),IF(ISNUMBER(BY1049),IF(ABS(BY1049-[4]QC_indicators!$B$1)&gt;3*[4]QC_indicators!$C$1,"DF","no")))</f>
        <v>no</v>
      </c>
      <c r="ET1049" s="266" t="s">
        <v>3275</v>
      </c>
    </row>
    <row r="1050" spans="1:150" ht="15" hidden="1" customHeight="1">
      <c r="A1050" s="1" t="s">
        <v>880</v>
      </c>
      <c r="B1050" t="s">
        <v>1793</v>
      </c>
      <c r="C1050" t="s">
        <v>1794</v>
      </c>
      <c r="D1050" t="s">
        <v>1795</v>
      </c>
      <c r="E1050" t="s">
        <v>1796</v>
      </c>
      <c r="F1050" t="s">
        <v>1797</v>
      </c>
      <c r="G1050" t="s">
        <v>1186</v>
      </c>
      <c r="H1050" t="s">
        <v>255</v>
      </c>
      <c r="I1050">
        <v>2011</v>
      </c>
      <c r="J1050">
        <v>6</v>
      </c>
      <c r="K1050" t="s">
        <v>1798</v>
      </c>
      <c r="M1050" t="str">
        <f t="shared" si="255"/>
        <v>Kayo_2011</v>
      </c>
      <c r="N1050" t="s">
        <v>223</v>
      </c>
      <c r="O1050" s="145" t="s">
        <v>514</v>
      </c>
      <c r="Q1050" t="s">
        <v>257</v>
      </c>
      <c r="R1050" s="255" t="s">
        <v>226</v>
      </c>
      <c r="S1050" s="265" t="s">
        <v>3365</v>
      </c>
      <c r="T1050" t="s">
        <v>1807</v>
      </c>
      <c r="U1050" t="s">
        <v>1809</v>
      </c>
      <c r="V1050">
        <v>0</v>
      </c>
      <c r="W1050">
        <v>0</v>
      </c>
      <c r="X1050">
        <v>0</v>
      </c>
      <c r="Y1050">
        <v>0</v>
      </c>
      <c r="Z1050">
        <v>0</v>
      </c>
      <c r="AA1050">
        <v>0</v>
      </c>
      <c r="AB1050">
        <v>0</v>
      </c>
      <c r="AC1050">
        <v>0</v>
      </c>
      <c r="AD1050">
        <v>0</v>
      </c>
      <c r="AE1050">
        <v>0</v>
      </c>
      <c r="AF1050">
        <v>0</v>
      </c>
      <c r="AG1050">
        <v>0</v>
      </c>
      <c r="AH1050">
        <v>0</v>
      </c>
      <c r="AI1050">
        <v>0</v>
      </c>
      <c r="AJ1050">
        <v>0</v>
      </c>
      <c r="AK1050">
        <v>1</v>
      </c>
      <c r="AL1050">
        <v>0</v>
      </c>
      <c r="AM1050">
        <v>0</v>
      </c>
      <c r="AN1050">
        <v>0</v>
      </c>
      <c r="AO1050">
        <v>0</v>
      </c>
      <c r="AP1050">
        <v>0</v>
      </c>
      <c r="AQ1050">
        <v>0</v>
      </c>
      <c r="AR1050">
        <v>0</v>
      </c>
      <c r="AS1050">
        <v>0</v>
      </c>
      <c r="AT1050">
        <v>0</v>
      </c>
      <c r="AU1050">
        <v>0</v>
      </c>
      <c r="AV1050">
        <v>0</v>
      </c>
      <c r="AW1050">
        <v>0</v>
      </c>
      <c r="AX1050" s="141">
        <f t="shared" si="266"/>
        <v>1</v>
      </c>
      <c r="AY1050" s="141">
        <f t="shared" ref="AY1050:AY1113" si="292">COUNTIF(V1050:AL1050,"&lt;&gt;0")</f>
        <v>1</v>
      </c>
      <c r="AZ1050">
        <f t="shared" ref="AZ1050:AZ1113" si="293">COUNTIF(V1050:AC1050,"&lt;&gt;0")</f>
        <v>0</v>
      </c>
      <c r="BA1050">
        <f t="shared" ref="BA1050:BA1113" si="294">COUNTIF(AD1050:AI1050,"&lt;&gt;0")</f>
        <v>0</v>
      </c>
      <c r="BB1050">
        <f t="shared" ref="BB1050:BB1113" si="295">COUNTIF(AJ1050:AL1050,"&lt;&gt;0")</f>
        <v>1</v>
      </c>
      <c r="BC1050">
        <f t="shared" ref="BC1050:BC1113" si="296">COUNTIF(AS1050:AW1050,"&lt;&gt;0")</f>
        <v>0</v>
      </c>
      <c r="BD1050">
        <f t="shared" ref="BD1050:BD1113" si="297">COUNTIF(AM1050:AR1050,"&lt;&gt;0")</f>
        <v>0</v>
      </c>
      <c r="BE1050" t="str">
        <f t="array" ref="BE1050">IF(AY1050=1,INDEX($V$7:$AL$7,MATCH(TRUE,INDEX($V1050:$AW1050&lt;&gt;0,),0)),IF(AY1050=0,INDEX($AM$7:$AW$7,MATCH(1,$AM1050:$AW1050,0)),IF(BF1050="Multiple strategies","mixed drivers",IF(BF1050="Supply chain","multiple supply","multiple silviculture"))))</f>
        <v>technologies/design switch</v>
      </c>
      <c r="BF1050" s="2" t="str" cm="1">
        <f t="array" ref="BF1050">IF(COUNTIF(AZ1050:BB1050,"&lt;&gt;0")=1,INDEX($V$4:$AW$4,MATCH(TRUE,INDEX($V1050:$AW1050&lt;&gt;0,),0)),IF(COUNTIF(AZ1050:BB1050,"&lt;&gt;0")=0,INDEX($AM$4:$AW$4,MATCH(1,$AM1050:$AW1050,0)),"Multiple strategies"))</f>
        <v>Technology</v>
      </c>
      <c r="BG1050" s="1" t="s">
        <v>230</v>
      </c>
      <c r="BH1050" t="s">
        <v>1801</v>
      </c>
      <c r="BI1050" s="260" t="s">
        <v>3348</v>
      </c>
      <c r="BJ1050" s="260" t="s">
        <v>3349</v>
      </c>
      <c r="BK1050">
        <v>0</v>
      </c>
      <c r="BL1050">
        <v>86</v>
      </c>
      <c r="BN1050">
        <f t="shared" si="275"/>
        <v>86</v>
      </c>
      <c r="BO1050">
        <f t="shared" si="291"/>
        <v>175510204.08163264</v>
      </c>
      <c r="BP1050" t="s">
        <v>233</v>
      </c>
      <c r="BQ1050" s="260" t="s">
        <v>3343</v>
      </c>
      <c r="BR1050" t="s">
        <v>1302</v>
      </c>
      <c r="BU1050" s="144" t="str">
        <f t="shared" si="288"/>
        <v/>
      </c>
      <c r="BV1050">
        <v>59.5</v>
      </c>
      <c r="BX1050">
        <f t="shared" si="289"/>
        <v>59500000</v>
      </c>
      <c r="BY1050">
        <f t="shared" si="262"/>
        <v>0.33901162790697675</v>
      </c>
      <c r="BZ1050">
        <v>0</v>
      </c>
      <c r="CA1050">
        <v>0</v>
      </c>
      <c r="CB1050">
        <v>0</v>
      </c>
      <c r="CC1050">
        <v>0</v>
      </c>
      <c r="CD1050">
        <v>0</v>
      </c>
      <c r="CE1050">
        <v>0</v>
      </c>
      <c r="CF1050">
        <v>0</v>
      </c>
      <c r="CG1050">
        <v>0</v>
      </c>
      <c r="CH1050">
        <v>0</v>
      </c>
      <c r="CI1050">
        <v>0</v>
      </c>
      <c r="CJ1050">
        <v>0</v>
      </c>
      <c r="CK1050">
        <v>0</v>
      </c>
      <c r="CL1050">
        <v>0</v>
      </c>
      <c r="CM1050">
        <v>0</v>
      </c>
      <c r="CN1050" t="str">
        <f t="shared" si="290"/>
        <v>refOK</v>
      </c>
      <c r="CO1050">
        <f t="shared" si="284"/>
        <v>0</v>
      </c>
      <c r="CP1050">
        <f t="shared" si="285"/>
        <v>86</v>
      </c>
      <c r="CQ1050">
        <f t="shared" si="274"/>
        <v>175510204.08163264</v>
      </c>
      <c r="CR1050">
        <f t="shared" si="286"/>
        <v>0</v>
      </c>
      <c r="CS1050">
        <f t="shared" si="287"/>
        <v>0</v>
      </c>
      <c r="CT1050">
        <f t="shared" si="267"/>
        <v>59500000</v>
      </c>
      <c r="CU1050">
        <f t="shared" si="258"/>
        <v>0.33901162790697675</v>
      </c>
      <c r="CV1050" s="2" t="str">
        <f t="shared" si="268"/>
        <v/>
      </c>
      <c r="CW1050" s="1" t="s">
        <v>1205</v>
      </c>
      <c r="CX1050" t="str">
        <f t="shared" ref="CX1050:CX1113" si="298">IF(OR($CW1050="prd",$CW1050="std",$CW1050="cit"),"loc",IF(OR($CW1050="eur",$CW1050="reg",$CW1050="coy"),"reg",$CW1050))</f>
        <v>reg</v>
      </c>
      <c r="CY1050" t="s">
        <v>963</v>
      </c>
      <c r="CZ1050">
        <v>2005</v>
      </c>
      <c r="DA1050">
        <v>2050</v>
      </c>
      <c r="DB1050">
        <v>45</v>
      </c>
      <c r="DC1050" t="str">
        <f t="shared" ref="DC1050:DC1113" si="299">IF(DB1050=0,"0",IF(AND(DB1050&gt;=1,DB1050&lt;=30),"1-30",IF(AND(DB1050&gt;30,DB1050&lt;=70),"31-70",IF(AND(DB1050&gt;70,DB1050&lt;=100),"71-100",IF(DB1050&gt;100,"+100")))))</f>
        <v>31-70</v>
      </c>
      <c r="DD1050">
        <v>0</v>
      </c>
      <c r="DE1050">
        <v>1</v>
      </c>
      <c r="DF1050">
        <v>0</v>
      </c>
      <c r="DG1050">
        <v>0</v>
      </c>
      <c r="DI1050">
        <f t="shared" si="265"/>
        <v>1</v>
      </c>
      <c r="DJ1050" t="str">
        <f t="shared" si="257"/>
        <v>EnergyInput</v>
      </c>
      <c r="DK1050">
        <f t="shared" si="277"/>
        <v>0</v>
      </c>
      <c r="DL1050" t="str">
        <f t="shared" si="278"/>
        <v>Energy</v>
      </c>
      <c r="DM1050">
        <f t="shared" si="279"/>
        <v>0</v>
      </c>
      <c r="DN1050">
        <f t="shared" si="280"/>
        <v>0</v>
      </c>
      <c r="DO1050">
        <v>0</v>
      </c>
      <c r="DP1050">
        <v>0</v>
      </c>
      <c r="DQ1050">
        <v>0</v>
      </c>
      <c r="DR1050">
        <v>0</v>
      </c>
      <c r="DS1050">
        <v>0</v>
      </c>
      <c r="DT1050">
        <f t="shared" si="260"/>
        <v>0</v>
      </c>
      <c r="DU1050" s="143" t="str">
        <f t="shared" si="245"/>
        <v>explicit C balance</v>
      </c>
      <c r="DV1050">
        <v>0</v>
      </c>
      <c r="DW1050">
        <v>1</v>
      </c>
      <c r="DX1050">
        <v>1</v>
      </c>
      <c r="DY1050">
        <v>0</v>
      </c>
      <c r="DZ1050">
        <v>0</v>
      </c>
      <c r="EA1050" s="143">
        <v>1</v>
      </c>
      <c r="EB1050">
        <v>1</v>
      </c>
      <c r="EC1050">
        <v>0</v>
      </c>
      <c r="ED1050">
        <v>0</v>
      </c>
      <c r="EE1050">
        <v>0</v>
      </c>
      <c r="EF1050">
        <v>1</v>
      </c>
      <c r="EG1050">
        <v>1</v>
      </c>
      <c r="EH1050">
        <v>0</v>
      </c>
      <c r="EI1050" s="2">
        <v>0</v>
      </c>
      <c r="EK1050" t="str">
        <f t="shared" si="281"/>
        <v/>
      </c>
      <c r="EL1050" t="str">
        <f t="shared" si="282"/>
        <v/>
      </c>
      <c r="EM1050" s="2" t="str">
        <f t="shared" ref="EM1050:EM1113" si="300">IF(AND(AND(AND($DX1050=0,$DW1050=0),OR($EC1050=1,$EA1050=1)),SUM($EB1050:$EE1050)&gt;=2),"Technology approach","")</f>
        <v/>
      </c>
      <c r="EP1050" t="str">
        <f>IF(ISNUMBER(BU1050),IF(ABS(BU1050-[4]QC_indicators!$B$2)&gt;3*[4]QC_indicators!$C$2,"C ratio",IF(ISNUMBER(BY1050),IF(ABS(BY1050-[4]QC_indicators!$B$1)&gt;3*[4]QC_indicators!$C$1,"DF","no"))),IF(ISNUMBER(BY1050),IF(ABS(BY1050-[4]QC_indicators!$B$1)&gt;3*[4]QC_indicators!$C$1,"DF","no")))</f>
        <v>no</v>
      </c>
      <c r="ET1050" s="266" t="s">
        <v>3275</v>
      </c>
    </row>
    <row r="1051" spans="1:150" ht="15" hidden="1" customHeight="1">
      <c r="A1051" s="1" t="s">
        <v>880</v>
      </c>
      <c r="B1051" t="s">
        <v>1793</v>
      </c>
      <c r="C1051" t="s">
        <v>1794</v>
      </c>
      <c r="D1051" t="s">
        <v>1795</v>
      </c>
      <c r="E1051" t="s">
        <v>1796</v>
      </c>
      <c r="F1051" t="s">
        <v>1797</v>
      </c>
      <c r="G1051" t="s">
        <v>1186</v>
      </c>
      <c r="H1051" t="s">
        <v>255</v>
      </c>
      <c r="I1051">
        <v>2011</v>
      </c>
      <c r="J1051">
        <v>6</v>
      </c>
      <c r="K1051" t="s">
        <v>1798</v>
      </c>
      <c r="M1051" t="str">
        <f t="shared" si="255"/>
        <v>Kayo_2011</v>
      </c>
      <c r="N1051" t="s">
        <v>223</v>
      </c>
      <c r="O1051" s="145" t="s">
        <v>514</v>
      </c>
      <c r="Q1051" t="s">
        <v>257</v>
      </c>
      <c r="R1051" s="255" t="s">
        <v>226</v>
      </c>
      <c r="S1051" s="265" t="s">
        <v>3359</v>
      </c>
      <c r="T1051" t="s">
        <v>1675</v>
      </c>
      <c r="U1051" t="s">
        <v>1799</v>
      </c>
      <c r="V1051">
        <v>0</v>
      </c>
      <c r="W1051">
        <v>0</v>
      </c>
      <c r="X1051">
        <v>0</v>
      </c>
      <c r="Y1051">
        <v>0</v>
      </c>
      <c r="Z1051">
        <v>0</v>
      </c>
      <c r="AA1051">
        <v>0</v>
      </c>
      <c r="AB1051">
        <v>0</v>
      </c>
      <c r="AC1051">
        <v>0</v>
      </c>
      <c r="AD1051">
        <v>0</v>
      </c>
      <c r="AE1051">
        <v>0</v>
      </c>
      <c r="AF1051">
        <v>0</v>
      </c>
      <c r="AG1051">
        <v>0</v>
      </c>
      <c r="AH1051">
        <v>0</v>
      </c>
      <c r="AI1051">
        <v>0</v>
      </c>
      <c r="AJ1051">
        <v>0</v>
      </c>
      <c r="AK1051">
        <v>1</v>
      </c>
      <c r="AL1051">
        <v>0</v>
      </c>
      <c r="AM1051">
        <v>0</v>
      </c>
      <c r="AN1051">
        <v>0</v>
      </c>
      <c r="AO1051">
        <v>0</v>
      </c>
      <c r="AP1051">
        <v>0</v>
      </c>
      <c r="AQ1051">
        <v>0</v>
      </c>
      <c r="AR1051">
        <v>0</v>
      </c>
      <c r="AS1051">
        <v>0</v>
      </c>
      <c r="AT1051">
        <v>0</v>
      </c>
      <c r="AU1051">
        <v>0</v>
      </c>
      <c r="AV1051">
        <v>0</v>
      </c>
      <c r="AW1051">
        <v>0</v>
      </c>
      <c r="AX1051" s="141">
        <f t="shared" si="266"/>
        <v>1</v>
      </c>
      <c r="AY1051" s="141">
        <f t="shared" si="292"/>
        <v>1</v>
      </c>
      <c r="AZ1051">
        <f t="shared" si="293"/>
        <v>0</v>
      </c>
      <c r="BA1051">
        <f t="shared" si="294"/>
        <v>0</v>
      </c>
      <c r="BB1051">
        <f t="shared" si="295"/>
        <v>1</v>
      </c>
      <c r="BC1051">
        <f t="shared" si="296"/>
        <v>0</v>
      </c>
      <c r="BD1051">
        <f t="shared" si="297"/>
        <v>0</v>
      </c>
      <c r="BE1051" t="str">
        <f t="array" ref="BE1051">IF(AY1051=1,INDEX($V$7:$AL$7,MATCH(TRUE,INDEX($V1051:$AW1051&lt;&gt;0,),0)),IF(AY1051=0,INDEX($AM$7:$AW$7,MATCH(1,$AM1051:$AW1051,0)),IF(BF1051="Multiple strategies","mixed drivers",IF(BF1051="Supply chain","multiple supply","multiple silviculture"))))</f>
        <v>technologies/design switch</v>
      </c>
      <c r="BF1051" s="2" t="str" cm="1">
        <f t="array" ref="BF1051">IF(COUNTIF(AZ1051:BB1051,"&lt;&gt;0")=1,INDEX($V$4:$AW$4,MATCH(TRUE,INDEX($V1051:$AW1051&lt;&gt;0,),0)),IF(COUNTIF(AZ1051:BB1051,"&lt;&gt;0")=0,INDEX($AM$4:$AW$4,MATCH(1,$AM1051:$AW1051,0)),"Multiple strategies"))</f>
        <v>Technology</v>
      </c>
      <c r="BG1051" s="1" t="s">
        <v>230</v>
      </c>
      <c r="BH1051" t="s">
        <v>1801</v>
      </c>
      <c r="BI1051" s="260" t="s">
        <v>3352</v>
      </c>
      <c r="BJ1051" s="260" t="s">
        <v>3349</v>
      </c>
      <c r="BK1051">
        <v>0</v>
      </c>
      <c r="BL1051">
        <v>15</v>
      </c>
      <c r="BN1051">
        <f t="shared" si="275"/>
        <v>15</v>
      </c>
      <c r="BO1051">
        <f t="shared" si="291"/>
        <v>30612244.897959184</v>
      </c>
      <c r="BP1051" t="s">
        <v>233</v>
      </c>
      <c r="BQ1051" s="260" t="s">
        <v>3360</v>
      </c>
      <c r="BR1051" t="s">
        <v>1302</v>
      </c>
      <c r="BU1051" s="144" t="str">
        <f t="shared" si="288"/>
        <v/>
      </c>
      <c r="BV1051">
        <v>-23</v>
      </c>
      <c r="BX1051">
        <f t="shared" si="289"/>
        <v>-23000000</v>
      </c>
      <c r="BY1051">
        <f t="shared" si="262"/>
        <v>-0.7513333333333333</v>
      </c>
      <c r="BZ1051">
        <v>0</v>
      </c>
      <c r="CA1051">
        <v>0</v>
      </c>
      <c r="CB1051">
        <v>0</v>
      </c>
      <c r="CC1051">
        <v>0</v>
      </c>
      <c r="CD1051">
        <v>0</v>
      </c>
      <c r="CE1051">
        <v>0</v>
      </c>
      <c r="CF1051">
        <v>0</v>
      </c>
      <c r="CG1051">
        <v>0</v>
      </c>
      <c r="CH1051">
        <v>0</v>
      </c>
      <c r="CI1051">
        <v>0</v>
      </c>
      <c r="CJ1051">
        <v>0</v>
      </c>
      <c r="CK1051">
        <v>0</v>
      </c>
      <c r="CL1051">
        <v>0</v>
      </c>
      <c r="CM1051">
        <v>0</v>
      </c>
      <c r="CN1051" t="str">
        <f t="shared" si="290"/>
        <v>refOK</v>
      </c>
      <c r="CO1051">
        <f t="shared" si="284"/>
        <v>0</v>
      </c>
      <c r="CP1051">
        <f t="shared" si="285"/>
        <v>15</v>
      </c>
      <c r="CQ1051">
        <f t="shared" si="274"/>
        <v>30612244.897959184</v>
      </c>
      <c r="CR1051">
        <f t="shared" si="286"/>
        <v>0</v>
      </c>
      <c r="CS1051">
        <f t="shared" si="287"/>
        <v>0</v>
      </c>
      <c r="CT1051">
        <f t="shared" si="267"/>
        <v>-23000000</v>
      </c>
      <c r="CU1051">
        <f t="shared" si="258"/>
        <v>-0.7513333333333333</v>
      </c>
      <c r="CV1051" s="2" t="str">
        <f t="shared" si="268"/>
        <v/>
      </c>
      <c r="CW1051" s="1" t="s">
        <v>1205</v>
      </c>
      <c r="CX1051" t="str">
        <f t="shared" si="298"/>
        <v>reg</v>
      </c>
      <c r="CY1051" t="s">
        <v>963</v>
      </c>
      <c r="CZ1051">
        <v>2005</v>
      </c>
      <c r="DA1051">
        <v>2020</v>
      </c>
      <c r="DB1051">
        <v>15</v>
      </c>
      <c r="DC1051" t="str">
        <f t="shared" si="299"/>
        <v>1-30</v>
      </c>
      <c r="DD1051">
        <v>0</v>
      </c>
      <c r="DE1051">
        <v>1</v>
      </c>
      <c r="DF1051">
        <v>0</v>
      </c>
      <c r="DG1051">
        <v>0</v>
      </c>
      <c r="DI1051">
        <f t="shared" si="265"/>
        <v>1</v>
      </c>
      <c r="DJ1051" t="str">
        <f t="shared" si="257"/>
        <v>EnergyInput</v>
      </c>
      <c r="DK1051">
        <f t="shared" si="277"/>
        <v>0</v>
      </c>
      <c r="DL1051" t="str">
        <f t="shared" si="278"/>
        <v>Energy</v>
      </c>
      <c r="DM1051">
        <f t="shared" si="279"/>
        <v>0</v>
      </c>
      <c r="DN1051">
        <f t="shared" si="280"/>
        <v>0</v>
      </c>
      <c r="DO1051">
        <v>0</v>
      </c>
      <c r="DP1051">
        <v>0</v>
      </c>
      <c r="DQ1051">
        <v>0</v>
      </c>
      <c r="DR1051">
        <v>0</v>
      </c>
      <c r="DS1051">
        <v>0</v>
      </c>
      <c r="DT1051">
        <f t="shared" si="260"/>
        <v>0</v>
      </c>
      <c r="DU1051" s="143" t="str">
        <f t="shared" ref="DU1051:DU1114" si="301">IF(DO1051=1,"self-calculated DF",IF(DP1051=1,"external DF used","explicit C balance"))</f>
        <v>explicit C balance</v>
      </c>
      <c r="DV1051">
        <v>0</v>
      </c>
      <c r="DW1051">
        <v>1</v>
      </c>
      <c r="DX1051">
        <v>1</v>
      </c>
      <c r="DY1051">
        <v>0</v>
      </c>
      <c r="DZ1051">
        <v>0</v>
      </c>
      <c r="EA1051" s="143">
        <v>1</v>
      </c>
      <c r="EB1051">
        <v>1</v>
      </c>
      <c r="EC1051">
        <v>0</v>
      </c>
      <c r="ED1051">
        <v>0</v>
      </c>
      <c r="EE1051">
        <v>0</v>
      </c>
      <c r="EF1051">
        <v>1</v>
      </c>
      <c r="EG1051">
        <v>1</v>
      </c>
      <c r="EH1051">
        <v>0</v>
      </c>
      <c r="EI1051" s="2">
        <v>0</v>
      </c>
      <c r="EK1051" t="str">
        <f t="shared" si="281"/>
        <v/>
      </c>
      <c r="EL1051" t="str">
        <f t="shared" si="282"/>
        <v/>
      </c>
      <c r="EM1051" s="2" t="str">
        <f t="shared" si="300"/>
        <v/>
      </c>
      <c r="EP1051" t="str">
        <f>IF(ISNUMBER(BU1051),IF(ABS(BU1051-[4]QC_indicators!$B$2)&gt;3*[4]QC_indicators!$C$2,"C ratio",IF(ISNUMBER(BY1051),IF(ABS(BY1051-[4]QC_indicators!$B$1)&gt;3*[4]QC_indicators!$C$1,"DF","no"))),IF(ISNUMBER(BY1051),IF(ABS(BY1051-[4]QC_indicators!$B$1)&gt;3*[4]QC_indicators!$C$1,"DF","no")))</f>
        <v>no</v>
      </c>
      <c r="ET1051" s="266" t="s">
        <v>3275</v>
      </c>
    </row>
    <row r="1052" spans="1:150" ht="15" hidden="1" customHeight="1">
      <c r="A1052" s="1" t="s">
        <v>880</v>
      </c>
      <c r="B1052" t="s">
        <v>1793</v>
      </c>
      <c r="C1052" t="s">
        <v>1794</v>
      </c>
      <c r="D1052" t="s">
        <v>1795</v>
      </c>
      <c r="E1052" t="s">
        <v>1796</v>
      </c>
      <c r="F1052" t="s">
        <v>1797</v>
      </c>
      <c r="G1052" t="s">
        <v>1186</v>
      </c>
      <c r="H1052" t="s">
        <v>255</v>
      </c>
      <c r="I1052">
        <v>2011</v>
      </c>
      <c r="J1052">
        <v>6</v>
      </c>
      <c r="K1052" t="s">
        <v>1798</v>
      </c>
      <c r="M1052" t="str">
        <f t="shared" si="255"/>
        <v>Kayo_2011</v>
      </c>
      <c r="N1052" t="s">
        <v>223</v>
      </c>
      <c r="O1052" s="145" t="s">
        <v>514</v>
      </c>
      <c r="Q1052" t="s">
        <v>257</v>
      </c>
      <c r="R1052" s="255" t="s">
        <v>226</v>
      </c>
      <c r="S1052" s="265" t="s">
        <v>3361</v>
      </c>
      <c r="T1052" t="s">
        <v>1806</v>
      </c>
      <c r="U1052" t="s">
        <v>1802</v>
      </c>
      <c r="V1052">
        <v>0</v>
      </c>
      <c r="W1052">
        <v>0</v>
      </c>
      <c r="X1052">
        <v>0</v>
      </c>
      <c r="Y1052">
        <v>0</v>
      </c>
      <c r="Z1052">
        <v>0</v>
      </c>
      <c r="AA1052">
        <v>0</v>
      </c>
      <c r="AB1052">
        <v>0</v>
      </c>
      <c r="AC1052">
        <v>0</v>
      </c>
      <c r="AD1052">
        <v>0</v>
      </c>
      <c r="AE1052">
        <v>0</v>
      </c>
      <c r="AF1052">
        <v>0</v>
      </c>
      <c r="AG1052">
        <v>0</v>
      </c>
      <c r="AH1052">
        <v>0</v>
      </c>
      <c r="AI1052">
        <v>0</v>
      </c>
      <c r="AJ1052">
        <v>0</v>
      </c>
      <c r="AK1052">
        <v>1</v>
      </c>
      <c r="AL1052">
        <v>0</v>
      </c>
      <c r="AM1052">
        <v>0</v>
      </c>
      <c r="AN1052">
        <v>0</v>
      </c>
      <c r="AO1052">
        <v>0</v>
      </c>
      <c r="AP1052">
        <v>0</v>
      </c>
      <c r="AQ1052">
        <v>0</v>
      </c>
      <c r="AR1052">
        <v>0</v>
      </c>
      <c r="AS1052">
        <v>0</v>
      </c>
      <c r="AT1052">
        <v>0</v>
      </c>
      <c r="AU1052">
        <v>0</v>
      </c>
      <c r="AV1052">
        <v>0</v>
      </c>
      <c r="AW1052">
        <v>0</v>
      </c>
      <c r="AX1052" s="141">
        <f t="shared" si="266"/>
        <v>1</v>
      </c>
      <c r="AY1052" s="141">
        <f t="shared" si="292"/>
        <v>1</v>
      </c>
      <c r="AZ1052">
        <f t="shared" si="293"/>
        <v>0</v>
      </c>
      <c r="BA1052">
        <f t="shared" si="294"/>
        <v>0</v>
      </c>
      <c r="BB1052">
        <f t="shared" si="295"/>
        <v>1</v>
      </c>
      <c r="BC1052">
        <f t="shared" si="296"/>
        <v>0</v>
      </c>
      <c r="BD1052">
        <f t="shared" si="297"/>
        <v>0</v>
      </c>
      <c r="BE1052" t="str">
        <f t="array" ref="BE1052">IF(AY1052=1,INDEX($V$7:$AL$7,MATCH(TRUE,INDEX($V1052:$AW1052&lt;&gt;0,),0)),IF(AY1052=0,INDEX($AM$7:$AW$7,MATCH(1,$AM1052:$AW1052,0)),IF(BF1052="Multiple strategies","mixed drivers",IF(BF1052="Supply chain","multiple supply","multiple silviculture"))))</f>
        <v>technologies/design switch</v>
      </c>
      <c r="BF1052" s="2" t="str" cm="1">
        <f t="array" ref="BF1052">IF(COUNTIF(AZ1052:BB1052,"&lt;&gt;0")=1,INDEX($V$4:$AW$4,MATCH(TRUE,INDEX($V1052:$AW1052&lt;&gt;0,),0)),IF(COUNTIF(AZ1052:BB1052,"&lt;&gt;0")=0,INDEX($AM$4:$AW$4,MATCH(1,$AM1052:$AW1052,0)),"Multiple strategies"))</f>
        <v>Technology</v>
      </c>
      <c r="BG1052" s="1" t="s">
        <v>230</v>
      </c>
      <c r="BH1052" t="s">
        <v>1801</v>
      </c>
      <c r="BI1052" s="260" t="s">
        <v>3352</v>
      </c>
      <c r="BJ1052" s="260" t="s">
        <v>3349</v>
      </c>
      <c r="BK1052">
        <v>0</v>
      </c>
      <c r="BL1052">
        <v>15</v>
      </c>
      <c r="BN1052">
        <f t="shared" si="275"/>
        <v>15</v>
      </c>
      <c r="BO1052">
        <f t="shared" si="291"/>
        <v>30612244.897959184</v>
      </c>
      <c r="BP1052" t="s">
        <v>233</v>
      </c>
      <c r="BQ1052" s="260" t="s">
        <v>3362</v>
      </c>
      <c r="BR1052" t="s">
        <v>1302</v>
      </c>
      <c r="BU1052" s="144" t="str">
        <f t="shared" si="288"/>
        <v/>
      </c>
      <c r="BV1052">
        <v>-18</v>
      </c>
      <c r="BX1052">
        <f t="shared" si="289"/>
        <v>-18000000</v>
      </c>
      <c r="BY1052">
        <f t="shared" si="262"/>
        <v>-0.58799999999999997</v>
      </c>
      <c r="BZ1052">
        <v>0</v>
      </c>
      <c r="CA1052">
        <v>0</v>
      </c>
      <c r="CB1052">
        <v>0</v>
      </c>
      <c r="CC1052">
        <v>0</v>
      </c>
      <c r="CD1052">
        <v>0</v>
      </c>
      <c r="CE1052">
        <v>0</v>
      </c>
      <c r="CF1052">
        <v>0</v>
      </c>
      <c r="CG1052">
        <v>0</v>
      </c>
      <c r="CH1052">
        <v>0</v>
      </c>
      <c r="CI1052">
        <v>0</v>
      </c>
      <c r="CJ1052">
        <v>0</v>
      </c>
      <c r="CK1052">
        <v>0</v>
      </c>
      <c r="CL1052">
        <v>0</v>
      </c>
      <c r="CM1052">
        <v>0</v>
      </c>
      <c r="CN1052" t="str">
        <f t="shared" si="290"/>
        <v>refOK</v>
      </c>
      <c r="CO1052">
        <f t="shared" si="284"/>
        <v>0</v>
      </c>
      <c r="CP1052">
        <f t="shared" si="285"/>
        <v>15</v>
      </c>
      <c r="CQ1052">
        <f t="shared" si="274"/>
        <v>30612244.897959184</v>
      </c>
      <c r="CR1052">
        <f t="shared" si="286"/>
        <v>0</v>
      </c>
      <c r="CS1052">
        <f t="shared" si="287"/>
        <v>0</v>
      </c>
      <c r="CT1052">
        <f t="shared" si="267"/>
        <v>-18000000</v>
      </c>
      <c r="CU1052">
        <f t="shared" si="258"/>
        <v>-0.58799999999999997</v>
      </c>
      <c r="CV1052" s="2" t="str">
        <f t="shared" si="268"/>
        <v/>
      </c>
      <c r="CW1052" s="1" t="s">
        <v>1205</v>
      </c>
      <c r="CX1052" t="str">
        <f t="shared" si="298"/>
        <v>reg</v>
      </c>
      <c r="CY1052" t="s">
        <v>963</v>
      </c>
      <c r="CZ1052">
        <v>2005</v>
      </c>
      <c r="DA1052">
        <v>2020</v>
      </c>
      <c r="DB1052">
        <v>15</v>
      </c>
      <c r="DC1052" t="str">
        <f t="shared" si="299"/>
        <v>1-30</v>
      </c>
      <c r="DD1052">
        <v>0</v>
      </c>
      <c r="DE1052">
        <v>1</v>
      </c>
      <c r="DF1052">
        <v>0</v>
      </c>
      <c r="DG1052">
        <v>0</v>
      </c>
      <c r="DI1052">
        <f t="shared" si="265"/>
        <v>1</v>
      </c>
      <c r="DJ1052" t="str">
        <f t="shared" si="257"/>
        <v>EnergyInput</v>
      </c>
      <c r="DK1052">
        <f t="shared" si="277"/>
        <v>0</v>
      </c>
      <c r="DL1052" t="str">
        <f t="shared" si="278"/>
        <v>Energy</v>
      </c>
      <c r="DM1052">
        <f t="shared" si="279"/>
        <v>0</v>
      </c>
      <c r="DN1052">
        <f t="shared" si="280"/>
        <v>0</v>
      </c>
      <c r="DO1052">
        <v>0</v>
      </c>
      <c r="DP1052">
        <v>0</v>
      </c>
      <c r="DQ1052">
        <v>0</v>
      </c>
      <c r="DR1052">
        <v>0</v>
      </c>
      <c r="DS1052">
        <v>0</v>
      </c>
      <c r="DT1052">
        <f t="shared" si="260"/>
        <v>0</v>
      </c>
      <c r="DU1052" s="143" t="str">
        <f t="shared" si="301"/>
        <v>explicit C balance</v>
      </c>
      <c r="DV1052">
        <v>0</v>
      </c>
      <c r="DW1052">
        <v>1</v>
      </c>
      <c r="DX1052">
        <v>1</v>
      </c>
      <c r="DY1052">
        <v>0</v>
      </c>
      <c r="DZ1052">
        <v>0</v>
      </c>
      <c r="EA1052" s="143">
        <v>1</v>
      </c>
      <c r="EB1052">
        <v>1</v>
      </c>
      <c r="EC1052">
        <v>0</v>
      </c>
      <c r="ED1052">
        <v>0</v>
      </c>
      <c r="EE1052">
        <v>0</v>
      </c>
      <c r="EF1052">
        <v>1</v>
      </c>
      <c r="EG1052">
        <v>1</v>
      </c>
      <c r="EH1052">
        <v>0</v>
      </c>
      <c r="EI1052" s="2">
        <v>0</v>
      </c>
      <c r="EK1052" t="str">
        <f t="shared" si="281"/>
        <v/>
      </c>
      <c r="EL1052" t="str">
        <f t="shared" si="282"/>
        <v/>
      </c>
      <c r="EM1052" s="2" t="str">
        <f t="shared" si="300"/>
        <v/>
      </c>
      <c r="EP1052" t="str">
        <f>IF(ISNUMBER(BU1052),IF(ABS(BU1052-[4]QC_indicators!$B$2)&gt;3*[4]QC_indicators!$C$2,"C ratio",IF(ISNUMBER(BY1052),IF(ABS(BY1052-[4]QC_indicators!$B$1)&gt;3*[4]QC_indicators!$C$1,"DF","no"))),IF(ISNUMBER(BY1052),IF(ABS(BY1052-[4]QC_indicators!$B$1)&gt;3*[4]QC_indicators!$C$1,"DF","no")))</f>
        <v>no</v>
      </c>
      <c r="ET1052" s="266" t="s">
        <v>3275</v>
      </c>
    </row>
    <row r="1053" spans="1:150" ht="15" hidden="1" customHeight="1">
      <c r="A1053" s="1" t="s">
        <v>880</v>
      </c>
      <c r="B1053" t="s">
        <v>1793</v>
      </c>
      <c r="C1053" t="s">
        <v>1794</v>
      </c>
      <c r="D1053" t="s">
        <v>1795</v>
      </c>
      <c r="E1053" t="s">
        <v>1796</v>
      </c>
      <c r="F1053" t="s">
        <v>1797</v>
      </c>
      <c r="G1053" t="s">
        <v>1186</v>
      </c>
      <c r="H1053" t="s">
        <v>255</v>
      </c>
      <c r="I1053">
        <v>2011</v>
      </c>
      <c r="J1053">
        <v>6</v>
      </c>
      <c r="K1053" t="s">
        <v>1798</v>
      </c>
      <c r="M1053" t="str">
        <f t="shared" si="255"/>
        <v>Kayo_2011</v>
      </c>
      <c r="N1053" t="s">
        <v>223</v>
      </c>
      <c r="O1053" s="145" t="s">
        <v>514</v>
      </c>
      <c r="Q1053" t="s">
        <v>257</v>
      </c>
      <c r="R1053" s="255" t="s">
        <v>226</v>
      </c>
      <c r="S1053" s="265" t="s">
        <v>3364</v>
      </c>
      <c r="T1053" t="s">
        <v>1807</v>
      </c>
      <c r="U1053" t="s">
        <v>1808</v>
      </c>
      <c r="V1053">
        <v>0</v>
      </c>
      <c r="W1053">
        <v>0</v>
      </c>
      <c r="X1053">
        <v>0</v>
      </c>
      <c r="Y1053">
        <v>0</v>
      </c>
      <c r="Z1053">
        <v>0</v>
      </c>
      <c r="AA1053">
        <v>0</v>
      </c>
      <c r="AB1053">
        <v>0</v>
      </c>
      <c r="AC1053">
        <v>0</v>
      </c>
      <c r="AD1053">
        <v>0</v>
      </c>
      <c r="AE1053">
        <v>0</v>
      </c>
      <c r="AF1053">
        <v>0</v>
      </c>
      <c r="AG1053">
        <v>0</v>
      </c>
      <c r="AH1053">
        <v>0</v>
      </c>
      <c r="AI1053">
        <v>0</v>
      </c>
      <c r="AJ1053">
        <v>0</v>
      </c>
      <c r="AK1053">
        <v>1</v>
      </c>
      <c r="AL1053">
        <v>0</v>
      </c>
      <c r="AM1053">
        <v>0</v>
      </c>
      <c r="AN1053">
        <v>0</v>
      </c>
      <c r="AO1053">
        <v>0</v>
      </c>
      <c r="AP1053">
        <v>0</v>
      </c>
      <c r="AQ1053">
        <v>0</v>
      </c>
      <c r="AR1053">
        <v>0</v>
      </c>
      <c r="AS1053">
        <v>0</v>
      </c>
      <c r="AT1053">
        <v>0</v>
      </c>
      <c r="AU1053">
        <v>0</v>
      </c>
      <c r="AV1053">
        <v>0</v>
      </c>
      <c r="AW1053">
        <v>0</v>
      </c>
      <c r="AX1053" s="141">
        <f t="shared" si="266"/>
        <v>1</v>
      </c>
      <c r="AY1053" s="141">
        <f t="shared" si="292"/>
        <v>1</v>
      </c>
      <c r="AZ1053">
        <f t="shared" si="293"/>
        <v>0</v>
      </c>
      <c r="BA1053">
        <f t="shared" si="294"/>
        <v>0</v>
      </c>
      <c r="BB1053">
        <f t="shared" si="295"/>
        <v>1</v>
      </c>
      <c r="BC1053">
        <f t="shared" si="296"/>
        <v>0</v>
      </c>
      <c r="BD1053">
        <f t="shared" si="297"/>
        <v>0</v>
      </c>
      <c r="BE1053" t="str">
        <f t="array" ref="BE1053">IF(AY1053=1,INDEX($V$7:$AL$7,MATCH(TRUE,INDEX($V1053:$AW1053&lt;&gt;0,),0)),IF(AY1053=0,INDEX($AM$7:$AW$7,MATCH(1,$AM1053:$AW1053,0)),IF(BF1053="Multiple strategies","mixed drivers",IF(BF1053="Supply chain","multiple supply","multiple silviculture"))))</f>
        <v>technologies/design switch</v>
      </c>
      <c r="BF1053" s="2" t="str" cm="1">
        <f t="array" ref="BF1053">IF(COUNTIF(AZ1053:BB1053,"&lt;&gt;0")=1,INDEX($V$4:$AW$4,MATCH(TRUE,INDEX($V1053:$AW1053&lt;&gt;0,),0)),IF(COUNTIF(AZ1053:BB1053,"&lt;&gt;0")=0,INDEX($AM$4:$AW$4,MATCH(1,$AM1053:$AW1053,0)),"Multiple strategies"))</f>
        <v>Technology</v>
      </c>
      <c r="BG1053" s="1" t="s">
        <v>230</v>
      </c>
      <c r="BH1053" t="s">
        <v>1801</v>
      </c>
      <c r="BI1053" s="260" t="s">
        <v>3352</v>
      </c>
      <c r="BJ1053" s="260" t="s">
        <v>3349</v>
      </c>
      <c r="BK1053">
        <v>0</v>
      </c>
      <c r="BL1053">
        <v>32</v>
      </c>
      <c r="BN1053">
        <f t="shared" si="275"/>
        <v>32</v>
      </c>
      <c r="BO1053">
        <f t="shared" si="291"/>
        <v>65306122.448979594</v>
      </c>
      <c r="BP1053" t="s">
        <v>233</v>
      </c>
      <c r="BQ1053" s="260" t="s">
        <v>3343</v>
      </c>
      <c r="BR1053" t="s">
        <v>1302</v>
      </c>
      <c r="BU1053" s="144" t="str">
        <f t="shared" si="288"/>
        <v/>
      </c>
      <c r="BV1053">
        <v>-11</v>
      </c>
      <c r="BX1053">
        <f t="shared" si="289"/>
        <v>-11000000</v>
      </c>
      <c r="BY1053">
        <f t="shared" si="262"/>
        <v>-0.16843749999999999</v>
      </c>
      <c r="BZ1053">
        <v>0</v>
      </c>
      <c r="CA1053">
        <v>0</v>
      </c>
      <c r="CB1053">
        <v>0</v>
      </c>
      <c r="CC1053">
        <v>0</v>
      </c>
      <c r="CD1053">
        <v>0</v>
      </c>
      <c r="CE1053">
        <v>0</v>
      </c>
      <c r="CF1053">
        <v>0</v>
      </c>
      <c r="CG1053">
        <v>0</v>
      </c>
      <c r="CH1053">
        <v>0</v>
      </c>
      <c r="CI1053">
        <v>0</v>
      </c>
      <c r="CJ1053">
        <v>0</v>
      </c>
      <c r="CK1053">
        <v>0</v>
      </c>
      <c r="CL1053">
        <v>0</v>
      </c>
      <c r="CM1053">
        <v>0</v>
      </c>
      <c r="CN1053" t="str">
        <f t="shared" si="290"/>
        <v>refOK</v>
      </c>
      <c r="CO1053">
        <f t="shared" si="284"/>
        <v>0</v>
      </c>
      <c r="CP1053">
        <f t="shared" si="285"/>
        <v>32</v>
      </c>
      <c r="CQ1053">
        <f t="shared" si="274"/>
        <v>65306122.448979594</v>
      </c>
      <c r="CR1053">
        <f t="shared" si="286"/>
        <v>0</v>
      </c>
      <c r="CS1053">
        <f t="shared" si="287"/>
        <v>0</v>
      </c>
      <c r="CT1053">
        <f t="shared" si="267"/>
        <v>-11000000</v>
      </c>
      <c r="CU1053">
        <f t="shared" si="258"/>
        <v>-0.16843749999999999</v>
      </c>
      <c r="CV1053" s="2" t="str">
        <f t="shared" si="268"/>
        <v/>
      </c>
      <c r="CW1053" s="1" t="s">
        <v>1205</v>
      </c>
      <c r="CX1053" t="str">
        <f t="shared" si="298"/>
        <v>reg</v>
      </c>
      <c r="CY1053" t="s">
        <v>963</v>
      </c>
      <c r="CZ1053">
        <v>2005</v>
      </c>
      <c r="DA1053">
        <v>2020</v>
      </c>
      <c r="DB1053">
        <v>15</v>
      </c>
      <c r="DC1053" t="str">
        <f t="shared" si="299"/>
        <v>1-30</v>
      </c>
      <c r="DD1053">
        <v>0</v>
      </c>
      <c r="DE1053">
        <v>1</v>
      </c>
      <c r="DF1053">
        <v>0</v>
      </c>
      <c r="DG1053">
        <v>0</v>
      </c>
      <c r="DI1053">
        <f t="shared" si="265"/>
        <v>1</v>
      </c>
      <c r="DJ1053" t="str">
        <f t="shared" si="257"/>
        <v>EnergyInput</v>
      </c>
      <c r="DK1053">
        <f t="shared" si="277"/>
        <v>0</v>
      </c>
      <c r="DL1053" t="str">
        <f t="shared" si="278"/>
        <v>Energy</v>
      </c>
      <c r="DM1053">
        <f t="shared" si="279"/>
        <v>0</v>
      </c>
      <c r="DN1053">
        <f t="shared" si="280"/>
        <v>0</v>
      </c>
      <c r="DO1053">
        <v>0</v>
      </c>
      <c r="DP1053">
        <v>0</v>
      </c>
      <c r="DQ1053">
        <v>0</v>
      </c>
      <c r="DR1053">
        <v>0</v>
      </c>
      <c r="DS1053">
        <v>0</v>
      </c>
      <c r="DT1053">
        <f t="shared" si="260"/>
        <v>0</v>
      </c>
      <c r="DU1053" s="143" t="str">
        <f t="shared" si="301"/>
        <v>explicit C balance</v>
      </c>
      <c r="DV1053">
        <v>0</v>
      </c>
      <c r="DW1053">
        <v>1</v>
      </c>
      <c r="DX1053">
        <v>1</v>
      </c>
      <c r="DY1053">
        <v>0</v>
      </c>
      <c r="DZ1053">
        <v>0</v>
      </c>
      <c r="EA1053" s="143">
        <v>1</v>
      </c>
      <c r="EB1053">
        <v>1</v>
      </c>
      <c r="EC1053">
        <v>0</v>
      </c>
      <c r="ED1053">
        <v>0</v>
      </c>
      <c r="EE1053">
        <v>0</v>
      </c>
      <c r="EF1053">
        <v>1</v>
      </c>
      <c r="EG1053">
        <v>1</v>
      </c>
      <c r="EH1053">
        <v>0</v>
      </c>
      <c r="EI1053" s="2">
        <v>0</v>
      </c>
      <c r="EK1053" t="str">
        <f t="shared" si="281"/>
        <v/>
      </c>
      <c r="EL1053" t="str">
        <f t="shared" si="282"/>
        <v/>
      </c>
      <c r="EM1053" s="2" t="str">
        <f t="shared" si="300"/>
        <v/>
      </c>
      <c r="EP1053" t="str">
        <f>IF(ISNUMBER(BU1053),IF(ABS(BU1053-[4]QC_indicators!$B$2)&gt;3*[4]QC_indicators!$C$2,"C ratio",IF(ISNUMBER(BY1053),IF(ABS(BY1053-[4]QC_indicators!$B$1)&gt;3*[4]QC_indicators!$C$1,"DF","no"))),IF(ISNUMBER(BY1053),IF(ABS(BY1053-[4]QC_indicators!$B$1)&gt;3*[4]QC_indicators!$C$1,"DF","no")))</f>
        <v>no</v>
      </c>
      <c r="ET1053" s="266" t="s">
        <v>3275</v>
      </c>
    </row>
    <row r="1054" spans="1:150" ht="15" hidden="1" customHeight="1">
      <c r="A1054" s="1" t="s">
        <v>413</v>
      </c>
      <c r="B1054" t="s">
        <v>414</v>
      </c>
      <c r="C1054" t="s">
        <v>415</v>
      </c>
      <c r="D1054" t="s">
        <v>416</v>
      </c>
      <c r="E1054" t="s">
        <v>417</v>
      </c>
      <c r="F1054" t="s">
        <v>418</v>
      </c>
      <c r="G1054" t="s">
        <v>419</v>
      </c>
      <c r="H1054" t="s">
        <v>255</v>
      </c>
      <c r="I1054">
        <v>2022</v>
      </c>
      <c r="J1054">
        <v>4</v>
      </c>
      <c r="K1054" t="s">
        <v>420</v>
      </c>
      <c r="M1054" t="str">
        <f t="shared" si="255"/>
        <v>Bergman_2022</v>
      </c>
      <c r="N1054" t="s">
        <v>223</v>
      </c>
      <c r="O1054" s="145" t="s">
        <v>224</v>
      </c>
      <c r="Q1054" t="s">
        <v>390</v>
      </c>
      <c r="R1054" s="255" t="s">
        <v>226</v>
      </c>
      <c r="S1054" s="1" t="s">
        <v>421</v>
      </c>
      <c r="T1054" t="s">
        <v>422</v>
      </c>
      <c r="U1054" t="s">
        <v>423</v>
      </c>
      <c r="V1054">
        <v>0</v>
      </c>
      <c r="W1054">
        <v>0</v>
      </c>
      <c r="X1054">
        <v>0</v>
      </c>
      <c r="Y1054">
        <v>0</v>
      </c>
      <c r="Z1054">
        <v>0</v>
      </c>
      <c r="AA1054">
        <v>0</v>
      </c>
      <c r="AB1054">
        <v>0</v>
      </c>
      <c r="AC1054">
        <v>0</v>
      </c>
      <c r="AD1054">
        <v>0</v>
      </c>
      <c r="AE1054">
        <v>0</v>
      </c>
      <c r="AF1054">
        <v>0</v>
      </c>
      <c r="AG1054">
        <v>0</v>
      </c>
      <c r="AH1054">
        <v>0</v>
      </c>
      <c r="AI1054">
        <v>0</v>
      </c>
      <c r="AJ1054">
        <v>1</v>
      </c>
      <c r="AK1054">
        <v>0</v>
      </c>
      <c r="AL1054">
        <v>0</v>
      </c>
      <c r="AM1054">
        <v>0</v>
      </c>
      <c r="AN1054">
        <v>0</v>
      </c>
      <c r="AO1054">
        <v>0</v>
      </c>
      <c r="AP1054">
        <v>0</v>
      </c>
      <c r="AQ1054">
        <v>0</v>
      </c>
      <c r="AR1054">
        <v>0</v>
      </c>
      <c r="AS1054">
        <v>0</v>
      </c>
      <c r="AT1054">
        <v>0</v>
      </c>
      <c r="AU1054">
        <v>0</v>
      </c>
      <c r="AV1054">
        <v>0</v>
      </c>
      <c r="AW1054">
        <v>0</v>
      </c>
      <c r="AX1054" s="141">
        <f t="shared" si="266"/>
        <v>1</v>
      </c>
      <c r="AY1054" s="141">
        <f t="shared" si="292"/>
        <v>1</v>
      </c>
      <c r="AZ1054">
        <f t="shared" si="293"/>
        <v>0</v>
      </c>
      <c r="BA1054">
        <f t="shared" si="294"/>
        <v>0</v>
      </c>
      <c r="BB1054">
        <f t="shared" si="295"/>
        <v>1</v>
      </c>
      <c r="BC1054">
        <f t="shared" si="296"/>
        <v>0</v>
      </c>
      <c r="BD1054">
        <f t="shared" si="297"/>
        <v>0</v>
      </c>
      <c r="BE1054" t="str">
        <f t="array" ref="BE1054">IF(AY1054=1,INDEX($V$7:$AL$7,MATCH(TRUE,INDEX($V1054:$AW1054&lt;&gt;0,),0)),IF(AY1054=0,INDEX($AM$7:$AW$7,MATCH(1,$AM1054:$AW1054,0)),IF(BF1054="Multiple strategies","mixed drivers",IF(BF1054="Supply chain","multiple supply","multiple silviculture"))))</f>
        <v>efficiency improvement</v>
      </c>
      <c r="BF1054" s="2" t="str" cm="1">
        <f t="array" ref="BF1054">IF(COUNTIF(AZ1054:BB1054,"&lt;&gt;0")=1,INDEX($V$4:$AW$4,MATCH(TRUE,INDEX($V1054:$AW1054&lt;&gt;0,),0)),IF(COUNTIF(AZ1054:BB1054,"&lt;&gt;0")=0,INDEX($AM$4:$AW$4,MATCH(1,$AM1054:$AW1054,0)),"Multiple strategies"))</f>
        <v>Technology</v>
      </c>
      <c r="BG1054" s="1" t="s">
        <v>230</v>
      </c>
      <c r="BH1054" t="s">
        <v>424</v>
      </c>
      <c r="BI1054" t="s">
        <v>425</v>
      </c>
      <c r="BJ1054" t="s">
        <v>426</v>
      </c>
      <c r="BK1054">
        <v>5932</v>
      </c>
      <c r="BL1054">
        <v>15385</v>
      </c>
      <c r="BN1054">
        <f t="shared" si="275"/>
        <v>9453</v>
      </c>
      <c r="BO1054">
        <f>BN1054*kg_to_m3</f>
        <v>19.291836734693881</v>
      </c>
      <c r="BP1054" t="s">
        <v>396</v>
      </c>
      <c r="BQ1054" s="260" t="s">
        <v>3274</v>
      </c>
      <c r="BR1054" t="s">
        <v>428</v>
      </c>
      <c r="BS1054">
        <f>242+16+53+48</f>
        <v>359</v>
      </c>
      <c r="BT1054">
        <f>641+60+48</f>
        <v>749</v>
      </c>
      <c r="BU1054" s="144">
        <f t="shared" si="288"/>
        <v>2.0863509749303621</v>
      </c>
      <c r="BV1054">
        <f>BT1054-BS1054</f>
        <v>390</v>
      </c>
      <c r="BX1054">
        <f>BV1054/1000</f>
        <v>0.39</v>
      </c>
      <c r="BY1054">
        <f t="shared" si="262"/>
        <v>2.0215804506505869E-2</v>
      </c>
      <c r="BZ1054">
        <v>0</v>
      </c>
      <c r="CA1054">
        <v>0</v>
      </c>
      <c r="CB1054">
        <v>0</v>
      </c>
      <c r="CC1054">
        <v>0</v>
      </c>
      <c r="CD1054">
        <v>0</v>
      </c>
      <c r="CE1054">
        <v>0</v>
      </c>
      <c r="CF1054">
        <v>0</v>
      </c>
      <c r="CG1054">
        <v>0</v>
      </c>
      <c r="CH1054">
        <v>0</v>
      </c>
      <c r="CI1054">
        <v>0</v>
      </c>
      <c r="CJ1054">
        <v>0</v>
      </c>
      <c r="CK1054">
        <v>0</v>
      </c>
      <c r="CL1054">
        <v>0</v>
      </c>
      <c r="CM1054">
        <v>0</v>
      </c>
      <c r="CN1054" t="str">
        <f>IF($BL1054&lt;$BK1054,"refNeedCorrection","refOK")</f>
        <v>refOK</v>
      </c>
      <c r="CO1054">
        <f t="shared" si="284"/>
        <v>5932</v>
      </c>
      <c r="CP1054">
        <f t="shared" si="285"/>
        <v>15385</v>
      </c>
      <c r="CQ1054">
        <f t="shared" si="274"/>
        <v>19.291836734693881</v>
      </c>
      <c r="CR1054">
        <f>IF($CN1054="refOK",$BT1054,$BS1054)*IF($BP1054="Emissions positive",-1,1)</f>
        <v>-749</v>
      </c>
      <c r="CS1054">
        <f>IF($CN1054="refOK",$BS1054,$BT1054)*IF($BP1054="Emissions positive",-1,1)</f>
        <v>-359</v>
      </c>
      <c r="CT1054">
        <f t="shared" si="267"/>
        <v>-0.39</v>
      </c>
      <c r="CU1054">
        <f t="shared" si="258"/>
        <v>-2.0215804506505869E-2</v>
      </c>
      <c r="CV1054" s="2">
        <f t="shared" si="268"/>
        <v>0.52069425901201605</v>
      </c>
      <c r="CW1054" s="1" t="s">
        <v>264</v>
      </c>
      <c r="CX1054" t="str">
        <f t="shared" si="298"/>
        <v>loc</v>
      </c>
      <c r="CY1054" t="s">
        <v>429</v>
      </c>
      <c r="DB1054">
        <v>0</v>
      </c>
      <c r="DC1054" t="str">
        <f t="shared" si="299"/>
        <v>0</v>
      </c>
      <c r="DD1054">
        <v>0</v>
      </c>
      <c r="DE1054">
        <v>1</v>
      </c>
      <c r="DF1054">
        <v>0</v>
      </c>
      <c r="DG1054">
        <v>0</v>
      </c>
      <c r="DH1054">
        <v>0</v>
      </c>
      <c r="DI1054">
        <f>SUM(DD1054:DH1054)</f>
        <v>1</v>
      </c>
      <c r="DJ1054" t="str">
        <f t="shared" si="257"/>
        <v>EnergyInput</v>
      </c>
      <c r="DK1054">
        <f t="shared" si="277"/>
        <v>0</v>
      </c>
      <c r="DL1054" t="str">
        <f t="shared" si="278"/>
        <v>Energy</v>
      </c>
      <c r="DM1054">
        <f t="shared" si="279"/>
        <v>0</v>
      </c>
      <c r="DN1054">
        <f t="shared" si="280"/>
        <v>0</v>
      </c>
      <c r="DO1054">
        <v>0</v>
      </c>
      <c r="DP1054">
        <v>0</v>
      </c>
      <c r="DQ1054">
        <v>0</v>
      </c>
      <c r="DR1054">
        <v>0</v>
      </c>
      <c r="DS1054">
        <v>0</v>
      </c>
      <c r="DT1054">
        <f t="shared" si="260"/>
        <v>0</v>
      </c>
      <c r="DU1054" t="str">
        <f t="shared" si="301"/>
        <v>explicit C balance</v>
      </c>
      <c r="DV1054">
        <v>0</v>
      </c>
      <c r="DW1054">
        <v>1</v>
      </c>
      <c r="DX1054">
        <v>0</v>
      </c>
      <c r="DY1054">
        <v>0</v>
      </c>
      <c r="DZ1054">
        <v>1</v>
      </c>
      <c r="EA1054" s="143">
        <v>0</v>
      </c>
      <c r="EB1054">
        <v>0</v>
      </c>
      <c r="EC1054">
        <v>1</v>
      </c>
      <c r="ED1054">
        <v>0</v>
      </c>
      <c r="EE1054">
        <v>0</v>
      </c>
      <c r="EF1054">
        <v>0</v>
      </c>
      <c r="EG1054">
        <v>0</v>
      </c>
      <c r="EH1054">
        <v>0</v>
      </c>
      <c r="EI1054" s="2">
        <v>0</v>
      </c>
      <c r="EK1054" t="str">
        <f t="shared" si="281"/>
        <v/>
      </c>
      <c r="EL1054" t="str">
        <f t="shared" si="282"/>
        <v/>
      </c>
      <c r="EM1054" s="2" t="str">
        <f t="shared" si="300"/>
        <v/>
      </c>
      <c r="EP1054" t="str">
        <f>IF(ISNUMBER(BU1054),IF(ABS(BU1054-[4]QC_indicators!$B$2)&gt;3*[4]QC_indicators!$C$2,"C ratio",IF(ISNUMBER(BY1054),IF(ABS(BY1054-[4]QC_indicators!$B$1)&gt;3*[4]QC_indicators!$C$1,"DF","no"))),IF(ISNUMBER(BY1054),IF(ABS(BY1054-[4]QC_indicators!$B$1)&gt;3*[4]QC_indicators!$C$1,"DF","no")))</f>
        <v>no</v>
      </c>
      <c r="ET1054" s="266" t="s">
        <v>3275</v>
      </c>
    </row>
    <row r="1055" spans="1:150" ht="15" hidden="1" customHeight="1">
      <c r="A1055" s="1" t="s">
        <v>413</v>
      </c>
      <c r="B1055" t="s">
        <v>414</v>
      </c>
      <c r="C1055" t="s">
        <v>415</v>
      </c>
      <c r="D1055" t="s">
        <v>416</v>
      </c>
      <c r="E1055" t="s">
        <v>417</v>
      </c>
      <c r="F1055" t="s">
        <v>418</v>
      </c>
      <c r="G1055" t="s">
        <v>419</v>
      </c>
      <c r="H1055" t="s">
        <v>255</v>
      </c>
      <c r="I1055">
        <v>2022</v>
      </c>
      <c r="J1055">
        <v>4</v>
      </c>
      <c r="K1055" t="s">
        <v>420</v>
      </c>
      <c r="M1055" t="str">
        <f t="shared" si="255"/>
        <v>Bergman_2022</v>
      </c>
      <c r="N1055" t="s">
        <v>223</v>
      </c>
      <c r="O1055" s="145" t="s">
        <v>224</v>
      </c>
      <c r="Q1055" t="s">
        <v>390</v>
      </c>
      <c r="R1055" s="255" t="s">
        <v>226</v>
      </c>
      <c r="S1055" s="1" t="s">
        <v>421</v>
      </c>
      <c r="T1055" t="s">
        <v>422</v>
      </c>
      <c r="U1055" t="s">
        <v>423</v>
      </c>
      <c r="V1055">
        <v>0</v>
      </c>
      <c r="W1055">
        <v>0</v>
      </c>
      <c r="X1055">
        <v>0</v>
      </c>
      <c r="Y1055">
        <v>0</v>
      </c>
      <c r="Z1055">
        <v>0</v>
      </c>
      <c r="AA1055">
        <v>0</v>
      </c>
      <c r="AB1055">
        <v>0</v>
      </c>
      <c r="AC1055">
        <v>0</v>
      </c>
      <c r="AD1055">
        <v>0</v>
      </c>
      <c r="AE1055">
        <v>0</v>
      </c>
      <c r="AF1055">
        <v>0</v>
      </c>
      <c r="AG1055">
        <v>0</v>
      </c>
      <c r="AH1055">
        <v>0</v>
      </c>
      <c r="AI1055">
        <v>0</v>
      </c>
      <c r="AJ1055">
        <v>1</v>
      </c>
      <c r="AK1055">
        <v>0</v>
      </c>
      <c r="AL1055">
        <v>0</v>
      </c>
      <c r="AM1055">
        <v>0</v>
      </c>
      <c r="AN1055">
        <v>0</v>
      </c>
      <c r="AO1055">
        <v>0</v>
      </c>
      <c r="AP1055">
        <v>0</v>
      </c>
      <c r="AQ1055">
        <v>0</v>
      </c>
      <c r="AR1055">
        <v>0</v>
      </c>
      <c r="AS1055">
        <v>0</v>
      </c>
      <c r="AT1055">
        <v>0</v>
      </c>
      <c r="AU1055">
        <v>0</v>
      </c>
      <c r="AV1055">
        <v>0</v>
      </c>
      <c r="AW1055">
        <v>0</v>
      </c>
      <c r="AX1055" s="141">
        <f t="shared" si="266"/>
        <v>1</v>
      </c>
      <c r="AY1055" s="141">
        <f t="shared" si="292"/>
        <v>1</v>
      </c>
      <c r="AZ1055">
        <f t="shared" si="293"/>
        <v>0</v>
      </c>
      <c r="BA1055">
        <f t="shared" si="294"/>
        <v>0</v>
      </c>
      <c r="BB1055">
        <f t="shared" si="295"/>
        <v>1</v>
      </c>
      <c r="BC1055">
        <f t="shared" si="296"/>
        <v>0</v>
      </c>
      <c r="BD1055">
        <f t="shared" si="297"/>
        <v>0</v>
      </c>
      <c r="BE1055" t="str">
        <f t="array" ref="BE1055">IF(AY1055=1,INDEX($V$7:$AL$7,MATCH(TRUE,INDEX($V1055:$AW1055&lt;&gt;0,),0)),IF(AY1055=0,INDEX($AM$7:$AW$7,MATCH(1,$AM1055:$AW1055,0)),IF(BF1055="Multiple strategies","mixed drivers",IF(BF1055="Supply chain","multiple supply","multiple silviculture"))))</f>
        <v>efficiency improvement</v>
      </c>
      <c r="BF1055" s="2" t="str" cm="1">
        <f t="array" ref="BF1055">IF(COUNTIF(AZ1055:BB1055,"&lt;&gt;0")=1,INDEX($V$4:$AW$4,MATCH(TRUE,INDEX($V1055:$AW1055&lt;&gt;0,),0)),IF(COUNTIF(AZ1055:BB1055,"&lt;&gt;0")=0,INDEX($AM$4:$AW$4,MATCH(1,$AM1055:$AW1055,0)),"Multiple strategies"))</f>
        <v>Technology</v>
      </c>
      <c r="BG1055" s="1" t="s">
        <v>230</v>
      </c>
      <c r="BH1055" t="s">
        <v>424</v>
      </c>
      <c r="BI1055" t="s">
        <v>425</v>
      </c>
      <c r="BJ1055" t="s">
        <v>426</v>
      </c>
      <c r="BK1055">
        <v>5932</v>
      </c>
      <c r="BL1055">
        <v>15385</v>
      </c>
      <c r="BN1055">
        <f t="shared" si="275"/>
        <v>9453</v>
      </c>
      <c r="BO1055">
        <f>BN1055*kg_to_m3</f>
        <v>19.291836734693881</v>
      </c>
      <c r="BP1055" t="s">
        <v>396</v>
      </c>
      <c r="BQ1055" s="260" t="s">
        <v>3274</v>
      </c>
      <c r="BR1055" t="s">
        <v>428</v>
      </c>
      <c r="BS1055">
        <f>19+246+24+17</f>
        <v>306</v>
      </c>
      <c r="BT1055">
        <f>712+27+17</f>
        <v>756</v>
      </c>
      <c r="BU1055" s="144">
        <f t="shared" si="288"/>
        <v>2.4705882352941178</v>
      </c>
      <c r="BV1055">
        <f>BT1055-BS1055</f>
        <v>450</v>
      </c>
      <c r="BX1055">
        <f>BV1055/1000</f>
        <v>0.45</v>
      </c>
      <c r="BY1055">
        <f t="shared" si="262"/>
        <v>2.3325928276737542E-2</v>
      </c>
      <c r="BZ1055">
        <v>0</v>
      </c>
      <c r="CA1055">
        <v>0</v>
      </c>
      <c r="CB1055">
        <v>0</v>
      </c>
      <c r="CC1055">
        <v>0</v>
      </c>
      <c r="CD1055">
        <v>0</v>
      </c>
      <c r="CE1055">
        <v>0</v>
      </c>
      <c r="CF1055">
        <v>0</v>
      </c>
      <c r="CG1055">
        <v>0</v>
      </c>
      <c r="CH1055">
        <v>0</v>
      </c>
      <c r="CI1055">
        <v>0</v>
      </c>
      <c r="CJ1055">
        <v>0</v>
      </c>
      <c r="CK1055">
        <v>0</v>
      </c>
      <c r="CL1055">
        <v>0</v>
      </c>
      <c r="CM1055">
        <v>0</v>
      </c>
      <c r="CN1055" t="str">
        <f>IF($BL1055&lt;$BK1055,"refNeedCorrection","refOK")</f>
        <v>refOK</v>
      </c>
      <c r="CO1055"/>
      <c r="CP1055"/>
      <c r="CQ1055">
        <f t="shared" si="274"/>
        <v>19.291836734693881</v>
      </c>
      <c r="CR1055">
        <f>IF($CN1055="refOK",$BT1055,$BS1055)*IF($BP1055="Emissions positive",-1,1)</f>
        <v>-756</v>
      </c>
      <c r="CS1055">
        <f>IF($CN1055="refOK",$BS1055,$BT1055)*IF($BP1055="Emissions positive",-1,1)</f>
        <v>-306</v>
      </c>
      <c r="CT1055">
        <f t="shared" si="267"/>
        <v>-0.45</v>
      </c>
      <c r="CU1055">
        <f t="shared" si="258"/>
        <v>-2.3325928276737542E-2</v>
      </c>
      <c r="CV1055" s="2">
        <f t="shared" si="268"/>
        <v>0.59523809523809523</v>
      </c>
      <c r="CW1055" s="1" t="s">
        <v>264</v>
      </c>
      <c r="CX1055" t="str">
        <f t="shared" si="298"/>
        <v>loc</v>
      </c>
      <c r="CY1055" t="s">
        <v>429</v>
      </c>
      <c r="DB1055">
        <v>0</v>
      </c>
      <c r="DC1055" t="str">
        <f t="shared" si="299"/>
        <v>0</v>
      </c>
      <c r="DD1055">
        <v>0</v>
      </c>
      <c r="DE1055">
        <v>1</v>
      </c>
      <c r="DF1055">
        <v>0</v>
      </c>
      <c r="DG1055">
        <v>0</v>
      </c>
      <c r="DH1055">
        <v>0</v>
      </c>
      <c r="DI1055">
        <f>SUM(DD1055:DH1055)</f>
        <v>1</v>
      </c>
      <c r="DJ1055" t="str">
        <f t="shared" si="257"/>
        <v>EnergyInput</v>
      </c>
      <c r="DK1055">
        <f t="shared" si="277"/>
        <v>0</v>
      </c>
      <c r="DL1055" t="str">
        <f t="shared" si="278"/>
        <v>Energy</v>
      </c>
      <c r="DM1055">
        <f t="shared" si="279"/>
        <v>0</v>
      </c>
      <c r="DN1055">
        <f t="shared" si="280"/>
        <v>0</v>
      </c>
      <c r="DO1055">
        <v>0</v>
      </c>
      <c r="DP1055">
        <v>0</v>
      </c>
      <c r="DQ1055">
        <v>0</v>
      </c>
      <c r="DR1055">
        <v>0</v>
      </c>
      <c r="DS1055">
        <v>0</v>
      </c>
      <c r="DT1055">
        <f t="shared" si="260"/>
        <v>0</v>
      </c>
      <c r="DU1055" t="str">
        <f t="shared" si="301"/>
        <v>explicit C balance</v>
      </c>
      <c r="DV1055">
        <v>0</v>
      </c>
      <c r="DW1055">
        <v>1</v>
      </c>
      <c r="DX1055">
        <v>0</v>
      </c>
      <c r="DY1055">
        <v>0</v>
      </c>
      <c r="DZ1055">
        <v>1</v>
      </c>
      <c r="EA1055" s="143">
        <v>0</v>
      </c>
      <c r="EB1055">
        <v>0</v>
      </c>
      <c r="EC1055">
        <v>1</v>
      </c>
      <c r="ED1055">
        <v>0</v>
      </c>
      <c r="EE1055">
        <v>0</v>
      </c>
      <c r="EF1055">
        <v>0</v>
      </c>
      <c r="EG1055">
        <v>0</v>
      </c>
      <c r="EH1055">
        <v>0</v>
      </c>
      <c r="EI1055" s="2">
        <v>0</v>
      </c>
      <c r="EK1055" t="str">
        <f t="shared" si="281"/>
        <v/>
      </c>
      <c r="EL1055" t="str">
        <f t="shared" si="282"/>
        <v/>
      </c>
      <c r="EM1055" s="2" t="str">
        <f t="shared" si="300"/>
        <v/>
      </c>
      <c r="EP1055" t="str">
        <f>IF(ISNUMBER(BU1055),IF(ABS(BU1055-[4]QC_indicators!$B$2)&gt;3*[4]QC_indicators!$C$2,"C ratio",IF(ISNUMBER(BY1055),IF(ABS(BY1055-[4]QC_indicators!$B$1)&gt;3*[4]QC_indicators!$C$1,"DF","no"))),IF(ISNUMBER(BY1055),IF(ABS(BY1055-[4]QC_indicators!$B$1)&gt;3*[4]QC_indicators!$C$1,"DF","no")))</f>
        <v>no</v>
      </c>
      <c r="ET1055" s="266" t="s">
        <v>3275</v>
      </c>
    </row>
    <row r="1056" spans="1:150" ht="15" hidden="1" customHeight="1">
      <c r="A1056" s="1" t="s">
        <v>413</v>
      </c>
      <c r="B1056" t="s">
        <v>414</v>
      </c>
      <c r="C1056" t="s">
        <v>415</v>
      </c>
      <c r="D1056" t="s">
        <v>416</v>
      </c>
      <c r="E1056" t="s">
        <v>417</v>
      </c>
      <c r="F1056" t="s">
        <v>418</v>
      </c>
      <c r="G1056" t="s">
        <v>419</v>
      </c>
      <c r="H1056" t="s">
        <v>255</v>
      </c>
      <c r="I1056">
        <v>2022</v>
      </c>
      <c r="J1056">
        <v>4</v>
      </c>
      <c r="K1056" t="s">
        <v>420</v>
      </c>
      <c r="M1056" t="str">
        <f t="shared" si="255"/>
        <v>Bergman_2022</v>
      </c>
      <c r="N1056" t="s">
        <v>223</v>
      </c>
      <c r="O1056" s="145" t="s">
        <v>224</v>
      </c>
      <c r="Q1056" t="s">
        <v>390</v>
      </c>
      <c r="R1056" s="255" t="s">
        <v>226</v>
      </c>
      <c r="S1056" s="1" t="s">
        <v>421</v>
      </c>
      <c r="T1056" t="s">
        <v>422</v>
      </c>
      <c r="U1056" t="s">
        <v>423</v>
      </c>
      <c r="V1056">
        <v>0</v>
      </c>
      <c r="W1056">
        <v>0</v>
      </c>
      <c r="X1056">
        <v>0</v>
      </c>
      <c r="Y1056">
        <v>0</v>
      </c>
      <c r="Z1056">
        <v>0</v>
      </c>
      <c r="AA1056">
        <v>0</v>
      </c>
      <c r="AB1056">
        <v>0</v>
      </c>
      <c r="AC1056">
        <v>0</v>
      </c>
      <c r="AD1056">
        <v>0</v>
      </c>
      <c r="AE1056">
        <v>0</v>
      </c>
      <c r="AF1056">
        <v>0</v>
      </c>
      <c r="AG1056">
        <v>0</v>
      </c>
      <c r="AH1056">
        <v>0</v>
      </c>
      <c r="AI1056">
        <v>0</v>
      </c>
      <c r="AJ1056">
        <v>1</v>
      </c>
      <c r="AK1056">
        <v>0</v>
      </c>
      <c r="AL1056">
        <v>0</v>
      </c>
      <c r="AM1056">
        <v>0</v>
      </c>
      <c r="AN1056">
        <v>0</v>
      </c>
      <c r="AO1056">
        <v>0</v>
      </c>
      <c r="AP1056">
        <v>0</v>
      </c>
      <c r="AQ1056">
        <v>0</v>
      </c>
      <c r="AR1056">
        <v>0</v>
      </c>
      <c r="AS1056">
        <v>0</v>
      </c>
      <c r="AT1056">
        <v>0</v>
      </c>
      <c r="AU1056">
        <v>0</v>
      </c>
      <c r="AV1056">
        <v>0</v>
      </c>
      <c r="AW1056">
        <v>0</v>
      </c>
      <c r="AX1056" s="141">
        <f t="shared" si="266"/>
        <v>1</v>
      </c>
      <c r="AY1056" s="141">
        <f t="shared" si="292"/>
        <v>1</v>
      </c>
      <c r="AZ1056">
        <f t="shared" si="293"/>
        <v>0</v>
      </c>
      <c r="BA1056">
        <f t="shared" si="294"/>
        <v>0</v>
      </c>
      <c r="BB1056">
        <f t="shared" si="295"/>
        <v>1</v>
      </c>
      <c r="BC1056">
        <f t="shared" si="296"/>
        <v>0</v>
      </c>
      <c r="BD1056">
        <f t="shared" si="297"/>
        <v>0</v>
      </c>
      <c r="BE1056" t="str">
        <f t="array" ref="BE1056">IF(AY1056=1,INDEX($V$7:$AL$7,MATCH(TRUE,INDEX($V1056:$AW1056&lt;&gt;0,),0)),IF(AY1056=0,INDEX($AM$7:$AW$7,MATCH(1,$AM1056:$AW1056,0)),IF(BF1056="Multiple strategies","mixed drivers",IF(BF1056="Supply chain","multiple supply","multiple silviculture"))))</f>
        <v>efficiency improvement</v>
      </c>
      <c r="BF1056" s="2" t="str" cm="1">
        <f t="array" ref="BF1056">IF(COUNTIF(AZ1056:BB1056,"&lt;&gt;0")=1,INDEX($V$4:$AW$4,MATCH(TRUE,INDEX($V1056:$AW1056&lt;&gt;0,),0)),IF(COUNTIF(AZ1056:BB1056,"&lt;&gt;0")=0,INDEX($AM$4:$AW$4,MATCH(1,$AM1056:$AW1056,0)),"Multiple strategies"))</f>
        <v>Technology</v>
      </c>
      <c r="BG1056" s="1" t="s">
        <v>230</v>
      </c>
      <c r="BH1056" t="s">
        <v>424</v>
      </c>
      <c r="BI1056" t="s">
        <v>425</v>
      </c>
      <c r="BJ1056" t="s">
        <v>426</v>
      </c>
      <c r="BK1056">
        <v>5932</v>
      </c>
      <c r="BL1056">
        <v>15385</v>
      </c>
      <c r="BN1056">
        <f t="shared" si="275"/>
        <v>9453</v>
      </c>
      <c r="BO1056">
        <f>BN1056*kg_to_m3</f>
        <v>19.291836734693881</v>
      </c>
      <c r="BP1056" t="s">
        <v>396</v>
      </c>
      <c r="BQ1056" s="260" t="s">
        <v>3274</v>
      </c>
      <c r="BR1056" t="s">
        <v>428</v>
      </c>
      <c r="BS1056">
        <f>84+16+242+53+48</f>
        <v>443</v>
      </c>
      <c r="BT1056">
        <f>260+641+60+48</f>
        <v>1009</v>
      </c>
      <c r="BU1056" s="144">
        <f t="shared" si="288"/>
        <v>2.2776523702031604</v>
      </c>
      <c r="BV1056">
        <f>BT1056-BS1056</f>
        <v>566</v>
      </c>
      <c r="BX1056">
        <f>BV1056/1000</f>
        <v>0.56599999999999995</v>
      </c>
      <c r="BY1056">
        <f t="shared" si="262"/>
        <v>2.9338834232518769E-2</v>
      </c>
      <c r="BZ1056">
        <v>0</v>
      </c>
      <c r="CA1056">
        <v>0</v>
      </c>
      <c r="CB1056">
        <v>0</v>
      </c>
      <c r="CC1056">
        <v>0</v>
      </c>
      <c r="CD1056">
        <v>0</v>
      </c>
      <c r="CE1056">
        <v>0</v>
      </c>
      <c r="CF1056">
        <v>0</v>
      </c>
      <c r="CG1056">
        <v>0</v>
      </c>
      <c r="CH1056">
        <v>0</v>
      </c>
      <c r="CI1056">
        <v>0</v>
      </c>
      <c r="CJ1056">
        <v>0</v>
      </c>
      <c r="CK1056">
        <v>0</v>
      </c>
      <c r="CL1056">
        <v>0</v>
      </c>
      <c r="CM1056">
        <v>0</v>
      </c>
      <c r="CN1056" t="str">
        <f>IF($BL1056&lt;$BL1055,"refNeedCorrection","refOK")</f>
        <v>refOK</v>
      </c>
      <c r="CO1056"/>
      <c r="CP1056"/>
      <c r="CQ1056">
        <f t="shared" si="274"/>
        <v>19.291836734693881</v>
      </c>
      <c r="CR1056">
        <f>IF($CN1056="refOK",$BT1056,$BS1056)*IF($BP1056="Emissions positive",-1,1)</f>
        <v>-1009</v>
      </c>
      <c r="CS1056">
        <f>IF($CN1056="refOK",$BS1056,$BT1056)*IF($BP1056="Emissions positive",-1,1)</f>
        <v>-443</v>
      </c>
      <c r="CT1056">
        <f t="shared" si="267"/>
        <v>-0.56599999999999995</v>
      </c>
      <c r="CU1056">
        <f t="shared" si="258"/>
        <v>-2.9338834232518769E-2</v>
      </c>
      <c r="CV1056" s="2">
        <f t="shared" si="268"/>
        <v>0.56095143706640238</v>
      </c>
      <c r="CW1056" s="1" t="s">
        <v>264</v>
      </c>
      <c r="CX1056" t="str">
        <f t="shared" si="298"/>
        <v>loc</v>
      </c>
      <c r="CY1056" t="s">
        <v>429</v>
      </c>
      <c r="DB1056">
        <v>0</v>
      </c>
      <c r="DC1056" t="str">
        <f t="shared" si="299"/>
        <v>0</v>
      </c>
      <c r="DD1056">
        <v>0</v>
      </c>
      <c r="DE1056">
        <v>1</v>
      </c>
      <c r="DF1056">
        <v>0</v>
      </c>
      <c r="DG1056">
        <v>0</v>
      </c>
      <c r="DH1056">
        <v>0</v>
      </c>
      <c r="DI1056">
        <f>SUM(DD1056:DH1056)</f>
        <v>1</v>
      </c>
      <c r="DJ1056" t="str">
        <f t="shared" si="257"/>
        <v>EnergyInput</v>
      </c>
      <c r="DK1056">
        <f t="shared" si="277"/>
        <v>0</v>
      </c>
      <c r="DL1056" t="str">
        <f t="shared" si="278"/>
        <v>Energy</v>
      </c>
      <c r="DM1056">
        <f t="shared" si="279"/>
        <v>0</v>
      </c>
      <c r="DN1056">
        <f t="shared" si="280"/>
        <v>0</v>
      </c>
      <c r="DO1056">
        <v>0</v>
      </c>
      <c r="DP1056">
        <v>0</v>
      </c>
      <c r="DQ1056">
        <v>0</v>
      </c>
      <c r="DR1056">
        <v>0</v>
      </c>
      <c r="DS1056">
        <v>0</v>
      </c>
      <c r="DT1056">
        <f t="shared" si="260"/>
        <v>0</v>
      </c>
      <c r="DU1056" t="str">
        <f t="shared" si="301"/>
        <v>explicit C balance</v>
      </c>
      <c r="DV1056">
        <v>0</v>
      </c>
      <c r="DW1056">
        <v>1</v>
      </c>
      <c r="DX1056">
        <v>0</v>
      </c>
      <c r="DY1056">
        <v>0</v>
      </c>
      <c r="DZ1056">
        <v>1</v>
      </c>
      <c r="EA1056" s="143">
        <v>0</v>
      </c>
      <c r="EB1056">
        <v>1</v>
      </c>
      <c r="EC1056">
        <v>1</v>
      </c>
      <c r="ED1056">
        <v>0</v>
      </c>
      <c r="EE1056">
        <v>0</v>
      </c>
      <c r="EF1056">
        <v>0</v>
      </c>
      <c r="EG1056">
        <v>0</v>
      </c>
      <c r="EH1056">
        <v>0</v>
      </c>
      <c r="EI1056" s="2">
        <v>0</v>
      </c>
      <c r="EK1056" t="str">
        <f t="shared" si="281"/>
        <v/>
      </c>
      <c r="EL1056" t="str">
        <f t="shared" si="282"/>
        <v/>
      </c>
      <c r="EM1056" s="2" t="str">
        <f t="shared" si="300"/>
        <v/>
      </c>
      <c r="EP1056" t="str">
        <f>IF(ISNUMBER(BU1056),IF(ABS(BU1056-[4]QC_indicators!$B$2)&gt;3*[4]QC_indicators!$C$2,"C ratio",IF(ISNUMBER(BY1056),IF(ABS(BY1056-[4]QC_indicators!$B$1)&gt;3*[4]QC_indicators!$C$1,"DF","no"))),IF(ISNUMBER(BY1056),IF(ABS(BY1056-[4]QC_indicators!$B$1)&gt;3*[4]QC_indicators!$C$1,"DF","no")))</f>
        <v>no</v>
      </c>
      <c r="ET1056" s="266" t="s">
        <v>3275</v>
      </c>
    </row>
    <row r="1057" spans="1:150" ht="15" hidden="1" customHeight="1">
      <c r="A1057" s="1" t="s">
        <v>413</v>
      </c>
      <c r="B1057" t="s">
        <v>414</v>
      </c>
      <c r="C1057" t="s">
        <v>415</v>
      </c>
      <c r="D1057" t="s">
        <v>416</v>
      </c>
      <c r="E1057" t="s">
        <v>417</v>
      </c>
      <c r="F1057" t="s">
        <v>418</v>
      </c>
      <c r="G1057" t="s">
        <v>419</v>
      </c>
      <c r="H1057" t="s">
        <v>255</v>
      </c>
      <c r="I1057">
        <v>2022</v>
      </c>
      <c r="J1057">
        <v>4</v>
      </c>
      <c r="K1057" t="s">
        <v>420</v>
      </c>
      <c r="M1057" t="str">
        <f t="shared" si="255"/>
        <v>Bergman_2022</v>
      </c>
      <c r="N1057" t="s">
        <v>223</v>
      </c>
      <c r="O1057" s="145" t="s">
        <v>224</v>
      </c>
      <c r="Q1057" t="s">
        <v>390</v>
      </c>
      <c r="R1057" s="255" t="s">
        <v>226</v>
      </c>
      <c r="S1057" s="1" t="s">
        <v>421</v>
      </c>
      <c r="T1057" t="s">
        <v>422</v>
      </c>
      <c r="U1057" t="s">
        <v>423</v>
      </c>
      <c r="V1057">
        <v>0</v>
      </c>
      <c r="W1057">
        <v>0</v>
      </c>
      <c r="X1057">
        <v>0</v>
      </c>
      <c r="Y1057">
        <v>0</v>
      </c>
      <c r="Z1057">
        <v>0</v>
      </c>
      <c r="AA1057">
        <v>0</v>
      </c>
      <c r="AB1057">
        <v>0</v>
      </c>
      <c r="AC1057">
        <v>0</v>
      </c>
      <c r="AD1057">
        <v>0</v>
      </c>
      <c r="AE1057">
        <v>0</v>
      </c>
      <c r="AF1057">
        <v>0</v>
      </c>
      <c r="AG1057">
        <v>0</v>
      </c>
      <c r="AH1057">
        <v>0</v>
      </c>
      <c r="AI1057">
        <v>0</v>
      </c>
      <c r="AJ1057">
        <v>1</v>
      </c>
      <c r="AK1057">
        <v>0</v>
      </c>
      <c r="AL1057">
        <v>0</v>
      </c>
      <c r="AM1057">
        <v>0</v>
      </c>
      <c r="AN1057">
        <v>0</v>
      </c>
      <c r="AO1057">
        <v>0</v>
      </c>
      <c r="AP1057">
        <v>0</v>
      </c>
      <c r="AQ1057">
        <v>0</v>
      </c>
      <c r="AR1057">
        <v>0</v>
      </c>
      <c r="AS1057">
        <v>0</v>
      </c>
      <c r="AT1057">
        <v>0</v>
      </c>
      <c r="AU1057">
        <v>0</v>
      </c>
      <c r="AV1057">
        <v>0</v>
      </c>
      <c r="AW1057">
        <v>0</v>
      </c>
      <c r="AX1057" s="141">
        <f t="shared" si="266"/>
        <v>1</v>
      </c>
      <c r="AY1057" s="141">
        <f t="shared" si="292"/>
        <v>1</v>
      </c>
      <c r="AZ1057">
        <f t="shared" si="293"/>
        <v>0</v>
      </c>
      <c r="BA1057">
        <f t="shared" si="294"/>
        <v>0</v>
      </c>
      <c r="BB1057">
        <f t="shared" si="295"/>
        <v>1</v>
      </c>
      <c r="BC1057">
        <f t="shared" si="296"/>
        <v>0</v>
      </c>
      <c r="BD1057">
        <f t="shared" si="297"/>
        <v>0</v>
      </c>
      <c r="BE1057" t="str">
        <f t="array" ref="BE1057">IF(AY1057=1,INDEX($V$7:$AL$7,MATCH(TRUE,INDEX($V1057:$AW1057&lt;&gt;0,),0)),IF(AY1057=0,INDEX($AM$7:$AW$7,MATCH(1,$AM1057:$AW1057,0)),IF(BF1057="Multiple strategies","mixed drivers",IF(BF1057="Supply chain","multiple supply","multiple silviculture"))))</f>
        <v>efficiency improvement</v>
      </c>
      <c r="BF1057" s="2" t="str" cm="1">
        <f t="array" ref="BF1057">IF(COUNTIF(AZ1057:BB1057,"&lt;&gt;0")=1,INDEX($V$4:$AW$4,MATCH(TRUE,INDEX($V1057:$AW1057&lt;&gt;0,),0)),IF(COUNTIF(AZ1057:BB1057,"&lt;&gt;0")=0,INDEX($AM$4:$AW$4,MATCH(1,$AM1057:$AW1057,0)),"Multiple strategies"))</f>
        <v>Technology</v>
      </c>
      <c r="BG1057" s="1" t="s">
        <v>230</v>
      </c>
      <c r="BH1057" t="s">
        <v>424</v>
      </c>
      <c r="BI1057" t="s">
        <v>425</v>
      </c>
      <c r="BJ1057" t="s">
        <v>426</v>
      </c>
      <c r="BK1057">
        <v>5932</v>
      </c>
      <c r="BL1057">
        <v>15385</v>
      </c>
      <c r="BN1057">
        <f t="shared" si="275"/>
        <v>9453</v>
      </c>
      <c r="BO1057">
        <f>BN1057*kg_to_m3</f>
        <v>19.291836734693881</v>
      </c>
      <c r="BP1057" t="s">
        <v>396</v>
      </c>
      <c r="BQ1057" s="260" t="s">
        <v>3274</v>
      </c>
      <c r="BR1057" t="s">
        <v>428</v>
      </c>
      <c r="BS1057">
        <f>101+19+246+24+17</f>
        <v>407</v>
      </c>
      <c r="BT1057">
        <f>260+712+27+17</f>
        <v>1016</v>
      </c>
      <c r="BU1057" s="144">
        <f t="shared" si="288"/>
        <v>2.4963144963144965</v>
      </c>
      <c r="BV1057">
        <f>BT1057-BS1057</f>
        <v>609</v>
      </c>
      <c r="BX1057">
        <f>BV1057/1000</f>
        <v>0.60899999999999999</v>
      </c>
      <c r="BY1057">
        <f t="shared" si="262"/>
        <v>3.1567756267851473E-2</v>
      </c>
      <c r="BZ1057">
        <v>0</v>
      </c>
      <c r="CA1057">
        <v>0</v>
      </c>
      <c r="CB1057">
        <v>0</v>
      </c>
      <c r="CC1057">
        <v>0</v>
      </c>
      <c r="CD1057">
        <v>0</v>
      </c>
      <c r="CE1057">
        <v>0</v>
      </c>
      <c r="CF1057">
        <v>0</v>
      </c>
      <c r="CG1057">
        <v>0</v>
      </c>
      <c r="CH1057">
        <v>0</v>
      </c>
      <c r="CI1057">
        <v>0</v>
      </c>
      <c r="CJ1057">
        <v>0</v>
      </c>
      <c r="CK1057">
        <v>0</v>
      </c>
      <c r="CL1057">
        <v>0</v>
      </c>
      <c r="CM1057">
        <v>0</v>
      </c>
      <c r="CN1057" t="str">
        <f t="shared" ref="CN1057:CN1088" si="302">IF($BL1057&lt;$BK1057,"refNeedCorrection","refOK")</f>
        <v>refOK</v>
      </c>
      <c r="CO1057"/>
      <c r="CP1057"/>
      <c r="CQ1057">
        <f t="shared" si="274"/>
        <v>19.291836734693881</v>
      </c>
      <c r="CR1057">
        <f>IF($CN1057="refOK",$BT1057,$BS1057)*IF($BP1057="Emissions positive",-1,1)</f>
        <v>-1016</v>
      </c>
      <c r="CS1057">
        <f>IF($CN1057="refOK",$BS1057,$BT1057)*IF($BP1057="Emissions positive",-1,1)</f>
        <v>-407</v>
      </c>
      <c r="CT1057">
        <f t="shared" si="267"/>
        <v>-0.60899999999999999</v>
      </c>
      <c r="CU1057">
        <f t="shared" si="258"/>
        <v>-3.1567756267851473E-2</v>
      </c>
      <c r="CV1057" s="2">
        <f t="shared" si="268"/>
        <v>0.59940944881889768</v>
      </c>
      <c r="CW1057" s="1" t="s">
        <v>264</v>
      </c>
      <c r="CX1057" t="str">
        <f t="shared" si="298"/>
        <v>loc</v>
      </c>
      <c r="CY1057" t="s">
        <v>429</v>
      </c>
      <c r="DB1057">
        <v>0</v>
      </c>
      <c r="DC1057" t="str">
        <f t="shared" si="299"/>
        <v>0</v>
      </c>
      <c r="DD1057">
        <v>0</v>
      </c>
      <c r="DE1057">
        <v>1</v>
      </c>
      <c r="DF1057">
        <v>0</v>
      </c>
      <c r="DG1057">
        <v>0</v>
      </c>
      <c r="DH1057">
        <v>0</v>
      </c>
      <c r="DI1057">
        <f>SUM(DD1057:DH1057)</f>
        <v>1</v>
      </c>
      <c r="DJ1057" t="str">
        <f t="shared" si="257"/>
        <v>EnergyInput</v>
      </c>
      <c r="DK1057">
        <f t="shared" si="277"/>
        <v>0</v>
      </c>
      <c r="DL1057" t="str">
        <f t="shared" si="278"/>
        <v>Energy</v>
      </c>
      <c r="DM1057">
        <f t="shared" si="279"/>
        <v>0</v>
      </c>
      <c r="DN1057">
        <f t="shared" si="280"/>
        <v>0</v>
      </c>
      <c r="DO1057">
        <v>0</v>
      </c>
      <c r="DP1057">
        <v>0</v>
      </c>
      <c r="DQ1057">
        <v>0</v>
      </c>
      <c r="DR1057">
        <v>0</v>
      </c>
      <c r="DS1057">
        <v>0</v>
      </c>
      <c r="DT1057">
        <f t="shared" si="260"/>
        <v>0</v>
      </c>
      <c r="DU1057" t="str">
        <f t="shared" si="301"/>
        <v>explicit C balance</v>
      </c>
      <c r="DV1057">
        <v>0</v>
      </c>
      <c r="DW1057">
        <v>1</v>
      </c>
      <c r="DX1057">
        <v>0</v>
      </c>
      <c r="DY1057">
        <v>0</v>
      </c>
      <c r="DZ1057">
        <v>1</v>
      </c>
      <c r="EA1057" s="143">
        <v>0</v>
      </c>
      <c r="EB1057">
        <v>1</v>
      </c>
      <c r="EC1057">
        <v>1</v>
      </c>
      <c r="ED1057">
        <v>0</v>
      </c>
      <c r="EE1057">
        <v>0</v>
      </c>
      <c r="EF1057">
        <v>0</v>
      </c>
      <c r="EG1057">
        <v>0</v>
      </c>
      <c r="EH1057">
        <v>0</v>
      </c>
      <c r="EI1057" s="2">
        <v>0</v>
      </c>
      <c r="EK1057" t="str">
        <f t="shared" si="281"/>
        <v/>
      </c>
      <c r="EL1057" t="str">
        <f t="shared" si="282"/>
        <v/>
      </c>
      <c r="EM1057" s="2" t="str">
        <f t="shared" si="300"/>
        <v/>
      </c>
      <c r="EP1057" t="str">
        <f>IF(ISNUMBER(BU1057),IF(ABS(BU1057-[4]QC_indicators!$B$2)&gt;3*[4]QC_indicators!$C$2,"C ratio",IF(ISNUMBER(BY1057),IF(ABS(BY1057-[4]QC_indicators!$B$1)&gt;3*[4]QC_indicators!$C$1,"DF","no"))),IF(ISNUMBER(BY1057),IF(ABS(BY1057-[4]QC_indicators!$B$1)&gt;3*[4]QC_indicators!$C$1,"DF","no")))</f>
        <v>no</v>
      </c>
      <c r="ET1057" s="266" t="s">
        <v>3275</v>
      </c>
    </row>
    <row r="1058" spans="1:150" ht="15" hidden="1" customHeight="1">
      <c r="A1058" s="1" t="s">
        <v>506</v>
      </c>
      <c r="B1058" t="s">
        <v>529</v>
      </c>
      <c r="C1058" t="s">
        <v>530</v>
      </c>
      <c r="D1058" t="s">
        <v>531</v>
      </c>
      <c r="E1058" t="s">
        <v>532</v>
      </c>
      <c r="F1058" t="s">
        <v>533</v>
      </c>
      <c r="G1058" t="s">
        <v>512</v>
      </c>
      <c r="H1058" t="s">
        <v>255</v>
      </c>
      <c r="I1058">
        <v>2015</v>
      </c>
      <c r="J1058">
        <v>31</v>
      </c>
      <c r="K1058" t="s">
        <v>534</v>
      </c>
      <c r="M1058" t="str">
        <f t="shared" si="255"/>
        <v>Cambero_2015</v>
      </c>
      <c r="N1058" t="s">
        <v>223</v>
      </c>
      <c r="O1058" s="145" t="s">
        <v>224</v>
      </c>
      <c r="Q1058" t="s">
        <v>257</v>
      </c>
      <c r="R1058" s="255" t="s">
        <v>226</v>
      </c>
      <c r="S1058" s="1" t="s">
        <v>535</v>
      </c>
      <c r="T1058" t="s">
        <v>536</v>
      </c>
      <c r="U1058" t="s">
        <v>537</v>
      </c>
      <c r="V1058">
        <v>0</v>
      </c>
      <c r="W1058">
        <v>0</v>
      </c>
      <c r="X1058">
        <v>0</v>
      </c>
      <c r="Y1058">
        <v>0</v>
      </c>
      <c r="Z1058">
        <v>0</v>
      </c>
      <c r="AA1058">
        <v>0</v>
      </c>
      <c r="AB1058">
        <v>0</v>
      </c>
      <c r="AC1058">
        <v>0</v>
      </c>
      <c r="AD1058">
        <v>0</v>
      </c>
      <c r="AE1058">
        <v>0</v>
      </c>
      <c r="AF1058">
        <v>0</v>
      </c>
      <c r="AG1058">
        <v>0</v>
      </c>
      <c r="AH1058">
        <v>0</v>
      </c>
      <c r="AI1058">
        <v>0</v>
      </c>
      <c r="AJ1058">
        <v>0</v>
      </c>
      <c r="AK1058">
        <v>1</v>
      </c>
      <c r="AL1058">
        <v>0</v>
      </c>
      <c r="AM1058">
        <v>0</v>
      </c>
      <c r="AN1058">
        <v>0</v>
      </c>
      <c r="AO1058">
        <v>0</v>
      </c>
      <c r="AP1058">
        <v>0</v>
      </c>
      <c r="AQ1058">
        <v>0</v>
      </c>
      <c r="AR1058">
        <v>0</v>
      </c>
      <c r="AS1058">
        <v>0</v>
      </c>
      <c r="AT1058">
        <v>0</v>
      </c>
      <c r="AU1058">
        <v>0</v>
      </c>
      <c r="AV1058">
        <v>0</v>
      </c>
      <c r="AW1058">
        <v>0</v>
      </c>
      <c r="AX1058" s="141">
        <f t="shared" si="266"/>
        <v>1</v>
      </c>
      <c r="AY1058" s="141">
        <f t="shared" si="292"/>
        <v>1</v>
      </c>
      <c r="AZ1058">
        <f t="shared" si="293"/>
        <v>0</v>
      </c>
      <c r="BA1058">
        <f t="shared" si="294"/>
        <v>0</v>
      </c>
      <c r="BB1058">
        <f t="shared" si="295"/>
        <v>1</v>
      </c>
      <c r="BC1058">
        <f t="shared" si="296"/>
        <v>0</v>
      </c>
      <c r="BD1058">
        <f t="shared" si="297"/>
        <v>0</v>
      </c>
      <c r="BE1058" t="str">
        <f t="array" ref="BE1058">IF(AY1058=1,INDEX($V$7:$AL$7,MATCH(TRUE,INDEX($V1058:$AW1058&lt;&gt;0,),0)),IF(AY1058=0,INDEX($AM$7:$AW$7,MATCH(1,$AM1058:$AW1058,0)),IF(BF1058="Multiple strategies","mixed drivers",IF(BF1058="Supply chain","multiple supply","multiple silviculture"))))</f>
        <v>technologies/design switch</v>
      </c>
      <c r="BF1058" s="2" t="str" cm="1">
        <f t="array" ref="BF1058">IF(COUNTIF(AZ1058:BB1058,"&lt;&gt;0")=1,INDEX($V$4:$AW$4,MATCH(TRUE,INDEX($V1058:$AW1058&lt;&gt;0,),0)),IF(COUNTIF(AZ1058:BB1058,"&lt;&gt;0")=0,INDEX($AM$4:$AW$4,MATCH(1,$AM1058:$AW1058,0)),"Multiple strategies"))</f>
        <v>Technology</v>
      </c>
      <c r="BG1058" s="1" t="s">
        <v>230</v>
      </c>
      <c r="BH1058" t="s">
        <v>538</v>
      </c>
      <c r="BI1058" s="260" t="s">
        <v>3286</v>
      </c>
      <c r="BJ1058" t="s">
        <v>539</v>
      </c>
      <c r="BK1058">
        <v>0</v>
      </c>
      <c r="BL1058">
        <v>4897.9591840000003</v>
      </c>
      <c r="BN1058">
        <f t="shared" si="275"/>
        <v>4897.9591840000003</v>
      </c>
      <c r="BO1058">
        <f t="shared" ref="BO1058:BO1064" si="303">BN1058*t_to_m3</f>
        <v>9995.8350693877564</v>
      </c>
      <c r="BP1058" t="s">
        <v>233</v>
      </c>
      <c r="BQ1058" s="260" t="s">
        <v>3287</v>
      </c>
      <c r="BR1058" t="s">
        <v>540</v>
      </c>
      <c r="BS1058">
        <v>-143400</v>
      </c>
      <c r="BT1058">
        <v>-147100</v>
      </c>
      <c r="BU1058" s="144">
        <v>1.0258019525801954</v>
      </c>
      <c r="BV1058">
        <v>-3700</v>
      </c>
      <c r="BX1058">
        <f t="shared" ref="BX1058:BX1064" si="304">BV1058</f>
        <v>-3700</v>
      </c>
      <c r="BY1058">
        <f t="shared" si="262"/>
        <v>-0.37015416664198969</v>
      </c>
      <c r="BZ1058" s="143">
        <v>0</v>
      </c>
      <c r="CA1058" s="143">
        <v>0</v>
      </c>
      <c r="CB1058" s="143">
        <v>0</v>
      </c>
      <c r="CC1058" s="143">
        <v>0</v>
      </c>
      <c r="CD1058" s="143">
        <v>0</v>
      </c>
      <c r="CE1058" s="143">
        <v>0</v>
      </c>
      <c r="CF1058" s="143">
        <v>0</v>
      </c>
      <c r="CG1058" s="143">
        <v>0</v>
      </c>
      <c r="CH1058" s="143">
        <v>0</v>
      </c>
      <c r="CI1058" s="143">
        <v>0</v>
      </c>
      <c r="CJ1058" s="143">
        <v>0</v>
      </c>
      <c r="CK1058" s="143">
        <v>0</v>
      </c>
      <c r="CL1058" s="143">
        <v>0</v>
      </c>
      <c r="CM1058">
        <v>1</v>
      </c>
      <c r="CN1058" t="str">
        <f t="shared" si="302"/>
        <v>refOK</v>
      </c>
      <c r="CO1058">
        <f t="shared" ref="CO1058:CO1064" si="305">IF($CN1058="refNeedCorrection",BL1058,BK1058)</f>
        <v>0</v>
      </c>
      <c r="CP1058">
        <f t="shared" ref="CP1058:CP1064" si="306">IF($CN1058="refNeedCorrection",BK1058,BL1058)</f>
        <v>4897.9591840000003</v>
      </c>
      <c r="CQ1058">
        <f t="shared" si="274"/>
        <v>9995.8350693877564</v>
      </c>
      <c r="CR1058">
        <f t="shared" ref="CR1058:CR1089" si="307">IF($CN1058="refOK",$BS1058,$BT1058)*IF($BP1058="Emissions positive",-1,1)</f>
        <v>-143400</v>
      </c>
      <c r="CS1058">
        <f t="shared" ref="CS1058:CS1089" si="308">IF($CN1058="refOK",$BT1058,$BS1058)*IF($BP1058="Emissions positive",-1,1)</f>
        <v>-147100</v>
      </c>
      <c r="CT1058">
        <f t="shared" si="267"/>
        <v>-3700</v>
      </c>
      <c r="CU1058">
        <f t="shared" si="258"/>
        <v>-0.37015416664198969</v>
      </c>
      <c r="CV1058" s="2">
        <f t="shared" si="268"/>
        <v>-2.5801952580195259E-2</v>
      </c>
      <c r="CW1058" s="1" t="s">
        <v>348</v>
      </c>
      <c r="CX1058" t="str">
        <f t="shared" si="298"/>
        <v>loc</v>
      </c>
      <c r="CY1058" t="s">
        <v>541</v>
      </c>
      <c r="DB1058">
        <v>0</v>
      </c>
      <c r="DC1058" t="str">
        <f t="shared" si="299"/>
        <v>0</v>
      </c>
      <c r="DD1058">
        <v>0</v>
      </c>
      <c r="DE1058">
        <v>1</v>
      </c>
      <c r="DF1058">
        <v>0</v>
      </c>
      <c r="DG1058">
        <v>0</v>
      </c>
      <c r="DI1058">
        <f t="shared" ref="DI1058:DI1073" si="309">SUM(DD1058:DG1058)</f>
        <v>1</v>
      </c>
      <c r="DJ1058" t="str">
        <f t="shared" si="257"/>
        <v>EnergyInput</v>
      </c>
      <c r="DK1058">
        <f t="shared" si="277"/>
        <v>0</v>
      </c>
      <c r="DL1058" t="str">
        <f t="shared" si="278"/>
        <v>Energy</v>
      </c>
      <c r="DM1058">
        <f t="shared" si="279"/>
        <v>0</v>
      </c>
      <c r="DN1058">
        <f t="shared" si="280"/>
        <v>0</v>
      </c>
      <c r="DO1058">
        <v>0</v>
      </c>
      <c r="DP1058" s="143">
        <v>0</v>
      </c>
      <c r="DQ1058" s="143">
        <v>0</v>
      </c>
      <c r="DR1058" s="143">
        <v>0</v>
      </c>
      <c r="DS1058">
        <v>0</v>
      </c>
      <c r="DT1058">
        <f t="shared" si="260"/>
        <v>0</v>
      </c>
      <c r="DU1058" s="143" t="str">
        <f t="shared" si="301"/>
        <v>explicit C balance</v>
      </c>
      <c r="DV1058">
        <v>0</v>
      </c>
      <c r="DW1058" s="143">
        <v>1</v>
      </c>
      <c r="DX1058" s="143">
        <v>0</v>
      </c>
      <c r="DY1058" s="143">
        <v>0</v>
      </c>
      <c r="DZ1058">
        <v>1</v>
      </c>
      <c r="EA1058" s="143">
        <v>0</v>
      </c>
      <c r="EB1058">
        <v>0</v>
      </c>
      <c r="EC1058" s="143">
        <v>1</v>
      </c>
      <c r="ED1058" s="143">
        <v>0</v>
      </c>
      <c r="EE1058">
        <v>0</v>
      </c>
      <c r="EF1058">
        <v>0</v>
      </c>
      <c r="EG1058" s="143">
        <v>0</v>
      </c>
      <c r="EH1058" s="143">
        <v>0</v>
      </c>
      <c r="EI1058" s="2">
        <v>0</v>
      </c>
      <c r="EK1058" t="str">
        <f t="shared" si="281"/>
        <v/>
      </c>
      <c r="EL1058" t="str">
        <f t="shared" si="282"/>
        <v/>
      </c>
      <c r="EM1058" s="2" t="str">
        <f t="shared" si="300"/>
        <v/>
      </c>
      <c r="EP1058" t="str">
        <f>IF(ISNUMBER(BU1058),IF(ABS(BU1058-[4]QC_indicators!$B$2)&gt;3*[4]QC_indicators!$C$2,"C ratio",IF(ISNUMBER(BY1058),IF(ABS(BY1058-[4]QC_indicators!$B$1)&gt;3*[4]QC_indicators!$C$1,"DF","no"))),IF(ISNUMBER(BY1058),IF(ABS(BY1058-[4]QC_indicators!$B$1)&gt;3*[4]QC_indicators!$C$1,"DF","no")))</f>
        <v>no</v>
      </c>
      <c r="ER1058" s="149" t="s">
        <v>350</v>
      </c>
      <c r="ET1058" s="266" t="s">
        <v>3275</v>
      </c>
    </row>
    <row r="1059" spans="1:150" ht="15" hidden="1" customHeight="1">
      <c r="A1059" s="1" t="s">
        <v>506</v>
      </c>
      <c r="B1059" t="s">
        <v>529</v>
      </c>
      <c r="C1059" t="s">
        <v>530</v>
      </c>
      <c r="D1059" t="s">
        <v>531</v>
      </c>
      <c r="E1059" t="s">
        <v>532</v>
      </c>
      <c r="F1059" t="s">
        <v>533</v>
      </c>
      <c r="G1059" t="s">
        <v>512</v>
      </c>
      <c r="H1059" t="s">
        <v>255</v>
      </c>
      <c r="I1059">
        <v>2015</v>
      </c>
      <c r="J1059">
        <v>31</v>
      </c>
      <c r="K1059" t="s">
        <v>534</v>
      </c>
      <c r="M1059" t="str">
        <f t="shared" si="255"/>
        <v>Cambero_2015</v>
      </c>
      <c r="N1059" t="s">
        <v>223</v>
      </c>
      <c r="O1059" s="145" t="s">
        <v>224</v>
      </c>
      <c r="Q1059" t="s">
        <v>257</v>
      </c>
      <c r="R1059" s="255" t="s">
        <v>226</v>
      </c>
      <c r="S1059" s="1" t="s">
        <v>535</v>
      </c>
      <c r="T1059" t="s">
        <v>536</v>
      </c>
      <c r="U1059" t="s">
        <v>542</v>
      </c>
      <c r="V1059">
        <v>0</v>
      </c>
      <c r="W1059">
        <v>0</v>
      </c>
      <c r="X1059">
        <v>0</v>
      </c>
      <c r="Y1059">
        <v>0</v>
      </c>
      <c r="Z1059">
        <v>0</v>
      </c>
      <c r="AA1059">
        <v>0</v>
      </c>
      <c r="AB1059">
        <v>0</v>
      </c>
      <c r="AC1059">
        <v>0</v>
      </c>
      <c r="AD1059">
        <v>0</v>
      </c>
      <c r="AE1059">
        <v>0</v>
      </c>
      <c r="AF1059">
        <v>0</v>
      </c>
      <c r="AG1059">
        <v>0</v>
      </c>
      <c r="AH1059">
        <v>0</v>
      </c>
      <c r="AI1059">
        <v>0</v>
      </c>
      <c r="AJ1059">
        <v>0</v>
      </c>
      <c r="AK1059">
        <v>1</v>
      </c>
      <c r="AL1059">
        <v>0</v>
      </c>
      <c r="AM1059">
        <v>0</v>
      </c>
      <c r="AN1059">
        <v>0</v>
      </c>
      <c r="AO1059">
        <v>0</v>
      </c>
      <c r="AP1059">
        <v>0</v>
      </c>
      <c r="AQ1059">
        <v>0</v>
      </c>
      <c r="AR1059">
        <v>0</v>
      </c>
      <c r="AS1059">
        <v>0</v>
      </c>
      <c r="AT1059">
        <v>0</v>
      </c>
      <c r="AU1059">
        <v>0</v>
      </c>
      <c r="AV1059">
        <v>0</v>
      </c>
      <c r="AW1059">
        <v>0</v>
      </c>
      <c r="AX1059" s="141">
        <f t="shared" si="266"/>
        <v>1</v>
      </c>
      <c r="AY1059" s="141">
        <f t="shared" si="292"/>
        <v>1</v>
      </c>
      <c r="AZ1059">
        <f t="shared" si="293"/>
        <v>0</v>
      </c>
      <c r="BA1059">
        <f t="shared" si="294"/>
        <v>0</v>
      </c>
      <c r="BB1059">
        <f t="shared" si="295"/>
        <v>1</v>
      </c>
      <c r="BC1059">
        <f t="shared" si="296"/>
        <v>0</v>
      </c>
      <c r="BD1059">
        <f t="shared" si="297"/>
        <v>0</v>
      </c>
      <c r="BE1059" t="str">
        <f t="array" ref="BE1059">IF(AY1059=1,INDEX($V$7:$AL$7,MATCH(TRUE,INDEX($V1059:$AW1059&lt;&gt;0,),0)),IF(AY1059=0,INDEX($AM$7:$AW$7,MATCH(1,$AM1059:$AW1059,0)),IF(BF1059="Multiple strategies","mixed drivers",IF(BF1059="Supply chain","multiple supply","multiple silviculture"))))</f>
        <v>technologies/design switch</v>
      </c>
      <c r="BF1059" s="2" t="str" cm="1">
        <f t="array" ref="BF1059">IF(COUNTIF(AZ1059:BB1059,"&lt;&gt;0")=1,INDEX($V$4:$AW$4,MATCH(TRUE,INDEX($V1059:$AW1059&lt;&gt;0,),0)),IF(COUNTIF(AZ1059:BB1059,"&lt;&gt;0")=0,INDEX($AM$4:$AW$4,MATCH(1,$AM1059:$AW1059,0)),"Multiple strategies"))</f>
        <v>Technology</v>
      </c>
      <c r="BG1059" s="1" t="s">
        <v>230</v>
      </c>
      <c r="BH1059" t="s">
        <v>538</v>
      </c>
      <c r="BI1059" s="260" t="s">
        <v>3286</v>
      </c>
      <c r="BJ1059" t="s">
        <v>539</v>
      </c>
      <c r="BK1059">
        <v>0</v>
      </c>
      <c r="BL1059">
        <v>5986.394558</v>
      </c>
      <c r="BN1059">
        <f t="shared" si="275"/>
        <v>5986.394558</v>
      </c>
      <c r="BO1059">
        <f t="shared" si="303"/>
        <v>12217.131751020408</v>
      </c>
      <c r="BP1059" t="s">
        <v>233</v>
      </c>
      <c r="BQ1059" s="260" t="s">
        <v>3287</v>
      </c>
      <c r="BR1059" t="s">
        <v>540</v>
      </c>
      <c r="BS1059">
        <v>-143400</v>
      </c>
      <c r="BT1059">
        <v>-147200</v>
      </c>
      <c r="BU1059" s="144">
        <v>1.0264993026499303</v>
      </c>
      <c r="BV1059">
        <v>-3800</v>
      </c>
      <c r="BX1059">
        <f t="shared" si="304"/>
        <v>-3800</v>
      </c>
      <c r="BY1059">
        <f t="shared" si="262"/>
        <v>-0.31103863635444656</v>
      </c>
      <c r="BZ1059" s="143">
        <v>0</v>
      </c>
      <c r="CA1059" s="143">
        <v>0</v>
      </c>
      <c r="CB1059" s="143">
        <v>0</v>
      </c>
      <c r="CC1059" s="143">
        <v>0</v>
      </c>
      <c r="CD1059" s="143">
        <v>0</v>
      </c>
      <c r="CE1059" s="143">
        <v>0</v>
      </c>
      <c r="CF1059" s="143">
        <v>0</v>
      </c>
      <c r="CG1059" s="143">
        <v>0</v>
      </c>
      <c r="CH1059" s="143">
        <v>0</v>
      </c>
      <c r="CI1059" s="143">
        <v>0</v>
      </c>
      <c r="CJ1059" s="143">
        <v>0</v>
      </c>
      <c r="CK1059" s="143">
        <v>0</v>
      </c>
      <c r="CL1059" s="143">
        <v>0</v>
      </c>
      <c r="CM1059">
        <v>1</v>
      </c>
      <c r="CN1059" t="str">
        <f t="shared" si="302"/>
        <v>refOK</v>
      </c>
      <c r="CO1059">
        <f t="shared" si="305"/>
        <v>0</v>
      </c>
      <c r="CP1059">
        <f t="shared" si="306"/>
        <v>5986.394558</v>
      </c>
      <c r="CQ1059">
        <f t="shared" si="274"/>
        <v>12217.131751020408</v>
      </c>
      <c r="CR1059">
        <f t="shared" si="307"/>
        <v>-143400</v>
      </c>
      <c r="CS1059">
        <f t="shared" si="308"/>
        <v>-147200</v>
      </c>
      <c r="CT1059">
        <f t="shared" si="267"/>
        <v>-3800</v>
      </c>
      <c r="CU1059">
        <f t="shared" si="258"/>
        <v>-0.31103863635444656</v>
      </c>
      <c r="CV1059" s="2">
        <f t="shared" si="268"/>
        <v>-2.6499302649930265E-2</v>
      </c>
      <c r="CW1059" s="1" t="s">
        <v>348</v>
      </c>
      <c r="CX1059" t="str">
        <f t="shared" si="298"/>
        <v>loc</v>
      </c>
      <c r="CY1059" t="s">
        <v>541</v>
      </c>
      <c r="DB1059">
        <v>0</v>
      </c>
      <c r="DC1059" t="str">
        <f t="shared" si="299"/>
        <v>0</v>
      </c>
      <c r="DD1059">
        <v>0</v>
      </c>
      <c r="DE1059">
        <v>1</v>
      </c>
      <c r="DF1059">
        <v>0</v>
      </c>
      <c r="DG1059">
        <v>0</v>
      </c>
      <c r="DI1059">
        <f t="shared" si="309"/>
        <v>1</v>
      </c>
      <c r="DJ1059" t="str">
        <f t="shared" si="257"/>
        <v>EnergyInput</v>
      </c>
      <c r="DK1059">
        <f t="shared" si="277"/>
        <v>0</v>
      </c>
      <c r="DL1059" t="str">
        <f t="shared" si="278"/>
        <v>Energy</v>
      </c>
      <c r="DM1059">
        <f t="shared" si="279"/>
        <v>0</v>
      </c>
      <c r="DN1059">
        <f t="shared" si="280"/>
        <v>0</v>
      </c>
      <c r="DO1059">
        <v>0</v>
      </c>
      <c r="DP1059" s="143">
        <v>0</v>
      </c>
      <c r="DQ1059" s="143">
        <v>0</v>
      </c>
      <c r="DR1059" s="143">
        <v>0</v>
      </c>
      <c r="DS1059">
        <v>0</v>
      </c>
      <c r="DT1059">
        <f t="shared" si="260"/>
        <v>0</v>
      </c>
      <c r="DU1059" s="143" t="str">
        <f t="shared" si="301"/>
        <v>explicit C balance</v>
      </c>
      <c r="DV1059">
        <v>0</v>
      </c>
      <c r="DW1059" s="143">
        <v>1</v>
      </c>
      <c r="DX1059" s="143">
        <v>0</v>
      </c>
      <c r="DY1059" s="143">
        <v>0</v>
      </c>
      <c r="DZ1059">
        <v>1</v>
      </c>
      <c r="EA1059" s="143">
        <v>0</v>
      </c>
      <c r="EB1059">
        <v>0</v>
      </c>
      <c r="EC1059" s="143">
        <v>1</v>
      </c>
      <c r="ED1059" s="143">
        <v>0</v>
      </c>
      <c r="EE1059">
        <v>0</v>
      </c>
      <c r="EF1059">
        <v>0</v>
      </c>
      <c r="EG1059" s="143">
        <v>0</v>
      </c>
      <c r="EH1059" s="143">
        <v>0</v>
      </c>
      <c r="EI1059" s="2">
        <v>0</v>
      </c>
      <c r="EK1059" t="str">
        <f t="shared" si="281"/>
        <v/>
      </c>
      <c r="EL1059" t="str">
        <f t="shared" si="282"/>
        <v/>
      </c>
      <c r="EM1059" s="2" t="str">
        <f t="shared" si="300"/>
        <v/>
      </c>
      <c r="EP1059" t="str">
        <f>IF(ISNUMBER(BU1059),IF(ABS(BU1059-[4]QC_indicators!$B$2)&gt;3*[4]QC_indicators!$C$2,"C ratio",IF(ISNUMBER(BY1059),IF(ABS(BY1059-[4]QC_indicators!$B$1)&gt;3*[4]QC_indicators!$C$1,"DF","no"))),IF(ISNUMBER(BY1059),IF(ABS(BY1059-[4]QC_indicators!$B$1)&gt;3*[4]QC_indicators!$C$1,"DF","no")))</f>
        <v>no</v>
      </c>
      <c r="ER1059" s="149" t="s">
        <v>350</v>
      </c>
      <c r="ET1059" s="266" t="s">
        <v>3275</v>
      </c>
    </row>
    <row r="1060" spans="1:150" ht="15" hidden="1" customHeight="1">
      <c r="A1060" s="1" t="s">
        <v>506</v>
      </c>
      <c r="B1060" t="s">
        <v>529</v>
      </c>
      <c r="C1060" t="s">
        <v>530</v>
      </c>
      <c r="D1060" t="s">
        <v>531</v>
      </c>
      <c r="E1060" t="s">
        <v>532</v>
      </c>
      <c r="F1060" t="s">
        <v>533</v>
      </c>
      <c r="G1060" t="s">
        <v>512</v>
      </c>
      <c r="H1060" t="s">
        <v>255</v>
      </c>
      <c r="I1060">
        <v>2015</v>
      </c>
      <c r="J1060">
        <v>31</v>
      </c>
      <c r="K1060" t="s">
        <v>534</v>
      </c>
      <c r="M1060" t="str">
        <f t="shared" si="255"/>
        <v>Cambero_2015</v>
      </c>
      <c r="N1060" t="s">
        <v>223</v>
      </c>
      <c r="O1060" s="145" t="s">
        <v>224</v>
      </c>
      <c r="Q1060" t="s">
        <v>257</v>
      </c>
      <c r="R1060" s="255" t="s">
        <v>226</v>
      </c>
      <c r="S1060" s="1" t="s">
        <v>535</v>
      </c>
      <c r="T1060" t="s">
        <v>536</v>
      </c>
      <c r="U1060" t="s">
        <v>543</v>
      </c>
      <c r="V1060">
        <v>0</v>
      </c>
      <c r="W1060">
        <v>0</v>
      </c>
      <c r="X1060">
        <v>0</v>
      </c>
      <c r="Y1060">
        <v>0</v>
      </c>
      <c r="Z1060">
        <v>0</v>
      </c>
      <c r="AA1060">
        <v>0</v>
      </c>
      <c r="AB1060">
        <v>0</v>
      </c>
      <c r="AC1060">
        <v>0</v>
      </c>
      <c r="AD1060">
        <v>0</v>
      </c>
      <c r="AE1060">
        <v>0</v>
      </c>
      <c r="AF1060">
        <v>0</v>
      </c>
      <c r="AG1060">
        <v>0</v>
      </c>
      <c r="AH1060">
        <v>0</v>
      </c>
      <c r="AI1060">
        <v>0</v>
      </c>
      <c r="AJ1060">
        <v>0</v>
      </c>
      <c r="AK1060">
        <v>1</v>
      </c>
      <c r="AL1060">
        <v>0</v>
      </c>
      <c r="AM1060">
        <v>0</v>
      </c>
      <c r="AN1060">
        <v>0</v>
      </c>
      <c r="AO1060">
        <v>0</v>
      </c>
      <c r="AP1060">
        <v>0</v>
      </c>
      <c r="AQ1060">
        <v>0</v>
      </c>
      <c r="AR1060">
        <v>0</v>
      </c>
      <c r="AS1060">
        <v>0</v>
      </c>
      <c r="AT1060">
        <v>0</v>
      </c>
      <c r="AU1060">
        <v>0</v>
      </c>
      <c r="AV1060">
        <v>0</v>
      </c>
      <c r="AW1060">
        <v>0</v>
      </c>
      <c r="AX1060" s="141">
        <f t="shared" si="266"/>
        <v>1</v>
      </c>
      <c r="AY1060" s="141">
        <f t="shared" si="292"/>
        <v>1</v>
      </c>
      <c r="AZ1060">
        <f t="shared" si="293"/>
        <v>0</v>
      </c>
      <c r="BA1060">
        <f t="shared" si="294"/>
        <v>0</v>
      </c>
      <c r="BB1060">
        <f t="shared" si="295"/>
        <v>1</v>
      </c>
      <c r="BC1060">
        <f t="shared" si="296"/>
        <v>0</v>
      </c>
      <c r="BD1060">
        <f t="shared" si="297"/>
        <v>0</v>
      </c>
      <c r="BE1060" t="str">
        <f t="array" ref="BE1060">IF(AY1060=1,INDEX($V$7:$AL$7,MATCH(TRUE,INDEX($V1060:$AW1060&lt;&gt;0,),0)),IF(AY1060=0,INDEX($AM$7:$AW$7,MATCH(1,$AM1060:$AW1060,0)),IF(BF1060="Multiple strategies","mixed drivers",IF(BF1060="Supply chain","multiple supply","multiple silviculture"))))</f>
        <v>technologies/design switch</v>
      </c>
      <c r="BF1060" s="2" t="str" cm="1">
        <f t="array" ref="BF1060">IF(COUNTIF(AZ1060:BB1060,"&lt;&gt;0")=1,INDEX($V$4:$AW$4,MATCH(TRUE,INDEX($V1060:$AW1060&lt;&gt;0,),0)),IF(COUNTIF(AZ1060:BB1060,"&lt;&gt;0")=0,INDEX($AM$4:$AW$4,MATCH(1,$AM1060:$AW1060,0)),"Multiple strategies"))</f>
        <v>Technology</v>
      </c>
      <c r="BG1060" s="1" t="s">
        <v>230</v>
      </c>
      <c r="BH1060" t="s">
        <v>538</v>
      </c>
      <c r="BI1060" s="260" t="s">
        <v>3286</v>
      </c>
      <c r="BJ1060" t="s">
        <v>539</v>
      </c>
      <c r="BK1060">
        <v>0</v>
      </c>
      <c r="BL1060">
        <v>7619.0476189999999</v>
      </c>
      <c r="BN1060">
        <f t="shared" si="275"/>
        <v>7619.0476189999999</v>
      </c>
      <c r="BO1060">
        <f t="shared" si="303"/>
        <v>15549.076773469387</v>
      </c>
      <c r="BP1060" t="s">
        <v>233</v>
      </c>
      <c r="BQ1060" s="260" t="s">
        <v>3287</v>
      </c>
      <c r="BR1060" t="s">
        <v>540</v>
      </c>
      <c r="BS1060">
        <v>-143400</v>
      </c>
      <c r="BT1060">
        <v>-148200</v>
      </c>
      <c r="BU1060" s="144">
        <v>1.0334728033472804</v>
      </c>
      <c r="BV1060">
        <v>-4800</v>
      </c>
      <c r="BX1060">
        <f t="shared" si="304"/>
        <v>-4800</v>
      </c>
      <c r="BY1060">
        <f t="shared" si="262"/>
        <v>-0.30870000000192938</v>
      </c>
      <c r="BZ1060" s="143">
        <v>0</v>
      </c>
      <c r="CA1060" s="143">
        <v>0</v>
      </c>
      <c r="CB1060" s="143">
        <v>0</v>
      </c>
      <c r="CC1060" s="143">
        <v>0</v>
      </c>
      <c r="CD1060" s="143">
        <v>0</v>
      </c>
      <c r="CE1060" s="143">
        <v>0</v>
      </c>
      <c r="CF1060" s="143">
        <v>0</v>
      </c>
      <c r="CG1060" s="143">
        <v>0</v>
      </c>
      <c r="CH1060" s="143">
        <v>0</v>
      </c>
      <c r="CI1060" s="143">
        <v>0</v>
      </c>
      <c r="CJ1060" s="143">
        <v>0</v>
      </c>
      <c r="CK1060" s="143">
        <v>0</v>
      </c>
      <c r="CL1060" s="143">
        <v>0</v>
      </c>
      <c r="CM1060">
        <v>1</v>
      </c>
      <c r="CN1060" t="str">
        <f t="shared" si="302"/>
        <v>refOK</v>
      </c>
      <c r="CO1060">
        <f t="shared" si="305"/>
        <v>0</v>
      </c>
      <c r="CP1060">
        <f t="shared" si="306"/>
        <v>7619.0476189999999</v>
      </c>
      <c r="CQ1060">
        <f t="shared" si="274"/>
        <v>15549.076773469387</v>
      </c>
      <c r="CR1060">
        <f t="shared" si="307"/>
        <v>-143400</v>
      </c>
      <c r="CS1060">
        <f t="shared" si="308"/>
        <v>-148200</v>
      </c>
      <c r="CT1060">
        <f t="shared" si="267"/>
        <v>-4800</v>
      </c>
      <c r="CU1060">
        <f t="shared" si="258"/>
        <v>-0.30870000000192938</v>
      </c>
      <c r="CV1060" s="2">
        <f t="shared" si="268"/>
        <v>-3.3472803347280332E-2</v>
      </c>
      <c r="CW1060" s="1" t="s">
        <v>348</v>
      </c>
      <c r="CX1060" t="str">
        <f t="shared" si="298"/>
        <v>loc</v>
      </c>
      <c r="CY1060" t="s">
        <v>541</v>
      </c>
      <c r="DB1060">
        <v>0</v>
      </c>
      <c r="DC1060" t="str">
        <f t="shared" si="299"/>
        <v>0</v>
      </c>
      <c r="DD1060">
        <v>0</v>
      </c>
      <c r="DE1060">
        <v>1</v>
      </c>
      <c r="DF1060">
        <v>0</v>
      </c>
      <c r="DG1060">
        <v>0</v>
      </c>
      <c r="DI1060">
        <f t="shared" si="309"/>
        <v>1</v>
      </c>
      <c r="DJ1060" t="str">
        <f t="shared" si="257"/>
        <v>EnergyInput</v>
      </c>
      <c r="DK1060">
        <f t="shared" si="277"/>
        <v>0</v>
      </c>
      <c r="DL1060" t="str">
        <f t="shared" si="278"/>
        <v>Energy</v>
      </c>
      <c r="DM1060">
        <f t="shared" si="279"/>
        <v>0</v>
      </c>
      <c r="DN1060">
        <f t="shared" si="280"/>
        <v>0</v>
      </c>
      <c r="DO1060">
        <v>0</v>
      </c>
      <c r="DP1060" s="143">
        <v>0</v>
      </c>
      <c r="DQ1060" s="143">
        <v>0</v>
      </c>
      <c r="DR1060" s="143">
        <v>0</v>
      </c>
      <c r="DS1060">
        <v>0</v>
      </c>
      <c r="DT1060">
        <f t="shared" si="260"/>
        <v>0</v>
      </c>
      <c r="DU1060" s="143" t="str">
        <f t="shared" si="301"/>
        <v>explicit C balance</v>
      </c>
      <c r="DV1060">
        <v>0</v>
      </c>
      <c r="DW1060" s="143">
        <v>1</v>
      </c>
      <c r="DX1060" s="143">
        <v>0</v>
      </c>
      <c r="DY1060" s="143">
        <v>0</v>
      </c>
      <c r="DZ1060">
        <v>1</v>
      </c>
      <c r="EA1060" s="143">
        <v>0</v>
      </c>
      <c r="EB1060">
        <v>0</v>
      </c>
      <c r="EC1060" s="143">
        <v>1</v>
      </c>
      <c r="ED1060" s="143">
        <v>0</v>
      </c>
      <c r="EE1060">
        <v>0</v>
      </c>
      <c r="EF1060">
        <v>0</v>
      </c>
      <c r="EG1060" s="143">
        <v>0</v>
      </c>
      <c r="EH1060" s="143">
        <v>0</v>
      </c>
      <c r="EI1060" s="2">
        <v>0</v>
      </c>
      <c r="EK1060" t="str">
        <f t="shared" si="281"/>
        <v/>
      </c>
      <c r="EL1060" t="str">
        <f t="shared" si="282"/>
        <v/>
      </c>
      <c r="EM1060" s="2" t="str">
        <f t="shared" si="300"/>
        <v/>
      </c>
      <c r="EP1060" t="str">
        <f>IF(ISNUMBER(BU1060),IF(ABS(BU1060-[4]QC_indicators!$B$2)&gt;3*[4]QC_indicators!$C$2,"C ratio",IF(ISNUMBER(BY1060),IF(ABS(BY1060-[4]QC_indicators!$B$1)&gt;3*[4]QC_indicators!$C$1,"DF","no"))),IF(ISNUMBER(BY1060),IF(ABS(BY1060-[4]QC_indicators!$B$1)&gt;3*[4]QC_indicators!$C$1,"DF","no")))</f>
        <v>no</v>
      </c>
      <c r="ER1060" s="149" t="s">
        <v>350</v>
      </c>
      <c r="ET1060" s="266" t="s">
        <v>3275</v>
      </c>
    </row>
    <row r="1061" spans="1:150" ht="15" hidden="1" customHeight="1">
      <c r="A1061" s="1" t="s">
        <v>506</v>
      </c>
      <c r="B1061" t="s">
        <v>529</v>
      </c>
      <c r="C1061" t="s">
        <v>530</v>
      </c>
      <c r="D1061" t="s">
        <v>531</v>
      </c>
      <c r="E1061" t="s">
        <v>532</v>
      </c>
      <c r="F1061" t="s">
        <v>533</v>
      </c>
      <c r="G1061" t="s">
        <v>512</v>
      </c>
      <c r="H1061" t="s">
        <v>255</v>
      </c>
      <c r="I1061">
        <v>2015</v>
      </c>
      <c r="J1061">
        <v>31</v>
      </c>
      <c r="K1061" t="s">
        <v>534</v>
      </c>
      <c r="M1061" t="str">
        <f t="shared" si="255"/>
        <v>Cambero_2015</v>
      </c>
      <c r="N1061" t="s">
        <v>223</v>
      </c>
      <c r="O1061" s="145" t="s">
        <v>224</v>
      </c>
      <c r="Q1061" t="s">
        <v>257</v>
      </c>
      <c r="R1061" s="255" t="s">
        <v>226</v>
      </c>
      <c r="S1061" s="1" t="s">
        <v>535</v>
      </c>
      <c r="T1061" t="s">
        <v>536</v>
      </c>
      <c r="U1061" t="s">
        <v>544</v>
      </c>
      <c r="V1061">
        <v>0</v>
      </c>
      <c r="W1061">
        <v>0</v>
      </c>
      <c r="X1061">
        <v>0</v>
      </c>
      <c r="Y1061">
        <v>0</v>
      </c>
      <c r="Z1061">
        <v>0</v>
      </c>
      <c r="AA1061">
        <v>0</v>
      </c>
      <c r="AB1061">
        <v>0</v>
      </c>
      <c r="AC1061">
        <v>0</v>
      </c>
      <c r="AD1061">
        <v>0</v>
      </c>
      <c r="AE1061">
        <v>0</v>
      </c>
      <c r="AF1061">
        <v>0</v>
      </c>
      <c r="AG1061">
        <v>0</v>
      </c>
      <c r="AH1061">
        <v>0</v>
      </c>
      <c r="AI1061">
        <v>0</v>
      </c>
      <c r="AJ1061">
        <v>0</v>
      </c>
      <c r="AK1061">
        <v>1</v>
      </c>
      <c r="AL1061">
        <v>0</v>
      </c>
      <c r="AM1061">
        <v>0</v>
      </c>
      <c r="AN1061">
        <v>0</v>
      </c>
      <c r="AO1061">
        <v>0</v>
      </c>
      <c r="AP1061">
        <v>0</v>
      </c>
      <c r="AQ1061">
        <v>0</v>
      </c>
      <c r="AR1061">
        <v>0</v>
      </c>
      <c r="AS1061">
        <v>0</v>
      </c>
      <c r="AT1061">
        <v>0</v>
      </c>
      <c r="AU1061">
        <v>0</v>
      </c>
      <c r="AV1061">
        <v>0</v>
      </c>
      <c r="AW1061">
        <v>0</v>
      </c>
      <c r="AX1061" s="141">
        <f t="shared" si="266"/>
        <v>1</v>
      </c>
      <c r="AY1061" s="141">
        <f t="shared" si="292"/>
        <v>1</v>
      </c>
      <c r="AZ1061">
        <f t="shared" si="293"/>
        <v>0</v>
      </c>
      <c r="BA1061">
        <f t="shared" si="294"/>
        <v>0</v>
      </c>
      <c r="BB1061">
        <f t="shared" si="295"/>
        <v>1</v>
      </c>
      <c r="BC1061">
        <f t="shared" si="296"/>
        <v>0</v>
      </c>
      <c r="BD1061">
        <f t="shared" si="297"/>
        <v>0</v>
      </c>
      <c r="BE1061" t="str">
        <f t="array" ref="BE1061">IF(AY1061=1,INDEX($V$7:$AL$7,MATCH(TRUE,INDEX($V1061:$AW1061&lt;&gt;0,),0)),IF(AY1061=0,INDEX($AM$7:$AW$7,MATCH(1,$AM1061:$AW1061,0)),IF(BF1061="Multiple strategies","mixed drivers",IF(BF1061="Supply chain","multiple supply","multiple silviculture"))))</f>
        <v>technologies/design switch</v>
      </c>
      <c r="BF1061" s="2" t="str" cm="1">
        <f t="array" ref="BF1061">IF(COUNTIF(AZ1061:BB1061,"&lt;&gt;0")=1,INDEX($V$4:$AW$4,MATCH(TRUE,INDEX($V1061:$AW1061&lt;&gt;0,),0)),IF(COUNTIF(AZ1061:BB1061,"&lt;&gt;0")=0,INDEX($AM$4:$AW$4,MATCH(1,$AM1061:$AW1061,0)),"Multiple strategies"))</f>
        <v>Technology</v>
      </c>
      <c r="BG1061" s="1" t="s">
        <v>230</v>
      </c>
      <c r="BH1061" t="s">
        <v>538</v>
      </c>
      <c r="BI1061" s="260" t="s">
        <v>3286</v>
      </c>
      <c r="BJ1061" t="s">
        <v>539</v>
      </c>
      <c r="BK1061">
        <v>0</v>
      </c>
      <c r="BL1061">
        <v>6530.6122450000003</v>
      </c>
      <c r="BN1061">
        <f t="shared" si="275"/>
        <v>6530.6122450000003</v>
      </c>
      <c r="BO1061">
        <f t="shared" si="303"/>
        <v>13327.780091836736</v>
      </c>
      <c r="BP1061" t="s">
        <v>233</v>
      </c>
      <c r="BQ1061" s="260" t="s">
        <v>3287</v>
      </c>
      <c r="BR1061" t="s">
        <v>540</v>
      </c>
      <c r="BS1061">
        <v>-143400</v>
      </c>
      <c r="BT1061">
        <v>-147500</v>
      </c>
      <c r="BU1061" s="144">
        <v>1.0285913528591353</v>
      </c>
      <c r="BV1061">
        <v>-4100</v>
      </c>
      <c r="BX1061">
        <f t="shared" si="304"/>
        <v>-4100</v>
      </c>
      <c r="BY1061">
        <f t="shared" si="262"/>
        <v>-0.30762812499519326</v>
      </c>
      <c r="BZ1061" s="143">
        <v>0</v>
      </c>
      <c r="CA1061" s="143">
        <v>0</v>
      </c>
      <c r="CB1061" s="143">
        <v>0</v>
      </c>
      <c r="CC1061" s="143">
        <v>0</v>
      </c>
      <c r="CD1061" s="143">
        <v>0</v>
      </c>
      <c r="CE1061" s="143">
        <v>0</v>
      </c>
      <c r="CF1061" s="143">
        <v>0</v>
      </c>
      <c r="CG1061" s="143">
        <v>0</v>
      </c>
      <c r="CH1061" s="143">
        <v>0</v>
      </c>
      <c r="CI1061" s="143">
        <v>0</v>
      </c>
      <c r="CJ1061" s="143">
        <v>0</v>
      </c>
      <c r="CK1061" s="143">
        <v>0</v>
      </c>
      <c r="CL1061" s="143">
        <v>0</v>
      </c>
      <c r="CM1061">
        <v>1</v>
      </c>
      <c r="CN1061" t="str">
        <f t="shared" si="302"/>
        <v>refOK</v>
      </c>
      <c r="CO1061">
        <f t="shared" si="305"/>
        <v>0</v>
      </c>
      <c r="CP1061">
        <f t="shared" si="306"/>
        <v>6530.6122450000003</v>
      </c>
      <c r="CQ1061">
        <f t="shared" si="274"/>
        <v>13327.780091836736</v>
      </c>
      <c r="CR1061">
        <f t="shared" si="307"/>
        <v>-143400</v>
      </c>
      <c r="CS1061">
        <f t="shared" si="308"/>
        <v>-147500</v>
      </c>
      <c r="CT1061">
        <f t="shared" si="267"/>
        <v>-4100</v>
      </c>
      <c r="CU1061">
        <f t="shared" si="258"/>
        <v>-0.30762812499519326</v>
      </c>
      <c r="CV1061" s="2">
        <f t="shared" si="268"/>
        <v>-2.8591352859135284E-2</v>
      </c>
      <c r="CW1061" s="1" t="s">
        <v>348</v>
      </c>
      <c r="CX1061" t="str">
        <f t="shared" si="298"/>
        <v>loc</v>
      </c>
      <c r="CY1061" t="s">
        <v>541</v>
      </c>
      <c r="DB1061">
        <v>0</v>
      </c>
      <c r="DC1061" t="str">
        <f t="shared" si="299"/>
        <v>0</v>
      </c>
      <c r="DD1061">
        <v>0</v>
      </c>
      <c r="DE1061">
        <v>1</v>
      </c>
      <c r="DF1061">
        <v>0</v>
      </c>
      <c r="DG1061">
        <v>0</v>
      </c>
      <c r="DI1061">
        <f t="shared" si="309"/>
        <v>1</v>
      </c>
      <c r="DJ1061" t="str">
        <f t="shared" si="257"/>
        <v>EnergyInput</v>
      </c>
      <c r="DK1061">
        <f t="shared" si="277"/>
        <v>0</v>
      </c>
      <c r="DL1061" t="str">
        <f t="shared" si="278"/>
        <v>Energy</v>
      </c>
      <c r="DM1061">
        <f t="shared" si="279"/>
        <v>0</v>
      </c>
      <c r="DN1061">
        <f t="shared" si="280"/>
        <v>0</v>
      </c>
      <c r="DO1061">
        <v>0</v>
      </c>
      <c r="DP1061" s="143">
        <v>0</v>
      </c>
      <c r="DQ1061" s="143">
        <v>0</v>
      </c>
      <c r="DR1061" s="143">
        <v>0</v>
      </c>
      <c r="DS1061">
        <v>0</v>
      </c>
      <c r="DT1061">
        <f t="shared" si="260"/>
        <v>0</v>
      </c>
      <c r="DU1061" s="143" t="str">
        <f t="shared" si="301"/>
        <v>explicit C balance</v>
      </c>
      <c r="DV1061">
        <v>0</v>
      </c>
      <c r="DW1061" s="143">
        <v>1</v>
      </c>
      <c r="DX1061" s="143">
        <v>0</v>
      </c>
      <c r="DY1061" s="143">
        <v>0</v>
      </c>
      <c r="DZ1061">
        <v>1</v>
      </c>
      <c r="EA1061" s="143">
        <v>0</v>
      </c>
      <c r="EB1061">
        <v>0</v>
      </c>
      <c r="EC1061" s="143">
        <v>1</v>
      </c>
      <c r="ED1061" s="143">
        <v>0</v>
      </c>
      <c r="EE1061">
        <v>0</v>
      </c>
      <c r="EF1061">
        <v>0</v>
      </c>
      <c r="EG1061" s="143">
        <v>0</v>
      </c>
      <c r="EH1061" s="143">
        <v>0</v>
      </c>
      <c r="EI1061" s="2">
        <v>0</v>
      </c>
      <c r="EK1061" t="str">
        <f t="shared" si="281"/>
        <v/>
      </c>
      <c r="EL1061" t="str">
        <f t="shared" si="282"/>
        <v/>
      </c>
      <c r="EM1061" s="2" t="str">
        <f t="shared" si="300"/>
        <v/>
      </c>
      <c r="EP1061" t="str">
        <f>IF(ISNUMBER(BU1061),IF(ABS(BU1061-[4]QC_indicators!$B$2)&gt;3*[4]QC_indicators!$C$2,"C ratio",IF(ISNUMBER(BY1061),IF(ABS(BY1061-[4]QC_indicators!$B$1)&gt;3*[4]QC_indicators!$C$1,"DF","no"))),IF(ISNUMBER(BY1061),IF(ABS(BY1061-[4]QC_indicators!$B$1)&gt;3*[4]QC_indicators!$C$1,"DF","no")))</f>
        <v>no</v>
      </c>
      <c r="ER1061" s="149" t="s">
        <v>350</v>
      </c>
      <c r="ET1061" s="266" t="s">
        <v>3275</v>
      </c>
    </row>
    <row r="1062" spans="1:150" ht="15" hidden="1" customHeight="1">
      <c r="A1062" s="1" t="s">
        <v>506</v>
      </c>
      <c r="B1062" t="s">
        <v>529</v>
      </c>
      <c r="C1062" t="s">
        <v>530</v>
      </c>
      <c r="D1062" t="s">
        <v>531</v>
      </c>
      <c r="E1062" t="s">
        <v>532</v>
      </c>
      <c r="F1062" t="s">
        <v>533</v>
      </c>
      <c r="G1062" t="s">
        <v>512</v>
      </c>
      <c r="H1062" t="s">
        <v>255</v>
      </c>
      <c r="I1062">
        <v>2015</v>
      </c>
      <c r="J1062">
        <v>31</v>
      </c>
      <c r="K1062" t="s">
        <v>534</v>
      </c>
      <c r="M1062" t="str">
        <f t="shared" si="255"/>
        <v>Cambero_2015</v>
      </c>
      <c r="N1062" t="s">
        <v>223</v>
      </c>
      <c r="O1062" s="145" t="s">
        <v>224</v>
      </c>
      <c r="Q1062" t="s">
        <v>257</v>
      </c>
      <c r="R1062" s="255" t="s">
        <v>226</v>
      </c>
      <c r="S1062" s="1" t="s">
        <v>535</v>
      </c>
      <c r="T1062" t="s">
        <v>536</v>
      </c>
      <c r="U1062" t="s">
        <v>537</v>
      </c>
      <c r="V1062">
        <v>0</v>
      </c>
      <c r="W1062">
        <v>0</v>
      </c>
      <c r="X1062">
        <v>0</v>
      </c>
      <c r="Y1062">
        <v>0</v>
      </c>
      <c r="Z1062">
        <v>0</v>
      </c>
      <c r="AA1062">
        <v>0</v>
      </c>
      <c r="AB1062">
        <v>0</v>
      </c>
      <c r="AC1062">
        <v>0</v>
      </c>
      <c r="AD1062">
        <v>0</v>
      </c>
      <c r="AE1062">
        <v>0</v>
      </c>
      <c r="AF1062">
        <v>0</v>
      </c>
      <c r="AG1062">
        <v>0</v>
      </c>
      <c r="AH1062">
        <v>0</v>
      </c>
      <c r="AI1062">
        <v>0</v>
      </c>
      <c r="AJ1062">
        <v>0</v>
      </c>
      <c r="AK1062">
        <v>1</v>
      </c>
      <c r="AL1062">
        <v>0</v>
      </c>
      <c r="AM1062">
        <v>0</v>
      </c>
      <c r="AN1062">
        <v>0</v>
      </c>
      <c r="AO1062">
        <v>0</v>
      </c>
      <c r="AP1062">
        <v>0</v>
      </c>
      <c r="AQ1062">
        <v>0</v>
      </c>
      <c r="AR1062">
        <v>0</v>
      </c>
      <c r="AS1062">
        <v>0</v>
      </c>
      <c r="AT1062">
        <v>0</v>
      </c>
      <c r="AU1062">
        <v>0</v>
      </c>
      <c r="AV1062">
        <v>0</v>
      </c>
      <c r="AW1062">
        <v>0</v>
      </c>
      <c r="AX1062" s="141">
        <f t="shared" si="266"/>
        <v>1</v>
      </c>
      <c r="AY1062" s="141">
        <f t="shared" si="292"/>
        <v>1</v>
      </c>
      <c r="AZ1062">
        <f t="shared" si="293"/>
        <v>0</v>
      </c>
      <c r="BA1062">
        <f t="shared" si="294"/>
        <v>0</v>
      </c>
      <c r="BB1062">
        <f t="shared" si="295"/>
        <v>1</v>
      </c>
      <c r="BC1062">
        <f t="shared" si="296"/>
        <v>0</v>
      </c>
      <c r="BD1062">
        <f t="shared" si="297"/>
        <v>0</v>
      </c>
      <c r="BE1062" t="str">
        <f t="array" ref="BE1062">IF(AY1062=1,INDEX($V$7:$AL$7,MATCH(TRUE,INDEX($V1062:$AW1062&lt;&gt;0,),0)),IF(AY1062=0,INDEX($AM$7:$AW$7,MATCH(1,$AM1062:$AW1062,0)),IF(BF1062="Multiple strategies","mixed drivers",IF(BF1062="Supply chain","multiple supply","multiple silviculture"))))</f>
        <v>technologies/design switch</v>
      </c>
      <c r="BF1062" s="2" t="str" cm="1">
        <f t="array" ref="BF1062">IF(COUNTIF(AZ1062:BB1062,"&lt;&gt;0")=1,INDEX($V$4:$AW$4,MATCH(TRUE,INDEX($V1062:$AW1062&lt;&gt;0,),0)),IF(COUNTIF(AZ1062:BB1062,"&lt;&gt;0")=0,INDEX($AM$4:$AW$4,MATCH(1,$AM1062:$AW1062,0)),"Multiple strategies"))</f>
        <v>Technology</v>
      </c>
      <c r="BG1062" s="1" t="s">
        <v>230</v>
      </c>
      <c r="BH1062" t="s">
        <v>538</v>
      </c>
      <c r="BI1062" s="260" t="s">
        <v>3288</v>
      </c>
      <c r="BJ1062" t="s">
        <v>539</v>
      </c>
      <c r="BK1062">
        <v>0</v>
      </c>
      <c r="BL1062">
        <v>19523</v>
      </c>
      <c r="BN1062">
        <f t="shared" si="275"/>
        <v>19523</v>
      </c>
      <c r="BO1062">
        <f t="shared" si="303"/>
        <v>39842.857142857145</v>
      </c>
      <c r="BP1062" t="s">
        <v>233</v>
      </c>
      <c r="BQ1062" s="260" t="s">
        <v>3289</v>
      </c>
      <c r="BR1062" t="s">
        <v>540</v>
      </c>
      <c r="BS1062">
        <v>-178600</v>
      </c>
      <c r="BT1062">
        <v>-164700</v>
      </c>
      <c r="BU1062" s="144">
        <v>0.92217245240761481</v>
      </c>
      <c r="BV1062">
        <v>13900</v>
      </c>
      <c r="BX1062">
        <f t="shared" si="304"/>
        <v>13900</v>
      </c>
      <c r="BY1062">
        <f t="shared" si="262"/>
        <v>0.34887056292577984</v>
      </c>
      <c r="BZ1062" s="143">
        <v>0</v>
      </c>
      <c r="CA1062" s="143">
        <v>0</v>
      </c>
      <c r="CB1062" s="143">
        <v>0</v>
      </c>
      <c r="CC1062" s="143">
        <v>0</v>
      </c>
      <c r="CD1062" s="143">
        <v>0</v>
      </c>
      <c r="CE1062" s="143">
        <v>0</v>
      </c>
      <c r="CF1062" s="143">
        <v>0</v>
      </c>
      <c r="CG1062" s="143">
        <v>0</v>
      </c>
      <c r="CH1062" s="143">
        <v>0</v>
      </c>
      <c r="CI1062" s="143">
        <v>0</v>
      </c>
      <c r="CJ1062" s="143">
        <v>0</v>
      </c>
      <c r="CK1062" s="143">
        <v>0</v>
      </c>
      <c r="CL1062" s="143">
        <v>0</v>
      </c>
      <c r="CM1062">
        <v>1</v>
      </c>
      <c r="CN1062" t="str">
        <f t="shared" si="302"/>
        <v>refOK</v>
      </c>
      <c r="CO1062">
        <f t="shared" si="305"/>
        <v>0</v>
      </c>
      <c r="CP1062">
        <f t="shared" si="306"/>
        <v>19523</v>
      </c>
      <c r="CQ1062">
        <f t="shared" si="274"/>
        <v>39842.857142857145</v>
      </c>
      <c r="CR1062">
        <f t="shared" si="307"/>
        <v>-178600</v>
      </c>
      <c r="CS1062">
        <f t="shared" si="308"/>
        <v>-164700</v>
      </c>
      <c r="CT1062">
        <f t="shared" si="267"/>
        <v>13900</v>
      </c>
      <c r="CU1062">
        <f t="shared" si="258"/>
        <v>0.34887056292577984</v>
      </c>
      <c r="CV1062" s="2">
        <f t="shared" si="268"/>
        <v>7.7827547592385221E-2</v>
      </c>
      <c r="CW1062" s="1" t="s">
        <v>348</v>
      </c>
      <c r="CX1062" t="str">
        <f t="shared" si="298"/>
        <v>loc</v>
      </c>
      <c r="CY1062" t="s">
        <v>541</v>
      </c>
      <c r="DB1062">
        <v>0</v>
      </c>
      <c r="DC1062" t="str">
        <f t="shared" si="299"/>
        <v>0</v>
      </c>
      <c r="DD1062">
        <v>0</v>
      </c>
      <c r="DE1062">
        <v>1</v>
      </c>
      <c r="DF1062">
        <v>0</v>
      </c>
      <c r="DG1062">
        <v>0</v>
      </c>
      <c r="DI1062">
        <f t="shared" si="309"/>
        <v>1</v>
      </c>
      <c r="DJ1062" t="str">
        <f t="shared" si="257"/>
        <v>EnergyInput</v>
      </c>
      <c r="DK1062">
        <f t="shared" si="277"/>
        <v>0</v>
      </c>
      <c r="DL1062" t="str">
        <f t="shared" si="278"/>
        <v>Energy</v>
      </c>
      <c r="DM1062">
        <f t="shared" si="279"/>
        <v>0</v>
      </c>
      <c r="DN1062">
        <f t="shared" si="280"/>
        <v>0</v>
      </c>
      <c r="DO1062">
        <v>0</v>
      </c>
      <c r="DP1062" s="143">
        <v>0</v>
      </c>
      <c r="DQ1062" s="143">
        <v>0</v>
      </c>
      <c r="DR1062" s="143">
        <v>0</v>
      </c>
      <c r="DS1062">
        <v>0</v>
      </c>
      <c r="DT1062">
        <f t="shared" si="260"/>
        <v>0</v>
      </c>
      <c r="DU1062" s="143" t="str">
        <f t="shared" si="301"/>
        <v>explicit C balance</v>
      </c>
      <c r="DV1062">
        <v>0</v>
      </c>
      <c r="DW1062" s="143">
        <v>1</v>
      </c>
      <c r="DX1062" s="143">
        <v>0</v>
      </c>
      <c r="DY1062" s="143">
        <v>0</v>
      </c>
      <c r="DZ1062">
        <v>1</v>
      </c>
      <c r="EA1062" s="143">
        <v>0</v>
      </c>
      <c r="EB1062">
        <v>0</v>
      </c>
      <c r="EC1062" s="143">
        <v>1</v>
      </c>
      <c r="ED1062" s="143">
        <v>0</v>
      </c>
      <c r="EE1062">
        <v>0</v>
      </c>
      <c r="EF1062">
        <v>0</v>
      </c>
      <c r="EG1062" s="143">
        <v>0</v>
      </c>
      <c r="EH1062" s="143">
        <v>0</v>
      </c>
      <c r="EI1062" s="2">
        <v>0</v>
      </c>
      <c r="EK1062" t="str">
        <f t="shared" si="281"/>
        <v/>
      </c>
      <c r="EL1062" t="str">
        <f t="shared" si="282"/>
        <v/>
      </c>
      <c r="EM1062" s="2" t="str">
        <f t="shared" si="300"/>
        <v/>
      </c>
      <c r="EP1062" t="str">
        <f>IF(ISNUMBER(BU1062),IF(ABS(BU1062-[4]QC_indicators!$B$2)&gt;3*[4]QC_indicators!$C$2,"C ratio",IF(ISNUMBER(BY1062),IF(ABS(BY1062-[4]QC_indicators!$B$1)&gt;3*[4]QC_indicators!$C$1,"DF","no"))),IF(ISNUMBER(BY1062),IF(ABS(BY1062-[4]QC_indicators!$B$1)&gt;3*[4]QC_indicators!$C$1,"DF","no")))</f>
        <v>no</v>
      </c>
      <c r="ER1062" s="149" t="s">
        <v>350</v>
      </c>
      <c r="ET1062" s="266" t="s">
        <v>3275</v>
      </c>
    </row>
    <row r="1063" spans="1:150" ht="15" hidden="1" customHeight="1">
      <c r="A1063" s="1" t="s">
        <v>506</v>
      </c>
      <c r="B1063" t="s">
        <v>529</v>
      </c>
      <c r="C1063" t="s">
        <v>530</v>
      </c>
      <c r="D1063" t="s">
        <v>531</v>
      </c>
      <c r="E1063" t="s">
        <v>532</v>
      </c>
      <c r="F1063" t="s">
        <v>533</v>
      </c>
      <c r="G1063" t="s">
        <v>512</v>
      </c>
      <c r="H1063" t="s">
        <v>255</v>
      </c>
      <c r="I1063">
        <v>2015</v>
      </c>
      <c r="J1063">
        <v>31</v>
      </c>
      <c r="K1063" t="s">
        <v>534</v>
      </c>
      <c r="M1063" t="str">
        <f t="shared" si="255"/>
        <v>Cambero_2015</v>
      </c>
      <c r="N1063" t="s">
        <v>223</v>
      </c>
      <c r="O1063" s="145" t="s">
        <v>224</v>
      </c>
      <c r="Q1063" t="s">
        <v>257</v>
      </c>
      <c r="R1063" s="255" t="s">
        <v>226</v>
      </c>
      <c r="S1063" s="1" t="s">
        <v>535</v>
      </c>
      <c r="T1063" t="s">
        <v>536</v>
      </c>
      <c r="U1063" t="s">
        <v>542</v>
      </c>
      <c r="V1063">
        <v>0</v>
      </c>
      <c r="W1063">
        <v>0</v>
      </c>
      <c r="X1063">
        <v>0</v>
      </c>
      <c r="Y1063">
        <v>0</v>
      </c>
      <c r="Z1063">
        <v>0</v>
      </c>
      <c r="AA1063">
        <v>0</v>
      </c>
      <c r="AB1063">
        <v>0</v>
      </c>
      <c r="AC1063">
        <v>0</v>
      </c>
      <c r="AD1063">
        <v>0</v>
      </c>
      <c r="AE1063">
        <v>0</v>
      </c>
      <c r="AF1063">
        <v>0</v>
      </c>
      <c r="AG1063">
        <v>0</v>
      </c>
      <c r="AH1063">
        <v>0</v>
      </c>
      <c r="AI1063">
        <v>0</v>
      </c>
      <c r="AJ1063">
        <v>0</v>
      </c>
      <c r="AK1063">
        <v>1</v>
      </c>
      <c r="AL1063">
        <v>0</v>
      </c>
      <c r="AM1063">
        <v>0</v>
      </c>
      <c r="AN1063">
        <v>0</v>
      </c>
      <c r="AO1063">
        <v>0</v>
      </c>
      <c r="AP1063">
        <v>0</v>
      </c>
      <c r="AQ1063">
        <v>0</v>
      </c>
      <c r="AR1063">
        <v>0</v>
      </c>
      <c r="AS1063">
        <v>0</v>
      </c>
      <c r="AT1063">
        <v>0</v>
      </c>
      <c r="AU1063">
        <v>0</v>
      </c>
      <c r="AV1063">
        <v>0</v>
      </c>
      <c r="AW1063">
        <v>0</v>
      </c>
      <c r="AX1063" s="141">
        <f t="shared" si="266"/>
        <v>1</v>
      </c>
      <c r="AY1063" s="141">
        <f t="shared" si="292"/>
        <v>1</v>
      </c>
      <c r="AZ1063">
        <f t="shared" si="293"/>
        <v>0</v>
      </c>
      <c r="BA1063">
        <f t="shared" si="294"/>
        <v>0</v>
      </c>
      <c r="BB1063">
        <f t="shared" si="295"/>
        <v>1</v>
      </c>
      <c r="BC1063">
        <f t="shared" si="296"/>
        <v>0</v>
      </c>
      <c r="BD1063">
        <f t="shared" si="297"/>
        <v>0</v>
      </c>
      <c r="BE1063" t="str">
        <f t="array" ref="BE1063">IF(AY1063=1,INDEX($V$7:$AL$7,MATCH(TRUE,INDEX($V1063:$AW1063&lt;&gt;0,),0)),IF(AY1063=0,INDEX($AM$7:$AW$7,MATCH(1,$AM1063:$AW1063,0)),IF(BF1063="Multiple strategies","mixed drivers",IF(BF1063="Supply chain","multiple supply","multiple silviculture"))))</f>
        <v>technologies/design switch</v>
      </c>
      <c r="BF1063" s="2" t="str" cm="1">
        <f t="array" ref="BF1063">IF(COUNTIF(AZ1063:BB1063,"&lt;&gt;0")=1,INDEX($V$4:$AW$4,MATCH(TRUE,INDEX($V1063:$AW1063&lt;&gt;0,),0)),IF(COUNTIF(AZ1063:BB1063,"&lt;&gt;0")=0,INDEX($AM$4:$AW$4,MATCH(1,$AM1063:$AW1063,0)),"Multiple strategies"))</f>
        <v>Technology</v>
      </c>
      <c r="BG1063" s="1" t="s">
        <v>230</v>
      </c>
      <c r="BH1063" t="s">
        <v>538</v>
      </c>
      <c r="BI1063" s="260" t="s">
        <v>3288</v>
      </c>
      <c r="BJ1063" t="s">
        <v>539</v>
      </c>
      <c r="BK1063">
        <v>0</v>
      </c>
      <c r="BL1063">
        <v>22380.952379999999</v>
      </c>
      <c r="BN1063">
        <f t="shared" si="275"/>
        <v>22380.952379999999</v>
      </c>
      <c r="BO1063">
        <f t="shared" si="303"/>
        <v>45675.413020408159</v>
      </c>
      <c r="BP1063" t="s">
        <v>233</v>
      </c>
      <c r="BQ1063" s="260" t="s">
        <v>3289</v>
      </c>
      <c r="BR1063" t="s">
        <v>540</v>
      </c>
      <c r="BS1063">
        <v>-178600</v>
      </c>
      <c r="BT1063">
        <v>-158400</v>
      </c>
      <c r="BU1063" s="144">
        <v>0.88689809630459127</v>
      </c>
      <c r="BV1063">
        <v>20200</v>
      </c>
      <c r="BX1063">
        <f t="shared" si="304"/>
        <v>20200</v>
      </c>
      <c r="BY1063">
        <f t="shared" si="262"/>
        <v>0.44225106384860646</v>
      </c>
      <c r="BZ1063" s="143">
        <v>0</v>
      </c>
      <c r="CA1063" s="143">
        <v>0</v>
      </c>
      <c r="CB1063" s="143">
        <v>0</v>
      </c>
      <c r="CC1063" s="143">
        <v>0</v>
      </c>
      <c r="CD1063" s="143">
        <v>0</v>
      </c>
      <c r="CE1063" s="143">
        <v>0</v>
      </c>
      <c r="CF1063" s="143">
        <v>0</v>
      </c>
      <c r="CG1063" s="143">
        <v>0</v>
      </c>
      <c r="CH1063" s="143">
        <v>0</v>
      </c>
      <c r="CI1063" s="143">
        <v>0</v>
      </c>
      <c r="CJ1063" s="143">
        <v>0</v>
      </c>
      <c r="CK1063" s="143">
        <v>0</v>
      </c>
      <c r="CL1063" s="143">
        <v>0</v>
      </c>
      <c r="CM1063">
        <v>1</v>
      </c>
      <c r="CN1063" t="str">
        <f t="shared" si="302"/>
        <v>refOK</v>
      </c>
      <c r="CO1063">
        <f t="shared" si="305"/>
        <v>0</v>
      </c>
      <c r="CP1063">
        <f t="shared" si="306"/>
        <v>22380.952379999999</v>
      </c>
      <c r="CQ1063">
        <f t="shared" si="274"/>
        <v>45675.413020408159</v>
      </c>
      <c r="CR1063">
        <f t="shared" si="307"/>
        <v>-178600</v>
      </c>
      <c r="CS1063">
        <f t="shared" si="308"/>
        <v>-158400</v>
      </c>
      <c r="CT1063">
        <f t="shared" si="267"/>
        <v>20200</v>
      </c>
      <c r="CU1063">
        <f t="shared" si="258"/>
        <v>0.44225106384860646</v>
      </c>
      <c r="CV1063" s="2">
        <f t="shared" si="268"/>
        <v>0.11310190369540873</v>
      </c>
      <c r="CW1063" s="1" t="s">
        <v>348</v>
      </c>
      <c r="CX1063" t="str">
        <f t="shared" si="298"/>
        <v>loc</v>
      </c>
      <c r="CY1063" t="s">
        <v>541</v>
      </c>
      <c r="DB1063">
        <v>0</v>
      </c>
      <c r="DC1063" t="str">
        <f t="shared" si="299"/>
        <v>0</v>
      </c>
      <c r="DD1063">
        <v>0</v>
      </c>
      <c r="DE1063">
        <v>1</v>
      </c>
      <c r="DF1063">
        <v>0</v>
      </c>
      <c r="DG1063">
        <v>0</v>
      </c>
      <c r="DI1063">
        <f t="shared" si="309"/>
        <v>1</v>
      </c>
      <c r="DJ1063" t="str">
        <f t="shared" si="257"/>
        <v>EnergyInput</v>
      </c>
      <c r="DK1063">
        <f t="shared" si="277"/>
        <v>0</v>
      </c>
      <c r="DL1063" t="str">
        <f t="shared" si="278"/>
        <v>Energy</v>
      </c>
      <c r="DM1063">
        <f t="shared" si="279"/>
        <v>0</v>
      </c>
      <c r="DN1063">
        <f t="shared" si="280"/>
        <v>0</v>
      </c>
      <c r="DO1063">
        <v>0</v>
      </c>
      <c r="DP1063" s="143">
        <v>0</v>
      </c>
      <c r="DQ1063" s="143">
        <v>0</v>
      </c>
      <c r="DR1063" s="143">
        <v>0</v>
      </c>
      <c r="DS1063">
        <v>0</v>
      </c>
      <c r="DT1063">
        <f t="shared" si="260"/>
        <v>0</v>
      </c>
      <c r="DU1063" s="143" t="str">
        <f t="shared" si="301"/>
        <v>explicit C balance</v>
      </c>
      <c r="DV1063">
        <v>0</v>
      </c>
      <c r="DW1063" s="143">
        <v>1</v>
      </c>
      <c r="DX1063" s="143">
        <v>0</v>
      </c>
      <c r="DY1063" s="143">
        <v>0</v>
      </c>
      <c r="DZ1063">
        <v>1</v>
      </c>
      <c r="EA1063" s="143">
        <v>0</v>
      </c>
      <c r="EB1063">
        <v>0</v>
      </c>
      <c r="EC1063" s="143">
        <v>1</v>
      </c>
      <c r="ED1063" s="143">
        <v>0</v>
      </c>
      <c r="EE1063">
        <v>0</v>
      </c>
      <c r="EF1063">
        <v>0</v>
      </c>
      <c r="EG1063" s="143">
        <v>0</v>
      </c>
      <c r="EH1063" s="143">
        <v>0</v>
      </c>
      <c r="EI1063" s="2">
        <v>0</v>
      </c>
      <c r="EK1063" t="str">
        <f t="shared" si="281"/>
        <v/>
      </c>
      <c r="EL1063" t="str">
        <f t="shared" si="282"/>
        <v/>
      </c>
      <c r="EM1063" s="2" t="str">
        <f t="shared" si="300"/>
        <v/>
      </c>
      <c r="EP1063" t="str">
        <f>IF(ISNUMBER(BU1063),IF(ABS(BU1063-[4]QC_indicators!$B$2)&gt;3*[4]QC_indicators!$C$2,"C ratio",IF(ISNUMBER(BY1063),IF(ABS(BY1063-[4]QC_indicators!$B$1)&gt;3*[4]QC_indicators!$C$1,"DF","no"))),IF(ISNUMBER(BY1063),IF(ABS(BY1063-[4]QC_indicators!$B$1)&gt;3*[4]QC_indicators!$C$1,"DF","no")))</f>
        <v>no</v>
      </c>
      <c r="ER1063" s="149" t="s">
        <v>350</v>
      </c>
      <c r="ET1063" s="266" t="s">
        <v>3275</v>
      </c>
    </row>
    <row r="1064" spans="1:150" ht="15" hidden="1" customHeight="1">
      <c r="A1064" s="1" t="s">
        <v>506</v>
      </c>
      <c r="B1064" t="s">
        <v>529</v>
      </c>
      <c r="C1064" t="s">
        <v>530</v>
      </c>
      <c r="D1064" t="s">
        <v>531</v>
      </c>
      <c r="E1064" t="s">
        <v>532</v>
      </c>
      <c r="F1064" t="s">
        <v>533</v>
      </c>
      <c r="G1064" t="s">
        <v>512</v>
      </c>
      <c r="H1064" t="s">
        <v>255</v>
      </c>
      <c r="I1064">
        <v>2015</v>
      </c>
      <c r="J1064">
        <v>31</v>
      </c>
      <c r="K1064" t="s">
        <v>534</v>
      </c>
      <c r="M1064" t="str">
        <f t="shared" si="255"/>
        <v>Cambero_2015</v>
      </c>
      <c r="N1064" t="s">
        <v>223</v>
      </c>
      <c r="O1064" s="145" t="s">
        <v>224</v>
      </c>
      <c r="Q1064" t="s">
        <v>257</v>
      </c>
      <c r="R1064" s="255" t="s">
        <v>226</v>
      </c>
      <c r="S1064" s="1" t="s">
        <v>535</v>
      </c>
      <c r="T1064" t="s">
        <v>536</v>
      </c>
      <c r="U1064" t="s">
        <v>543</v>
      </c>
      <c r="V1064">
        <v>0</v>
      </c>
      <c r="W1064">
        <v>0</v>
      </c>
      <c r="X1064">
        <v>0</v>
      </c>
      <c r="Y1064">
        <v>0</v>
      </c>
      <c r="Z1064">
        <v>0</v>
      </c>
      <c r="AA1064">
        <v>0</v>
      </c>
      <c r="AB1064">
        <v>0</v>
      </c>
      <c r="AC1064">
        <v>0</v>
      </c>
      <c r="AD1064">
        <v>0</v>
      </c>
      <c r="AE1064">
        <v>0</v>
      </c>
      <c r="AF1064">
        <v>0</v>
      </c>
      <c r="AG1064">
        <v>0</v>
      </c>
      <c r="AH1064">
        <v>0</v>
      </c>
      <c r="AI1064">
        <v>0</v>
      </c>
      <c r="AJ1064">
        <v>0</v>
      </c>
      <c r="AK1064">
        <v>1</v>
      </c>
      <c r="AL1064">
        <v>0</v>
      </c>
      <c r="AM1064">
        <v>0</v>
      </c>
      <c r="AN1064">
        <v>0</v>
      </c>
      <c r="AO1064">
        <v>0</v>
      </c>
      <c r="AP1064">
        <v>0</v>
      </c>
      <c r="AQ1064">
        <v>0</v>
      </c>
      <c r="AR1064">
        <v>0</v>
      </c>
      <c r="AS1064">
        <v>0</v>
      </c>
      <c r="AT1064">
        <v>0</v>
      </c>
      <c r="AU1064">
        <v>0</v>
      </c>
      <c r="AV1064">
        <v>0</v>
      </c>
      <c r="AW1064">
        <v>0</v>
      </c>
      <c r="AX1064" s="141">
        <f t="shared" si="266"/>
        <v>1</v>
      </c>
      <c r="AY1064" s="141">
        <f t="shared" si="292"/>
        <v>1</v>
      </c>
      <c r="AZ1064">
        <f t="shared" si="293"/>
        <v>0</v>
      </c>
      <c r="BA1064">
        <f t="shared" si="294"/>
        <v>0</v>
      </c>
      <c r="BB1064">
        <f t="shared" si="295"/>
        <v>1</v>
      </c>
      <c r="BC1064">
        <f t="shared" si="296"/>
        <v>0</v>
      </c>
      <c r="BD1064">
        <f t="shared" si="297"/>
        <v>0</v>
      </c>
      <c r="BE1064" t="str">
        <f t="array" ref="BE1064">IF(AY1064=1,INDEX($V$7:$AL$7,MATCH(TRUE,INDEX($V1064:$AW1064&lt;&gt;0,),0)),IF(AY1064=0,INDEX($AM$7:$AW$7,MATCH(1,$AM1064:$AW1064,0)),IF(BF1064="Multiple strategies","mixed drivers",IF(BF1064="Supply chain","multiple supply","multiple silviculture"))))</f>
        <v>technologies/design switch</v>
      </c>
      <c r="BF1064" s="2" t="str" cm="1">
        <f t="array" ref="BF1064">IF(COUNTIF(AZ1064:BB1064,"&lt;&gt;0")=1,INDEX($V$4:$AW$4,MATCH(TRUE,INDEX($V1064:$AW1064&lt;&gt;0,),0)),IF(COUNTIF(AZ1064:BB1064,"&lt;&gt;0")=0,INDEX($AM$4:$AW$4,MATCH(1,$AM1064:$AW1064,0)),"Multiple strategies"))</f>
        <v>Technology</v>
      </c>
      <c r="BG1064" s="1" t="s">
        <v>230</v>
      </c>
      <c r="BH1064" t="s">
        <v>538</v>
      </c>
      <c r="BI1064" s="260" t="s">
        <v>3288</v>
      </c>
      <c r="BJ1064" t="s">
        <v>539</v>
      </c>
      <c r="BK1064">
        <v>0</v>
      </c>
      <c r="BL1064">
        <v>30000</v>
      </c>
      <c r="BN1064">
        <f t="shared" si="275"/>
        <v>30000</v>
      </c>
      <c r="BO1064">
        <f t="shared" si="303"/>
        <v>61224.489795918365</v>
      </c>
      <c r="BP1064" t="s">
        <v>233</v>
      </c>
      <c r="BQ1064" s="260" t="s">
        <v>3289</v>
      </c>
      <c r="BR1064" t="s">
        <v>540</v>
      </c>
      <c r="BS1064">
        <v>-178600</v>
      </c>
      <c r="BT1064">
        <v>-158400</v>
      </c>
      <c r="BU1064" s="144">
        <v>0.88689809630459127</v>
      </c>
      <c r="BV1064">
        <v>20200</v>
      </c>
      <c r="BX1064">
        <f t="shared" si="304"/>
        <v>20200</v>
      </c>
      <c r="BY1064">
        <f t="shared" si="262"/>
        <v>0.32993333333333336</v>
      </c>
      <c r="BZ1064" s="143">
        <v>0</v>
      </c>
      <c r="CA1064" s="143">
        <v>0</v>
      </c>
      <c r="CB1064" s="143">
        <v>0</v>
      </c>
      <c r="CC1064" s="143">
        <v>0</v>
      </c>
      <c r="CD1064" s="143">
        <v>0</v>
      </c>
      <c r="CE1064" s="143">
        <v>0</v>
      </c>
      <c r="CF1064" s="143">
        <v>0</v>
      </c>
      <c r="CG1064" s="143">
        <v>0</v>
      </c>
      <c r="CH1064" s="143">
        <v>0</v>
      </c>
      <c r="CI1064" s="143">
        <v>0</v>
      </c>
      <c r="CJ1064" s="143">
        <v>0</v>
      </c>
      <c r="CK1064" s="143">
        <v>0</v>
      </c>
      <c r="CL1064" s="143">
        <v>0</v>
      </c>
      <c r="CM1064">
        <v>1</v>
      </c>
      <c r="CN1064" t="str">
        <f t="shared" si="302"/>
        <v>refOK</v>
      </c>
      <c r="CO1064">
        <f t="shared" si="305"/>
        <v>0</v>
      </c>
      <c r="CP1064">
        <f t="shared" si="306"/>
        <v>30000</v>
      </c>
      <c r="CQ1064">
        <f t="shared" si="274"/>
        <v>61224.489795918365</v>
      </c>
      <c r="CR1064">
        <f t="shared" si="307"/>
        <v>-178600</v>
      </c>
      <c r="CS1064">
        <f t="shared" si="308"/>
        <v>-158400</v>
      </c>
      <c r="CT1064">
        <f t="shared" si="267"/>
        <v>20200</v>
      </c>
      <c r="CU1064">
        <f t="shared" si="258"/>
        <v>0.32993333333333336</v>
      </c>
      <c r="CV1064" s="2">
        <f t="shared" si="268"/>
        <v>0.11310190369540873</v>
      </c>
      <c r="CW1064" s="1" t="s">
        <v>348</v>
      </c>
      <c r="CX1064" t="str">
        <f t="shared" si="298"/>
        <v>loc</v>
      </c>
      <c r="CY1064" t="s">
        <v>541</v>
      </c>
      <c r="DB1064">
        <v>0</v>
      </c>
      <c r="DC1064" t="str">
        <f t="shared" si="299"/>
        <v>0</v>
      </c>
      <c r="DD1064">
        <v>0</v>
      </c>
      <c r="DE1064">
        <v>1</v>
      </c>
      <c r="DF1064">
        <v>0</v>
      </c>
      <c r="DG1064">
        <v>0</v>
      </c>
      <c r="DI1064">
        <f t="shared" si="309"/>
        <v>1</v>
      </c>
      <c r="DJ1064" t="str">
        <f t="shared" si="257"/>
        <v>EnergyInput</v>
      </c>
      <c r="DK1064">
        <f t="shared" si="277"/>
        <v>0</v>
      </c>
      <c r="DL1064" t="str">
        <f t="shared" si="278"/>
        <v>Energy</v>
      </c>
      <c r="DM1064">
        <f t="shared" si="279"/>
        <v>0</v>
      </c>
      <c r="DN1064">
        <f t="shared" si="280"/>
        <v>0</v>
      </c>
      <c r="DO1064">
        <v>0</v>
      </c>
      <c r="DP1064" s="143">
        <v>0</v>
      </c>
      <c r="DQ1064" s="143">
        <v>0</v>
      </c>
      <c r="DR1064" s="143">
        <v>0</v>
      </c>
      <c r="DS1064">
        <v>0</v>
      </c>
      <c r="DT1064">
        <f t="shared" si="260"/>
        <v>0</v>
      </c>
      <c r="DU1064" s="143" t="str">
        <f t="shared" si="301"/>
        <v>explicit C balance</v>
      </c>
      <c r="DV1064">
        <v>0</v>
      </c>
      <c r="DW1064" s="143">
        <v>1</v>
      </c>
      <c r="DX1064" s="143">
        <v>0</v>
      </c>
      <c r="DY1064" s="143">
        <v>0</v>
      </c>
      <c r="DZ1064">
        <v>1</v>
      </c>
      <c r="EA1064" s="143">
        <v>0</v>
      </c>
      <c r="EB1064">
        <v>0</v>
      </c>
      <c r="EC1064" s="143">
        <v>1</v>
      </c>
      <c r="ED1064" s="143">
        <v>0</v>
      </c>
      <c r="EE1064">
        <v>0</v>
      </c>
      <c r="EF1064">
        <v>0</v>
      </c>
      <c r="EG1064" s="143">
        <v>0</v>
      </c>
      <c r="EH1064" s="143">
        <v>0</v>
      </c>
      <c r="EI1064" s="2">
        <v>0</v>
      </c>
      <c r="EK1064" t="str">
        <f t="shared" si="281"/>
        <v/>
      </c>
      <c r="EL1064" t="str">
        <f t="shared" si="282"/>
        <v/>
      </c>
      <c r="EM1064" s="2" t="str">
        <f t="shared" si="300"/>
        <v/>
      </c>
      <c r="EP1064" t="str">
        <f>IF(ISNUMBER(BU1064),IF(ABS(BU1064-[4]QC_indicators!$B$2)&gt;3*[4]QC_indicators!$C$2,"C ratio",IF(ISNUMBER(BY1064),IF(ABS(BY1064-[4]QC_indicators!$B$1)&gt;3*[4]QC_indicators!$C$1,"DF","no"))),IF(ISNUMBER(BY1064),IF(ABS(BY1064-[4]QC_indicators!$B$1)&gt;3*[4]QC_indicators!$C$1,"DF","no")))</f>
        <v>no</v>
      </c>
      <c r="ER1064" s="149" t="s">
        <v>350</v>
      </c>
      <c r="ET1064" s="266" t="s">
        <v>3275</v>
      </c>
    </row>
    <row r="1065" spans="1:150" ht="15" hidden="1" customHeight="1">
      <c r="A1065" s="1" t="s">
        <v>546</v>
      </c>
      <c r="B1065" t="s">
        <v>547</v>
      </c>
      <c r="C1065" t="s">
        <v>548</v>
      </c>
      <c r="D1065" t="s">
        <v>549</v>
      </c>
      <c r="E1065" t="s">
        <v>550</v>
      </c>
      <c r="F1065" t="s">
        <v>551</v>
      </c>
      <c r="G1065" t="s">
        <v>552</v>
      </c>
      <c r="H1065" t="s">
        <v>255</v>
      </c>
      <c r="I1065">
        <v>2017</v>
      </c>
      <c r="J1065">
        <v>3</v>
      </c>
      <c r="K1065" t="s">
        <v>553</v>
      </c>
      <c r="M1065" t="str">
        <f t="shared" si="255"/>
        <v>Crafford_2017</v>
      </c>
      <c r="N1065" t="s">
        <v>223</v>
      </c>
      <c r="O1065" s="145" t="s">
        <v>224</v>
      </c>
      <c r="Q1065" t="s">
        <v>257</v>
      </c>
      <c r="R1065" s="255" t="s">
        <v>226</v>
      </c>
      <c r="S1065" s="1" t="s">
        <v>560</v>
      </c>
      <c r="T1065" t="s">
        <v>561</v>
      </c>
      <c r="U1065" t="s">
        <v>555</v>
      </c>
      <c r="V1065">
        <v>0</v>
      </c>
      <c r="W1065">
        <v>0</v>
      </c>
      <c r="X1065">
        <v>0</v>
      </c>
      <c r="Y1065">
        <v>0</v>
      </c>
      <c r="Z1065">
        <v>0</v>
      </c>
      <c r="AA1065">
        <v>0</v>
      </c>
      <c r="AB1065">
        <v>0</v>
      </c>
      <c r="AC1065">
        <v>0</v>
      </c>
      <c r="AD1065">
        <v>0</v>
      </c>
      <c r="AE1065">
        <v>0</v>
      </c>
      <c r="AF1065">
        <v>0</v>
      </c>
      <c r="AG1065">
        <v>0</v>
      </c>
      <c r="AH1065">
        <v>0</v>
      </c>
      <c r="AI1065">
        <v>0</v>
      </c>
      <c r="AJ1065">
        <v>0</v>
      </c>
      <c r="AK1065">
        <v>1</v>
      </c>
      <c r="AL1065">
        <v>0</v>
      </c>
      <c r="AM1065">
        <v>0</v>
      </c>
      <c r="AN1065">
        <v>0</v>
      </c>
      <c r="AO1065">
        <v>0</v>
      </c>
      <c r="AP1065">
        <v>0</v>
      </c>
      <c r="AQ1065">
        <v>0</v>
      </c>
      <c r="AR1065">
        <v>0</v>
      </c>
      <c r="AS1065">
        <v>0</v>
      </c>
      <c r="AT1065">
        <v>0</v>
      </c>
      <c r="AU1065">
        <v>0</v>
      </c>
      <c r="AV1065">
        <v>0</v>
      </c>
      <c r="AW1065">
        <v>0</v>
      </c>
      <c r="AX1065" s="141">
        <f t="shared" si="266"/>
        <v>1</v>
      </c>
      <c r="AY1065" s="141">
        <f t="shared" si="292"/>
        <v>1</v>
      </c>
      <c r="AZ1065">
        <f t="shared" si="293"/>
        <v>0</v>
      </c>
      <c r="BA1065">
        <f t="shared" si="294"/>
        <v>0</v>
      </c>
      <c r="BB1065">
        <f t="shared" si="295"/>
        <v>1</v>
      </c>
      <c r="BC1065">
        <f t="shared" si="296"/>
        <v>0</v>
      </c>
      <c r="BD1065">
        <f t="shared" si="297"/>
        <v>0</v>
      </c>
      <c r="BE1065" t="str">
        <f t="array" ref="BE1065">IF(AY1065=1,INDEX($V$7:$AL$7,MATCH(TRUE,INDEX($V1065:$AW1065&lt;&gt;0,),0)),IF(AY1065=0,INDEX($AM$7:$AW$7,MATCH(1,$AM1065:$AW1065,0)),IF(BF1065="Multiple strategies","mixed drivers",IF(BF1065="Supply chain","multiple supply","multiple silviculture"))))</f>
        <v>technologies/design switch</v>
      </c>
      <c r="BF1065" s="2" t="str" cm="1">
        <f t="array" ref="BF1065">IF(COUNTIF(AZ1065:BB1065,"&lt;&gt;0")=1,INDEX($V$4:$AW$4,MATCH(TRUE,INDEX($V1065:$AW1065&lt;&gt;0,),0)),IF(COUNTIF(AZ1065:BB1065,"&lt;&gt;0")=0,INDEX($AM$4:$AW$4,MATCH(1,$AM1065:$AW1065,0)),"Multiple strategies"))</f>
        <v>Technology</v>
      </c>
      <c r="BG1065" s="1" t="s">
        <v>230</v>
      </c>
      <c r="BH1065" t="s">
        <v>557</v>
      </c>
      <c r="BI1065" t="s">
        <v>425</v>
      </c>
      <c r="BJ1065" t="s">
        <v>499</v>
      </c>
      <c r="BK1065">
        <v>0</v>
      </c>
      <c r="BL1065">
        <v>1.33</v>
      </c>
      <c r="BN1065">
        <f t="shared" si="275"/>
        <v>1.33</v>
      </c>
      <c r="BO1065">
        <f>BN1065</f>
        <v>1.33</v>
      </c>
      <c r="BP1065" t="s">
        <v>233</v>
      </c>
      <c r="BQ1065" s="260" t="s">
        <v>3294</v>
      </c>
      <c r="BR1065" t="s">
        <v>398</v>
      </c>
      <c r="BS1065">
        <v>-1038</v>
      </c>
      <c r="BT1065">
        <v>-164</v>
      </c>
      <c r="BU1065" s="144">
        <v>0.15799614643545279</v>
      </c>
      <c r="BV1065">
        <v>874</v>
      </c>
      <c r="BX1065">
        <f>BV1065/1000</f>
        <v>0.874</v>
      </c>
      <c r="BY1065">
        <f t="shared" si="262"/>
        <v>0.65714285714285714</v>
      </c>
      <c r="BZ1065">
        <v>1</v>
      </c>
      <c r="CA1065">
        <v>0</v>
      </c>
      <c r="CB1065">
        <v>0</v>
      </c>
      <c r="CC1065">
        <v>0</v>
      </c>
      <c r="CD1065">
        <v>0</v>
      </c>
      <c r="CE1065">
        <v>0</v>
      </c>
      <c r="CF1065">
        <v>0</v>
      </c>
      <c r="CG1065">
        <v>0</v>
      </c>
      <c r="CH1065">
        <v>0</v>
      </c>
      <c r="CI1065">
        <v>0</v>
      </c>
      <c r="CJ1065">
        <v>0</v>
      </c>
      <c r="CK1065">
        <v>0</v>
      </c>
      <c r="CL1065">
        <v>0</v>
      </c>
      <c r="CM1065">
        <v>0</v>
      </c>
      <c r="CN1065" t="str">
        <f t="shared" si="302"/>
        <v>refOK</v>
      </c>
      <c r="CO1065">
        <f>IF($CN1065="refOK",$BK1065,$BL1065)</f>
        <v>0</v>
      </c>
      <c r="CP1065">
        <f>IF($CN1065="refOK",$BL1065,$BK1065)</f>
        <v>1.33</v>
      </c>
      <c r="CQ1065">
        <f t="shared" si="274"/>
        <v>1.33</v>
      </c>
      <c r="CR1065">
        <f t="shared" si="307"/>
        <v>-1038</v>
      </c>
      <c r="CS1065">
        <f t="shared" si="308"/>
        <v>-164</v>
      </c>
      <c r="CT1065">
        <f t="shared" si="267"/>
        <v>0.874</v>
      </c>
      <c r="CU1065">
        <f t="shared" si="258"/>
        <v>0.65714285714285714</v>
      </c>
      <c r="CV1065" s="2">
        <f t="shared" si="268"/>
        <v>0.84200385356454721</v>
      </c>
      <c r="CW1065" s="1" t="s">
        <v>264</v>
      </c>
      <c r="CX1065" t="str">
        <f t="shared" si="298"/>
        <v>loc</v>
      </c>
      <c r="CY1065" t="s">
        <v>558</v>
      </c>
      <c r="DB1065">
        <v>0</v>
      </c>
      <c r="DC1065" t="str">
        <f t="shared" si="299"/>
        <v>0</v>
      </c>
      <c r="DD1065">
        <v>0</v>
      </c>
      <c r="DE1065">
        <v>0</v>
      </c>
      <c r="DF1065">
        <v>0</v>
      </c>
      <c r="DG1065">
        <v>1</v>
      </c>
      <c r="DI1065">
        <f t="shared" si="309"/>
        <v>1</v>
      </c>
      <c r="DJ1065" t="str">
        <f t="shared" si="257"/>
        <v>TimberInput</v>
      </c>
      <c r="DK1065">
        <f t="shared" si="277"/>
        <v>0</v>
      </c>
      <c r="DL1065">
        <f t="shared" si="278"/>
        <v>0</v>
      </c>
      <c r="DM1065">
        <f t="shared" si="279"/>
        <v>0</v>
      </c>
      <c r="DN1065" t="str">
        <f t="shared" si="280"/>
        <v>Timber</v>
      </c>
      <c r="DO1065">
        <v>0</v>
      </c>
      <c r="DP1065">
        <v>0</v>
      </c>
      <c r="DQ1065">
        <v>0</v>
      </c>
      <c r="DR1065">
        <v>0</v>
      </c>
      <c r="DS1065">
        <v>0</v>
      </c>
      <c r="DT1065">
        <f t="shared" si="260"/>
        <v>0</v>
      </c>
      <c r="DU1065" s="143" t="str">
        <f t="shared" si="301"/>
        <v>explicit C balance</v>
      </c>
      <c r="DV1065">
        <v>0</v>
      </c>
      <c r="DW1065">
        <v>0</v>
      </c>
      <c r="DX1065">
        <v>0</v>
      </c>
      <c r="DY1065">
        <v>1</v>
      </c>
      <c r="DZ1065">
        <v>1</v>
      </c>
      <c r="EA1065" s="143">
        <v>0</v>
      </c>
      <c r="EB1065">
        <v>0</v>
      </c>
      <c r="EC1065">
        <v>1</v>
      </c>
      <c r="ED1065">
        <v>0</v>
      </c>
      <c r="EE1065">
        <v>1</v>
      </c>
      <c r="EF1065">
        <v>0</v>
      </c>
      <c r="EG1065">
        <v>0</v>
      </c>
      <c r="EH1065">
        <v>0</v>
      </c>
      <c r="EI1065" s="2">
        <v>0</v>
      </c>
      <c r="EK1065" t="str">
        <f t="shared" si="281"/>
        <v/>
      </c>
      <c r="EL1065" t="str">
        <f t="shared" si="282"/>
        <v/>
      </c>
      <c r="EM1065" s="2" t="str">
        <f t="shared" si="300"/>
        <v>Technology approach</v>
      </c>
      <c r="EP1065" t="str">
        <f>IF(ISNUMBER(BU1065),IF(ABS(BU1065-[4]QC_indicators!$B$2)&gt;3*[4]QC_indicators!$C$2,"C ratio",IF(ISNUMBER(BY1065),IF(ABS(BY1065-[4]QC_indicators!$B$1)&gt;3*[4]QC_indicators!$C$1,"DF","no"))),IF(ISNUMBER(BY1065),IF(ABS(BY1065-[4]QC_indicators!$B$1)&gt;3*[4]QC_indicators!$C$1,"DF","no")))</f>
        <v>no</v>
      </c>
      <c r="ER1065" s="149" t="s">
        <v>350</v>
      </c>
      <c r="ET1065" s="266" t="s">
        <v>3275</v>
      </c>
    </row>
    <row r="1066" spans="1:150" ht="15" hidden="1" customHeight="1">
      <c r="A1066" s="1" t="s">
        <v>546</v>
      </c>
      <c r="B1066" t="s">
        <v>547</v>
      </c>
      <c r="C1066" t="s">
        <v>548</v>
      </c>
      <c r="D1066" t="s">
        <v>549</v>
      </c>
      <c r="E1066" t="s">
        <v>550</v>
      </c>
      <c r="F1066" t="s">
        <v>551</v>
      </c>
      <c r="G1066" t="s">
        <v>552</v>
      </c>
      <c r="H1066" t="s">
        <v>255</v>
      </c>
      <c r="I1066">
        <v>2017</v>
      </c>
      <c r="J1066">
        <v>3</v>
      </c>
      <c r="K1066" t="s">
        <v>553</v>
      </c>
      <c r="M1066" t="str">
        <f t="shared" si="255"/>
        <v>Crafford_2017</v>
      </c>
      <c r="N1066" t="s">
        <v>223</v>
      </c>
      <c r="O1066" s="145" t="s">
        <v>224</v>
      </c>
      <c r="Q1066" t="s">
        <v>257</v>
      </c>
      <c r="R1066" s="255" t="s">
        <v>226</v>
      </c>
      <c r="S1066" s="1" t="s">
        <v>560</v>
      </c>
      <c r="T1066" t="s">
        <v>561</v>
      </c>
      <c r="U1066" t="s">
        <v>556</v>
      </c>
      <c r="V1066">
        <v>0</v>
      </c>
      <c r="W1066">
        <v>0</v>
      </c>
      <c r="X1066">
        <v>0</v>
      </c>
      <c r="Y1066">
        <v>0</v>
      </c>
      <c r="Z1066">
        <v>0</v>
      </c>
      <c r="AA1066">
        <v>0</v>
      </c>
      <c r="AB1066">
        <v>0</v>
      </c>
      <c r="AC1066">
        <v>0</v>
      </c>
      <c r="AD1066">
        <v>0</v>
      </c>
      <c r="AE1066">
        <v>0</v>
      </c>
      <c r="AF1066">
        <v>0</v>
      </c>
      <c r="AG1066">
        <v>0</v>
      </c>
      <c r="AH1066">
        <v>0</v>
      </c>
      <c r="AI1066">
        <v>0</v>
      </c>
      <c r="AJ1066">
        <v>0</v>
      </c>
      <c r="AK1066">
        <v>1</v>
      </c>
      <c r="AL1066">
        <v>0</v>
      </c>
      <c r="AM1066">
        <v>0</v>
      </c>
      <c r="AN1066">
        <v>0</v>
      </c>
      <c r="AO1066">
        <v>0</v>
      </c>
      <c r="AP1066">
        <v>0</v>
      </c>
      <c r="AQ1066">
        <v>0</v>
      </c>
      <c r="AR1066">
        <v>0</v>
      </c>
      <c r="AS1066">
        <v>0</v>
      </c>
      <c r="AT1066">
        <v>0</v>
      </c>
      <c r="AU1066">
        <v>0</v>
      </c>
      <c r="AV1066">
        <v>0</v>
      </c>
      <c r="AW1066">
        <v>0</v>
      </c>
      <c r="AX1066" s="141">
        <f t="shared" si="266"/>
        <v>1</v>
      </c>
      <c r="AY1066" s="141">
        <f t="shared" si="292"/>
        <v>1</v>
      </c>
      <c r="AZ1066">
        <f t="shared" si="293"/>
        <v>0</v>
      </c>
      <c r="BA1066">
        <f t="shared" si="294"/>
        <v>0</v>
      </c>
      <c r="BB1066">
        <f t="shared" si="295"/>
        <v>1</v>
      </c>
      <c r="BC1066">
        <f t="shared" si="296"/>
        <v>0</v>
      </c>
      <c r="BD1066">
        <f t="shared" si="297"/>
        <v>0</v>
      </c>
      <c r="BE1066" t="str">
        <f t="array" ref="BE1066">IF(AY1066=1,INDEX($V$7:$AL$7,MATCH(TRUE,INDEX($V1066:$AW1066&lt;&gt;0,),0)),IF(AY1066=0,INDEX($AM$7:$AW$7,MATCH(1,$AM1066:$AW1066,0)),IF(BF1066="Multiple strategies","mixed drivers",IF(BF1066="Supply chain","multiple supply","multiple silviculture"))))</f>
        <v>technologies/design switch</v>
      </c>
      <c r="BF1066" s="2" t="str" cm="1">
        <f t="array" ref="BF1066">IF(COUNTIF(AZ1066:BB1066,"&lt;&gt;0")=1,INDEX($V$4:$AW$4,MATCH(TRUE,INDEX($V1066:$AW1066&lt;&gt;0,),0)),IF(COUNTIF(AZ1066:BB1066,"&lt;&gt;0")=0,INDEX($AM$4:$AW$4,MATCH(1,$AM1066:$AW1066,0)),"Multiple strategies"))</f>
        <v>Technology</v>
      </c>
      <c r="BG1066" s="1" t="s">
        <v>230</v>
      </c>
      <c r="BH1066" t="s">
        <v>557</v>
      </c>
      <c r="BI1066" t="s">
        <v>425</v>
      </c>
      <c r="BJ1066" t="s">
        <v>499</v>
      </c>
      <c r="BK1066">
        <v>0</v>
      </c>
      <c r="BL1066">
        <v>1.33</v>
      </c>
      <c r="BN1066">
        <f t="shared" si="275"/>
        <v>1.33</v>
      </c>
      <c r="BO1066">
        <f>BN1066</f>
        <v>1.33</v>
      </c>
      <c r="BP1066" t="s">
        <v>233</v>
      </c>
      <c r="BQ1066" s="260" t="s">
        <v>3295</v>
      </c>
      <c r="BR1066" t="s">
        <v>398</v>
      </c>
      <c r="BS1066">
        <v>-1038</v>
      </c>
      <c r="BT1066">
        <v>-85</v>
      </c>
      <c r="BU1066" s="144">
        <v>8.1888246628131017E-2</v>
      </c>
      <c r="BV1066">
        <v>953</v>
      </c>
      <c r="BX1066">
        <f>BV1066/1000</f>
        <v>0.95299999999999996</v>
      </c>
      <c r="BY1066">
        <f t="shared" si="262"/>
        <v>0.71654135338345859</v>
      </c>
      <c r="BZ1066">
        <v>1</v>
      </c>
      <c r="CA1066">
        <v>0</v>
      </c>
      <c r="CB1066">
        <v>0</v>
      </c>
      <c r="CC1066">
        <v>0</v>
      </c>
      <c r="CD1066">
        <v>0</v>
      </c>
      <c r="CE1066">
        <v>0</v>
      </c>
      <c r="CF1066">
        <v>0</v>
      </c>
      <c r="CG1066">
        <v>0</v>
      </c>
      <c r="CH1066">
        <v>0</v>
      </c>
      <c r="CI1066">
        <v>0</v>
      </c>
      <c r="CJ1066">
        <v>0</v>
      </c>
      <c r="CK1066">
        <v>0</v>
      </c>
      <c r="CL1066">
        <v>0</v>
      </c>
      <c r="CM1066">
        <v>0</v>
      </c>
      <c r="CN1066" t="str">
        <f t="shared" si="302"/>
        <v>refOK</v>
      </c>
      <c r="CO1066">
        <f>IF($CN1066="refOK",$BK1066,$BL1066)</f>
        <v>0</v>
      </c>
      <c r="CP1066">
        <f>IF($CN1066="refOK",$BL1066,$BK1066)</f>
        <v>1.33</v>
      </c>
      <c r="CQ1066">
        <f t="shared" si="274"/>
        <v>1.33</v>
      </c>
      <c r="CR1066">
        <f t="shared" si="307"/>
        <v>-1038</v>
      </c>
      <c r="CS1066">
        <f t="shared" si="308"/>
        <v>-85</v>
      </c>
      <c r="CT1066">
        <f t="shared" si="267"/>
        <v>0.95299999999999996</v>
      </c>
      <c r="CU1066">
        <f t="shared" si="258"/>
        <v>0.71654135338345859</v>
      </c>
      <c r="CV1066" s="2">
        <f t="shared" si="268"/>
        <v>0.91811175337186901</v>
      </c>
      <c r="CW1066" s="1" t="s">
        <v>264</v>
      </c>
      <c r="CX1066" t="str">
        <f t="shared" si="298"/>
        <v>loc</v>
      </c>
      <c r="CY1066" t="s">
        <v>558</v>
      </c>
      <c r="DB1066">
        <v>0</v>
      </c>
      <c r="DC1066" t="str">
        <f t="shared" si="299"/>
        <v>0</v>
      </c>
      <c r="DD1066">
        <v>0</v>
      </c>
      <c r="DE1066">
        <v>0</v>
      </c>
      <c r="DF1066">
        <v>0</v>
      </c>
      <c r="DG1066">
        <v>1</v>
      </c>
      <c r="DI1066">
        <f t="shared" si="309"/>
        <v>1</v>
      </c>
      <c r="DJ1066" t="str">
        <f t="shared" si="257"/>
        <v>TimberInput</v>
      </c>
      <c r="DK1066">
        <f t="shared" si="277"/>
        <v>0</v>
      </c>
      <c r="DL1066">
        <f t="shared" si="278"/>
        <v>0</v>
      </c>
      <c r="DM1066">
        <f t="shared" si="279"/>
        <v>0</v>
      </c>
      <c r="DN1066" t="str">
        <f t="shared" si="280"/>
        <v>Timber</v>
      </c>
      <c r="DO1066">
        <v>0</v>
      </c>
      <c r="DP1066">
        <v>0</v>
      </c>
      <c r="DQ1066">
        <v>0</v>
      </c>
      <c r="DR1066">
        <v>0</v>
      </c>
      <c r="DS1066">
        <v>0</v>
      </c>
      <c r="DT1066">
        <f t="shared" si="260"/>
        <v>0</v>
      </c>
      <c r="DU1066" s="143" t="str">
        <f t="shared" si="301"/>
        <v>explicit C balance</v>
      </c>
      <c r="DV1066">
        <v>0</v>
      </c>
      <c r="DW1066">
        <v>0</v>
      </c>
      <c r="DX1066">
        <v>0</v>
      </c>
      <c r="DY1066">
        <v>1</v>
      </c>
      <c r="DZ1066">
        <v>1</v>
      </c>
      <c r="EA1066" s="143">
        <v>0</v>
      </c>
      <c r="EB1066">
        <v>0</v>
      </c>
      <c r="EC1066">
        <v>1</v>
      </c>
      <c r="ED1066">
        <v>0</v>
      </c>
      <c r="EE1066">
        <v>1</v>
      </c>
      <c r="EF1066">
        <v>0</v>
      </c>
      <c r="EG1066">
        <v>0</v>
      </c>
      <c r="EH1066">
        <v>0</v>
      </c>
      <c r="EI1066" s="2">
        <v>0</v>
      </c>
      <c r="EK1066" t="str">
        <f t="shared" si="281"/>
        <v/>
      </c>
      <c r="EL1066" t="str">
        <f t="shared" si="282"/>
        <v/>
      </c>
      <c r="EM1066" s="2" t="str">
        <f t="shared" si="300"/>
        <v>Technology approach</v>
      </c>
      <c r="EP1066" t="str">
        <f>IF(ISNUMBER(BU1066),IF(ABS(BU1066-[4]QC_indicators!$B$2)&gt;3*[4]QC_indicators!$C$2,"C ratio",IF(ISNUMBER(BY1066),IF(ABS(BY1066-[4]QC_indicators!$B$1)&gt;3*[4]QC_indicators!$C$1,"DF","no"))),IF(ISNUMBER(BY1066),IF(ABS(BY1066-[4]QC_indicators!$B$1)&gt;3*[4]QC_indicators!$C$1,"DF","no")))</f>
        <v>no</v>
      </c>
      <c r="ER1066" s="149" t="s">
        <v>350</v>
      </c>
      <c r="ET1066" s="266" t="s">
        <v>3275</v>
      </c>
    </row>
    <row r="1067" spans="1:150" ht="15" hidden="1" customHeight="1">
      <c r="A1067" s="1" t="s">
        <v>546</v>
      </c>
      <c r="B1067" t="s">
        <v>547</v>
      </c>
      <c r="C1067" t="s">
        <v>548</v>
      </c>
      <c r="D1067" t="s">
        <v>549</v>
      </c>
      <c r="E1067" t="s">
        <v>550</v>
      </c>
      <c r="F1067" t="s">
        <v>551</v>
      </c>
      <c r="G1067" t="s">
        <v>552</v>
      </c>
      <c r="H1067" t="s">
        <v>255</v>
      </c>
      <c r="I1067">
        <v>2017</v>
      </c>
      <c r="J1067">
        <v>3</v>
      </c>
      <c r="K1067" t="s">
        <v>553</v>
      </c>
      <c r="M1067" t="str">
        <f t="shared" ref="M1067:M1130" si="310">LEFT($D1067,FIND(",",$D1067)-1)&amp;"_"&amp;I1067&amp;L1067</f>
        <v>Crafford_2017</v>
      </c>
      <c r="N1067" t="s">
        <v>223</v>
      </c>
      <c r="O1067" s="145" t="s">
        <v>224</v>
      </c>
      <c r="Q1067" t="s">
        <v>257</v>
      </c>
      <c r="R1067" s="255" t="s">
        <v>226</v>
      </c>
      <c r="S1067" s="1" t="s">
        <v>562</v>
      </c>
      <c r="T1067" t="s">
        <v>561</v>
      </c>
      <c r="U1067" t="s">
        <v>555</v>
      </c>
      <c r="V1067">
        <v>0</v>
      </c>
      <c r="W1067">
        <v>0</v>
      </c>
      <c r="X1067">
        <v>0</v>
      </c>
      <c r="Y1067">
        <v>0</v>
      </c>
      <c r="Z1067">
        <v>0</v>
      </c>
      <c r="AA1067">
        <v>0</v>
      </c>
      <c r="AB1067">
        <v>0</v>
      </c>
      <c r="AC1067">
        <v>0</v>
      </c>
      <c r="AD1067">
        <v>0</v>
      </c>
      <c r="AE1067">
        <v>0</v>
      </c>
      <c r="AF1067">
        <v>0</v>
      </c>
      <c r="AG1067">
        <v>0</v>
      </c>
      <c r="AH1067">
        <v>0</v>
      </c>
      <c r="AI1067">
        <v>0</v>
      </c>
      <c r="AJ1067">
        <v>0</v>
      </c>
      <c r="AK1067">
        <v>1</v>
      </c>
      <c r="AL1067">
        <v>0</v>
      </c>
      <c r="AM1067">
        <v>0</v>
      </c>
      <c r="AN1067">
        <v>0</v>
      </c>
      <c r="AO1067">
        <v>0</v>
      </c>
      <c r="AP1067">
        <v>0</v>
      </c>
      <c r="AQ1067">
        <v>0</v>
      </c>
      <c r="AR1067">
        <v>0</v>
      </c>
      <c r="AS1067">
        <v>0</v>
      </c>
      <c r="AT1067">
        <v>0</v>
      </c>
      <c r="AU1067">
        <v>0</v>
      </c>
      <c r="AV1067">
        <v>0</v>
      </c>
      <c r="AW1067">
        <v>0</v>
      </c>
      <c r="AX1067" s="141">
        <f t="shared" si="266"/>
        <v>1</v>
      </c>
      <c r="AY1067" s="141">
        <f t="shared" si="292"/>
        <v>1</v>
      </c>
      <c r="AZ1067">
        <f t="shared" si="293"/>
        <v>0</v>
      </c>
      <c r="BA1067">
        <f t="shared" si="294"/>
        <v>0</v>
      </c>
      <c r="BB1067">
        <f t="shared" si="295"/>
        <v>1</v>
      </c>
      <c r="BC1067">
        <f t="shared" si="296"/>
        <v>0</v>
      </c>
      <c r="BD1067">
        <f t="shared" si="297"/>
        <v>0</v>
      </c>
      <c r="BE1067" t="str">
        <f t="array" ref="BE1067">IF(AY1067=1,INDEX($V$7:$AL$7,MATCH(TRUE,INDEX($V1067:$AW1067&lt;&gt;0,),0)),IF(AY1067=0,INDEX($AM$7:$AW$7,MATCH(1,$AM1067:$AW1067,0)),IF(BF1067="Multiple strategies","mixed drivers",IF(BF1067="Supply chain","multiple supply","multiple silviculture"))))</f>
        <v>technologies/design switch</v>
      </c>
      <c r="BF1067" s="2" t="str" cm="1">
        <f t="array" ref="BF1067">IF(COUNTIF(AZ1067:BB1067,"&lt;&gt;0")=1,INDEX($V$4:$AW$4,MATCH(TRUE,INDEX($V1067:$AW1067&lt;&gt;0,),0)),IF(COUNTIF(AZ1067:BB1067,"&lt;&gt;0")=0,INDEX($AM$4:$AW$4,MATCH(1,$AM1067:$AW1067,0)),"Multiple strategies"))</f>
        <v>Technology</v>
      </c>
      <c r="BG1067" s="1" t="s">
        <v>230</v>
      </c>
      <c r="BH1067" t="s">
        <v>557</v>
      </c>
      <c r="BI1067" t="s">
        <v>425</v>
      </c>
      <c r="BJ1067" t="s">
        <v>499</v>
      </c>
      <c r="BK1067">
        <v>0</v>
      </c>
      <c r="BL1067">
        <v>6.05</v>
      </c>
      <c r="BN1067">
        <f t="shared" si="275"/>
        <v>6.05</v>
      </c>
      <c r="BO1067">
        <f>BN1067</f>
        <v>6.05</v>
      </c>
      <c r="BP1067" t="s">
        <v>233</v>
      </c>
      <c r="BQ1067" s="260" t="s">
        <v>3296</v>
      </c>
      <c r="BR1067" t="s">
        <v>398</v>
      </c>
      <c r="BS1067">
        <v>-6769</v>
      </c>
      <c r="BT1067">
        <v>-1242</v>
      </c>
      <c r="BU1067" s="144">
        <v>0.18348352784754027</v>
      </c>
      <c r="BV1067">
        <v>5527</v>
      </c>
      <c r="BX1067">
        <f>BV1067/1000</f>
        <v>5.5270000000000001</v>
      </c>
      <c r="BY1067">
        <f t="shared" si="262"/>
        <v>0.91355371900826454</v>
      </c>
      <c r="BZ1067">
        <v>1</v>
      </c>
      <c r="CA1067">
        <v>0</v>
      </c>
      <c r="CB1067">
        <v>0</v>
      </c>
      <c r="CC1067">
        <v>0</v>
      </c>
      <c r="CD1067">
        <v>0</v>
      </c>
      <c r="CE1067">
        <v>0</v>
      </c>
      <c r="CF1067">
        <v>0</v>
      </c>
      <c r="CG1067">
        <v>0</v>
      </c>
      <c r="CH1067">
        <v>0</v>
      </c>
      <c r="CI1067">
        <v>0</v>
      </c>
      <c r="CJ1067">
        <v>0</v>
      </c>
      <c r="CK1067">
        <v>0</v>
      </c>
      <c r="CL1067">
        <v>0</v>
      </c>
      <c r="CM1067">
        <v>0</v>
      </c>
      <c r="CN1067" t="str">
        <f t="shared" si="302"/>
        <v>refOK</v>
      </c>
      <c r="CO1067">
        <f>IF($CN1067="refOK",$BK1067,$BL1067)</f>
        <v>0</v>
      </c>
      <c r="CP1067">
        <f>IF($CN1067="refOK",$BL1067,$BK1067)</f>
        <v>6.05</v>
      </c>
      <c r="CQ1067">
        <f t="shared" si="274"/>
        <v>6.05</v>
      </c>
      <c r="CR1067">
        <f t="shared" si="307"/>
        <v>-6769</v>
      </c>
      <c r="CS1067">
        <f t="shared" si="308"/>
        <v>-1242</v>
      </c>
      <c r="CT1067">
        <f t="shared" si="267"/>
        <v>5.5270000000000001</v>
      </c>
      <c r="CU1067">
        <f t="shared" si="258"/>
        <v>0.91355371900826454</v>
      </c>
      <c r="CV1067" s="2">
        <f t="shared" si="268"/>
        <v>0.8165164721524597</v>
      </c>
      <c r="CW1067" s="1" t="s">
        <v>264</v>
      </c>
      <c r="CX1067" t="str">
        <f t="shared" si="298"/>
        <v>loc</v>
      </c>
      <c r="CY1067" t="s">
        <v>558</v>
      </c>
      <c r="DB1067">
        <v>0</v>
      </c>
      <c r="DC1067" t="str">
        <f t="shared" si="299"/>
        <v>0</v>
      </c>
      <c r="DD1067">
        <v>0</v>
      </c>
      <c r="DE1067">
        <v>0</v>
      </c>
      <c r="DF1067">
        <v>0</v>
      </c>
      <c r="DG1067">
        <v>1</v>
      </c>
      <c r="DI1067">
        <f t="shared" si="309"/>
        <v>1</v>
      </c>
      <c r="DJ1067" t="str">
        <f t="shared" ref="DJ1067:DJ1130" si="311">IF(DI1067=1,INDEX($DD$7:$DG$7,MATCH(1,$DD1067:$DG1067,0)),"mixedProduct")</f>
        <v>TimberInput</v>
      </c>
      <c r="DK1067">
        <f t="shared" si="277"/>
        <v>0</v>
      </c>
      <c r="DL1067">
        <f t="shared" si="278"/>
        <v>0</v>
      </c>
      <c r="DM1067">
        <f t="shared" si="279"/>
        <v>0</v>
      </c>
      <c r="DN1067" t="str">
        <f t="shared" si="280"/>
        <v>Timber</v>
      </c>
      <c r="DO1067">
        <v>0</v>
      </c>
      <c r="DP1067">
        <v>0</v>
      </c>
      <c r="DQ1067">
        <v>0</v>
      </c>
      <c r="DR1067">
        <v>0</v>
      </c>
      <c r="DS1067">
        <v>0</v>
      </c>
      <c r="DT1067">
        <f t="shared" si="260"/>
        <v>0</v>
      </c>
      <c r="DU1067" s="143" t="str">
        <f t="shared" si="301"/>
        <v>explicit C balance</v>
      </c>
      <c r="DV1067">
        <v>0</v>
      </c>
      <c r="DW1067">
        <v>0</v>
      </c>
      <c r="DX1067">
        <v>0</v>
      </c>
      <c r="DY1067">
        <v>1</v>
      </c>
      <c r="DZ1067">
        <v>1</v>
      </c>
      <c r="EA1067" s="143">
        <v>0</v>
      </c>
      <c r="EB1067">
        <v>0</v>
      </c>
      <c r="EC1067">
        <v>1</v>
      </c>
      <c r="ED1067">
        <v>0</v>
      </c>
      <c r="EE1067">
        <v>1</v>
      </c>
      <c r="EF1067">
        <v>0</v>
      </c>
      <c r="EG1067">
        <v>0</v>
      </c>
      <c r="EH1067">
        <v>0</v>
      </c>
      <c r="EI1067" s="2">
        <v>0</v>
      </c>
      <c r="EK1067" t="str">
        <f t="shared" si="281"/>
        <v/>
      </c>
      <c r="EL1067" t="str">
        <f t="shared" si="282"/>
        <v/>
      </c>
      <c r="EM1067" s="2" t="str">
        <f t="shared" si="300"/>
        <v>Technology approach</v>
      </c>
      <c r="EP1067" t="str">
        <f>IF(ISNUMBER(BU1067),IF(ABS(BU1067-[4]QC_indicators!$B$2)&gt;3*[4]QC_indicators!$C$2,"C ratio",IF(ISNUMBER(BY1067),IF(ABS(BY1067-[4]QC_indicators!$B$1)&gt;3*[4]QC_indicators!$C$1,"DF","no"))),IF(ISNUMBER(BY1067),IF(ABS(BY1067-[4]QC_indicators!$B$1)&gt;3*[4]QC_indicators!$C$1,"DF","no")))</f>
        <v>no</v>
      </c>
      <c r="ER1067" s="149" t="s">
        <v>350</v>
      </c>
      <c r="ET1067" s="266" t="s">
        <v>3275</v>
      </c>
    </row>
    <row r="1068" spans="1:150" ht="15" hidden="1" customHeight="1">
      <c r="A1068" s="1" t="s">
        <v>546</v>
      </c>
      <c r="B1068" t="s">
        <v>547</v>
      </c>
      <c r="C1068" t="s">
        <v>548</v>
      </c>
      <c r="D1068" t="s">
        <v>549</v>
      </c>
      <c r="E1068" t="s">
        <v>550</v>
      </c>
      <c r="F1068" t="s">
        <v>551</v>
      </c>
      <c r="G1068" t="s">
        <v>552</v>
      </c>
      <c r="H1068" t="s">
        <v>255</v>
      </c>
      <c r="I1068">
        <v>2017</v>
      </c>
      <c r="J1068">
        <v>3</v>
      </c>
      <c r="K1068" t="s">
        <v>553</v>
      </c>
      <c r="M1068" t="str">
        <f t="shared" si="310"/>
        <v>Crafford_2017</v>
      </c>
      <c r="N1068" t="s">
        <v>223</v>
      </c>
      <c r="O1068" s="145" t="s">
        <v>224</v>
      </c>
      <c r="Q1068" t="s">
        <v>257</v>
      </c>
      <c r="R1068" s="255" t="s">
        <v>226</v>
      </c>
      <c r="S1068" s="1" t="s">
        <v>562</v>
      </c>
      <c r="T1068" t="s">
        <v>561</v>
      </c>
      <c r="U1068" t="s">
        <v>556</v>
      </c>
      <c r="V1068">
        <v>0</v>
      </c>
      <c r="W1068">
        <v>0</v>
      </c>
      <c r="X1068">
        <v>0</v>
      </c>
      <c r="Y1068">
        <v>0</v>
      </c>
      <c r="Z1068">
        <v>0</v>
      </c>
      <c r="AA1068">
        <v>0</v>
      </c>
      <c r="AB1068">
        <v>0</v>
      </c>
      <c r="AC1068">
        <v>0</v>
      </c>
      <c r="AD1068">
        <v>0</v>
      </c>
      <c r="AE1068">
        <v>0</v>
      </c>
      <c r="AF1068">
        <v>0</v>
      </c>
      <c r="AG1068">
        <v>0</v>
      </c>
      <c r="AH1068">
        <v>0</v>
      </c>
      <c r="AI1068">
        <v>0</v>
      </c>
      <c r="AJ1068">
        <v>0</v>
      </c>
      <c r="AK1068">
        <v>1</v>
      </c>
      <c r="AL1068">
        <v>0</v>
      </c>
      <c r="AM1068">
        <v>0</v>
      </c>
      <c r="AN1068">
        <v>0</v>
      </c>
      <c r="AO1068">
        <v>0</v>
      </c>
      <c r="AP1068">
        <v>0</v>
      </c>
      <c r="AQ1068">
        <v>0</v>
      </c>
      <c r="AR1068">
        <v>0</v>
      </c>
      <c r="AS1068">
        <v>0</v>
      </c>
      <c r="AT1068">
        <v>0</v>
      </c>
      <c r="AU1068">
        <v>0</v>
      </c>
      <c r="AV1068">
        <v>0</v>
      </c>
      <c r="AW1068">
        <v>0</v>
      </c>
      <c r="AX1068" s="141">
        <f t="shared" si="266"/>
        <v>1</v>
      </c>
      <c r="AY1068" s="141">
        <f t="shared" si="292"/>
        <v>1</v>
      </c>
      <c r="AZ1068">
        <f t="shared" si="293"/>
        <v>0</v>
      </c>
      <c r="BA1068">
        <f t="shared" si="294"/>
        <v>0</v>
      </c>
      <c r="BB1068">
        <f t="shared" si="295"/>
        <v>1</v>
      </c>
      <c r="BC1068">
        <f t="shared" si="296"/>
        <v>0</v>
      </c>
      <c r="BD1068">
        <f t="shared" si="297"/>
        <v>0</v>
      </c>
      <c r="BE1068" t="str">
        <f t="array" ref="BE1068">IF(AY1068=1,INDEX($V$7:$AL$7,MATCH(TRUE,INDEX($V1068:$AW1068&lt;&gt;0,),0)),IF(AY1068=0,INDEX($AM$7:$AW$7,MATCH(1,$AM1068:$AW1068,0)),IF(BF1068="Multiple strategies","mixed drivers",IF(BF1068="Supply chain","multiple supply","multiple silviculture"))))</f>
        <v>technologies/design switch</v>
      </c>
      <c r="BF1068" s="2" t="str" cm="1">
        <f t="array" ref="BF1068">IF(COUNTIF(AZ1068:BB1068,"&lt;&gt;0")=1,INDEX($V$4:$AW$4,MATCH(TRUE,INDEX($V1068:$AW1068&lt;&gt;0,),0)),IF(COUNTIF(AZ1068:BB1068,"&lt;&gt;0")=0,INDEX($AM$4:$AW$4,MATCH(1,$AM1068:$AW1068,0)),"Multiple strategies"))</f>
        <v>Technology</v>
      </c>
      <c r="BG1068" s="1" t="s">
        <v>230</v>
      </c>
      <c r="BH1068" t="s">
        <v>557</v>
      </c>
      <c r="BI1068" t="s">
        <v>425</v>
      </c>
      <c r="BJ1068" t="s">
        <v>499</v>
      </c>
      <c r="BK1068">
        <v>0</v>
      </c>
      <c r="BL1068">
        <v>6.05</v>
      </c>
      <c r="BN1068">
        <f t="shared" si="275"/>
        <v>6.05</v>
      </c>
      <c r="BO1068">
        <f>BN1068</f>
        <v>6.05</v>
      </c>
      <c r="BP1068" t="s">
        <v>233</v>
      </c>
      <c r="BQ1068" s="260" t="s">
        <v>3297</v>
      </c>
      <c r="BR1068" t="s">
        <v>398</v>
      </c>
      <c r="BS1068">
        <v>-6769</v>
      </c>
      <c r="BT1068">
        <v>-873</v>
      </c>
      <c r="BU1068" s="144">
        <v>0.12897030580587976</v>
      </c>
      <c r="BV1068">
        <v>5896</v>
      </c>
      <c r="BX1068">
        <f>BV1068/1000</f>
        <v>5.8959999999999999</v>
      </c>
      <c r="BY1068">
        <f t="shared" si="262"/>
        <v>0.9745454545454546</v>
      </c>
      <c r="BZ1068">
        <v>1</v>
      </c>
      <c r="CA1068">
        <v>0</v>
      </c>
      <c r="CB1068">
        <v>0</v>
      </c>
      <c r="CC1068">
        <v>0</v>
      </c>
      <c r="CD1068">
        <v>0</v>
      </c>
      <c r="CE1068">
        <v>0</v>
      </c>
      <c r="CF1068">
        <v>0</v>
      </c>
      <c r="CG1068">
        <v>0</v>
      </c>
      <c r="CH1068">
        <v>0</v>
      </c>
      <c r="CI1068">
        <v>0</v>
      </c>
      <c r="CJ1068">
        <v>0</v>
      </c>
      <c r="CK1068">
        <v>0</v>
      </c>
      <c r="CL1068">
        <v>0</v>
      </c>
      <c r="CM1068">
        <v>0</v>
      </c>
      <c r="CN1068" t="str">
        <f t="shared" si="302"/>
        <v>refOK</v>
      </c>
      <c r="CO1068">
        <f>IF($CN1068="refOK",$BK1068,$BL1068)</f>
        <v>0</v>
      </c>
      <c r="CP1068">
        <f>IF($CN1068="refOK",$BL1068,$BK1068)</f>
        <v>6.05</v>
      </c>
      <c r="CQ1068">
        <f t="shared" si="274"/>
        <v>6.05</v>
      </c>
      <c r="CR1068">
        <f t="shared" si="307"/>
        <v>-6769</v>
      </c>
      <c r="CS1068">
        <f t="shared" si="308"/>
        <v>-873</v>
      </c>
      <c r="CT1068">
        <f t="shared" si="267"/>
        <v>5.8959999999999999</v>
      </c>
      <c r="CU1068">
        <f t="shared" si="258"/>
        <v>0.9745454545454546</v>
      </c>
      <c r="CV1068" s="2">
        <f t="shared" si="268"/>
        <v>0.87102969419412024</v>
      </c>
      <c r="CW1068" s="1" t="s">
        <v>264</v>
      </c>
      <c r="CX1068" t="str">
        <f t="shared" si="298"/>
        <v>loc</v>
      </c>
      <c r="CY1068" t="s">
        <v>558</v>
      </c>
      <c r="DB1068">
        <v>0</v>
      </c>
      <c r="DC1068" t="str">
        <f t="shared" si="299"/>
        <v>0</v>
      </c>
      <c r="DD1068">
        <v>0</v>
      </c>
      <c r="DE1068">
        <v>0</v>
      </c>
      <c r="DF1068">
        <v>0</v>
      </c>
      <c r="DG1068">
        <v>1</v>
      </c>
      <c r="DI1068">
        <f t="shared" si="309"/>
        <v>1</v>
      </c>
      <c r="DJ1068" t="str">
        <f t="shared" si="311"/>
        <v>TimberInput</v>
      </c>
      <c r="DK1068">
        <f t="shared" si="277"/>
        <v>0</v>
      </c>
      <c r="DL1068">
        <f t="shared" si="278"/>
        <v>0</v>
      </c>
      <c r="DM1068">
        <f t="shared" si="279"/>
        <v>0</v>
      </c>
      <c r="DN1068" t="str">
        <f t="shared" si="280"/>
        <v>Timber</v>
      </c>
      <c r="DO1068">
        <v>0</v>
      </c>
      <c r="DP1068">
        <v>0</v>
      </c>
      <c r="DQ1068">
        <v>0</v>
      </c>
      <c r="DR1068">
        <v>0</v>
      </c>
      <c r="DS1068">
        <v>0</v>
      </c>
      <c r="DT1068">
        <f t="shared" si="260"/>
        <v>0</v>
      </c>
      <c r="DU1068" s="143" t="str">
        <f t="shared" si="301"/>
        <v>explicit C balance</v>
      </c>
      <c r="DV1068">
        <v>0</v>
      </c>
      <c r="DW1068">
        <v>0</v>
      </c>
      <c r="DX1068">
        <v>0</v>
      </c>
      <c r="DY1068">
        <v>1</v>
      </c>
      <c r="DZ1068">
        <v>1</v>
      </c>
      <c r="EA1068" s="143">
        <v>0</v>
      </c>
      <c r="EB1068">
        <v>0</v>
      </c>
      <c r="EC1068">
        <v>1</v>
      </c>
      <c r="ED1068">
        <v>0</v>
      </c>
      <c r="EE1068">
        <v>1</v>
      </c>
      <c r="EF1068">
        <v>0</v>
      </c>
      <c r="EG1068">
        <v>0</v>
      </c>
      <c r="EH1068">
        <v>0</v>
      </c>
      <c r="EI1068" s="2">
        <v>0</v>
      </c>
      <c r="EK1068" t="str">
        <f t="shared" si="281"/>
        <v/>
      </c>
      <c r="EL1068" t="str">
        <f t="shared" si="282"/>
        <v/>
      </c>
      <c r="EM1068" s="2" t="str">
        <f t="shared" si="300"/>
        <v>Technology approach</v>
      </c>
      <c r="EP1068" t="str">
        <f>IF(ISNUMBER(BU1068),IF(ABS(BU1068-[4]QC_indicators!$B$2)&gt;3*[4]QC_indicators!$C$2,"C ratio",IF(ISNUMBER(BY1068),IF(ABS(BY1068-[4]QC_indicators!$B$1)&gt;3*[4]QC_indicators!$C$1,"DF","no"))),IF(ISNUMBER(BY1068),IF(ABS(BY1068-[4]QC_indicators!$B$1)&gt;3*[4]QC_indicators!$C$1,"DF","no")))</f>
        <v>no</v>
      </c>
      <c r="ER1068" s="149" t="s">
        <v>350</v>
      </c>
      <c r="ET1068" s="266" t="s">
        <v>3275</v>
      </c>
    </row>
    <row r="1069" spans="1:150" ht="15" hidden="1" customHeight="1">
      <c r="A1069" s="1" t="s">
        <v>506</v>
      </c>
      <c r="B1069" t="s">
        <v>529</v>
      </c>
      <c r="C1069" t="s">
        <v>530</v>
      </c>
      <c r="D1069" t="s">
        <v>531</v>
      </c>
      <c r="E1069" t="s">
        <v>532</v>
      </c>
      <c r="F1069" t="s">
        <v>533</v>
      </c>
      <c r="G1069" t="s">
        <v>512</v>
      </c>
      <c r="H1069" t="s">
        <v>255</v>
      </c>
      <c r="I1069">
        <v>2015</v>
      </c>
      <c r="J1069">
        <v>31</v>
      </c>
      <c r="K1069" t="s">
        <v>534</v>
      </c>
      <c r="M1069" t="str">
        <f t="shared" si="310"/>
        <v>Cambero_2015</v>
      </c>
      <c r="N1069" t="s">
        <v>223</v>
      </c>
      <c r="O1069" s="145" t="s">
        <v>224</v>
      </c>
      <c r="Q1069" t="s">
        <v>257</v>
      </c>
      <c r="R1069" s="255" t="s">
        <v>226</v>
      </c>
      <c r="S1069" s="1" t="s">
        <v>535</v>
      </c>
      <c r="T1069" t="s">
        <v>536</v>
      </c>
      <c r="U1069" t="s">
        <v>544</v>
      </c>
      <c r="V1069">
        <v>0</v>
      </c>
      <c r="W1069">
        <v>0</v>
      </c>
      <c r="X1069">
        <v>0</v>
      </c>
      <c r="Y1069">
        <v>0</v>
      </c>
      <c r="Z1069">
        <v>0</v>
      </c>
      <c r="AA1069">
        <v>0</v>
      </c>
      <c r="AB1069">
        <v>0</v>
      </c>
      <c r="AC1069">
        <v>0</v>
      </c>
      <c r="AD1069">
        <v>0</v>
      </c>
      <c r="AE1069">
        <v>0</v>
      </c>
      <c r="AF1069">
        <v>0</v>
      </c>
      <c r="AG1069">
        <v>0</v>
      </c>
      <c r="AH1069">
        <v>0</v>
      </c>
      <c r="AI1069">
        <v>0</v>
      </c>
      <c r="AJ1069">
        <v>0</v>
      </c>
      <c r="AK1069">
        <v>1</v>
      </c>
      <c r="AL1069">
        <v>0</v>
      </c>
      <c r="AM1069">
        <v>0</v>
      </c>
      <c r="AN1069">
        <v>0</v>
      </c>
      <c r="AO1069">
        <v>0</v>
      </c>
      <c r="AP1069">
        <v>0</v>
      </c>
      <c r="AQ1069">
        <v>0</v>
      </c>
      <c r="AR1069">
        <v>0</v>
      </c>
      <c r="AS1069">
        <v>0</v>
      </c>
      <c r="AT1069">
        <v>0</v>
      </c>
      <c r="AU1069">
        <v>0</v>
      </c>
      <c r="AV1069">
        <v>0</v>
      </c>
      <c r="AW1069">
        <v>0</v>
      </c>
      <c r="AX1069" s="141">
        <f t="shared" si="266"/>
        <v>1</v>
      </c>
      <c r="AY1069" s="141">
        <f t="shared" si="292"/>
        <v>1</v>
      </c>
      <c r="AZ1069">
        <f t="shared" si="293"/>
        <v>0</v>
      </c>
      <c r="BA1069">
        <f t="shared" si="294"/>
        <v>0</v>
      </c>
      <c r="BB1069">
        <f t="shared" si="295"/>
        <v>1</v>
      </c>
      <c r="BC1069">
        <f t="shared" si="296"/>
        <v>0</v>
      </c>
      <c r="BD1069">
        <f t="shared" si="297"/>
        <v>0</v>
      </c>
      <c r="BE1069" t="str">
        <f t="array" ref="BE1069">IF(AY1069=1,INDEX($V$7:$AL$7,MATCH(TRUE,INDEX($V1069:$AW1069&lt;&gt;0,),0)),IF(AY1069=0,INDEX($AM$7:$AW$7,MATCH(1,$AM1069:$AW1069,0)),IF(BF1069="Multiple strategies","mixed drivers",IF(BF1069="Supply chain","multiple supply","multiple silviculture"))))</f>
        <v>technologies/design switch</v>
      </c>
      <c r="BF1069" s="2" t="str" cm="1">
        <f t="array" ref="BF1069">IF(COUNTIF(AZ1069:BB1069,"&lt;&gt;0")=1,INDEX($V$4:$AW$4,MATCH(TRUE,INDEX($V1069:$AW1069&lt;&gt;0,),0)),IF(COUNTIF(AZ1069:BB1069,"&lt;&gt;0")=0,INDEX($AM$4:$AW$4,MATCH(1,$AM1069:$AW1069,0)),"Multiple strategies"))</f>
        <v>Technology</v>
      </c>
      <c r="BG1069" s="1" t="s">
        <v>230</v>
      </c>
      <c r="BH1069" t="s">
        <v>538</v>
      </c>
      <c r="BI1069" s="260" t="s">
        <v>3288</v>
      </c>
      <c r="BJ1069" t="s">
        <v>539</v>
      </c>
      <c r="BK1069">
        <v>0</v>
      </c>
      <c r="BL1069">
        <v>17619.047620000001</v>
      </c>
      <c r="BN1069">
        <f t="shared" si="275"/>
        <v>17619.047620000001</v>
      </c>
      <c r="BO1069">
        <f>BN1069*t_to_m3</f>
        <v>35957.24004081633</v>
      </c>
      <c r="BP1069" t="s">
        <v>233</v>
      </c>
      <c r="BQ1069" s="260" t="s">
        <v>3289</v>
      </c>
      <c r="BR1069" t="s">
        <v>540</v>
      </c>
      <c r="BS1069">
        <v>-178600</v>
      </c>
      <c r="BT1069">
        <v>-162200</v>
      </c>
      <c r="BU1069" s="144">
        <v>0.90817469204927215</v>
      </c>
      <c r="BV1069">
        <v>16400</v>
      </c>
      <c r="BX1069">
        <f>BV1069</f>
        <v>16400</v>
      </c>
      <c r="BY1069">
        <f t="shared" si="262"/>
        <v>0.45609729727264336</v>
      </c>
      <c r="BZ1069" s="143">
        <v>0</v>
      </c>
      <c r="CA1069" s="143">
        <v>0</v>
      </c>
      <c r="CB1069" s="143">
        <v>0</v>
      </c>
      <c r="CC1069" s="143">
        <v>0</v>
      </c>
      <c r="CD1069" s="143">
        <v>0</v>
      </c>
      <c r="CE1069" s="143">
        <v>0</v>
      </c>
      <c r="CF1069" s="143">
        <v>0</v>
      </c>
      <c r="CG1069" s="143">
        <v>0</v>
      </c>
      <c r="CH1069" s="143">
        <v>0</v>
      </c>
      <c r="CI1069" s="143">
        <v>0</v>
      </c>
      <c r="CJ1069" s="143">
        <v>0</v>
      </c>
      <c r="CK1069" s="143">
        <v>0</v>
      </c>
      <c r="CL1069" s="143">
        <v>0</v>
      </c>
      <c r="CM1069">
        <v>1</v>
      </c>
      <c r="CN1069" t="str">
        <f t="shared" si="302"/>
        <v>refOK</v>
      </c>
      <c r="CO1069">
        <f>IF($CN1069="refNeedCorrection",BL1069,BK1069)</f>
        <v>0</v>
      </c>
      <c r="CP1069">
        <f>IF($CN1069="refNeedCorrection",BK1069,BL1069)</f>
        <v>17619.047620000001</v>
      </c>
      <c r="CQ1069">
        <f t="shared" si="274"/>
        <v>35957.24004081633</v>
      </c>
      <c r="CR1069">
        <f t="shared" si="307"/>
        <v>-178600</v>
      </c>
      <c r="CS1069">
        <f t="shared" si="308"/>
        <v>-162200</v>
      </c>
      <c r="CT1069">
        <f t="shared" si="267"/>
        <v>16400</v>
      </c>
      <c r="CU1069">
        <f t="shared" ref="CU1069:CU1132" si="312">IFERROR(CT1069/CQ1069,"")</f>
        <v>0.45609729727264336</v>
      </c>
      <c r="CV1069" s="2">
        <f t="shared" si="268"/>
        <v>9.182530795072788E-2</v>
      </c>
      <c r="CW1069" s="1" t="s">
        <v>348</v>
      </c>
      <c r="CX1069" t="str">
        <f t="shared" si="298"/>
        <v>loc</v>
      </c>
      <c r="CY1069" t="s">
        <v>541</v>
      </c>
      <c r="DB1069">
        <v>0</v>
      </c>
      <c r="DC1069" t="str">
        <f t="shared" si="299"/>
        <v>0</v>
      </c>
      <c r="DD1069">
        <v>0</v>
      </c>
      <c r="DE1069">
        <v>1</v>
      </c>
      <c r="DF1069">
        <v>0</v>
      </c>
      <c r="DG1069">
        <v>0</v>
      </c>
      <c r="DI1069">
        <f t="shared" si="309"/>
        <v>1</v>
      </c>
      <c r="DJ1069" t="str">
        <f t="shared" si="311"/>
        <v>EnergyInput</v>
      </c>
      <c r="DK1069">
        <f t="shared" si="277"/>
        <v>0</v>
      </c>
      <c r="DL1069" t="str">
        <f t="shared" si="278"/>
        <v>Energy</v>
      </c>
      <c r="DM1069">
        <f t="shared" si="279"/>
        <v>0</v>
      </c>
      <c r="DN1069">
        <f t="shared" si="280"/>
        <v>0</v>
      </c>
      <c r="DO1069">
        <v>0</v>
      </c>
      <c r="DP1069" s="143">
        <v>0</v>
      </c>
      <c r="DQ1069" s="143">
        <v>0</v>
      </c>
      <c r="DR1069" s="143">
        <v>0</v>
      </c>
      <c r="DS1069">
        <v>0</v>
      </c>
      <c r="DT1069">
        <f t="shared" si="260"/>
        <v>0</v>
      </c>
      <c r="DU1069" s="143" t="str">
        <f t="shared" si="301"/>
        <v>explicit C balance</v>
      </c>
      <c r="DV1069">
        <v>0</v>
      </c>
      <c r="DW1069" s="143">
        <v>1</v>
      </c>
      <c r="DX1069" s="143">
        <v>0</v>
      </c>
      <c r="DY1069" s="143">
        <v>0</v>
      </c>
      <c r="DZ1069">
        <v>1</v>
      </c>
      <c r="EA1069" s="143">
        <v>0</v>
      </c>
      <c r="EC1069" s="143">
        <v>1</v>
      </c>
      <c r="ED1069" s="143">
        <v>0</v>
      </c>
      <c r="EE1069" s="143">
        <v>0</v>
      </c>
      <c r="EF1069" s="143">
        <v>0</v>
      </c>
      <c r="EG1069" s="143">
        <v>0</v>
      </c>
      <c r="EH1069" s="143">
        <v>0</v>
      </c>
      <c r="EI1069" s="2">
        <v>0</v>
      </c>
      <c r="EK1069" t="str">
        <f t="shared" si="281"/>
        <v/>
      </c>
      <c r="EL1069" t="str">
        <f t="shared" si="282"/>
        <v/>
      </c>
      <c r="EM1069" s="2" t="str">
        <f t="shared" si="300"/>
        <v/>
      </c>
      <c r="EP1069" t="str">
        <f>IF(ISNUMBER(BU1069),IF(ABS(BU1069-[4]QC_indicators!$B$2)&gt;3*[4]QC_indicators!$C$2,"C ratio",IF(ISNUMBER(BY1069),IF(ABS(BY1069-[4]QC_indicators!$B$1)&gt;3*[4]QC_indicators!$C$1,"DF","no"))),IF(ISNUMBER(BY1069),IF(ABS(BY1069-[4]QC_indicators!$B$1)&gt;3*[4]QC_indicators!$C$1,"DF","no")))</f>
        <v>no</v>
      </c>
      <c r="ER1069" s="149" t="s">
        <v>350</v>
      </c>
      <c r="ET1069" s="266" t="s">
        <v>3275</v>
      </c>
    </row>
    <row r="1070" spans="1:150" ht="15" hidden="1" customHeight="1">
      <c r="A1070" s="1" t="s">
        <v>546</v>
      </c>
      <c r="B1070" t="s">
        <v>547</v>
      </c>
      <c r="C1070" t="s">
        <v>548</v>
      </c>
      <c r="D1070" t="s">
        <v>549</v>
      </c>
      <c r="E1070" t="s">
        <v>550</v>
      </c>
      <c r="F1070" t="s">
        <v>551</v>
      </c>
      <c r="G1070" t="s">
        <v>552</v>
      </c>
      <c r="H1070" t="s">
        <v>255</v>
      </c>
      <c r="I1070">
        <v>2017</v>
      </c>
      <c r="J1070">
        <v>3</v>
      </c>
      <c r="K1070" t="s">
        <v>553</v>
      </c>
      <c r="M1070" t="str">
        <f t="shared" si="310"/>
        <v>Crafford_2017</v>
      </c>
      <c r="N1070" t="s">
        <v>223</v>
      </c>
      <c r="O1070" s="145" t="s">
        <v>224</v>
      </c>
      <c r="Q1070" t="s">
        <v>257</v>
      </c>
      <c r="R1070" s="255" t="s">
        <v>226</v>
      </c>
      <c r="S1070" s="1" t="s">
        <v>560</v>
      </c>
      <c r="T1070" t="s">
        <v>561</v>
      </c>
      <c r="U1070" t="s">
        <v>556</v>
      </c>
      <c r="V1070">
        <v>0</v>
      </c>
      <c r="W1070">
        <v>0</v>
      </c>
      <c r="X1070">
        <v>0</v>
      </c>
      <c r="Y1070">
        <v>0</v>
      </c>
      <c r="Z1070">
        <v>0</v>
      </c>
      <c r="AA1070">
        <v>0</v>
      </c>
      <c r="AB1070">
        <v>0</v>
      </c>
      <c r="AC1070">
        <v>0</v>
      </c>
      <c r="AD1070">
        <v>0</v>
      </c>
      <c r="AE1070">
        <v>0</v>
      </c>
      <c r="AF1070">
        <v>0</v>
      </c>
      <c r="AG1070">
        <v>0</v>
      </c>
      <c r="AH1070">
        <v>0</v>
      </c>
      <c r="AI1070">
        <v>0</v>
      </c>
      <c r="AJ1070">
        <v>0</v>
      </c>
      <c r="AK1070">
        <v>1</v>
      </c>
      <c r="AL1070">
        <v>0</v>
      </c>
      <c r="AM1070">
        <v>0</v>
      </c>
      <c r="AN1070">
        <v>0</v>
      </c>
      <c r="AO1070">
        <v>0</v>
      </c>
      <c r="AP1070">
        <v>0</v>
      </c>
      <c r="AQ1070">
        <v>0</v>
      </c>
      <c r="AR1070">
        <v>0</v>
      </c>
      <c r="AS1070">
        <v>0</v>
      </c>
      <c r="AT1070">
        <v>0</v>
      </c>
      <c r="AU1070">
        <v>0</v>
      </c>
      <c r="AV1070">
        <v>0</v>
      </c>
      <c r="AW1070">
        <v>0</v>
      </c>
      <c r="AX1070" s="141">
        <f t="shared" si="266"/>
        <v>1</v>
      </c>
      <c r="AY1070" s="141">
        <f t="shared" si="292"/>
        <v>1</v>
      </c>
      <c r="AZ1070">
        <f t="shared" si="293"/>
        <v>0</v>
      </c>
      <c r="BA1070">
        <f t="shared" si="294"/>
        <v>0</v>
      </c>
      <c r="BB1070">
        <f t="shared" si="295"/>
        <v>1</v>
      </c>
      <c r="BC1070">
        <f t="shared" si="296"/>
        <v>0</v>
      </c>
      <c r="BD1070">
        <f t="shared" si="297"/>
        <v>0</v>
      </c>
      <c r="BE1070" t="str">
        <f t="array" ref="BE1070">IF(AY1070=1,INDEX($V$7:$AL$7,MATCH(TRUE,INDEX($V1070:$AW1070&lt;&gt;0,),0)),IF(AY1070=0,INDEX($AM$7:$AW$7,MATCH(1,$AM1070:$AW1070,0)),IF(BF1070="Multiple strategies","mixed drivers",IF(BF1070="Supply chain","multiple supply","multiple silviculture"))))</f>
        <v>technologies/design switch</v>
      </c>
      <c r="BF1070" s="2" t="str" cm="1">
        <f t="array" ref="BF1070">IF(COUNTIF(AZ1070:BB1070,"&lt;&gt;0")=1,INDEX($V$4:$AW$4,MATCH(TRUE,INDEX($V1070:$AW1070&lt;&gt;0,),0)),IF(COUNTIF(AZ1070:BB1070,"&lt;&gt;0")=0,INDEX($AM$4:$AW$4,MATCH(1,$AM1070:$AW1070,0)),"Multiple strategies"))</f>
        <v>Technology</v>
      </c>
      <c r="BG1070" s="1" t="s">
        <v>230</v>
      </c>
      <c r="BH1070" t="s">
        <v>557</v>
      </c>
      <c r="BI1070" t="s">
        <v>425</v>
      </c>
      <c r="BJ1070" t="s">
        <v>499</v>
      </c>
      <c r="BK1070">
        <v>0</v>
      </c>
      <c r="BL1070">
        <v>1.33</v>
      </c>
      <c r="BN1070">
        <f t="shared" si="275"/>
        <v>1.33</v>
      </c>
      <c r="BO1070">
        <f t="shared" ref="BO1070:BO1078" si="313">BN1070</f>
        <v>1.33</v>
      </c>
      <c r="BP1070" t="s">
        <v>233</v>
      </c>
      <c r="BQ1070" s="260" t="s">
        <v>3298</v>
      </c>
      <c r="BR1070" t="s">
        <v>398</v>
      </c>
      <c r="BS1070">
        <v>-988</v>
      </c>
      <c r="BT1070">
        <v>919</v>
      </c>
      <c r="BU1070" s="144">
        <v>-0.93016194331983804</v>
      </c>
      <c r="BV1070">
        <v>1907</v>
      </c>
      <c r="BX1070">
        <f t="shared" ref="BX1070:BX1084" si="314">BV1070/1000</f>
        <v>1.907</v>
      </c>
      <c r="BY1070">
        <f t="shared" si="262"/>
        <v>1.4338345864661655</v>
      </c>
      <c r="BZ1070">
        <v>1</v>
      </c>
      <c r="CA1070">
        <v>0</v>
      </c>
      <c r="CB1070">
        <v>0</v>
      </c>
      <c r="CC1070">
        <v>0</v>
      </c>
      <c r="CD1070">
        <v>0</v>
      </c>
      <c r="CE1070">
        <v>0</v>
      </c>
      <c r="CF1070">
        <v>0</v>
      </c>
      <c r="CG1070">
        <v>0</v>
      </c>
      <c r="CH1070">
        <v>0</v>
      </c>
      <c r="CI1070">
        <v>0</v>
      </c>
      <c r="CJ1070">
        <v>0</v>
      </c>
      <c r="CK1070">
        <v>0</v>
      </c>
      <c r="CL1070">
        <v>0</v>
      </c>
      <c r="CM1070">
        <v>0</v>
      </c>
      <c r="CN1070" t="str">
        <f t="shared" si="302"/>
        <v>refOK</v>
      </c>
      <c r="CO1070">
        <f>IF($CN1070="refOK",$BK1070,$BL1070)</f>
        <v>0</v>
      </c>
      <c r="CP1070">
        <f>IF($CN1070="refOK",$BL1070,$BK1070)</f>
        <v>1.33</v>
      </c>
      <c r="CQ1070">
        <f t="shared" si="274"/>
        <v>1.33</v>
      </c>
      <c r="CR1070">
        <f t="shared" si="307"/>
        <v>-988</v>
      </c>
      <c r="CS1070">
        <f t="shared" si="308"/>
        <v>919</v>
      </c>
      <c r="CT1070">
        <f t="shared" si="267"/>
        <v>1.907</v>
      </c>
      <c r="CU1070">
        <f t="shared" si="312"/>
        <v>1.4338345864661655</v>
      </c>
      <c r="CV1070" s="2">
        <f t="shared" si="268"/>
        <v>1.930161943319838</v>
      </c>
      <c r="CW1070" s="1" t="s">
        <v>264</v>
      </c>
      <c r="CX1070" t="str">
        <f t="shared" si="298"/>
        <v>loc</v>
      </c>
      <c r="CY1070" t="s">
        <v>558</v>
      </c>
      <c r="DB1070">
        <v>0</v>
      </c>
      <c r="DC1070" t="str">
        <f t="shared" si="299"/>
        <v>0</v>
      </c>
      <c r="DD1070">
        <v>0</v>
      </c>
      <c r="DE1070">
        <v>0</v>
      </c>
      <c r="DF1070">
        <v>0</v>
      </c>
      <c r="DG1070">
        <v>1</v>
      </c>
      <c r="DI1070">
        <f t="shared" si="309"/>
        <v>1</v>
      </c>
      <c r="DJ1070" t="str">
        <f t="shared" si="311"/>
        <v>TimberInput</v>
      </c>
      <c r="DK1070">
        <f t="shared" si="277"/>
        <v>0</v>
      </c>
      <c r="DL1070">
        <f t="shared" si="278"/>
        <v>0</v>
      </c>
      <c r="DM1070">
        <f t="shared" si="279"/>
        <v>0</v>
      </c>
      <c r="DN1070" t="str">
        <f t="shared" si="280"/>
        <v>Timber</v>
      </c>
      <c r="DO1070">
        <v>0</v>
      </c>
      <c r="DP1070">
        <v>0</v>
      </c>
      <c r="DQ1070">
        <v>0</v>
      </c>
      <c r="DR1070">
        <v>0</v>
      </c>
      <c r="DS1070">
        <v>0</v>
      </c>
      <c r="DT1070">
        <f t="shared" si="260"/>
        <v>0</v>
      </c>
      <c r="DU1070" s="143" t="str">
        <f t="shared" si="301"/>
        <v>explicit C balance</v>
      </c>
      <c r="DV1070">
        <v>0</v>
      </c>
      <c r="DW1070">
        <v>0</v>
      </c>
      <c r="DX1070">
        <v>0</v>
      </c>
      <c r="DY1070">
        <v>1</v>
      </c>
      <c r="DZ1070">
        <v>0</v>
      </c>
      <c r="EA1070" s="143">
        <v>0</v>
      </c>
      <c r="EB1070">
        <v>0</v>
      </c>
      <c r="EC1070">
        <v>1</v>
      </c>
      <c r="ED1070">
        <v>0</v>
      </c>
      <c r="EE1070">
        <v>1</v>
      </c>
      <c r="EF1070">
        <v>0</v>
      </c>
      <c r="EG1070">
        <v>0</v>
      </c>
      <c r="EH1070">
        <v>0</v>
      </c>
      <c r="EI1070" s="2">
        <v>0</v>
      </c>
      <c r="EK1070" t="str">
        <f t="shared" si="281"/>
        <v/>
      </c>
      <c r="EL1070" t="str">
        <f t="shared" si="282"/>
        <v/>
      </c>
      <c r="EM1070" s="2" t="str">
        <f t="shared" si="300"/>
        <v>Technology approach</v>
      </c>
      <c r="EP1070" t="str">
        <f>IF(ISNUMBER(BU1070),IF(ABS(BU1070-[4]QC_indicators!$B$2)&gt;3*[4]QC_indicators!$C$2,"C ratio",IF(ISNUMBER(BY1070),IF(ABS(BY1070-[4]QC_indicators!$B$1)&gt;3*[4]QC_indicators!$C$1,"DF","no"))),IF(ISNUMBER(BY1070),IF(ABS(BY1070-[4]QC_indicators!$B$1)&gt;3*[4]QC_indicators!$C$1,"DF","no")))</f>
        <v>no</v>
      </c>
      <c r="ER1070" s="149" t="s">
        <v>350</v>
      </c>
      <c r="ET1070" s="266" t="s">
        <v>3275</v>
      </c>
    </row>
    <row r="1071" spans="1:150" ht="15" hidden="1" customHeight="1">
      <c r="A1071" s="1" t="s">
        <v>546</v>
      </c>
      <c r="B1071" t="s">
        <v>547</v>
      </c>
      <c r="C1071" t="s">
        <v>548</v>
      </c>
      <c r="D1071" t="s">
        <v>549</v>
      </c>
      <c r="E1071" t="s">
        <v>550</v>
      </c>
      <c r="F1071" t="s">
        <v>551</v>
      </c>
      <c r="G1071" t="s">
        <v>552</v>
      </c>
      <c r="H1071" t="s">
        <v>255</v>
      </c>
      <c r="I1071">
        <v>2017</v>
      </c>
      <c r="J1071">
        <v>3</v>
      </c>
      <c r="K1071" t="s">
        <v>553</v>
      </c>
      <c r="M1071" t="str">
        <f t="shared" si="310"/>
        <v>Crafford_2017</v>
      </c>
      <c r="N1071" t="s">
        <v>223</v>
      </c>
      <c r="O1071" s="145" t="s">
        <v>224</v>
      </c>
      <c r="Q1071" t="s">
        <v>257</v>
      </c>
      <c r="R1071" s="255" t="s">
        <v>226</v>
      </c>
      <c r="S1071" s="1" t="s">
        <v>560</v>
      </c>
      <c r="T1071" t="s">
        <v>561</v>
      </c>
      <c r="U1071" t="s">
        <v>555</v>
      </c>
      <c r="V1071">
        <v>0</v>
      </c>
      <c r="W1071">
        <v>0</v>
      </c>
      <c r="X1071">
        <v>0</v>
      </c>
      <c r="Y1071">
        <v>0</v>
      </c>
      <c r="Z1071">
        <v>0</v>
      </c>
      <c r="AA1071">
        <v>0</v>
      </c>
      <c r="AB1071">
        <v>0</v>
      </c>
      <c r="AC1071">
        <v>0</v>
      </c>
      <c r="AD1071">
        <v>0</v>
      </c>
      <c r="AE1071">
        <v>0</v>
      </c>
      <c r="AF1071">
        <v>0</v>
      </c>
      <c r="AG1071">
        <v>0</v>
      </c>
      <c r="AH1071">
        <v>0</v>
      </c>
      <c r="AI1071">
        <v>0</v>
      </c>
      <c r="AJ1071">
        <v>0</v>
      </c>
      <c r="AK1071">
        <v>1</v>
      </c>
      <c r="AL1071">
        <v>0</v>
      </c>
      <c r="AM1071">
        <v>0</v>
      </c>
      <c r="AN1071">
        <v>0</v>
      </c>
      <c r="AO1071">
        <v>0</v>
      </c>
      <c r="AP1071">
        <v>0</v>
      </c>
      <c r="AQ1071">
        <v>0</v>
      </c>
      <c r="AR1071">
        <v>0</v>
      </c>
      <c r="AS1071">
        <v>0</v>
      </c>
      <c r="AT1071">
        <v>0</v>
      </c>
      <c r="AU1071">
        <v>0</v>
      </c>
      <c r="AV1071">
        <v>0</v>
      </c>
      <c r="AW1071">
        <v>0</v>
      </c>
      <c r="AX1071" s="141">
        <f t="shared" si="266"/>
        <v>1</v>
      </c>
      <c r="AY1071" s="141">
        <f t="shared" si="292"/>
        <v>1</v>
      </c>
      <c r="AZ1071">
        <f t="shared" si="293"/>
        <v>0</v>
      </c>
      <c r="BA1071">
        <f t="shared" si="294"/>
        <v>0</v>
      </c>
      <c r="BB1071">
        <f t="shared" si="295"/>
        <v>1</v>
      </c>
      <c r="BC1071">
        <f t="shared" si="296"/>
        <v>0</v>
      </c>
      <c r="BD1071">
        <f t="shared" si="297"/>
        <v>0</v>
      </c>
      <c r="BE1071" t="str">
        <f t="array" ref="BE1071">IF(AY1071=1,INDEX($V$7:$AL$7,MATCH(TRUE,INDEX($V1071:$AW1071&lt;&gt;0,),0)),IF(AY1071=0,INDEX($AM$7:$AW$7,MATCH(1,$AM1071:$AW1071,0)),IF(BF1071="Multiple strategies","mixed drivers",IF(BF1071="Supply chain","multiple supply","multiple silviculture"))))</f>
        <v>technologies/design switch</v>
      </c>
      <c r="BF1071" s="2" t="str" cm="1">
        <f t="array" ref="BF1071">IF(COUNTIF(AZ1071:BB1071,"&lt;&gt;0")=1,INDEX($V$4:$AW$4,MATCH(TRUE,INDEX($V1071:$AW1071&lt;&gt;0,),0)),IF(COUNTIF(AZ1071:BB1071,"&lt;&gt;0")=0,INDEX($AM$4:$AW$4,MATCH(1,$AM1071:$AW1071,0)),"Multiple strategies"))</f>
        <v>Technology</v>
      </c>
      <c r="BG1071" s="1" t="s">
        <v>230</v>
      </c>
      <c r="BH1071" t="s">
        <v>557</v>
      </c>
      <c r="BI1071" t="s">
        <v>425</v>
      </c>
      <c r="BJ1071" t="s">
        <v>499</v>
      </c>
      <c r="BK1071">
        <v>0</v>
      </c>
      <c r="BL1071">
        <v>1.33</v>
      </c>
      <c r="BN1071">
        <f t="shared" si="275"/>
        <v>1.33</v>
      </c>
      <c r="BO1071">
        <f t="shared" si="313"/>
        <v>1.33</v>
      </c>
      <c r="BP1071" t="s">
        <v>233</v>
      </c>
      <c r="BQ1071" s="260" t="s">
        <v>3299</v>
      </c>
      <c r="BR1071" t="s">
        <v>398</v>
      </c>
      <c r="BS1071">
        <v>-988</v>
      </c>
      <c r="BT1071">
        <v>1224</v>
      </c>
      <c r="BU1071" s="144">
        <v>-1.2388663967611335</v>
      </c>
      <c r="BV1071">
        <v>2212</v>
      </c>
      <c r="BX1071">
        <f t="shared" si="314"/>
        <v>2.2120000000000002</v>
      </c>
      <c r="BY1071">
        <f t="shared" si="262"/>
        <v>1.6631578947368422</v>
      </c>
      <c r="BZ1071">
        <v>1</v>
      </c>
      <c r="CA1071">
        <v>0</v>
      </c>
      <c r="CB1071">
        <v>0</v>
      </c>
      <c r="CC1071">
        <v>0</v>
      </c>
      <c r="CD1071">
        <v>0</v>
      </c>
      <c r="CE1071">
        <v>0</v>
      </c>
      <c r="CF1071">
        <v>0</v>
      </c>
      <c r="CG1071">
        <v>0</v>
      </c>
      <c r="CH1071">
        <v>0</v>
      </c>
      <c r="CI1071">
        <v>0</v>
      </c>
      <c r="CJ1071">
        <v>0</v>
      </c>
      <c r="CK1071">
        <v>0</v>
      </c>
      <c r="CL1071">
        <v>0</v>
      </c>
      <c r="CM1071">
        <v>0</v>
      </c>
      <c r="CN1071" t="str">
        <f t="shared" si="302"/>
        <v>refOK</v>
      </c>
      <c r="CO1071">
        <f>IF($CN1071="refOK",$BK1071,$BL1071)</f>
        <v>0</v>
      </c>
      <c r="CP1071">
        <f>IF($CN1071="refOK",$BL1071,$BK1071)</f>
        <v>1.33</v>
      </c>
      <c r="CQ1071">
        <f t="shared" si="274"/>
        <v>1.33</v>
      </c>
      <c r="CR1071">
        <f t="shared" si="307"/>
        <v>-988</v>
      </c>
      <c r="CS1071">
        <f t="shared" si="308"/>
        <v>1224</v>
      </c>
      <c r="CT1071">
        <f t="shared" si="267"/>
        <v>2.2120000000000002</v>
      </c>
      <c r="CU1071">
        <f t="shared" si="312"/>
        <v>1.6631578947368422</v>
      </c>
      <c r="CV1071" s="2">
        <f t="shared" si="268"/>
        <v>2.2388663967611335</v>
      </c>
      <c r="CW1071" s="1" t="s">
        <v>264</v>
      </c>
      <c r="CX1071" t="str">
        <f t="shared" si="298"/>
        <v>loc</v>
      </c>
      <c r="CY1071" t="s">
        <v>558</v>
      </c>
      <c r="DB1071">
        <v>0</v>
      </c>
      <c r="DC1071" t="str">
        <f t="shared" si="299"/>
        <v>0</v>
      </c>
      <c r="DD1071">
        <v>0</v>
      </c>
      <c r="DE1071">
        <v>0</v>
      </c>
      <c r="DF1071">
        <v>0</v>
      </c>
      <c r="DG1071">
        <v>1</v>
      </c>
      <c r="DI1071">
        <f t="shared" si="309"/>
        <v>1</v>
      </c>
      <c r="DJ1071" t="str">
        <f t="shared" si="311"/>
        <v>TimberInput</v>
      </c>
      <c r="DK1071">
        <f t="shared" si="277"/>
        <v>0</v>
      </c>
      <c r="DL1071">
        <f t="shared" si="278"/>
        <v>0</v>
      </c>
      <c r="DM1071">
        <f t="shared" si="279"/>
        <v>0</v>
      </c>
      <c r="DN1071" t="str">
        <f t="shared" si="280"/>
        <v>Timber</v>
      </c>
      <c r="DO1071">
        <v>0</v>
      </c>
      <c r="DP1071">
        <v>0</v>
      </c>
      <c r="DQ1071">
        <v>0</v>
      </c>
      <c r="DR1071">
        <v>0</v>
      </c>
      <c r="DS1071">
        <v>0</v>
      </c>
      <c r="DT1071">
        <f t="shared" si="260"/>
        <v>0</v>
      </c>
      <c r="DU1071" s="143" t="str">
        <f t="shared" si="301"/>
        <v>explicit C balance</v>
      </c>
      <c r="DV1071">
        <v>0</v>
      </c>
      <c r="DW1071">
        <v>0</v>
      </c>
      <c r="DX1071">
        <v>0</v>
      </c>
      <c r="DY1071">
        <v>1</v>
      </c>
      <c r="DZ1071">
        <v>0</v>
      </c>
      <c r="EA1071" s="143">
        <v>0</v>
      </c>
      <c r="EB1071">
        <v>0</v>
      </c>
      <c r="EC1071">
        <v>1</v>
      </c>
      <c r="ED1071">
        <v>0</v>
      </c>
      <c r="EE1071">
        <v>1</v>
      </c>
      <c r="EF1071">
        <v>0</v>
      </c>
      <c r="EG1071">
        <v>0</v>
      </c>
      <c r="EH1071">
        <v>0</v>
      </c>
      <c r="EI1071" s="2">
        <v>0</v>
      </c>
      <c r="EK1071" t="str">
        <f t="shared" si="281"/>
        <v/>
      </c>
      <c r="EL1071" t="str">
        <f t="shared" si="282"/>
        <v/>
      </c>
      <c r="EM1071" s="2" t="str">
        <f t="shared" si="300"/>
        <v>Technology approach</v>
      </c>
      <c r="EP1071" t="str">
        <f>IF(ISNUMBER(BU1071),IF(ABS(BU1071-[4]QC_indicators!$B$2)&gt;3*[4]QC_indicators!$C$2,"C ratio",IF(ISNUMBER(BY1071),IF(ABS(BY1071-[4]QC_indicators!$B$1)&gt;3*[4]QC_indicators!$C$1,"DF","no"))),IF(ISNUMBER(BY1071),IF(ABS(BY1071-[4]QC_indicators!$B$1)&gt;3*[4]QC_indicators!$C$1,"DF","no")))</f>
        <v>no</v>
      </c>
      <c r="ER1071" s="149" t="s">
        <v>350</v>
      </c>
      <c r="ET1071" s="266" t="s">
        <v>3275</v>
      </c>
    </row>
    <row r="1072" spans="1:150" ht="15" hidden="1" customHeight="1">
      <c r="A1072" s="1" t="s">
        <v>546</v>
      </c>
      <c r="B1072" t="s">
        <v>547</v>
      </c>
      <c r="C1072" t="s">
        <v>548</v>
      </c>
      <c r="D1072" t="s">
        <v>549</v>
      </c>
      <c r="E1072" t="s">
        <v>550</v>
      </c>
      <c r="F1072" t="s">
        <v>551</v>
      </c>
      <c r="G1072" t="s">
        <v>552</v>
      </c>
      <c r="H1072" t="s">
        <v>255</v>
      </c>
      <c r="I1072">
        <v>2017</v>
      </c>
      <c r="J1072">
        <v>3</v>
      </c>
      <c r="K1072" t="s">
        <v>553</v>
      </c>
      <c r="M1072" t="str">
        <f t="shared" si="310"/>
        <v>Crafford_2017</v>
      </c>
      <c r="N1072" t="s">
        <v>223</v>
      </c>
      <c r="O1072" s="145" t="s">
        <v>224</v>
      </c>
      <c r="Q1072" t="s">
        <v>257</v>
      </c>
      <c r="R1072" s="255" t="s">
        <v>226</v>
      </c>
      <c r="S1072" s="1" t="s">
        <v>562</v>
      </c>
      <c r="T1072" t="s">
        <v>561</v>
      </c>
      <c r="U1072" t="s">
        <v>556</v>
      </c>
      <c r="V1072">
        <v>0</v>
      </c>
      <c r="W1072">
        <v>0</v>
      </c>
      <c r="X1072">
        <v>0</v>
      </c>
      <c r="Y1072">
        <v>0</v>
      </c>
      <c r="Z1072">
        <v>0</v>
      </c>
      <c r="AA1072">
        <v>0</v>
      </c>
      <c r="AB1072">
        <v>0</v>
      </c>
      <c r="AC1072">
        <v>0</v>
      </c>
      <c r="AD1072">
        <v>0</v>
      </c>
      <c r="AE1072">
        <v>0</v>
      </c>
      <c r="AF1072">
        <v>0</v>
      </c>
      <c r="AG1072">
        <v>0</v>
      </c>
      <c r="AH1072">
        <v>0</v>
      </c>
      <c r="AI1072">
        <v>0</v>
      </c>
      <c r="AJ1072">
        <v>0</v>
      </c>
      <c r="AK1072">
        <v>1</v>
      </c>
      <c r="AL1072">
        <v>0</v>
      </c>
      <c r="AM1072">
        <v>0</v>
      </c>
      <c r="AN1072">
        <v>0</v>
      </c>
      <c r="AO1072">
        <v>0</v>
      </c>
      <c r="AP1072">
        <v>0</v>
      </c>
      <c r="AQ1072">
        <v>0</v>
      </c>
      <c r="AR1072">
        <v>0</v>
      </c>
      <c r="AS1072">
        <v>0</v>
      </c>
      <c r="AT1072">
        <v>0</v>
      </c>
      <c r="AU1072">
        <v>0</v>
      </c>
      <c r="AV1072">
        <v>0</v>
      </c>
      <c r="AW1072">
        <v>0</v>
      </c>
      <c r="AX1072" s="141">
        <f t="shared" si="266"/>
        <v>1</v>
      </c>
      <c r="AY1072" s="141">
        <f t="shared" si="292"/>
        <v>1</v>
      </c>
      <c r="AZ1072">
        <f t="shared" si="293"/>
        <v>0</v>
      </c>
      <c r="BA1072">
        <f t="shared" si="294"/>
        <v>0</v>
      </c>
      <c r="BB1072">
        <f t="shared" si="295"/>
        <v>1</v>
      </c>
      <c r="BC1072">
        <f t="shared" si="296"/>
        <v>0</v>
      </c>
      <c r="BD1072">
        <f t="shared" si="297"/>
        <v>0</v>
      </c>
      <c r="BE1072" t="str">
        <f t="array" ref="BE1072">IF(AY1072=1,INDEX($V$7:$AL$7,MATCH(TRUE,INDEX($V1072:$AW1072&lt;&gt;0,),0)),IF(AY1072=0,INDEX($AM$7:$AW$7,MATCH(1,$AM1072:$AW1072,0)),IF(BF1072="Multiple strategies","mixed drivers",IF(BF1072="Supply chain","multiple supply","multiple silviculture"))))</f>
        <v>technologies/design switch</v>
      </c>
      <c r="BF1072" s="2" t="str" cm="1">
        <f t="array" ref="BF1072">IF(COUNTIF(AZ1072:BB1072,"&lt;&gt;0")=1,INDEX($V$4:$AW$4,MATCH(TRUE,INDEX($V1072:$AW1072&lt;&gt;0,),0)),IF(COUNTIF(AZ1072:BB1072,"&lt;&gt;0")=0,INDEX($AM$4:$AW$4,MATCH(1,$AM1072:$AW1072,0)),"Multiple strategies"))</f>
        <v>Technology</v>
      </c>
      <c r="BG1072" s="1" t="s">
        <v>230</v>
      </c>
      <c r="BH1072" t="s">
        <v>557</v>
      </c>
      <c r="BI1072" t="s">
        <v>425</v>
      </c>
      <c r="BJ1072" t="s">
        <v>499</v>
      </c>
      <c r="BK1072">
        <v>0</v>
      </c>
      <c r="BL1072">
        <v>6.05</v>
      </c>
      <c r="BN1072">
        <f t="shared" si="275"/>
        <v>6.05</v>
      </c>
      <c r="BO1072">
        <f t="shared" si="313"/>
        <v>6.05</v>
      </c>
      <c r="BP1072" t="s">
        <v>233</v>
      </c>
      <c r="BQ1072" s="260" t="s">
        <v>3300</v>
      </c>
      <c r="BR1072" t="s">
        <v>398</v>
      </c>
      <c r="BS1072">
        <v>-6445</v>
      </c>
      <c r="BT1072">
        <v>3721</v>
      </c>
      <c r="BU1072" s="144">
        <v>-0.57734678044996124</v>
      </c>
      <c r="BV1072">
        <v>10166</v>
      </c>
      <c r="BX1072">
        <f t="shared" si="314"/>
        <v>10.166</v>
      </c>
      <c r="BY1072">
        <f t="shared" si="262"/>
        <v>1.6803305785123968</v>
      </c>
      <c r="BZ1072">
        <v>1</v>
      </c>
      <c r="CA1072">
        <v>0</v>
      </c>
      <c r="CB1072">
        <v>0</v>
      </c>
      <c r="CC1072">
        <v>0</v>
      </c>
      <c r="CD1072">
        <v>0</v>
      </c>
      <c r="CE1072">
        <v>0</v>
      </c>
      <c r="CF1072">
        <v>0</v>
      </c>
      <c r="CG1072">
        <v>0</v>
      </c>
      <c r="CH1072">
        <v>0</v>
      </c>
      <c r="CI1072">
        <v>0</v>
      </c>
      <c r="CJ1072">
        <v>0</v>
      </c>
      <c r="CK1072">
        <v>0</v>
      </c>
      <c r="CL1072">
        <v>0</v>
      </c>
      <c r="CM1072">
        <v>0</v>
      </c>
      <c r="CN1072" t="str">
        <f t="shared" si="302"/>
        <v>refOK</v>
      </c>
      <c r="CO1072">
        <f>IF($CN1072="refOK",$BK1072,$BL1072)</f>
        <v>0</v>
      </c>
      <c r="CP1072">
        <f>IF($CN1072="refOK",$BL1072,$BK1072)</f>
        <v>6.05</v>
      </c>
      <c r="CQ1072">
        <f t="shared" si="274"/>
        <v>6.05</v>
      </c>
      <c r="CR1072">
        <f t="shared" si="307"/>
        <v>-6445</v>
      </c>
      <c r="CS1072">
        <f t="shared" si="308"/>
        <v>3721</v>
      </c>
      <c r="CT1072">
        <f t="shared" si="267"/>
        <v>10.166</v>
      </c>
      <c r="CU1072">
        <f t="shared" si="312"/>
        <v>1.6803305785123968</v>
      </c>
      <c r="CV1072" s="2">
        <f t="shared" si="268"/>
        <v>1.5773467804499612</v>
      </c>
      <c r="CW1072" s="1" t="s">
        <v>264</v>
      </c>
      <c r="CX1072" t="str">
        <f t="shared" si="298"/>
        <v>loc</v>
      </c>
      <c r="CY1072" t="s">
        <v>558</v>
      </c>
      <c r="DB1072">
        <v>0</v>
      </c>
      <c r="DC1072" t="str">
        <f t="shared" si="299"/>
        <v>0</v>
      </c>
      <c r="DD1072">
        <v>0</v>
      </c>
      <c r="DE1072">
        <v>0</v>
      </c>
      <c r="DF1072">
        <v>0</v>
      </c>
      <c r="DG1072">
        <v>1</v>
      </c>
      <c r="DI1072">
        <f t="shared" si="309"/>
        <v>1</v>
      </c>
      <c r="DJ1072" t="str">
        <f t="shared" si="311"/>
        <v>TimberInput</v>
      </c>
      <c r="DK1072">
        <f t="shared" si="277"/>
        <v>0</v>
      </c>
      <c r="DL1072">
        <f t="shared" si="278"/>
        <v>0</v>
      </c>
      <c r="DM1072">
        <f t="shared" si="279"/>
        <v>0</v>
      </c>
      <c r="DN1072" t="str">
        <f t="shared" si="280"/>
        <v>Timber</v>
      </c>
      <c r="DO1072">
        <v>0</v>
      </c>
      <c r="DP1072">
        <v>0</v>
      </c>
      <c r="DQ1072">
        <v>0</v>
      </c>
      <c r="DR1072">
        <v>0</v>
      </c>
      <c r="DS1072">
        <v>0</v>
      </c>
      <c r="DT1072">
        <f t="shared" si="260"/>
        <v>0</v>
      </c>
      <c r="DU1072" s="143" t="str">
        <f t="shared" si="301"/>
        <v>explicit C balance</v>
      </c>
      <c r="DV1072">
        <v>0</v>
      </c>
      <c r="DW1072">
        <v>0</v>
      </c>
      <c r="DX1072">
        <v>0</v>
      </c>
      <c r="DY1072">
        <v>1</v>
      </c>
      <c r="DZ1072">
        <v>0</v>
      </c>
      <c r="EA1072" s="143">
        <v>0</v>
      </c>
      <c r="EB1072">
        <v>0</v>
      </c>
      <c r="EC1072">
        <v>1</v>
      </c>
      <c r="ED1072">
        <v>0</v>
      </c>
      <c r="EE1072">
        <v>1</v>
      </c>
      <c r="EF1072">
        <v>0</v>
      </c>
      <c r="EG1072">
        <v>0</v>
      </c>
      <c r="EH1072">
        <v>0</v>
      </c>
      <c r="EI1072" s="2">
        <v>0</v>
      </c>
      <c r="EK1072" t="str">
        <f t="shared" si="281"/>
        <v/>
      </c>
      <c r="EL1072" t="str">
        <f t="shared" si="282"/>
        <v/>
      </c>
      <c r="EM1072" s="2" t="str">
        <f t="shared" si="300"/>
        <v>Technology approach</v>
      </c>
      <c r="EP1072" t="str">
        <f>IF(ISNUMBER(BU1072),IF(ABS(BU1072-[4]QC_indicators!$B$2)&gt;3*[4]QC_indicators!$C$2,"C ratio",IF(ISNUMBER(BY1072),IF(ABS(BY1072-[4]QC_indicators!$B$1)&gt;3*[4]QC_indicators!$C$1,"DF","no"))),IF(ISNUMBER(BY1072),IF(ABS(BY1072-[4]QC_indicators!$B$1)&gt;3*[4]QC_indicators!$C$1,"DF","no")))</f>
        <v>no</v>
      </c>
      <c r="ER1072" s="149" t="s">
        <v>350</v>
      </c>
      <c r="ET1072" s="266" t="s">
        <v>3275</v>
      </c>
    </row>
    <row r="1073" spans="1:150" ht="15" hidden="1" customHeight="1">
      <c r="A1073" s="1" t="s">
        <v>546</v>
      </c>
      <c r="B1073" t="s">
        <v>547</v>
      </c>
      <c r="C1073" t="s">
        <v>548</v>
      </c>
      <c r="D1073" t="s">
        <v>549</v>
      </c>
      <c r="E1073" t="s">
        <v>550</v>
      </c>
      <c r="F1073" t="s">
        <v>551</v>
      </c>
      <c r="G1073" t="s">
        <v>552</v>
      </c>
      <c r="H1073" t="s">
        <v>255</v>
      </c>
      <c r="I1073">
        <v>2017</v>
      </c>
      <c r="J1073">
        <v>3</v>
      </c>
      <c r="K1073" t="s">
        <v>553</v>
      </c>
      <c r="M1073" t="str">
        <f t="shared" si="310"/>
        <v>Crafford_2017</v>
      </c>
      <c r="N1073" t="s">
        <v>223</v>
      </c>
      <c r="O1073" s="145" t="s">
        <v>224</v>
      </c>
      <c r="Q1073" t="s">
        <v>257</v>
      </c>
      <c r="R1073" s="255" t="s">
        <v>226</v>
      </c>
      <c r="S1073" s="1" t="s">
        <v>562</v>
      </c>
      <c r="T1073" t="s">
        <v>561</v>
      </c>
      <c r="U1073" t="s">
        <v>555</v>
      </c>
      <c r="V1073">
        <v>0</v>
      </c>
      <c r="W1073">
        <v>0</v>
      </c>
      <c r="X1073">
        <v>0</v>
      </c>
      <c r="Y1073">
        <v>0</v>
      </c>
      <c r="Z1073">
        <v>0</v>
      </c>
      <c r="AA1073">
        <v>0</v>
      </c>
      <c r="AB1073">
        <v>0</v>
      </c>
      <c r="AC1073">
        <v>0</v>
      </c>
      <c r="AD1073">
        <v>0</v>
      </c>
      <c r="AE1073">
        <v>0</v>
      </c>
      <c r="AF1073">
        <v>0</v>
      </c>
      <c r="AG1073">
        <v>0</v>
      </c>
      <c r="AH1073">
        <v>0</v>
      </c>
      <c r="AI1073">
        <v>0</v>
      </c>
      <c r="AJ1073">
        <v>0</v>
      </c>
      <c r="AK1073">
        <v>1</v>
      </c>
      <c r="AL1073">
        <v>0</v>
      </c>
      <c r="AM1073">
        <v>0</v>
      </c>
      <c r="AN1073">
        <v>0</v>
      </c>
      <c r="AO1073">
        <v>0</v>
      </c>
      <c r="AP1073">
        <v>0</v>
      </c>
      <c r="AQ1073">
        <v>0</v>
      </c>
      <c r="AR1073">
        <v>0</v>
      </c>
      <c r="AS1073">
        <v>0</v>
      </c>
      <c r="AT1073">
        <v>0</v>
      </c>
      <c r="AU1073">
        <v>0</v>
      </c>
      <c r="AV1073">
        <v>0</v>
      </c>
      <c r="AW1073">
        <v>0</v>
      </c>
      <c r="AX1073" s="141">
        <f t="shared" si="266"/>
        <v>1</v>
      </c>
      <c r="AY1073" s="141">
        <f t="shared" si="292"/>
        <v>1</v>
      </c>
      <c r="AZ1073">
        <f t="shared" si="293"/>
        <v>0</v>
      </c>
      <c r="BA1073">
        <f t="shared" si="294"/>
        <v>0</v>
      </c>
      <c r="BB1073">
        <f t="shared" si="295"/>
        <v>1</v>
      </c>
      <c r="BC1073">
        <f t="shared" si="296"/>
        <v>0</v>
      </c>
      <c r="BD1073">
        <f t="shared" si="297"/>
        <v>0</v>
      </c>
      <c r="BE1073" t="str">
        <f t="array" ref="BE1073">IF(AY1073=1,INDEX($V$7:$AL$7,MATCH(TRUE,INDEX($V1073:$AW1073&lt;&gt;0,),0)),IF(AY1073=0,INDEX($AM$7:$AW$7,MATCH(1,$AM1073:$AW1073,0)),IF(BF1073="Multiple strategies","mixed drivers",IF(BF1073="Supply chain","multiple supply","multiple silviculture"))))</f>
        <v>technologies/design switch</v>
      </c>
      <c r="BF1073" s="2" t="str" cm="1">
        <f t="array" ref="BF1073">IF(COUNTIF(AZ1073:BB1073,"&lt;&gt;0")=1,INDEX($V$4:$AW$4,MATCH(TRUE,INDEX($V1073:$AW1073&lt;&gt;0,),0)),IF(COUNTIF(AZ1073:BB1073,"&lt;&gt;0")=0,INDEX($AM$4:$AW$4,MATCH(1,$AM1073:$AW1073,0)),"Multiple strategies"))</f>
        <v>Technology</v>
      </c>
      <c r="BG1073" s="1" t="s">
        <v>230</v>
      </c>
      <c r="BH1073" t="s">
        <v>557</v>
      </c>
      <c r="BI1073" t="s">
        <v>425</v>
      </c>
      <c r="BJ1073" t="s">
        <v>499</v>
      </c>
      <c r="BK1073">
        <v>0</v>
      </c>
      <c r="BL1073">
        <v>6.05</v>
      </c>
      <c r="BN1073">
        <f t="shared" si="275"/>
        <v>6.05</v>
      </c>
      <c r="BO1073">
        <f t="shared" si="313"/>
        <v>6.05</v>
      </c>
      <c r="BP1073" t="s">
        <v>233</v>
      </c>
      <c r="BQ1073" s="260" t="s">
        <v>3301</v>
      </c>
      <c r="BR1073" t="s">
        <v>398</v>
      </c>
      <c r="BS1073">
        <v>-6445</v>
      </c>
      <c r="BT1073">
        <v>5100</v>
      </c>
      <c r="BU1073" s="144">
        <v>-0.79131109387121801</v>
      </c>
      <c r="BV1073">
        <v>11545</v>
      </c>
      <c r="BX1073">
        <f t="shared" si="314"/>
        <v>11.545</v>
      </c>
      <c r="BY1073">
        <f t="shared" si="262"/>
        <v>1.9082644628099175</v>
      </c>
      <c r="BZ1073">
        <v>1</v>
      </c>
      <c r="CA1073">
        <v>0</v>
      </c>
      <c r="CB1073">
        <v>0</v>
      </c>
      <c r="CC1073">
        <v>0</v>
      </c>
      <c r="CD1073">
        <v>0</v>
      </c>
      <c r="CE1073">
        <v>0</v>
      </c>
      <c r="CF1073">
        <v>0</v>
      </c>
      <c r="CG1073">
        <v>0</v>
      </c>
      <c r="CH1073">
        <v>0</v>
      </c>
      <c r="CI1073">
        <v>0</v>
      </c>
      <c r="CJ1073">
        <v>0</v>
      </c>
      <c r="CK1073">
        <v>0</v>
      </c>
      <c r="CL1073">
        <v>0</v>
      </c>
      <c r="CM1073">
        <v>0</v>
      </c>
      <c r="CN1073" t="str">
        <f t="shared" si="302"/>
        <v>refOK</v>
      </c>
      <c r="CO1073">
        <f>IF($CN1073="refOK",$BK1073,$BL1073)</f>
        <v>0</v>
      </c>
      <c r="CP1073">
        <f>IF($CN1073="refOK",$BL1073,$BK1073)</f>
        <v>6.05</v>
      </c>
      <c r="CQ1073">
        <f t="shared" si="274"/>
        <v>6.05</v>
      </c>
      <c r="CR1073">
        <f t="shared" si="307"/>
        <v>-6445</v>
      </c>
      <c r="CS1073">
        <f t="shared" si="308"/>
        <v>5100</v>
      </c>
      <c r="CT1073">
        <f t="shared" si="267"/>
        <v>11.545</v>
      </c>
      <c r="CU1073">
        <f t="shared" si="312"/>
        <v>1.9082644628099175</v>
      </c>
      <c r="CV1073" s="2">
        <f t="shared" si="268"/>
        <v>1.791311093871218</v>
      </c>
      <c r="CW1073" s="1" t="s">
        <v>264</v>
      </c>
      <c r="CX1073" t="str">
        <f t="shared" si="298"/>
        <v>loc</v>
      </c>
      <c r="CY1073" t="s">
        <v>558</v>
      </c>
      <c r="DB1073">
        <v>0</v>
      </c>
      <c r="DC1073" t="str">
        <f t="shared" si="299"/>
        <v>0</v>
      </c>
      <c r="DD1073">
        <v>0</v>
      </c>
      <c r="DE1073">
        <v>0</v>
      </c>
      <c r="DF1073">
        <v>0</v>
      </c>
      <c r="DG1073">
        <v>1</v>
      </c>
      <c r="DI1073">
        <f t="shared" si="309"/>
        <v>1</v>
      </c>
      <c r="DJ1073" t="str">
        <f t="shared" si="311"/>
        <v>TimberInput</v>
      </c>
      <c r="DK1073">
        <f t="shared" si="277"/>
        <v>0</v>
      </c>
      <c r="DL1073">
        <f t="shared" si="278"/>
        <v>0</v>
      </c>
      <c r="DM1073">
        <f t="shared" si="279"/>
        <v>0</v>
      </c>
      <c r="DN1073" t="str">
        <f t="shared" si="280"/>
        <v>Timber</v>
      </c>
      <c r="DO1073">
        <v>0</v>
      </c>
      <c r="DP1073">
        <v>0</v>
      </c>
      <c r="DQ1073">
        <v>0</v>
      </c>
      <c r="DR1073">
        <v>0</v>
      </c>
      <c r="DS1073">
        <v>0</v>
      </c>
      <c r="DT1073">
        <f t="shared" ref="DT1073:DT1136" si="315">SUM(DO1073:DP1073)</f>
        <v>0</v>
      </c>
      <c r="DU1073" s="143" t="str">
        <f t="shared" si="301"/>
        <v>explicit C balance</v>
      </c>
      <c r="DV1073">
        <v>0</v>
      </c>
      <c r="DW1073">
        <v>0</v>
      </c>
      <c r="DX1073">
        <v>0</v>
      </c>
      <c r="DY1073">
        <v>1</v>
      </c>
      <c r="DZ1073">
        <v>0</v>
      </c>
      <c r="EA1073" s="143">
        <v>0</v>
      </c>
      <c r="EB1073">
        <v>0</v>
      </c>
      <c r="EC1073">
        <v>1</v>
      </c>
      <c r="ED1073">
        <v>0</v>
      </c>
      <c r="EE1073">
        <v>1</v>
      </c>
      <c r="EF1073">
        <v>0</v>
      </c>
      <c r="EG1073">
        <v>0</v>
      </c>
      <c r="EH1073">
        <v>0</v>
      </c>
      <c r="EI1073" s="2">
        <v>0</v>
      </c>
      <c r="EK1073" t="str">
        <f t="shared" si="281"/>
        <v/>
      </c>
      <c r="EL1073" t="str">
        <f t="shared" si="282"/>
        <v/>
      </c>
      <c r="EM1073" s="2" t="str">
        <f t="shared" si="300"/>
        <v>Technology approach</v>
      </c>
      <c r="EP1073" t="str">
        <f>IF(ISNUMBER(BU1073),IF(ABS(BU1073-[4]QC_indicators!$B$2)&gt;3*[4]QC_indicators!$C$2,"C ratio",IF(ISNUMBER(BY1073),IF(ABS(BY1073-[4]QC_indicators!$B$1)&gt;3*[4]QC_indicators!$C$1,"DF","no"))),IF(ISNUMBER(BY1073),IF(ABS(BY1073-[4]QC_indicators!$B$1)&gt;3*[4]QC_indicators!$C$1,"DF","no")))</f>
        <v>no</v>
      </c>
      <c r="ER1073" s="149" t="s">
        <v>350</v>
      </c>
      <c r="ET1073" s="266" t="s">
        <v>3275</v>
      </c>
    </row>
    <row r="1074" spans="1:150" ht="15" hidden="1" customHeight="1">
      <c r="A1074" s="1" t="s">
        <v>601</v>
      </c>
      <c r="B1074" t="s">
        <v>602</v>
      </c>
      <c r="C1074" t="s">
        <v>603</v>
      </c>
      <c r="D1074" t="s">
        <v>604</v>
      </c>
      <c r="E1074" t="s">
        <v>605</v>
      </c>
      <c r="F1074" t="s">
        <v>606</v>
      </c>
      <c r="G1074" t="s">
        <v>607</v>
      </c>
      <c r="H1074" t="s">
        <v>255</v>
      </c>
      <c r="I1074">
        <v>2022</v>
      </c>
      <c r="J1074">
        <v>15</v>
      </c>
      <c r="K1074" t="s">
        <v>608</v>
      </c>
      <c r="M1074" t="str">
        <f t="shared" si="310"/>
        <v>Dani_2022</v>
      </c>
      <c r="N1074" t="s">
        <v>223</v>
      </c>
      <c r="O1074" s="145" t="s">
        <v>224</v>
      </c>
      <c r="Q1074" t="s">
        <v>390</v>
      </c>
      <c r="R1074" s="255" t="s">
        <v>226</v>
      </c>
      <c r="S1074" s="1" t="s">
        <v>609</v>
      </c>
      <c r="T1074" t="s">
        <v>610</v>
      </c>
      <c r="U1074" t="s">
        <v>611</v>
      </c>
      <c r="V1074">
        <v>0</v>
      </c>
      <c r="W1074">
        <v>0</v>
      </c>
      <c r="X1074">
        <v>0</v>
      </c>
      <c r="Y1074">
        <v>0</v>
      </c>
      <c r="Z1074">
        <v>0</v>
      </c>
      <c r="AA1074">
        <v>0</v>
      </c>
      <c r="AB1074">
        <v>0</v>
      </c>
      <c r="AC1074">
        <v>0</v>
      </c>
      <c r="AD1074">
        <v>0</v>
      </c>
      <c r="AE1074">
        <v>0</v>
      </c>
      <c r="AF1074">
        <v>0</v>
      </c>
      <c r="AG1074">
        <v>0</v>
      </c>
      <c r="AH1074">
        <v>0</v>
      </c>
      <c r="AI1074">
        <v>0</v>
      </c>
      <c r="AJ1074">
        <v>0</v>
      </c>
      <c r="AK1074">
        <v>1</v>
      </c>
      <c r="AL1074">
        <v>0</v>
      </c>
      <c r="AM1074">
        <v>0</v>
      </c>
      <c r="AN1074">
        <v>0</v>
      </c>
      <c r="AO1074">
        <v>0</v>
      </c>
      <c r="AP1074">
        <v>0</v>
      </c>
      <c r="AQ1074">
        <v>0</v>
      </c>
      <c r="AR1074">
        <v>0</v>
      </c>
      <c r="AS1074">
        <v>0</v>
      </c>
      <c r="AT1074">
        <v>0</v>
      </c>
      <c r="AU1074">
        <v>0</v>
      </c>
      <c r="AV1074">
        <v>0</v>
      </c>
      <c r="AW1074">
        <v>0</v>
      </c>
      <c r="AX1074" s="141">
        <f t="shared" si="266"/>
        <v>1</v>
      </c>
      <c r="AY1074" s="141">
        <f t="shared" si="292"/>
        <v>1</v>
      </c>
      <c r="AZ1074">
        <f t="shared" si="293"/>
        <v>0</v>
      </c>
      <c r="BA1074">
        <f t="shared" si="294"/>
        <v>0</v>
      </c>
      <c r="BB1074">
        <f t="shared" si="295"/>
        <v>1</v>
      </c>
      <c r="BC1074">
        <f t="shared" si="296"/>
        <v>0</v>
      </c>
      <c r="BD1074">
        <f t="shared" si="297"/>
        <v>0</v>
      </c>
      <c r="BE1074" t="str">
        <f t="array" ref="BE1074">IF(AY1074=1,INDEX($V$7:$AL$7,MATCH(TRUE,INDEX($V1074:$AW1074&lt;&gt;0,),0)),IF(AY1074=0,INDEX($AM$7:$AW$7,MATCH(1,$AM1074:$AW1074,0)),IF(BF1074="Multiple strategies","mixed drivers",IF(BF1074="Supply chain","multiple supply","multiple silviculture"))))</f>
        <v>technologies/design switch</v>
      </c>
      <c r="BF1074" s="2" t="str" cm="1">
        <f t="array" ref="BF1074">IF(COUNTIF(AZ1074:BB1074,"&lt;&gt;0")=1,INDEX($V$4:$AW$4,MATCH(TRUE,INDEX($V1074:$AW1074&lt;&gt;0,),0)),IF(COUNTIF(AZ1074:BB1074,"&lt;&gt;0")=0,INDEX($AM$4:$AW$4,MATCH(1,$AM1074:$AW1074,0)),"Multiple strategies"))</f>
        <v>Technology</v>
      </c>
      <c r="BG1074" s="1" t="s">
        <v>230</v>
      </c>
      <c r="BH1074" t="s">
        <v>612</v>
      </c>
      <c r="BI1074" t="s">
        <v>425</v>
      </c>
      <c r="BJ1074" t="s">
        <v>499</v>
      </c>
      <c r="BK1074">
        <f>0.041+0.652</f>
        <v>0.69300000000000006</v>
      </c>
      <c r="BL1074">
        <f>0.298+2.905+0.284+3.758+0.808+6.645+2.786+0.678</f>
        <v>18.161999999999999</v>
      </c>
      <c r="BN1074">
        <f t="shared" si="275"/>
        <v>17.468999999999998</v>
      </c>
      <c r="BO1074">
        <f t="shared" si="313"/>
        <v>17.468999999999998</v>
      </c>
      <c r="BP1074" t="s">
        <v>396</v>
      </c>
      <c r="BQ1074" s="304" t="s">
        <v>3302</v>
      </c>
      <c r="BR1074" t="s">
        <v>614</v>
      </c>
      <c r="BS1074">
        <f>146*(15.41)</f>
        <v>2249.86</v>
      </c>
      <c r="BT1074">
        <f>107*13.72</f>
        <v>1468.04</v>
      </c>
      <c r="BU1074" s="144">
        <f t="shared" ref="BU1074:BU1084" si="316">IFERROR(BT1074/BS1074,"")</f>
        <v>0.65250282239783808</v>
      </c>
      <c r="BV1074">
        <f t="shared" ref="BV1074:BV1085" si="317">BT1074-BS1074</f>
        <v>-781.82000000000016</v>
      </c>
      <c r="BX1074">
        <f t="shared" si="314"/>
        <v>-0.78182000000000018</v>
      </c>
      <c r="BY1074">
        <f t="shared" si="262"/>
        <v>-4.4754708340488884E-2</v>
      </c>
      <c r="BZ1074">
        <v>0</v>
      </c>
      <c r="CA1074">
        <v>0</v>
      </c>
      <c r="CB1074">
        <v>0</v>
      </c>
      <c r="CC1074">
        <v>0</v>
      </c>
      <c r="CD1074">
        <v>0</v>
      </c>
      <c r="CE1074">
        <v>0</v>
      </c>
      <c r="CF1074">
        <v>0</v>
      </c>
      <c r="CG1074">
        <v>0</v>
      </c>
      <c r="CH1074">
        <v>0</v>
      </c>
      <c r="CI1074">
        <v>0</v>
      </c>
      <c r="CJ1074">
        <v>0</v>
      </c>
      <c r="CK1074">
        <v>0</v>
      </c>
      <c r="CL1074">
        <v>0</v>
      </c>
      <c r="CM1074">
        <v>0</v>
      </c>
      <c r="CN1074" t="str">
        <f t="shared" si="302"/>
        <v>refOK</v>
      </c>
      <c r="CO1074"/>
      <c r="CP1074"/>
      <c r="CQ1074">
        <f t="shared" si="274"/>
        <v>17.468999999999998</v>
      </c>
      <c r="CR1074">
        <f t="shared" si="307"/>
        <v>-2249.86</v>
      </c>
      <c r="CS1074">
        <f t="shared" si="308"/>
        <v>-1468.04</v>
      </c>
      <c r="CT1074">
        <f t="shared" si="267"/>
        <v>0.78182000000000018</v>
      </c>
      <c r="CU1074">
        <f t="shared" si="312"/>
        <v>4.4754708340488884E-2</v>
      </c>
      <c r="CV1074" s="2">
        <f t="shared" si="268"/>
        <v>0.34749717760216198</v>
      </c>
      <c r="CW1074" s="1" t="s">
        <v>264</v>
      </c>
      <c r="CX1074" t="str">
        <f t="shared" si="298"/>
        <v>loc</v>
      </c>
      <c r="CY1074" t="s">
        <v>615</v>
      </c>
      <c r="DB1074">
        <v>0</v>
      </c>
      <c r="DC1074" t="str">
        <f t="shared" si="299"/>
        <v>0</v>
      </c>
      <c r="DD1074">
        <v>0</v>
      </c>
      <c r="DE1074">
        <v>0</v>
      </c>
      <c r="DF1074">
        <v>0</v>
      </c>
      <c r="DG1074">
        <v>1</v>
      </c>
      <c r="DH1074">
        <v>0</v>
      </c>
      <c r="DI1074">
        <f t="shared" ref="DI1074:DI1084" si="318">SUM(DD1074:DH1074)</f>
        <v>1</v>
      </c>
      <c r="DJ1074" t="str">
        <f t="shared" si="311"/>
        <v>TimberInput</v>
      </c>
      <c r="DK1074">
        <f t="shared" si="277"/>
        <v>0</v>
      </c>
      <c r="DL1074">
        <f t="shared" si="278"/>
        <v>0</v>
      </c>
      <c r="DM1074">
        <f t="shared" si="279"/>
        <v>0</v>
      </c>
      <c r="DN1074" t="str">
        <f t="shared" si="280"/>
        <v>Timber</v>
      </c>
      <c r="DO1074">
        <v>0</v>
      </c>
      <c r="DP1074">
        <v>0</v>
      </c>
      <c r="DQ1074">
        <v>0</v>
      </c>
      <c r="DR1074">
        <v>0</v>
      </c>
      <c r="DS1074">
        <v>0</v>
      </c>
      <c r="DT1074">
        <f t="shared" si="315"/>
        <v>0</v>
      </c>
      <c r="DU1074" t="str">
        <f t="shared" si="301"/>
        <v>explicit C balance</v>
      </c>
      <c r="DV1074">
        <v>0</v>
      </c>
      <c r="DW1074">
        <v>0</v>
      </c>
      <c r="DX1074">
        <v>0</v>
      </c>
      <c r="DY1074">
        <v>0</v>
      </c>
      <c r="DZ1074">
        <v>0</v>
      </c>
      <c r="EA1074" s="266">
        <v>1</v>
      </c>
      <c r="EB1074">
        <v>1</v>
      </c>
      <c r="EC1074">
        <v>1</v>
      </c>
      <c r="ED1074">
        <v>1</v>
      </c>
      <c r="EE1074">
        <v>1</v>
      </c>
      <c r="EF1074">
        <v>0</v>
      </c>
      <c r="EG1074">
        <v>0</v>
      </c>
      <c r="EH1074">
        <v>0</v>
      </c>
      <c r="EI1074" s="2">
        <v>0</v>
      </c>
      <c r="EK1074" t="str">
        <f t="shared" si="281"/>
        <v/>
      </c>
      <c r="EL1074" t="str">
        <f t="shared" si="282"/>
        <v/>
      </c>
      <c r="EM1074" s="2" t="str">
        <f t="shared" si="300"/>
        <v>Technology approach</v>
      </c>
      <c r="EP1074" t="str">
        <f>IF(ISNUMBER(BU1074),IF(ABS(BU1074-[4]QC_indicators!$B$2)&gt;3*[4]QC_indicators!$C$2,"C ratio",IF(ISNUMBER(BY1074),IF(ABS(BY1074-[4]QC_indicators!$B$1)&gt;3*[4]QC_indicators!$C$1,"DF","no"))),IF(ISNUMBER(BY1074),IF(ABS(BY1074-[4]QC_indicators!$B$1)&gt;3*[4]QC_indicators!$C$1,"DF","no")))</f>
        <v>no</v>
      </c>
      <c r="ET1074" s="266" t="s">
        <v>3275</v>
      </c>
    </row>
    <row r="1075" spans="1:150" ht="15" hidden="1" customHeight="1">
      <c r="A1075" s="1" t="s">
        <v>601</v>
      </c>
      <c r="B1075" t="s">
        <v>602</v>
      </c>
      <c r="C1075" t="s">
        <v>603</v>
      </c>
      <c r="D1075" t="s">
        <v>604</v>
      </c>
      <c r="E1075" t="s">
        <v>605</v>
      </c>
      <c r="F1075" t="s">
        <v>606</v>
      </c>
      <c r="G1075" t="s">
        <v>607</v>
      </c>
      <c r="H1075" t="s">
        <v>255</v>
      </c>
      <c r="I1075">
        <v>2022</v>
      </c>
      <c r="J1075">
        <v>15</v>
      </c>
      <c r="K1075" t="s">
        <v>608</v>
      </c>
      <c r="M1075" t="str">
        <f t="shared" si="310"/>
        <v>Dani_2022</v>
      </c>
      <c r="N1075" t="s">
        <v>223</v>
      </c>
      <c r="O1075" s="145" t="s">
        <v>224</v>
      </c>
      <c r="Q1075" t="s">
        <v>390</v>
      </c>
      <c r="R1075" s="255" t="s">
        <v>226</v>
      </c>
      <c r="S1075" s="1" t="s">
        <v>609</v>
      </c>
      <c r="T1075" t="s">
        <v>610</v>
      </c>
      <c r="U1075" t="s">
        <v>611</v>
      </c>
      <c r="V1075">
        <v>0</v>
      </c>
      <c r="W1075">
        <v>0</v>
      </c>
      <c r="X1075">
        <v>0</v>
      </c>
      <c r="Y1075">
        <v>0</v>
      </c>
      <c r="Z1075">
        <v>0</v>
      </c>
      <c r="AA1075">
        <v>0</v>
      </c>
      <c r="AB1075">
        <v>0</v>
      </c>
      <c r="AC1075">
        <v>0</v>
      </c>
      <c r="AD1075">
        <v>0</v>
      </c>
      <c r="AE1075">
        <v>0</v>
      </c>
      <c r="AF1075">
        <v>0</v>
      </c>
      <c r="AG1075">
        <v>0</v>
      </c>
      <c r="AH1075">
        <v>0</v>
      </c>
      <c r="AI1075">
        <v>0</v>
      </c>
      <c r="AJ1075">
        <v>0</v>
      </c>
      <c r="AK1075">
        <v>1</v>
      </c>
      <c r="AL1075">
        <v>0</v>
      </c>
      <c r="AM1075">
        <v>0</v>
      </c>
      <c r="AN1075">
        <v>0</v>
      </c>
      <c r="AO1075">
        <v>0</v>
      </c>
      <c r="AP1075">
        <v>0</v>
      </c>
      <c r="AQ1075">
        <v>0</v>
      </c>
      <c r="AR1075">
        <v>0</v>
      </c>
      <c r="AS1075">
        <v>0</v>
      </c>
      <c r="AT1075">
        <v>0</v>
      </c>
      <c r="AU1075">
        <v>0</v>
      </c>
      <c r="AV1075">
        <v>0</v>
      </c>
      <c r="AW1075">
        <v>0</v>
      </c>
      <c r="AX1075" s="141">
        <f t="shared" si="266"/>
        <v>1</v>
      </c>
      <c r="AY1075" s="141">
        <f t="shared" si="292"/>
        <v>1</v>
      </c>
      <c r="AZ1075">
        <f t="shared" si="293"/>
        <v>0</v>
      </c>
      <c r="BA1075">
        <f t="shared" si="294"/>
        <v>0</v>
      </c>
      <c r="BB1075">
        <f t="shared" si="295"/>
        <v>1</v>
      </c>
      <c r="BC1075">
        <f t="shared" si="296"/>
        <v>0</v>
      </c>
      <c r="BD1075">
        <f t="shared" si="297"/>
        <v>0</v>
      </c>
      <c r="BE1075" t="str">
        <f t="array" ref="BE1075">IF(AY1075=1,INDEX($V$7:$AL$7,MATCH(TRUE,INDEX($V1075:$AW1075&lt;&gt;0,),0)),IF(AY1075=0,INDEX($AM$7:$AW$7,MATCH(1,$AM1075:$AW1075,0)),IF(BF1075="Multiple strategies","mixed drivers",IF(BF1075="Supply chain","multiple supply","multiple silviculture"))))</f>
        <v>technologies/design switch</v>
      </c>
      <c r="BF1075" s="2" t="str" cm="1">
        <f t="array" ref="BF1075">IF(COUNTIF(AZ1075:BB1075,"&lt;&gt;0")=1,INDEX($V$4:$AW$4,MATCH(TRUE,INDEX($V1075:$AW1075&lt;&gt;0,),0)),IF(COUNTIF(AZ1075:BB1075,"&lt;&gt;0")=0,INDEX($AM$4:$AW$4,MATCH(1,$AM1075:$AW1075,0)),"Multiple strategies"))</f>
        <v>Technology</v>
      </c>
      <c r="BG1075" s="1" t="s">
        <v>230</v>
      </c>
      <c r="BH1075" t="s">
        <v>612</v>
      </c>
      <c r="BI1075" t="s">
        <v>425</v>
      </c>
      <c r="BJ1075" t="s">
        <v>499</v>
      </c>
      <c r="BK1075">
        <f>0.041+0.652</f>
        <v>0.69300000000000006</v>
      </c>
      <c r="BL1075">
        <f>0.298+2.905+0.284+3.758+0.808+6.645+2.786+0.678</f>
        <v>18.161999999999999</v>
      </c>
      <c r="BN1075">
        <f t="shared" si="275"/>
        <v>17.468999999999998</v>
      </c>
      <c r="BO1075">
        <f t="shared" si="313"/>
        <v>17.468999999999998</v>
      </c>
      <c r="BP1075" t="s">
        <v>396</v>
      </c>
      <c r="BQ1075" s="304" t="s">
        <v>3303</v>
      </c>
      <c r="BR1075" t="s">
        <v>614</v>
      </c>
      <c r="BS1075">
        <f>(1.47+8.39+1.85)*146</f>
        <v>1709.66</v>
      </c>
      <c r="BT1075">
        <f>107*(1.16+8.34+1.52)</f>
        <v>1179.1399999999999</v>
      </c>
      <c r="BU1075" s="144">
        <f t="shared" si="316"/>
        <v>0.68969268743492851</v>
      </c>
      <c r="BV1075">
        <f t="shared" si="317"/>
        <v>-530.52000000000021</v>
      </c>
      <c r="BX1075">
        <f t="shared" si="314"/>
        <v>-0.53052000000000021</v>
      </c>
      <c r="BY1075">
        <f t="shared" si="262"/>
        <v>-3.0369225485145132E-2</v>
      </c>
      <c r="BZ1075">
        <v>0</v>
      </c>
      <c r="CA1075">
        <v>0</v>
      </c>
      <c r="CB1075">
        <v>0</v>
      </c>
      <c r="CC1075">
        <v>0</v>
      </c>
      <c r="CD1075">
        <v>0</v>
      </c>
      <c r="CE1075">
        <v>0</v>
      </c>
      <c r="CF1075">
        <v>0</v>
      </c>
      <c r="CG1075">
        <v>0</v>
      </c>
      <c r="CH1075">
        <v>0</v>
      </c>
      <c r="CI1075">
        <v>0</v>
      </c>
      <c r="CJ1075">
        <v>0</v>
      </c>
      <c r="CK1075">
        <v>0</v>
      </c>
      <c r="CL1075">
        <v>0</v>
      </c>
      <c r="CM1075">
        <v>0</v>
      </c>
      <c r="CN1075" t="str">
        <f t="shared" si="302"/>
        <v>refOK</v>
      </c>
      <c r="CO1075"/>
      <c r="CP1075"/>
      <c r="CQ1075">
        <f t="shared" si="274"/>
        <v>17.468999999999998</v>
      </c>
      <c r="CR1075">
        <f t="shared" si="307"/>
        <v>-1709.66</v>
      </c>
      <c r="CS1075">
        <f t="shared" si="308"/>
        <v>-1179.1399999999999</v>
      </c>
      <c r="CT1075">
        <f t="shared" si="267"/>
        <v>0.53052000000000021</v>
      </c>
      <c r="CU1075">
        <f t="shared" si="312"/>
        <v>3.0369225485145132E-2</v>
      </c>
      <c r="CV1075" s="2">
        <f t="shared" si="268"/>
        <v>0.31030731256507155</v>
      </c>
      <c r="CW1075" s="1" t="s">
        <v>264</v>
      </c>
      <c r="CX1075" t="str">
        <f t="shared" si="298"/>
        <v>loc</v>
      </c>
      <c r="CY1075" t="s">
        <v>615</v>
      </c>
      <c r="DB1075">
        <v>0</v>
      </c>
      <c r="DC1075" t="str">
        <f t="shared" si="299"/>
        <v>0</v>
      </c>
      <c r="DD1075">
        <v>0</v>
      </c>
      <c r="DE1075">
        <v>0</v>
      </c>
      <c r="DF1075">
        <v>0</v>
      </c>
      <c r="DG1075">
        <v>1</v>
      </c>
      <c r="DH1075">
        <v>0</v>
      </c>
      <c r="DI1075">
        <f t="shared" si="318"/>
        <v>1</v>
      </c>
      <c r="DJ1075" t="str">
        <f t="shared" si="311"/>
        <v>TimberInput</v>
      </c>
      <c r="DK1075">
        <f t="shared" si="277"/>
        <v>0</v>
      </c>
      <c r="DL1075">
        <f t="shared" si="278"/>
        <v>0</v>
      </c>
      <c r="DM1075">
        <f t="shared" si="279"/>
        <v>0</v>
      </c>
      <c r="DN1075" t="str">
        <f t="shared" si="280"/>
        <v>Timber</v>
      </c>
      <c r="DO1075">
        <v>0</v>
      </c>
      <c r="DP1075">
        <v>0</v>
      </c>
      <c r="DQ1075">
        <v>0</v>
      </c>
      <c r="DR1075">
        <v>0</v>
      </c>
      <c r="DS1075">
        <v>0</v>
      </c>
      <c r="DT1075">
        <f t="shared" si="315"/>
        <v>0</v>
      </c>
      <c r="DU1075" t="str">
        <f t="shared" si="301"/>
        <v>explicit C balance</v>
      </c>
      <c r="DV1075">
        <v>0</v>
      </c>
      <c r="DW1075">
        <v>0</v>
      </c>
      <c r="DX1075">
        <v>0</v>
      </c>
      <c r="DY1075">
        <v>0</v>
      </c>
      <c r="DZ1075">
        <v>0</v>
      </c>
      <c r="EA1075" s="143">
        <v>0</v>
      </c>
      <c r="EB1075">
        <v>0</v>
      </c>
      <c r="EC1075">
        <v>0</v>
      </c>
      <c r="ED1075">
        <v>1</v>
      </c>
      <c r="EE1075">
        <v>0</v>
      </c>
      <c r="EF1075">
        <v>0</v>
      </c>
      <c r="EG1075">
        <v>0</v>
      </c>
      <c r="EH1075">
        <v>0</v>
      </c>
      <c r="EI1075" s="2">
        <v>0</v>
      </c>
      <c r="EK1075" t="str">
        <f t="shared" si="281"/>
        <v/>
      </c>
      <c r="EL1075" t="str">
        <f t="shared" si="282"/>
        <v/>
      </c>
      <c r="EM1075" s="2" t="str">
        <f t="shared" si="300"/>
        <v/>
      </c>
      <c r="EP1075" t="str">
        <f>IF(ISNUMBER(BU1075),IF(ABS(BU1075-[4]QC_indicators!$B$2)&gt;3*[4]QC_indicators!$C$2,"C ratio",IF(ISNUMBER(BY1075),IF(ABS(BY1075-[4]QC_indicators!$B$1)&gt;3*[4]QC_indicators!$C$1,"DF","no"))),IF(ISNUMBER(BY1075),IF(ABS(BY1075-[4]QC_indicators!$B$1)&gt;3*[4]QC_indicators!$C$1,"DF","no")))</f>
        <v>no</v>
      </c>
      <c r="ET1075" s="266" t="s">
        <v>3275</v>
      </c>
    </row>
    <row r="1076" spans="1:150" ht="15" hidden="1" customHeight="1">
      <c r="A1076" s="1" t="s">
        <v>601</v>
      </c>
      <c r="B1076" t="s">
        <v>602</v>
      </c>
      <c r="C1076" t="s">
        <v>603</v>
      </c>
      <c r="D1076" t="s">
        <v>604</v>
      </c>
      <c r="E1076" t="s">
        <v>605</v>
      </c>
      <c r="F1076" t="s">
        <v>606</v>
      </c>
      <c r="G1076" t="s">
        <v>607</v>
      </c>
      <c r="H1076" t="s">
        <v>255</v>
      </c>
      <c r="I1076">
        <v>2022</v>
      </c>
      <c r="J1076">
        <v>15</v>
      </c>
      <c r="K1076" t="s">
        <v>608</v>
      </c>
      <c r="M1076" t="str">
        <f t="shared" si="310"/>
        <v>Dani_2022</v>
      </c>
      <c r="N1076" t="s">
        <v>223</v>
      </c>
      <c r="O1076" s="145" t="s">
        <v>224</v>
      </c>
      <c r="Q1076" t="s">
        <v>390</v>
      </c>
      <c r="R1076" s="255" t="s">
        <v>226</v>
      </c>
      <c r="S1076" s="1" t="s">
        <v>609</v>
      </c>
      <c r="T1076" t="s">
        <v>610</v>
      </c>
      <c r="U1076" t="s">
        <v>611</v>
      </c>
      <c r="V1076">
        <v>0</v>
      </c>
      <c r="W1076">
        <v>0</v>
      </c>
      <c r="X1076">
        <v>0</v>
      </c>
      <c r="Y1076">
        <v>0</v>
      </c>
      <c r="Z1076">
        <v>0</v>
      </c>
      <c r="AA1076">
        <v>0</v>
      </c>
      <c r="AB1076">
        <v>0</v>
      </c>
      <c r="AC1076">
        <v>0</v>
      </c>
      <c r="AD1076">
        <v>0</v>
      </c>
      <c r="AE1076">
        <v>0</v>
      </c>
      <c r="AF1076">
        <v>0</v>
      </c>
      <c r="AG1076">
        <v>0</v>
      </c>
      <c r="AH1076">
        <v>0</v>
      </c>
      <c r="AI1076">
        <v>0</v>
      </c>
      <c r="AJ1076">
        <v>0</v>
      </c>
      <c r="AK1076">
        <v>1</v>
      </c>
      <c r="AL1076">
        <v>0</v>
      </c>
      <c r="AM1076">
        <v>0</v>
      </c>
      <c r="AN1076">
        <v>0</v>
      </c>
      <c r="AO1076">
        <v>0</v>
      </c>
      <c r="AP1076">
        <v>0</v>
      </c>
      <c r="AQ1076">
        <v>0</v>
      </c>
      <c r="AR1076">
        <v>0</v>
      </c>
      <c r="AS1076">
        <v>0</v>
      </c>
      <c r="AT1076">
        <v>0</v>
      </c>
      <c r="AU1076">
        <v>0</v>
      </c>
      <c r="AV1076">
        <v>0</v>
      </c>
      <c r="AW1076">
        <v>0</v>
      </c>
      <c r="AX1076" s="141">
        <f t="shared" si="266"/>
        <v>1</v>
      </c>
      <c r="AY1076" s="141">
        <f t="shared" si="292"/>
        <v>1</v>
      </c>
      <c r="AZ1076">
        <f t="shared" si="293"/>
        <v>0</v>
      </c>
      <c r="BA1076">
        <f t="shared" si="294"/>
        <v>0</v>
      </c>
      <c r="BB1076">
        <f t="shared" si="295"/>
        <v>1</v>
      </c>
      <c r="BC1076">
        <f t="shared" si="296"/>
        <v>0</v>
      </c>
      <c r="BD1076">
        <f t="shared" si="297"/>
        <v>0</v>
      </c>
      <c r="BE1076" t="str">
        <f t="array" ref="BE1076">IF(AY1076=1,INDEX($V$7:$AL$7,MATCH(TRUE,INDEX($V1076:$AW1076&lt;&gt;0,),0)),IF(AY1076=0,INDEX($AM$7:$AW$7,MATCH(1,$AM1076:$AW1076,0)),IF(BF1076="Multiple strategies","mixed drivers",IF(BF1076="Supply chain","multiple supply","multiple silviculture"))))</f>
        <v>technologies/design switch</v>
      </c>
      <c r="BF1076" s="2" t="str" cm="1">
        <f t="array" ref="BF1076">IF(COUNTIF(AZ1076:BB1076,"&lt;&gt;0")=1,INDEX($V$4:$AW$4,MATCH(TRUE,INDEX($V1076:$AW1076&lt;&gt;0,),0)),IF(COUNTIF(AZ1076:BB1076,"&lt;&gt;0")=0,INDEX($AM$4:$AW$4,MATCH(1,$AM1076:$AW1076,0)),"Multiple strategies"))</f>
        <v>Technology</v>
      </c>
      <c r="BG1076" s="1" t="s">
        <v>230</v>
      </c>
      <c r="BH1076" t="s">
        <v>612</v>
      </c>
      <c r="BI1076" t="s">
        <v>425</v>
      </c>
      <c r="BJ1076" t="s">
        <v>499</v>
      </c>
      <c r="BK1076">
        <f>0.041+0.652</f>
        <v>0.69300000000000006</v>
      </c>
      <c r="BL1076">
        <f>0.298+2.905+0.284+3.758+0.808+6.645+2.786+0.678</f>
        <v>18.161999999999999</v>
      </c>
      <c r="BN1076">
        <f t="shared" si="275"/>
        <v>17.468999999999998</v>
      </c>
      <c r="BO1076">
        <f t="shared" si="313"/>
        <v>17.468999999999998</v>
      </c>
      <c r="BP1076" t="s">
        <v>396</v>
      </c>
      <c r="BQ1076" s="304" t="s">
        <v>3304</v>
      </c>
      <c r="BR1076" t="s">
        <v>614</v>
      </c>
      <c r="BS1076">
        <f>146*(4.66+0.31)</f>
        <v>725.62</v>
      </c>
      <c r="BT1076">
        <f>107*(2.31+0.49)</f>
        <v>299.59999999999997</v>
      </c>
      <c r="BU1076" s="144">
        <f t="shared" si="316"/>
        <v>0.41288828863592508</v>
      </c>
      <c r="BV1076">
        <f t="shared" si="317"/>
        <v>-426.02000000000004</v>
      </c>
      <c r="BX1076">
        <f t="shared" si="314"/>
        <v>-0.42602000000000007</v>
      </c>
      <c r="BY1076">
        <f t="shared" si="262"/>
        <v>-2.4387200183181645E-2</v>
      </c>
      <c r="BZ1076">
        <v>0</v>
      </c>
      <c r="CA1076">
        <v>0</v>
      </c>
      <c r="CB1076">
        <v>0</v>
      </c>
      <c r="CC1076">
        <v>0</v>
      </c>
      <c r="CD1076">
        <v>0</v>
      </c>
      <c r="CE1076">
        <v>0</v>
      </c>
      <c r="CF1076">
        <v>0</v>
      </c>
      <c r="CG1076">
        <v>0</v>
      </c>
      <c r="CH1076">
        <v>0</v>
      </c>
      <c r="CI1076">
        <v>0</v>
      </c>
      <c r="CJ1076">
        <v>0</v>
      </c>
      <c r="CK1076">
        <v>0</v>
      </c>
      <c r="CL1076">
        <v>0</v>
      </c>
      <c r="CM1076">
        <v>0</v>
      </c>
      <c r="CN1076" t="str">
        <f t="shared" si="302"/>
        <v>refOK</v>
      </c>
      <c r="CO1076"/>
      <c r="CP1076"/>
      <c r="CQ1076">
        <f t="shared" si="274"/>
        <v>17.468999999999998</v>
      </c>
      <c r="CR1076">
        <f t="shared" si="307"/>
        <v>-725.62</v>
      </c>
      <c r="CS1076">
        <f t="shared" si="308"/>
        <v>-299.59999999999997</v>
      </c>
      <c r="CT1076">
        <f t="shared" si="267"/>
        <v>0.42602000000000007</v>
      </c>
      <c r="CU1076">
        <f t="shared" si="312"/>
        <v>2.4387200183181645E-2</v>
      </c>
      <c r="CV1076" s="2">
        <f t="shared" si="268"/>
        <v>0.58711171136407492</v>
      </c>
      <c r="CW1076" s="1" t="s">
        <v>264</v>
      </c>
      <c r="CX1076" t="str">
        <f t="shared" si="298"/>
        <v>loc</v>
      </c>
      <c r="CY1076" t="s">
        <v>615</v>
      </c>
      <c r="DB1076">
        <v>0</v>
      </c>
      <c r="DC1076" t="str">
        <f t="shared" si="299"/>
        <v>0</v>
      </c>
      <c r="DD1076">
        <v>0</v>
      </c>
      <c r="DE1076">
        <v>0</v>
      </c>
      <c r="DF1076">
        <v>0</v>
      </c>
      <c r="DG1076">
        <v>1</v>
      </c>
      <c r="DH1076">
        <v>0</v>
      </c>
      <c r="DI1076">
        <f t="shared" si="318"/>
        <v>1</v>
      </c>
      <c r="DJ1076" t="str">
        <f t="shared" si="311"/>
        <v>TimberInput</v>
      </c>
      <c r="DK1076">
        <f t="shared" si="277"/>
        <v>0</v>
      </c>
      <c r="DL1076">
        <f t="shared" si="278"/>
        <v>0</v>
      </c>
      <c r="DM1076">
        <f t="shared" si="279"/>
        <v>0</v>
      </c>
      <c r="DN1076" t="str">
        <f t="shared" si="280"/>
        <v>Timber</v>
      </c>
      <c r="DO1076">
        <v>0</v>
      </c>
      <c r="DP1076">
        <v>0</v>
      </c>
      <c r="DQ1076">
        <v>0</v>
      </c>
      <c r="DR1076">
        <v>0</v>
      </c>
      <c r="DS1076">
        <v>0</v>
      </c>
      <c r="DT1076">
        <f t="shared" si="315"/>
        <v>0</v>
      </c>
      <c r="DU1076" t="str">
        <f t="shared" si="301"/>
        <v>explicit C balance</v>
      </c>
      <c r="DV1076">
        <v>0</v>
      </c>
      <c r="DW1076">
        <v>0</v>
      </c>
      <c r="DX1076">
        <v>0</v>
      </c>
      <c r="DY1076">
        <v>0</v>
      </c>
      <c r="DZ1076">
        <v>0</v>
      </c>
      <c r="EA1076" s="143">
        <v>0</v>
      </c>
      <c r="EB1076">
        <v>1</v>
      </c>
      <c r="EC1076">
        <v>1</v>
      </c>
      <c r="ED1076">
        <v>0</v>
      </c>
      <c r="EE1076">
        <v>0</v>
      </c>
      <c r="EF1076">
        <v>0</v>
      </c>
      <c r="EG1076">
        <v>0</v>
      </c>
      <c r="EH1076">
        <v>0</v>
      </c>
      <c r="EI1076" s="2">
        <v>0</v>
      </c>
      <c r="EK1076" t="str">
        <f t="shared" si="281"/>
        <v/>
      </c>
      <c r="EL1076" t="str">
        <f t="shared" si="282"/>
        <v/>
      </c>
      <c r="EM1076" s="2" t="str">
        <f t="shared" si="300"/>
        <v>Technology approach</v>
      </c>
      <c r="EP1076" t="str">
        <f>IF(ISNUMBER(BU1076),IF(ABS(BU1076-[4]QC_indicators!$B$2)&gt;3*[4]QC_indicators!$C$2,"C ratio",IF(ISNUMBER(BY1076),IF(ABS(BY1076-[4]QC_indicators!$B$1)&gt;3*[4]QC_indicators!$C$1,"DF","no"))),IF(ISNUMBER(BY1076),IF(ABS(BY1076-[4]QC_indicators!$B$1)&gt;3*[4]QC_indicators!$C$1,"DF","no")))</f>
        <v>no</v>
      </c>
      <c r="ET1076" s="266" t="s">
        <v>3275</v>
      </c>
    </row>
    <row r="1077" spans="1:150" ht="15" hidden="1" customHeight="1">
      <c r="A1077" s="1" t="s">
        <v>601</v>
      </c>
      <c r="B1077" t="s">
        <v>602</v>
      </c>
      <c r="C1077" t="s">
        <v>603</v>
      </c>
      <c r="D1077" t="s">
        <v>604</v>
      </c>
      <c r="E1077" t="s">
        <v>605</v>
      </c>
      <c r="F1077" t="s">
        <v>606</v>
      </c>
      <c r="G1077" t="s">
        <v>607</v>
      </c>
      <c r="H1077" t="s">
        <v>255</v>
      </c>
      <c r="I1077">
        <v>2022</v>
      </c>
      <c r="J1077">
        <v>15</v>
      </c>
      <c r="K1077" t="s">
        <v>608</v>
      </c>
      <c r="M1077" t="str">
        <f t="shared" si="310"/>
        <v>Dani_2022</v>
      </c>
      <c r="N1077" t="s">
        <v>223</v>
      </c>
      <c r="O1077" s="145" t="s">
        <v>224</v>
      </c>
      <c r="Q1077" t="s">
        <v>390</v>
      </c>
      <c r="R1077" s="255" t="s">
        <v>226</v>
      </c>
      <c r="S1077" s="1" t="s">
        <v>609</v>
      </c>
      <c r="T1077" t="s">
        <v>610</v>
      </c>
      <c r="U1077" t="s">
        <v>611</v>
      </c>
      <c r="V1077">
        <v>0</v>
      </c>
      <c r="W1077">
        <v>0</v>
      </c>
      <c r="X1077">
        <v>0</v>
      </c>
      <c r="Y1077">
        <v>0</v>
      </c>
      <c r="Z1077">
        <v>0</v>
      </c>
      <c r="AA1077">
        <v>0</v>
      </c>
      <c r="AB1077">
        <v>0</v>
      </c>
      <c r="AC1077">
        <v>0</v>
      </c>
      <c r="AD1077">
        <v>0</v>
      </c>
      <c r="AE1077">
        <v>0</v>
      </c>
      <c r="AF1077">
        <v>0</v>
      </c>
      <c r="AG1077">
        <v>0</v>
      </c>
      <c r="AH1077">
        <v>0</v>
      </c>
      <c r="AI1077">
        <v>0</v>
      </c>
      <c r="AJ1077">
        <v>0</v>
      </c>
      <c r="AK1077">
        <v>1</v>
      </c>
      <c r="AL1077">
        <v>0</v>
      </c>
      <c r="AM1077">
        <v>0</v>
      </c>
      <c r="AN1077">
        <v>0</v>
      </c>
      <c r="AO1077">
        <v>0</v>
      </c>
      <c r="AP1077">
        <v>0</v>
      </c>
      <c r="AQ1077">
        <v>0</v>
      </c>
      <c r="AR1077">
        <v>0</v>
      </c>
      <c r="AS1077">
        <v>0</v>
      </c>
      <c r="AT1077">
        <v>0</v>
      </c>
      <c r="AU1077">
        <v>0</v>
      </c>
      <c r="AV1077">
        <v>0</v>
      </c>
      <c r="AW1077">
        <v>0</v>
      </c>
      <c r="AX1077" s="141">
        <f t="shared" si="266"/>
        <v>1</v>
      </c>
      <c r="AY1077" s="141">
        <f t="shared" si="292"/>
        <v>1</v>
      </c>
      <c r="AZ1077">
        <f t="shared" si="293"/>
        <v>0</v>
      </c>
      <c r="BA1077">
        <f t="shared" si="294"/>
        <v>0</v>
      </c>
      <c r="BB1077">
        <f t="shared" si="295"/>
        <v>1</v>
      </c>
      <c r="BC1077">
        <f t="shared" si="296"/>
        <v>0</v>
      </c>
      <c r="BD1077">
        <f t="shared" si="297"/>
        <v>0</v>
      </c>
      <c r="BE1077" t="str">
        <f t="array" ref="BE1077">IF(AY1077=1,INDEX($V$7:$AL$7,MATCH(TRUE,INDEX($V1077:$AW1077&lt;&gt;0,),0)),IF(AY1077=0,INDEX($AM$7:$AW$7,MATCH(1,$AM1077:$AW1077,0)),IF(BF1077="Multiple strategies","mixed drivers",IF(BF1077="Supply chain","multiple supply","multiple silviculture"))))</f>
        <v>technologies/design switch</v>
      </c>
      <c r="BF1077" s="2" t="str" cm="1">
        <f t="array" ref="BF1077">IF(COUNTIF(AZ1077:BB1077,"&lt;&gt;0")=1,INDEX($V$4:$AW$4,MATCH(TRUE,INDEX($V1077:$AW1077&lt;&gt;0,),0)),IF(COUNTIF(AZ1077:BB1077,"&lt;&gt;0")=0,INDEX($AM$4:$AW$4,MATCH(1,$AM1077:$AW1077,0)),"Multiple strategies"))</f>
        <v>Technology</v>
      </c>
      <c r="BG1077" s="1" t="s">
        <v>230</v>
      </c>
      <c r="BH1077" t="s">
        <v>612</v>
      </c>
      <c r="BI1077" t="s">
        <v>425</v>
      </c>
      <c r="BJ1077" t="s">
        <v>499</v>
      </c>
      <c r="BK1077">
        <f>0.041+0.652</f>
        <v>0.69300000000000006</v>
      </c>
      <c r="BL1077">
        <f>0.298+2.905+0.284+3.758+0.808+6.645+2.786+0.678</f>
        <v>18.161999999999999</v>
      </c>
      <c r="BN1077">
        <f t="shared" si="275"/>
        <v>17.468999999999998</v>
      </c>
      <c r="BO1077">
        <f t="shared" si="313"/>
        <v>17.468999999999998</v>
      </c>
      <c r="BP1077" t="s">
        <v>396</v>
      </c>
      <c r="BQ1077" s="304" t="s">
        <v>3305</v>
      </c>
      <c r="BR1077" t="s">
        <v>614</v>
      </c>
      <c r="BS1077">
        <f>146*0.27</f>
        <v>39.42</v>
      </c>
      <c r="BT1077">
        <f>107*0.64</f>
        <v>68.48</v>
      </c>
      <c r="BU1077" s="144">
        <f t="shared" si="316"/>
        <v>1.7371892440385592</v>
      </c>
      <c r="BV1077">
        <f t="shared" si="317"/>
        <v>29.060000000000002</v>
      </c>
      <c r="BX1077">
        <f t="shared" si="314"/>
        <v>2.9060000000000002E-2</v>
      </c>
      <c r="BY1077">
        <f t="shared" si="262"/>
        <v>1.6635182322972126E-3</v>
      </c>
      <c r="BZ1077">
        <v>0</v>
      </c>
      <c r="CA1077">
        <v>0</v>
      </c>
      <c r="CB1077">
        <v>0</v>
      </c>
      <c r="CC1077">
        <v>0</v>
      </c>
      <c r="CD1077">
        <v>0</v>
      </c>
      <c r="CE1077">
        <v>0</v>
      </c>
      <c r="CF1077">
        <v>0</v>
      </c>
      <c r="CG1077">
        <v>0</v>
      </c>
      <c r="CH1077">
        <v>0</v>
      </c>
      <c r="CI1077">
        <v>0</v>
      </c>
      <c r="CJ1077">
        <v>0</v>
      </c>
      <c r="CK1077">
        <v>0</v>
      </c>
      <c r="CL1077">
        <v>0</v>
      </c>
      <c r="CM1077">
        <v>0</v>
      </c>
      <c r="CN1077" t="str">
        <f t="shared" si="302"/>
        <v>refOK</v>
      </c>
      <c r="CO1077"/>
      <c r="CP1077"/>
      <c r="CQ1077">
        <f t="shared" si="274"/>
        <v>17.468999999999998</v>
      </c>
      <c r="CR1077">
        <f t="shared" si="307"/>
        <v>-39.42</v>
      </c>
      <c r="CS1077">
        <f t="shared" si="308"/>
        <v>-68.48</v>
      </c>
      <c r="CT1077">
        <f t="shared" si="267"/>
        <v>-2.9060000000000002E-2</v>
      </c>
      <c r="CU1077">
        <f t="shared" si="312"/>
        <v>-1.6635182322972126E-3</v>
      </c>
      <c r="CV1077" s="2">
        <f t="shared" si="268"/>
        <v>-0.73718924403855912</v>
      </c>
      <c r="CW1077" s="1" t="s">
        <v>264</v>
      </c>
      <c r="CX1077" t="str">
        <f t="shared" si="298"/>
        <v>loc</v>
      </c>
      <c r="CY1077" t="s">
        <v>615</v>
      </c>
      <c r="DB1077">
        <v>0</v>
      </c>
      <c r="DC1077" t="str">
        <f t="shared" si="299"/>
        <v>0</v>
      </c>
      <c r="DD1077">
        <v>0</v>
      </c>
      <c r="DE1077">
        <v>0</v>
      </c>
      <c r="DF1077">
        <v>0</v>
      </c>
      <c r="DG1077">
        <v>1</v>
      </c>
      <c r="DH1077">
        <v>0</v>
      </c>
      <c r="DI1077">
        <f t="shared" si="318"/>
        <v>1</v>
      </c>
      <c r="DJ1077" t="str">
        <f t="shared" si="311"/>
        <v>TimberInput</v>
      </c>
      <c r="DK1077">
        <f t="shared" si="277"/>
        <v>0</v>
      </c>
      <c r="DL1077">
        <f t="shared" si="278"/>
        <v>0</v>
      </c>
      <c r="DM1077">
        <f t="shared" si="279"/>
        <v>0</v>
      </c>
      <c r="DN1077" t="str">
        <f t="shared" si="280"/>
        <v>Timber</v>
      </c>
      <c r="DO1077">
        <v>0</v>
      </c>
      <c r="DP1077">
        <v>0</v>
      </c>
      <c r="DQ1077">
        <v>0</v>
      </c>
      <c r="DR1077">
        <v>0</v>
      </c>
      <c r="DS1077">
        <v>0</v>
      </c>
      <c r="DT1077">
        <f t="shared" si="315"/>
        <v>0</v>
      </c>
      <c r="DU1077" t="str">
        <f t="shared" si="301"/>
        <v>explicit C balance</v>
      </c>
      <c r="DV1077">
        <v>0</v>
      </c>
      <c r="DW1077">
        <v>0</v>
      </c>
      <c r="DX1077">
        <v>0</v>
      </c>
      <c r="DY1077">
        <v>0</v>
      </c>
      <c r="DZ1077">
        <v>0</v>
      </c>
      <c r="EA1077" s="143">
        <v>0</v>
      </c>
      <c r="EB1077">
        <v>0</v>
      </c>
      <c r="EC1077">
        <v>0</v>
      </c>
      <c r="ED1077">
        <v>0</v>
      </c>
      <c r="EE1077">
        <v>1</v>
      </c>
      <c r="EF1077">
        <v>0</v>
      </c>
      <c r="EG1077">
        <v>0</v>
      </c>
      <c r="EH1077">
        <v>0</v>
      </c>
      <c r="EI1077" s="2">
        <v>0</v>
      </c>
      <c r="EK1077" t="str">
        <f t="shared" si="281"/>
        <v/>
      </c>
      <c r="EL1077" t="str">
        <f t="shared" si="282"/>
        <v/>
      </c>
      <c r="EM1077" s="2" t="str">
        <f t="shared" si="300"/>
        <v/>
      </c>
      <c r="EP1077" t="str">
        <f>IF(ISNUMBER(BU1077),IF(ABS(BU1077-[4]QC_indicators!$B$2)&gt;3*[4]QC_indicators!$C$2,"C ratio",IF(ISNUMBER(BY1077),IF(ABS(BY1077-[4]QC_indicators!$B$1)&gt;3*[4]QC_indicators!$C$1,"DF","no"))),IF(ISNUMBER(BY1077),IF(ABS(BY1077-[4]QC_indicators!$B$1)&gt;3*[4]QC_indicators!$C$1,"DF","no")))</f>
        <v>no</v>
      </c>
      <c r="ET1077" s="266" t="s">
        <v>3275</v>
      </c>
    </row>
    <row r="1078" spans="1:150" ht="15" hidden="1" customHeight="1">
      <c r="A1078" s="1" t="s">
        <v>601</v>
      </c>
      <c r="B1078" t="s">
        <v>602</v>
      </c>
      <c r="C1078" t="s">
        <v>603</v>
      </c>
      <c r="D1078" t="s">
        <v>604</v>
      </c>
      <c r="E1078" t="s">
        <v>605</v>
      </c>
      <c r="F1078" t="s">
        <v>606</v>
      </c>
      <c r="G1078" t="s">
        <v>607</v>
      </c>
      <c r="H1078" t="s">
        <v>255</v>
      </c>
      <c r="I1078">
        <v>2022</v>
      </c>
      <c r="J1078">
        <v>15</v>
      </c>
      <c r="K1078" t="s">
        <v>608</v>
      </c>
      <c r="M1078" t="str">
        <f t="shared" si="310"/>
        <v>Dani_2022</v>
      </c>
      <c r="N1078" t="s">
        <v>223</v>
      </c>
      <c r="O1078" s="145" t="s">
        <v>224</v>
      </c>
      <c r="Q1078" t="s">
        <v>390</v>
      </c>
      <c r="R1078" s="255" t="s">
        <v>226</v>
      </c>
      <c r="S1078" s="1" t="s">
        <v>609</v>
      </c>
      <c r="T1078" t="s">
        <v>610</v>
      </c>
      <c r="U1078" t="s">
        <v>611</v>
      </c>
      <c r="V1078">
        <v>0</v>
      </c>
      <c r="W1078">
        <v>0</v>
      </c>
      <c r="X1078">
        <v>0</v>
      </c>
      <c r="Y1078">
        <v>0</v>
      </c>
      <c r="Z1078">
        <v>0</v>
      </c>
      <c r="AA1078">
        <v>0</v>
      </c>
      <c r="AB1078">
        <v>0</v>
      </c>
      <c r="AC1078">
        <v>0</v>
      </c>
      <c r="AD1078">
        <v>0</v>
      </c>
      <c r="AE1078">
        <v>0</v>
      </c>
      <c r="AF1078">
        <v>0</v>
      </c>
      <c r="AG1078">
        <v>0</v>
      </c>
      <c r="AH1078">
        <v>0</v>
      </c>
      <c r="AI1078">
        <v>0</v>
      </c>
      <c r="AJ1078">
        <v>0</v>
      </c>
      <c r="AK1078">
        <v>1</v>
      </c>
      <c r="AL1078">
        <v>0</v>
      </c>
      <c r="AM1078">
        <v>0</v>
      </c>
      <c r="AN1078">
        <v>0</v>
      </c>
      <c r="AO1078">
        <v>0</v>
      </c>
      <c r="AP1078">
        <v>0</v>
      </c>
      <c r="AQ1078">
        <v>0</v>
      </c>
      <c r="AR1078">
        <v>0</v>
      </c>
      <c r="AS1078">
        <v>0</v>
      </c>
      <c r="AT1078">
        <v>0</v>
      </c>
      <c r="AU1078">
        <v>0</v>
      </c>
      <c r="AV1078">
        <v>0</v>
      </c>
      <c r="AW1078">
        <v>0</v>
      </c>
      <c r="AX1078" s="141">
        <f t="shared" si="266"/>
        <v>1</v>
      </c>
      <c r="AY1078" s="141">
        <f t="shared" si="292"/>
        <v>1</v>
      </c>
      <c r="AZ1078">
        <f t="shared" si="293"/>
        <v>0</v>
      </c>
      <c r="BA1078">
        <f t="shared" si="294"/>
        <v>0</v>
      </c>
      <c r="BB1078">
        <f t="shared" si="295"/>
        <v>1</v>
      </c>
      <c r="BC1078">
        <f t="shared" si="296"/>
        <v>0</v>
      </c>
      <c r="BD1078">
        <f t="shared" si="297"/>
        <v>0</v>
      </c>
      <c r="BE1078" t="str">
        <f t="array" ref="BE1078">IF(AY1078=1,INDEX($V$7:$AL$7,MATCH(TRUE,INDEX($V1078:$AW1078&lt;&gt;0,),0)),IF(AY1078=0,INDEX($AM$7:$AW$7,MATCH(1,$AM1078:$AW1078,0)),IF(BF1078="Multiple strategies","mixed drivers",IF(BF1078="Supply chain","multiple supply","multiple silviculture"))))</f>
        <v>technologies/design switch</v>
      </c>
      <c r="BF1078" s="2" t="str" cm="1">
        <f t="array" ref="BF1078">IF(COUNTIF(AZ1078:BB1078,"&lt;&gt;0")=1,INDEX($V$4:$AW$4,MATCH(TRUE,INDEX($V1078:$AW1078&lt;&gt;0,),0)),IF(COUNTIF(AZ1078:BB1078,"&lt;&gt;0")=0,INDEX($AM$4:$AW$4,MATCH(1,$AM1078:$AW1078,0)),"Multiple strategies"))</f>
        <v>Technology</v>
      </c>
      <c r="BG1078" s="1" t="s">
        <v>230</v>
      </c>
      <c r="BH1078" t="s">
        <v>612</v>
      </c>
      <c r="BI1078" t="s">
        <v>425</v>
      </c>
      <c r="BJ1078" t="s">
        <v>499</v>
      </c>
      <c r="BK1078">
        <f>0.041+0.652</f>
        <v>0.69300000000000006</v>
      </c>
      <c r="BL1078">
        <f>0.298+2.905+0.284+3.758+0.808+6.645+2.786+0.678</f>
        <v>18.161999999999999</v>
      </c>
      <c r="BN1078">
        <f t="shared" si="275"/>
        <v>17.468999999999998</v>
      </c>
      <c r="BO1078">
        <f t="shared" si="313"/>
        <v>17.468999999999998</v>
      </c>
      <c r="BP1078" t="s">
        <v>396</v>
      </c>
      <c r="BQ1078" s="304" t="s">
        <v>3306</v>
      </c>
      <c r="BR1078" t="s">
        <v>614</v>
      </c>
      <c r="BS1078">
        <f>146*(-1.53)</f>
        <v>-223.38</v>
      </c>
      <c r="BT1078" s="144">
        <f>107*(-0.74)</f>
        <v>-79.179999999999993</v>
      </c>
      <c r="BU1078" s="144">
        <f t="shared" si="316"/>
        <v>0.3544632464858089</v>
      </c>
      <c r="BV1078">
        <f t="shared" si="317"/>
        <v>144.19999999999999</v>
      </c>
      <c r="BX1078">
        <f t="shared" si="314"/>
        <v>0.14419999999999999</v>
      </c>
      <c r="BY1078">
        <f t="shared" si="262"/>
        <v>8.2546224740969731E-3</v>
      </c>
      <c r="BZ1078">
        <v>0</v>
      </c>
      <c r="CA1078">
        <v>0</v>
      </c>
      <c r="CB1078">
        <v>0</v>
      </c>
      <c r="CC1078">
        <v>0</v>
      </c>
      <c r="CD1078">
        <v>0</v>
      </c>
      <c r="CE1078">
        <v>0</v>
      </c>
      <c r="CF1078">
        <v>0</v>
      </c>
      <c r="CG1078">
        <v>0</v>
      </c>
      <c r="CH1078">
        <v>0</v>
      </c>
      <c r="CI1078">
        <v>0</v>
      </c>
      <c r="CJ1078">
        <v>0</v>
      </c>
      <c r="CK1078">
        <v>0</v>
      </c>
      <c r="CL1078">
        <v>0</v>
      </c>
      <c r="CM1078">
        <v>0</v>
      </c>
      <c r="CN1078" t="str">
        <f t="shared" si="302"/>
        <v>refOK</v>
      </c>
      <c r="CO1078"/>
      <c r="CP1078"/>
      <c r="CQ1078">
        <f t="shared" si="274"/>
        <v>17.468999999999998</v>
      </c>
      <c r="CR1078">
        <f t="shared" si="307"/>
        <v>223.38</v>
      </c>
      <c r="CS1078">
        <f t="shared" si="308"/>
        <v>79.179999999999993</v>
      </c>
      <c r="CT1078">
        <f t="shared" si="267"/>
        <v>-0.14419999999999999</v>
      </c>
      <c r="CU1078">
        <f t="shared" si="312"/>
        <v>-8.2546224740969731E-3</v>
      </c>
      <c r="CV1078" s="2">
        <f t="shared" si="268"/>
        <v>-0.64553675351419104</v>
      </c>
      <c r="CW1078" s="1" t="s">
        <v>264</v>
      </c>
      <c r="CX1078" t="str">
        <f t="shared" si="298"/>
        <v>loc</v>
      </c>
      <c r="CY1078" t="s">
        <v>615</v>
      </c>
      <c r="DB1078">
        <v>0</v>
      </c>
      <c r="DC1078" t="str">
        <f t="shared" si="299"/>
        <v>0</v>
      </c>
      <c r="DD1078">
        <v>0</v>
      </c>
      <c r="DE1078">
        <v>0</v>
      </c>
      <c r="DF1078">
        <v>0</v>
      </c>
      <c r="DG1078">
        <v>1</v>
      </c>
      <c r="DH1078">
        <v>0</v>
      </c>
      <c r="DI1078">
        <f t="shared" si="318"/>
        <v>1</v>
      </c>
      <c r="DJ1078" t="str">
        <f t="shared" si="311"/>
        <v>TimberInput</v>
      </c>
      <c r="DK1078">
        <f t="shared" si="277"/>
        <v>0</v>
      </c>
      <c r="DL1078">
        <f t="shared" si="278"/>
        <v>0</v>
      </c>
      <c r="DM1078">
        <f t="shared" si="279"/>
        <v>0</v>
      </c>
      <c r="DN1078" t="str">
        <f t="shared" si="280"/>
        <v>Timber</v>
      </c>
      <c r="DO1078">
        <v>0</v>
      </c>
      <c r="DP1078">
        <v>0</v>
      </c>
      <c r="DQ1078">
        <v>0</v>
      </c>
      <c r="DR1078">
        <v>0</v>
      </c>
      <c r="DS1078">
        <v>0</v>
      </c>
      <c r="DT1078">
        <f t="shared" si="315"/>
        <v>0</v>
      </c>
      <c r="DU1078" t="str">
        <f t="shared" si="301"/>
        <v>explicit C balance</v>
      </c>
      <c r="DV1078">
        <v>0</v>
      </c>
      <c r="DW1078">
        <v>0</v>
      </c>
      <c r="DX1078">
        <v>0</v>
      </c>
      <c r="DY1078">
        <v>0</v>
      </c>
      <c r="DZ1078">
        <v>0</v>
      </c>
      <c r="EA1078" s="266">
        <v>1</v>
      </c>
      <c r="EB1078">
        <v>0</v>
      </c>
      <c r="EC1078">
        <v>0</v>
      </c>
      <c r="ED1078">
        <v>0</v>
      </c>
      <c r="EE1078">
        <v>0</v>
      </c>
      <c r="EF1078">
        <v>0</v>
      </c>
      <c r="EG1078">
        <v>0</v>
      </c>
      <c r="EH1078">
        <v>0</v>
      </c>
      <c r="EI1078" s="2">
        <v>0</v>
      </c>
      <c r="EK1078" t="str">
        <f t="shared" si="281"/>
        <v/>
      </c>
      <c r="EL1078" t="str">
        <f t="shared" si="282"/>
        <v/>
      </c>
      <c r="EM1078" s="2" t="str">
        <f t="shared" si="300"/>
        <v/>
      </c>
      <c r="EP1078" t="str">
        <f>IF(ISNUMBER(BU1078),IF(ABS(BU1078-[4]QC_indicators!$B$2)&gt;3*[4]QC_indicators!$C$2,"C ratio",IF(ISNUMBER(BY1078),IF(ABS(BY1078-[4]QC_indicators!$B$1)&gt;3*[4]QC_indicators!$C$1,"DF","no"))),IF(ISNUMBER(BY1078),IF(ABS(BY1078-[4]QC_indicators!$B$1)&gt;3*[4]QC_indicators!$C$1,"DF","no")))</f>
        <v>no</v>
      </c>
      <c r="ET1078" s="266" t="s">
        <v>3275</v>
      </c>
    </row>
    <row r="1079" spans="1:150" ht="15" hidden="1" customHeight="1">
      <c r="A1079" s="1" t="s">
        <v>616</v>
      </c>
      <c r="B1079" t="s">
        <v>632</v>
      </c>
      <c r="C1079" t="s">
        <v>633</v>
      </c>
      <c r="D1079" t="s">
        <v>634</v>
      </c>
      <c r="E1079" s="266" t="s">
        <v>635</v>
      </c>
      <c r="F1079" t="s">
        <v>636</v>
      </c>
      <c r="G1079" t="s">
        <v>622</v>
      </c>
      <c r="H1079" t="s">
        <v>255</v>
      </c>
      <c r="I1079">
        <v>2022</v>
      </c>
      <c r="J1079">
        <v>1</v>
      </c>
      <c r="K1079" t="s">
        <v>637</v>
      </c>
      <c r="M1079" t="str">
        <f t="shared" si="310"/>
        <v>Devenes_2022</v>
      </c>
      <c r="N1079" t="s">
        <v>223</v>
      </c>
      <c r="O1079" s="145" t="s">
        <v>224</v>
      </c>
      <c r="Q1079" t="s">
        <v>390</v>
      </c>
      <c r="R1079" s="255" t="s">
        <v>226</v>
      </c>
      <c r="S1079" s="1" t="s">
        <v>638</v>
      </c>
      <c r="T1079" t="s">
        <v>639</v>
      </c>
      <c r="U1079" t="s">
        <v>626</v>
      </c>
      <c r="V1079">
        <v>0</v>
      </c>
      <c r="W1079">
        <v>0</v>
      </c>
      <c r="X1079">
        <v>0</v>
      </c>
      <c r="Y1079">
        <v>0</v>
      </c>
      <c r="Z1079">
        <v>0</v>
      </c>
      <c r="AA1079">
        <v>0</v>
      </c>
      <c r="AB1079">
        <v>0</v>
      </c>
      <c r="AC1079">
        <v>0</v>
      </c>
      <c r="AD1079">
        <v>0</v>
      </c>
      <c r="AE1079">
        <v>0</v>
      </c>
      <c r="AF1079">
        <v>0</v>
      </c>
      <c r="AG1079">
        <v>0</v>
      </c>
      <c r="AH1079">
        <v>0</v>
      </c>
      <c r="AI1079">
        <v>0</v>
      </c>
      <c r="AJ1079">
        <v>0</v>
      </c>
      <c r="AK1079">
        <v>1</v>
      </c>
      <c r="AL1079">
        <v>0</v>
      </c>
      <c r="AM1079">
        <v>0</v>
      </c>
      <c r="AN1079">
        <v>0</v>
      </c>
      <c r="AO1079">
        <v>0</v>
      </c>
      <c r="AP1079">
        <v>0</v>
      </c>
      <c r="AQ1079">
        <v>0</v>
      </c>
      <c r="AR1079">
        <v>0</v>
      </c>
      <c r="AS1079">
        <v>0</v>
      </c>
      <c r="AT1079">
        <v>0</v>
      </c>
      <c r="AU1079">
        <v>0</v>
      </c>
      <c r="AV1079">
        <v>0</v>
      </c>
      <c r="AW1079">
        <v>0</v>
      </c>
      <c r="AX1079" s="141">
        <f t="shared" si="266"/>
        <v>1</v>
      </c>
      <c r="AY1079" s="141">
        <f t="shared" si="292"/>
        <v>1</v>
      </c>
      <c r="AZ1079">
        <f t="shared" si="293"/>
        <v>0</v>
      </c>
      <c r="BA1079">
        <f t="shared" si="294"/>
        <v>0</v>
      </c>
      <c r="BB1079">
        <f t="shared" si="295"/>
        <v>1</v>
      </c>
      <c r="BC1079">
        <f t="shared" si="296"/>
        <v>0</v>
      </c>
      <c r="BD1079">
        <f t="shared" si="297"/>
        <v>0</v>
      </c>
      <c r="BE1079" t="str">
        <f t="array" ref="BE1079">IF(AY1079=1,INDEX($V$7:$AL$7,MATCH(TRUE,INDEX($V1079:$AW1079&lt;&gt;0,),0)),IF(AY1079=0,INDEX($AM$7:$AW$7,MATCH(1,$AM1079:$AW1079,0)),IF(BF1079="Multiple strategies","mixed drivers",IF(BF1079="Supply chain","multiple supply","multiple silviculture"))))</f>
        <v>technologies/design switch</v>
      </c>
      <c r="BF1079" s="2" t="str" cm="1">
        <f t="array" ref="BF1079">IF(COUNTIF(AZ1079:BB1079,"&lt;&gt;0")=1,INDEX($V$4:$AW$4,MATCH(TRUE,INDEX($V1079:$AW1079&lt;&gt;0,),0)),IF(COUNTIF(AZ1079:BB1079,"&lt;&gt;0")=0,INDEX($AM$4:$AW$4,MATCH(1,$AM1079:$AW1079,0)),"Multiple strategies"))</f>
        <v>Technology</v>
      </c>
      <c r="BG1079" s="1" t="s">
        <v>230</v>
      </c>
      <c r="BH1079" t="s">
        <v>640</v>
      </c>
      <c r="BI1079" s="266" t="s">
        <v>3307</v>
      </c>
      <c r="BJ1079" s="266" t="s">
        <v>346</v>
      </c>
      <c r="BK1079">
        <f>179+195+12</f>
        <v>386</v>
      </c>
      <c r="BL1079">
        <f>268+139+104</f>
        <v>511</v>
      </c>
      <c r="BN1079">
        <f t="shared" si="275"/>
        <v>125</v>
      </c>
      <c r="BO1079" s="260">
        <f>BN1079*t_to_m3/1000</f>
        <v>0.25510204081632654</v>
      </c>
      <c r="BP1079" t="s">
        <v>396</v>
      </c>
      <c r="BQ1079" s="260" t="s">
        <v>3308</v>
      </c>
      <c r="BR1079" t="s">
        <v>398</v>
      </c>
      <c r="BS1079">
        <v>301.89999999999998</v>
      </c>
      <c r="BT1079">
        <v>275.89999999999998</v>
      </c>
      <c r="BU1079" s="144">
        <f t="shared" si="316"/>
        <v>0.91387876780390853</v>
      </c>
      <c r="BV1079">
        <f t="shared" si="317"/>
        <v>-26</v>
      </c>
      <c r="BX1079">
        <f t="shared" si="314"/>
        <v>-2.5999999999999999E-2</v>
      </c>
      <c r="BY1079">
        <f t="shared" si="262"/>
        <v>-0.10192</v>
      </c>
      <c r="BZ1079">
        <v>0</v>
      </c>
      <c r="CA1079">
        <v>0</v>
      </c>
      <c r="CB1079">
        <v>0</v>
      </c>
      <c r="CC1079">
        <v>0</v>
      </c>
      <c r="CD1079">
        <v>0</v>
      </c>
      <c r="CE1079">
        <v>0</v>
      </c>
      <c r="CF1079">
        <v>0</v>
      </c>
      <c r="CG1079">
        <v>0</v>
      </c>
      <c r="CH1079">
        <v>0</v>
      </c>
      <c r="CI1079">
        <v>0</v>
      </c>
      <c r="CJ1079">
        <v>0</v>
      </c>
      <c r="CK1079">
        <v>0</v>
      </c>
      <c r="CL1079">
        <v>0</v>
      </c>
      <c r="CM1079">
        <v>0</v>
      </c>
      <c r="CN1079" t="str">
        <f t="shared" si="302"/>
        <v>refOK</v>
      </c>
      <c r="CO1079"/>
      <c r="CP1079"/>
      <c r="CQ1079">
        <f t="shared" si="274"/>
        <v>0.25510204081632654</v>
      </c>
      <c r="CR1079">
        <f t="shared" si="307"/>
        <v>-301.89999999999998</v>
      </c>
      <c r="CS1079">
        <f t="shared" si="308"/>
        <v>-275.89999999999998</v>
      </c>
      <c r="CT1079">
        <f t="shared" si="267"/>
        <v>2.5999999999999999E-2</v>
      </c>
      <c r="CU1079">
        <f t="shared" si="312"/>
        <v>0.10192</v>
      </c>
      <c r="CV1079" s="2">
        <f t="shared" si="268"/>
        <v>8.6121232196091427E-2</v>
      </c>
      <c r="CW1079" s="1" t="s">
        <v>264</v>
      </c>
      <c r="CX1079" t="str">
        <f t="shared" si="298"/>
        <v>loc</v>
      </c>
      <c r="CY1079" t="s">
        <v>641</v>
      </c>
      <c r="DB1079">
        <v>0</v>
      </c>
      <c r="DC1079" t="str">
        <f t="shared" si="299"/>
        <v>0</v>
      </c>
      <c r="DD1079">
        <v>0</v>
      </c>
      <c r="DE1079">
        <v>0</v>
      </c>
      <c r="DF1079">
        <v>0</v>
      </c>
      <c r="DG1079">
        <v>1</v>
      </c>
      <c r="DH1079">
        <v>0</v>
      </c>
      <c r="DI1079">
        <f t="shared" si="318"/>
        <v>1</v>
      </c>
      <c r="DJ1079" t="str">
        <f t="shared" si="311"/>
        <v>TimberInput</v>
      </c>
      <c r="DK1079">
        <f t="shared" si="277"/>
        <v>0</v>
      </c>
      <c r="DL1079">
        <f t="shared" si="278"/>
        <v>0</v>
      </c>
      <c r="DM1079">
        <f t="shared" si="279"/>
        <v>0</v>
      </c>
      <c r="DN1079" t="str">
        <f t="shared" si="280"/>
        <v>Timber</v>
      </c>
      <c r="DO1079">
        <v>0</v>
      </c>
      <c r="DP1079">
        <v>0</v>
      </c>
      <c r="DQ1079">
        <v>0</v>
      </c>
      <c r="DR1079">
        <v>0</v>
      </c>
      <c r="DS1079">
        <v>0</v>
      </c>
      <c r="DT1079">
        <f t="shared" si="315"/>
        <v>0</v>
      </c>
      <c r="DU1079" t="str">
        <f t="shared" si="301"/>
        <v>explicit C balance</v>
      </c>
      <c r="DV1079">
        <v>0</v>
      </c>
      <c r="DW1079">
        <v>0</v>
      </c>
      <c r="DX1079">
        <v>0</v>
      </c>
      <c r="DY1079">
        <v>0</v>
      </c>
      <c r="DZ1079">
        <v>0</v>
      </c>
      <c r="EA1079" s="143">
        <v>0</v>
      </c>
      <c r="EB1079">
        <v>0</v>
      </c>
      <c r="EC1079">
        <v>1</v>
      </c>
      <c r="ED1079">
        <v>0</v>
      </c>
      <c r="EE1079">
        <v>0</v>
      </c>
      <c r="EF1079">
        <v>0</v>
      </c>
      <c r="EG1079">
        <v>0</v>
      </c>
      <c r="EH1079">
        <v>0</v>
      </c>
      <c r="EI1079" s="2">
        <v>0</v>
      </c>
      <c r="EK1079" t="str">
        <f t="shared" si="281"/>
        <v/>
      </c>
      <c r="EL1079" t="str">
        <f t="shared" si="282"/>
        <v/>
      </c>
      <c r="EM1079" s="2" t="str">
        <f t="shared" si="300"/>
        <v/>
      </c>
      <c r="EP1079" t="str">
        <f>IF(ISNUMBER(BU1079),IF(ABS(BU1079-[4]QC_indicators!$B$2)&gt;3*[4]QC_indicators!$C$2,"C ratio",IF(ISNUMBER(BY1079),IF(ABS(BY1079-[4]QC_indicators!$B$1)&gt;3*[4]QC_indicators!$C$1,"DF","no"))),IF(ISNUMBER(BY1079),IF(ABS(BY1079-[4]QC_indicators!$B$1)&gt;3*[4]QC_indicators!$C$1,"DF","no")))</f>
        <v>no</v>
      </c>
      <c r="ET1079" s="266" t="s">
        <v>3275</v>
      </c>
    </row>
    <row r="1080" spans="1:150" ht="15" hidden="1" customHeight="1">
      <c r="A1080" s="1" t="s">
        <v>616</v>
      </c>
      <c r="B1080" t="s">
        <v>632</v>
      </c>
      <c r="C1080" t="s">
        <v>633</v>
      </c>
      <c r="D1080" t="s">
        <v>634</v>
      </c>
      <c r="E1080" t="s">
        <v>635</v>
      </c>
      <c r="F1080" t="s">
        <v>636</v>
      </c>
      <c r="G1080" t="s">
        <v>622</v>
      </c>
      <c r="H1080" t="s">
        <v>255</v>
      </c>
      <c r="I1080">
        <v>2022</v>
      </c>
      <c r="J1080">
        <v>1</v>
      </c>
      <c r="K1080" t="s">
        <v>637</v>
      </c>
      <c r="M1080" t="str">
        <f t="shared" si="310"/>
        <v>Devenes_2022</v>
      </c>
      <c r="N1080" t="s">
        <v>223</v>
      </c>
      <c r="O1080" s="145" t="s">
        <v>224</v>
      </c>
      <c r="Q1080" t="s">
        <v>390</v>
      </c>
      <c r="R1080" s="255" t="s">
        <v>226</v>
      </c>
      <c r="S1080" s="1" t="s">
        <v>638</v>
      </c>
      <c r="T1080" t="s">
        <v>626</v>
      </c>
      <c r="U1080" t="s">
        <v>642</v>
      </c>
      <c r="V1080">
        <v>0</v>
      </c>
      <c r="W1080">
        <v>0</v>
      </c>
      <c r="X1080">
        <v>0</v>
      </c>
      <c r="Y1080">
        <v>0</v>
      </c>
      <c r="Z1080">
        <v>0</v>
      </c>
      <c r="AA1080">
        <v>0</v>
      </c>
      <c r="AB1080">
        <v>0</v>
      </c>
      <c r="AC1080">
        <v>0</v>
      </c>
      <c r="AD1080">
        <v>0</v>
      </c>
      <c r="AE1080">
        <v>0</v>
      </c>
      <c r="AF1080">
        <v>0</v>
      </c>
      <c r="AG1080">
        <v>0</v>
      </c>
      <c r="AH1080">
        <v>0</v>
      </c>
      <c r="AI1080">
        <v>0</v>
      </c>
      <c r="AJ1080">
        <v>0</v>
      </c>
      <c r="AK1080">
        <v>1</v>
      </c>
      <c r="AL1080">
        <v>0</v>
      </c>
      <c r="AM1080">
        <v>0</v>
      </c>
      <c r="AN1080">
        <v>0</v>
      </c>
      <c r="AO1080">
        <v>0</v>
      </c>
      <c r="AP1080">
        <v>0</v>
      </c>
      <c r="AQ1080">
        <v>0</v>
      </c>
      <c r="AR1080">
        <v>0</v>
      </c>
      <c r="AS1080">
        <v>0</v>
      </c>
      <c r="AT1080">
        <v>0</v>
      </c>
      <c r="AU1080">
        <v>0</v>
      </c>
      <c r="AV1080">
        <v>0</v>
      </c>
      <c r="AW1080">
        <v>0</v>
      </c>
      <c r="AX1080" s="141">
        <f t="shared" si="266"/>
        <v>1</v>
      </c>
      <c r="AY1080" s="141">
        <f t="shared" si="292"/>
        <v>1</v>
      </c>
      <c r="AZ1080">
        <f t="shared" si="293"/>
        <v>0</v>
      </c>
      <c r="BA1080">
        <f t="shared" si="294"/>
        <v>0</v>
      </c>
      <c r="BB1080">
        <f t="shared" si="295"/>
        <v>1</v>
      </c>
      <c r="BC1080">
        <f t="shared" si="296"/>
        <v>0</v>
      </c>
      <c r="BD1080">
        <f t="shared" si="297"/>
        <v>0</v>
      </c>
      <c r="BE1080" t="str">
        <f t="array" ref="BE1080">IF(AY1080=1,INDEX($V$7:$AL$7,MATCH(TRUE,INDEX($V1080:$AW1080&lt;&gt;0,),0)),IF(AY1080=0,INDEX($AM$7:$AW$7,MATCH(1,$AM1080:$AW1080,0)),IF(BF1080="Multiple strategies","mixed drivers",IF(BF1080="Supply chain","multiple supply","multiple silviculture"))))</f>
        <v>technologies/design switch</v>
      </c>
      <c r="BF1080" s="2" t="str" cm="1">
        <f t="array" ref="BF1080">IF(COUNTIF(AZ1080:BB1080,"&lt;&gt;0")=1,INDEX($V$4:$AW$4,MATCH(TRUE,INDEX($V1080:$AW1080&lt;&gt;0,),0)),IF(COUNTIF(AZ1080:BB1080,"&lt;&gt;0")=0,INDEX($AM$4:$AW$4,MATCH(1,$AM1080:$AW1080,0)),"Multiple strategies"))</f>
        <v>Technology</v>
      </c>
      <c r="BG1080" s="1" t="s">
        <v>230</v>
      </c>
      <c r="BH1080" t="s">
        <v>640</v>
      </c>
      <c r="BI1080" s="266" t="s">
        <v>3309</v>
      </c>
      <c r="BJ1080" s="266" t="s">
        <v>346</v>
      </c>
      <c r="BK1080">
        <f>268+139+104</f>
        <v>511</v>
      </c>
      <c r="BL1080">
        <f>179+195+12+360</f>
        <v>746</v>
      </c>
      <c r="BN1080">
        <f t="shared" si="275"/>
        <v>235</v>
      </c>
      <c r="BO1080" s="260">
        <f>BN1080*t_to_m3/1000</f>
        <v>0.47959183673469391</v>
      </c>
      <c r="BP1080" t="s">
        <v>396</v>
      </c>
      <c r="BQ1080" s="260" t="s">
        <v>3308</v>
      </c>
      <c r="BR1080" t="s">
        <v>398</v>
      </c>
      <c r="BS1080">
        <v>275.89999999999998</v>
      </c>
      <c r="BT1080">
        <v>814.2</v>
      </c>
      <c r="BU1080" s="144">
        <f t="shared" si="316"/>
        <v>2.951069227981153</v>
      </c>
      <c r="BV1080">
        <f t="shared" si="317"/>
        <v>538.30000000000007</v>
      </c>
      <c r="BX1080">
        <f t="shared" si="314"/>
        <v>0.53830000000000011</v>
      </c>
      <c r="BY1080">
        <f t="shared" ref="BY1080:BY1143" si="319">IFERROR(BX1080/BO1080,"")</f>
        <v>1.122412765957447</v>
      </c>
      <c r="BZ1080">
        <v>0</v>
      </c>
      <c r="CA1080">
        <v>0</v>
      </c>
      <c r="CB1080">
        <v>0</v>
      </c>
      <c r="CC1080">
        <v>0</v>
      </c>
      <c r="CD1080">
        <v>0</v>
      </c>
      <c r="CE1080">
        <v>0</v>
      </c>
      <c r="CF1080">
        <v>0</v>
      </c>
      <c r="CG1080">
        <v>0</v>
      </c>
      <c r="CH1080">
        <v>0</v>
      </c>
      <c r="CI1080">
        <v>0</v>
      </c>
      <c r="CJ1080">
        <v>0</v>
      </c>
      <c r="CK1080">
        <v>0</v>
      </c>
      <c r="CL1080">
        <v>0</v>
      </c>
      <c r="CM1080">
        <v>0</v>
      </c>
      <c r="CN1080" t="str">
        <f t="shared" si="302"/>
        <v>refOK</v>
      </c>
      <c r="CO1080"/>
      <c r="CP1080"/>
      <c r="CQ1080">
        <f t="shared" si="274"/>
        <v>0.47959183673469391</v>
      </c>
      <c r="CR1080">
        <f t="shared" si="307"/>
        <v>-275.89999999999998</v>
      </c>
      <c r="CS1080">
        <f t="shared" si="308"/>
        <v>-814.2</v>
      </c>
      <c r="CT1080">
        <f t="shared" si="267"/>
        <v>-0.53830000000000011</v>
      </c>
      <c r="CU1080">
        <f t="shared" si="312"/>
        <v>-1.122412765957447</v>
      </c>
      <c r="CV1080" s="2">
        <f t="shared" si="268"/>
        <v>-1.951069227981153</v>
      </c>
      <c r="CW1080" s="1" t="s">
        <v>264</v>
      </c>
      <c r="CX1080" t="str">
        <f t="shared" si="298"/>
        <v>loc</v>
      </c>
      <c r="CY1080" t="s">
        <v>641</v>
      </c>
      <c r="DB1080">
        <v>0</v>
      </c>
      <c r="DC1080" t="str">
        <f t="shared" si="299"/>
        <v>0</v>
      </c>
      <c r="DD1080">
        <v>0</v>
      </c>
      <c r="DE1080">
        <v>0</v>
      </c>
      <c r="DF1080">
        <v>0</v>
      </c>
      <c r="DG1080">
        <v>1</v>
      </c>
      <c r="DH1080">
        <v>0</v>
      </c>
      <c r="DI1080">
        <f t="shared" si="318"/>
        <v>1</v>
      </c>
      <c r="DJ1080" t="str">
        <f t="shared" si="311"/>
        <v>TimberInput</v>
      </c>
      <c r="DK1080">
        <f t="shared" si="277"/>
        <v>0</v>
      </c>
      <c r="DL1080">
        <f t="shared" si="278"/>
        <v>0</v>
      </c>
      <c r="DM1080">
        <f t="shared" si="279"/>
        <v>0</v>
      </c>
      <c r="DN1080" t="str">
        <f t="shared" si="280"/>
        <v>Timber</v>
      </c>
      <c r="DO1080">
        <v>0</v>
      </c>
      <c r="DP1080">
        <v>0</v>
      </c>
      <c r="DQ1080">
        <v>0</v>
      </c>
      <c r="DR1080">
        <v>0</v>
      </c>
      <c r="DS1080">
        <v>0</v>
      </c>
      <c r="DT1080">
        <f t="shared" si="315"/>
        <v>0</v>
      </c>
      <c r="DU1080" t="str">
        <f t="shared" si="301"/>
        <v>explicit C balance</v>
      </c>
      <c r="DV1080">
        <v>0</v>
      </c>
      <c r="DW1080">
        <v>0</v>
      </c>
      <c r="DX1080">
        <v>0</v>
      </c>
      <c r="DY1080">
        <v>0</v>
      </c>
      <c r="DZ1080">
        <v>0</v>
      </c>
      <c r="EA1080" s="143">
        <v>0</v>
      </c>
      <c r="EB1080">
        <v>0</v>
      </c>
      <c r="EC1080">
        <v>1</v>
      </c>
      <c r="ED1080">
        <v>0</v>
      </c>
      <c r="EE1080">
        <v>0</v>
      </c>
      <c r="EF1080">
        <v>0</v>
      </c>
      <c r="EG1080">
        <v>0</v>
      </c>
      <c r="EH1080">
        <v>0</v>
      </c>
      <c r="EI1080" s="2">
        <v>0</v>
      </c>
      <c r="EK1080" t="str">
        <f t="shared" si="281"/>
        <v/>
      </c>
      <c r="EL1080" t="str">
        <f t="shared" si="282"/>
        <v/>
      </c>
      <c r="EM1080" s="2" t="str">
        <f t="shared" si="300"/>
        <v/>
      </c>
      <c r="EP1080" t="str">
        <f>IF(ISNUMBER(BU1080),IF(ABS(BU1080-[4]QC_indicators!$B$2)&gt;3*[4]QC_indicators!$C$2,"C ratio",IF(ISNUMBER(BY1080),IF(ABS(BY1080-[4]QC_indicators!$B$1)&gt;3*[4]QC_indicators!$C$1,"DF","no"))),IF(ISNUMBER(BY1080),IF(ABS(BY1080-[4]QC_indicators!$B$1)&gt;3*[4]QC_indicators!$C$1,"DF","no")))</f>
        <v>no</v>
      </c>
      <c r="ET1080" s="266" t="s">
        <v>3275</v>
      </c>
    </row>
    <row r="1081" spans="1:150" ht="15" hidden="1" customHeight="1">
      <c r="A1081" s="1" t="s">
        <v>399</v>
      </c>
      <c r="B1081" t="s">
        <v>683</v>
      </c>
      <c r="C1081" t="s">
        <v>684</v>
      </c>
      <c r="D1081" t="s">
        <v>685</v>
      </c>
      <c r="E1081" t="s">
        <v>686</v>
      </c>
      <c r="F1081" t="s">
        <v>687</v>
      </c>
      <c r="G1081" t="s">
        <v>405</v>
      </c>
      <c r="H1081" t="s">
        <v>255</v>
      </c>
      <c r="I1081">
        <v>2022</v>
      </c>
      <c r="J1081">
        <v>1</v>
      </c>
      <c r="K1081" t="s">
        <v>688</v>
      </c>
      <c r="M1081" t="str">
        <f t="shared" si="310"/>
        <v>Duan_2022</v>
      </c>
      <c r="N1081" t="s">
        <v>223</v>
      </c>
      <c r="O1081" s="145" t="s">
        <v>224</v>
      </c>
      <c r="Q1081" t="s">
        <v>390</v>
      </c>
      <c r="R1081" s="285" t="s">
        <v>226</v>
      </c>
      <c r="S1081" s="1" t="s">
        <v>609</v>
      </c>
      <c r="T1081" s="151" t="s">
        <v>812</v>
      </c>
      <c r="U1081" t="s">
        <v>260</v>
      </c>
      <c r="V1081">
        <v>0</v>
      </c>
      <c r="W1081">
        <v>0</v>
      </c>
      <c r="X1081">
        <v>0</v>
      </c>
      <c r="Y1081">
        <v>0</v>
      </c>
      <c r="Z1081">
        <v>0</v>
      </c>
      <c r="AA1081">
        <v>0</v>
      </c>
      <c r="AB1081">
        <v>0</v>
      </c>
      <c r="AC1081">
        <v>0</v>
      </c>
      <c r="AD1081">
        <v>0</v>
      </c>
      <c r="AE1081">
        <v>0</v>
      </c>
      <c r="AF1081">
        <v>0</v>
      </c>
      <c r="AG1081">
        <v>0</v>
      </c>
      <c r="AH1081">
        <v>0</v>
      </c>
      <c r="AI1081">
        <v>0</v>
      </c>
      <c r="AJ1081">
        <v>0</v>
      </c>
      <c r="AK1081">
        <v>1</v>
      </c>
      <c r="AL1081">
        <v>0</v>
      </c>
      <c r="AM1081">
        <v>0</v>
      </c>
      <c r="AN1081">
        <v>0</v>
      </c>
      <c r="AO1081">
        <v>0</v>
      </c>
      <c r="AP1081">
        <v>0</v>
      </c>
      <c r="AQ1081">
        <v>0</v>
      </c>
      <c r="AR1081">
        <v>0</v>
      </c>
      <c r="AS1081">
        <v>0</v>
      </c>
      <c r="AT1081">
        <v>0</v>
      </c>
      <c r="AU1081">
        <v>0</v>
      </c>
      <c r="AV1081">
        <v>0</v>
      </c>
      <c r="AW1081">
        <v>0</v>
      </c>
      <c r="AX1081" s="141">
        <f t="shared" si="266"/>
        <v>1</v>
      </c>
      <c r="AY1081" s="141">
        <f t="shared" si="292"/>
        <v>1</v>
      </c>
      <c r="AZ1081">
        <f t="shared" si="293"/>
        <v>0</v>
      </c>
      <c r="BA1081">
        <f t="shared" si="294"/>
        <v>0</v>
      </c>
      <c r="BB1081">
        <f t="shared" si="295"/>
        <v>1</v>
      </c>
      <c r="BC1081">
        <f t="shared" si="296"/>
        <v>0</v>
      </c>
      <c r="BD1081">
        <f t="shared" si="297"/>
        <v>0</v>
      </c>
      <c r="BE1081" t="str">
        <f t="array" ref="BE1081">IF(AY1081=1,INDEX($V$7:$AL$7,MATCH(TRUE,INDEX($V1081:$AW1081&lt;&gt;0,),0)),IF(AY1081=0,INDEX($AM$7:$AW$7,MATCH(1,$AM1081:$AW1081,0)),IF(BF1081="Multiple strategies","mixed drivers",IF(BF1081="Supply chain","multiple supply","multiple silviculture"))))</f>
        <v>technologies/design switch</v>
      </c>
      <c r="BF1081" s="2" t="str" cm="1">
        <f t="array" ref="BF1081">IF(COUNTIF(AZ1081:BB1081,"&lt;&gt;0")=1,INDEX($V$4:$AW$4,MATCH(TRUE,INDEX($V1081:$AW1081&lt;&gt;0,),0)),IF(COUNTIF(AZ1081:BB1081,"&lt;&gt;0")=0,INDEX($AM$4:$AW$4,MATCH(1,$AM1081:$AW1081,0)),"Multiple strategies"))</f>
        <v>Technology</v>
      </c>
      <c r="BG1081" s="1" t="s">
        <v>230</v>
      </c>
      <c r="BH1081" t="s">
        <v>689</v>
      </c>
      <c r="BI1081" s="141" t="s">
        <v>690</v>
      </c>
      <c r="BJ1081" t="s">
        <v>653</v>
      </c>
      <c r="BK1081">
        <f>25.35</f>
        <v>25.35</v>
      </c>
      <c r="BL1081">
        <f>25.35+3.2+500.73</f>
        <v>529.28</v>
      </c>
      <c r="BN1081">
        <f t="shared" si="275"/>
        <v>503.92999999999995</v>
      </c>
      <c r="BO1081">
        <f t="shared" ref="BO1081:BO1088" si="320">BN1081*t_to_m3</f>
        <v>1028.4285714285713</v>
      </c>
      <c r="BP1081" t="s">
        <v>396</v>
      </c>
      <c r="BQ1081" t="s">
        <v>3077</v>
      </c>
      <c r="BR1081" t="s">
        <v>263</v>
      </c>
      <c r="BS1081">
        <f>769.2*2347</f>
        <v>1805312.4000000001</v>
      </c>
      <c r="BT1081">
        <f>411.39*2347</f>
        <v>965532.33</v>
      </c>
      <c r="BU1081" s="144">
        <f t="shared" si="316"/>
        <v>0.53482839313572539</v>
      </c>
      <c r="BV1081">
        <f t="shared" si="317"/>
        <v>-839780.07000000018</v>
      </c>
      <c r="BX1081">
        <f t="shared" si="314"/>
        <v>-839.78007000000014</v>
      </c>
      <c r="BY1081">
        <f t="shared" si="319"/>
        <v>-0.81656625781358538</v>
      </c>
      <c r="BZ1081">
        <v>0</v>
      </c>
      <c r="CA1081">
        <v>0</v>
      </c>
      <c r="CB1081">
        <v>0</v>
      </c>
      <c r="CC1081">
        <v>0</v>
      </c>
      <c r="CD1081">
        <v>0</v>
      </c>
      <c r="CE1081">
        <v>0</v>
      </c>
      <c r="CF1081">
        <v>0</v>
      </c>
      <c r="CG1081">
        <v>0</v>
      </c>
      <c r="CH1081">
        <v>0</v>
      </c>
      <c r="CI1081">
        <v>0</v>
      </c>
      <c r="CJ1081">
        <v>0</v>
      </c>
      <c r="CK1081">
        <v>0</v>
      </c>
      <c r="CL1081">
        <v>0</v>
      </c>
      <c r="CM1081">
        <v>0</v>
      </c>
      <c r="CN1081" t="str">
        <f t="shared" si="302"/>
        <v>refOK</v>
      </c>
      <c r="CO1081"/>
      <c r="CP1081"/>
      <c r="CQ1081">
        <f t="shared" si="274"/>
        <v>1028.4285714285713</v>
      </c>
      <c r="CR1081">
        <f t="shared" si="307"/>
        <v>-1805312.4000000001</v>
      </c>
      <c r="CS1081">
        <f t="shared" si="308"/>
        <v>-965532.33</v>
      </c>
      <c r="CT1081">
        <f t="shared" si="267"/>
        <v>839.78007000000014</v>
      </c>
      <c r="CU1081">
        <f t="shared" si="312"/>
        <v>0.81656625781358538</v>
      </c>
      <c r="CV1081" s="2">
        <f t="shared" si="268"/>
        <v>0.46517160686427461</v>
      </c>
      <c r="CW1081" s="1" t="s">
        <v>264</v>
      </c>
      <c r="CX1081" t="str">
        <f t="shared" si="298"/>
        <v>loc</v>
      </c>
      <c r="CY1081" t="s">
        <v>692</v>
      </c>
      <c r="DB1081">
        <v>0</v>
      </c>
      <c r="DC1081" t="str">
        <f t="shared" si="299"/>
        <v>0</v>
      </c>
      <c r="DD1081">
        <v>0</v>
      </c>
      <c r="DE1081">
        <v>0</v>
      </c>
      <c r="DF1081">
        <v>0</v>
      </c>
      <c r="DG1081">
        <v>1</v>
      </c>
      <c r="DH1081">
        <v>0</v>
      </c>
      <c r="DI1081">
        <f t="shared" si="318"/>
        <v>1</v>
      </c>
      <c r="DJ1081" t="str">
        <f t="shared" si="311"/>
        <v>TimberInput</v>
      </c>
      <c r="DK1081">
        <f t="shared" si="277"/>
        <v>0</v>
      </c>
      <c r="DL1081">
        <f t="shared" si="278"/>
        <v>0</v>
      </c>
      <c r="DM1081">
        <f t="shared" si="279"/>
        <v>0</v>
      </c>
      <c r="DN1081" t="str">
        <f t="shared" si="280"/>
        <v>Timber</v>
      </c>
      <c r="DO1081">
        <v>0</v>
      </c>
      <c r="DP1081">
        <v>0</v>
      </c>
      <c r="DQ1081">
        <v>0</v>
      </c>
      <c r="DR1081">
        <v>0</v>
      </c>
      <c r="DS1081">
        <v>0</v>
      </c>
      <c r="DT1081">
        <f t="shared" si="315"/>
        <v>0</v>
      </c>
      <c r="DU1081" t="str">
        <f t="shared" si="301"/>
        <v>explicit C balance</v>
      </c>
      <c r="DV1081">
        <v>0</v>
      </c>
      <c r="DW1081">
        <v>0</v>
      </c>
      <c r="DX1081">
        <v>0</v>
      </c>
      <c r="DY1081">
        <v>0</v>
      </c>
      <c r="DZ1081">
        <v>0</v>
      </c>
      <c r="EA1081" s="143">
        <v>0</v>
      </c>
      <c r="EB1081">
        <v>1</v>
      </c>
      <c r="EC1081">
        <v>1</v>
      </c>
      <c r="ED1081">
        <v>0</v>
      </c>
      <c r="EE1081">
        <v>0</v>
      </c>
      <c r="EF1081">
        <v>0</v>
      </c>
      <c r="EG1081">
        <v>0</v>
      </c>
      <c r="EH1081">
        <v>0</v>
      </c>
      <c r="EI1081" s="2">
        <v>0</v>
      </c>
      <c r="EK1081" t="str">
        <f t="shared" si="281"/>
        <v/>
      </c>
      <c r="EL1081" t="str">
        <f t="shared" si="282"/>
        <v/>
      </c>
      <c r="EM1081" s="2" t="str">
        <f t="shared" si="300"/>
        <v>Technology approach</v>
      </c>
      <c r="EP1081" t="str">
        <f>IF(ISNUMBER(BU1081),IF(ABS(BU1081-[4]QC_indicators!$B$2)&gt;3*[4]QC_indicators!$C$2,"C ratio",IF(ISNUMBER(BY1081),IF(ABS(BY1081-[4]QC_indicators!$B$1)&gt;3*[4]QC_indicators!$C$1,"DF","no"))),IF(ISNUMBER(BY1081),IF(ABS(BY1081-[4]QC_indicators!$B$1)&gt;3*[4]QC_indicators!$C$1,"DF","no")))</f>
        <v>no</v>
      </c>
      <c r="ET1081" t="s">
        <v>3275</v>
      </c>
    </row>
    <row r="1082" spans="1:150" ht="15" hidden="1" customHeight="1">
      <c r="A1082" s="1" t="s">
        <v>399</v>
      </c>
      <c r="B1082" t="s">
        <v>683</v>
      </c>
      <c r="C1082" t="s">
        <v>684</v>
      </c>
      <c r="D1082" t="s">
        <v>685</v>
      </c>
      <c r="E1082" t="s">
        <v>686</v>
      </c>
      <c r="F1082" t="s">
        <v>687</v>
      </c>
      <c r="G1082" t="s">
        <v>405</v>
      </c>
      <c r="H1082" t="s">
        <v>255</v>
      </c>
      <c r="I1082">
        <v>2022</v>
      </c>
      <c r="J1082">
        <v>1</v>
      </c>
      <c r="K1082" t="s">
        <v>688</v>
      </c>
      <c r="M1082" t="str">
        <f t="shared" si="310"/>
        <v>Duan_2022</v>
      </c>
      <c r="N1082" t="s">
        <v>223</v>
      </c>
      <c r="O1082" s="145" t="s">
        <v>224</v>
      </c>
      <c r="Q1082" t="s">
        <v>390</v>
      </c>
      <c r="R1082" s="285" t="s">
        <v>226</v>
      </c>
      <c r="S1082" s="1" t="s">
        <v>609</v>
      </c>
      <c r="T1082" s="151" t="s">
        <v>812</v>
      </c>
      <c r="U1082" t="s">
        <v>260</v>
      </c>
      <c r="V1082">
        <v>0</v>
      </c>
      <c r="W1082">
        <v>0</v>
      </c>
      <c r="X1082">
        <v>0</v>
      </c>
      <c r="Y1082">
        <v>0</v>
      </c>
      <c r="Z1082">
        <v>0</v>
      </c>
      <c r="AA1082">
        <v>0</v>
      </c>
      <c r="AB1082">
        <v>0</v>
      </c>
      <c r="AC1082">
        <v>0</v>
      </c>
      <c r="AD1082">
        <v>0</v>
      </c>
      <c r="AE1082">
        <v>0</v>
      </c>
      <c r="AF1082">
        <v>0</v>
      </c>
      <c r="AG1082">
        <v>0</v>
      </c>
      <c r="AH1082">
        <v>0</v>
      </c>
      <c r="AI1082">
        <v>0</v>
      </c>
      <c r="AJ1082">
        <v>0</v>
      </c>
      <c r="AK1082">
        <v>1</v>
      </c>
      <c r="AL1082">
        <v>0</v>
      </c>
      <c r="AM1082">
        <v>0</v>
      </c>
      <c r="AN1082">
        <v>0</v>
      </c>
      <c r="AO1082">
        <v>0</v>
      </c>
      <c r="AP1082">
        <v>0</v>
      </c>
      <c r="AQ1082">
        <v>0</v>
      </c>
      <c r="AR1082">
        <v>0</v>
      </c>
      <c r="AS1082">
        <v>0</v>
      </c>
      <c r="AT1082">
        <v>0</v>
      </c>
      <c r="AU1082">
        <v>0</v>
      </c>
      <c r="AV1082">
        <v>0</v>
      </c>
      <c r="AW1082">
        <v>0</v>
      </c>
      <c r="AX1082" s="141">
        <f t="shared" si="266"/>
        <v>1</v>
      </c>
      <c r="AY1082" s="141">
        <f t="shared" si="292"/>
        <v>1</v>
      </c>
      <c r="AZ1082">
        <f t="shared" si="293"/>
        <v>0</v>
      </c>
      <c r="BA1082">
        <f t="shared" si="294"/>
        <v>0</v>
      </c>
      <c r="BB1082">
        <f t="shared" si="295"/>
        <v>1</v>
      </c>
      <c r="BC1082">
        <f t="shared" si="296"/>
        <v>0</v>
      </c>
      <c r="BD1082">
        <f t="shared" si="297"/>
        <v>0</v>
      </c>
      <c r="BE1082" t="str">
        <f t="array" ref="BE1082">IF(AY1082=1,INDEX($V$7:$AL$7,MATCH(TRUE,INDEX($V1082:$AW1082&lt;&gt;0,),0)),IF(AY1082=0,INDEX($AM$7:$AW$7,MATCH(1,$AM1082:$AW1082,0)),IF(BF1082="Multiple strategies","mixed drivers",IF(BF1082="Supply chain","multiple supply","multiple silviculture"))))</f>
        <v>technologies/design switch</v>
      </c>
      <c r="BF1082" s="2" t="str" cm="1">
        <f t="array" ref="BF1082">IF(COUNTIF(AZ1082:BB1082,"&lt;&gt;0")=1,INDEX($V$4:$AW$4,MATCH(TRUE,INDEX($V1082:$AW1082&lt;&gt;0,),0)),IF(COUNTIF(AZ1082:BB1082,"&lt;&gt;0")=0,INDEX($AM$4:$AW$4,MATCH(1,$AM1082:$AW1082,0)),"Multiple strategies"))</f>
        <v>Technology</v>
      </c>
      <c r="BG1082" s="1" t="s">
        <v>230</v>
      </c>
      <c r="BH1082" t="s">
        <v>689</v>
      </c>
      <c r="BI1082" s="141" t="s">
        <v>690</v>
      </c>
      <c r="BJ1082" t="s">
        <v>653</v>
      </c>
      <c r="BK1082">
        <f>25.35</f>
        <v>25.35</v>
      </c>
      <c r="BL1082">
        <f>25.35+3.2+500.73</f>
        <v>529.28</v>
      </c>
      <c r="BN1082">
        <f t="shared" si="275"/>
        <v>503.92999999999995</v>
      </c>
      <c r="BO1082">
        <f t="shared" si="320"/>
        <v>1028.4285714285713</v>
      </c>
      <c r="BP1082" t="s">
        <v>396</v>
      </c>
      <c r="BQ1082" t="s">
        <v>3078</v>
      </c>
      <c r="BR1082" t="s">
        <v>263</v>
      </c>
      <c r="BS1082">
        <f>(-101.91+769.2+1193.28)*2347</f>
        <v>4366757.79</v>
      </c>
      <c r="BT1082">
        <f>(-173.12+411.39+1343.23)*2347</f>
        <v>3711780.5</v>
      </c>
      <c r="BU1082" s="144">
        <f t="shared" si="316"/>
        <v>0.85000833078035221</v>
      </c>
      <c r="BV1082">
        <f t="shared" si="317"/>
        <v>-654977.29</v>
      </c>
      <c r="BX1082">
        <f t="shared" si="314"/>
        <v>-654.97729000000004</v>
      </c>
      <c r="BY1082">
        <f t="shared" si="319"/>
        <v>-0.63687193082372562</v>
      </c>
      <c r="BZ1082">
        <v>0</v>
      </c>
      <c r="CA1082">
        <v>0</v>
      </c>
      <c r="CB1082">
        <v>0</v>
      </c>
      <c r="CC1082">
        <v>0</v>
      </c>
      <c r="CD1082">
        <v>0</v>
      </c>
      <c r="CE1082">
        <v>0</v>
      </c>
      <c r="CF1082">
        <v>0</v>
      </c>
      <c r="CG1082">
        <v>0</v>
      </c>
      <c r="CH1082">
        <v>0</v>
      </c>
      <c r="CI1082">
        <v>0</v>
      </c>
      <c r="CJ1082">
        <v>0</v>
      </c>
      <c r="CK1082">
        <v>0</v>
      </c>
      <c r="CL1082">
        <v>0</v>
      </c>
      <c r="CM1082">
        <v>0</v>
      </c>
      <c r="CN1082" t="str">
        <f t="shared" si="302"/>
        <v>refOK</v>
      </c>
      <c r="CO1082"/>
      <c r="CP1082"/>
      <c r="CQ1082">
        <f t="shared" si="274"/>
        <v>1028.4285714285713</v>
      </c>
      <c r="CR1082">
        <f t="shared" si="307"/>
        <v>-4366757.79</v>
      </c>
      <c r="CS1082">
        <f t="shared" si="308"/>
        <v>-3711780.5</v>
      </c>
      <c r="CT1082">
        <f t="shared" si="267"/>
        <v>654.97729000000004</v>
      </c>
      <c r="CU1082">
        <f t="shared" si="312"/>
        <v>0.63687193082372562</v>
      </c>
      <c r="CV1082" s="2">
        <f t="shared" si="268"/>
        <v>0.14999166921964774</v>
      </c>
      <c r="CW1082" s="1" t="s">
        <v>264</v>
      </c>
      <c r="CX1082" t="str">
        <f t="shared" si="298"/>
        <v>loc</v>
      </c>
      <c r="CY1082" t="s">
        <v>692</v>
      </c>
      <c r="DB1082">
        <v>0</v>
      </c>
      <c r="DC1082" t="str">
        <f t="shared" si="299"/>
        <v>0</v>
      </c>
      <c r="DD1082">
        <v>0</v>
      </c>
      <c r="DE1082">
        <v>0</v>
      </c>
      <c r="DF1082">
        <v>0</v>
      </c>
      <c r="DG1082">
        <v>1</v>
      </c>
      <c r="DH1082">
        <v>0</v>
      </c>
      <c r="DI1082">
        <f t="shared" si="318"/>
        <v>1</v>
      </c>
      <c r="DJ1082" t="str">
        <f t="shared" si="311"/>
        <v>TimberInput</v>
      </c>
      <c r="DK1082">
        <f t="shared" si="277"/>
        <v>0</v>
      </c>
      <c r="DL1082">
        <f t="shared" si="278"/>
        <v>0</v>
      </c>
      <c r="DM1082">
        <f t="shared" si="279"/>
        <v>0</v>
      </c>
      <c r="DN1082" t="str">
        <f t="shared" si="280"/>
        <v>Timber</v>
      </c>
      <c r="DO1082">
        <v>0</v>
      </c>
      <c r="DP1082">
        <v>0</v>
      </c>
      <c r="DQ1082">
        <v>0</v>
      </c>
      <c r="DR1082">
        <v>0</v>
      </c>
      <c r="DS1082">
        <v>0</v>
      </c>
      <c r="DT1082">
        <f t="shared" si="315"/>
        <v>0</v>
      </c>
      <c r="DU1082" t="str">
        <f t="shared" si="301"/>
        <v>explicit C balance</v>
      </c>
      <c r="DV1082">
        <v>0</v>
      </c>
      <c r="DW1082">
        <v>0</v>
      </c>
      <c r="DX1082">
        <v>0</v>
      </c>
      <c r="DY1082">
        <v>0</v>
      </c>
      <c r="DZ1082">
        <v>0</v>
      </c>
      <c r="EA1082" s="143">
        <v>1</v>
      </c>
      <c r="EB1082">
        <v>1</v>
      </c>
      <c r="EC1082">
        <v>1</v>
      </c>
      <c r="ED1082">
        <v>1</v>
      </c>
      <c r="EE1082">
        <v>1</v>
      </c>
      <c r="EF1082">
        <v>0</v>
      </c>
      <c r="EG1082">
        <v>0</v>
      </c>
      <c r="EH1082">
        <v>0</v>
      </c>
      <c r="EI1082" s="2">
        <v>0</v>
      </c>
      <c r="EK1082" t="str">
        <f t="shared" si="281"/>
        <v/>
      </c>
      <c r="EL1082" t="str">
        <f t="shared" si="282"/>
        <v/>
      </c>
      <c r="EM1082" s="2" t="str">
        <f t="shared" si="300"/>
        <v>Technology approach</v>
      </c>
      <c r="EP1082" t="str">
        <f>IF(ISNUMBER(BU1082),IF(ABS(BU1082-[4]QC_indicators!$B$2)&gt;3*[4]QC_indicators!$C$2,"C ratio",IF(ISNUMBER(BY1082),IF(ABS(BY1082-[4]QC_indicators!$B$1)&gt;3*[4]QC_indicators!$C$1,"DF","no"))),IF(ISNUMBER(BY1082),IF(ABS(BY1082-[4]QC_indicators!$B$1)&gt;3*[4]QC_indicators!$C$1,"DF","no")))</f>
        <v>no</v>
      </c>
      <c r="ET1082" t="s">
        <v>3275</v>
      </c>
    </row>
    <row r="1083" spans="1:150" ht="15" hidden="1" customHeight="1">
      <c r="A1083" s="1" t="s">
        <v>399</v>
      </c>
      <c r="B1083" t="s">
        <v>683</v>
      </c>
      <c r="C1083" t="s">
        <v>684</v>
      </c>
      <c r="D1083" t="s">
        <v>685</v>
      </c>
      <c r="E1083" t="s">
        <v>686</v>
      </c>
      <c r="F1083" t="s">
        <v>687</v>
      </c>
      <c r="G1083" t="s">
        <v>405</v>
      </c>
      <c r="H1083" t="s">
        <v>255</v>
      </c>
      <c r="I1083">
        <v>2022</v>
      </c>
      <c r="J1083">
        <v>1</v>
      </c>
      <c r="K1083" t="s">
        <v>688</v>
      </c>
      <c r="M1083" t="str">
        <f t="shared" si="310"/>
        <v>Duan_2022</v>
      </c>
      <c r="N1083" t="s">
        <v>223</v>
      </c>
      <c r="O1083" s="145" t="s">
        <v>224</v>
      </c>
      <c r="Q1083" t="s">
        <v>390</v>
      </c>
      <c r="R1083" s="285" t="s">
        <v>226</v>
      </c>
      <c r="S1083" s="1" t="s">
        <v>609</v>
      </c>
      <c r="T1083" s="151" t="s">
        <v>812</v>
      </c>
      <c r="U1083" t="s">
        <v>260</v>
      </c>
      <c r="V1083">
        <v>0</v>
      </c>
      <c r="W1083">
        <v>0</v>
      </c>
      <c r="X1083">
        <v>0</v>
      </c>
      <c r="Y1083">
        <v>0</v>
      </c>
      <c r="Z1083">
        <v>0</v>
      </c>
      <c r="AA1083">
        <v>0</v>
      </c>
      <c r="AB1083">
        <v>0</v>
      </c>
      <c r="AC1083">
        <v>0</v>
      </c>
      <c r="AD1083">
        <v>0</v>
      </c>
      <c r="AE1083">
        <v>0</v>
      </c>
      <c r="AF1083">
        <v>0</v>
      </c>
      <c r="AG1083">
        <v>0</v>
      </c>
      <c r="AH1083">
        <v>0</v>
      </c>
      <c r="AI1083">
        <v>0</v>
      </c>
      <c r="AJ1083">
        <v>0</v>
      </c>
      <c r="AK1083">
        <v>1</v>
      </c>
      <c r="AL1083">
        <v>0</v>
      </c>
      <c r="AM1083">
        <v>0</v>
      </c>
      <c r="AN1083">
        <v>0</v>
      </c>
      <c r="AO1083">
        <v>0</v>
      </c>
      <c r="AP1083">
        <v>0</v>
      </c>
      <c r="AQ1083">
        <v>0</v>
      </c>
      <c r="AR1083">
        <v>0</v>
      </c>
      <c r="AS1083">
        <v>0</v>
      </c>
      <c r="AT1083">
        <v>0</v>
      </c>
      <c r="AU1083">
        <v>0</v>
      </c>
      <c r="AV1083">
        <v>0</v>
      </c>
      <c r="AW1083">
        <v>0</v>
      </c>
      <c r="AX1083" s="141">
        <f t="shared" ref="AX1083:AX1146" si="321">COUNTIF(V1083:AW1083,"&lt;&gt;0")</f>
        <v>1</v>
      </c>
      <c r="AY1083" s="141">
        <f t="shared" si="292"/>
        <v>1</v>
      </c>
      <c r="AZ1083">
        <f t="shared" si="293"/>
        <v>0</v>
      </c>
      <c r="BA1083">
        <f t="shared" si="294"/>
        <v>0</v>
      </c>
      <c r="BB1083">
        <f t="shared" si="295"/>
        <v>1</v>
      </c>
      <c r="BC1083">
        <f t="shared" si="296"/>
        <v>0</v>
      </c>
      <c r="BD1083">
        <f t="shared" si="297"/>
        <v>0</v>
      </c>
      <c r="BE1083" t="str">
        <f t="array" ref="BE1083">IF(AY1083=1,INDEX($V$7:$AL$7,MATCH(TRUE,INDEX($V1083:$AW1083&lt;&gt;0,),0)),IF(AY1083=0,INDEX($AM$7:$AW$7,MATCH(1,$AM1083:$AW1083,0)),IF(BF1083="Multiple strategies","mixed drivers",IF(BF1083="Supply chain","multiple supply","multiple silviculture"))))</f>
        <v>technologies/design switch</v>
      </c>
      <c r="BF1083" s="2" t="str" cm="1">
        <f t="array" ref="BF1083">IF(COUNTIF(AZ1083:BB1083,"&lt;&gt;0")=1,INDEX($V$4:$AW$4,MATCH(TRUE,INDEX($V1083:$AW1083&lt;&gt;0,),0)),IF(COUNTIF(AZ1083:BB1083,"&lt;&gt;0")=0,INDEX($AM$4:$AW$4,MATCH(1,$AM1083:$AW1083,0)),"Multiple strategies"))</f>
        <v>Technology</v>
      </c>
      <c r="BG1083" s="1" t="s">
        <v>230</v>
      </c>
      <c r="BH1083" t="s">
        <v>689</v>
      </c>
      <c r="BI1083" s="141" t="s">
        <v>690</v>
      </c>
      <c r="BJ1083" t="s">
        <v>653</v>
      </c>
      <c r="BK1083">
        <f>25.35</f>
        <v>25.35</v>
      </c>
      <c r="BL1083">
        <f>25.35+3.2+500.73</f>
        <v>529.28</v>
      </c>
      <c r="BN1083">
        <f t="shared" si="275"/>
        <v>503.92999999999995</v>
      </c>
      <c r="BO1083">
        <f t="shared" si="320"/>
        <v>1028.4285714285713</v>
      </c>
      <c r="BP1083" t="s">
        <v>396</v>
      </c>
      <c r="BQ1083" t="s">
        <v>3079</v>
      </c>
      <c r="BR1083" t="s">
        <v>263</v>
      </c>
      <c r="BS1083">
        <f>-101.91*2347</f>
        <v>-239182.77</v>
      </c>
      <c r="BT1083">
        <f>-173.12*2347</f>
        <v>-406312.64</v>
      </c>
      <c r="BU1083" s="144">
        <f t="shared" si="316"/>
        <v>1.6987538023746445</v>
      </c>
      <c r="BV1083">
        <f t="shared" si="317"/>
        <v>-167129.87000000002</v>
      </c>
      <c r="BX1083">
        <f t="shared" si="314"/>
        <v>-167.12987000000001</v>
      </c>
      <c r="BY1083">
        <f t="shared" si="319"/>
        <v>-0.16250994443672734</v>
      </c>
      <c r="BZ1083">
        <v>0</v>
      </c>
      <c r="CA1083">
        <v>0</v>
      </c>
      <c r="CB1083">
        <v>0</v>
      </c>
      <c r="CC1083">
        <v>0</v>
      </c>
      <c r="CD1083">
        <v>0</v>
      </c>
      <c r="CE1083">
        <v>0</v>
      </c>
      <c r="CF1083">
        <v>0</v>
      </c>
      <c r="CG1083">
        <v>0</v>
      </c>
      <c r="CH1083">
        <v>0</v>
      </c>
      <c r="CI1083">
        <v>0</v>
      </c>
      <c r="CJ1083">
        <v>0</v>
      </c>
      <c r="CK1083">
        <v>0</v>
      </c>
      <c r="CL1083">
        <v>0</v>
      </c>
      <c r="CM1083">
        <v>0</v>
      </c>
      <c r="CN1083" t="str">
        <f t="shared" si="302"/>
        <v>refOK</v>
      </c>
      <c r="CO1083"/>
      <c r="CP1083"/>
      <c r="CQ1083">
        <f t="shared" si="274"/>
        <v>1028.4285714285713</v>
      </c>
      <c r="CR1083">
        <f t="shared" si="307"/>
        <v>239182.77</v>
      </c>
      <c r="CS1083">
        <f t="shared" si="308"/>
        <v>406312.64</v>
      </c>
      <c r="CT1083">
        <f t="shared" si="267"/>
        <v>167.12987000000001</v>
      </c>
      <c r="CU1083">
        <f t="shared" si="312"/>
        <v>0.16250994443672734</v>
      </c>
      <c r="CV1083" s="2">
        <f t="shared" si="268"/>
        <v>0.69875380237464446</v>
      </c>
      <c r="CW1083" s="1" t="s">
        <v>264</v>
      </c>
      <c r="CX1083" t="str">
        <f t="shared" si="298"/>
        <v>loc</v>
      </c>
      <c r="CY1083" t="s">
        <v>692</v>
      </c>
      <c r="DB1083">
        <v>0</v>
      </c>
      <c r="DC1083" t="str">
        <f t="shared" si="299"/>
        <v>0</v>
      </c>
      <c r="DD1083">
        <v>0</v>
      </c>
      <c r="DE1083">
        <v>0</v>
      </c>
      <c r="DF1083">
        <v>0</v>
      </c>
      <c r="DG1083">
        <v>1</v>
      </c>
      <c r="DH1083">
        <v>0</v>
      </c>
      <c r="DI1083">
        <f t="shared" si="318"/>
        <v>1</v>
      </c>
      <c r="DJ1083" t="str">
        <f t="shared" si="311"/>
        <v>TimberInput</v>
      </c>
      <c r="DK1083">
        <f t="shared" si="277"/>
        <v>0</v>
      </c>
      <c r="DL1083">
        <f t="shared" si="278"/>
        <v>0</v>
      </c>
      <c r="DM1083">
        <f t="shared" si="279"/>
        <v>0</v>
      </c>
      <c r="DN1083" t="str">
        <f t="shared" si="280"/>
        <v>Timber</v>
      </c>
      <c r="DO1083">
        <v>0</v>
      </c>
      <c r="DP1083">
        <v>0</v>
      </c>
      <c r="DQ1083">
        <v>0</v>
      </c>
      <c r="DR1083">
        <v>0</v>
      </c>
      <c r="DS1083">
        <v>0</v>
      </c>
      <c r="DT1083">
        <f t="shared" si="315"/>
        <v>0</v>
      </c>
      <c r="DU1083" t="str">
        <f t="shared" si="301"/>
        <v>explicit C balance</v>
      </c>
      <c r="DV1083">
        <v>0</v>
      </c>
      <c r="DW1083">
        <v>0</v>
      </c>
      <c r="DX1083">
        <v>0</v>
      </c>
      <c r="DY1083">
        <v>0</v>
      </c>
      <c r="DZ1083">
        <v>0</v>
      </c>
      <c r="EA1083" s="143">
        <v>1</v>
      </c>
      <c r="EB1083">
        <v>0</v>
      </c>
      <c r="EC1083">
        <v>0</v>
      </c>
      <c r="ED1083">
        <v>0</v>
      </c>
      <c r="EE1083">
        <v>1</v>
      </c>
      <c r="EF1083">
        <v>0</v>
      </c>
      <c r="EG1083">
        <v>0</v>
      </c>
      <c r="EH1083">
        <v>0</v>
      </c>
      <c r="EI1083" s="2">
        <v>0</v>
      </c>
      <c r="EK1083" t="str">
        <f t="shared" si="281"/>
        <v/>
      </c>
      <c r="EL1083" t="str">
        <f t="shared" si="282"/>
        <v/>
      </c>
      <c r="EM1083" s="2" t="str">
        <f t="shared" si="300"/>
        <v/>
      </c>
      <c r="EP1083" t="str">
        <f>IF(ISNUMBER(BU1083),IF(ABS(BU1083-[4]QC_indicators!$B$2)&gt;3*[4]QC_indicators!$C$2,"C ratio",IF(ISNUMBER(BY1083),IF(ABS(BY1083-[4]QC_indicators!$B$1)&gt;3*[4]QC_indicators!$C$1,"DF","no"))),IF(ISNUMBER(BY1083),IF(ABS(BY1083-[4]QC_indicators!$B$1)&gt;3*[4]QC_indicators!$C$1,"DF","no")))</f>
        <v>no</v>
      </c>
      <c r="ET1083" t="s">
        <v>3275</v>
      </c>
    </row>
    <row r="1084" spans="1:150" ht="15" hidden="1" customHeight="1">
      <c r="A1084" s="1" t="s">
        <v>399</v>
      </c>
      <c r="B1084" t="s">
        <v>683</v>
      </c>
      <c r="C1084" t="s">
        <v>684</v>
      </c>
      <c r="D1084" t="s">
        <v>685</v>
      </c>
      <c r="E1084" t="s">
        <v>686</v>
      </c>
      <c r="F1084" t="s">
        <v>687</v>
      </c>
      <c r="G1084" t="s">
        <v>405</v>
      </c>
      <c r="H1084" t="s">
        <v>255</v>
      </c>
      <c r="I1084">
        <v>2022</v>
      </c>
      <c r="J1084">
        <v>1</v>
      </c>
      <c r="K1084" t="s">
        <v>688</v>
      </c>
      <c r="M1084" t="str">
        <f t="shared" si="310"/>
        <v>Duan_2022</v>
      </c>
      <c r="N1084" t="s">
        <v>223</v>
      </c>
      <c r="O1084" s="145" t="s">
        <v>224</v>
      </c>
      <c r="Q1084" t="s">
        <v>390</v>
      </c>
      <c r="R1084" s="285" t="s">
        <v>226</v>
      </c>
      <c r="S1084" s="1" t="s">
        <v>609</v>
      </c>
      <c r="T1084" s="151" t="s">
        <v>812</v>
      </c>
      <c r="U1084" t="s">
        <v>260</v>
      </c>
      <c r="V1084">
        <v>0</v>
      </c>
      <c r="W1084">
        <v>0</v>
      </c>
      <c r="X1084">
        <v>0</v>
      </c>
      <c r="Y1084">
        <v>0</v>
      </c>
      <c r="Z1084">
        <v>0</v>
      </c>
      <c r="AA1084">
        <v>0</v>
      </c>
      <c r="AB1084">
        <v>0</v>
      </c>
      <c r="AC1084">
        <v>0</v>
      </c>
      <c r="AD1084">
        <v>0</v>
      </c>
      <c r="AE1084">
        <v>0</v>
      </c>
      <c r="AF1084">
        <v>0</v>
      </c>
      <c r="AG1084">
        <v>0</v>
      </c>
      <c r="AH1084">
        <v>0</v>
      </c>
      <c r="AI1084">
        <v>0</v>
      </c>
      <c r="AJ1084">
        <v>0</v>
      </c>
      <c r="AK1084">
        <v>1</v>
      </c>
      <c r="AL1084">
        <v>0</v>
      </c>
      <c r="AM1084">
        <v>0</v>
      </c>
      <c r="AN1084">
        <v>0</v>
      </c>
      <c r="AO1084">
        <v>0</v>
      </c>
      <c r="AP1084">
        <v>0</v>
      </c>
      <c r="AQ1084">
        <v>0</v>
      </c>
      <c r="AR1084">
        <v>0</v>
      </c>
      <c r="AS1084">
        <v>0</v>
      </c>
      <c r="AT1084">
        <v>0</v>
      </c>
      <c r="AU1084">
        <v>0</v>
      </c>
      <c r="AV1084">
        <v>0</v>
      </c>
      <c r="AW1084">
        <v>0</v>
      </c>
      <c r="AX1084" s="141">
        <f t="shared" si="321"/>
        <v>1</v>
      </c>
      <c r="AY1084" s="141">
        <f t="shared" si="292"/>
        <v>1</v>
      </c>
      <c r="AZ1084">
        <f t="shared" si="293"/>
        <v>0</v>
      </c>
      <c r="BA1084">
        <f t="shared" si="294"/>
        <v>0</v>
      </c>
      <c r="BB1084">
        <f t="shared" si="295"/>
        <v>1</v>
      </c>
      <c r="BC1084">
        <f t="shared" si="296"/>
        <v>0</v>
      </c>
      <c r="BD1084">
        <f t="shared" si="297"/>
        <v>0</v>
      </c>
      <c r="BE1084" t="str">
        <f t="array" ref="BE1084">IF(AY1084=1,INDEX($V$7:$AL$7,MATCH(TRUE,INDEX($V1084:$AW1084&lt;&gt;0,),0)),IF(AY1084=0,INDEX($AM$7:$AW$7,MATCH(1,$AM1084:$AW1084,0)),IF(BF1084="Multiple strategies","mixed drivers",IF(BF1084="Supply chain","multiple supply","multiple silviculture"))))</f>
        <v>technologies/design switch</v>
      </c>
      <c r="BF1084" s="2" t="str" cm="1">
        <f t="array" ref="BF1084">IF(COUNTIF(AZ1084:BB1084,"&lt;&gt;0")=1,INDEX($V$4:$AW$4,MATCH(TRUE,INDEX($V1084:$AW1084&lt;&gt;0,),0)),IF(COUNTIF(AZ1084:BB1084,"&lt;&gt;0")=0,INDEX($AM$4:$AW$4,MATCH(1,$AM1084:$AW1084,0)),"Multiple strategies"))</f>
        <v>Technology</v>
      </c>
      <c r="BG1084" s="1" t="s">
        <v>230</v>
      </c>
      <c r="BH1084" t="s">
        <v>689</v>
      </c>
      <c r="BI1084" s="141" t="s">
        <v>690</v>
      </c>
      <c r="BJ1084" t="s">
        <v>653</v>
      </c>
      <c r="BK1084">
        <f>25.35</f>
        <v>25.35</v>
      </c>
      <c r="BL1084">
        <f>25.35+3.2+500.73</f>
        <v>529.28</v>
      </c>
      <c r="BN1084">
        <f t="shared" si="275"/>
        <v>503.92999999999995</v>
      </c>
      <c r="BO1084">
        <f t="shared" si="320"/>
        <v>1028.4285714285713</v>
      </c>
      <c r="BP1084" t="s">
        <v>396</v>
      </c>
      <c r="BQ1084" t="s">
        <v>3080</v>
      </c>
      <c r="BR1084" t="s">
        <v>263</v>
      </c>
      <c r="BS1084">
        <f>1193.28*2347</f>
        <v>2800628.16</v>
      </c>
      <c r="BT1084">
        <f>1343.23*2347</f>
        <v>3152560.81</v>
      </c>
      <c r="BU1084" s="144">
        <f t="shared" si="316"/>
        <v>1.1256620407615983</v>
      </c>
      <c r="BV1084">
        <f t="shared" si="317"/>
        <v>351932.64999999991</v>
      </c>
      <c r="BX1084">
        <f t="shared" si="314"/>
        <v>351.93264999999991</v>
      </c>
      <c r="BY1084">
        <f t="shared" si="319"/>
        <v>0.34220427142658699</v>
      </c>
      <c r="BZ1084">
        <v>0</v>
      </c>
      <c r="CA1084">
        <v>0</v>
      </c>
      <c r="CB1084">
        <v>0</v>
      </c>
      <c r="CC1084">
        <v>0</v>
      </c>
      <c r="CD1084">
        <v>0</v>
      </c>
      <c r="CE1084">
        <v>0</v>
      </c>
      <c r="CF1084">
        <v>0</v>
      </c>
      <c r="CG1084">
        <v>0</v>
      </c>
      <c r="CH1084">
        <v>0</v>
      </c>
      <c r="CI1084">
        <v>0</v>
      </c>
      <c r="CJ1084">
        <v>0</v>
      </c>
      <c r="CK1084">
        <v>0</v>
      </c>
      <c r="CL1084">
        <v>0</v>
      </c>
      <c r="CM1084">
        <v>0</v>
      </c>
      <c r="CN1084" t="str">
        <f t="shared" si="302"/>
        <v>refOK</v>
      </c>
      <c r="CO1084"/>
      <c r="CP1084"/>
      <c r="CQ1084">
        <f t="shared" si="274"/>
        <v>1028.4285714285713</v>
      </c>
      <c r="CR1084">
        <f t="shared" si="307"/>
        <v>-2800628.16</v>
      </c>
      <c r="CS1084">
        <f t="shared" si="308"/>
        <v>-3152560.81</v>
      </c>
      <c r="CT1084">
        <f t="shared" ref="CT1084:CT1140" si="322">IF($CN1084="refNeedCorrection",-BX1084,BX1084)*IF($BP1084="Emissions positive",-1,1)</f>
        <v>-351.93264999999991</v>
      </c>
      <c r="CU1084">
        <f t="shared" si="312"/>
        <v>-0.34220427142658699</v>
      </c>
      <c r="CV1084" s="2">
        <f t="shared" ref="CV1084:CV1140" si="323">IFERROR((CS1084-CR1084)/ABS(CR1084),"")</f>
        <v>-0.12566204076159823</v>
      </c>
      <c r="CW1084" s="1" t="s">
        <v>264</v>
      </c>
      <c r="CX1084" t="str">
        <f t="shared" si="298"/>
        <v>loc</v>
      </c>
      <c r="CY1084" t="s">
        <v>692</v>
      </c>
      <c r="DB1084">
        <v>0</v>
      </c>
      <c r="DC1084" t="str">
        <f t="shared" si="299"/>
        <v>0</v>
      </c>
      <c r="DD1084">
        <v>0</v>
      </c>
      <c r="DE1084">
        <v>0</v>
      </c>
      <c r="DF1084">
        <v>0</v>
      </c>
      <c r="DG1084">
        <v>1</v>
      </c>
      <c r="DH1084">
        <v>0</v>
      </c>
      <c r="DI1084">
        <f t="shared" si="318"/>
        <v>1</v>
      </c>
      <c r="DJ1084" t="str">
        <f t="shared" si="311"/>
        <v>TimberInput</v>
      </c>
      <c r="DK1084">
        <f t="shared" si="277"/>
        <v>0</v>
      </c>
      <c r="DL1084">
        <f t="shared" si="278"/>
        <v>0</v>
      </c>
      <c r="DM1084">
        <f t="shared" si="279"/>
        <v>0</v>
      </c>
      <c r="DN1084" t="str">
        <f t="shared" si="280"/>
        <v>Timber</v>
      </c>
      <c r="DO1084">
        <v>0</v>
      </c>
      <c r="DP1084">
        <v>0</v>
      </c>
      <c r="DQ1084">
        <v>0</v>
      </c>
      <c r="DR1084">
        <v>0</v>
      </c>
      <c r="DS1084">
        <v>0</v>
      </c>
      <c r="DT1084">
        <f t="shared" si="315"/>
        <v>0</v>
      </c>
      <c r="DU1084" t="str">
        <f t="shared" si="301"/>
        <v>explicit C balance</v>
      </c>
      <c r="DV1084">
        <v>0</v>
      </c>
      <c r="DW1084">
        <v>0</v>
      </c>
      <c r="DX1084">
        <v>0</v>
      </c>
      <c r="DY1084">
        <v>0</v>
      </c>
      <c r="DZ1084">
        <v>0</v>
      </c>
      <c r="EA1084" s="143">
        <v>0</v>
      </c>
      <c r="EB1084">
        <v>0</v>
      </c>
      <c r="EC1084">
        <v>0</v>
      </c>
      <c r="ED1084">
        <v>1</v>
      </c>
      <c r="EE1084">
        <v>0</v>
      </c>
      <c r="EF1084">
        <v>0</v>
      </c>
      <c r="EG1084">
        <v>0</v>
      </c>
      <c r="EH1084">
        <v>0</v>
      </c>
      <c r="EI1084" s="2">
        <v>0</v>
      </c>
      <c r="EK1084" t="str">
        <f t="shared" si="281"/>
        <v/>
      </c>
      <c r="EL1084" t="str">
        <f t="shared" si="282"/>
        <v/>
      </c>
      <c r="EM1084" s="2" t="str">
        <f t="shared" si="300"/>
        <v/>
      </c>
      <c r="EP1084" t="str">
        <f>IF(ISNUMBER(BU1084),IF(ABS(BU1084-[4]QC_indicators!$B$2)&gt;3*[4]QC_indicators!$C$2,"C ratio",IF(ISNUMBER(BY1084),IF(ABS(BY1084-[4]QC_indicators!$B$1)&gt;3*[4]QC_indicators!$C$1,"DF","no"))),IF(ISNUMBER(BY1084),IF(ABS(BY1084-[4]QC_indicators!$B$1)&gt;3*[4]QC_indicators!$C$1,"DF","no")))</f>
        <v>no</v>
      </c>
      <c r="ET1084" t="s">
        <v>3275</v>
      </c>
    </row>
    <row r="1085" spans="1:150" ht="15" hidden="1" customHeight="1">
      <c r="D1085" t="s">
        <v>735</v>
      </c>
      <c r="E1085" t="s">
        <v>736</v>
      </c>
      <c r="G1085" t="s">
        <v>737</v>
      </c>
      <c r="I1085">
        <v>2005</v>
      </c>
      <c r="K1085" s="156" t="s">
        <v>738</v>
      </c>
      <c r="M1085" t="str">
        <f t="shared" si="310"/>
        <v>Gustavsson_2005</v>
      </c>
      <c r="N1085" t="s">
        <v>223</v>
      </c>
      <c r="O1085" t="s">
        <v>224</v>
      </c>
      <c r="Q1085" t="s">
        <v>257</v>
      </c>
      <c r="R1085" s="255" t="s">
        <v>226</v>
      </c>
      <c r="S1085" s="1" t="s">
        <v>754</v>
      </c>
      <c r="T1085" t="s">
        <v>755</v>
      </c>
      <c r="U1085" s="266" t="s">
        <v>756</v>
      </c>
      <c r="V1085">
        <v>0</v>
      </c>
      <c r="W1085">
        <v>0</v>
      </c>
      <c r="X1085">
        <v>0</v>
      </c>
      <c r="Y1085">
        <v>0</v>
      </c>
      <c r="Z1085">
        <v>0</v>
      </c>
      <c r="AA1085">
        <v>0</v>
      </c>
      <c r="AB1085">
        <v>0</v>
      </c>
      <c r="AC1085">
        <v>0</v>
      </c>
      <c r="AD1085">
        <v>0</v>
      </c>
      <c r="AE1085">
        <v>0</v>
      </c>
      <c r="AF1085">
        <v>0</v>
      </c>
      <c r="AG1085">
        <v>0</v>
      </c>
      <c r="AH1085">
        <v>0</v>
      </c>
      <c r="AI1085">
        <v>0</v>
      </c>
      <c r="AJ1085">
        <v>0</v>
      </c>
      <c r="AK1085">
        <v>1</v>
      </c>
      <c r="AL1085">
        <v>0</v>
      </c>
      <c r="AM1085">
        <v>0</v>
      </c>
      <c r="AN1085">
        <v>0</v>
      </c>
      <c r="AO1085">
        <v>0</v>
      </c>
      <c r="AP1085">
        <v>0</v>
      </c>
      <c r="AQ1085">
        <v>0</v>
      </c>
      <c r="AR1085">
        <v>0</v>
      </c>
      <c r="AS1085">
        <v>0</v>
      </c>
      <c r="AT1085">
        <v>0</v>
      </c>
      <c r="AU1085">
        <v>0</v>
      </c>
      <c r="AV1085">
        <v>0</v>
      </c>
      <c r="AW1085">
        <v>0</v>
      </c>
      <c r="AX1085" s="141">
        <f t="shared" si="321"/>
        <v>1</v>
      </c>
      <c r="AY1085" s="141">
        <f t="shared" si="292"/>
        <v>1</v>
      </c>
      <c r="AZ1085">
        <f t="shared" si="293"/>
        <v>0</v>
      </c>
      <c r="BA1085">
        <f t="shared" si="294"/>
        <v>0</v>
      </c>
      <c r="BB1085">
        <f t="shared" si="295"/>
        <v>1</v>
      </c>
      <c r="BC1085">
        <f t="shared" si="296"/>
        <v>0</v>
      </c>
      <c r="BD1085">
        <f t="shared" si="297"/>
        <v>0</v>
      </c>
      <c r="BE1085" t="str">
        <f t="array" ref="BE1085">IF(AY1085=1,INDEX($V$7:$AL$7,MATCH(TRUE,INDEX($V1085:$AW1085&lt;&gt;0,),0)),IF(AY1085=0,INDEX($AM$7:$AW$7,MATCH(1,$AM1085:$AW1085,0)),IF(BF1085="Multiple strategies","mixed drivers",IF(BF1085="Supply chain","multiple supply","multiple silviculture"))))</f>
        <v>technologies/design switch</v>
      </c>
      <c r="BF1085" s="2" t="str" cm="1">
        <f t="array" ref="BF1085">IF(COUNTIF(AZ1085:BB1085,"&lt;&gt;0")=1,INDEX($V$4:$AW$4,MATCH(TRUE,INDEX($V1085:$AW1085&lt;&gt;0,),0)),IF(COUNTIF(AZ1085:BB1085,"&lt;&gt;0")=0,INDEX($AM$4:$AW$4,MATCH(1,$AM1085:$AW1085,0)),"Multiple strategies"))</f>
        <v>Technology</v>
      </c>
      <c r="BG1085" s="265" t="s">
        <v>230</v>
      </c>
      <c r="BH1085" s="266" t="s">
        <v>757</v>
      </c>
      <c r="BI1085" s="260" t="s">
        <v>425</v>
      </c>
      <c r="BJ1085" s="266" t="s">
        <v>743</v>
      </c>
      <c r="BK1085" s="266">
        <v>56.4</v>
      </c>
      <c r="BL1085" s="266">
        <v>80.5</v>
      </c>
      <c r="BM1085" s="266">
        <f>BL1085/BK1085</f>
        <v>1.4273049645390072</v>
      </c>
      <c r="BN1085" s="266">
        <f t="shared" si="275"/>
        <v>24.1</v>
      </c>
      <c r="BO1085" s="266">
        <f t="shared" si="320"/>
        <v>49.183673469387756</v>
      </c>
      <c r="BP1085" t="s">
        <v>233</v>
      </c>
      <c r="BQ1085" s="306" t="s">
        <v>3339</v>
      </c>
      <c r="BR1085" t="s">
        <v>443</v>
      </c>
      <c r="BS1085" s="266">
        <v>76.2</v>
      </c>
      <c r="BT1085" s="151">
        <v>97.9</v>
      </c>
      <c r="BV1085">
        <f t="shared" si="317"/>
        <v>21.700000000000003</v>
      </c>
      <c r="BX1085">
        <f>BV1085*C_to_CO2</f>
        <v>79.63900000000001</v>
      </c>
      <c r="BY1085">
        <f t="shared" si="319"/>
        <v>1.6192161825726143</v>
      </c>
      <c r="BZ1085" s="143">
        <v>0</v>
      </c>
      <c r="CA1085" s="143">
        <v>0</v>
      </c>
      <c r="CB1085" s="143">
        <v>0</v>
      </c>
      <c r="CC1085" s="143">
        <v>0</v>
      </c>
      <c r="CD1085" s="143">
        <v>0</v>
      </c>
      <c r="CE1085" s="143">
        <v>0</v>
      </c>
      <c r="CF1085" s="143">
        <v>0</v>
      </c>
      <c r="CG1085" s="143">
        <v>0</v>
      </c>
      <c r="CH1085" s="143">
        <v>0</v>
      </c>
      <c r="CI1085" s="143">
        <v>0</v>
      </c>
      <c r="CJ1085" s="143">
        <v>0</v>
      </c>
      <c r="CK1085" s="143">
        <v>0</v>
      </c>
      <c r="CL1085" s="143">
        <v>0</v>
      </c>
      <c r="CM1085">
        <v>0</v>
      </c>
      <c r="CN1085" t="str">
        <f t="shared" si="302"/>
        <v>refOK</v>
      </c>
      <c r="CO1085">
        <f t="shared" ref="CO1085:CO1093" si="324">IF($CN1085="refOK",$BK1085,$BL1085)</f>
        <v>56.4</v>
      </c>
      <c r="CP1085">
        <f t="shared" ref="CP1085:CP1093" si="325">IF($CN1085="refOK",$BL1085,$BK1085)</f>
        <v>80.5</v>
      </c>
      <c r="CQ1085">
        <f t="shared" si="274"/>
        <v>49.183673469387756</v>
      </c>
      <c r="CR1085">
        <f t="shared" si="307"/>
        <v>76.2</v>
      </c>
      <c r="CS1085">
        <f t="shared" si="308"/>
        <v>97.9</v>
      </c>
      <c r="CT1085">
        <f t="shared" si="322"/>
        <v>79.63900000000001</v>
      </c>
      <c r="CU1085">
        <f t="shared" si="312"/>
        <v>1.6192161825726143</v>
      </c>
      <c r="CV1085" s="2">
        <f t="shared" si="323"/>
        <v>0.28477690288713914</v>
      </c>
      <c r="CW1085" s="1" t="s">
        <v>264</v>
      </c>
      <c r="CX1085" t="str">
        <f t="shared" si="298"/>
        <v>loc</v>
      </c>
      <c r="CY1085" t="s">
        <v>745</v>
      </c>
      <c r="DA1085" s="143"/>
      <c r="DB1085" s="143">
        <v>0</v>
      </c>
      <c r="DC1085" t="str">
        <f t="shared" si="299"/>
        <v>0</v>
      </c>
      <c r="DD1085">
        <v>0</v>
      </c>
      <c r="DE1085">
        <v>0</v>
      </c>
      <c r="DF1085">
        <v>0</v>
      </c>
      <c r="DG1085">
        <v>1</v>
      </c>
      <c r="DI1085">
        <f t="shared" ref="DI1085:DI1131" si="326">SUM(DD1085:DG1085)</f>
        <v>1</v>
      </c>
      <c r="DJ1085" t="str">
        <f t="shared" si="311"/>
        <v>TimberInput</v>
      </c>
      <c r="DK1085">
        <f t="shared" si="277"/>
        <v>0</v>
      </c>
      <c r="DL1085">
        <f t="shared" si="278"/>
        <v>0</v>
      </c>
      <c r="DM1085">
        <f t="shared" si="279"/>
        <v>0</v>
      </c>
      <c r="DN1085" t="str">
        <f t="shared" si="280"/>
        <v>Timber</v>
      </c>
      <c r="DO1085">
        <v>1</v>
      </c>
      <c r="DP1085" s="143">
        <v>0</v>
      </c>
      <c r="DQ1085" s="143">
        <v>0</v>
      </c>
      <c r="DR1085">
        <v>0</v>
      </c>
      <c r="DS1085" s="143">
        <v>0</v>
      </c>
      <c r="DT1085">
        <f t="shared" si="315"/>
        <v>1</v>
      </c>
      <c r="DU1085" s="143" t="str">
        <f t="shared" si="301"/>
        <v>self-calculated DF</v>
      </c>
      <c r="DV1085" s="143">
        <v>0</v>
      </c>
      <c r="DW1085" s="266">
        <v>1</v>
      </c>
      <c r="DX1085" s="266">
        <v>1</v>
      </c>
      <c r="DY1085" s="266">
        <v>0</v>
      </c>
      <c r="DZ1085" s="266">
        <v>0</v>
      </c>
      <c r="EA1085" s="266">
        <v>1</v>
      </c>
      <c r="EB1085" s="266">
        <v>1</v>
      </c>
      <c r="EC1085" s="266">
        <v>0</v>
      </c>
      <c r="ED1085" s="143">
        <v>0</v>
      </c>
      <c r="EE1085">
        <v>0</v>
      </c>
      <c r="EF1085">
        <v>0</v>
      </c>
      <c r="EG1085" s="143">
        <v>0</v>
      </c>
      <c r="EH1085" s="143">
        <v>0</v>
      </c>
      <c r="EI1085" s="2">
        <v>0</v>
      </c>
      <c r="EK1085" t="str">
        <f t="shared" si="281"/>
        <v/>
      </c>
      <c r="EL1085" t="str">
        <f t="shared" si="282"/>
        <v/>
      </c>
      <c r="EM1085" s="2" t="str">
        <f t="shared" si="300"/>
        <v/>
      </c>
      <c r="EP1085" t="str">
        <f>IF(ISNUMBER(BU1085),IF(ABS(BU1085-[4]QC_indicators!$B$2)&gt;3*[4]QC_indicators!$C$2,"C ratio",IF(ISNUMBER(BY1085),IF(ABS(BY1085-[4]QC_indicators!$B$1)&gt;3*[4]QC_indicators!$C$1,"DF","no"))),IF(ISNUMBER(BY1085),IF(ABS(BY1085-[4]QC_indicators!$B$1)&gt;3*[4]QC_indicators!$C$1,"DF","no")))</f>
        <v>no</v>
      </c>
      <c r="ER1085" s="149" t="s">
        <v>350</v>
      </c>
      <c r="ET1085" s="266" t="s">
        <v>3275</v>
      </c>
    </row>
    <row r="1086" spans="1:150" ht="15" hidden="1" customHeight="1">
      <c r="D1086" t="s">
        <v>735</v>
      </c>
      <c r="E1086" t="s">
        <v>736</v>
      </c>
      <c r="G1086" t="s">
        <v>737</v>
      </c>
      <c r="I1086">
        <v>2005</v>
      </c>
      <c r="K1086" s="156" t="s">
        <v>738</v>
      </c>
      <c r="M1086" t="str">
        <f t="shared" si="310"/>
        <v>Gustavsson_2005</v>
      </c>
      <c r="N1086" t="s">
        <v>223</v>
      </c>
      <c r="O1086" t="s">
        <v>224</v>
      </c>
      <c r="Q1086" t="s">
        <v>257</v>
      </c>
      <c r="R1086" s="255" t="s">
        <v>226</v>
      </c>
      <c r="S1086" s="1" t="s">
        <v>754</v>
      </c>
      <c r="T1086" t="s">
        <v>755</v>
      </c>
      <c r="U1086" s="266" t="s">
        <v>756</v>
      </c>
      <c r="V1086">
        <v>0</v>
      </c>
      <c r="W1086">
        <v>0</v>
      </c>
      <c r="X1086">
        <v>0</v>
      </c>
      <c r="Y1086">
        <v>0</v>
      </c>
      <c r="Z1086">
        <v>0</v>
      </c>
      <c r="AA1086">
        <v>0</v>
      </c>
      <c r="AB1086">
        <v>0</v>
      </c>
      <c r="AC1086">
        <v>0</v>
      </c>
      <c r="AD1086">
        <v>0</v>
      </c>
      <c r="AE1086">
        <v>0</v>
      </c>
      <c r="AF1086">
        <v>0</v>
      </c>
      <c r="AG1086">
        <v>0</v>
      </c>
      <c r="AH1086">
        <v>0</v>
      </c>
      <c r="AI1086">
        <v>0</v>
      </c>
      <c r="AJ1086">
        <v>0</v>
      </c>
      <c r="AK1086">
        <v>1</v>
      </c>
      <c r="AL1086">
        <v>0</v>
      </c>
      <c r="AM1086">
        <v>0</v>
      </c>
      <c r="AN1086">
        <v>0</v>
      </c>
      <c r="AO1086">
        <v>0</v>
      </c>
      <c r="AP1086">
        <v>0</v>
      </c>
      <c r="AQ1086">
        <v>0</v>
      </c>
      <c r="AR1086">
        <v>0</v>
      </c>
      <c r="AS1086">
        <v>0</v>
      </c>
      <c r="AT1086">
        <v>0</v>
      </c>
      <c r="AU1086">
        <v>0</v>
      </c>
      <c r="AV1086">
        <v>0</v>
      </c>
      <c r="AW1086">
        <v>0</v>
      </c>
      <c r="AX1086" s="141">
        <f t="shared" si="321"/>
        <v>1</v>
      </c>
      <c r="AY1086" s="141">
        <f t="shared" si="292"/>
        <v>1</v>
      </c>
      <c r="AZ1086">
        <f t="shared" si="293"/>
        <v>0</v>
      </c>
      <c r="BA1086">
        <f t="shared" si="294"/>
        <v>0</v>
      </c>
      <c r="BB1086">
        <f t="shared" si="295"/>
        <v>1</v>
      </c>
      <c r="BC1086">
        <f t="shared" si="296"/>
        <v>0</v>
      </c>
      <c r="BD1086">
        <f t="shared" si="297"/>
        <v>0</v>
      </c>
      <c r="BE1086" t="str">
        <f t="array" ref="BE1086">IF(AY1086=1,INDEX($V$7:$AL$7,MATCH(TRUE,INDEX($V1086:$AW1086&lt;&gt;0,),0)),IF(AY1086=0,INDEX($AM$7:$AW$7,MATCH(1,$AM1086:$AW1086,0)),IF(BF1086="Multiple strategies","mixed drivers",IF(BF1086="Supply chain","multiple supply","multiple silviculture"))))</f>
        <v>technologies/design switch</v>
      </c>
      <c r="BF1086" s="2" t="str" cm="1">
        <f t="array" ref="BF1086">IF(COUNTIF(AZ1086:BB1086,"&lt;&gt;0")=1,INDEX($V$4:$AW$4,MATCH(TRUE,INDEX($V1086:$AW1086&lt;&gt;0,),0)),IF(COUNTIF(AZ1086:BB1086,"&lt;&gt;0")=0,INDEX($AM$4:$AW$4,MATCH(1,$AM1086:$AW1086,0)),"Multiple strategies"))</f>
        <v>Technology</v>
      </c>
      <c r="BG1086" s="265" t="s">
        <v>230</v>
      </c>
      <c r="BH1086" s="266" t="s">
        <v>757</v>
      </c>
      <c r="BI1086" s="260" t="s">
        <v>425</v>
      </c>
      <c r="BJ1086" s="266" t="s">
        <v>758</v>
      </c>
      <c r="BK1086" s="266">
        <v>56.4</v>
      </c>
      <c r="BL1086" s="266">
        <v>80.5</v>
      </c>
      <c r="BM1086" s="266">
        <f>BL1086/BK1086</f>
        <v>1.4273049645390072</v>
      </c>
      <c r="BN1086" s="266">
        <f t="shared" si="275"/>
        <v>24.1</v>
      </c>
      <c r="BO1086" s="266">
        <f t="shared" si="320"/>
        <v>49.183673469387756</v>
      </c>
      <c r="BP1086" t="s">
        <v>233</v>
      </c>
      <c r="BQ1086" s="306" t="s">
        <v>3335</v>
      </c>
      <c r="BR1086" t="s">
        <v>443</v>
      </c>
      <c r="BS1086" s="266">
        <v>16.5</v>
      </c>
      <c r="BT1086" s="151">
        <v>44.2</v>
      </c>
      <c r="BV1086">
        <v>27.700000000000003</v>
      </c>
      <c r="BX1086">
        <f>BV1086*C_to_CO2</f>
        <v>101.65900000000001</v>
      </c>
      <c r="BY1086">
        <f t="shared" si="319"/>
        <v>2.0669257261410787</v>
      </c>
      <c r="BZ1086" s="143">
        <v>0</v>
      </c>
      <c r="CA1086" s="143">
        <v>0</v>
      </c>
      <c r="CB1086" s="143">
        <v>0</v>
      </c>
      <c r="CC1086" s="143">
        <v>0</v>
      </c>
      <c r="CD1086" s="143">
        <v>0</v>
      </c>
      <c r="CE1086" s="143">
        <v>0</v>
      </c>
      <c r="CF1086" s="143">
        <v>0</v>
      </c>
      <c r="CG1086" s="143">
        <v>0</v>
      </c>
      <c r="CH1086" s="143">
        <v>0</v>
      </c>
      <c r="CI1086" s="143">
        <v>0</v>
      </c>
      <c r="CJ1086" s="143">
        <v>0</v>
      </c>
      <c r="CK1086" s="143">
        <v>0</v>
      </c>
      <c r="CL1086" s="143">
        <v>0</v>
      </c>
      <c r="CM1086">
        <v>0</v>
      </c>
      <c r="CN1086" t="str">
        <f t="shared" si="302"/>
        <v>refOK</v>
      </c>
      <c r="CO1086">
        <f t="shared" si="324"/>
        <v>56.4</v>
      </c>
      <c r="CP1086">
        <f t="shared" si="325"/>
        <v>80.5</v>
      </c>
      <c r="CQ1086">
        <f t="shared" si="274"/>
        <v>49.183673469387756</v>
      </c>
      <c r="CR1086">
        <f t="shared" si="307"/>
        <v>16.5</v>
      </c>
      <c r="CS1086">
        <f t="shared" si="308"/>
        <v>44.2</v>
      </c>
      <c r="CT1086">
        <f t="shared" si="322"/>
        <v>101.65900000000001</v>
      </c>
      <c r="CU1086">
        <f t="shared" si="312"/>
        <v>2.0669257261410787</v>
      </c>
      <c r="CV1086" s="2">
        <f t="shared" si="323"/>
        <v>1.6787878787878789</v>
      </c>
      <c r="CW1086" s="1" t="s">
        <v>264</v>
      </c>
      <c r="CX1086" t="str">
        <f t="shared" si="298"/>
        <v>loc</v>
      </c>
      <c r="CY1086" t="s">
        <v>745</v>
      </c>
      <c r="DA1086" s="143"/>
      <c r="DB1086" s="143">
        <v>0</v>
      </c>
      <c r="DC1086" t="str">
        <f t="shared" si="299"/>
        <v>0</v>
      </c>
      <c r="DD1086">
        <v>0</v>
      </c>
      <c r="DE1086">
        <v>0</v>
      </c>
      <c r="DF1086">
        <v>0</v>
      </c>
      <c r="DG1086">
        <v>1</v>
      </c>
      <c r="DI1086">
        <f t="shared" si="326"/>
        <v>1</v>
      </c>
      <c r="DJ1086" t="str">
        <f t="shared" si="311"/>
        <v>TimberInput</v>
      </c>
      <c r="DK1086">
        <f t="shared" si="277"/>
        <v>0</v>
      </c>
      <c r="DL1086">
        <f t="shared" si="278"/>
        <v>0</v>
      </c>
      <c r="DM1086">
        <f t="shared" si="279"/>
        <v>0</v>
      </c>
      <c r="DN1086" t="str">
        <f t="shared" si="280"/>
        <v>Timber</v>
      </c>
      <c r="DO1086">
        <v>1</v>
      </c>
      <c r="DP1086" s="143">
        <v>0</v>
      </c>
      <c r="DQ1086" s="143">
        <v>0</v>
      </c>
      <c r="DR1086">
        <v>0</v>
      </c>
      <c r="DS1086" s="143">
        <v>0</v>
      </c>
      <c r="DT1086">
        <f t="shared" si="315"/>
        <v>1</v>
      </c>
      <c r="DU1086" s="143" t="str">
        <f t="shared" si="301"/>
        <v>self-calculated DF</v>
      </c>
      <c r="DV1086" s="143">
        <v>0</v>
      </c>
      <c r="DW1086" s="266">
        <v>1</v>
      </c>
      <c r="DX1086" s="266">
        <v>1</v>
      </c>
      <c r="DY1086" s="266">
        <v>0</v>
      </c>
      <c r="DZ1086" s="266">
        <v>0</v>
      </c>
      <c r="EA1086" s="266">
        <v>1</v>
      </c>
      <c r="EB1086" s="266">
        <v>1</v>
      </c>
      <c r="EC1086" s="266">
        <v>1</v>
      </c>
      <c r="ED1086" s="143">
        <v>0</v>
      </c>
      <c r="EE1086">
        <v>0</v>
      </c>
      <c r="EF1086">
        <v>0</v>
      </c>
      <c r="EG1086" s="143">
        <v>0</v>
      </c>
      <c r="EH1086" s="143">
        <v>0</v>
      </c>
      <c r="EI1086" s="2">
        <v>0</v>
      </c>
      <c r="EK1086" t="str">
        <f t="shared" si="281"/>
        <v/>
      </c>
      <c r="EL1086" t="str">
        <f t="shared" si="282"/>
        <v/>
      </c>
      <c r="EM1086" s="2" t="str">
        <f t="shared" si="300"/>
        <v/>
      </c>
      <c r="EP1086" t="str">
        <f>IF(ISNUMBER(BU1086),IF(ABS(BU1086-[4]QC_indicators!$B$2)&gt;3*[4]QC_indicators!$C$2,"C ratio",IF(ISNUMBER(BY1086),IF(ABS(BY1086-[4]QC_indicators!$B$1)&gt;3*[4]QC_indicators!$C$1,"DF","no"))),IF(ISNUMBER(BY1086),IF(ABS(BY1086-[4]QC_indicators!$B$1)&gt;3*[4]QC_indicators!$C$1,"DF","no")))</f>
        <v>no</v>
      </c>
      <c r="ER1086" s="149" t="s">
        <v>350</v>
      </c>
      <c r="ET1086" s="266" t="s">
        <v>3275</v>
      </c>
    </row>
    <row r="1087" spans="1:150" ht="15" hidden="1" customHeight="1">
      <c r="D1087" t="s">
        <v>735</v>
      </c>
      <c r="E1087" t="s">
        <v>736</v>
      </c>
      <c r="G1087" t="s">
        <v>737</v>
      </c>
      <c r="I1087">
        <v>2005</v>
      </c>
      <c r="K1087" s="156" t="s">
        <v>738</v>
      </c>
      <c r="M1087" t="str">
        <f t="shared" si="310"/>
        <v>Gustavsson_2005</v>
      </c>
      <c r="N1087" t="s">
        <v>223</v>
      </c>
      <c r="O1087" t="s">
        <v>224</v>
      </c>
      <c r="Q1087" t="s">
        <v>257</v>
      </c>
      <c r="R1087" s="255" t="s">
        <v>226</v>
      </c>
      <c r="S1087" s="1" t="s">
        <v>754</v>
      </c>
      <c r="T1087" t="s">
        <v>755</v>
      </c>
      <c r="U1087" s="266" t="s">
        <v>756</v>
      </c>
      <c r="V1087">
        <v>0</v>
      </c>
      <c r="W1087">
        <v>0</v>
      </c>
      <c r="X1087">
        <v>0</v>
      </c>
      <c r="Y1087">
        <v>0</v>
      </c>
      <c r="Z1087">
        <v>0</v>
      </c>
      <c r="AA1087">
        <v>0</v>
      </c>
      <c r="AB1087">
        <v>0</v>
      </c>
      <c r="AC1087">
        <v>0</v>
      </c>
      <c r="AD1087">
        <v>0</v>
      </c>
      <c r="AE1087">
        <v>0</v>
      </c>
      <c r="AF1087">
        <v>0</v>
      </c>
      <c r="AG1087">
        <v>0</v>
      </c>
      <c r="AH1087">
        <v>0</v>
      </c>
      <c r="AI1087">
        <v>0</v>
      </c>
      <c r="AJ1087">
        <v>0</v>
      </c>
      <c r="AK1087">
        <v>1</v>
      </c>
      <c r="AL1087">
        <v>0</v>
      </c>
      <c r="AM1087">
        <v>0</v>
      </c>
      <c r="AN1087">
        <v>0</v>
      </c>
      <c r="AO1087">
        <v>0</v>
      </c>
      <c r="AP1087">
        <v>0</v>
      </c>
      <c r="AQ1087">
        <v>0</v>
      </c>
      <c r="AR1087">
        <v>0</v>
      </c>
      <c r="AS1087">
        <v>0</v>
      </c>
      <c r="AT1087">
        <v>0</v>
      </c>
      <c r="AU1087">
        <v>0</v>
      </c>
      <c r="AV1087">
        <v>0</v>
      </c>
      <c r="AW1087">
        <v>0</v>
      </c>
      <c r="AX1087" s="141">
        <f t="shared" si="321"/>
        <v>1</v>
      </c>
      <c r="AY1087" s="141">
        <f t="shared" si="292"/>
        <v>1</v>
      </c>
      <c r="AZ1087">
        <f t="shared" si="293"/>
        <v>0</v>
      </c>
      <c r="BA1087">
        <f t="shared" si="294"/>
        <v>0</v>
      </c>
      <c r="BB1087">
        <f t="shared" si="295"/>
        <v>1</v>
      </c>
      <c r="BC1087">
        <f t="shared" si="296"/>
        <v>0</v>
      </c>
      <c r="BD1087">
        <f t="shared" si="297"/>
        <v>0</v>
      </c>
      <c r="BE1087" t="str">
        <f t="array" ref="BE1087">IF(AY1087=1,INDEX($V$7:$AL$7,MATCH(TRUE,INDEX($V1087:$AW1087&lt;&gt;0,),0)),IF(AY1087=0,INDEX($AM$7:$AW$7,MATCH(1,$AM1087:$AW1087,0)),IF(BF1087="Multiple strategies","mixed drivers",IF(BF1087="Supply chain","multiple supply","multiple silviculture"))))</f>
        <v>technologies/design switch</v>
      </c>
      <c r="BF1087" s="2" t="str" cm="1">
        <f t="array" ref="BF1087">IF(COUNTIF(AZ1087:BB1087,"&lt;&gt;0")=1,INDEX($V$4:$AW$4,MATCH(TRUE,INDEX($V1087:$AW1087&lt;&gt;0,),0)),IF(COUNTIF(AZ1087:BB1087,"&lt;&gt;0")=0,INDEX($AM$4:$AW$4,MATCH(1,$AM1087:$AW1087,0)),"Multiple strategies"))</f>
        <v>Technology</v>
      </c>
      <c r="BG1087" s="265" t="s">
        <v>230</v>
      </c>
      <c r="BH1087" s="266" t="s">
        <v>757</v>
      </c>
      <c r="BI1087" s="260" t="s">
        <v>425</v>
      </c>
      <c r="BJ1087" s="266" t="s">
        <v>758</v>
      </c>
      <c r="BK1087" s="266">
        <v>56.4</v>
      </c>
      <c r="BL1087" s="266">
        <v>80.5</v>
      </c>
      <c r="BM1087" s="266">
        <f>BL1087/BK1087</f>
        <v>1.4273049645390072</v>
      </c>
      <c r="BN1087" s="266">
        <f t="shared" si="275"/>
        <v>24.1</v>
      </c>
      <c r="BO1087" s="266">
        <f t="shared" si="320"/>
        <v>49.183673469387756</v>
      </c>
      <c r="BP1087" t="s">
        <v>233</v>
      </c>
      <c r="BQ1087" s="306" t="s">
        <v>3340</v>
      </c>
      <c r="BR1087" t="s">
        <v>443</v>
      </c>
      <c r="BS1087" s="266">
        <v>18</v>
      </c>
      <c r="BT1087" s="151">
        <v>45.8</v>
      </c>
      <c r="BV1087">
        <f t="shared" ref="BV1087:BV1134" si="327">BT1087-BS1087</f>
        <v>27.799999999999997</v>
      </c>
      <c r="BX1087">
        <f>BV1087*C_to_CO2</f>
        <v>102.02599999999998</v>
      </c>
      <c r="BY1087">
        <f t="shared" si="319"/>
        <v>2.0743875518672197</v>
      </c>
      <c r="BZ1087" s="143">
        <v>0</v>
      </c>
      <c r="CA1087" s="143">
        <v>0</v>
      </c>
      <c r="CB1087" s="143">
        <v>0</v>
      </c>
      <c r="CC1087" s="143">
        <v>0</v>
      </c>
      <c r="CD1087" s="143">
        <v>0</v>
      </c>
      <c r="CE1087" s="143">
        <v>0</v>
      </c>
      <c r="CF1087" s="143">
        <v>0</v>
      </c>
      <c r="CG1087" s="143">
        <v>0</v>
      </c>
      <c r="CH1087" s="143">
        <v>0</v>
      </c>
      <c r="CI1087" s="143">
        <v>0</v>
      </c>
      <c r="CJ1087" s="143">
        <v>0</v>
      </c>
      <c r="CK1087" s="143">
        <v>0</v>
      </c>
      <c r="CL1087" s="143">
        <v>0</v>
      </c>
      <c r="CM1087">
        <v>0</v>
      </c>
      <c r="CN1087" t="str">
        <f t="shared" si="302"/>
        <v>refOK</v>
      </c>
      <c r="CO1087">
        <f t="shared" si="324"/>
        <v>56.4</v>
      </c>
      <c r="CP1087">
        <f t="shared" si="325"/>
        <v>80.5</v>
      </c>
      <c r="CQ1087">
        <f t="shared" si="274"/>
        <v>49.183673469387756</v>
      </c>
      <c r="CR1087">
        <f t="shared" si="307"/>
        <v>18</v>
      </c>
      <c r="CS1087">
        <f t="shared" si="308"/>
        <v>45.8</v>
      </c>
      <c r="CT1087">
        <f t="shared" si="322"/>
        <v>102.02599999999998</v>
      </c>
      <c r="CU1087">
        <f t="shared" si="312"/>
        <v>2.0743875518672197</v>
      </c>
      <c r="CV1087" s="2">
        <f t="shared" si="323"/>
        <v>1.5444444444444443</v>
      </c>
      <c r="CW1087" s="1" t="s">
        <v>264</v>
      </c>
      <c r="CX1087" t="str">
        <f t="shared" si="298"/>
        <v>loc</v>
      </c>
      <c r="CY1087" t="s">
        <v>745</v>
      </c>
      <c r="DA1087" s="143"/>
      <c r="DB1087" s="143">
        <v>0</v>
      </c>
      <c r="DC1087" t="str">
        <f t="shared" si="299"/>
        <v>0</v>
      </c>
      <c r="DD1087">
        <v>0</v>
      </c>
      <c r="DE1087">
        <v>0</v>
      </c>
      <c r="DF1087">
        <v>0</v>
      </c>
      <c r="DG1087">
        <v>1</v>
      </c>
      <c r="DI1087">
        <f t="shared" si="326"/>
        <v>1</v>
      </c>
      <c r="DJ1087" t="str">
        <f t="shared" si="311"/>
        <v>TimberInput</v>
      </c>
      <c r="DK1087">
        <f t="shared" si="277"/>
        <v>0</v>
      </c>
      <c r="DL1087">
        <f t="shared" si="278"/>
        <v>0</v>
      </c>
      <c r="DM1087">
        <f t="shared" si="279"/>
        <v>0</v>
      </c>
      <c r="DN1087" t="str">
        <f t="shared" si="280"/>
        <v>Timber</v>
      </c>
      <c r="DO1087">
        <v>1</v>
      </c>
      <c r="DP1087" s="143">
        <v>0</v>
      </c>
      <c r="DQ1087" s="143">
        <v>0</v>
      </c>
      <c r="DR1087">
        <v>0</v>
      </c>
      <c r="DS1087" s="143">
        <v>0</v>
      </c>
      <c r="DT1087">
        <f t="shared" si="315"/>
        <v>1</v>
      </c>
      <c r="DU1087" s="143" t="str">
        <f t="shared" si="301"/>
        <v>self-calculated DF</v>
      </c>
      <c r="DV1087" s="143">
        <v>0</v>
      </c>
      <c r="DW1087" s="266">
        <v>1</v>
      </c>
      <c r="DX1087" s="266">
        <v>1</v>
      </c>
      <c r="DY1087" s="266">
        <v>0</v>
      </c>
      <c r="DZ1087" s="266">
        <v>0</v>
      </c>
      <c r="EA1087" s="266">
        <v>1</v>
      </c>
      <c r="EB1087" s="266">
        <v>0</v>
      </c>
      <c r="EC1087" s="266">
        <v>1</v>
      </c>
      <c r="ED1087" s="143">
        <v>0</v>
      </c>
      <c r="EE1087">
        <v>0</v>
      </c>
      <c r="EF1087">
        <v>0</v>
      </c>
      <c r="EG1087" s="143">
        <v>0</v>
      </c>
      <c r="EH1087" s="143">
        <v>0</v>
      </c>
      <c r="EI1087" s="2">
        <v>0</v>
      </c>
      <c r="EK1087" t="str">
        <f t="shared" si="281"/>
        <v/>
      </c>
      <c r="EL1087" t="str">
        <f t="shared" si="282"/>
        <v/>
      </c>
      <c r="EM1087" s="2" t="str">
        <f t="shared" si="300"/>
        <v/>
      </c>
      <c r="EP1087" t="str">
        <f>IF(ISNUMBER(BU1087),IF(ABS(BU1087-[4]QC_indicators!$B$2)&gt;3*[4]QC_indicators!$C$2,"C ratio",IF(ISNUMBER(BY1087),IF(ABS(BY1087-[4]QC_indicators!$B$1)&gt;3*[4]QC_indicators!$C$1,"DF","no"))),IF(ISNUMBER(BY1087),IF(ABS(BY1087-[4]QC_indicators!$B$1)&gt;3*[4]QC_indicators!$C$1,"DF","no")))</f>
        <v>no</v>
      </c>
      <c r="ER1087" s="149" t="s">
        <v>350</v>
      </c>
      <c r="ET1087" s="266" t="s">
        <v>3275</v>
      </c>
    </row>
    <row r="1088" spans="1:150" ht="15" hidden="1" customHeight="1">
      <c r="D1088" t="s">
        <v>735</v>
      </c>
      <c r="E1088" t="s">
        <v>736</v>
      </c>
      <c r="G1088" t="s">
        <v>737</v>
      </c>
      <c r="I1088">
        <v>2005</v>
      </c>
      <c r="K1088" s="156" t="s">
        <v>738</v>
      </c>
      <c r="M1088" t="str">
        <f t="shared" si="310"/>
        <v>Gustavsson_2005</v>
      </c>
      <c r="N1088" t="s">
        <v>223</v>
      </c>
      <c r="O1088" t="s">
        <v>224</v>
      </c>
      <c r="Q1088" t="s">
        <v>257</v>
      </c>
      <c r="R1088" s="255" t="s">
        <v>226</v>
      </c>
      <c r="S1088" s="1" t="s">
        <v>754</v>
      </c>
      <c r="T1088" t="s">
        <v>755</v>
      </c>
      <c r="U1088" s="266" t="s">
        <v>756</v>
      </c>
      <c r="V1088">
        <v>0</v>
      </c>
      <c r="W1088">
        <v>0</v>
      </c>
      <c r="X1088">
        <v>0</v>
      </c>
      <c r="Y1088">
        <v>0</v>
      </c>
      <c r="Z1088">
        <v>0</v>
      </c>
      <c r="AA1088">
        <v>0</v>
      </c>
      <c r="AB1088">
        <v>0</v>
      </c>
      <c r="AC1088">
        <v>0</v>
      </c>
      <c r="AD1088">
        <v>0</v>
      </c>
      <c r="AE1088">
        <v>0</v>
      </c>
      <c r="AF1088">
        <v>0</v>
      </c>
      <c r="AG1088">
        <v>0</v>
      </c>
      <c r="AH1088">
        <v>0</v>
      </c>
      <c r="AI1088">
        <v>0</v>
      </c>
      <c r="AJ1088">
        <v>0</v>
      </c>
      <c r="AK1088">
        <v>1</v>
      </c>
      <c r="AL1088">
        <v>0</v>
      </c>
      <c r="AM1088">
        <v>0</v>
      </c>
      <c r="AN1088">
        <v>0</v>
      </c>
      <c r="AO1088">
        <v>0</v>
      </c>
      <c r="AP1088">
        <v>0</v>
      </c>
      <c r="AQ1088">
        <v>0</v>
      </c>
      <c r="AR1088">
        <v>0</v>
      </c>
      <c r="AS1088">
        <v>0</v>
      </c>
      <c r="AT1088">
        <v>0</v>
      </c>
      <c r="AU1088">
        <v>0</v>
      </c>
      <c r="AV1088">
        <v>0</v>
      </c>
      <c r="AW1088">
        <v>0</v>
      </c>
      <c r="AX1088" s="141">
        <f t="shared" si="321"/>
        <v>1</v>
      </c>
      <c r="AY1088" s="141">
        <f t="shared" si="292"/>
        <v>1</v>
      </c>
      <c r="AZ1088">
        <f t="shared" si="293"/>
        <v>0</v>
      </c>
      <c r="BA1088">
        <f t="shared" si="294"/>
        <v>0</v>
      </c>
      <c r="BB1088">
        <f t="shared" si="295"/>
        <v>1</v>
      </c>
      <c r="BC1088">
        <f t="shared" si="296"/>
        <v>0</v>
      </c>
      <c r="BD1088">
        <f t="shared" si="297"/>
        <v>0</v>
      </c>
      <c r="BE1088" t="str">
        <f t="array" ref="BE1088">IF(AY1088=1,INDEX($V$7:$AL$7,MATCH(TRUE,INDEX($V1088:$AW1088&lt;&gt;0,),0)),IF(AY1088=0,INDEX($AM$7:$AW$7,MATCH(1,$AM1088:$AW1088,0)),IF(BF1088="Multiple strategies","mixed drivers",IF(BF1088="Supply chain","multiple supply","multiple silviculture"))))</f>
        <v>technologies/design switch</v>
      </c>
      <c r="BF1088" s="2" t="str" cm="1">
        <f t="array" ref="BF1088">IF(COUNTIF(AZ1088:BB1088,"&lt;&gt;0")=1,INDEX($V$4:$AW$4,MATCH(TRUE,INDEX($V1088:$AW1088&lt;&gt;0,),0)),IF(COUNTIF(AZ1088:BB1088,"&lt;&gt;0")=0,INDEX($AM$4:$AW$4,MATCH(1,$AM1088:$AW1088,0)),"Multiple strategies"))</f>
        <v>Technology</v>
      </c>
      <c r="BG1088" s="265" t="s">
        <v>230</v>
      </c>
      <c r="BH1088" s="266" t="s">
        <v>757</v>
      </c>
      <c r="BI1088" s="260" t="s">
        <v>425</v>
      </c>
      <c r="BJ1088" s="266" t="s">
        <v>758</v>
      </c>
      <c r="BK1088" s="266">
        <v>56.4</v>
      </c>
      <c r="BL1088" s="266">
        <v>80.5</v>
      </c>
      <c r="BM1088" s="266">
        <f>BL1088/BK1088</f>
        <v>1.4273049645390072</v>
      </c>
      <c r="BN1088" s="266">
        <f t="shared" si="275"/>
        <v>24.1</v>
      </c>
      <c r="BO1088" s="266">
        <f t="shared" si="320"/>
        <v>49.183673469387756</v>
      </c>
      <c r="BP1088" t="s">
        <v>233</v>
      </c>
      <c r="BQ1088" s="306" t="s">
        <v>3335</v>
      </c>
      <c r="BR1088" t="s">
        <v>443</v>
      </c>
      <c r="BS1088" s="266">
        <v>-9.1</v>
      </c>
      <c r="BT1088" s="151">
        <v>44.2</v>
      </c>
      <c r="BV1088">
        <f t="shared" si="327"/>
        <v>53.300000000000004</v>
      </c>
      <c r="BX1088">
        <f>BV1088*C_to_CO2</f>
        <v>195.61100000000002</v>
      </c>
      <c r="BY1088">
        <f t="shared" si="319"/>
        <v>3.9771531120331951</v>
      </c>
      <c r="BZ1088" s="143">
        <v>0</v>
      </c>
      <c r="CA1088" s="143">
        <v>0</v>
      </c>
      <c r="CB1088" s="143">
        <v>0</v>
      </c>
      <c r="CC1088" s="143">
        <v>0</v>
      </c>
      <c r="CD1088" s="143">
        <v>0</v>
      </c>
      <c r="CE1088" s="143">
        <v>0</v>
      </c>
      <c r="CF1088" s="143">
        <v>0</v>
      </c>
      <c r="CG1088" s="143">
        <v>0</v>
      </c>
      <c r="CH1088" s="143">
        <v>0</v>
      </c>
      <c r="CI1088" s="143">
        <v>0</v>
      </c>
      <c r="CJ1088" s="143">
        <v>0</v>
      </c>
      <c r="CK1088" s="143">
        <v>0</v>
      </c>
      <c r="CL1088" s="143">
        <v>0</v>
      </c>
      <c r="CM1088">
        <v>0</v>
      </c>
      <c r="CN1088" t="str">
        <f t="shared" si="302"/>
        <v>refOK</v>
      </c>
      <c r="CO1088">
        <f t="shared" si="324"/>
        <v>56.4</v>
      </c>
      <c r="CP1088">
        <f t="shared" si="325"/>
        <v>80.5</v>
      </c>
      <c r="CQ1088">
        <f t="shared" si="274"/>
        <v>49.183673469387756</v>
      </c>
      <c r="CR1088">
        <f t="shared" si="307"/>
        <v>-9.1</v>
      </c>
      <c r="CS1088">
        <f t="shared" si="308"/>
        <v>44.2</v>
      </c>
      <c r="CT1088">
        <f t="shared" si="322"/>
        <v>195.61100000000002</v>
      </c>
      <c r="CU1088">
        <f t="shared" si="312"/>
        <v>3.9771531120331951</v>
      </c>
      <c r="CV1088" s="2">
        <f t="shared" si="323"/>
        <v>5.8571428571428577</v>
      </c>
      <c r="CW1088" s="1" t="s">
        <v>264</v>
      </c>
      <c r="CX1088" t="str">
        <f t="shared" si="298"/>
        <v>loc</v>
      </c>
      <c r="CY1088" t="s">
        <v>745</v>
      </c>
      <c r="DA1088" s="143"/>
      <c r="DB1088" s="143">
        <v>0</v>
      </c>
      <c r="DC1088" t="str">
        <f t="shared" si="299"/>
        <v>0</v>
      </c>
      <c r="DD1088">
        <v>0</v>
      </c>
      <c r="DE1088">
        <v>0</v>
      </c>
      <c r="DF1088">
        <v>0</v>
      </c>
      <c r="DG1088">
        <v>1</v>
      </c>
      <c r="DI1088">
        <f t="shared" si="326"/>
        <v>1</v>
      </c>
      <c r="DJ1088" t="str">
        <f t="shared" si="311"/>
        <v>TimberInput</v>
      </c>
      <c r="DK1088">
        <f t="shared" si="277"/>
        <v>0</v>
      </c>
      <c r="DL1088">
        <f t="shared" si="278"/>
        <v>0</v>
      </c>
      <c r="DM1088">
        <f t="shared" si="279"/>
        <v>0</v>
      </c>
      <c r="DN1088" t="str">
        <f t="shared" si="280"/>
        <v>Timber</v>
      </c>
      <c r="DO1088">
        <v>1</v>
      </c>
      <c r="DP1088" s="143">
        <v>0</v>
      </c>
      <c r="DQ1088" s="143">
        <v>0</v>
      </c>
      <c r="DR1088">
        <v>0</v>
      </c>
      <c r="DS1088" s="143">
        <v>0</v>
      </c>
      <c r="DT1088">
        <f t="shared" si="315"/>
        <v>1</v>
      </c>
      <c r="DU1088" s="143" t="str">
        <f t="shared" si="301"/>
        <v>self-calculated DF</v>
      </c>
      <c r="DV1088" s="143">
        <v>0</v>
      </c>
      <c r="DW1088" s="266">
        <v>1</v>
      </c>
      <c r="DX1088" s="266">
        <v>0</v>
      </c>
      <c r="DY1088" s="266">
        <v>0</v>
      </c>
      <c r="DZ1088" s="266">
        <v>0</v>
      </c>
      <c r="EA1088" s="266">
        <v>1</v>
      </c>
      <c r="EB1088" s="266">
        <v>1</v>
      </c>
      <c r="EC1088" s="266">
        <v>1</v>
      </c>
      <c r="ED1088" s="143">
        <v>0</v>
      </c>
      <c r="EE1088">
        <v>0</v>
      </c>
      <c r="EF1088">
        <v>0</v>
      </c>
      <c r="EG1088" s="143">
        <v>0</v>
      </c>
      <c r="EH1088" s="143">
        <v>0</v>
      </c>
      <c r="EI1088" s="2">
        <v>0</v>
      </c>
      <c r="EK1088" t="str">
        <f t="shared" si="281"/>
        <v/>
      </c>
      <c r="EL1088" t="str">
        <f t="shared" si="282"/>
        <v/>
      </c>
      <c r="EM1088" s="2" t="str">
        <f t="shared" si="300"/>
        <v/>
      </c>
      <c r="EP1088" t="str">
        <f>IF(ISNUMBER(BU1088),IF(ABS(BU1088-[4]QC_indicators!$B$2)&gt;3*[4]QC_indicators!$C$2,"C ratio",IF(ISNUMBER(BY1088),IF(ABS(BY1088-[4]QC_indicators!$B$1)&gt;3*[4]QC_indicators!$C$1,"DF","no"))),IF(ISNUMBER(BY1088),IF(ABS(BY1088-[4]QC_indicators!$B$1)&gt;3*[4]QC_indicators!$C$1,"DF","no")))</f>
        <v>no</v>
      </c>
      <c r="ER1088" s="149" t="s">
        <v>350</v>
      </c>
      <c r="ET1088" s="266" t="s">
        <v>3275</v>
      </c>
    </row>
    <row r="1089" spans="1:150" ht="15" hidden="1" customHeight="1">
      <c r="A1089" s="1" t="s">
        <v>248</v>
      </c>
      <c r="B1089" t="s">
        <v>801</v>
      </c>
      <c r="C1089" t="s">
        <v>802</v>
      </c>
      <c r="D1089" t="s">
        <v>803</v>
      </c>
      <c r="E1089" t="s">
        <v>804</v>
      </c>
      <c r="F1089" t="s">
        <v>805</v>
      </c>
      <c r="G1089" t="s">
        <v>254</v>
      </c>
      <c r="H1089" t="s">
        <v>255</v>
      </c>
      <c r="I1089">
        <v>2020</v>
      </c>
      <c r="J1089">
        <v>15</v>
      </c>
      <c r="K1089" t="s">
        <v>806</v>
      </c>
      <c r="M1089" t="str">
        <f t="shared" si="310"/>
        <v>Jayalath_2020</v>
      </c>
      <c r="N1089" t="s">
        <v>223</v>
      </c>
      <c r="O1089" s="145" t="s">
        <v>514</v>
      </c>
      <c r="Q1089" t="s">
        <v>257</v>
      </c>
      <c r="R1089" s="264" t="s">
        <v>226</v>
      </c>
      <c r="S1089" s="1" t="s">
        <v>811</v>
      </c>
      <c r="T1089" t="s">
        <v>812</v>
      </c>
      <c r="U1089" t="s">
        <v>260</v>
      </c>
      <c r="V1089">
        <v>0</v>
      </c>
      <c r="W1089">
        <v>0</v>
      </c>
      <c r="X1089">
        <v>0</v>
      </c>
      <c r="Y1089">
        <v>0</v>
      </c>
      <c r="Z1089">
        <v>0</v>
      </c>
      <c r="AA1089">
        <v>0</v>
      </c>
      <c r="AB1089">
        <v>0</v>
      </c>
      <c r="AC1089">
        <v>0</v>
      </c>
      <c r="AD1089">
        <v>0</v>
      </c>
      <c r="AE1089">
        <v>0</v>
      </c>
      <c r="AF1089">
        <v>0</v>
      </c>
      <c r="AG1089">
        <v>0</v>
      </c>
      <c r="AH1089">
        <v>0</v>
      </c>
      <c r="AI1089">
        <v>0</v>
      </c>
      <c r="AJ1089">
        <v>0</v>
      </c>
      <c r="AK1089">
        <v>1</v>
      </c>
      <c r="AL1089">
        <v>0</v>
      </c>
      <c r="AM1089">
        <v>0</v>
      </c>
      <c r="AN1089">
        <v>0</v>
      </c>
      <c r="AO1089">
        <v>0</v>
      </c>
      <c r="AP1089">
        <v>0</v>
      </c>
      <c r="AQ1089">
        <v>0</v>
      </c>
      <c r="AR1089">
        <v>0</v>
      </c>
      <c r="AS1089">
        <v>0</v>
      </c>
      <c r="AT1089">
        <v>0</v>
      </c>
      <c r="AU1089">
        <v>0</v>
      </c>
      <c r="AV1089">
        <v>0</v>
      </c>
      <c r="AW1089">
        <v>0</v>
      </c>
      <c r="AX1089" s="141">
        <f t="shared" si="321"/>
        <v>1</v>
      </c>
      <c r="AY1089" s="141">
        <f t="shared" si="292"/>
        <v>1</v>
      </c>
      <c r="AZ1089">
        <f t="shared" si="293"/>
        <v>0</v>
      </c>
      <c r="BA1089">
        <f t="shared" si="294"/>
        <v>0</v>
      </c>
      <c r="BB1089">
        <f t="shared" si="295"/>
        <v>1</v>
      </c>
      <c r="BC1089">
        <f t="shared" si="296"/>
        <v>0</v>
      </c>
      <c r="BD1089">
        <f t="shared" si="297"/>
        <v>0</v>
      </c>
      <c r="BE1089" t="str">
        <f t="array" ref="BE1089">IF(AY1089=1,INDEX($V$7:$AL$7,MATCH(TRUE,INDEX($V1089:$AW1089&lt;&gt;0,),0)),IF(AY1089=0,INDEX($AM$7:$AW$7,MATCH(1,$AM1089:$AW1089,0)),IF(BF1089="Multiple strategies","mixed drivers",IF(BF1089="Supply chain","multiple supply","multiple silviculture"))))</f>
        <v>technologies/design switch</v>
      </c>
      <c r="BF1089" s="2" t="str" cm="1">
        <f t="array" ref="BF1089">IF(COUNTIF(AZ1089:BB1089,"&lt;&gt;0")=1,INDEX($V$4:$AW$4,MATCH(TRUE,INDEX($V1089:$AW1089&lt;&gt;0,),0)),IF(COUNTIF(AZ1089:BB1089,"&lt;&gt;0")=0,INDEX($AM$4:$AW$4,MATCH(1,$AM1089:$AW1089,0)),"Multiple strategies"))</f>
        <v>Technology</v>
      </c>
      <c r="BG1089" s="1" t="s">
        <v>230</v>
      </c>
      <c r="BH1089" t="s">
        <v>810</v>
      </c>
      <c r="BI1089" s="260" t="s">
        <v>3342</v>
      </c>
      <c r="BJ1089" t="s">
        <v>346</v>
      </c>
      <c r="BK1089" s="266">
        <v>0</v>
      </c>
      <c r="BL1089" s="266">
        <v>130669</v>
      </c>
      <c r="BN1089">
        <f t="shared" si="275"/>
        <v>130669</v>
      </c>
      <c r="BO1089">
        <f>BN1089*kg_to_m3</f>
        <v>266.67142857142858</v>
      </c>
      <c r="BP1089" t="s">
        <v>396</v>
      </c>
      <c r="BQ1089" s="260" t="s">
        <v>3345</v>
      </c>
      <c r="BR1089" t="s">
        <v>814</v>
      </c>
      <c r="BS1089">
        <v>1387</v>
      </c>
      <c r="BT1089">
        <v>686</v>
      </c>
      <c r="BU1089" s="144">
        <f t="shared" ref="BU1089:BU1132" si="328">IFERROR(BT1089/BS1089,"")</f>
        <v>0.49459264599855801</v>
      </c>
      <c r="BV1089">
        <f t="shared" si="327"/>
        <v>-701</v>
      </c>
      <c r="BX1089">
        <f>BV1089</f>
        <v>-701</v>
      </c>
      <c r="BY1089">
        <f t="shared" si="319"/>
        <v>-2.6287030588739486</v>
      </c>
      <c r="BZ1089">
        <v>0</v>
      </c>
      <c r="CA1089">
        <v>0</v>
      </c>
      <c r="CB1089">
        <v>0</v>
      </c>
      <c r="CC1089">
        <v>0</v>
      </c>
      <c r="CD1089">
        <v>0</v>
      </c>
      <c r="CE1089">
        <v>0</v>
      </c>
      <c r="CF1089">
        <v>0</v>
      </c>
      <c r="CG1089">
        <v>0</v>
      </c>
      <c r="CH1089">
        <v>0</v>
      </c>
      <c r="CI1089">
        <v>0</v>
      </c>
      <c r="CJ1089">
        <v>0</v>
      </c>
      <c r="CK1089">
        <v>0</v>
      </c>
      <c r="CL1089">
        <v>0</v>
      </c>
      <c r="CM1089">
        <v>1</v>
      </c>
      <c r="CN1089" t="str">
        <f>IF(BL1089&lt;BK1089,"refNeedCorrection","refOK")</f>
        <v>refOK</v>
      </c>
      <c r="CO1089">
        <f t="shared" si="324"/>
        <v>0</v>
      </c>
      <c r="CP1089">
        <f t="shared" si="325"/>
        <v>130669</v>
      </c>
      <c r="CQ1089">
        <f t="shared" si="274"/>
        <v>266.67142857142858</v>
      </c>
      <c r="CR1089">
        <f t="shared" si="307"/>
        <v>-1387</v>
      </c>
      <c r="CS1089">
        <f t="shared" si="308"/>
        <v>-686</v>
      </c>
      <c r="CT1089">
        <f t="shared" si="322"/>
        <v>701</v>
      </c>
      <c r="CU1089">
        <f t="shared" si="312"/>
        <v>2.6287030588739486</v>
      </c>
      <c r="CV1089" s="2">
        <f t="shared" si="323"/>
        <v>0.50540735400144199</v>
      </c>
      <c r="CW1089" s="1" t="s">
        <v>348</v>
      </c>
      <c r="CX1089" t="str">
        <f t="shared" si="298"/>
        <v>loc</v>
      </c>
      <c r="CY1089" t="s">
        <v>575</v>
      </c>
      <c r="DB1089">
        <v>0</v>
      </c>
      <c r="DC1089" t="str">
        <f t="shared" si="299"/>
        <v>0</v>
      </c>
      <c r="DD1089">
        <v>0</v>
      </c>
      <c r="DE1089">
        <v>0</v>
      </c>
      <c r="DF1089">
        <v>0</v>
      </c>
      <c r="DG1089">
        <v>1</v>
      </c>
      <c r="DI1089">
        <f t="shared" si="326"/>
        <v>1</v>
      </c>
      <c r="DJ1089" t="str">
        <f t="shared" si="311"/>
        <v>TimberInput</v>
      </c>
      <c r="DK1089">
        <f t="shared" si="277"/>
        <v>0</v>
      </c>
      <c r="DL1089">
        <f t="shared" si="278"/>
        <v>0</v>
      </c>
      <c r="DM1089">
        <f t="shared" si="279"/>
        <v>0</v>
      </c>
      <c r="DN1089" t="str">
        <f t="shared" si="280"/>
        <v>Timber</v>
      </c>
      <c r="DO1089">
        <v>0</v>
      </c>
      <c r="DP1089">
        <v>0</v>
      </c>
      <c r="DQ1089">
        <v>0</v>
      </c>
      <c r="DR1089">
        <v>0</v>
      </c>
      <c r="DS1089">
        <v>0</v>
      </c>
      <c r="DT1089">
        <f t="shared" si="315"/>
        <v>0</v>
      </c>
      <c r="DU1089" s="143" t="str">
        <f t="shared" si="301"/>
        <v>explicit C balance</v>
      </c>
      <c r="DV1089">
        <v>0</v>
      </c>
      <c r="DW1089">
        <v>0</v>
      </c>
      <c r="DX1089">
        <v>0</v>
      </c>
      <c r="DY1089">
        <v>0</v>
      </c>
      <c r="DZ1089">
        <v>0</v>
      </c>
      <c r="EA1089">
        <v>0</v>
      </c>
      <c r="EB1089">
        <v>0</v>
      </c>
      <c r="EC1089">
        <v>1</v>
      </c>
      <c r="ED1089">
        <v>0</v>
      </c>
      <c r="EE1089">
        <v>0</v>
      </c>
      <c r="EF1089">
        <v>0</v>
      </c>
      <c r="EG1089">
        <v>0</v>
      </c>
      <c r="EH1089">
        <v>0</v>
      </c>
      <c r="EI1089" s="2">
        <v>0</v>
      </c>
      <c r="EK1089" t="str">
        <f t="shared" si="281"/>
        <v/>
      </c>
      <c r="EL1089" t="str">
        <f t="shared" si="282"/>
        <v/>
      </c>
      <c r="EM1089" s="2" t="str">
        <f t="shared" si="300"/>
        <v/>
      </c>
      <c r="EP1089" t="str">
        <f>IF(ISNUMBER(BU1089),IF(ABS(BU1089-[4]QC_indicators!$B$2)&gt;3*[4]QC_indicators!$C$2,"C ratio",IF(ISNUMBER(BY1089),IF(ABS(BY1089-[4]QC_indicators!$B$1)&gt;3*[4]QC_indicators!$C$1,"DF","no"))),IF(ISNUMBER(BY1089),IF(ABS(BY1089-[4]QC_indicators!$B$1)&gt;3*[4]QC_indicators!$C$1,"DF","no")))</f>
        <v>no</v>
      </c>
      <c r="ER1089" s="149" t="s">
        <v>350</v>
      </c>
      <c r="ET1089" s="266" t="s">
        <v>3275</v>
      </c>
    </row>
    <row r="1090" spans="1:150" ht="15" hidden="1" customHeight="1">
      <c r="A1090" s="1" t="s">
        <v>248</v>
      </c>
      <c r="B1090" t="s">
        <v>801</v>
      </c>
      <c r="C1090" t="s">
        <v>802</v>
      </c>
      <c r="D1090" t="s">
        <v>803</v>
      </c>
      <c r="E1090" t="s">
        <v>804</v>
      </c>
      <c r="F1090" t="s">
        <v>805</v>
      </c>
      <c r="G1090" t="s">
        <v>254</v>
      </c>
      <c r="H1090" t="s">
        <v>255</v>
      </c>
      <c r="I1090">
        <v>2020</v>
      </c>
      <c r="J1090">
        <v>15</v>
      </c>
      <c r="K1090" t="s">
        <v>806</v>
      </c>
      <c r="M1090" t="str">
        <f t="shared" si="310"/>
        <v>Jayalath_2020</v>
      </c>
      <c r="N1090" t="s">
        <v>223</v>
      </c>
      <c r="O1090" s="145" t="s">
        <v>514</v>
      </c>
      <c r="Q1090" t="s">
        <v>257</v>
      </c>
      <c r="R1090" s="264" t="s">
        <v>226</v>
      </c>
      <c r="S1090" s="1" t="s">
        <v>811</v>
      </c>
      <c r="T1090" t="s">
        <v>812</v>
      </c>
      <c r="U1090" t="s">
        <v>260</v>
      </c>
      <c r="V1090">
        <v>0</v>
      </c>
      <c r="W1090">
        <v>0</v>
      </c>
      <c r="X1090">
        <v>0</v>
      </c>
      <c r="Y1090">
        <v>0</v>
      </c>
      <c r="Z1090">
        <v>0</v>
      </c>
      <c r="AA1090">
        <v>0</v>
      </c>
      <c r="AB1090">
        <v>0</v>
      </c>
      <c r="AC1090">
        <v>0</v>
      </c>
      <c r="AD1090">
        <v>0</v>
      </c>
      <c r="AE1090">
        <v>0</v>
      </c>
      <c r="AF1090">
        <v>0</v>
      </c>
      <c r="AG1090">
        <v>0</v>
      </c>
      <c r="AH1090">
        <v>0</v>
      </c>
      <c r="AI1090">
        <v>0</v>
      </c>
      <c r="AJ1090">
        <v>0</v>
      </c>
      <c r="AK1090">
        <v>1</v>
      </c>
      <c r="AL1090">
        <v>0</v>
      </c>
      <c r="AM1090">
        <v>0</v>
      </c>
      <c r="AN1090">
        <v>0</v>
      </c>
      <c r="AO1090">
        <v>0</v>
      </c>
      <c r="AP1090">
        <v>0</v>
      </c>
      <c r="AQ1090">
        <v>0</v>
      </c>
      <c r="AR1090">
        <v>0</v>
      </c>
      <c r="AS1090">
        <v>0</v>
      </c>
      <c r="AT1090">
        <v>0</v>
      </c>
      <c r="AU1090">
        <v>0</v>
      </c>
      <c r="AV1090">
        <v>0</v>
      </c>
      <c r="AW1090">
        <v>0</v>
      </c>
      <c r="AX1090" s="141">
        <f t="shared" si="321"/>
        <v>1</v>
      </c>
      <c r="AY1090" s="141">
        <f t="shared" si="292"/>
        <v>1</v>
      </c>
      <c r="AZ1090">
        <f t="shared" si="293"/>
        <v>0</v>
      </c>
      <c r="BA1090">
        <f t="shared" si="294"/>
        <v>0</v>
      </c>
      <c r="BB1090">
        <f t="shared" si="295"/>
        <v>1</v>
      </c>
      <c r="BC1090">
        <f t="shared" si="296"/>
        <v>0</v>
      </c>
      <c r="BD1090">
        <f t="shared" si="297"/>
        <v>0</v>
      </c>
      <c r="BE1090" t="str">
        <f t="array" ref="BE1090">IF(AY1090=1,INDEX($V$7:$AL$7,MATCH(TRUE,INDEX($V1090:$AW1090&lt;&gt;0,),0)),IF(AY1090=0,INDEX($AM$7:$AW$7,MATCH(1,$AM1090:$AW1090,0)),IF(BF1090="Multiple strategies","mixed drivers",IF(BF1090="Supply chain","multiple supply","multiple silviculture"))))</f>
        <v>technologies/design switch</v>
      </c>
      <c r="BF1090" s="2" t="str" cm="1">
        <f t="array" ref="BF1090">IF(COUNTIF(AZ1090:BB1090,"&lt;&gt;0")=1,INDEX($V$4:$AW$4,MATCH(TRUE,INDEX($V1090:$AW1090&lt;&gt;0,),0)),IF(COUNTIF(AZ1090:BB1090,"&lt;&gt;0")=0,INDEX($AM$4:$AW$4,MATCH(1,$AM1090:$AW1090,0)),"Multiple strategies"))</f>
        <v>Technology</v>
      </c>
      <c r="BG1090" s="1" t="s">
        <v>230</v>
      </c>
      <c r="BH1090" t="s">
        <v>810</v>
      </c>
      <c r="BI1090" s="260" t="s">
        <v>3342</v>
      </c>
      <c r="BJ1090" t="s">
        <v>346</v>
      </c>
      <c r="BK1090" s="266">
        <v>0</v>
      </c>
      <c r="BL1090" s="266">
        <f>119193+8552+2924</f>
        <v>130669</v>
      </c>
      <c r="BN1090">
        <f t="shared" si="275"/>
        <v>130669</v>
      </c>
      <c r="BO1090">
        <f>BN1090*kg_to_m3</f>
        <v>266.67142857142858</v>
      </c>
      <c r="BP1090" t="s">
        <v>396</v>
      </c>
      <c r="BQ1090" s="260" t="s">
        <v>3346</v>
      </c>
      <c r="BR1090" t="s">
        <v>814</v>
      </c>
      <c r="BS1090">
        <f>(1387+293)+35+7</f>
        <v>1722</v>
      </c>
      <c r="BT1090">
        <f>687+353+28+3</f>
        <v>1071</v>
      </c>
      <c r="BU1090" s="144">
        <f t="shared" si="328"/>
        <v>0.62195121951219512</v>
      </c>
      <c r="BV1090">
        <f t="shared" si="327"/>
        <v>-651</v>
      </c>
      <c r="BX1090">
        <f>BV1090</f>
        <v>-651</v>
      </c>
      <c r="BY1090">
        <f t="shared" si="319"/>
        <v>-2.4412064070284458</v>
      </c>
      <c r="BZ1090">
        <v>0</v>
      </c>
      <c r="CA1090">
        <v>0</v>
      </c>
      <c r="CB1090">
        <v>0</v>
      </c>
      <c r="CC1090">
        <v>0</v>
      </c>
      <c r="CD1090">
        <v>0</v>
      </c>
      <c r="CE1090">
        <v>0</v>
      </c>
      <c r="CF1090">
        <v>0</v>
      </c>
      <c r="CG1090">
        <v>0</v>
      </c>
      <c r="CH1090">
        <v>0</v>
      </c>
      <c r="CI1090">
        <v>0</v>
      </c>
      <c r="CJ1090">
        <v>0</v>
      </c>
      <c r="CK1090">
        <v>0</v>
      </c>
      <c r="CL1090">
        <v>0</v>
      </c>
      <c r="CM1090">
        <v>1</v>
      </c>
      <c r="CN1090" t="str">
        <f>IF(BL1090&lt;BK1090,"refNeedCorrection","refOK")</f>
        <v>refOK</v>
      </c>
      <c r="CO1090">
        <f t="shared" si="324"/>
        <v>0</v>
      </c>
      <c r="CP1090">
        <f t="shared" si="325"/>
        <v>130669</v>
      </c>
      <c r="CQ1090">
        <f t="shared" si="274"/>
        <v>266.67142857142858</v>
      </c>
      <c r="CR1090">
        <f t="shared" ref="CR1090:CR1121" si="329">IF($CN1090="refOK",$BS1090,$BT1090)*IF($BP1090="Emissions positive",-1,1)</f>
        <v>-1722</v>
      </c>
      <c r="CS1090">
        <f t="shared" ref="CS1090:CS1121" si="330">IF($CN1090="refOK",$BT1090,$BS1090)*IF($BP1090="Emissions positive",-1,1)</f>
        <v>-1071</v>
      </c>
      <c r="CT1090">
        <f t="shared" si="322"/>
        <v>651</v>
      </c>
      <c r="CU1090">
        <f t="shared" si="312"/>
        <v>2.4412064070284458</v>
      </c>
      <c r="CV1090" s="2">
        <f t="shared" si="323"/>
        <v>0.37804878048780488</v>
      </c>
      <c r="CW1090" s="1" t="s">
        <v>348</v>
      </c>
      <c r="CX1090" t="str">
        <f t="shared" si="298"/>
        <v>loc</v>
      </c>
      <c r="CY1090" t="s">
        <v>575</v>
      </c>
      <c r="DB1090">
        <v>0</v>
      </c>
      <c r="DC1090" t="str">
        <f t="shared" si="299"/>
        <v>0</v>
      </c>
      <c r="DD1090">
        <v>0</v>
      </c>
      <c r="DE1090">
        <v>0</v>
      </c>
      <c r="DF1090">
        <v>0</v>
      </c>
      <c r="DG1090">
        <v>1</v>
      </c>
      <c r="DI1090">
        <f t="shared" si="326"/>
        <v>1</v>
      </c>
      <c r="DJ1090" t="str">
        <f t="shared" si="311"/>
        <v>TimberInput</v>
      </c>
      <c r="DK1090">
        <f t="shared" si="277"/>
        <v>0</v>
      </c>
      <c r="DL1090">
        <f t="shared" si="278"/>
        <v>0</v>
      </c>
      <c r="DM1090">
        <f t="shared" si="279"/>
        <v>0</v>
      </c>
      <c r="DN1090" t="str">
        <f t="shared" si="280"/>
        <v>Timber</v>
      </c>
      <c r="DO1090">
        <v>0</v>
      </c>
      <c r="DP1090">
        <v>0</v>
      </c>
      <c r="DQ1090">
        <v>0</v>
      </c>
      <c r="DR1090">
        <v>0</v>
      </c>
      <c r="DS1090">
        <v>0</v>
      </c>
      <c r="DT1090">
        <f t="shared" si="315"/>
        <v>0</v>
      </c>
      <c r="DU1090" s="143" t="str">
        <f t="shared" si="301"/>
        <v>explicit C balance</v>
      </c>
      <c r="DV1090">
        <v>0</v>
      </c>
      <c r="DW1090">
        <v>0</v>
      </c>
      <c r="DX1090">
        <v>0</v>
      </c>
      <c r="DY1090">
        <v>0</v>
      </c>
      <c r="DZ1090">
        <v>0</v>
      </c>
      <c r="EA1090">
        <v>1</v>
      </c>
      <c r="EB1090">
        <v>0</v>
      </c>
      <c r="EC1090">
        <v>1</v>
      </c>
      <c r="ED1090">
        <v>1</v>
      </c>
      <c r="EE1090">
        <v>1</v>
      </c>
      <c r="EF1090">
        <v>0</v>
      </c>
      <c r="EG1090">
        <v>0</v>
      </c>
      <c r="EH1090">
        <v>0</v>
      </c>
      <c r="EI1090" s="2">
        <v>0</v>
      </c>
      <c r="EK1090" t="str">
        <f t="shared" si="281"/>
        <v/>
      </c>
      <c r="EL1090" t="str">
        <f t="shared" si="282"/>
        <v/>
      </c>
      <c r="EM1090" s="2" t="str">
        <f t="shared" si="300"/>
        <v>Technology approach</v>
      </c>
      <c r="EP1090" t="str">
        <f>IF(ISNUMBER(BU1090),IF(ABS(BU1090-[4]QC_indicators!$B$2)&gt;3*[4]QC_indicators!$C$2,"C ratio",IF(ISNUMBER(BY1090),IF(ABS(BY1090-[4]QC_indicators!$B$1)&gt;3*[4]QC_indicators!$C$1,"DF","no"))),IF(ISNUMBER(BY1090),IF(ABS(BY1090-[4]QC_indicators!$B$1)&gt;3*[4]QC_indicators!$C$1,"DF","no")))</f>
        <v>no</v>
      </c>
      <c r="ER1090" s="149" t="s">
        <v>350</v>
      </c>
      <c r="ET1090" s="266" t="s">
        <v>3275</v>
      </c>
    </row>
    <row r="1091" spans="1:150" ht="15" hidden="1" customHeight="1">
      <c r="A1091" s="1" t="s">
        <v>248</v>
      </c>
      <c r="B1091" t="s">
        <v>801</v>
      </c>
      <c r="C1091" t="s">
        <v>802</v>
      </c>
      <c r="D1091" t="s">
        <v>803</v>
      </c>
      <c r="E1091" t="s">
        <v>804</v>
      </c>
      <c r="F1091" t="s">
        <v>805</v>
      </c>
      <c r="G1091" t="s">
        <v>254</v>
      </c>
      <c r="H1091" t="s">
        <v>255</v>
      </c>
      <c r="I1091">
        <v>2020</v>
      </c>
      <c r="J1091">
        <v>15</v>
      </c>
      <c r="K1091" t="s">
        <v>806</v>
      </c>
      <c r="M1091" t="str">
        <f t="shared" si="310"/>
        <v>Jayalath_2020</v>
      </c>
      <c r="N1091" t="s">
        <v>223</v>
      </c>
      <c r="O1091" s="145" t="s">
        <v>514</v>
      </c>
      <c r="Q1091" t="s">
        <v>257</v>
      </c>
      <c r="R1091" s="264" t="s">
        <v>226</v>
      </c>
      <c r="S1091" s="1" t="s">
        <v>811</v>
      </c>
      <c r="T1091" t="s">
        <v>812</v>
      </c>
      <c r="U1091" t="s">
        <v>260</v>
      </c>
      <c r="V1091">
        <v>0</v>
      </c>
      <c r="W1091">
        <v>0</v>
      </c>
      <c r="X1091">
        <v>0</v>
      </c>
      <c r="Y1091">
        <v>0</v>
      </c>
      <c r="Z1091">
        <v>0</v>
      </c>
      <c r="AA1091">
        <v>0</v>
      </c>
      <c r="AB1091">
        <v>0</v>
      </c>
      <c r="AC1091">
        <v>0</v>
      </c>
      <c r="AD1091">
        <v>0</v>
      </c>
      <c r="AE1091">
        <v>0</v>
      </c>
      <c r="AF1091">
        <v>0</v>
      </c>
      <c r="AG1091">
        <v>0</v>
      </c>
      <c r="AH1091">
        <v>0</v>
      </c>
      <c r="AI1091">
        <v>0</v>
      </c>
      <c r="AJ1091">
        <v>0</v>
      </c>
      <c r="AK1091">
        <v>1</v>
      </c>
      <c r="AL1091">
        <v>0</v>
      </c>
      <c r="AM1091">
        <v>0</v>
      </c>
      <c r="AN1091">
        <v>0</v>
      </c>
      <c r="AO1091">
        <v>0</v>
      </c>
      <c r="AP1091">
        <v>0</v>
      </c>
      <c r="AQ1091">
        <v>0</v>
      </c>
      <c r="AR1091">
        <v>0</v>
      </c>
      <c r="AS1091">
        <v>0</v>
      </c>
      <c r="AT1091">
        <v>0</v>
      </c>
      <c r="AU1091">
        <v>0</v>
      </c>
      <c r="AV1091">
        <v>0</v>
      </c>
      <c r="AW1091">
        <v>0</v>
      </c>
      <c r="AX1091" s="141">
        <f t="shared" si="321"/>
        <v>1</v>
      </c>
      <c r="AY1091" s="141">
        <f t="shared" si="292"/>
        <v>1</v>
      </c>
      <c r="AZ1091">
        <f t="shared" si="293"/>
        <v>0</v>
      </c>
      <c r="BA1091">
        <f t="shared" si="294"/>
        <v>0</v>
      </c>
      <c r="BB1091">
        <f t="shared" si="295"/>
        <v>1</v>
      </c>
      <c r="BC1091">
        <f t="shared" si="296"/>
        <v>0</v>
      </c>
      <c r="BD1091">
        <f t="shared" si="297"/>
        <v>0</v>
      </c>
      <c r="BE1091" t="str">
        <f t="array" ref="BE1091">IF(AY1091=1,INDEX($V$7:$AL$7,MATCH(TRUE,INDEX($V1091:$AW1091&lt;&gt;0,),0)),IF(AY1091=0,INDEX($AM$7:$AW$7,MATCH(1,$AM1091:$AW1091,0)),IF(BF1091="Multiple strategies","mixed drivers",IF(BF1091="Supply chain","multiple supply","multiple silviculture"))))</f>
        <v>technologies/design switch</v>
      </c>
      <c r="BF1091" s="2" t="str" cm="1">
        <f t="array" ref="BF1091">IF(COUNTIF(AZ1091:BB1091,"&lt;&gt;0")=1,INDEX($V$4:$AW$4,MATCH(TRUE,INDEX($V1091:$AW1091&lt;&gt;0,),0)),IF(COUNTIF(AZ1091:BB1091,"&lt;&gt;0")=0,INDEX($AM$4:$AW$4,MATCH(1,$AM1091:$AW1091,0)),"Multiple strategies"))</f>
        <v>Technology</v>
      </c>
      <c r="BG1091" s="1" t="s">
        <v>230</v>
      </c>
      <c r="BH1091" t="s">
        <v>810</v>
      </c>
      <c r="BI1091" s="260" t="s">
        <v>3342</v>
      </c>
      <c r="BJ1091" t="s">
        <v>346</v>
      </c>
      <c r="BK1091" s="266">
        <v>0</v>
      </c>
      <c r="BL1091" s="266">
        <v>130669</v>
      </c>
      <c r="BN1091">
        <f t="shared" si="275"/>
        <v>130669</v>
      </c>
      <c r="BO1091">
        <f>BN1091*kg_to_m3</f>
        <v>266.67142857142858</v>
      </c>
      <c r="BP1091" t="s">
        <v>396</v>
      </c>
      <c r="BQ1091" s="260" t="s">
        <v>3346</v>
      </c>
      <c r="BR1091" t="s">
        <v>814</v>
      </c>
      <c r="BS1091">
        <f>(1387+293)</f>
        <v>1680</v>
      </c>
      <c r="BT1091">
        <f>687+353</f>
        <v>1040</v>
      </c>
      <c r="BU1091" s="144">
        <f t="shared" si="328"/>
        <v>0.61904761904761907</v>
      </c>
      <c r="BV1091">
        <f t="shared" si="327"/>
        <v>-640</v>
      </c>
      <c r="BX1091">
        <f>BV1091</f>
        <v>-640</v>
      </c>
      <c r="BY1091">
        <f t="shared" si="319"/>
        <v>-2.3999571436224354</v>
      </c>
      <c r="BZ1091">
        <v>0</v>
      </c>
      <c r="CA1091">
        <v>0</v>
      </c>
      <c r="CB1091">
        <v>0</v>
      </c>
      <c r="CC1091">
        <v>0</v>
      </c>
      <c r="CD1091">
        <v>0</v>
      </c>
      <c r="CE1091">
        <v>0</v>
      </c>
      <c r="CF1091">
        <v>0</v>
      </c>
      <c r="CG1091">
        <v>0</v>
      </c>
      <c r="CH1091">
        <v>0</v>
      </c>
      <c r="CI1091">
        <v>0</v>
      </c>
      <c r="CJ1091">
        <v>0</v>
      </c>
      <c r="CK1091">
        <v>0</v>
      </c>
      <c r="CL1091">
        <v>0</v>
      </c>
      <c r="CM1091">
        <v>1</v>
      </c>
      <c r="CN1091" t="str">
        <f>IF(BL1091&lt;BK1091,"refNeedCorrection","refOK")</f>
        <v>refOK</v>
      </c>
      <c r="CO1091">
        <f t="shared" si="324"/>
        <v>0</v>
      </c>
      <c r="CP1091">
        <f t="shared" si="325"/>
        <v>130669</v>
      </c>
      <c r="CQ1091">
        <f t="shared" si="274"/>
        <v>266.67142857142858</v>
      </c>
      <c r="CR1091">
        <f t="shared" si="329"/>
        <v>-1680</v>
      </c>
      <c r="CS1091">
        <f t="shared" si="330"/>
        <v>-1040</v>
      </c>
      <c r="CT1091">
        <f t="shared" si="322"/>
        <v>640</v>
      </c>
      <c r="CU1091">
        <f t="shared" si="312"/>
        <v>2.3999571436224354</v>
      </c>
      <c r="CV1091" s="2">
        <f t="shared" si="323"/>
        <v>0.38095238095238093</v>
      </c>
      <c r="CW1091" s="1" t="s">
        <v>348</v>
      </c>
      <c r="CX1091" t="str">
        <f t="shared" si="298"/>
        <v>loc</v>
      </c>
      <c r="CY1091" t="s">
        <v>575</v>
      </c>
      <c r="DB1091">
        <v>0</v>
      </c>
      <c r="DC1091" t="str">
        <f t="shared" si="299"/>
        <v>0</v>
      </c>
      <c r="DD1091">
        <v>0</v>
      </c>
      <c r="DE1091">
        <v>0</v>
      </c>
      <c r="DF1091">
        <v>0</v>
      </c>
      <c r="DG1091">
        <v>1</v>
      </c>
      <c r="DI1091">
        <f t="shared" si="326"/>
        <v>1</v>
      </c>
      <c r="DJ1091" t="str">
        <f t="shared" si="311"/>
        <v>TimberInput</v>
      </c>
      <c r="DK1091">
        <f t="shared" si="277"/>
        <v>0</v>
      </c>
      <c r="DL1091">
        <f t="shared" si="278"/>
        <v>0</v>
      </c>
      <c r="DM1091">
        <f t="shared" si="279"/>
        <v>0</v>
      </c>
      <c r="DN1091" t="str">
        <f t="shared" si="280"/>
        <v>Timber</v>
      </c>
      <c r="DO1091">
        <v>0</v>
      </c>
      <c r="DP1091">
        <v>0</v>
      </c>
      <c r="DQ1091">
        <v>0</v>
      </c>
      <c r="DR1091">
        <v>0</v>
      </c>
      <c r="DS1091">
        <v>0</v>
      </c>
      <c r="DT1091">
        <f t="shared" si="315"/>
        <v>0</v>
      </c>
      <c r="DU1091" s="143" t="str">
        <f t="shared" si="301"/>
        <v>explicit C balance</v>
      </c>
      <c r="DV1091">
        <v>0</v>
      </c>
      <c r="DW1091">
        <v>0</v>
      </c>
      <c r="DX1091">
        <v>0</v>
      </c>
      <c r="DY1091">
        <v>0</v>
      </c>
      <c r="DZ1091">
        <v>0</v>
      </c>
      <c r="EA1091">
        <v>0</v>
      </c>
      <c r="EB1091">
        <v>0</v>
      </c>
      <c r="EC1091">
        <v>1</v>
      </c>
      <c r="ED1091">
        <v>1</v>
      </c>
      <c r="EE1091">
        <v>0</v>
      </c>
      <c r="EF1091">
        <v>0</v>
      </c>
      <c r="EG1091">
        <v>0</v>
      </c>
      <c r="EH1091">
        <v>0</v>
      </c>
      <c r="EI1091" s="2">
        <v>0</v>
      </c>
      <c r="EK1091" t="str">
        <f t="shared" si="281"/>
        <v/>
      </c>
      <c r="EL1091" t="str">
        <f t="shared" si="282"/>
        <v/>
      </c>
      <c r="EM1091" s="2" t="str">
        <f t="shared" si="300"/>
        <v>Technology approach</v>
      </c>
      <c r="EP1091" t="str">
        <f>IF(ISNUMBER(BU1091),IF(ABS(BU1091-[4]QC_indicators!$B$2)&gt;3*[4]QC_indicators!$C$2,"C ratio",IF(ISNUMBER(BY1091),IF(ABS(BY1091-[4]QC_indicators!$B$1)&gt;3*[4]QC_indicators!$C$1,"DF","no"))),IF(ISNUMBER(BY1091),IF(ABS(BY1091-[4]QC_indicators!$B$1)&gt;3*[4]QC_indicators!$C$1,"DF","no")))</f>
        <v>no</v>
      </c>
      <c r="ER1091" s="149" t="s">
        <v>350</v>
      </c>
      <c r="ET1091" s="266" t="s">
        <v>3275</v>
      </c>
    </row>
    <row r="1092" spans="1:150" ht="15" hidden="1" customHeight="1">
      <c r="A1092" s="1" t="s">
        <v>248</v>
      </c>
      <c r="B1092" t="s">
        <v>801</v>
      </c>
      <c r="C1092" t="s">
        <v>802</v>
      </c>
      <c r="D1092" t="s">
        <v>803</v>
      </c>
      <c r="E1092" t="s">
        <v>804</v>
      </c>
      <c r="F1092" t="s">
        <v>805</v>
      </c>
      <c r="G1092" t="s">
        <v>254</v>
      </c>
      <c r="H1092" t="s">
        <v>255</v>
      </c>
      <c r="I1092">
        <v>2020</v>
      </c>
      <c r="J1092">
        <v>15</v>
      </c>
      <c r="K1092" t="s">
        <v>806</v>
      </c>
      <c r="M1092" t="str">
        <f t="shared" si="310"/>
        <v>Jayalath_2020</v>
      </c>
      <c r="N1092" t="s">
        <v>223</v>
      </c>
      <c r="O1092" s="145" t="s">
        <v>514</v>
      </c>
      <c r="Q1092" t="s">
        <v>257</v>
      </c>
      <c r="R1092" s="264" t="s">
        <v>226</v>
      </c>
      <c r="S1092" s="1" t="s">
        <v>811</v>
      </c>
      <c r="T1092" t="s">
        <v>812</v>
      </c>
      <c r="U1092" t="s">
        <v>260</v>
      </c>
      <c r="V1092">
        <v>0</v>
      </c>
      <c r="W1092">
        <v>0</v>
      </c>
      <c r="X1092">
        <v>0</v>
      </c>
      <c r="Y1092">
        <v>0</v>
      </c>
      <c r="Z1092">
        <v>0</v>
      </c>
      <c r="AA1092">
        <v>0</v>
      </c>
      <c r="AB1092">
        <v>0</v>
      </c>
      <c r="AC1092">
        <v>0</v>
      </c>
      <c r="AD1092">
        <v>0</v>
      </c>
      <c r="AE1092">
        <v>0</v>
      </c>
      <c r="AF1092">
        <v>0</v>
      </c>
      <c r="AG1092">
        <v>0</v>
      </c>
      <c r="AH1092">
        <v>0</v>
      </c>
      <c r="AI1092">
        <v>0</v>
      </c>
      <c r="AJ1092">
        <v>0</v>
      </c>
      <c r="AK1092">
        <v>1</v>
      </c>
      <c r="AL1092">
        <v>0</v>
      </c>
      <c r="AM1092">
        <v>0</v>
      </c>
      <c r="AN1092">
        <v>0</v>
      </c>
      <c r="AO1092">
        <v>0</v>
      </c>
      <c r="AP1092">
        <v>0</v>
      </c>
      <c r="AQ1092">
        <v>0</v>
      </c>
      <c r="AR1092">
        <v>0</v>
      </c>
      <c r="AS1092">
        <v>0</v>
      </c>
      <c r="AT1092">
        <v>0</v>
      </c>
      <c r="AU1092">
        <v>0</v>
      </c>
      <c r="AV1092">
        <v>0</v>
      </c>
      <c r="AW1092">
        <v>0</v>
      </c>
      <c r="AX1092" s="141">
        <f t="shared" si="321"/>
        <v>1</v>
      </c>
      <c r="AY1092" s="141">
        <f t="shared" si="292"/>
        <v>1</v>
      </c>
      <c r="AZ1092">
        <f t="shared" si="293"/>
        <v>0</v>
      </c>
      <c r="BA1092">
        <f t="shared" si="294"/>
        <v>0</v>
      </c>
      <c r="BB1092">
        <f t="shared" si="295"/>
        <v>1</v>
      </c>
      <c r="BC1092">
        <f t="shared" si="296"/>
        <v>0</v>
      </c>
      <c r="BD1092">
        <f t="shared" si="297"/>
        <v>0</v>
      </c>
      <c r="BE1092" t="str">
        <f t="array" ref="BE1092">IF(AY1092=1,INDEX($V$7:$AL$7,MATCH(TRUE,INDEX($V1092:$AW1092&lt;&gt;0,),0)),IF(AY1092=0,INDEX($AM$7:$AW$7,MATCH(1,$AM1092:$AW1092,0)),IF(BF1092="Multiple strategies","mixed drivers",IF(BF1092="Supply chain","multiple supply","multiple silviculture"))))</f>
        <v>technologies/design switch</v>
      </c>
      <c r="BF1092" s="2" t="str" cm="1">
        <f t="array" ref="BF1092">IF(COUNTIF(AZ1092:BB1092,"&lt;&gt;0")=1,INDEX($V$4:$AW$4,MATCH(TRUE,INDEX($V1092:$AW1092&lt;&gt;0,),0)),IF(COUNTIF(AZ1092:BB1092,"&lt;&gt;0")=0,INDEX($AM$4:$AW$4,MATCH(1,$AM1092:$AW1092,0)),"Multiple strategies"))</f>
        <v>Technology</v>
      </c>
      <c r="BG1092" s="1" t="s">
        <v>230</v>
      </c>
      <c r="BH1092" t="s">
        <v>810</v>
      </c>
      <c r="BI1092" s="260" t="s">
        <v>3342</v>
      </c>
      <c r="BJ1092" t="s">
        <v>346</v>
      </c>
      <c r="BK1092" s="266">
        <v>0</v>
      </c>
      <c r="BL1092" s="266">
        <f>119193+8552+2924</f>
        <v>130669</v>
      </c>
      <c r="BN1092">
        <f t="shared" si="275"/>
        <v>130669</v>
      </c>
      <c r="BO1092">
        <f>BN1092*kg_to_m3</f>
        <v>266.67142857142858</v>
      </c>
      <c r="BP1092" t="s">
        <v>396</v>
      </c>
      <c r="BQ1092" s="260" t="s">
        <v>3346</v>
      </c>
      <c r="BR1092" t="s">
        <v>814</v>
      </c>
      <c r="BS1092">
        <f>(1387+293)+35+7-161.49</f>
        <v>1560.51</v>
      </c>
      <c r="BT1092">
        <f>687+353+28+3-64-64</f>
        <v>943</v>
      </c>
      <c r="BU1092" s="144">
        <f t="shared" si="328"/>
        <v>0.60428962326418922</v>
      </c>
      <c r="BV1092">
        <f t="shared" si="327"/>
        <v>-617.51</v>
      </c>
      <c r="BX1092">
        <f>BV1092</f>
        <v>-617.51</v>
      </c>
      <c r="BY1092">
        <f t="shared" si="319"/>
        <v>-2.315621149622328</v>
      </c>
      <c r="BZ1092">
        <v>0</v>
      </c>
      <c r="CA1092">
        <v>0</v>
      </c>
      <c r="CB1092">
        <v>0</v>
      </c>
      <c r="CC1092">
        <v>0</v>
      </c>
      <c r="CD1092">
        <v>0</v>
      </c>
      <c r="CE1092">
        <v>0</v>
      </c>
      <c r="CF1092">
        <v>0</v>
      </c>
      <c r="CG1092">
        <v>0</v>
      </c>
      <c r="CH1092">
        <v>0</v>
      </c>
      <c r="CI1092">
        <v>0</v>
      </c>
      <c r="CJ1092">
        <v>0</v>
      </c>
      <c r="CK1092">
        <v>0</v>
      </c>
      <c r="CL1092">
        <v>0</v>
      </c>
      <c r="CM1092">
        <v>1</v>
      </c>
      <c r="CN1092" t="str">
        <f>IF(BL1092&lt;BK1092,"refNeedCorrection","refOK")</f>
        <v>refOK</v>
      </c>
      <c r="CO1092">
        <f t="shared" si="324"/>
        <v>0</v>
      </c>
      <c r="CP1092">
        <f t="shared" si="325"/>
        <v>130669</v>
      </c>
      <c r="CQ1092">
        <f t="shared" ref="CQ1092:CQ1140" si="331">IF($CN1092="refOK",$BO1092,-$BO1092)</f>
        <v>266.67142857142858</v>
      </c>
      <c r="CR1092">
        <f t="shared" si="329"/>
        <v>-1560.51</v>
      </c>
      <c r="CS1092">
        <f t="shared" si="330"/>
        <v>-943</v>
      </c>
      <c r="CT1092">
        <f t="shared" si="322"/>
        <v>617.51</v>
      </c>
      <c r="CU1092">
        <f t="shared" si="312"/>
        <v>2.315621149622328</v>
      </c>
      <c r="CV1092" s="2">
        <f t="shared" si="323"/>
        <v>0.39571037673581072</v>
      </c>
      <c r="CW1092" s="1" t="s">
        <v>348</v>
      </c>
      <c r="CX1092" t="str">
        <f t="shared" si="298"/>
        <v>loc</v>
      </c>
      <c r="CY1092" t="s">
        <v>575</v>
      </c>
      <c r="DB1092">
        <v>0</v>
      </c>
      <c r="DC1092" t="str">
        <f t="shared" si="299"/>
        <v>0</v>
      </c>
      <c r="DD1092">
        <v>0</v>
      </c>
      <c r="DE1092">
        <v>0</v>
      </c>
      <c r="DF1092">
        <v>0</v>
      </c>
      <c r="DG1092">
        <v>1</v>
      </c>
      <c r="DI1092">
        <f t="shared" si="326"/>
        <v>1</v>
      </c>
      <c r="DJ1092" t="str">
        <f t="shared" si="311"/>
        <v>TimberInput</v>
      </c>
      <c r="DK1092">
        <f t="shared" si="277"/>
        <v>0</v>
      </c>
      <c r="DL1092">
        <f t="shared" si="278"/>
        <v>0</v>
      </c>
      <c r="DM1092">
        <f t="shared" si="279"/>
        <v>0</v>
      </c>
      <c r="DN1092" t="str">
        <f t="shared" si="280"/>
        <v>Timber</v>
      </c>
      <c r="DO1092">
        <v>0</v>
      </c>
      <c r="DP1092">
        <v>0</v>
      </c>
      <c r="DQ1092">
        <v>0</v>
      </c>
      <c r="DR1092">
        <v>0</v>
      </c>
      <c r="DS1092">
        <v>0</v>
      </c>
      <c r="DT1092">
        <f t="shared" si="315"/>
        <v>0</v>
      </c>
      <c r="DU1092" s="143" t="str">
        <f t="shared" si="301"/>
        <v>explicit C balance</v>
      </c>
      <c r="DV1092">
        <v>0</v>
      </c>
      <c r="DW1092">
        <v>0</v>
      </c>
      <c r="DX1092">
        <v>0</v>
      </c>
      <c r="DY1092">
        <v>0</v>
      </c>
      <c r="DZ1092">
        <v>0</v>
      </c>
      <c r="EA1092">
        <v>1</v>
      </c>
      <c r="EB1092">
        <v>0</v>
      </c>
      <c r="EC1092">
        <v>1</v>
      </c>
      <c r="ED1092">
        <v>1</v>
      </c>
      <c r="EE1092">
        <v>1</v>
      </c>
      <c r="EF1092">
        <v>0</v>
      </c>
      <c r="EG1092">
        <v>0</v>
      </c>
      <c r="EH1092">
        <v>0</v>
      </c>
      <c r="EI1092" s="2">
        <v>0</v>
      </c>
      <c r="EK1092" t="str">
        <f t="shared" si="281"/>
        <v/>
      </c>
      <c r="EL1092" t="str">
        <f t="shared" si="282"/>
        <v/>
      </c>
      <c r="EM1092" s="2" t="str">
        <f t="shared" si="300"/>
        <v>Technology approach</v>
      </c>
      <c r="EP1092" t="str">
        <f>IF(ISNUMBER(BU1092),IF(ABS(BU1092-[4]QC_indicators!$B$2)&gt;3*[4]QC_indicators!$C$2,"C ratio",IF(ISNUMBER(BY1092),IF(ABS(BY1092-[4]QC_indicators!$B$1)&gt;3*[4]QC_indicators!$C$1,"DF","no"))),IF(ISNUMBER(BY1092),IF(ABS(BY1092-[4]QC_indicators!$B$1)&gt;3*[4]QC_indicators!$C$1,"DF","no")))</f>
        <v>no</v>
      </c>
      <c r="ER1092" s="149" t="s">
        <v>350</v>
      </c>
      <c r="ET1092" s="266" t="s">
        <v>3275</v>
      </c>
    </row>
    <row r="1093" spans="1:150" ht="15" hidden="1" customHeight="1">
      <c r="D1093" t="s">
        <v>840</v>
      </c>
      <c r="E1093" t="s">
        <v>841</v>
      </c>
      <c r="G1093" t="s">
        <v>842</v>
      </c>
      <c r="I1093">
        <v>2005</v>
      </c>
      <c r="K1093" t="s">
        <v>843</v>
      </c>
      <c r="M1093" t="str">
        <f t="shared" si="310"/>
        <v>Knight_2005</v>
      </c>
      <c r="N1093" t="s">
        <v>223</v>
      </c>
      <c r="O1093" t="s">
        <v>224</v>
      </c>
      <c r="Q1093" t="s">
        <v>257</v>
      </c>
      <c r="R1093" s="255" t="s">
        <v>226</v>
      </c>
      <c r="S1093" s="1" t="s">
        <v>844</v>
      </c>
      <c r="T1093" t="s">
        <v>845</v>
      </c>
      <c r="U1093" s="266" t="s">
        <v>846</v>
      </c>
      <c r="V1093">
        <v>0</v>
      </c>
      <c r="W1093">
        <v>0</v>
      </c>
      <c r="X1093">
        <v>0</v>
      </c>
      <c r="Y1093">
        <v>0</v>
      </c>
      <c r="Z1093">
        <v>0</v>
      </c>
      <c r="AA1093">
        <v>0</v>
      </c>
      <c r="AB1093">
        <v>0</v>
      </c>
      <c r="AC1093">
        <v>0</v>
      </c>
      <c r="AD1093">
        <v>0</v>
      </c>
      <c r="AE1093">
        <v>0</v>
      </c>
      <c r="AF1093">
        <v>0</v>
      </c>
      <c r="AG1093">
        <v>0</v>
      </c>
      <c r="AH1093">
        <v>0</v>
      </c>
      <c r="AI1093">
        <v>0</v>
      </c>
      <c r="AJ1093">
        <v>0</v>
      </c>
      <c r="AK1093">
        <v>1</v>
      </c>
      <c r="AL1093">
        <v>0</v>
      </c>
      <c r="AM1093">
        <v>0</v>
      </c>
      <c r="AN1093">
        <v>0</v>
      </c>
      <c r="AO1093">
        <v>0</v>
      </c>
      <c r="AP1093">
        <v>0</v>
      </c>
      <c r="AQ1093">
        <v>0</v>
      </c>
      <c r="AR1093">
        <v>0</v>
      </c>
      <c r="AS1093">
        <v>0</v>
      </c>
      <c r="AT1093">
        <v>0</v>
      </c>
      <c r="AU1093">
        <v>0</v>
      </c>
      <c r="AV1093">
        <v>0</v>
      </c>
      <c r="AW1093">
        <v>0</v>
      </c>
      <c r="AX1093" s="141">
        <f t="shared" si="321"/>
        <v>1</v>
      </c>
      <c r="AY1093" s="141">
        <f t="shared" si="292"/>
        <v>1</v>
      </c>
      <c r="AZ1093">
        <f t="shared" si="293"/>
        <v>0</v>
      </c>
      <c r="BA1093">
        <f t="shared" si="294"/>
        <v>0</v>
      </c>
      <c r="BB1093">
        <f t="shared" si="295"/>
        <v>1</v>
      </c>
      <c r="BC1093">
        <f t="shared" si="296"/>
        <v>0</v>
      </c>
      <c r="BD1093">
        <f t="shared" si="297"/>
        <v>0</v>
      </c>
      <c r="BE1093" t="str">
        <f t="array" ref="BE1093">IF(AY1093=1,INDEX($V$7:$AL$7,MATCH(TRUE,INDEX($V1093:$AW1093&lt;&gt;0,),0)),IF(AY1093=0,INDEX($AM$7:$AW$7,MATCH(1,$AM1093:$AW1093,0)),IF(BF1093="Multiple strategies","mixed drivers",IF(BF1093="Supply chain","multiple supply","multiple silviculture"))))</f>
        <v>technologies/design switch</v>
      </c>
      <c r="BF1093" s="2" t="str" cm="1">
        <f t="array" ref="BF1093">IF(COUNTIF(AZ1093:BB1093,"&lt;&gt;0")=1,INDEX($V$4:$AW$4,MATCH(TRUE,INDEX($V1093:$AW1093&lt;&gt;0,),0)),IF(COUNTIF(AZ1093:BB1093,"&lt;&gt;0")=0,INDEX($AM$4:$AW$4,MATCH(1,$AM1093:$AW1093,0)),"Multiple strategies"))</f>
        <v>Technology</v>
      </c>
      <c r="BG1093" s="265" t="s">
        <v>230</v>
      </c>
      <c r="BH1093" t="s">
        <v>847</v>
      </c>
      <c r="BI1093" s="260" t="s">
        <v>3371</v>
      </c>
      <c r="BJ1093" s="266" t="s">
        <v>848</v>
      </c>
      <c r="BK1093">
        <v>0</v>
      </c>
      <c r="BL1093" s="266">
        <v>55</v>
      </c>
      <c r="BM1093" s="143"/>
      <c r="BN1093">
        <f t="shared" ref="BN1093:BN1141" si="332">BL1093-BK1093</f>
        <v>55</v>
      </c>
      <c r="BO1093" s="266">
        <f>BN1093*0.453592*kg_to_m3</f>
        <v>5.0913387755102041E-2</v>
      </c>
      <c r="BP1093" t="s">
        <v>233</v>
      </c>
      <c r="BQ1093" s="260" t="s">
        <v>974</v>
      </c>
      <c r="BR1093" t="s">
        <v>849</v>
      </c>
      <c r="BS1093" s="266">
        <v>-141</v>
      </c>
      <c r="BT1093">
        <v>-5.25</v>
      </c>
      <c r="BU1093" s="144">
        <f t="shared" si="328"/>
        <v>3.7234042553191488E-2</v>
      </c>
      <c r="BV1093">
        <f t="shared" si="327"/>
        <v>135.75</v>
      </c>
      <c r="BX1093">
        <f t="shared" ref="BX1093:BX1107" si="333">BV1093/1000</f>
        <v>0.13575000000000001</v>
      </c>
      <c r="BY1093">
        <f t="shared" si="319"/>
        <v>2.666292815810444</v>
      </c>
      <c r="BZ1093" s="143">
        <v>0</v>
      </c>
      <c r="CA1093" s="143">
        <v>0</v>
      </c>
      <c r="CB1093" s="143">
        <v>0</v>
      </c>
      <c r="CC1093" s="143">
        <v>0</v>
      </c>
      <c r="CD1093" s="143">
        <v>0</v>
      </c>
      <c r="CE1093" s="143">
        <v>0</v>
      </c>
      <c r="CF1093" s="143">
        <v>0</v>
      </c>
      <c r="CG1093" s="143">
        <v>0</v>
      </c>
      <c r="CH1093" s="143">
        <v>0</v>
      </c>
      <c r="CI1093" s="143">
        <v>0</v>
      </c>
      <c r="CJ1093" s="143">
        <v>0</v>
      </c>
      <c r="CK1093" s="143">
        <v>0</v>
      </c>
      <c r="CL1093" s="143">
        <v>0</v>
      </c>
      <c r="CM1093">
        <v>0</v>
      </c>
      <c r="CN1093" t="str">
        <f t="shared" ref="CN1093:CN1140" si="334">IF($BL1093&lt;$BK1093,"refNeedCorrection","refOK")</f>
        <v>refOK</v>
      </c>
      <c r="CO1093">
        <f t="shared" si="324"/>
        <v>0</v>
      </c>
      <c r="CP1093">
        <f t="shared" si="325"/>
        <v>55</v>
      </c>
      <c r="CQ1093">
        <f t="shared" si="331"/>
        <v>5.0913387755102041E-2</v>
      </c>
      <c r="CR1093">
        <f t="shared" si="329"/>
        <v>-141</v>
      </c>
      <c r="CS1093">
        <f t="shared" si="330"/>
        <v>-5.25</v>
      </c>
      <c r="CT1093">
        <f t="shared" si="322"/>
        <v>0.13575000000000001</v>
      </c>
      <c r="CU1093">
        <f t="shared" si="312"/>
        <v>2.666292815810444</v>
      </c>
      <c r="CV1093" s="2">
        <f t="shared" si="323"/>
        <v>0.96276595744680848</v>
      </c>
      <c r="CW1093" s="1" t="s">
        <v>264</v>
      </c>
      <c r="CX1093" t="str">
        <f t="shared" si="298"/>
        <v>loc</v>
      </c>
      <c r="CY1093" t="s">
        <v>429</v>
      </c>
      <c r="DA1093" s="143"/>
      <c r="DB1093" s="266">
        <v>0</v>
      </c>
      <c r="DC1093" t="str">
        <f t="shared" si="299"/>
        <v>0</v>
      </c>
      <c r="DD1093">
        <v>0</v>
      </c>
      <c r="DE1093">
        <v>0</v>
      </c>
      <c r="DF1093">
        <v>0</v>
      </c>
      <c r="DG1093">
        <v>1</v>
      </c>
      <c r="DI1093">
        <f t="shared" si="326"/>
        <v>1</v>
      </c>
      <c r="DJ1093" t="str">
        <f t="shared" si="311"/>
        <v>TimberInput</v>
      </c>
      <c r="DK1093">
        <f t="shared" si="277"/>
        <v>0</v>
      </c>
      <c r="DL1093">
        <f t="shared" si="278"/>
        <v>0</v>
      </c>
      <c r="DM1093">
        <f t="shared" si="279"/>
        <v>0</v>
      </c>
      <c r="DN1093" t="str">
        <f t="shared" si="280"/>
        <v>Timber</v>
      </c>
      <c r="DO1093">
        <v>0</v>
      </c>
      <c r="DP1093" s="143">
        <v>0</v>
      </c>
      <c r="DQ1093" s="143">
        <v>0</v>
      </c>
      <c r="DR1093">
        <v>0</v>
      </c>
      <c r="DS1093" s="143">
        <v>0</v>
      </c>
      <c r="DT1093">
        <f t="shared" si="315"/>
        <v>0</v>
      </c>
      <c r="DU1093" s="143" t="str">
        <f t="shared" si="301"/>
        <v>explicit C balance</v>
      </c>
      <c r="DV1093" s="143">
        <v>0</v>
      </c>
      <c r="DW1093" s="143">
        <v>0</v>
      </c>
      <c r="DX1093" s="143">
        <v>0</v>
      </c>
      <c r="DY1093" s="143">
        <v>0</v>
      </c>
      <c r="DZ1093">
        <v>0</v>
      </c>
      <c r="EA1093" s="143">
        <v>0</v>
      </c>
      <c r="EB1093" s="143">
        <v>0</v>
      </c>
      <c r="EC1093" s="266">
        <v>1</v>
      </c>
      <c r="ED1093" s="143">
        <v>0</v>
      </c>
      <c r="EE1093">
        <v>0</v>
      </c>
      <c r="EF1093">
        <v>0</v>
      </c>
      <c r="EG1093" s="143">
        <v>0</v>
      </c>
      <c r="EH1093" s="143">
        <v>0</v>
      </c>
      <c r="EI1093" s="2">
        <v>0</v>
      </c>
      <c r="EK1093" t="str">
        <f t="shared" si="281"/>
        <v/>
      </c>
      <c r="EL1093" t="str">
        <f t="shared" si="282"/>
        <v/>
      </c>
      <c r="EM1093" s="2" t="str">
        <f t="shared" si="300"/>
        <v/>
      </c>
      <c r="EP1093" t="str">
        <f>IF(ISNUMBER(BU1093),IF(ABS(BU1093-[4]QC_indicators!$B$2)&gt;3*[4]QC_indicators!$C$2,"C ratio",IF(ISNUMBER(BY1093),IF(ABS(BY1093-[4]QC_indicators!$B$1)&gt;3*[4]QC_indicators!$C$1,"DF","no"))),IF(ISNUMBER(BY1093),IF(ABS(BY1093-[4]QC_indicators!$B$1)&gt;3*[4]QC_indicators!$C$1,"DF","no")))</f>
        <v>no</v>
      </c>
      <c r="ER1093" s="149" t="s">
        <v>350</v>
      </c>
      <c r="ET1093" s="266" t="s">
        <v>3275</v>
      </c>
    </row>
    <row r="1094" spans="1:150" hidden="1">
      <c r="D1094" t="s">
        <v>919</v>
      </c>
      <c r="E1094" t="s">
        <v>920</v>
      </c>
      <c r="G1094" t="s">
        <v>921</v>
      </c>
      <c r="I1094">
        <v>2004</v>
      </c>
      <c r="K1094" t="s">
        <v>922</v>
      </c>
      <c r="M1094" t="str">
        <f t="shared" si="310"/>
        <v>Lippke_2004</v>
      </c>
      <c r="N1094" t="s">
        <v>223</v>
      </c>
      <c r="O1094" t="s">
        <v>224</v>
      </c>
      <c r="Q1094" t="s">
        <v>257</v>
      </c>
      <c r="R1094" s="255" t="s">
        <v>226</v>
      </c>
      <c r="S1094" s="1" t="s">
        <v>754</v>
      </c>
      <c r="T1094" t="s">
        <v>923</v>
      </c>
      <c r="U1094" s="266" t="s">
        <v>924</v>
      </c>
      <c r="V1094">
        <v>0</v>
      </c>
      <c r="W1094">
        <v>0</v>
      </c>
      <c r="X1094">
        <v>0</v>
      </c>
      <c r="Y1094">
        <v>0</v>
      </c>
      <c r="Z1094">
        <v>0</v>
      </c>
      <c r="AA1094">
        <v>0</v>
      </c>
      <c r="AB1094">
        <v>0</v>
      </c>
      <c r="AC1094">
        <v>0</v>
      </c>
      <c r="AD1094">
        <v>0</v>
      </c>
      <c r="AE1094">
        <v>0</v>
      </c>
      <c r="AF1094">
        <v>0</v>
      </c>
      <c r="AG1094">
        <v>0</v>
      </c>
      <c r="AH1094">
        <v>0</v>
      </c>
      <c r="AI1094">
        <v>0</v>
      </c>
      <c r="AJ1094">
        <v>0</v>
      </c>
      <c r="AK1094">
        <v>1</v>
      </c>
      <c r="AL1094">
        <v>0</v>
      </c>
      <c r="AM1094">
        <v>0</v>
      </c>
      <c r="AN1094">
        <v>0</v>
      </c>
      <c r="AO1094">
        <v>0</v>
      </c>
      <c r="AP1094">
        <v>0</v>
      </c>
      <c r="AQ1094">
        <v>0</v>
      </c>
      <c r="AR1094">
        <v>0</v>
      </c>
      <c r="AS1094">
        <v>0</v>
      </c>
      <c r="AT1094">
        <v>0</v>
      </c>
      <c r="AU1094">
        <v>0</v>
      </c>
      <c r="AV1094">
        <v>0</v>
      </c>
      <c r="AW1094">
        <v>0</v>
      </c>
      <c r="AX1094" s="141">
        <f t="shared" si="321"/>
        <v>1</v>
      </c>
      <c r="AY1094" s="141">
        <f t="shared" si="292"/>
        <v>1</v>
      </c>
      <c r="AZ1094">
        <f t="shared" si="293"/>
        <v>0</v>
      </c>
      <c r="BA1094">
        <f t="shared" si="294"/>
        <v>0</v>
      </c>
      <c r="BB1094">
        <f t="shared" si="295"/>
        <v>1</v>
      </c>
      <c r="BC1094">
        <f t="shared" si="296"/>
        <v>0</v>
      </c>
      <c r="BD1094">
        <f t="shared" si="297"/>
        <v>0</v>
      </c>
      <c r="BE1094" t="str">
        <f t="array" ref="BE1094">IF(AY1094=1,INDEX($V$7:$AL$7,MATCH(TRUE,INDEX($V1094:$AW1094&lt;&gt;0,),0)),IF(AY1094=0,INDEX($AM$7:$AW$7,MATCH(1,$AM1094:$AW1094,0)),IF(BF1094="Multiple strategies","mixed drivers",IF(BF1094="Supply chain","multiple supply","multiple silviculture"))))</f>
        <v>technologies/design switch</v>
      </c>
      <c r="BF1094" s="2" t="str" cm="1">
        <f t="array" ref="BF1094">IF(COUNTIF(AZ1094:BB1094,"&lt;&gt;0")=1,INDEX($V$4:$AW$4,MATCH(TRUE,INDEX($V1094:$AW1094&lt;&gt;0,),0)),IF(COUNTIF(AZ1094:BB1094,"&lt;&gt;0")=0,INDEX($AM$4:$AW$4,MATCH(1,$AM1094:$AW1094,0)),"Multiple strategies"))</f>
        <v>Technology</v>
      </c>
      <c r="BG1094" s="1" t="s">
        <v>230</v>
      </c>
      <c r="BH1094" t="s">
        <v>925</v>
      </c>
      <c r="BI1094" s="260" t="s">
        <v>3372</v>
      </c>
      <c r="BJ1094" s="266" t="s">
        <v>346</v>
      </c>
      <c r="BK1094">
        <v>6595</v>
      </c>
      <c r="BL1094" s="266">
        <v>12993</v>
      </c>
      <c r="BM1094" s="266">
        <f>BL1094/BK1094</f>
        <v>1.9701288855193329</v>
      </c>
      <c r="BN1094">
        <f t="shared" si="332"/>
        <v>6398</v>
      </c>
      <c r="BO1094" s="266">
        <f t="shared" ref="BO1094:BO1107" si="335">BN1094*kg_to_m3</f>
        <v>13.057142857142859</v>
      </c>
      <c r="BP1094" t="s">
        <v>233</v>
      </c>
      <c r="BQ1094" s="260" t="s">
        <v>815</v>
      </c>
      <c r="BR1094" t="s">
        <v>730</v>
      </c>
      <c r="BS1094" s="266">
        <v>-46826</v>
      </c>
      <c r="BT1094">
        <v>-37047</v>
      </c>
      <c r="BU1094" s="144">
        <f t="shared" si="328"/>
        <v>0.79116302908640501</v>
      </c>
      <c r="BV1094">
        <f t="shared" si="327"/>
        <v>9779</v>
      </c>
      <c r="BX1094">
        <f t="shared" si="333"/>
        <v>9.7789999999999999</v>
      </c>
      <c r="BY1094">
        <f t="shared" si="319"/>
        <v>0.74893873085339158</v>
      </c>
      <c r="BZ1094">
        <v>0</v>
      </c>
      <c r="CA1094">
        <v>0</v>
      </c>
      <c r="CB1094">
        <v>0</v>
      </c>
      <c r="CC1094">
        <v>0</v>
      </c>
      <c r="CD1094">
        <v>0</v>
      </c>
      <c r="CE1094">
        <v>0</v>
      </c>
      <c r="CF1094">
        <v>0</v>
      </c>
      <c r="CG1094">
        <v>0</v>
      </c>
      <c r="CH1094">
        <v>0</v>
      </c>
      <c r="CI1094">
        <v>0</v>
      </c>
      <c r="CJ1094">
        <v>1</v>
      </c>
      <c r="CK1094">
        <v>0</v>
      </c>
      <c r="CL1094">
        <v>0</v>
      </c>
      <c r="CM1094">
        <v>0</v>
      </c>
      <c r="CN1094" t="str">
        <f t="shared" si="334"/>
        <v>refOK</v>
      </c>
      <c r="CO1094">
        <f>IF($CN1094="refNeedCorrection",BL1094,BK1094)</f>
        <v>6595</v>
      </c>
      <c r="CP1094">
        <f>IF($CN1094="refNeedCorrection",BK1094,BL1094)</f>
        <v>12993</v>
      </c>
      <c r="CQ1094">
        <f t="shared" si="331"/>
        <v>13.057142857142859</v>
      </c>
      <c r="CR1094">
        <f t="shared" si="329"/>
        <v>-46826</v>
      </c>
      <c r="CS1094">
        <f t="shared" si="330"/>
        <v>-37047</v>
      </c>
      <c r="CT1094">
        <f t="shared" si="322"/>
        <v>9.7789999999999999</v>
      </c>
      <c r="CU1094">
        <f t="shared" si="312"/>
        <v>0.74893873085339158</v>
      </c>
      <c r="CV1094" s="2">
        <f t="shared" si="323"/>
        <v>0.20883697091359502</v>
      </c>
      <c r="CW1094" s="1" t="s">
        <v>264</v>
      </c>
      <c r="CX1094" t="str">
        <f t="shared" si="298"/>
        <v>loc</v>
      </c>
      <c r="CY1094" t="s">
        <v>429</v>
      </c>
      <c r="DA1094" s="143"/>
      <c r="DB1094" s="266">
        <v>0</v>
      </c>
      <c r="DC1094" t="str">
        <f t="shared" si="299"/>
        <v>0</v>
      </c>
      <c r="DD1094">
        <v>0</v>
      </c>
      <c r="DE1094">
        <v>0</v>
      </c>
      <c r="DF1094">
        <v>0</v>
      </c>
      <c r="DG1094">
        <v>1</v>
      </c>
      <c r="DI1094">
        <f t="shared" si="326"/>
        <v>1</v>
      </c>
      <c r="DJ1094" t="str">
        <f t="shared" si="311"/>
        <v>TimberInput</v>
      </c>
      <c r="DK1094">
        <f t="shared" si="277"/>
        <v>0</v>
      </c>
      <c r="DL1094">
        <f t="shared" si="278"/>
        <v>0</v>
      </c>
      <c r="DM1094">
        <f t="shared" si="279"/>
        <v>0</v>
      </c>
      <c r="DN1094" t="str">
        <f t="shared" si="280"/>
        <v>Timber</v>
      </c>
      <c r="DO1094">
        <v>0</v>
      </c>
      <c r="DP1094" s="143">
        <v>0</v>
      </c>
      <c r="DQ1094" s="143">
        <v>0</v>
      </c>
      <c r="DR1094">
        <v>0</v>
      </c>
      <c r="DS1094" s="143">
        <v>0</v>
      </c>
      <c r="DT1094">
        <f t="shared" si="315"/>
        <v>0</v>
      </c>
      <c r="DU1094" s="143" t="str">
        <f t="shared" si="301"/>
        <v>explicit C balance</v>
      </c>
      <c r="DV1094" s="143">
        <v>0</v>
      </c>
      <c r="DW1094" s="143">
        <v>0</v>
      </c>
      <c r="DX1094">
        <v>0</v>
      </c>
      <c r="DY1094">
        <v>0</v>
      </c>
      <c r="DZ1094">
        <v>0</v>
      </c>
      <c r="EA1094" s="143">
        <v>0</v>
      </c>
      <c r="EB1094" s="143">
        <v>0</v>
      </c>
      <c r="EC1094">
        <v>1</v>
      </c>
      <c r="ED1094" s="143">
        <v>0</v>
      </c>
      <c r="EE1094">
        <v>1</v>
      </c>
      <c r="EF1094">
        <v>0</v>
      </c>
      <c r="EG1094" s="143">
        <v>0</v>
      </c>
      <c r="EH1094">
        <v>0</v>
      </c>
      <c r="EI1094" s="2">
        <v>0</v>
      </c>
      <c r="EK1094" t="str">
        <f t="shared" si="281"/>
        <v/>
      </c>
      <c r="EL1094" t="str">
        <f t="shared" si="282"/>
        <v/>
      </c>
      <c r="EM1094" s="2" t="str">
        <f t="shared" si="300"/>
        <v>Technology approach</v>
      </c>
      <c r="EN1094" t="s">
        <v>926</v>
      </c>
      <c r="EP1094" t="str">
        <f>IF(ISNUMBER(BU1094),IF(ABS(BU1094-[4]QC_indicators!$B$2)&gt;3*[4]QC_indicators!$C$2,"C ratio",IF(ISNUMBER(BY1094),IF(ABS(BY1094-[4]QC_indicators!$B$1)&gt;3*[4]QC_indicators!$C$1,"DF","no"))),IF(ISNUMBER(BY1094),IF(ABS(BY1094-[4]QC_indicators!$B$1)&gt;3*[4]QC_indicators!$C$1,"DF","no")))</f>
        <v>no</v>
      </c>
      <c r="ER1094" s="149" t="s">
        <v>350</v>
      </c>
      <c r="ET1094" s="266" t="s">
        <v>3275</v>
      </c>
    </row>
    <row r="1095" spans="1:150" hidden="1">
      <c r="D1095" t="s">
        <v>919</v>
      </c>
      <c r="E1095" t="s">
        <v>920</v>
      </c>
      <c r="G1095" t="s">
        <v>921</v>
      </c>
      <c r="I1095">
        <v>2004</v>
      </c>
      <c r="K1095" t="s">
        <v>922</v>
      </c>
      <c r="M1095" t="str">
        <f t="shared" si="310"/>
        <v>Lippke_2004</v>
      </c>
      <c r="N1095" t="s">
        <v>223</v>
      </c>
      <c r="O1095" t="s">
        <v>224</v>
      </c>
      <c r="Q1095" t="s">
        <v>257</v>
      </c>
      <c r="R1095" s="255" t="s">
        <v>226</v>
      </c>
      <c r="S1095" s="1" t="s">
        <v>754</v>
      </c>
      <c r="T1095" t="s">
        <v>923</v>
      </c>
      <c r="U1095" s="266" t="s">
        <v>924</v>
      </c>
      <c r="V1095">
        <v>0</v>
      </c>
      <c r="W1095">
        <v>0</v>
      </c>
      <c r="X1095">
        <v>0</v>
      </c>
      <c r="Y1095">
        <v>0</v>
      </c>
      <c r="Z1095">
        <v>0</v>
      </c>
      <c r="AA1095">
        <v>0</v>
      </c>
      <c r="AB1095">
        <v>0</v>
      </c>
      <c r="AC1095">
        <v>0</v>
      </c>
      <c r="AD1095">
        <v>0</v>
      </c>
      <c r="AE1095">
        <v>0</v>
      </c>
      <c r="AF1095">
        <v>0</v>
      </c>
      <c r="AG1095">
        <v>0</v>
      </c>
      <c r="AH1095">
        <v>0</v>
      </c>
      <c r="AI1095">
        <v>0</v>
      </c>
      <c r="AJ1095">
        <v>0</v>
      </c>
      <c r="AK1095">
        <v>1</v>
      </c>
      <c r="AL1095">
        <v>0</v>
      </c>
      <c r="AM1095">
        <v>0</v>
      </c>
      <c r="AN1095">
        <v>0</v>
      </c>
      <c r="AO1095">
        <v>0</v>
      </c>
      <c r="AP1095">
        <v>0</v>
      </c>
      <c r="AQ1095">
        <v>0</v>
      </c>
      <c r="AR1095">
        <v>0</v>
      </c>
      <c r="AS1095">
        <v>0</v>
      </c>
      <c r="AT1095">
        <v>0</v>
      </c>
      <c r="AU1095">
        <v>0</v>
      </c>
      <c r="AV1095">
        <v>0</v>
      </c>
      <c r="AW1095">
        <v>0</v>
      </c>
      <c r="AX1095" s="141">
        <f t="shared" si="321"/>
        <v>1</v>
      </c>
      <c r="AY1095" s="141">
        <f t="shared" si="292"/>
        <v>1</v>
      </c>
      <c r="AZ1095">
        <f t="shared" si="293"/>
        <v>0</v>
      </c>
      <c r="BA1095">
        <f t="shared" si="294"/>
        <v>0</v>
      </c>
      <c r="BB1095">
        <f t="shared" si="295"/>
        <v>1</v>
      </c>
      <c r="BC1095">
        <f t="shared" si="296"/>
        <v>0</v>
      </c>
      <c r="BD1095">
        <f t="shared" si="297"/>
        <v>0</v>
      </c>
      <c r="BE1095" t="str">
        <f t="array" ref="BE1095">IF(AY1095=1,INDEX($V$7:$AL$7,MATCH(TRUE,INDEX($V1095:$AW1095&lt;&gt;0,),0)),IF(AY1095=0,INDEX($AM$7:$AW$7,MATCH(1,$AM1095:$AW1095,0)),IF(BF1095="Multiple strategies","mixed drivers",IF(BF1095="Supply chain","multiple supply","multiple silviculture"))))</f>
        <v>technologies/design switch</v>
      </c>
      <c r="BF1095" s="2" t="str" cm="1">
        <f t="array" ref="BF1095">IF(COUNTIF(AZ1095:BB1095,"&lt;&gt;0")=1,INDEX($V$4:$AW$4,MATCH(TRUE,INDEX($V1095:$AW1095&lt;&gt;0,),0)),IF(COUNTIF(AZ1095:BB1095,"&lt;&gt;0")=0,INDEX($AM$4:$AW$4,MATCH(1,$AM1095:$AW1095,0)),"Multiple strategies"))</f>
        <v>Technology</v>
      </c>
      <c r="BG1095" s="1" t="s">
        <v>230</v>
      </c>
      <c r="BH1095" t="s">
        <v>925</v>
      </c>
      <c r="BI1095" s="260" t="s">
        <v>3373</v>
      </c>
      <c r="BJ1095" s="266" t="s">
        <v>346</v>
      </c>
      <c r="BK1095">
        <v>8191</v>
      </c>
      <c r="BL1095" s="266">
        <v>9811</v>
      </c>
      <c r="BM1095" s="266">
        <f>BL1095/BK1095</f>
        <v>1.1977780490782566</v>
      </c>
      <c r="BN1095">
        <f t="shared" si="332"/>
        <v>1620</v>
      </c>
      <c r="BO1095" s="266">
        <f t="shared" si="335"/>
        <v>3.306122448979592</v>
      </c>
      <c r="BP1095" t="s">
        <v>233</v>
      </c>
      <c r="BQ1095" s="260" t="s">
        <v>815</v>
      </c>
      <c r="BR1095" t="s">
        <v>730</v>
      </c>
      <c r="BS1095" s="266">
        <v>-28004</v>
      </c>
      <c r="BT1095">
        <v>-21367</v>
      </c>
      <c r="BU1095" s="144">
        <f t="shared" si="328"/>
        <v>0.7629981431224111</v>
      </c>
      <c r="BV1095">
        <f t="shared" si="327"/>
        <v>6637</v>
      </c>
      <c r="BX1095">
        <f t="shared" si="333"/>
        <v>6.6369999999999996</v>
      </c>
      <c r="BY1095">
        <f t="shared" si="319"/>
        <v>2.0074876543209874</v>
      </c>
      <c r="BZ1095">
        <v>0</v>
      </c>
      <c r="CA1095">
        <v>0</v>
      </c>
      <c r="CB1095">
        <v>0</v>
      </c>
      <c r="CC1095">
        <v>0</v>
      </c>
      <c r="CD1095">
        <v>0</v>
      </c>
      <c r="CE1095">
        <v>0</v>
      </c>
      <c r="CF1095">
        <v>0</v>
      </c>
      <c r="CG1095">
        <v>0</v>
      </c>
      <c r="CH1095">
        <v>0</v>
      </c>
      <c r="CI1095">
        <v>0</v>
      </c>
      <c r="CJ1095">
        <v>1</v>
      </c>
      <c r="CK1095">
        <v>0</v>
      </c>
      <c r="CL1095">
        <v>0</v>
      </c>
      <c r="CM1095">
        <v>0</v>
      </c>
      <c r="CN1095" t="str">
        <f t="shared" si="334"/>
        <v>refOK</v>
      </c>
      <c r="CO1095">
        <f>IF($CN1095="refNeedCorrection",BL1095,BK1095)</f>
        <v>8191</v>
      </c>
      <c r="CP1095">
        <f>IF($CN1095="refNeedCorrection",BK1095,BL1095)</f>
        <v>9811</v>
      </c>
      <c r="CQ1095">
        <f t="shared" si="331"/>
        <v>3.306122448979592</v>
      </c>
      <c r="CR1095">
        <f t="shared" si="329"/>
        <v>-28004</v>
      </c>
      <c r="CS1095">
        <f t="shared" si="330"/>
        <v>-21367</v>
      </c>
      <c r="CT1095">
        <f t="shared" si="322"/>
        <v>6.6369999999999996</v>
      </c>
      <c r="CU1095">
        <f t="shared" si="312"/>
        <v>2.0074876543209874</v>
      </c>
      <c r="CV1095" s="2">
        <f t="shared" si="323"/>
        <v>0.23700185687758893</v>
      </c>
      <c r="CW1095" s="1" t="s">
        <v>264</v>
      </c>
      <c r="CX1095" t="str">
        <f t="shared" si="298"/>
        <v>loc</v>
      </c>
      <c r="CY1095" t="s">
        <v>429</v>
      </c>
      <c r="DA1095" s="143"/>
      <c r="DB1095" s="266">
        <v>0</v>
      </c>
      <c r="DC1095" t="str">
        <f t="shared" si="299"/>
        <v>0</v>
      </c>
      <c r="DD1095">
        <v>0</v>
      </c>
      <c r="DE1095">
        <v>0</v>
      </c>
      <c r="DF1095">
        <v>0</v>
      </c>
      <c r="DG1095">
        <v>1</v>
      </c>
      <c r="DI1095">
        <f t="shared" si="326"/>
        <v>1</v>
      </c>
      <c r="DJ1095" t="str">
        <f t="shared" si="311"/>
        <v>TimberInput</v>
      </c>
      <c r="DK1095">
        <f t="shared" si="277"/>
        <v>0</v>
      </c>
      <c r="DL1095">
        <f t="shared" si="278"/>
        <v>0</v>
      </c>
      <c r="DM1095">
        <f t="shared" si="279"/>
        <v>0</v>
      </c>
      <c r="DN1095" t="str">
        <f t="shared" si="280"/>
        <v>Timber</v>
      </c>
      <c r="DO1095">
        <v>0</v>
      </c>
      <c r="DP1095" s="143">
        <v>0</v>
      </c>
      <c r="DQ1095" s="143">
        <v>0</v>
      </c>
      <c r="DR1095">
        <v>0</v>
      </c>
      <c r="DS1095" s="143">
        <v>0</v>
      </c>
      <c r="DT1095">
        <f t="shared" si="315"/>
        <v>0</v>
      </c>
      <c r="DU1095" s="143" t="str">
        <f t="shared" si="301"/>
        <v>explicit C balance</v>
      </c>
      <c r="DV1095" s="143">
        <v>0</v>
      </c>
      <c r="DW1095" s="143">
        <v>0</v>
      </c>
      <c r="DX1095">
        <v>0</v>
      </c>
      <c r="DY1095">
        <v>0</v>
      </c>
      <c r="DZ1095">
        <v>0</v>
      </c>
      <c r="EA1095" s="143">
        <v>0</v>
      </c>
      <c r="EB1095" s="143">
        <v>0</v>
      </c>
      <c r="EC1095">
        <v>1</v>
      </c>
      <c r="ED1095" s="143">
        <v>0</v>
      </c>
      <c r="EE1095">
        <v>1</v>
      </c>
      <c r="EF1095">
        <v>0</v>
      </c>
      <c r="EG1095" s="143">
        <v>0</v>
      </c>
      <c r="EH1095">
        <v>0</v>
      </c>
      <c r="EI1095" s="2">
        <v>0</v>
      </c>
      <c r="EK1095" t="str">
        <f t="shared" si="281"/>
        <v/>
      </c>
      <c r="EL1095" t="str">
        <f t="shared" si="282"/>
        <v/>
      </c>
      <c r="EM1095" s="2" t="str">
        <f t="shared" si="300"/>
        <v>Technology approach</v>
      </c>
      <c r="EN1095" s="266" t="s">
        <v>3374</v>
      </c>
      <c r="EP1095" t="str">
        <f>IF(ISNUMBER(BU1095),IF(ABS(BU1095-[4]QC_indicators!$B$2)&gt;3*[4]QC_indicators!$C$2,"C ratio",IF(ISNUMBER(BY1095),IF(ABS(BY1095-[4]QC_indicators!$B$1)&gt;3*[4]QC_indicators!$C$1,"DF","no"))),IF(ISNUMBER(BY1095),IF(ABS(BY1095-[4]QC_indicators!$B$1)&gt;3*[4]QC_indicators!$C$1,"DF","no")))</f>
        <v>no</v>
      </c>
      <c r="ER1095" s="149" t="s">
        <v>350</v>
      </c>
      <c r="ET1095" s="266" t="s">
        <v>3275</v>
      </c>
    </row>
    <row r="1096" spans="1:150" hidden="1">
      <c r="A1096" s="1" t="s">
        <v>334</v>
      </c>
      <c r="B1096" t="s">
        <v>947</v>
      </c>
      <c r="C1096" t="s">
        <v>948</v>
      </c>
      <c r="D1096" t="s">
        <v>949</v>
      </c>
      <c r="E1096" t="s">
        <v>950</v>
      </c>
      <c r="F1096" t="s">
        <v>951</v>
      </c>
      <c r="G1096" t="s">
        <v>340</v>
      </c>
      <c r="H1096" t="s">
        <v>255</v>
      </c>
      <c r="I1096">
        <v>2021</v>
      </c>
      <c r="J1096">
        <v>0</v>
      </c>
      <c r="K1096" t="s">
        <v>952</v>
      </c>
      <c r="M1096" t="str">
        <f t="shared" si="310"/>
        <v>Morris_2021</v>
      </c>
      <c r="N1096" t="s">
        <v>223</v>
      </c>
      <c r="O1096" t="s">
        <v>224</v>
      </c>
      <c r="Q1096" t="s">
        <v>257</v>
      </c>
      <c r="R1096" s="255" t="s">
        <v>226</v>
      </c>
      <c r="S1096" s="1" t="s">
        <v>958</v>
      </c>
      <c r="T1096" t="s">
        <v>797</v>
      </c>
      <c r="U1096" t="s">
        <v>959</v>
      </c>
      <c r="V1096">
        <v>0</v>
      </c>
      <c r="W1096">
        <v>0</v>
      </c>
      <c r="X1096">
        <v>0</v>
      </c>
      <c r="Y1096">
        <v>0</v>
      </c>
      <c r="Z1096">
        <v>0</v>
      </c>
      <c r="AA1096">
        <v>0</v>
      </c>
      <c r="AB1096">
        <v>0</v>
      </c>
      <c r="AC1096">
        <v>0</v>
      </c>
      <c r="AD1096">
        <v>0</v>
      </c>
      <c r="AE1096">
        <v>0</v>
      </c>
      <c r="AF1096">
        <v>0</v>
      </c>
      <c r="AG1096">
        <v>0</v>
      </c>
      <c r="AH1096">
        <v>0</v>
      </c>
      <c r="AI1096">
        <v>0</v>
      </c>
      <c r="AJ1096">
        <v>0</v>
      </c>
      <c r="AK1096">
        <v>1</v>
      </c>
      <c r="AL1096">
        <v>0</v>
      </c>
      <c r="AM1096">
        <v>0</v>
      </c>
      <c r="AN1096">
        <v>0</v>
      </c>
      <c r="AO1096">
        <v>0</v>
      </c>
      <c r="AP1096">
        <v>0</v>
      </c>
      <c r="AQ1096">
        <v>0</v>
      </c>
      <c r="AR1096">
        <v>0</v>
      </c>
      <c r="AS1096">
        <v>0</v>
      </c>
      <c r="AT1096">
        <v>0</v>
      </c>
      <c r="AU1096">
        <v>0</v>
      </c>
      <c r="AV1096">
        <v>0</v>
      </c>
      <c r="AW1096">
        <v>0</v>
      </c>
      <c r="AX1096" s="141">
        <f t="shared" si="321"/>
        <v>1</v>
      </c>
      <c r="AY1096" s="141">
        <f t="shared" si="292"/>
        <v>1</v>
      </c>
      <c r="AZ1096">
        <f t="shared" si="293"/>
        <v>0</v>
      </c>
      <c r="BA1096">
        <f t="shared" si="294"/>
        <v>0</v>
      </c>
      <c r="BB1096">
        <f t="shared" si="295"/>
        <v>1</v>
      </c>
      <c r="BC1096">
        <f t="shared" si="296"/>
        <v>0</v>
      </c>
      <c r="BD1096">
        <f t="shared" si="297"/>
        <v>0</v>
      </c>
      <c r="BE1096" t="str">
        <f t="array" ref="BE1096">IF(AY1096=1,INDEX($V$7:$AL$7,MATCH(TRUE,INDEX($V1096:$AW1096&lt;&gt;0,),0)),IF(AY1096=0,INDEX($AM$7:$AW$7,MATCH(1,$AM1096:$AW1096,0)),IF(BF1096="Multiple strategies","mixed drivers",IF(BF1096="Supply chain","multiple supply","multiple silviculture"))))</f>
        <v>technologies/design switch</v>
      </c>
      <c r="BF1096" s="2" t="str" cm="1">
        <f t="array" ref="BF1096">IF(COUNTIF(AZ1096:BB1096,"&lt;&gt;0")=1,INDEX($V$4:$AW$4,MATCH(TRUE,INDEX($V1096:$AW1096&lt;&gt;0,),0)),IF(COUNTIF(AZ1096:BB1096,"&lt;&gt;0")=0,INDEX($AM$4:$AW$4,MATCH(1,$AM1096:$AW1096,0)),"Multiple strategies"))</f>
        <v>Technology</v>
      </c>
      <c r="BG1096" s="1" t="s">
        <v>230</v>
      </c>
      <c r="BH1096" t="s">
        <v>956</v>
      </c>
      <c r="BI1096" s="260" t="s">
        <v>3375</v>
      </c>
      <c r="BJ1096" t="s">
        <v>346</v>
      </c>
      <c r="BK1096">
        <v>0</v>
      </c>
      <c r="BL1096">
        <v>116.6</v>
      </c>
      <c r="BN1096">
        <f t="shared" si="332"/>
        <v>116.6</v>
      </c>
      <c r="BO1096">
        <f t="shared" si="335"/>
        <v>0.23795918367346941</v>
      </c>
      <c r="BP1096" t="s">
        <v>233</v>
      </c>
      <c r="BQ1096" s="260" t="s">
        <v>3378</v>
      </c>
      <c r="BR1096" t="s">
        <v>957</v>
      </c>
      <c r="BS1096">
        <v>-141.19999999999999</v>
      </c>
      <c r="BT1096">
        <v>-175.4</v>
      </c>
      <c r="BU1096" s="144">
        <f t="shared" si="328"/>
        <v>1.2422096317280455</v>
      </c>
      <c r="BV1096">
        <f t="shared" si="327"/>
        <v>-34.200000000000017</v>
      </c>
      <c r="BX1096">
        <f t="shared" si="333"/>
        <v>-3.4200000000000015E-2</v>
      </c>
      <c r="BY1096">
        <f t="shared" si="319"/>
        <v>-0.14372212692967415</v>
      </c>
      <c r="BZ1096">
        <v>1</v>
      </c>
      <c r="CA1096">
        <v>0</v>
      </c>
      <c r="CB1096">
        <v>0</v>
      </c>
      <c r="CC1096">
        <v>0</v>
      </c>
      <c r="CD1096">
        <v>0</v>
      </c>
      <c r="CE1096">
        <v>1</v>
      </c>
      <c r="CF1096">
        <v>0</v>
      </c>
      <c r="CG1096">
        <v>1</v>
      </c>
      <c r="CH1096">
        <v>0</v>
      </c>
      <c r="CI1096">
        <v>0</v>
      </c>
      <c r="CJ1096">
        <v>0</v>
      </c>
      <c r="CK1096">
        <v>0</v>
      </c>
      <c r="CL1096">
        <v>0</v>
      </c>
      <c r="CM1096">
        <v>0</v>
      </c>
      <c r="CN1096" t="str">
        <f t="shared" si="334"/>
        <v>refOK</v>
      </c>
      <c r="CO1096">
        <f t="shared" ref="CO1096:CO1107" si="336">IF($CN1096="refOK",$BK1096,$BL1096)</f>
        <v>0</v>
      </c>
      <c r="CP1096">
        <f t="shared" ref="CP1096:CP1107" si="337">IF($CN1096="refOK",$BL1096,$BK1096)</f>
        <v>116.6</v>
      </c>
      <c r="CQ1096">
        <f t="shared" si="331"/>
        <v>0.23795918367346941</v>
      </c>
      <c r="CR1096">
        <f t="shared" si="329"/>
        <v>-141.19999999999999</v>
      </c>
      <c r="CS1096">
        <f t="shared" si="330"/>
        <v>-175.4</v>
      </c>
      <c r="CT1096">
        <f t="shared" si="322"/>
        <v>-3.4200000000000015E-2</v>
      </c>
      <c r="CU1096">
        <f t="shared" si="312"/>
        <v>-0.14372212692967415</v>
      </c>
      <c r="CV1096" s="2">
        <f t="shared" si="323"/>
        <v>-0.24220963172804547</v>
      </c>
      <c r="CW1096" s="1" t="s">
        <v>264</v>
      </c>
      <c r="CX1096" t="str">
        <f t="shared" si="298"/>
        <v>loc</v>
      </c>
      <c r="CY1096" t="s">
        <v>600</v>
      </c>
      <c r="DB1096">
        <v>0</v>
      </c>
      <c r="DC1096" t="str">
        <f t="shared" si="299"/>
        <v>0</v>
      </c>
      <c r="DD1096">
        <v>0</v>
      </c>
      <c r="DE1096">
        <v>0</v>
      </c>
      <c r="DF1096">
        <v>0</v>
      </c>
      <c r="DG1096">
        <v>1</v>
      </c>
      <c r="DI1096">
        <f t="shared" si="326"/>
        <v>1</v>
      </c>
      <c r="DJ1096" t="str">
        <f t="shared" si="311"/>
        <v>TimberInput</v>
      </c>
      <c r="DK1096">
        <f t="shared" ref="DK1096:DK1159" si="338">IF(DD1096=1,DK$7,0)</f>
        <v>0</v>
      </c>
      <c r="DL1096">
        <f t="shared" ref="DL1096:DL1159" si="339">IF(DE1096=1,DL$7,0)</f>
        <v>0</v>
      </c>
      <c r="DM1096">
        <f t="shared" ref="DM1096:DM1159" si="340">IF(DF1096=1,DM$7,0)</f>
        <v>0</v>
      </c>
      <c r="DN1096" t="str">
        <f t="shared" ref="DN1096:DN1159" si="341">IF(DG1096=1,DN$7,0)</f>
        <v>Timber</v>
      </c>
      <c r="DO1096">
        <v>0</v>
      </c>
      <c r="DP1096">
        <v>1</v>
      </c>
      <c r="DQ1096">
        <v>0</v>
      </c>
      <c r="DR1096">
        <v>0</v>
      </c>
      <c r="DS1096">
        <v>0</v>
      </c>
      <c r="DT1096">
        <f t="shared" si="315"/>
        <v>1</v>
      </c>
      <c r="DU1096" s="143" t="str">
        <f t="shared" si="301"/>
        <v>external DF used</v>
      </c>
      <c r="DV1096">
        <v>0</v>
      </c>
      <c r="DW1096">
        <v>0</v>
      </c>
      <c r="DX1096">
        <v>0</v>
      </c>
      <c r="DY1096">
        <v>1</v>
      </c>
      <c r="DZ1096">
        <v>0</v>
      </c>
      <c r="EA1096" s="143">
        <v>1</v>
      </c>
      <c r="EB1096">
        <v>1</v>
      </c>
      <c r="EC1096">
        <v>1</v>
      </c>
      <c r="ED1096">
        <v>0</v>
      </c>
      <c r="EE1096">
        <v>1</v>
      </c>
      <c r="EF1096">
        <v>0</v>
      </c>
      <c r="EG1096">
        <v>0</v>
      </c>
      <c r="EH1096">
        <v>0</v>
      </c>
      <c r="EI1096" s="2">
        <v>0</v>
      </c>
      <c r="EK1096" t="str">
        <f t="shared" ref="EK1096:EK1159" si="342">IF(AND(AND(AND(OR($DX1096=1,$DW1096=1),OR($EC1096=1,$EA1096=1)),SUM($DV1096:$DZ1096,$EF1096)&gt;=4),SUM($EA1096:$EE1096)&gt;=2),"Whole sector","")</f>
        <v/>
      </c>
      <c r="EL1096" t="str">
        <f t="shared" ref="EL1096:EL1159" si="343">IF(AND(AND(OR($DX1096=1,$DW1096=1),AND($EC1096=0,$EA1096=0)),SUM($DV1096:$DZ1096,$EF1096)&gt;=4),"Ecosystem approach","")</f>
        <v/>
      </c>
      <c r="EM1096" s="2" t="str">
        <f t="shared" si="300"/>
        <v>Technology approach</v>
      </c>
      <c r="EP1096" t="str">
        <f>IF(ISNUMBER(BU1096),IF(ABS(BU1096-[4]QC_indicators!$B$2)&gt;3*[4]QC_indicators!$C$2,"C ratio",IF(ISNUMBER(BY1096),IF(ABS(BY1096-[4]QC_indicators!$B$1)&gt;3*[4]QC_indicators!$C$1,"DF","no"))),IF(ISNUMBER(BY1096),IF(ABS(BY1096-[4]QC_indicators!$B$1)&gt;3*[4]QC_indicators!$C$1,"DF","no")))</f>
        <v>no</v>
      </c>
      <c r="ER1096" s="149" t="s">
        <v>350</v>
      </c>
      <c r="ET1096" s="266" t="s">
        <v>3275</v>
      </c>
    </row>
    <row r="1097" spans="1:150" hidden="1">
      <c r="A1097" s="1" t="s">
        <v>334</v>
      </c>
      <c r="B1097" t="s">
        <v>947</v>
      </c>
      <c r="C1097" t="s">
        <v>948</v>
      </c>
      <c r="D1097" t="s">
        <v>949</v>
      </c>
      <c r="E1097" t="s">
        <v>950</v>
      </c>
      <c r="F1097" t="s">
        <v>951</v>
      </c>
      <c r="G1097" t="s">
        <v>340</v>
      </c>
      <c r="H1097" t="s">
        <v>255</v>
      </c>
      <c r="I1097">
        <v>2021</v>
      </c>
      <c r="J1097">
        <v>0</v>
      </c>
      <c r="K1097" t="s">
        <v>952</v>
      </c>
      <c r="M1097" t="str">
        <f t="shared" si="310"/>
        <v>Morris_2021</v>
      </c>
      <c r="N1097" t="s">
        <v>223</v>
      </c>
      <c r="O1097" t="s">
        <v>224</v>
      </c>
      <c r="Q1097" t="s">
        <v>257</v>
      </c>
      <c r="R1097" s="255" t="s">
        <v>226</v>
      </c>
      <c r="S1097" s="1" t="s">
        <v>958</v>
      </c>
      <c r="T1097" t="s">
        <v>797</v>
      </c>
      <c r="U1097" t="s">
        <v>959</v>
      </c>
      <c r="V1097">
        <v>0</v>
      </c>
      <c r="W1097">
        <v>0</v>
      </c>
      <c r="X1097">
        <v>0</v>
      </c>
      <c r="Y1097">
        <v>0</v>
      </c>
      <c r="Z1097">
        <v>0</v>
      </c>
      <c r="AA1097">
        <v>0</v>
      </c>
      <c r="AB1097">
        <v>0</v>
      </c>
      <c r="AC1097">
        <v>0</v>
      </c>
      <c r="AD1097">
        <v>0</v>
      </c>
      <c r="AE1097">
        <v>0</v>
      </c>
      <c r="AF1097">
        <v>0</v>
      </c>
      <c r="AG1097">
        <v>0</v>
      </c>
      <c r="AH1097">
        <v>0</v>
      </c>
      <c r="AI1097">
        <v>0</v>
      </c>
      <c r="AJ1097">
        <v>0</v>
      </c>
      <c r="AK1097">
        <v>1</v>
      </c>
      <c r="AL1097">
        <v>0</v>
      </c>
      <c r="AM1097">
        <v>0</v>
      </c>
      <c r="AN1097">
        <v>0</v>
      </c>
      <c r="AO1097">
        <v>0</v>
      </c>
      <c r="AP1097">
        <v>0</v>
      </c>
      <c r="AQ1097">
        <v>0</v>
      </c>
      <c r="AR1097">
        <v>0</v>
      </c>
      <c r="AS1097">
        <v>0</v>
      </c>
      <c r="AT1097">
        <v>0</v>
      </c>
      <c r="AU1097">
        <v>0</v>
      </c>
      <c r="AV1097">
        <v>0</v>
      </c>
      <c r="AW1097">
        <v>0</v>
      </c>
      <c r="AX1097" s="141">
        <f t="shared" si="321"/>
        <v>1</v>
      </c>
      <c r="AY1097" s="141">
        <f t="shared" si="292"/>
        <v>1</v>
      </c>
      <c r="AZ1097">
        <f t="shared" si="293"/>
        <v>0</v>
      </c>
      <c r="BA1097">
        <f t="shared" si="294"/>
        <v>0</v>
      </c>
      <c r="BB1097">
        <f t="shared" si="295"/>
        <v>1</v>
      </c>
      <c r="BC1097">
        <f t="shared" si="296"/>
        <v>0</v>
      </c>
      <c r="BD1097">
        <f t="shared" si="297"/>
        <v>0</v>
      </c>
      <c r="BE1097" t="str">
        <f t="array" ref="BE1097">IF(AY1097=1,INDEX($V$7:$AL$7,MATCH(TRUE,INDEX($V1097:$AW1097&lt;&gt;0,),0)),IF(AY1097=0,INDEX($AM$7:$AW$7,MATCH(1,$AM1097:$AW1097,0)),IF(BF1097="Multiple strategies","mixed drivers",IF(BF1097="Supply chain","multiple supply","multiple silviculture"))))</f>
        <v>technologies/design switch</v>
      </c>
      <c r="BF1097" s="2" t="str" cm="1">
        <f t="array" ref="BF1097">IF(COUNTIF(AZ1097:BB1097,"&lt;&gt;0")=1,INDEX($V$4:$AW$4,MATCH(TRUE,INDEX($V1097:$AW1097&lt;&gt;0,),0)),IF(COUNTIF(AZ1097:BB1097,"&lt;&gt;0")=0,INDEX($AM$4:$AW$4,MATCH(1,$AM1097:$AW1097,0)),"Multiple strategies"))</f>
        <v>Technology</v>
      </c>
      <c r="BG1097" s="1" t="s">
        <v>230</v>
      </c>
      <c r="BH1097" t="s">
        <v>956</v>
      </c>
      <c r="BI1097" s="260" t="s">
        <v>3375</v>
      </c>
      <c r="BJ1097" t="s">
        <v>346</v>
      </c>
      <c r="BK1097">
        <v>0</v>
      </c>
      <c r="BL1097">
        <v>116.6</v>
      </c>
      <c r="BN1097">
        <f t="shared" si="332"/>
        <v>116.6</v>
      </c>
      <c r="BO1097">
        <f t="shared" si="335"/>
        <v>0.23795918367346941</v>
      </c>
      <c r="BP1097" t="s">
        <v>233</v>
      </c>
      <c r="BQ1097" s="260" t="s">
        <v>3379</v>
      </c>
      <c r="BR1097" t="s">
        <v>957</v>
      </c>
      <c r="BS1097">
        <v>-139.69999999999999</v>
      </c>
      <c r="BT1097">
        <v>-159.69999999999999</v>
      </c>
      <c r="BU1097" s="144">
        <f t="shared" si="328"/>
        <v>1.1431639226914818</v>
      </c>
      <c r="BV1097">
        <f t="shared" si="327"/>
        <v>-20</v>
      </c>
      <c r="BX1097">
        <f t="shared" si="333"/>
        <v>-0.02</v>
      </c>
      <c r="BY1097">
        <f t="shared" si="319"/>
        <v>-8.4048027444253853E-2</v>
      </c>
      <c r="BZ1097">
        <v>1</v>
      </c>
      <c r="CA1097">
        <v>0</v>
      </c>
      <c r="CB1097">
        <v>0</v>
      </c>
      <c r="CC1097">
        <v>0</v>
      </c>
      <c r="CD1097">
        <v>0</v>
      </c>
      <c r="CE1097">
        <v>1</v>
      </c>
      <c r="CF1097">
        <v>0</v>
      </c>
      <c r="CG1097">
        <v>1</v>
      </c>
      <c r="CH1097">
        <v>0</v>
      </c>
      <c r="CI1097">
        <v>0</v>
      </c>
      <c r="CJ1097">
        <v>0</v>
      </c>
      <c r="CK1097">
        <v>0</v>
      </c>
      <c r="CL1097">
        <v>0</v>
      </c>
      <c r="CM1097">
        <v>0</v>
      </c>
      <c r="CN1097" t="str">
        <f t="shared" si="334"/>
        <v>refOK</v>
      </c>
      <c r="CO1097">
        <f t="shared" si="336"/>
        <v>0</v>
      </c>
      <c r="CP1097">
        <f t="shared" si="337"/>
        <v>116.6</v>
      </c>
      <c r="CQ1097">
        <f t="shared" si="331"/>
        <v>0.23795918367346941</v>
      </c>
      <c r="CR1097">
        <f t="shared" si="329"/>
        <v>-139.69999999999999</v>
      </c>
      <c r="CS1097">
        <f t="shared" si="330"/>
        <v>-159.69999999999999</v>
      </c>
      <c r="CT1097">
        <f t="shared" si="322"/>
        <v>-0.02</v>
      </c>
      <c r="CU1097">
        <f t="shared" si="312"/>
        <v>-8.4048027444253853E-2</v>
      </c>
      <c r="CV1097" s="2">
        <f t="shared" si="323"/>
        <v>-0.14316392269148176</v>
      </c>
      <c r="CW1097" s="1" t="s">
        <v>264</v>
      </c>
      <c r="CX1097" t="str">
        <f t="shared" si="298"/>
        <v>loc</v>
      </c>
      <c r="CY1097" t="s">
        <v>600</v>
      </c>
      <c r="DB1097">
        <v>0</v>
      </c>
      <c r="DC1097" t="str">
        <f t="shared" si="299"/>
        <v>0</v>
      </c>
      <c r="DD1097">
        <v>0</v>
      </c>
      <c r="DE1097">
        <v>0</v>
      </c>
      <c r="DF1097">
        <v>0</v>
      </c>
      <c r="DG1097">
        <v>1</v>
      </c>
      <c r="DI1097">
        <f t="shared" si="326"/>
        <v>1</v>
      </c>
      <c r="DJ1097" t="str">
        <f t="shared" si="311"/>
        <v>TimberInput</v>
      </c>
      <c r="DK1097">
        <f t="shared" si="338"/>
        <v>0</v>
      </c>
      <c r="DL1097">
        <f t="shared" si="339"/>
        <v>0</v>
      </c>
      <c r="DM1097">
        <f t="shared" si="340"/>
        <v>0</v>
      </c>
      <c r="DN1097" t="str">
        <f t="shared" si="341"/>
        <v>Timber</v>
      </c>
      <c r="DO1097">
        <v>0</v>
      </c>
      <c r="DP1097">
        <v>0</v>
      </c>
      <c r="DQ1097">
        <v>0</v>
      </c>
      <c r="DR1097">
        <v>0</v>
      </c>
      <c r="DS1097">
        <v>0</v>
      </c>
      <c r="DT1097">
        <f t="shared" si="315"/>
        <v>0</v>
      </c>
      <c r="DU1097" s="143" t="str">
        <f t="shared" si="301"/>
        <v>explicit C balance</v>
      </c>
      <c r="DV1097">
        <v>0</v>
      </c>
      <c r="DW1097">
        <v>0</v>
      </c>
      <c r="DX1097">
        <v>0</v>
      </c>
      <c r="DY1097">
        <v>0</v>
      </c>
      <c r="DZ1097">
        <v>0</v>
      </c>
      <c r="EA1097" s="143">
        <v>0</v>
      </c>
      <c r="EB1097">
        <v>1</v>
      </c>
      <c r="EC1097">
        <v>1</v>
      </c>
      <c r="ED1097">
        <v>0</v>
      </c>
      <c r="EE1097">
        <v>1</v>
      </c>
      <c r="EF1097">
        <v>0</v>
      </c>
      <c r="EG1097">
        <v>0</v>
      </c>
      <c r="EH1097">
        <v>0</v>
      </c>
      <c r="EI1097" s="2">
        <v>0</v>
      </c>
      <c r="EK1097" t="str">
        <f t="shared" si="342"/>
        <v/>
      </c>
      <c r="EL1097" t="str">
        <f t="shared" si="343"/>
        <v/>
      </c>
      <c r="EM1097" s="2" t="str">
        <f t="shared" si="300"/>
        <v>Technology approach</v>
      </c>
      <c r="EP1097" t="str">
        <f>IF(ISNUMBER(BU1097),IF(ABS(BU1097-[4]QC_indicators!$B$2)&gt;3*[4]QC_indicators!$C$2,"C ratio",IF(ISNUMBER(BY1097),IF(ABS(BY1097-[4]QC_indicators!$B$1)&gt;3*[4]QC_indicators!$C$1,"DF","no"))),IF(ISNUMBER(BY1097),IF(ABS(BY1097-[4]QC_indicators!$B$1)&gt;3*[4]QC_indicators!$C$1,"DF","no")))</f>
        <v>no</v>
      </c>
      <c r="ER1097" s="149" t="s">
        <v>350</v>
      </c>
      <c r="ET1097" s="266" t="s">
        <v>3275</v>
      </c>
    </row>
    <row r="1098" spans="1:150" hidden="1">
      <c r="A1098" s="1" t="s">
        <v>334</v>
      </c>
      <c r="B1098" t="s">
        <v>947</v>
      </c>
      <c r="C1098" t="s">
        <v>948</v>
      </c>
      <c r="D1098" t="s">
        <v>949</v>
      </c>
      <c r="E1098" t="s">
        <v>950</v>
      </c>
      <c r="F1098" t="s">
        <v>951</v>
      </c>
      <c r="G1098" t="s">
        <v>340</v>
      </c>
      <c r="H1098" t="s">
        <v>255</v>
      </c>
      <c r="I1098">
        <v>2021</v>
      </c>
      <c r="J1098">
        <v>0</v>
      </c>
      <c r="K1098" t="s">
        <v>952</v>
      </c>
      <c r="M1098" t="str">
        <f t="shared" si="310"/>
        <v>Morris_2021</v>
      </c>
      <c r="N1098" t="s">
        <v>223</v>
      </c>
      <c r="O1098" t="s">
        <v>224</v>
      </c>
      <c r="Q1098" t="s">
        <v>257</v>
      </c>
      <c r="R1098" s="255" t="s">
        <v>226</v>
      </c>
      <c r="S1098" s="1" t="s">
        <v>958</v>
      </c>
      <c r="T1098" t="s">
        <v>797</v>
      </c>
      <c r="U1098" t="s">
        <v>959</v>
      </c>
      <c r="V1098">
        <v>0</v>
      </c>
      <c r="W1098">
        <v>0</v>
      </c>
      <c r="X1098">
        <v>0</v>
      </c>
      <c r="Y1098">
        <v>0</v>
      </c>
      <c r="Z1098">
        <v>0</v>
      </c>
      <c r="AA1098">
        <v>0</v>
      </c>
      <c r="AB1098">
        <v>0</v>
      </c>
      <c r="AC1098">
        <v>0</v>
      </c>
      <c r="AD1098">
        <v>0</v>
      </c>
      <c r="AE1098">
        <v>0</v>
      </c>
      <c r="AF1098">
        <v>0</v>
      </c>
      <c r="AG1098">
        <v>0</v>
      </c>
      <c r="AH1098">
        <v>0</v>
      </c>
      <c r="AI1098">
        <v>0</v>
      </c>
      <c r="AJ1098">
        <v>0</v>
      </c>
      <c r="AK1098">
        <v>1</v>
      </c>
      <c r="AL1098">
        <v>0</v>
      </c>
      <c r="AM1098">
        <v>0</v>
      </c>
      <c r="AN1098">
        <v>0</v>
      </c>
      <c r="AO1098">
        <v>0</v>
      </c>
      <c r="AP1098">
        <v>0</v>
      </c>
      <c r="AQ1098">
        <v>0</v>
      </c>
      <c r="AR1098">
        <v>0</v>
      </c>
      <c r="AS1098">
        <v>0</v>
      </c>
      <c r="AT1098">
        <v>0</v>
      </c>
      <c r="AU1098">
        <v>0</v>
      </c>
      <c r="AV1098">
        <v>0</v>
      </c>
      <c r="AW1098">
        <v>0</v>
      </c>
      <c r="AX1098" s="141">
        <f t="shared" si="321"/>
        <v>1</v>
      </c>
      <c r="AY1098" s="141">
        <f t="shared" si="292"/>
        <v>1</v>
      </c>
      <c r="AZ1098">
        <f t="shared" si="293"/>
        <v>0</v>
      </c>
      <c r="BA1098">
        <f t="shared" si="294"/>
        <v>0</v>
      </c>
      <c r="BB1098">
        <f t="shared" si="295"/>
        <v>1</v>
      </c>
      <c r="BC1098">
        <f t="shared" si="296"/>
        <v>0</v>
      </c>
      <c r="BD1098">
        <f t="shared" si="297"/>
        <v>0</v>
      </c>
      <c r="BE1098" t="str">
        <f t="array" ref="BE1098">IF(AY1098=1,INDEX($V$7:$AL$7,MATCH(TRUE,INDEX($V1098:$AW1098&lt;&gt;0,),0)),IF(AY1098=0,INDEX($AM$7:$AW$7,MATCH(1,$AM1098:$AW1098,0)),IF(BF1098="Multiple strategies","mixed drivers",IF(BF1098="Supply chain","multiple supply","multiple silviculture"))))</f>
        <v>technologies/design switch</v>
      </c>
      <c r="BF1098" s="2" t="str" cm="1">
        <f t="array" ref="BF1098">IF(COUNTIF(AZ1098:BB1098,"&lt;&gt;0")=1,INDEX($V$4:$AW$4,MATCH(TRUE,INDEX($V1098:$AW1098&lt;&gt;0,),0)),IF(COUNTIF(AZ1098:BB1098,"&lt;&gt;0")=0,INDEX($AM$4:$AW$4,MATCH(1,$AM1098:$AW1098,0)),"Multiple strategies"))</f>
        <v>Technology</v>
      </c>
      <c r="BG1098" s="1" t="s">
        <v>230</v>
      </c>
      <c r="BH1098" t="s">
        <v>956</v>
      </c>
      <c r="BI1098" s="260" t="s">
        <v>3375</v>
      </c>
      <c r="BJ1098" t="s">
        <v>346</v>
      </c>
      <c r="BK1098">
        <v>0</v>
      </c>
      <c r="BL1098">
        <v>116.6</v>
      </c>
      <c r="BN1098">
        <f t="shared" si="332"/>
        <v>116.6</v>
      </c>
      <c r="BO1098">
        <f t="shared" si="335"/>
        <v>0.23795918367346941</v>
      </c>
      <c r="BP1098" t="s">
        <v>233</v>
      </c>
      <c r="BQ1098" s="260" t="s">
        <v>3380</v>
      </c>
      <c r="BR1098" t="s">
        <v>957</v>
      </c>
      <c r="BS1098">
        <v>-141.19999999999999</v>
      </c>
      <c r="BT1098">
        <v>-103.1</v>
      </c>
      <c r="BU1098" s="144">
        <f t="shared" si="328"/>
        <v>0.73016997167138808</v>
      </c>
      <c r="BV1098">
        <f t="shared" si="327"/>
        <v>38.099999999999994</v>
      </c>
      <c r="BX1098">
        <f t="shared" si="333"/>
        <v>3.8099999999999995E-2</v>
      </c>
      <c r="BY1098">
        <f t="shared" si="319"/>
        <v>0.16011149228130356</v>
      </c>
      <c r="BZ1098">
        <v>1</v>
      </c>
      <c r="CA1098">
        <v>0</v>
      </c>
      <c r="CB1098">
        <v>0</v>
      </c>
      <c r="CC1098">
        <v>0</v>
      </c>
      <c r="CD1098">
        <v>0</v>
      </c>
      <c r="CE1098">
        <v>1</v>
      </c>
      <c r="CF1098">
        <v>0</v>
      </c>
      <c r="CG1098">
        <v>1</v>
      </c>
      <c r="CH1098">
        <v>0</v>
      </c>
      <c r="CI1098">
        <v>0</v>
      </c>
      <c r="CJ1098">
        <v>0</v>
      </c>
      <c r="CK1098">
        <v>0</v>
      </c>
      <c r="CL1098">
        <v>0</v>
      </c>
      <c r="CM1098">
        <v>0</v>
      </c>
      <c r="CN1098" t="str">
        <f t="shared" si="334"/>
        <v>refOK</v>
      </c>
      <c r="CO1098">
        <f t="shared" si="336"/>
        <v>0</v>
      </c>
      <c r="CP1098">
        <f t="shared" si="337"/>
        <v>116.6</v>
      </c>
      <c r="CQ1098">
        <f t="shared" si="331"/>
        <v>0.23795918367346941</v>
      </c>
      <c r="CR1098">
        <f t="shared" si="329"/>
        <v>-141.19999999999999</v>
      </c>
      <c r="CS1098">
        <f t="shared" si="330"/>
        <v>-103.1</v>
      </c>
      <c r="CT1098">
        <f t="shared" si="322"/>
        <v>3.8099999999999995E-2</v>
      </c>
      <c r="CU1098">
        <f t="shared" si="312"/>
        <v>0.16011149228130356</v>
      </c>
      <c r="CV1098" s="2">
        <f t="shared" si="323"/>
        <v>0.26983002832861186</v>
      </c>
      <c r="CW1098" s="1" t="s">
        <v>264</v>
      </c>
      <c r="CX1098" t="str">
        <f t="shared" si="298"/>
        <v>loc</v>
      </c>
      <c r="CY1098" t="s">
        <v>600</v>
      </c>
      <c r="DB1098">
        <v>0</v>
      </c>
      <c r="DC1098" t="str">
        <f t="shared" si="299"/>
        <v>0</v>
      </c>
      <c r="DD1098">
        <v>0</v>
      </c>
      <c r="DE1098">
        <v>0</v>
      </c>
      <c r="DF1098">
        <v>0</v>
      </c>
      <c r="DG1098">
        <v>1</v>
      </c>
      <c r="DI1098">
        <f t="shared" si="326"/>
        <v>1</v>
      </c>
      <c r="DJ1098" t="str">
        <f t="shared" si="311"/>
        <v>TimberInput</v>
      </c>
      <c r="DK1098">
        <f t="shared" si="338"/>
        <v>0</v>
      </c>
      <c r="DL1098">
        <f t="shared" si="339"/>
        <v>0</v>
      </c>
      <c r="DM1098">
        <f t="shared" si="340"/>
        <v>0</v>
      </c>
      <c r="DN1098" t="str">
        <f t="shared" si="341"/>
        <v>Timber</v>
      </c>
      <c r="DO1098">
        <v>0</v>
      </c>
      <c r="DP1098">
        <v>1</v>
      </c>
      <c r="DQ1098">
        <v>0</v>
      </c>
      <c r="DR1098">
        <v>0</v>
      </c>
      <c r="DS1098">
        <v>0</v>
      </c>
      <c r="DT1098">
        <f t="shared" si="315"/>
        <v>1</v>
      </c>
      <c r="DU1098" s="143" t="str">
        <f t="shared" si="301"/>
        <v>external DF used</v>
      </c>
      <c r="DV1098">
        <v>0</v>
      </c>
      <c r="DW1098">
        <v>0</v>
      </c>
      <c r="DX1098">
        <v>0</v>
      </c>
      <c r="DY1098">
        <v>1</v>
      </c>
      <c r="DZ1098">
        <v>0</v>
      </c>
      <c r="EA1098" s="143">
        <v>1</v>
      </c>
      <c r="EB1098">
        <v>1</v>
      </c>
      <c r="EC1098">
        <v>1</v>
      </c>
      <c r="ED1098">
        <v>0</v>
      </c>
      <c r="EE1098">
        <v>1</v>
      </c>
      <c r="EF1098">
        <v>0</v>
      </c>
      <c r="EG1098">
        <v>0</v>
      </c>
      <c r="EH1098">
        <v>0</v>
      </c>
      <c r="EI1098" s="2">
        <v>0</v>
      </c>
      <c r="EK1098" t="str">
        <f t="shared" si="342"/>
        <v/>
      </c>
      <c r="EL1098" t="str">
        <f t="shared" si="343"/>
        <v/>
      </c>
      <c r="EM1098" s="2" t="str">
        <f t="shared" si="300"/>
        <v>Technology approach</v>
      </c>
      <c r="EP1098" t="str">
        <f>IF(ISNUMBER(BU1098),IF(ABS(BU1098-[4]QC_indicators!$B$2)&gt;3*[4]QC_indicators!$C$2,"C ratio",IF(ISNUMBER(BY1098),IF(ABS(BY1098-[4]QC_indicators!$B$1)&gt;3*[4]QC_indicators!$C$1,"DF","no"))),IF(ISNUMBER(BY1098),IF(ABS(BY1098-[4]QC_indicators!$B$1)&gt;3*[4]QC_indicators!$C$1,"DF","no")))</f>
        <v>no</v>
      </c>
      <c r="ER1098" t="s">
        <v>960</v>
      </c>
      <c r="ET1098" s="266" t="s">
        <v>3275</v>
      </c>
    </row>
    <row r="1099" spans="1:150" hidden="1">
      <c r="A1099" s="1" t="s">
        <v>334</v>
      </c>
      <c r="B1099" t="s">
        <v>947</v>
      </c>
      <c r="C1099" t="s">
        <v>948</v>
      </c>
      <c r="D1099" t="s">
        <v>949</v>
      </c>
      <c r="E1099" t="s">
        <v>950</v>
      </c>
      <c r="F1099" t="s">
        <v>951</v>
      </c>
      <c r="G1099" t="s">
        <v>340</v>
      </c>
      <c r="H1099" t="s">
        <v>255</v>
      </c>
      <c r="I1099">
        <v>2021</v>
      </c>
      <c r="J1099">
        <v>0</v>
      </c>
      <c r="K1099" t="s">
        <v>952</v>
      </c>
      <c r="M1099" t="str">
        <f t="shared" si="310"/>
        <v>Morris_2021</v>
      </c>
      <c r="N1099" t="s">
        <v>223</v>
      </c>
      <c r="O1099" t="s">
        <v>224</v>
      </c>
      <c r="Q1099" t="s">
        <v>257</v>
      </c>
      <c r="R1099" s="255" t="s">
        <v>226</v>
      </c>
      <c r="S1099" s="1" t="s">
        <v>958</v>
      </c>
      <c r="T1099" t="s">
        <v>797</v>
      </c>
      <c r="U1099" t="s">
        <v>959</v>
      </c>
      <c r="V1099">
        <v>0</v>
      </c>
      <c r="W1099">
        <v>0</v>
      </c>
      <c r="X1099">
        <v>0</v>
      </c>
      <c r="Y1099">
        <v>0</v>
      </c>
      <c r="Z1099">
        <v>0</v>
      </c>
      <c r="AA1099">
        <v>0</v>
      </c>
      <c r="AB1099">
        <v>0</v>
      </c>
      <c r="AC1099">
        <v>0</v>
      </c>
      <c r="AD1099">
        <v>0</v>
      </c>
      <c r="AE1099">
        <v>0</v>
      </c>
      <c r="AF1099">
        <v>0</v>
      </c>
      <c r="AG1099">
        <v>0</v>
      </c>
      <c r="AH1099">
        <v>0</v>
      </c>
      <c r="AI1099">
        <v>0</v>
      </c>
      <c r="AJ1099">
        <v>0</v>
      </c>
      <c r="AK1099">
        <v>1</v>
      </c>
      <c r="AL1099">
        <v>0</v>
      </c>
      <c r="AM1099">
        <v>0</v>
      </c>
      <c r="AN1099">
        <v>0</v>
      </c>
      <c r="AO1099">
        <v>0</v>
      </c>
      <c r="AP1099">
        <v>0</v>
      </c>
      <c r="AQ1099">
        <v>0</v>
      </c>
      <c r="AR1099">
        <v>0</v>
      </c>
      <c r="AS1099">
        <v>0</v>
      </c>
      <c r="AT1099">
        <v>0</v>
      </c>
      <c r="AU1099">
        <v>0</v>
      </c>
      <c r="AV1099">
        <v>0</v>
      </c>
      <c r="AW1099">
        <v>0</v>
      </c>
      <c r="AX1099" s="141">
        <f t="shared" si="321"/>
        <v>1</v>
      </c>
      <c r="AY1099" s="141">
        <f t="shared" si="292"/>
        <v>1</v>
      </c>
      <c r="AZ1099">
        <f t="shared" si="293"/>
        <v>0</v>
      </c>
      <c r="BA1099">
        <f t="shared" si="294"/>
        <v>0</v>
      </c>
      <c r="BB1099">
        <f t="shared" si="295"/>
        <v>1</v>
      </c>
      <c r="BC1099">
        <f t="shared" si="296"/>
        <v>0</v>
      </c>
      <c r="BD1099">
        <f t="shared" si="297"/>
        <v>0</v>
      </c>
      <c r="BE1099" t="str">
        <f t="array" ref="BE1099">IF(AY1099=1,INDEX($V$7:$AL$7,MATCH(TRUE,INDEX($V1099:$AW1099&lt;&gt;0,),0)),IF(AY1099=0,INDEX($AM$7:$AW$7,MATCH(1,$AM1099:$AW1099,0)),IF(BF1099="Multiple strategies","mixed drivers",IF(BF1099="Supply chain","multiple supply","multiple silviculture"))))</f>
        <v>technologies/design switch</v>
      </c>
      <c r="BF1099" s="2" t="str" cm="1">
        <f t="array" ref="BF1099">IF(COUNTIF(AZ1099:BB1099,"&lt;&gt;0")=1,INDEX($V$4:$AW$4,MATCH(TRUE,INDEX($V1099:$AW1099&lt;&gt;0,),0)),IF(COUNTIF(AZ1099:BB1099,"&lt;&gt;0")=0,INDEX($AM$4:$AW$4,MATCH(1,$AM1099:$AW1099,0)),"Multiple strategies"))</f>
        <v>Technology</v>
      </c>
      <c r="BG1099" s="1" t="s">
        <v>230</v>
      </c>
      <c r="BH1099" t="s">
        <v>956</v>
      </c>
      <c r="BI1099" s="260" t="s">
        <v>3375</v>
      </c>
      <c r="BJ1099" t="s">
        <v>346</v>
      </c>
      <c r="BK1099">
        <v>0</v>
      </c>
      <c r="BL1099">
        <v>116.6</v>
      </c>
      <c r="BN1099">
        <f t="shared" si="332"/>
        <v>116.6</v>
      </c>
      <c r="BO1099">
        <f t="shared" si="335"/>
        <v>0.23795918367346941</v>
      </c>
      <c r="BP1099" t="s">
        <v>233</v>
      </c>
      <c r="BQ1099" s="260" t="s">
        <v>3378</v>
      </c>
      <c r="BR1099" t="s">
        <v>957</v>
      </c>
      <c r="BS1099">
        <v>-223.9</v>
      </c>
      <c r="BT1099">
        <v>-179.7</v>
      </c>
      <c r="BU1099" s="144">
        <f t="shared" si="328"/>
        <v>0.8025904421616793</v>
      </c>
      <c r="BV1099">
        <f t="shared" si="327"/>
        <v>44.200000000000017</v>
      </c>
      <c r="BX1099">
        <f t="shared" si="333"/>
        <v>4.4200000000000017E-2</v>
      </c>
      <c r="BY1099">
        <f t="shared" si="319"/>
        <v>0.18574614065180109</v>
      </c>
      <c r="BZ1099">
        <v>1</v>
      </c>
      <c r="CA1099">
        <v>0</v>
      </c>
      <c r="CB1099">
        <v>0</v>
      </c>
      <c r="CC1099">
        <v>0</v>
      </c>
      <c r="CD1099">
        <v>0</v>
      </c>
      <c r="CE1099">
        <v>1</v>
      </c>
      <c r="CF1099">
        <v>0</v>
      </c>
      <c r="CG1099">
        <v>1</v>
      </c>
      <c r="CH1099">
        <v>0</v>
      </c>
      <c r="CI1099">
        <v>0</v>
      </c>
      <c r="CJ1099">
        <v>0</v>
      </c>
      <c r="CK1099">
        <v>0</v>
      </c>
      <c r="CL1099">
        <v>0</v>
      </c>
      <c r="CM1099">
        <v>0</v>
      </c>
      <c r="CN1099" t="str">
        <f t="shared" si="334"/>
        <v>refOK</v>
      </c>
      <c r="CO1099">
        <f t="shared" si="336"/>
        <v>0</v>
      </c>
      <c r="CP1099">
        <f t="shared" si="337"/>
        <v>116.6</v>
      </c>
      <c r="CQ1099">
        <f t="shared" si="331"/>
        <v>0.23795918367346941</v>
      </c>
      <c r="CR1099">
        <f t="shared" si="329"/>
        <v>-223.9</v>
      </c>
      <c r="CS1099">
        <f t="shared" si="330"/>
        <v>-179.7</v>
      </c>
      <c r="CT1099">
        <f t="shared" si="322"/>
        <v>4.4200000000000017E-2</v>
      </c>
      <c r="CU1099">
        <f t="shared" si="312"/>
        <v>0.18574614065180109</v>
      </c>
      <c r="CV1099" s="2">
        <f t="shared" si="323"/>
        <v>0.19740955783832076</v>
      </c>
      <c r="CW1099" s="1" t="s">
        <v>264</v>
      </c>
      <c r="CX1099" t="str">
        <f t="shared" si="298"/>
        <v>loc</v>
      </c>
      <c r="CY1099" t="s">
        <v>600</v>
      </c>
      <c r="DB1099">
        <v>0</v>
      </c>
      <c r="DC1099" t="str">
        <f t="shared" si="299"/>
        <v>0</v>
      </c>
      <c r="DD1099">
        <v>0</v>
      </c>
      <c r="DE1099">
        <v>0</v>
      </c>
      <c r="DF1099">
        <v>0</v>
      </c>
      <c r="DG1099">
        <v>1</v>
      </c>
      <c r="DI1099">
        <f t="shared" si="326"/>
        <v>1</v>
      </c>
      <c r="DJ1099" t="str">
        <f t="shared" si="311"/>
        <v>TimberInput</v>
      </c>
      <c r="DK1099">
        <f t="shared" si="338"/>
        <v>0</v>
      </c>
      <c r="DL1099">
        <f t="shared" si="339"/>
        <v>0</v>
      </c>
      <c r="DM1099">
        <f t="shared" si="340"/>
        <v>0</v>
      </c>
      <c r="DN1099" t="str">
        <f t="shared" si="341"/>
        <v>Timber</v>
      </c>
      <c r="DO1099">
        <v>0</v>
      </c>
      <c r="DP1099">
        <v>0</v>
      </c>
      <c r="DQ1099">
        <v>0</v>
      </c>
      <c r="DR1099">
        <v>0</v>
      </c>
      <c r="DS1099">
        <v>0</v>
      </c>
      <c r="DT1099">
        <f t="shared" si="315"/>
        <v>0</v>
      </c>
      <c r="DU1099" s="143" t="str">
        <f t="shared" si="301"/>
        <v>explicit C balance</v>
      </c>
      <c r="DV1099">
        <v>0</v>
      </c>
      <c r="DW1099">
        <v>0</v>
      </c>
      <c r="DX1099">
        <v>0</v>
      </c>
      <c r="DY1099">
        <v>1</v>
      </c>
      <c r="DZ1099">
        <v>0</v>
      </c>
      <c r="EA1099" s="143">
        <v>1</v>
      </c>
      <c r="EB1099">
        <v>1</v>
      </c>
      <c r="EC1099">
        <v>1</v>
      </c>
      <c r="ED1099">
        <v>0</v>
      </c>
      <c r="EE1099">
        <v>1</v>
      </c>
      <c r="EF1099">
        <v>0</v>
      </c>
      <c r="EG1099">
        <v>0</v>
      </c>
      <c r="EH1099">
        <v>0</v>
      </c>
      <c r="EI1099" s="2">
        <v>0</v>
      </c>
      <c r="EK1099" t="str">
        <f t="shared" si="342"/>
        <v/>
      </c>
      <c r="EL1099" t="str">
        <f t="shared" si="343"/>
        <v/>
      </c>
      <c r="EM1099" s="2" t="str">
        <f t="shared" si="300"/>
        <v>Technology approach</v>
      </c>
      <c r="EP1099" t="str">
        <f>IF(ISNUMBER(BU1099),IF(ABS(BU1099-[4]QC_indicators!$B$2)&gt;3*[4]QC_indicators!$C$2,"C ratio",IF(ISNUMBER(BY1099),IF(ABS(BY1099-[4]QC_indicators!$B$1)&gt;3*[4]QC_indicators!$C$1,"DF","no"))),IF(ISNUMBER(BY1099),IF(ABS(BY1099-[4]QC_indicators!$B$1)&gt;3*[4]QC_indicators!$C$1,"DF","no")))</f>
        <v>no</v>
      </c>
      <c r="ER1099" s="149" t="s">
        <v>350</v>
      </c>
      <c r="ET1099" s="266" t="s">
        <v>3275</v>
      </c>
    </row>
    <row r="1100" spans="1:150" hidden="1">
      <c r="A1100" s="1" t="s">
        <v>334</v>
      </c>
      <c r="B1100" t="s">
        <v>947</v>
      </c>
      <c r="C1100" t="s">
        <v>948</v>
      </c>
      <c r="D1100" t="s">
        <v>949</v>
      </c>
      <c r="E1100" t="s">
        <v>950</v>
      </c>
      <c r="F1100" t="s">
        <v>951</v>
      </c>
      <c r="G1100" t="s">
        <v>340</v>
      </c>
      <c r="H1100" t="s">
        <v>255</v>
      </c>
      <c r="I1100">
        <v>2021</v>
      </c>
      <c r="J1100">
        <v>0</v>
      </c>
      <c r="K1100" t="s">
        <v>952</v>
      </c>
      <c r="M1100" t="str">
        <f t="shared" si="310"/>
        <v>Morris_2021</v>
      </c>
      <c r="N1100" t="s">
        <v>223</v>
      </c>
      <c r="O1100" t="s">
        <v>224</v>
      </c>
      <c r="Q1100" t="s">
        <v>257</v>
      </c>
      <c r="R1100" s="255" t="s">
        <v>226</v>
      </c>
      <c r="S1100" s="1" t="s">
        <v>958</v>
      </c>
      <c r="T1100" t="s">
        <v>797</v>
      </c>
      <c r="U1100" t="s">
        <v>959</v>
      </c>
      <c r="V1100">
        <v>0</v>
      </c>
      <c r="W1100">
        <v>0</v>
      </c>
      <c r="X1100">
        <v>0</v>
      </c>
      <c r="Y1100">
        <v>0</v>
      </c>
      <c r="Z1100">
        <v>0</v>
      </c>
      <c r="AA1100">
        <v>0</v>
      </c>
      <c r="AB1100">
        <v>0</v>
      </c>
      <c r="AC1100">
        <v>0</v>
      </c>
      <c r="AD1100">
        <v>0</v>
      </c>
      <c r="AE1100">
        <v>0</v>
      </c>
      <c r="AF1100">
        <v>0</v>
      </c>
      <c r="AG1100">
        <v>0</v>
      </c>
      <c r="AH1100">
        <v>0</v>
      </c>
      <c r="AI1100">
        <v>0</v>
      </c>
      <c r="AJ1100">
        <v>0</v>
      </c>
      <c r="AK1100">
        <v>1</v>
      </c>
      <c r="AL1100">
        <v>0</v>
      </c>
      <c r="AM1100">
        <v>0</v>
      </c>
      <c r="AN1100">
        <v>0</v>
      </c>
      <c r="AO1100">
        <v>0</v>
      </c>
      <c r="AP1100">
        <v>0</v>
      </c>
      <c r="AQ1100">
        <v>0</v>
      </c>
      <c r="AR1100">
        <v>0</v>
      </c>
      <c r="AS1100">
        <v>0</v>
      </c>
      <c r="AT1100">
        <v>0</v>
      </c>
      <c r="AU1100">
        <v>0</v>
      </c>
      <c r="AV1100">
        <v>0</v>
      </c>
      <c r="AW1100">
        <v>0</v>
      </c>
      <c r="AX1100" s="141">
        <f t="shared" si="321"/>
        <v>1</v>
      </c>
      <c r="AY1100" s="141">
        <f t="shared" si="292"/>
        <v>1</v>
      </c>
      <c r="AZ1100">
        <f t="shared" si="293"/>
        <v>0</v>
      </c>
      <c r="BA1100">
        <f t="shared" si="294"/>
        <v>0</v>
      </c>
      <c r="BB1100">
        <f t="shared" si="295"/>
        <v>1</v>
      </c>
      <c r="BC1100">
        <f t="shared" si="296"/>
        <v>0</v>
      </c>
      <c r="BD1100">
        <f t="shared" si="297"/>
        <v>0</v>
      </c>
      <c r="BE1100" t="str">
        <f t="array" ref="BE1100">IF(AY1100=1,INDEX($V$7:$AL$7,MATCH(TRUE,INDEX($V1100:$AW1100&lt;&gt;0,),0)),IF(AY1100=0,INDEX($AM$7:$AW$7,MATCH(1,$AM1100:$AW1100,0)),IF(BF1100="Multiple strategies","mixed drivers",IF(BF1100="Supply chain","multiple supply","multiple silviculture"))))</f>
        <v>technologies/design switch</v>
      </c>
      <c r="BF1100" s="2" t="str" cm="1">
        <f t="array" ref="BF1100">IF(COUNTIF(AZ1100:BB1100,"&lt;&gt;0")=1,INDEX($V$4:$AW$4,MATCH(TRUE,INDEX($V1100:$AW1100&lt;&gt;0,),0)),IF(COUNTIF(AZ1100:BB1100,"&lt;&gt;0")=0,INDEX($AM$4:$AW$4,MATCH(1,$AM1100:$AW1100,0)),"Multiple strategies"))</f>
        <v>Technology</v>
      </c>
      <c r="BG1100" s="1" t="s">
        <v>230</v>
      </c>
      <c r="BH1100" t="s">
        <v>956</v>
      </c>
      <c r="BI1100" s="260" t="s">
        <v>3375</v>
      </c>
      <c r="BJ1100" t="s">
        <v>346</v>
      </c>
      <c r="BK1100">
        <v>0</v>
      </c>
      <c r="BL1100">
        <v>116.6</v>
      </c>
      <c r="BN1100">
        <f t="shared" si="332"/>
        <v>116.6</v>
      </c>
      <c r="BO1100">
        <f t="shared" si="335"/>
        <v>0.23795918367346941</v>
      </c>
      <c r="BP1100" t="s">
        <v>233</v>
      </c>
      <c r="BQ1100" s="260" t="s">
        <v>3379</v>
      </c>
      <c r="BR1100" t="s">
        <v>957</v>
      </c>
      <c r="BS1100">
        <v>-223.4</v>
      </c>
      <c r="BT1100">
        <v>-165.4</v>
      </c>
      <c r="BU1100" s="144">
        <f t="shared" si="328"/>
        <v>0.74037600716204122</v>
      </c>
      <c r="BV1100">
        <f t="shared" si="327"/>
        <v>58</v>
      </c>
      <c r="BX1100">
        <f t="shared" si="333"/>
        <v>5.8000000000000003E-2</v>
      </c>
      <c r="BY1100">
        <f t="shared" si="319"/>
        <v>0.24373927958833619</v>
      </c>
      <c r="BZ1100">
        <v>1</v>
      </c>
      <c r="CA1100">
        <v>0</v>
      </c>
      <c r="CB1100">
        <v>0</v>
      </c>
      <c r="CC1100">
        <v>0</v>
      </c>
      <c r="CD1100">
        <v>0</v>
      </c>
      <c r="CE1100">
        <v>1</v>
      </c>
      <c r="CF1100">
        <v>0</v>
      </c>
      <c r="CG1100">
        <v>1</v>
      </c>
      <c r="CH1100">
        <v>0</v>
      </c>
      <c r="CI1100">
        <v>0</v>
      </c>
      <c r="CJ1100">
        <v>0</v>
      </c>
      <c r="CK1100">
        <v>0</v>
      </c>
      <c r="CL1100">
        <v>0</v>
      </c>
      <c r="CM1100">
        <v>0</v>
      </c>
      <c r="CN1100" t="str">
        <f t="shared" si="334"/>
        <v>refOK</v>
      </c>
      <c r="CO1100">
        <f t="shared" si="336"/>
        <v>0</v>
      </c>
      <c r="CP1100">
        <f t="shared" si="337"/>
        <v>116.6</v>
      </c>
      <c r="CQ1100">
        <f t="shared" si="331"/>
        <v>0.23795918367346941</v>
      </c>
      <c r="CR1100">
        <f t="shared" si="329"/>
        <v>-223.4</v>
      </c>
      <c r="CS1100">
        <f t="shared" si="330"/>
        <v>-165.4</v>
      </c>
      <c r="CT1100">
        <f t="shared" si="322"/>
        <v>5.8000000000000003E-2</v>
      </c>
      <c r="CU1100">
        <f t="shared" si="312"/>
        <v>0.24373927958833619</v>
      </c>
      <c r="CV1100" s="2">
        <f t="shared" si="323"/>
        <v>0.25962399283795884</v>
      </c>
      <c r="CW1100" s="1" t="s">
        <v>264</v>
      </c>
      <c r="CX1100" t="str">
        <f t="shared" si="298"/>
        <v>loc</v>
      </c>
      <c r="CY1100" t="s">
        <v>600</v>
      </c>
      <c r="DB1100">
        <v>0</v>
      </c>
      <c r="DC1100" t="str">
        <f t="shared" si="299"/>
        <v>0</v>
      </c>
      <c r="DD1100">
        <v>0</v>
      </c>
      <c r="DE1100">
        <v>0</v>
      </c>
      <c r="DF1100">
        <v>0</v>
      </c>
      <c r="DG1100">
        <v>1</v>
      </c>
      <c r="DI1100">
        <f t="shared" si="326"/>
        <v>1</v>
      </c>
      <c r="DJ1100" t="str">
        <f t="shared" si="311"/>
        <v>TimberInput</v>
      </c>
      <c r="DK1100">
        <f t="shared" si="338"/>
        <v>0</v>
      </c>
      <c r="DL1100">
        <f t="shared" si="339"/>
        <v>0</v>
      </c>
      <c r="DM1100">
        <f t="shared" si="340"/>
        <v>0</v>
      </c>
      <c r="DN1100" t="str">
        <f t="shared" si="341"/>
        <v>Timber</v>
      </c>
      <c r="DO1100">
        <v>0</v>
      </c>
      <c r="DP1100">
        <v>1</v>
      </c>
      <c r="DQ1100">
        <v>0</v>
      </c>
      <c r="DR1100">
        <v>0</v>
      </c>
      <c r="DS1100">
        <v>0</v>
      </c>
      <c r="DT1100">
        <f t="shared" si="315"/>
        <v>1</v>
      </c>
      <c r="DU1100" s="143" t="str">
        <f t="shared" si="301"/>
        <v>external DF used</v>
      </c>
      <c r="DV1100">
        <v>0</v>
      </c>
      <c r="DW1100">
        <v>0</v>
      </c>
      <c r="DX1100">
        <v>0</v>
      </c>
      <c r="DY1100">
        <v>0</v>
      </c>
      <c r="DZ1100">
        <v>0</v>
      </c>
      <c r="EA1100" s="143">
        <v>1</v>
      </c>
      <c r="EB1100">
        <v>1</v>
      </c>
      <c r="EC1100">
        <v>1</v>
      </c>
      <c r="ED1100">
        <v>0</v>
      </c>
      <c r="EE1100">
        <v>1</v>
      </c>
      <c r="EF1100">
        <v>0</v>
      </c>
      <c r="EG1100">
        <v>0</v>
      </c>
      <c r="EH1100">
        <v>0</v>
      </c>
      <c r="EI1100" s="2">
        <v>0</v>
      </c>
      <c r="EK1100" t="str">
        <f t="shared" si="342"/>
        <v/>
      </c>
      <c r="EL1100" t="str">
        <f t="shared" si="343"/>
        <v/>
      </c>
      <c r="EM1100" s="2" t="str">
        <f t="shared" si="300"/>
        <v>Technology approach</v>
      </c>
      <c r="EP1100" t="str">
        <f>IF(ISNUMBER(BU1100),IF(ABS(BU1100-[4]QC_indicators!$B$2)&gt;3*[4]QC_indicators!$C$2,"C ratio",IF(ISNUMBER(BY1100),IF(ABS(BY1100-[4]QC_indicators!$B$1)&gt;3*[4]QC_indicators!$C$1,"DF","no"))),IF(ISNUMBER(BY1100),IF(ABS(BY1100-[4]QC_indicators!$B$1)&gt;3*[4]QC_indicators!$C$1,"DF","no")))</f>
        <v>no</v>
      </c>
      <c r="ER1100" s="149" t="s">
        <v>350</v>
      </c>
      <c r="ET1100" s="266" t="s">
        <v>3275</v>
      </c>
    </row>
    <row r="1101" spans="1:150" hidden="1">
      <c r="A1101" s="1" t="s">
        <v>334</v>
      </c>
      <c r="B1101" t="s">
        <v>947</v>
      </c>
      <c r="C1101" t="s">
        <v>948</v>
      </c>
      <c r="D1101" t="s">
        <v>949</v>
      </c>
      <c r="E1101" t="s">
        <v>950</v>
      </c>
      <c r="F1101" t="s">
        <v>951</v>
      </c>
      <c r="G1101" t="s">
        <v>340</v>
      </c>
      <c r="H1101" t="s">
        <v>255</v>
      </c>
      <c r="I1101">
        <v>2021</v>
      </c>
      <c r="J1101">
        <v>0</v>
      </c>
      <c r="K1101" t="s">
        <v>952</v>
      </c>
      <c r="M1101" t="str">
        <f t="shared" si="310"/>
        <v>Morris_2021</v>
      </c>
      <c r="N1101" t="s">
        <v>223</v>
      </c>
      <c r="O1101" t="s">
        <v>224</v>
      </c>
      <c r="Q1101" t="s">
        <v>257</v>
      </c>
      <c r="R1101" s="255" t="s">
        <v>226</v>
      </c>
      <c r="S1101" s="1" t="s">
        <v>958</v>
      </c>
      <c r="T1101" t="s">
        <v>797</v>
      </c>
      <c r="U1101" t="s">
        <v>959</v>
      </c>
      <c r="V1101">
        <v>0</v>
      </c>
      <c r="W1101">
        <v>0</v>
      </c>
      <c r="X1101">
        <v>0</v>
      </c>
      <c r="Y1101">
        <v>0</v>
      </c>
      <c r="Z1101">
        <v>0</v>
      </c>
      <c r="AA1101">
        <v>0</v>
      </c>
      <c r="AB1101">
        <v>0</v>
      </c>
      <c r="AC1101">
        <v>0</v>
      </c>
      <c r="AD1101">
        <v>0</v>
      </c>
      <c r="AE1101">
        <v>0</v>
      </c>
      <c r="AF1101">
        <v>0</v>
      </c>
      <c r="AG1101">
        <v>0</v>
      </c>
      <c r="AH1101">
        <v>0</v>
      </c>
      <c r="AI1101">
        <v>0</v>
      </c>
      <c r="AJ1101">
        <v>0</v>
      </c>
      <c r="AK1101">
        <v>1</v>
      </c>
      <c r="AL1101">
        <v>0</v>
      </c>
      <c r="AM1101">
        <v>0</v>
      </c>
      <c r="AN1101">
        <v>0</v>
      </c>
      <c r="AO1101">
        <v>0</v>
      </c>
      <c r="AP1101">
        <v>0</v>
      </c>
      <c r="AQ1101">
        <v>0</v>
      </c>
      <c r="AR1101">
        <v>0</v>
      </c>
      <c r="AS1101">
        <v>0</v>
      </c>
      <c r="AT1101">
        <v>0</v>
      </c>
      <c r="AU1101">
        <v>0</v>
      </c>
      <c r="AV1101">
        <v>0</v>
      </c>
      <c r="AW1101">
        <v>0</v>
      </c>
      <c r="AX1101" s="141">
        <f t="shared" si="321"/>
        <v>1</v>
      </c>
      <c r="AY1101" s="141">
        <f t="shared" si="292"/>
        <v>1</v>
      </c>
      <c r="AZ1101">
        <f t="shared" si="293"/>
        <v>0</v>
      </c>
      <c r="BA1101">
        <f t="shared" si="294"/>
        <v>0</v>
      </c>
      <c r="BB1101">
        <f t="shared" si="295"/>
        <v>1</v>
      </c>
      <c r="BC1101">
        <f t="shared" si="296"/>
        <v>0</v>
      </c>
      <c r="BD1101">
        <f t="shared" si="297"/>
        <v>0</v>
      </c>
      <c r="BE1101" t="str">
        <f t="array" ref="BE1101">IF(AY1101=1,INDEX($V$7:$AL$7,MATCH(TRUE,INDEX($V1101:$AW1101&lt;&gt;0,),0)),IF(AY1101=0,INDEX($AM$7:$AW$7,MATCH(1,$AM1101:$AW1101,0)),IF(BF1101="Multiple strategies","mixed drivers",IF(BF1101="Supply chain","multiple supply","multiple silviculture"))))</f>
        <v>technologies/design switch</v>
      </c>
      <c r="BF1101" s="2" t="str" cm="1">
        <f t="array" ref="BF1101">IF(COUNTIF(AZ1101:BB1101,"&lt;&gt;0")=1,INDEX($V$4:$AW$4,MATCH(TRUE,INDEX($V1101:$AW1101&lt;&gt;0,),0)),IF(COUNTIF(AZ1101:BB1101,"&lt;&gt;0")=0,INDEX($AM$4:$AW$4,MATCH(1,$AM1101:$AW1101,0)),"Multiple strategies"))</f>
        <v>Technology</v>
      </c>
      <c r="BG1101" s="1" t="s">
        <v>230</v>
      </c>
      <c r="BH1101" t="s">
        <v>956</v>
      </c>
      <c r="BI1101" s="260" t="s">
        <v>3375</v>
      </c>
      <c r="BJ1101" t="s">
        <v>346</v>
      </c>
      <c r="BK1101">
        <v>0</v>
      </c>
      <c r="BL1101">
        <v>116.6</v>
      </c>
      <c r="BN1101">
        <f t="shared" si="332"/>
        <v>116.6</v>
      </c>
      <c r="BO1101">
        <f t="shared" si="335"/>
        <v>0.23795918367346941</v>
      </c>
      <c r="BP1101" t="s">
        <v>233</v>
      </c>
      <c r="BQ1101" s="260" t="s">
        <v>3379</v>
      </c>
      <c r="BR1101" t="s">
        <v>957</v>
      </c>
      <c r="BS1101">
        <v>-139.69999999999999</v>
      </c>
      <c r="BT1101">
        <v>-39.799999999999997</v>
      </c>
      <c r="BU1101" s="144">
        <f t="shared" si="328"/>
        <v>0.28489620615604866</v>
      </c>
      <c r="BV1101">
        <f t="shared" si="327"/>
        <v>99.899999999999991</v>
      </c>
      <c r="BX1101">
        <f t="shared" si="333"/>
        <v>9.9899999999999989E-2</v>
      </c>
      <c r="BY1101">
        <f t="shared" si="319"/>
        <v>0.41981989708404793</v>
      </c>
      <c r="BZ1101">
        <v>1</v>
      </c>
      <c r="CA1101">
        <v>0</v>
      </c>
      <c r="CB1101">
        <v>0</v>
      </c>
      <c r="CC1101">
        <v>0</v>
      </c>
      <c r="CD1101">
        <v>0</v>
      </c>
      <c r="CE1101">
        <v>1</v>
      </c>
      <c r="CF1101">
        <v>0</v>
      </c>
      <c r="CG1101">
        <v>1</v>
      </c>
      <c r="CH1101">
        <v>0</v>
      </c>
      <c r="CI1101">
        <v>0</v>
      </c>
      <c r="CJ1101">
        <v>0</v>
      </c>
      <c r="CK1101">
        <v>0</v>
      </c>
      <c r="CL1101">
        <v>0</v>
      </c>
      <c r="CM1101">
        <v>0</v>
      </c>
      <c r="CN1101" t="str">
        <f t="shared" si="334"/>
        <v>refOK</v>
      </c>
      <c r="CO1101">
        <f t="shared" si="336"/>
        <v>0</v>
      </c>
      <c r="CP1101">
        <f t="shared" si="337"/>
        <v>116.6</v>
      </c>
      <c r="CQ1101">
        <f t="shared" si="331"/>
        <v>0.23795918367346941</v>
      </c>
      <c r="CR1101">
        <f t="shared" si="329"/>
        <v>-139.69999999999999</v>
      </c>
      <c r="CS1101">
        <f t="shared" si="330"/>
        <v>-39.799999999999997</v>
      </c>
      <c r="CT1101">
        <f t="shared" si="322"/>
        <v>9.9899999999999989E-2</v>
      </c>
      <c r="CU1101">
        <f t="shared" si="312"/>
        <v>0.41981989708404793</v>
      </c>
      <c r="CV1101" s="2">
        <f t="shared" si="323"/>
        <v>0.71510379384395129</v>
      </c>
      <c r="CW1101" s="1" t="s">
        <v>264</v>
      </c>
      <c r="CX1101" t="str">
        <f t="shared" si="298"/>
        <v>loc</v>
      </c>
      <c r="CY1101" t="s">
        <v>600</v>
      </c>
      <c r="DB1101">
        <v>0</v>
      </c>
      <c r="DC1101" t="str">
        <f t="shared" si="299"/>
        <v>0</v>
      </c>
      <c r="DD1101">
        <v>0</v>
      </c>
      <c r="DE1101">
        <v>0</v>
      </c>
      <c r="DF1101">
        <v>0</v>
      </c>
      <c r="DG1101">
        <v>1</v>
      </c>
      <c r="DI1101">
        <f t="shared" si="326"/>
        <v>1</v>
      </c>
      <c r="DJ1101" t="str">
        <f t="shared" si="311"/>
        <v>TimberInput</v>
      </c>
      <c r="DK1101">
        <f t="shared" si="338"/>
        <v>0</v>
      </c>
      <c r="DL1101">
        <f t="shared" si="339"/>
        <v>0</v>
      </c>
      <c r="DM1101">
        <f t="shared" si="340"/>
        <v>0</v>
      </c>
      <c r="DN1101" t="str">
        <f t="shared" si="341"/>
        <v>Timber</v>
      </c>
      <c r="DO1101">
        <v>0</v>
      </c>
      <c r="DP1101">
        <v>0</v>
      </c>
      <c r="DQ1101">
        <v>0</v>
      </c>
      <c r="DR1101">
        <v>0</v>
      </c>
      <c r="DS1101">
        <v>0</v>
      </c>
      <c r="DT1101">
        <f t="shared" si="315"/>
        <v>0</v>
      </c>
      <c r="DU1101" s="143" t="str">
        <f t="shared" si="301"/>
        <v>explicit C balance</v>
      </c>
      <c r="DV1101">
        <v>0</v>
      </c>
      <c r="DW1101">
        <v>0</v>
      </c>
      <c r="DX1101">
        <v>0</v>
      </c>
      <c r="DY1101">
        <v>0</v>
      </c>
      <c r="DZ1101">
        <v>0</v>
      </c>
      <c r="EA1101" s="143">
        <v>0</v>
      </c>
      <c r="EB1101">
        <v>1</v>
      </c>
      <c r="EC1101">
        <v>1</v>
      </c>
      <c r="ED1101">
        <v>0</v>
      </c>
      <c r="EE1101">
        <v>1</v>
      </c>
      <c r="EF1101">
        <v>0</v>
      </c>
      <c r="EG1101">
        <v>0</v>
      </c>
      <c r="EH1101">
        <v>0</v>
      </c>
      <c r="EI1101" s="2">
        <v>0</v>
      </c>
      <c r="EK1101" t="str">
        <f t="shared" si="342"/>
        <v/>
      </c>
      <c r="EL1101" t="str">
        <f t="shared" si="343"/>
        <v/>
      </c>
      <c r="EM1101" s="2" t="str">
        <f t="shared" si="300"/>
        <v>Technology approach</v>
      </c>
      <c r="EP1101" t="str">
        <f>IF(ISNUMBER(BU1101),IF(ABS(BU1101-[4]QC_indicators!$B$2)&gt;3*[4]QC_indicators!$C$2,"C ratio",IF(ISNUMBER(BY1101),IF(ABS(BY1101-[4]QC_indicators!$B$1)&gt;3*[4]QC_indicators!$C$1,"DF","no"))),IF(ISNUMBER(BY1101),IF(ABS(BY1101-[4]QC_indicators!$B$1)&gt;3*[4]QC_indicators!$C$1,"DF","no")))</f>
        <v>no</v>
      </c>
      <c r="ER1101" t="s">
        <v>960</v>
      </c>
      <c r="ET1101" s="266" t="s">
        <v>3275</v>
      </c>
    </row>
    <row r="1102" spans="1:150" hidden="1">
      <c r="A1102" s="1" t="s">
        <v>334</v>
      </c>
      <c r="B1102" t="s">
        <v>947</v>
      </c>
      <c r="C1102" t="s">
        <v>948</v>
      </c>
      <c r="D1102" t="s">
        <v>949</v>
      </c>
      <c r="E1102" t="s">
        <v>950</v>
      </c>
      <c r="F1102" t="s">
        <v>951</v>
      </c>
      <c r="G1102" t="s">
        <v>340</v>
      </c>
      <c r="H1102" t="s">
        <v>255</v>
      </c>
      <c r="I1102">
        <v>2021</v>
      </c>
      <c r="J1102">
        <v>0</v>
      </c>
      <c r="K1102" t="s">
        <v>952</v>
      </c>
      <c r="M1102" t="str">
        <f t="shared" si="310"/>
        <v>Morris_2021</v>
      </c>
      <c r="N1102" t="s">
        <v>223</v>
      </c>
      <c r="O1102" t="s">
        <v>224</v>
      </c>
      <c r="Q1102" t="s">
        <v>257</v>
      </c>
      <c r="R1102" s="255" t="s">
        <v>226</v>
      </c>
      <c r="S1102" s="1" t="s">
        <v>958</v>
      </c>
      <c r="T1102" t="s">
        <v>797</v>
      </c>
      <c r="U1102" t="s">
        <v>959</v>
      </c>
      <c r="V1102">
        <v>0</v>
      </c>
      <c r="W1102">
        <v>0</v>
      </c>
      <c r="X1102">
        <v>0</v>
      </c>
      <c r="Y1102">
        <v>0</v>
      </c>
      <c r="Z1102">
        <v>0</v>
      </c>
      <c r="AA1102">
        <v>0</v>
      </c>
      <c r="AB1102">
        <v>0</v>
      </c>
      <c r="AC1102">
        <v>0</v>
      </c>
      <c r="AD1102">
        <v>0</v>
      </c>
      <c r="AE1102">
        <v>0</v>
      </c>
      <c r="AF1102">
        <v>0</v>
      </c>
      <c r="AG1102">
        <v>0</v>
      </c>
      <c r="AH1102">
        <v>0</v>
      </c>
      <c r="AI1102">
        <v>0</v>
      </c>
      <c r="AJ1102">
        <v>0</v>
      </c>
      <c r="AK1102">
        <v>1</v>
      </c>
      <c r="AL1102">
        <v>0</v>
      </c>
      <c r="AM1102">
        <v>0</v>
      </c>
      <c r="AN1102">
        <v>0</v>
      </c>
      <c r="AO1102">
        <v>0</v>
      </c>
      <c r="AP1102">
        <v>0</v>
      </c>
      <c r="AQ1102">
        <v>0</v>
      </c>
      <c r="AR1102">
        <v>0</v>
      </c>
      <c r="AS1102">
        <v>0</v>
      </c>
      <c r="AT1102">
        <v>0</v>
      </c>
      <c r="AU1102">
        <v>0</v>
      </c>
      <c r="AV1102">
        <v>0</v>
      </c>
      <c r="AW1102">
        <v>0</v>
      </c>
      <c r="AX1102" s="141">
        <f t="shared" si="321"/>
        <v>1</v>
      </c>
      <c r="AY1102" s="141">
        <f t="shared" si="292"/>
        <v>1</v>
      </c>
      <c r="AZ1102">
        <f t="shared" si="293"/>
        <v>0</v>
      </c>
      <c r="BA1102">
        <f t="shared" si="294"/>
        <v>0</v>
      </c>
      <c r="BB1102">
        <f t="shared" si="295"/>
        <v>1</v>
      </c>
      <c r="BC1102">
        <f t="shared" si="296"/>
        <v>0</v>
      </c>
      <c r="BD1102">
        <f t="shared" si="297"/>
        <v>0</v>
      </c>
      <c r="BE1102" t="str">
        <f t="array" ref="BE1102">IF(AY1102=1,INDEX($V$7:$AL$7,MATCH(TRUE,INDEX($V1102:$AW1102&lt;&gt;0,),0)),IF(AY1102=0,INDEX($AM$7:$AW$7,MATCH(1,$AM1102:$AW1102,0)),IF(BF1102="Multiple strategies","mixed drivers",IF(BF1102="Supply chain","multiple supply","multiple silviculture"))))</f>
        <v>technologies/design switch</v>
      </c>
      <c r="BF1102" s="2" t="str" cm="1">
        <f t="array" ref="BF1102">IF(COUNTIF(AZ1102:BB1102,"&lt;&gt;0")=1,INDEX($V$4:$AW$4,MATCH(TRUE,INDEX($V1102:$AW1102&lt;&gt;0,),0)),IF(COUNTIF(AZ1102:BB1102,"&lt;&gt;0")=0,INDEX($AM$4:$AW$4,MATCH(1,$AM1102:$AW1102,0)),"Multiple strategies"))</f>
        <v>Technology</v>
      </c>
      <c r="BG1102" s="1" t="s">
        <v>230</v>
      </c>
      <c r="BH1102" t="s">
        <v>956</v>
      </c>
      <c r="BI1102" s="260" t="s">
        <v>3375</v>
      </c>
      <c r="BJ1102" t="s">
        <v>346</v>
      </c>
      <c r="BK1102">
        <v>0</v>
      </c>
      <c r="BL1102">
        <v>116.6</v>
      </c>
      <c r="BN1102">
        <f t="shared" si="332"/>
        <v>116.6</v>
      </c>
      <c r="BO1102">
        <f t="shared" si="335"/>
        <v>0.23795918367346941</v>
      </c>
      <c r="BP1102" t="s">
        <v>233</v>
      </c>
      <c r="BQ1102" s="260" t="s">
        <v>3380</v>
      </c>
      <c r="BR1102" t="s">
        <v>957</v>
      </c>
      <c r="BS1102">
        <v>-223.9</v>
      </c>
      <c r="BT1102">
        <v>-122.9</v>
      </c>
      <c r="BU1102" s="144">
        <f t="shared" si="328"/>
        <v>0.54890576150066994</v>
      </c>
      <c r="BV1102">
        <f t="shared" si="327"/>
        <v>101</v>
      </c>
      <c r="BX1102">
        <f t="shared" si="333"/>
        <v>0.10100000000000001</v>
      </c>
      <c r="BY1102">
        <f t="shared" si="319"/>
        <v>0.42444253859348197</v>
      </c>
      <c r="BZ1102">
        <v>1</v>
      </c>
      <c r="CA1102">
        <v>0</v>
      </c>
      <c r="CB1102">
        <v>0</v>
      </c>
      <c r="CC1102">
        <v>0</v>
      </c>
      <c r="CD1102">
        <v>0</v>
      </c>
      <c r="CE1102">
        <v>1</v>
      </c>
      <c r="CF1102">
        <v>0</v>
      </c>
      <c r="CG1102">
        <v>1</v>
      </c>
      <c r="CH1102">
        <v>0</v>
      </c>
      <c r="CI1102">
        <v>0</v>
      </c>
      <c r="CJ1102">
        <v>0</v>
      </c>
      <c r="CK1102">
        <v>0</v>
      </c>
      <c r="CL1102">
        <v>0</v>
      </c>
      <c r="CM1102">
        <v>0</v>
      </c>
      <c r="CN1102" t="str">
        <f t="shared" si="334"/>
        <v>refOK</v>
      </c>
      <c r="CO1102">
        <f t="shared" si="336"/>
        <v>0</v>
      </c>
      <c r="CP1102">
        <f t="shared" si="337"/>
        <v>116.6</v>
      </c>
      <c r="CQ1102">
        <f t="shared" si="331"/>
        <v>0.23795918367346941</v>
      </c>
      <c r="CR1102">
        <f t="shared" si="329"/>
        <v>-223.9</v>
      </c>
      <c r="CS1102">
        <f t="shared" si="330"/>
        <v>-122.9</v>
      </c>
      <c r="CT1102">
        <f t="shared" si="322"/>
        <v>0.10100000000000001</v>
      </c>
      <c r="CU1102">
        <f t="shared" si="312"/>
        <v>0.42444253859348197</v>
      </c>
      <c r="CV1102" s="2">
        <f t="shared" si="323"/>
        <v>0.45109423849933006</v>
      </c>
      <c r="CW1102" s="1" t="s">
        <v>264</v>
      </c>
      <c r="CX1102" t="str">
        <f t="shared" si="298"/>
        <v>loc</v>
      </c>
      <c r="CY1102" t="s">
        <v>600</v>
      </c>
      <c r="DB1102">
        <v>0</v>
      </c>
      <c r="DC1102" t="str">
        <f t="shared" si="299"/>
        <v>0</v>
      </c>
      <c r="DD1102">
        <v>0</v>
      </c>
      <c r="DE1102">
        <v>0</v>
      </c>
      <c r="DF1102">
        <v>0</v>
      </c>
      <c r="DG1102">
        <v>1</v>
      </c>
      <c r="DI1102">
        <f t="shared" si="326"/>
        <v>1</v>
      </c>
      <c r="DJ1102" t="str">
        <f t="shared" si="311"/>
        <v>TimberInput</v>
      </c>
      <c r="DK1102">
        <f t="shared" si="338"/>
        <v>0</v>
      </c>
      <c r="DL1102">
        <f t="shared" si="339"/>
        <v>0</v>
      </c>
      <c r="DM1102">
        <f t="shared" si="340"/>
        <v>0</v>
      </c>
      <c r="DN1102" t="str">
        <f t="shared" si="341"/>
        <v>Timber</v>
      </c>
      <c r="DO1102">
        <v>0</v>
      </c>
      <c r="DP1102">
        <v>0</v>
      </c>
      <c r="DQ1102">
        <v>0</v>
      </c>
      <c r="DR1102">
        <v>0</v>
      </c>
      <c r="DS1102">
        <v>0</v>
      </c>
      <c r="DT1102">
        <f t="shared" si="315"/>
        <v>0</v>
      </c>
      <c r="DU1102" s="143" t="str">
        <f t="shared" si="301"/>
        <v>explicit C balance</v>
      </c>
      <c r="DV1102">
        <v>0</v>
      </c>
      <c r="DW1102">
        <v>0</v>
      </c>
      <c r="DX1102">
        <v>0</v>
      </c>
      <c r="DY1102">
        <v>1</v>
      </c>
      <c r="DZ1102">
        <v>0</v>
      </c>
      <c r="EA1102" s="143">
        <v>1</v>
      </c>
      <c r="EB1102">
        <v>1</v>
      </c>
      <c r="EC1102">
        <v>1</v>
      </c>
      <c r="ED1102">
        <v>0</v>
      </c>
      <c r="EE1102">
        <v>1</v>
      </c>
      <c r="EF1102">
        <v>0</v>
      </c>
      <c r="EG1102">
        <v>0</v>
      </c>
      <c r="EH1102">
        <v>0</v>
      </c>
      <c r="EI1102" s="2">
        <v>0</v>
      </c>
      <c r="EK1102" t="str">
        <f t="shared" si="342"/>
        <v/>
      </c>
      <c r="EL1102" t="str">
        <f t="shared" si="343"/>
        <v/>
      </c>
      <c r="EM1102" s="2" t="str">
        <f t="shared" si="300"/>
        <v>Technology approach</v>
      </c>
      <c r="EP1102" t="str">
        <f>IF(ISNUMBER(BU1102),IF(ABS(BU1102-[4]QC_indicators!$B$2)&gt;3*[4]QC_indicators!$C$2,"C ratio",IF(ISNUMBER(BY1102),IF(ABS(BY1102-[4]QC_indicators!$B$1)&gt;3*[4]QC_indicators!$C$1,"DF","no"))),IF(ISNUMBER(BY1102),IF(ABS(BY1102-[4]QC_indicators!$B$1)&gt;3*[4]QC_indicators!$C$1,"DF","no")))</f>
        <v>no</v>
      </c>
      <c r="ER1102" t="s">
        <v>961</v>
      </c>
      <c r="ET1102" s="266" t="s">
        <v>3275</v>
      </c>
    </row>
    <row r="1103" spans="1:150" hidden="1">
      <c r="A1103" s="1" t="s">
        <v>334</v>
      </c>
      <c r="B1103" t="s">
        <v>947</v>
      </c>
      <c r="C1103" t="s">
        <v>948</v>
      </c>
      <c r="D1103" t="s">
        <v>949</v>
      </c>
      <c r="E1103" t="s">
        <v>950</v>
      </c>
      <c r="F1103" t="s">
        <v>951</v>
      </c>
      <c r="G1103" t="s">
        <v>340</v>
      </c>
      <c r="H1103" t="s">
        <v>255</v>
      </c>
      <c r="I1103">
        <v>2021</v>
      </c>
      <c r="J1103">
        <v>0</v>
      </c>
      <c r="K1103" t="s">
        <v>952</v>
      </c>
      <c r="M1103" t="str">
        <f t="shared" si="310"/>
        <v>Morris_2021</v>
      </c>
      <c r="N1103" t="s">
        <v>223</v>
      </c>
      <c r="O1103" t="s">
        <v>224</v>
      </c>
      <c r="Q1103" t="s">
        <v>257</v>
      </c>
      <c r="R1103" s="255" t="s">
        <v>226</v>
      </c>
      <c r="S1103" s="1" t="s">
        <v>958</v>
      </c>
      <c r="T1103" t="s">
        <v>797</v>
      </c>
      <c r="U1103" t="s">
        <v>959</v>
      </c>
      <c r="V1103">
        <v>0</v>
      </c>
      <c r="W1103">
        <v>0</v>
      </c>
      <c r="X1103">
        <v>0</v>
      </c>
      <c r="Y1103">
        <v>0</v>
      </c>
      <c r="Z1103">
        <v>0</v>
      </c>
      <c r="AA1103">
        <v>0</v>
      </c>
      <c r="AB1103">
        <v>0</v>
      </c>
      <c r="AC1103">
        <v>0</v>
      </c>
      <c r="AD1103">
        <v>0</v>
      </c>
      <c r="AE1103">
        <v>0</v>
      </c>
      <c r="AF1103">
        <v>0</v>
      </c>
      <c r="AG1103">
        <v>0</v>
      </c>
      <c r="AH1103">
        <v>0</v>
      </c>
      <c r="AI1103">
        <v>0</v>
      </c>
      <c r="AJ1103">
        <v>0</v>
      </c>
      <c r="AK1103">
        <v>1</v>
      </c>
      <c r="AL1103">
        <v>0</v>
      </c>
      <c r="AM1103">
        <v>0</v>
      </c>
      <c r="AN1103">
        <v>0</v>
      </c>
      <c r="AO1103">
        <v>0</v>
      </c>
      <c r="AP1103">
        <v>0</v>
      </c>
      <c r="AQ1103">
        <v>0</v>
      </c>
      <c r="AR1103">
        <v>0</v>
      </c>
      <c r="AS1103">
        <v>0</v>
      </c>
      <c r="AT1103">
        <v>0</v>
      </c>
      <c r="AU1103">
        <v>0</v>
      </c>
      <c r="AV1103">
        <v>0</v>
      </c>
      <c r="AW1103">
        <v>0</v>
      </c>
      <c r="AX1103" s="141">
        <f t="shared" si="321"/>
        <v>1</v>
      </c>
      <c r="AY1103" s="141">
        <f t="shared" si="292"/>
        <v>1</v>
      </c>
      <c r="AZ1103">
        <f t="shared" si="293"/>
        <v>0</v>
      </c>
      <c r="BA1103">
        <f t="shared" si="294"/>
        <v>0</v>
      </c>
      <c r="BB1103">
        <f t="shared" si="295"/>
        <v>1</v>
      </c>
      <c r="BC1103">
        <f t="shared" si="296"/>
        <v>0</v>
      </c>
      <c r="BD1103">
        <f t="shared" si="297"/>
        <v>0</v>
      </c>
      <c r="BE1103" t="str">
        <f t="array" ref="BE1103">IF(AY1103=1,INDEX($V$7:$AL$7,MATCH(TRUE,INDEX($V1103:$AW1103&lt;&gt;0,),0)),IF(AY1103=0,INDEX($AM$7:$AW$7,MATCH(1,$AM1103:$AW1103,0)),IF(BF1103="Multiple strategies","mixed drivers",IF(BF1103="Supply chain","multiple supply","multiple silviculture"))))</f>
        <v>technologies/design switch</v>
      </c>
      <c r="BF1103" s="2" t="str" cm="1">
        <f t="array" ref="BF1103">IF(COUNTIF(AZ1103:BB1103,"&lt;&gt;0")=1,INDEX($V$4:$AW$4,MATCH(TRUE,INDEX($V1103:$AW1103&lt;&gt;0,),0)),IF(COUNTIF(AZ1103:BB1103,"&lt;&gt;0")=0,INDEX($AM$4:$AW$4,MATCH(1,$AM1103:$AW1103,0)),"Multiple strategies"))</f>
        <v>Technology</v>
      </c>
      <c r="BG1103" s="1" t="s">
        <v>230</v>
      </c>
      <c r="BH1103" t="s">
        <v>956</v>
      </c>
      <c r="BI1103" s="260" t="s">
        <v>3375</v>
      </c>
      <c r="BJ1103" t="s">
        <v>346</v>
      </c>
      <c r="BK1103">
        <v>0</v>
      </c>
      <c r="BL1103">
        <v>116.6</v>
      </c>
      <c r="BN1103">
        <f t="shared" si="332"/>
        <v>116.6</v>
      </c>
      <c r="BO1103">
        <f t="shared" si="335"/>
        <v>0.23795918367346941</v>
      </c>
      <c r="BP1103" t="s">
        <v>233</v>
      </c>
      <c r="BQ1103" s="260" t="s">
        <v>3381</v>
      </c>
      <c r="BR1103" t="s">
        <v>957</v>
      </c>
      <c r="BS1103">
        <v>-139.69999999999999</v>
      </c>
      <c r="BT1103">
        <v>-32.799999999999997</v>
      </c>
      <c r="BU1103" s="144">
        <f t="shared" si="328"/>
        <v>0.23478883321403007</v>
      </c>
      <c r="BV1103">
        <f t="shared" si="327"/>
        <v>106.89999999999999</v>
      </c>
      <c r="BX1103">
        <f t="shared" si="333"/>
        <v>0.1069</v>
      </c>
      <c r="BY1103">
        <f t="shared" si="319"/>
        <v>0.4492367066895368</v>
      </c>
      <c r="BZ1103">
        <v>1</v>
      </c>
      <c r="CA1103">
        <v>0</v>
      </c>
      <c r="CB1103">
        <v>0</v>
      </c>
      <c r="CC1103">
        <v>0</v>
      </c>
      <c r="CD1103">
        <v>0</v>
      </c>
      <c r="CE1103">
        <v>1</v>
      </c>
      <c r="CF1103">
        <v>0</v>
      </c>
      <c r="CG1103">
        <v>1</v>
      </c>
      <c r="CH1103">
        <v>0</v>
      </c>
      <c r="CI1103">
        <v>0</v>
      </c>
      <c r="CJ1103">
        <v>0</v>
      </c>
      <c r="CK1103">
        <v>0</v>
      </c>
      <c r="CL1103">
        <v>0</v>
      </c>
      <c r="CM1103">
        <v>0</v>
      </c>
      <c r="CN1103" t="str">
        <f t="shared" si="334"/>
        <v>refOK</v>
      </c>
      <c r="CO1103">
        <f t="shared" si="336"/>
        <v>0</v>
      </c>
      <c r="CP1103">
        <f t="shared" si="337"/>
        <v>116.6</v>
      </c>
      <c r="CQ1103">
        <f t="shared" si="331"/>
        <v>0.23795918367346941</v>
      </c>
      <c r="CR1103">
        <f t="shared" si="329"/>
        <v>-139.69999999999999</v>
      </c>
      <c r="CS1103">
        <f t="shared" si="330"/>
        <v>-32.799999999999997</v>
      </c>
      <c r="CT1103">
        <f t="shared" si="322"/>
        <v>0.1069</v>
      </c>
      <c r="CU1103">
        <f t="shared" si="312"/>
        <v>0.4492367066895368</v>
      </c>
      <c r="CV1103" s="2">
        <f t="shared" si="323"/>
        <v>0.7652111667859699</v>
      </c>
      <c r="CW1103" s="1" t="s">
        <v>264</v>
      </c>
      <c r="CX1103" t="str">
        <f t="shared" si="298"/>
        <v>loc</v>
      </c>
      <c r="CY1103" t="s">
        <v>600</v>
      </c>
      <c r="DB1103">
        <v>0</v>
      </c>
      <c r="DC1103" t="str">
        <f t="shared" si="299"/>
        <v>0</v>
      </c>
      <c r="DD1103">
        <v>0</v>
      </c>
      <c r="DE1103">
        <v>0</v>
      </c>
      <c r="DF1103">
        <v>0</v>
      </c>
      <c r="DG1103">
        <v>1</v>
      </c>
      <c r="DI1103">
        <f t="shared" si="326"/>
        <v>1</v>
      </c>
      <c r="DJ1103" t="str">
        <f t="shared" si="311"/>
        <v>TimberInput</v>
      </c>
      <c r="DK1103">
        <f t="shared" si="338"/>
        <v>0</v>
      </c>
      <c r="DL1103">
        <f t="shared" si="339"/>
        <v>0</v>
      </c>
      <c r="DM1103">
        <f t="shared" si="340"/>
        <v>0</v>
      </c>
      <c r="DN1103" t="str">
        <f t="shared" si="341"/>
        <v>Timber</v>
      </c>
      <c r="DO1103">
        <v>0</v>
      </c>
      <c r="DP1103">
        <v>0</v>
      </c>
      <c r="DQ1103">
        <v>0</v>
      </c>
      <c r="DR1103">
        <v>0</v>
      </c>
      <c r="DS1103">
        <v>0</v>
      </c>
      <c r="DT1103">
        <f t="shared" si="315"/>
        <v>0</v>
      </c>
      <c r="DU1103" s="143" t="str">
        <f t="shared" si="301"/>
        <v>explicit C balance</v>
      </c>
      <c r="DV1103">
        <v>0</v>
      </c>
      <c r="DW1103">
        <v>0</v>
      </c>
      <c r="DX1103">
        <v>0</v>
      </c>
      <c r="DY1103">
        <v>0</v>
      </c>
      <c r="DZ1103">
        <v>0</v>
      </c>
      <c r="EA1103" s="143">
        <v>0</v>
      </c>
      <c r="EB1103">
        <v>1</v>
      </c>
      <c r="EC1103">
        <v>1</v>
      </c>
      <c r="ED1103">
        <v>0</v>
      </c>
      <c r="EE1103">
        <v>1</v>
      </c>
      <c r="EF1103">
        <v>0</v>
      </c>
      <c r="EG1103">
        <v>0</v>
      </c>
      <c r="EH1103">
        <v>0</v>
      </c>
      <c r="EI1103" s="2">
        <v>0</v>
      </c>
      <c r="EK1103" t="str">
        <f t="shared" si="342"/>
        <v/>
      </c>
      <c r="EL1103" t="str">
        <f t="shared" si="343"/>
        <v/>
      </c>
      <c r="EM1103" s="2" t="str">
        <f t="shared" si="300"/>
        <v>Technology approach</v>
      </c>
      <c r="EP1103" t="str">
        <f>IF(ISNUMBER(BU1103),IF(ABS(BU1103-[4]QC_indicators!$B$2)&gt;3*[4]QC_indicators!$C$2,"C ratio",IF(ISNUMBER(BY1103),IF(ABS(BY1103-[4]QC_indicators!$B$1)&gt;3*[4]QC_indicators!$C$1,"DF","no"))),IF(ISNUMBER(BY1103),IF(ABS(BY1103-[4]QC_indicators!$B$1)&gt;3*[4]QC_indicators!$C$1,"DF","no")))</f>
        <v>no</v>
      </c>
      <c r="ER1103" s="149" t="s">
        <v>350</v>
      </c>
      <c r="ET1103" s="266" t="s">
        <v>3275</v>
      </c>
    </row>
    <row r="1104" spans="1:150" hidden="1">
      <c r="A1104" s="1" t="s">
        <v>334</v>
      </c>
      <c r="B1104" t="s">
        <v>947</v>
      </c>
      <c r="C1104" t="s">
        <v>948</v>
      </c>
      <c r="D1104" t="s">
        <v>949</v>
      </c>
      <c r="E1104" t="s">
        <v>950</v>
      </c>
      <c r="F1104" t="s">
        <v>951</v>
      </c>
      <c r="G1104" t="s">
        <v>340</v>
      </c>
      <c r="H1104" t="s">
        <v>255</v>
      </c>
      <c r="I1104">
        <v>2021</v>
      </c>
      <c r="J1104">
        <v>0</v>
      </c>
      <c r="K1104" t="s">
        <v>952</v>
      </c>
      <c r="M1104" t="str">
        <f t="shared" si="310"/>
        <v>Morris_2021</v>
      </c>
      <c r="N1104" t="s">
        <v>223</v>
      </c>
      <c r="O1104" t="s">
        <v>224</v>
      </c>
      <c r="Q1104" t="s">
        <v>257</v>
      </c>
      <c r="R1104" s="255" t="s">
        <v>226</v>
      </c>
      <c r="S1104" s="1" t="s">
        <v>958</v>
      </c>
      <c r="T1104" t="s">
        <v>797</v>
      </c>
      <c r="U1104" t="s">
        <v>959</v>
      </c>
      <c r="V1104">
        <v>0</v>
      </c>
      <c r="W1104">
        <v>0</v>
      </c>
      <c r="X1104">
        <v>0</v>
      </c>
      <c r="Y1104">
        <v>0</v>
      </c>
      <c r="Z1104">
        <v>0</v>
      </c>
      <c r="AA1104">
        <v>0</v>
      </c>
      <c r="AB1104">
        <v>0</v>
      </c>
      <c r="AC1104">
        <v>0</v>
      </c>
      <c r="AD1104">
        <v>0</v>
      </c>
      <c r="AE1104">
        <v>0</v>
      </c>
      <c r="AF1104">
        <v>0</v>
      </c>
      <c r="AG1104">
        <v>0</v>
      </c>
      <c r="AH1104">
        <v>0</v>
      </c>
      <c r="AI1104">
        <v>0</v>
      </c>
      <c r="AJ1104">
        <v>0</v>
      </c>
      <c r="AK1104">
        <v>1</v>
      </c>
      <c r="AL1104">
        <v>0</v>
      </c>
      <c r="AM1104">
        <v>0</v>
      </c>
      <c r="AN1104">
        <v>0</v>
      </c>
      <c r="AO1104">
        <v>0</v>
      </c>
      <c r="AP1104">
        <v>0</v>
      </c>
      <c r="AQ1104">
        <v>0</v>
      </c>
      <c r="AR1104">
        <v>0</v>
      </c>
      <c r="AS1104">
        <v>0</v>
      </c>
      <c r="AT1104">
        <v>0</v>
      </c>
      <c r="AU1104">
        <v>0</v>
      </c>
      <c r="AV1104">
        <v>0</v>
      </c>
      <c r="AW1104">
        <v>0</v>
      </c>
      <c r="AX1104" s="141">
        <f t="shared" si="321"/>
        <v>1</v>
      </c>
      <c r="AY1104" s="141">
        <f t="shared" si="292"/>
        <v>1</v>
      </c>
      <c r="AZ1104">
        <f t="shared" si="293"/>
        <v>0</v>
      </c>
      <c r="BA1104">
        <f t="shared" si="294"/>
        <v>0</v>
      </c>
      <c r="BB1104">
        <f t="shared" si="295"/>
        <v>1</v>
      </c>
      <c r="BC1104">
        <f t="shared" si="296"/>
        <v>0</v>
      </c>
      <c r="BD1104">
        <f t="shared" si="297"/>
        <v>0</v>
      </c>
      <c r="BE1104" t="str">
        <f t="array" ref="BE1104">IF(AY1104=1,INDEX($V$7:$AL$7,MATCH(TRUE,INDEX($V1104:$AW1104&lt;&gt;0,),0)),IF(AY1104=0,INDEX($AM$7:$AW$7,MATCH(1,$AM1104:$AW1104,0)),IF(BF1104="Multiple strategies","mixed drivers",IF(BF1104="Supply chain","multiple supply","multiple silviculture"))))</f>
        <v>technologies/design switch</v>
      </c>
      <c r="BF1104" s="2" t="str" cm="1">
        <f t="array" ref="BF1104">IF(COUNTIF(AZ1104:BB1104,"&lt;&gt;0")=1,INDEX($V$4:$AW$4,MATCH(TRUE,INDEX($V1104:$AW1104&lt;&gt;0,),0)),IF(COUNTIF(AZ1104:BB1104,"&lt;&gt;0")=0,INDEX($AM$4:$AW$4,MATCH(1,$AM1104:$AW1104,0)),"Multiple strategies"))</f>
        <v>Technology</v>
      </c>
      <c r="BG1104" s="1" t="s">
        <v>230</v>
      </c>
      <c r="BH1104" t="s">
        <v>956</v>
      </c>
      <c r="BI1104" s="260" t="s">
        <v>3375</v>
      </c>
      <c r="BJ1104" t="s">
        <v>346</v>
      </c>
      <c r="BK1104">
        <v>0</v>
      </c>
      <c r="BL1104">
        <v>116.6</v>
      </c>
      <c r="BN1104">
        <f t="shared" si="332"/>
        <v>116.6</v>
      </c>
      <c r="BO1104">
        <f t="shared" si="335"/>
        <v>0.23795918367346941</v>
      </c>
      <c r="BP1104" t="s">
        <v>233</v>
      </c>
      <c r="BQ1104" s="260" t="s">
        <v>3381</v>
      </c>
      <c r="BR1104" t="s">
        <v>957</v>
      </c>
      <c r="BS1104">
        <v>-223.4</v>
      </c>
      <c r="BT1104" s="260">
        <v>-106.1</v>
      </c>
      <c r="BU1104" s="144">
        <f t="shared" si="328"/>
        <v>0.4749328558639212</v>
      </c>
      <c r="BV1104">
        <f t="shared" si="327"/>
        <v>117.30000000000001</v>
      </c>
      <c r="BX1104">
        <f t="shared" si="333"/>
        <v>0.11730000000000002</v>
      </c>
      <c r="BY1104">
        <f t="shared" si="319"/>
        <v>0.49294168096054891</v>
      </c>
      <c r="BZ1104">
        <v>1</v>
      </c>
      <c r="CA1104">
        <v>0</v>
      </c>
      <c r="CB1104">
        <v>0</v>
      </c>
      <c r="CC1104">
        <v>0</v>
      </c>
      <c r="CD1104">
        <v>0</v>
      </c>
      <c r="CE1104">
        <v>1</v>
      </c>
      <c r="CF1104">
        <v>0</v>
      </c>
      <c r="CG1104">
        <v>1</v>
      </c>
      <c r="CH1104">
        <v>0</v>
      </c>
      <c r="CI1104">
        <v>0</v>
      </c>
      <c r="CJ1104">
        <v>0</v>
      </c>
      <c r="CK1104">
        <v>0</v>
      </c>
      <c r="CL1104">
        <v>0</v>
      </c>
      <c r="CM1104">
        <v>0</v>
      </c>
      <c r="CN1104" t="str">
        <f t="shared" si="334"/>
        <v>refOK</v>
      </c>
      <c r="CO1104">
        <f t="shared" si="336"/>
        <v>0</v>
      </c>
      <c r="CP1104">
        <f t="shared" si="337"/>
        <v>116.6</v>
      </c>
      <c r="CQ1104">
        <f t="shared" si="331"/>
        <v>0.23795918367346941</v>
      </c>
      <c r="CR1104">
        <f t="shared" si="329"/>
        <v>-223.4</v>
      </c>
      <c r="CS1104">
        <f t="shared" si="330"/>
        <v>-106.1</v>
      </c>
      <c r="CT1104">
        <f t="shared" si="322"/>
        <v>0.11730000000000002</v>
      </c>
      <c r="CU1104">
        <f t="shared" si="312"/>
        <v>0.49294168096054891</v>
      </c>
      <c r="CV1104" s="2">
        <f t="shared" si="323"/>
        <v>0.5250671441360788</v>
      </c>
      <c r="CW1104" s="1" t="s">
        <v>264</v>
      </c>
      <c r="CX1104" t="str">
        <f t="shared" si="298"/>
        <v>loc</v>
      </c>
      <c r="CY1104" t="s">
        <v>600</v>
      </c>
      <c r="DB1104">
        <v>0</v>
      </c>
      <c r="DC1104" t="str">
        <f t="shared" si="299"/>
        <v>0</v>
      </c>
      <c r="DD1104">
        <v>0</v>
      </c>
      <c r="DE1104">
        <v>0</v>
      </c>
      <c r="DF1104">
        <v>0</v>
      </c>
      <c r="DG1104">
        <v>1</v>
      </c>
      <c r="DI1104">
        <f t="shared" si="326"/>
        <v>1</v>
      </c>
      <c r="DJ1104" t="str">
        <f t="shared" si="311"/>
        <v>TimberInput</v>
      </c>
      <c r="DK1104">
        <f t="shared" si="338"/>
        <v>0</v>
      </c>
      <c r="DL1104">
        <f t="shared" si="339"/>
        <v>0</v>
      </c>
      <c r="DM1104">
        <f t="shared" si="340"/>
        <v>0</v>
      </c>
      <c r="DN1104" t="str">
        <f t="shared" si="341"/>
        <v>Timber</v>
      </c>
      <c r="DO1104">
        <v>0</v>
      </c>
      <c r="DP1104">
        <v>1</v>
      </c>
      <c r="DQ1104">
        <v>0</v>
      </c>
      <c r="DR1104">
        <v>0</v>
      </c>
      <c r="DS1104">
        <v>0</v>
      </c>
      <c r="DT1104">
        <f t="shared" si="315"/>
        <v>1</v>
      </c>
      <c r="DU1104" s="143" t="str">
        <f t="shared" si="301"/>
        <v>external DF used</v>
      </c>
      <c r="DV1104">
        <v>0</v>
      </c>
      <c r="DW1104">
        <v>0</v>
      </c>
      <c r="DX1104">
        <v>0</v>
      </c>
      <c r="DY1104">
        <v>0</v>
      </c>
      <c r="DZ1104">
        <v>0</v>
      </c>
      <c r="EA1104" s="143">
        <v>1</v>
      </c>
      <c r="EB1104">
        <v>1</v>
      </c>
      <c r="EC1104">
        <v>1</v>
      </c>
      <c r="ED1104">
        <v>0</v>
      </c>
      <c r="EE1104">
        <v>1</v>
      </c>
      <c r="EF1104">
        <v>0</v>
      </c>
      <c r="EG1104">
        <v>0</v>
      </c>
      <c r="EH1104">
        <v>0</v>
      </c>
      <c r="EI1104" s="2">
        <v>0</v>
      </c>
      <c r="EK1104" t="str">
        <f t="shared" si="342"/>
        <v/>
      </c>
      <c r="EL1104" t="str">
        <f t="shared" si="343"/>
        <v/>
      </c>
      <c r="EM1104" s="2" t="str">
        <f t="shared" si="300"/>
        <v>Technology approach</v>
      </c>
      <c r="EP1104" t="str">
        <f>IF(ISNUMBER(BU1104),IF(ABS(BU1104-[4]QC_indicators!$B$2)&gt;3*[4]QC_indicators!$C$2,"C ratio",IF(ISNUMBER(BY1104),IF(ABS(BY1104-[4]QC_indicators!$B$1)&gt;3*[4]QC_indicators!$C$1,"DF","no"))),IF(ISNUMBER(BY1104),IF(ABS(BY1104-[4]QC_indicators!$B$1)&gt;3*[4]QC_indicators!$C$1,"DF","no")))</f>
        <v>no</v>
      </c>
      <c r="ER1104" t="s">
        <v>961</v>
      </c>
      <c r="ET1104" s="266" t="s">
        <v>3275</v>
      </c>
    </row>
    <row r="1105" spans="1:150" hidden="1">
      <c r="A1105" s="1" t="s">
        <v>334</v>
      </c>
      <c r="B1105" t="s">
        <v>947</v>
      </c>
      <c r="C1105" t="s">
        <v>948</v>
      </c>
      <c r="D1105" t="s">
        <v>949</v>
      </c>
      <c r="E1105" t="s">
        <v>950</v>
      </c>
      <c r="F1105" t="s">
        <v>951</v>
      </c>
      <c r="G1105" t="s">
        <v>340</v>
      </c>
      <c r="H1105" t="s">
        <v>255</v>
      </c>
      <c r="I1105">
        <v>2021</v>
      </c>
      <c r="J1105">
        <v>0</v>
      </c>
      <c r="K1105" t="s">
        <v>952</v>
      </c>
      <c r="M1105" t="str">
        <f t="shared" si="310"/>
        <v>Morris_2021</v>
      </c>
      <c r="N1105" t="s">
        <v>223</v>
      </c>
      <c r="O1105" t="s">
        <v>224</v>
      </c>
      <c r="Q1105" t="s">
        <v>257</v>
      </c>
      <c r="R1105" s="255" t="s">
        <v>226</v>
      </c>
      <c r="S1105" s="1" t="s">
        <v>958</v>
      </c>
      <c r="T1105" t="s">
        <v>797</v>
      </c>
      <c r="U1105" t="s">
        <v>959</v>
      </c>
      <c r="V1105">
        <v>0</v>
      </c>
      <c r="W1105">
        <v>0</v>
      </c>
      <c r="X1105">
        <v>0</v>
      </c>
      <c r="Y1105">
        <v>0</v>
      </c>
      <c r="Z1105">
        <v>0</v>
      </c>
      <c r="AA1105">
        <v>0</v>
      </c>
      <c r="AB1105">
        <v>0</v>
      </c>
      <c r="AC1105">
        <v>0</v>
      </c>
      <c r="AD1105">
        <v>0</v>
      </c>
      <c r="AE1105">
        <v>0</v>
      </c>
      <c r="AF1105">
        <v>0</v>
      </c>
      <c r="AG1105">
        <v>0</v>
      </c>
      <c r="AH1105">
        <v>0</v>
      </c>
      <c r="AI1105">
        <v>0</v>
      </c>
      <c r="AJ1105">
        <v>0</v>
      </c>
      <c r="AK1105">
        <v>1</v>
      </c>
      <c r="AL1105">
        <v>0</v>
      </c>
      <c r="AM1105">
        <v>0</v>
      </c>
      <c r="AN1105">
        <v>0</v>
      </c>
      <c r="AO1105">
        <v>0</v>
      </c>
      <c r="AP1105">
        <v>0</v>
      </c>
      <c r="AQ1105">
        <v>0</v>
      </c>
      <c r="AR1105">
        <v>0</v>
      </c>
      <c r="AS1105">
        <v>0</v>
      </c>
      <c r="AT1105">
        <v>0</v>
      </c>
      <c r="AU1105">
        <v>0</v>
      </c>
      <c r="AV1105">
        <v>0</v>
      </c>
      <c r="AW1105">
        <v>0</v>
      </c>
      <c r="AX1105" s="141">
        <f t="shared" si="321"/>
        <v>1</v>
      </c>
      <c r="AY1105" s="141">
        <f t="shared" si="292"/>
        <v>1</v>
      </c>
      <c r="AZ1105">
        <f t="shared" si="293"/>
        <v>0</v>
      </c>
      <c r="BA1105">
        <f t="shared" si="294"/>
        <v>0</v>
      </c>
      <c r="BB1105">
        <f t="shared" si="295"/>
        <v>1</v>
      </c>
      <c r="BC1105">
        <f t="shared" si="296"/>
        <v>0</v>
      </c>
      <c r="BD1105">
        <f t="shared" si="297"/>
        <v>0</v>
      </c>
      <c r="BE1105" t="str">
        <f t="array" ref="BE1105">IF(AY1105=1,INDEX($V$7:$AL$7,MATCH(TRUE,INDEX($V1105:$AW1105&lt;&gt;0,),0)),IF(AY1105=0,INDEX($AM$7:$AW$7,MATCH(1,$AM1105:$AW1105,0)),IF(BF1105="Multiple strategies","mixed drivers",IF(BF1105="Supply chain","multiple supply","multiple silviculture"))))</f>
        <v>technologies/design switch</v>
      </c>
      <c r="BF1105" s="2" t="str" cm="1">
        <f t="array" ref="BF1105">IF(COUNTIF(AZ1105:BB1105,"&lt;&gt;0")=1,INDEX($V$4:$AW$4,MATCH(TRUE,INDEX($V1105:$AW1105&lt;&gt;0,),0)),IF(COUNTIF(AZ1105:BB1105,"&lt;&gt;0")=0,INDEX($AM$4:$AW$4,MATCH(1,$AM1105:$AW1105,0)),"Multiple strategies"))</f>
        <v>Technology</v>
      </c>
      <c r="BG1105" s="1" t="s">
        <v>230</v>
      </c>
      <c r="BH1105" t="s">
        <v>956</v>
      </c>
      <c r="BI1105" s="260" t="s">
        <v>3375</v>
      </c>
      <c r="BJ1105" t="s">
        <v>346</v>
      </c>
      <c r="BK1105">
        <v>0</v>
      </c>
      <c r="BL1105">
        <v>116.6</v>
      </c>
      <c r="BN1105">
        <f t="shared" si="332"/>
        <v>116.6</v>
      </c>
      <c r="BO1105">
        <f t="shared" si="335"/>
        <v>0.23795918367346941</v>
      </c>
      <c r="BP1105" t="s">
        <v>233</v>
      </c>
      <c r="BQ1105" s="260" t="s">
        <v>3382</v>
      </c>
      <c r="BR1105" t="s">
        <v>957</v>
      </c>
      <c r="BS1105">
        <v>-223.9</v>
      </c>
      <c r="BT1105">
        <v>-71.3</v>
      </c>
      <c r="BU1105" s="144">
        <f t="shared" si="328"/>
        <v>0.31844573470299237</v>
      </c>
      <c r="BV1105">
        <f t="shared" si="327"/>
        <v>152.60000000000002</v>
      </c>
      <c r="BX1105">
        <f t="shared" si="333"/>
        <v>0.15260000000000001</v>
      </c>
      <c r="BY1105">
        <f t="shared" si="319"/>
        <v>0.64128644939965695</v>
      </c>
      <c r="BZ1105">
        <v>1</v>
      </c>
      <c r="CA1105">
        <v>0</v>
      </c>
      <c r="CB1105">
        <v>0</v>
      </c>
      <c r="CC1105">
        <v>0</v>
      </c>
      <c r="CD1105">
        <v>0</v>
      </c>
      <c r="CE1105">
        <v>1</v>
      </c>
      <c r="CF1105">
        <v>0</v>
      </c>
      <c r="CG1105">
        <v>1</v>
      </c>
      <c r="CH1105">
        <v>0</v>
      </c>
      <c r="CI1105">
        <v>0</v>
      </c>
      <c r="CJ1105">
        <v>0</v>
      </c>
      <c r="CK1105">
        <v>0</v>
      </c>
      <c r="CL1105">
        <v>0</v>
      </c>
      <c r="CM1105">
        <v>0</v>
      </c>
      <c r="CN1105" t="str">
        <f t="shared" si="334"/>
        <v>refOK</v>
      </c>
      <c r="CO1105">
        <f t="shared" si="336"/>
        <v>0</v>
      </c>
      <c r="CP1105">
        <f t="shared" si="337"/>
        <v>116.6</v>
      </c>
      <c r="CQ1105">
        <f t="shared" si="331"/>
        <v>0.23795918367346941</v>
      </c>
      <c r="CR1105">
        <f t="shared" si="329"/>
        <v>-223.9</v>
      </c>
      <c r="CS1105">
        <f t="shared" si="330"/>
        <v>-71.3</v>
      </c>
      <c r="CT1105">
        <f t="shared" si="322"/>
        <v>0.15260000000000001</v>
      </c>
      <c r="CU1105">
        <f t="shared" si="312"/>
        <v>0.64128644939965695</v>
      </c>
      <c r="CV1105" s="2">
        <f t="shared" si="323"/>
        <v>0.68155426529700769</v>
      </c>
      <c r="CW1105" s="1" t="s">
        <v>264</v>
      </c>
      <c r="CX1105" t="str">
        <f t="shared" si="298"/>
        <v>loc</v>
      </c>
      <c r="CY1105" t="s">
        <v>600</v>
      </c>
      <c r="DB1105">
        <v>0</v>
      </c>
      <c r="DC1105" t="str">
        <f t="shared" si="299"/>
        <v>0</v>
      </c>
      <c r="DD1105">
        <v>0</v>
      </c>
      <c r="DE1105">
        <v>0</v>
      </c>
      <c r="DF1105">
        <v>0</v>
      </c>
      <c r="DG1105">
        <v>1</v>
      </c>
      <c r="DI1105">
        <f t="shared" si="326"/>
        <v>1</v>
      </c>
      <c r="DJ1105" t="str">
        <f t="shared" si="311"/>
        <v>TimberInput</v>
      </c>
      <c r="DK1105">
        <f t="shared" si="338"/>
        <v>0</v>
      </c>
      <c r="DL1105">
        <f t="shared" si="339"/>
        <v>0</v>
      </c>
      <c r="DM1105">
        <f t="shared" si="340"/>
        <v>0</v>
      </c>
      <c r="DN1105" t="str">
        <f t="shared" si="341"/>
        <v>Timber</v>
      </c>
      <c r="DO1105">
        <v>0</v>
      </c>
      <c r="DP1105">
        <v>0</v>
      </c>
      <c r="DQ1105">
        <v>0</v>
      </c>
      <c r="DR1105">
        <v>0</v>
      </c>
      <c r="DS1105">
        <v>0</v>
      </c>
      <c r="DT1105">
        <f t="shared" si="315"/>
        <v>0</v>
      </c>
      <c r="DU1105" s="143" t="str">
        <f t="shared" si="301"/>
        <v>explicit C balance</v>
      </c>
      <c r="DV1105">
        <v>0</v>
      </c>
      <c r="DW1105">
        <v>0</v>
      </c>
      <c r="DX1105">
        <v>0</v>
      </c>
      <c r="DY1105">
        <v>1</v>
      </c>
      <c r="DZ1105">
        <v>0</v>
      </c>
      <c r="EA1105" s="143">
        <v>1</v>
      </c>
      <c r="EB1105">
        <v>1</v>
      </c>
      <c r="EC1105">
        <v>1</v>
      </c>
      <c r="ED1105">
        <v>0</v>
      </c>
      <c r="EE1105">
        <v>1</v>
      </c>
      <c r="EF1105">
        <v>0</v>
      </c>
      <c r="EG1105">
        <v>0</v>
      </c>
      <c r="EH1105">
        <v>0</v>
      </c>
      <c r="EI1105" s="2">
        <v>0</v>
      </c>
      <c r="EK1105" t="str">
        <f t="shared" si="342"/>
        <v/>
      </c>
      <c r="EL1105" t="str">
        <f t="shared" si="343"/>
        <v/>
      </c>
      <c r="EM1105" s="2" t="str">
        <f t="shared" si="300"/>
        <v>Technology approach</v>
      </c>
      <c r="EP1105" t="str">
        <f>IF(ISNUMBER(BU1105),IF(ABS(BU1105-[4]QC_indicators!$B$2)&gt;3*[4]QC_indicators!$C$2,"C ratio",IF(ISNUMBER(BY1105),IF(ABS(BY1105-[4]QC_indicators!$B$1)&gt;3*[4]QC_indicators!$C$1,"DF","no"))),IF(ISNUMBER(BY1105),IF(ABS(BY1105-[4]QC_indicators!$B$1)&gt;3*[4]QC_indicators!$C$1,"DF","no")))</f>
        <v>no</v>
      </c>
      <c r="ER1105" t="s">
        <v>961</v>
      </c>
      <c r="ET1105" s="266" t="s">
        <v>3275</v>
      </c>
    </row>
    <row r="1106" spans="1:150" hidden="1">
      <c r="A1106" s="1" t="s">
        <v>334</v>
      </c>
      <c r="B1106" t="s">
        <v>947</v>
      </c>
      <c r="C1106" t="s">
        <v>948</v>
      </c>
      <c r="D1106" t="s">
        <v>949</v>
      </c>
      <c r="E1106" t="s">
        <v>950</v>
      </c>
      <c r="F1106" t="s">
        <v>951</v>
      </c>
      <c r="G1106" t="s">
        <v>340</v>
      </c>
      <c r="H1106" t="s">
        <v>255</v>
      </c>
      <c r="I1106">
        <v>2021</v>
      </c>
      <c r="J1106">
        <v>0</v>
      </c>
      <c r="K1106" t="s">
        <v>952</v>
      </c>
      <c r="M1106" t="str">
        <f t="shared" si="310"/>
        <v>Morris_2021</v>
      </c>
      <c r="N1106" t="s">
        <v>223</v>
      </c>
      <c r="O1106" t="s">
        <v>224</v>
      </c>
      <c r="Q1106" t="s">
        <v>257</v>
      </c>
      <c r="R1106" s="255" t="s">
        <v>226</v>
      </c>
      <c r="S1106" s="1" t="s">
        <v>958</v>
      </c>
      <c r="T1106" t="s">
        <v>797</v>
      </c>
      <c r="U1106" t="s">
        <v>959</v>
      </c>
      <c r="V1106">
        <v>0</v>
      </c>
      <c r="W1106">
        <v>0</v>
      </c>
      <c r="X1106">
        <v>0</v>
      </c>
      <c r="Y1106">
        <v>0</v>
      </c>
      <c r="Z1106">
        <v>0</v>
      </c>
      <c r="AA1106">
        <v>0</v>
      </c>
      <c r="AB1106">
        <v>0</v>
      </c>
      <c r="AC1106">
        <v>0</v>
      </c>
      <c r="AD1106">
        <v>0</v>
      </c>
      <c r="AE1106">
        <v>0</v>
      </c>
      <c r="AF1106">
        <v>0</v>
      </c>
      <c r="AG1106">
        <v>0</v>
      </c>
      <c r="AH1106">
        <v>0</v>
      </c>
      <c r="AI1106">
        <v>0</v>
      </c>
      <c r="AJ1106">
        <v>0</v>
      </c>
      <c r="AK1106">
        <v>1</v>
      </c>
      <c r="AL1106">
        <v>0</v>
      </c>
      <c r="AM1106">
        <v>0</v>
      </c>
      <c r="AN1106">
        <v>0</v>
      </c>
      <c r="AO1106">
        <v>0</v>
      </c>
      <c r="AP1106">
        <v>0</v>
      </c>
      <c r="AQ1106">
        <v>0</v>
      </c>
      <c r="AR1106">
        <v>0</v>
      </c>
      <c r="AS1106">
        <v>0</v>
      </c>
      <c r="AT1106">
        <v>0</v>
      </c>
      <c r="AU1106">
        <v>0</v>
      </c>
      <c r="AV1106">
        <v>0</v>
      </c>
      <c r="AW1106">
        <v>0</v>
      </c>
      <c r="AX1106" s="141">
        <f t="shared" si="321"/>
        <v>1</v>
      </c>
      <c r="AY1106" s="141">
        <f t="shared" si="292"/>
        <v>1</v>
      </c>
      <c r="AZ1106">
        <f t="shared" si="293"/>
        <v>0</v>
      </c>
      <c r="BA1106">
        <f t="shared" si="294"/>
        <v>0</v>
      </c>
      <c r="BB1106">
        <f t="shared" si="295"/>
        <v>1</v>
      </c>
      <c r="BC1106">
        <f t="shared" si="296"/>
        <v>0</v>
      </c>
      <c r="BD1106">
        <f t="shared" si="297"/>
        <v>0</v>
      </c>
      <c r="BE1106" t="str">
        <f t="array" ref="BE1106">IF(AY1106=1,INDEX($V$7:$AL$7,MATCH(TRUE,INDEX($V1106:$AW1106&lt;&gt;0,),0)),IF(AY1106=0,INDEX($AM$7:$AW$7,MATCH(1,$AM1106:$AW1106,0)),IF(BF1106="Multiple strategies","mixed drivers",IF(BF1106="Supply chain","multiple supply","multiple silviculture"))))</f>
        <v>technologies/design switch</v>
      </c>
      <c r="BF1106" s="2" t="str" cm="1">
        <f t="array" ref="BF1106">IF(COUNTIF(AZ1106:BB1106,"&lt;&gt;0")=1,INDEX($V$4:$AW$4,MATCH(TRUE,INDEX($V1106:$AW1106&lt;&gt;0,),0)),IF(COUNTIF(AZ1106:BB1106,"&lt;&gt;0")=0,INDEX($AM$4:$AW$4,MATCH(1,$AM1106:$AW1106,0)),"Multiple strategies"))</f>
        <v>Technology</v>
      </c>
      <c r="BG1106" s="1" t="s">
        <v>230</v>
      </c>
      <c r="BH1106" t="s">
        <v>956</v>
      </c>
      <c r="BI1106" s="260" t="s">
        <v>3375</v>
      </c>
      <c r="BJ1106" t="s">
        <v>346</v>
      </c>
      <c r="BK1106">
        <v>0</v>
      </c>
      <c r="BL1106">
        <v>116.6</v>
      </c>
      <c r="BN1106">
        <f t="shared" si="332"/>
        <v>116.6</v>
      </c>
      <c r="BO1106">
        <f t="shared" si="335"/>
        <v>0.23795918367346941</v>
      </c>
      <c r="BP1106" t="s">
        <v>233</v>
      </c>
      <c r="BQ1106" s="260" t="s">
        <v>3382</v>
      </c>
      <c r="BR1106" t="s">
        <v>957</v>
      </c>
      <c r="BS1106">
        <v>-141.19999999999999</v>
      </c>
      <c r="BT1106">
        <v>13.8</v>
      </c>
      <c r="BU1106" s="144">
        <f t="shared" si="328"/>
        <v>-9.7733711048158659E-2</v>
      </c>
      <c r="BV1106">
        <f t="shared" si="327"/>
        <v>155</v>
      </c>
      <c r="BX1106">
        <f t="shared" si="333"/>
        <v>0.155</v>
      </c>
      <c r="BY1106">
        <f t="shared" si="319"/>
        <v>0.6513722126929673</v>
      </c>
      <c r="BZ1106">
        <v>1</v>
      </c>
      <c r="CA1106">
        <v>0</v>
      </c>
      <c r="CB1106">
        <v>0</v>
      </c>
      <c r="CC1106">
        <v>0</v>
      </c>
      <c r="CD1106">
        <v>0</v>
      </c>
      <c r="CE1106">
        <v>1</v>
      </c>
      <c r="CF1106">
        <v>0</v>
      </c>
      <c r="CG1106">
        <v>1</v>
      </c>
      <c r="CH1106">
        <v>0</v>
      </c>
      <c r="CI1106">
        <v>0</v>
      </c>
      <c r="CJ1106">
        <v>0</v>
      </c>
      <c r="CK1106">
        <v>0</v>
      </c>
      <c r="CL1106">
        <v>0</v>
      </c>
      <c r="CM1106">
        <v>0</v>
      </c>
      <c r="CN1106" t="str">
        <f t="shared" si="334"/>
        <v>refOK</v>
      </c>
      <c r="CO1106">
        <f t="shared" si="336"/>
        <v>0</v>
      </c>
      <c r="CP1106">
        <f t="shared" si="337"/>
        <v>116.6</v>
      </c>
      <c r="CQ1106">
        <f t="shared" si="331"/>
        <v>0.23795918367346941</v>
      </c>
      <c r="CR1106">
        <f t="shared" si="329"/>
        <v>-141.19999999999999</v>
      </c>
      <c r="CS1106">
        <f t="shared" si="330"/>
        <v>13.8</v>
      </c>
      <c r="CT1106">
        <f t="shared" si="322"/>
        <v>0.155</v>
      </c>
      <c r="CU1106">
        <f t="shared" si="312"/>
        <v>0.6513722126929673</v>
      </c>
      <c r="CV1106" s="2">
        <f t="shared" si="323"/>
        <v>1.0977337110481586</v>
      </c>
      <c r="CW1106" s="1" t="s">
        <v>264</v>
      </c>
      <c r="CX1106" t="str">
        <f t="shared" si="298"/>
        <v>loc</v>
      </c>
      <c r="CY1106" t="s">
        <v>600</v>
      </c>
      <c r="DB1106">
        <v>0</v>
      </c>
      <c r="DC1106" t="str">
        <f t="shared" si="299"/>
        <v>0</v>
      </c>
      <c r="DD1106">
        <v>0</v>
      </c>
      <c r="DE1106">
        <v>0</v>
      </c>
      <c r="DF1106">
        <v>0</v>
      </c>
      <c r="DG1106">
        <v>1</v>
      </c>
      <c r="DI1106">
        <f t="shared" si="326"/>
        <v>1</v>
      </c>
      <c r="DJ1106" t="str">
        <f t="shared" si="311"/>
        <v>TimberInput</v>
      </c>
      <c r="DK1106">
        <f t="shared" si="338"/>
        <v>0</v>
      </c>
      <c r="DL1106">
        <f t="shared" si="339"/>
        <v>0</v>
      </c>
      <c r="DM1106">
        <f t="shared" si="340"/>
        <v>0</v>
      </c>
      <c r="DN1106" t="str">
        <f t="shared" si="341"/>
        <v>Timber</v>
      </c>
      <c r="DO1106">
        <v>0</v>
      </c>
      <c r="DP1106">
        <v>1</v>
      </c>
      <c r="DQ1106">
        <v>0</v>
      </c>
      <c r="DR1106">
        <v>0</v>
      </c>
      <c r="DS1106">
        <v>0</v>
      </c>
      <c r="DT1106">
        <f t="shared" si="315"/>
        <v>1</v>
      </c>
      <c r="DU1106" s="143" t="str">
        <f t="shared" si="301"/>
        <v>external DF used</v>
      </c>
      <c r="DV1106">
        <v>0</v>
      </c>
      <c r="DW1106">
        <v>0</v>
      </c>
      <c r="DX1106">
        <v>0</v>
      </c>
      <c r="DY1106">
        <v>1</v>
      </c>
      <c r="DZ1106">
        <v>0</v>
      </c>
      <c r="EA1106" s="143">
        <v>1</v>
      </c>
      <c r="EB1106">
        <v>1</v>
      </c>
      <c r="EC1106">
        <v>1</v>
      </c>
      <c r="ED1106">
        <v>0</v>
      </c>
      <c r="EE1106">
        <v>1</v>
      </c>
      <c r="EF1106">
        <v>0</v>
      </c>
      <c r="EG1106">
        <v>0</v>
      </c>
      <c r="EH1106">
        <v>0</v>
      </c>
      <c r="EI1106" s="2">
        <v>0</v>
      </c>
      <c r="EK1106" t="str">
        <f t="shared" si="342"/>
        <v/>
      </c>
      <c r="EL1106" t="str">
        <f t="shared" si="343"/>
        <v/>
      </c>
      <c r="EM1106" s="2" t="str">
        <f t="shared" si="300"/>
        <v>Technology approach</v>
      </c>
      <c r="EP1106" t="str">
        <f>IF(ISNUMBER(BU1106),IF(ABS(BU1106-[4]QC_indicators!$B$2)&gt;3*[4]QC_indicators!$C$2,"C ratio",IF(ISNUMBER(BY1106),IF(ABS(BY1106-[4]QC_indicators!$B$1)&gt;3*[4]QC_indicators!$C$1,"DF","no"))),IF(ISNUMBER(BY1106),IF(ABS(BY1106-[4]QC_indicators!$B$1)&gt;3*[4]QC_indicators!$C$1,"DF","no")))</f>
        <v>no</v>
      </c>
      <c r="ER1106" s="149" t="s">
        <v>350</v>
      </c>
      <c r="ET1106" s="266" t="s">
        <v>3275</v>
      </c>
    </row>
    <row r="1107" spans="1:150" hidden="1">
      <c r="A1107" s="1" t="s">
        <v>334</v>
      </c>
      <c r="B1107" t="s">
        <v>947</v>
      </c>
      <c r="C1107" t="s">
        <v>948</v>
      </c>
      <c r="D1107" t="s">
        <v>949</v>
      </c>
      <c r="E1107" t="s">
        <v>950</v>
      </c>
      <c r="F1107" t="s">
        <v>951</v>
      </c>
      <c r="G1107" t="s">
        <v>340</v>
      </c>
      <c r="H1107" t="s">
        <v>255</v>
      </c>
      <c r="I1107">
        <v>2021</v>
      </c>
      <c r="J1107">
        <v>0</v>
      </c>
      <c r="K1107" t="s">
        <v>952</v>
      </c>
      <c r="M1107" t="str">
        <f t="shared" si="310"/>
        <v>Morris_2021</v>
      </c>
      <c r="N1107" t="s">
        <v>223</v>
      </c>
      <c r="O1107" t="s">
        <v>224</v>
      </c>
      <c r="Q1107" t="s">
        <v>257</v>
      </c>
      <c r="R1107" s="255" t="s">
        <v>226</v>
      </c>
      <c r="S1107" s="1" t="s">
        <v>958</v>
      </c>
      <c r="T1107" t="s">
        <v>797</v>
      </c>
      <c r="U1107" t="s">
        <v>959</v>
      </c>
      <c r="V1107">
        <v>0</v>
      </c>
      <c r="W1107">
        <v>0</v>
      </c>
      <c r="X1107">
        <v>0</v>
      </c>
      <c r="Y1107">
        <v>0</v>
      </c>
      <c r="Z1107">
        <v>0</v>
      </c>
      <c r="AA1107">
        <v>0</v>
      </c>
      <c r="AB1107">
        <v>0</v>
      </c>
      <c r="AC1107">
        <v>0</v>
      </c>
      <c r="AD1107">
        <v>0</v>
      </c>
      <c r="AE1107">
        <v>0</v>
      </c>
      <c r="AF1107">
        <v>0</v>
      </c>
      <c r="AG1107">
        <v>0</v>
      </c>
      <c r="AH1107">
        <v>0</v>
      </c>
      <c r="AI1107">
        <v>0</v>
      </c>
      <c r="AJ1107">
        <v>0</v>
      </c>
      <c r="AK1107">
        <v>1</v>
      </c>
      <c r="AL1107">
        <v>0</v>
      </c>
      <c r="AM1107">
        <v>0</v>
      </c>
      <c r="AN1107">
        <v>0</v>
      </c>
      <c r="AO1107">
        <v>0</v>
      </c>
      <c r="AP1107">
        <v>0</v>
      </c>
      <c r="AQ1107">
        <v>0</v>
      </c>
      <c r="AR1107">
        <v>0</v>
      </c>
      <c r="AS1107">
        <v>0</v>
      </c>
      <c r="AT1107">
        <v>0</v>
      </c>
      <c r="AU1107">
        <v>0</v>
      </c>
      <c r="AV1107">
        <v>0</v>
      </c>
      <c r="AW1107">
        <v>0</v>
      </c>
      <c r="AX1107" s="141">
        <f t="shared" si="321"/>
        <v>1</v>
      </c>
      <c r="AY1107" s="141">
        <f t="shared" si="292"/>
        <v>1</v>
      </c>
      <c r="AZ1107">
        <f t="shared" si="293"/>
        <v>0</v>
      </c>
      <c r="BA1107">
        <f t="shared" si="294"/>
        <v>0</v>
      </c>
      <c r="BB1107">
        <f t="shared" si="295"/>
        <v>1</v>
      </c>
      <c r="BC1107">
        <f t="shared" si="296"/>
        <v>0</v>
      </c>
      <c r="BD1107">
        <f t="shared" si="297"/>
        <v>0</v>
      </c>
      <c r="BE1107" t="str">
        <f t="array" ref="BE1107">IF(AY1107=1,INDEX($V$7:$AL$7,MATCH(TRUE,INDEX($V1107:$AW1107&lt;&gt;0,),0)),IF(AY1107=0,INDEX($AM$7:$AW$7,MATCH(1,$AM1107:$AW1107,0)),IF(BF1107="Multiple strategies","mixed drivers",IF(BF1107="Supply chain","multiple supply","multiple silviculture"))))</f>
        <v>technologies/design switch</v>
      </c>
      <c r="BF1107" s="2" t="str" cm="1">
        <f t="array" ref="BF1107">IF(COUNTIF(AZ1107:BB1107,"&lt;&gt;0")=1,INDEX($V$4:$AW$4,MATCH(TRUE,INDEX($V1107:$AW1107&lt;&gt;0,),0)),IF(COUNTIF(AZ1107:BB1107,"&lt;&gt;0")=0,INDEX($AM$4:$AW$4,MATCH(1,$AM1107:$AW1107,0)),"Multiple strategies"))</f>
        <v>Technology</v>
      </c>
      <c r="BG1107" s="1" t="s">
        <v>230</v>
      </c>
      <c r="BH1107" t="s">
        <v>956</v>
      </c>
      <c r="BI1107" s="260" t="s">
        <v>3375</v>
      </c>
      <c r="BJ1107" t="s">
        <v>346</v>
      </c>
      <c r="BK1107">
        <v>0</v>
      </c>
      <c r="BL1107">
        <v>116.6</v>
      </c>
      <c r="BN1107">
        <f t="shared" si="332"/>
        <v>116.6</v>
      </c>
      <c r="BO1107">
        <f t="shared" si="335"/>
        <v>0.23795918367346941</v>
      </c>
      <c r="BP1107" t="s">
        <v>233</v>
      </c>
      <c r="BQ1107" s="260" t="s">
        <v>3381</v>
      </c>
      <c r="BR1107" t="s">
        <v>957</v>
      </c>
      <c r="BS1107">
        <v>-223.4</v>
      </c>
      <c r="BT1107">
        <v>-67.400000000000006</v>
      </c>
      <c r="BU1107" s="144">
        <f t="shared" si="328"/>
        <v>0.30170098478066248</v>
      </c>
      <c r="BV1107">
        <f t="shared" si="327"/>
        <v>156</v>
      </c>
      <c r="BX1107">
        <f t="shared" si="333"/>
        <v>0.156</v>
      </c>
      <c r="BY1107">
        <f t="shared" si="319"/>
        <v>0.65557461406518003</v>
      </c>
      <c r="BZ1107">
        <v>1</v>
      </c>
      <c r="CA1107">
        <v>0</v>
      </c>
      <c r="CB1107">
        <v>0</v>
      </c>
      <c r="CC1107">
        <v>0</v>
      </c>
      <c r="CD1107">
        <v>0</v>
      </c>
      <c r="CE1107">
        <v>1</v>
      </c>
      <c r="CF1107">
        <v>0</v>
      </c>
      <c r="CG1107">
        <v>1</v>
      </c>
      <c r="CH1107">
        <v>0</v>
      </c>
      <c r="CI1107">
        <v>0</v>
      </c>
      <c r="CJ1107">
        <v>0</v>
      </c>
      <c r="CK1107">
        <v>0</v>
      </c>
      <c r="CL1107">
        <v>0</v>
      </c>
      <c r="CM1107">
        <v>0</v>
      </c>
      <c r="CN1107" t="str">
        <f t="shared" si="334"/>
        <v>refOK</v>
      </c>
      <c r="CO1107">
        <f t="shared" si="336"/>
        <v>0</v>
      </c>
      <c r="CP1107">
        <f t="shared" si="337"/>
        <v>116.6</v>
      </c>
      <c r="CQ1107">
        <f t="shared" si="331"/>
        <v>0.23795918367346941</v>
      </c>
      <c r="CR1107">
        <f t="shared" si="329"/>
        <v>-223.4</v>
      </c>
      <c r="CS1107">
        <f t="shared" si="330"/>
        <v>-67.400000000000006</v>
      </c>
      <c r="CT1107">
        <f t="shared" si="322"/>
        <v>0.156</v>
      </c>
      <c r="CU1107">
        <f t="shared" si="312"/>
        <v>0.65557461406518003</v>
      </c>
      <c r="CV1107" s="2">
        <f t="shared" si="323"/>
        <v>0.69829901521933746</v>
      </c>
      <c r="CW1107" s="1" t="s">
        <v>264</v>
      </c>
      <c r="CX1107" t="str">
        <f t="shared" si="298"/>
        <v>loc</v>
      </c>
      <c r="CY1107" t="s">
        <v>600</v>
      </c>
      <c r="DB1107">
        <v>0</v>
      </c>
      <c r="DC1107" t="str">
        <f t="shared" si="299"/>
        <v>0</v>
      </c>
      <c r="DD1107">
        <v>0</v>
      </c>
      <c r="DE1107">
        <v>0</v>
      </c>
      <c r="DF1107">
        <v>0</v>
      </c>
      <c r="DG1107">
        <v>1</v>
      </c>
      <c r="DI1107">
        <f t="shared" si="326"/>
        <v>1</v>
      </c>
      <c r="DJ1107" t="str">
        <f t="shared" si="311"/>
        <v>TimberInput</v>
      </c>
      <c r="DK1107">
        <f t="shared" si="338"/>
        <v>0</v>
      </c>
      <c r="DL1107">
        <f t="shared" si="339"/>
        <v>0</v>
      </c>
      <c r="DM1107">
        <f t="shared" si="340"/>
        <v>0</v>
      </c>
      <c r="DN1107" t="str">
        <f t="shared" si="341"/>
        <v>Timber</v>
      </c>
      <c r="DO1107">
        <v>0</v>
      </c>
      <c r="DP1107">
        <v>1</v>
      </c>
      <c r="DQ1107">
        <v>0</v>
      </c>
      <c r="DR1107">
        <v>0</v>
      </c>
      <c r="DS1107">
        <v>0</v>
      </c>
      <c r="DT1107">
        <f t="shared" si="315"/>
        <v>1</v>
      </c>
      <c r="DU1107" s="143" t="str">
        <f t="shared" si="301"/>
        <v>external DF used</v>
      </c>
      <c r="DV1107">
        <v>0</v>
      </c>
      <c r="DW1107">
        <v>0</v>
      </c>
      <c r="DX1107">
        <v>0</v>
      </c>
      <c r="DY1107">
        <v>0</v>
      </c>
      <c r="DZ1107">
        <v>0</v>
      </c>
      <c r="EA1107" s="143">
        <v>1</v>
      </c>
      <c r="EB1107">
        <v>1</v>
      </c>
      <c r="EC1107">
        <v>1</v>
      </c>
      <c r="ED1107">
        <v>0</v>
      </c>
      <c r="EE1107">
        <v>1</v>
      </c>
      <c r="EF1107">
        <v>0</v>
      </c>
      <c r="EG1107">
        <v>0</v>
      </c>
      <c r="EH1107">
        <v>0</v>
      </c>
      <c r="EI1107" s="2">
        <v>0</v>
      </c>
      <c r="EK1107" t="str">
        <f t="shared" si="342"/>
        <v/>
      </c>
      <c r="EL1107" t="str">
        <f t="shared" si="343"/>
        <v/>
      </c>
      <c r="EM1107" s="2" t="str">
        <f t="shared" si="300"/>
        <v>Technology approach</v>
      </c>
      <c r="EP1107" t="str">
        <f>IF(ISNUMBER(BU1107),IF(ABS(BU1107-[4]QC_indicators!$B$2)&gt;3*[4]QC_indicators!$C$2,"C ratio",IF(ISNUMBER(BY1107),IF(ABS(BY1107-[4]QC_indicators!$B$1)&gt;3*[4]QC_indicators!$C$1,"DF","no"))),IF(ISNUMBER(BY1107),IF(ABS(BY1107-[4]QC_indicators!$B$1)&gt;3*[4]QC_indicators!$C$1,"DF","no")))</f>
        <v>no</v>
      </c>
      <c r="ER1107" t="s">
        <v>961</v>
      </c>
      <c r="ET1107" s="266" t="s">
        <v>3275</v>
      </c>
    </row>
    <row r="1108" spans="1:150" hidden="1">
      <c r="A1108" s="1" t="s">
        <v>381</v>
      </c>
      <c r="B1108" t="s">
        <v>1187</v>
      </c>
      <c r="C1108" t="s">
        <v>1188</v>
      </c>
      <c r="D1108" t="s">
        <v>1189</v>
      </c>
      <c r="E1108" t="s">
        <v>1190</v>
      </c>
      <c r="F1108" t="s">
        <v>1191</v>
      </c>
      <c r="G1108" t="s">
        <v>387</v>
      </c>
      <c r="H1108" t="s">
        <v>255</v>
      </c>
      <c r="I1108">
        <v>2013</v>
      </c>
      <c r="J1108">
        <v>44</v>
      </c>
      <c r="K1108" t="s">
        <v>1192</v>
      </c>
      <c r="M1108" t="str">
        <f t="shared" si="310"/>
        <v>Ximenes_2013</v>
      </c>
      <c r="N1108" t="s">
        <v>223</v>
      </c>
      <c r="O1108" s="145" t="s">
        <v>1156</v>
      </c>
      <c r="Q1108" t="s">
        <v>257</v>
      </c>
      <c r="R1108" s="255" t="s">
        <v>226</v>
      </c>
      <c r="S1108" s="1" t="s">
        <v>1193</v>
      </c>
      <c r="T1108" t="s">
        <v>1194</v>
      </c>
      <c r="U1108" t="s">
        <v>1195</v>
      </c>
      <c r="V1108">
        <v>0</v>
      </c>
      <c r="W1108">
        <v>0</v>
      </c>
      <c r="X1108">
        <v>0</v>
      </c>
      <c r="Y1108">
        <v>0</v>
      </c>
      <c r="Z1108">
        <v>0</v>
      </c>
      <c r="AA1108">
        <v>0</v>
      </c>
      <c r="AB1108">
        <v>0</v>
      </c>
      <c r="AC1108">
        <v>0</v>
      </c>
      <c r="AD1108">
        <v>0</v>
      </c>
      <c r="AE1108">
        <v>0</v>
      </c>
      <c r="AF1108">
        <v>0</v>
      </c>
      <c r="AG1108">
        <v>0</v>
      </c>
      <c r="AH1108">
        <v>0</v>
      </c>
      <c r="AI1108">
        <v>0</v>
      </c>
      <c r="AJ1108">
        <v>0</v>
      </c>
      <c r="AK1108">
        <v>1</v>
      </c>
      <c r="AL1108">
        <v>0</v>
      </c>
      <c r="AM1108">
        <v>0</v>
      </c>
      <c r="AN1108">
        <v>0</v>
      </c>
      <c r="AO1108">
        <v>0</v>
      </c>
      <c r="AP1108">
        <v>0</v>
      </c>
      <c r="AQ1108">
        <v>0</v>
      </c>
      <c r="AR1108">
        <v>0</v>
      </c>
      <c r="AS1108">
        <v>0</v>
      </c>
      <c r="AT1108">
        <v>0</v>
      </c>
      <c r="AU1108">
        <v>0</v>
      </c>
      <c r="AV1108">
        <v>0</v>
      </c>
      <c r="AW1108">
        <v>0</v>
      </c>
      <c r="AX1108" s="141">
        <f t="shared" si="321"/>
        <v>1</v>
      </c>
      <c r="AY1108" s="141">
        <f t="shared" si="292"/>
        <v>1</v>
      </c>
      <c r="AZ1108">
        <f t="shared" si="293"/>
        <v>0</v>
      </c>
      <c r="BA1108">
        <f t="shared" si="294"/>
        <v>0</v>
      </c>
      <c r="BB1108">
        <f t="shared" si="295"/>
        <v>1</v>
      </c>
      <c r="BC1108">
        <f t="shared" si="296"/>
        <v>0</v>
      </c>
      <c r="BD1108">
        <f t="shared" si="297"/>
        <v>0</v>
      </c>
      <c r="BE1108" t="str">
        <f t="array" ref="BE1108">IF(AY1108=1,INDEX($V$7:$AL$7,MATCH(TRUE,INDEX($V1108:$AW1108&lt;&gt;0,),0)),IF(AY1108=0,INDEX($AM$7:$AW$7,MATCH(1,$AM1108:$AW1108,0)),IF(BF1108="Multiple strategies","mixed drivers",IF(BF1108="Supply chain","multiple supply","multiple silviculture"))))</f>
        <v>technologies/design switch</v>
      </c>
      <c r="BF1108" s="2" t="str" cm="1">
        <f t="array" ref="BF1108">IF(COUNTIF(AZ1108:BB1108,"&lt;&gt;0")=1,INDEX($V$4:$AW$4,MATCH(TRUE,INDEX($V1108:$AW1108&lt;&gt;0,),0)),IF(COUNTIF(AZ1108:BB1108,"&lt;&gt;0")=0,INDEX($AM$4:$AW$4,MATCH(1,$AM1108:$AW1108,0)),"Multiple strategies"))</f>
        <v>Technology</v>
      </c>
      <c r="BG1108" s="1" t="s">
        <v>230</v>
      </c>
      <c r="BH1108" t="s">
        <v>1196</v>
      </c>
      <c r="BI1108" s="260" t="s">
        <v>3405</v>
      </c>
      <c r="BJ1108" s="266" t="s">
        <v>3406</v>
      </c>
      <c r="BK1108" s="260">
        <f>7.325</f>
        <v>7.3250000000000002</v>
      </c>
      <c r="BL1108" s="260">
        <v>14.244</v>
      </c>
      <c r="BM1108" s="143">
        <f t="shared" ref="BM1108:BM1125" si="344">BL1108/BK1108</f>
        <v>1.9445733788395905</v>
      </c>
      <c r="BN1108">
        <f t="shared" si="332"/>
        <v>6.9189999999999996</v>
      </c>
      <c r="BO1108">
        <f>+BN1108/C_to_CO2*1000/0.245</f>
        <v>7695.0453205805479</v>
      </c>
      <c r="BP1108" t="s">
        <v>233</v>
      </c>
      <c r="BQ1108" s="260" t="s">
        <v>3407</v>
      </c>
      <c r="BR1108" t="s">
        <v>1197</v>
      </c>
      <c r="BS1108">
        <v>-59.593023255813996</v>
      </c>
      <c r="BT1108">
        <v>-31.918604651162703</v>
      </c>
      <c r="BU1108" s="144">
        <f t="shared" si="328"/>
        <v>0.53560975609755912</v>
      </c>
      <c r="BV1108" s="144">
        <f t="shared" si="327"/>
        <v>27.674418604651294</v>
      </c>
      <c r="BW1108" s="144"/>
      <c r="BX1108" s="144">
        <f>BV1108</f>
        <v>27.674418604651294</v>
      </c>
      <c r="BY1108">
        <f t="shared" si="319"/>
        <v>3.5963944917433463E-3</v>
      </c>
      <c r="BZ1108">
        <v>0</v>
      </c>
      <c r="CA1108">
        <v>0</v>
      </c>
      <c r="CB1108">
        <v>0</v>
      </c>
      <c r="CC1108">
        <v>0</v>
      </c>
      <c r="CD1108">
        <v>0</v>
      </c>
      <c r="CE1108">
        <v>0</v>
      </c>
      <c r="CF1108">
        <v>0</v>
      </c>
      <c r="CG1108">
        <v>0</v>
      </c>
      <c r="CH1108">
        <v>0</v>
      </c>
      <c r="CI1108">
        <v>0</v>
      </c>
      <c r="CJ1108">
        <v>0</v>
      </c>
      <c r="CK1108">
        <v>0</v>
      </c>
      <c r="CL1108">
        <v>0</v>
      </c>
      <c r="CM1108">
        <v>0</v>
      </c>
      <c r="CN1108" t="str">
        <f t="shared" si="334"/>
        <v>refOK</v>
      </c>
      <c r="CO1108">
        <f>IF($CN1108="refNeedCorrection",BL1108,BK1108)</f>
        <v>7.3250000000000002</v>
      </c>
      <c r="CP1108">
        <f>IF($CN1108="refNeedCorrection",BK1108,BL1108)</f>
        <v>14.244</v>
      </c>
      <c r="CQ1108">
        <f t="shared" si="331"/>
        <v>7695.0453205805479</v>
      </c>
      <c r="CR1108">
        <f t="shared" si="329"/>
        <v>-59.593023255813996</v>
      </c>
      <c r="CS1108">
        <f t="shared" si="330"/>
        <v>-31.918604651162703</v>
      </c>
      <c r="CT1108">
        <f t="shared" si="322"/>
        <v>27.674418604651294</v>
      </c>
      <c r="CU1108">
        <f t="shared" si="312"/>
        <v>3.5963944917433463E-3</v>
      </c>
      <c r="CV1108" s="2">
        <f t="shared" si="323"/>
        <v>0.46439024390244088</v>
      </c>
      <c r="CW1108" s="1" t="s">
        <v>264</v>
      </c>
      <c r="CX1108" t="str">
        <f t="shared" si="298"/>
        <v>loc</v>
      </c>
      <c r="CY1108" t="s">
        <v>575</v>
      </c>
      <c r="DB1108">
        <f>DA1108-CZ1108</f>
        <v>0</v>
      </c>
      <c r="DC1108" t="str">
        <f t="shared" si="299"/>
        <v>0</v>
      </c>
      <c r="DD1108">
        <v>0</v>
      </c>
      <c r="DE1108">
        <v>0</v>
      </c>
      <c r="DF1108">
        <v>0</v>
      </c>
      <c r="DG1108">
        <v>1</v>
      </c>
      <c r="DH1108">
        <v>0</v>
      </c>
      <c r="DI1108">
        <f t="shared" si="326"/>
        <v>1</v>
      </c>
      <c r="DJ1108" t="str">
        <f t="shared" si="311"/>
        <v>TimberInput</v>
      </c>
      <c r="DK1108">
        <f t="shared" si="338"/>
        <v>0</v>
      </c>
      <c r="DL1108">
        <f t="shared" si="339"/>
        <v>0</v>
      </c>
      <c r="DM1108">
        <f t="shared" si="340"/>
        <v>0</v>
      </c>
      <c r="DN1108" t="str">
        <f t="shared" si="341"/>
        <v>Timber</v>
      </c>
      <c r="DO1108">
        <v>0</v>
      </c>
      <c r="DP1108">
        <v>0</v>
      </c>
      <c r="DQ1108">
        <v>0</v>
      </c>
      <c r="DR1108">
        <v>0</v>
      </c>
      <c r="DS1108">
        <v>0</v>
      </c>
      <c r="DT1108">
        <f t="shared" si="315"/>
        <v>0</v>
      </c>
      <c r="DU1108" s="143" t="str">
        <f t="shared" si="301"/>
        <v>explicit C balance</v>
      </c>
      <c r="DV1108">
        <v>0</v>
      </c>
      <c r="DW1108">
        <v>0</v>
      </c>
      <c r="DX1108">
        <v>0</v>
      </c>
      <c r="DY1108">
        <v>0</v>
      </c>
      <c r="DZ1108">
        <v>0</v>
      </c>
      <c r="EA1108" s="143">
        <v>0</v>
      </c>
      <c r="EB1108">
        <v>1</v>
      </c>
      <c r="EC1108">
        <v>1</v>
      </c>
      <c r="ED1108">
        <v>1</v>
      </c>
      <c r="EE1108">
        <v>1</v>
      </c>
      <c r="EF1108">
        <v>0</v>
      </c>
      <c r="EG1108">
        <v>0</v>
      </c>
      <c r="EH1108">
        <v>0</v>
      </c>
      <c r="EI1108" s="2">
        <v>0</v>
      </c>
      <c r="EK1108" t="str">
        <f t="shared" si="342"/>
        <v/>
      </c>
      <c r="EL1108" t="str">
        <f t="shared" si="343"/>
        <v/>
      </c>
      <c r="EM1108" s="2" t="str">
        <f t="shared" si="300"/>
        <v>Technology approach</v>
      </c>
      <c r="EN1108" t="s">
        <v>1198</v>
      </c>
      <c r="EP1108" t="str">
        <f>IF(ISNUMBER(BU1108),IF(ABS(BU1108-[4]QC_indicators!$B$2)&gt;3*[4]QC_indicators!$C$2,"C ratio",IF(ISNUMBER(BY1108),IF(ABS(BY1108-[4]QC_indicators!$B$1)&gt;3*[4]QC_indicators!$C$1,"DF","no"))),IF(ISNUMBER(BY1108),IF(ABS(BY1108-[4]QC_indicators!$B$1)&gt;3*[4]QC_indicators!$C$1,"DF","no")))</f>
        <v>no</v>
      </c>
      <c r="ET1108" s="266" t="s">
        <v>3275</v>
      </c>
    </row>
    <row r="1109" spans="1:150" hidden="1">
      <c r="A1109" s="1" t="s">
        <v>381</v>
      </c>
      <c r="B1109" t="s">
        <v>1187</v>
      </c>
      <c r="C1109" t="s">
        <v>1188</v>
      </c>
      <c r="D1109" t="s">
        <v>1189</v>
      </c>
      <c r="E1109" t="s">
        <v>1190</v>
      </c>
      <c r="F1109" t="s">
        <v>1191</v>
      </c>
      <c r="G1109" t="s">
        <v>387</v>
      </c>
      <c r="H1109" t="s">
        <v>255</v>
      </c>
      <c r="I1109">
        <v>2013</v>
      </c>
      <c r="J1109">
        <v>44</v>
      </c>
      <c r="K1109" t="s">
        <v>1192</v>
      </c>
      <c r="M1109" t="str">
        <f t="shared" si="310"/>
        <v>Ximenes_2013</v>
      </c>
      <c r="N1109" t="s">
        <v>223</v>
      </c>
      <c r="O1109" s="145" t="s">
        <v>1156</v>
      </c>
      <c r="Q1109" t="s">
        <v>257</v>
      </c>
      <c r="R1109" s="255" t="s">
        <v>226</v>
      </c>
      <c r="S1109" s="1" t="s">
        <v>1193</v>
      </c>
      <c r="T1109" t="s">
        <v>1194</v>
      </c>
      <c r="U1109" t="s">
        <v>1195</v>
      </c>
      <c r="V1109">
        <v>0</v>
      </c>
      <c r="W1109">
        <v>0</v>
      </c>
      <c r="X1109">
        <v>0</v>
      </c>
      <c r="Y1109">
        <v>0</v>
      </c>
      <c r="Z1109">
        <v>0</v>
      </c>
      <c r="AA1109">
        <v>0</v>
      </c>
      <c r="AB1109">
        <v>0</v>
      </c>
      <c r="AC1109">
        <v>0</v>
      </c>
      <c r="AD1109">
        <v>0</v>
      </c>
      <c r="AE1109">
        <v>0</v>
      </c>
      <c r="AF1109">
        <v>0</v>
      </c>
      <c r="AG1109">
        <v>0</v>
      </c>
      <c r="AH1109">
        <v>0</v>
      </c>
      <c r="AI1109">
        <v>0</v>
      </c>
      <c r="AJ1109">
        <v>0</v>
      </c>
      <c r="AK1109">
        <v>1</v>
      </c>
      <c r="AL1109">
        <v>0</v>
      </c>
      <c r="AM1109">
        <v>0</v>
      </c>
      <c r="AN1109">
        <v>0</v>
      </c>
      <c r="AO1109">
        <v>0</v>
      </c>
      <c r="AP1109">
        <v>0</v>
      </c>
      <c r="AQ1109">
        <v>0</v>
      </c>
      <c r="AR1109">
        <v>0</v>
      </c>
      <c r="AS1109">
        <v>0</v>
      </c>
      <c r="AT1109">
        <v>0</v>
      </c>
      <c r="AU1109">
        <v>0</v>
      </c>
      <c r="AV1109">
        <v>0</v>
      </c>
      <c r="AW1109">
        <v>0</v>
      </c>
      <c r="AX1109" s="141">
        <f t="shared" si="321"/>
        <v>1</v>
      </c>
      <c r="AY1109" s="141">
        <f t="shared" si="292"/>
        <v>1</v>
      </c>
      <c r="AZ1109">
        <f t="shared" si="293"/>
        <v>0</v>
      </c>
      <c r="BA1109">
        <f t="shared" si="294"/>
        <v>0</v>
      </c>
      <c r="BB1109">
        <f t="shared" si="295"/>
        <v>1</v>
      </c>
      <c r="BC1109">
        <f t="shared" si="296"/>
        <v>0</v>
      </c>
      <c r="BD1109">
        <f t="shared" si="297"/>
        <v>0</v>
      </c>
      <c r="BE1109" t="str">
        <f t="array" ref="BE1109">IF(AY1109=1,INDEX($V$7:$AL$7,MATCH(TRUE,INDEX($V1109:$AW1109&lt;&gt;0,),0)),IF(AY1109=0,INDEX($AM$7:$AW$7,MATCH(1,$AM1109:$AW1109,0)),IF(BF1109="Multiple strategies","mixed drivers",IF(BF1109="Supply chain","multiple supply","multiple silviculture"))))</f>
        <v>technologies/design switch</v>
      </c>
      <c r="BF1109" s="2" t="str" cm="1">
        <f t="array" ref="BF1109">IF(COUNTIF(AZ1109:BB1109,"&lt;&gt;0")=1,INDEX($V$4:$AW$4,MATCH(TRUE,INDEX($V1109:$AW1109&lt;&gt;0,),0)),IF(COUNTIF(AZ1109:BB1109,"&lt;&gt;0")=0,INDEX($AM$4:$AW$4,MATCH(1,$AM1109:$AW1109,0)),"Multiple strategies"))</f>
        <v>Technology</v>
      </c>
      <c r="BG1109" s="1" t="s">
        <v>230</v>
      </c>
      <c r="BH1109" t="s">
        <v>1196</v>
      </c>
      <c r="BI1109" s="260" t="s">
        <v>3405</v>
      </c>
      <c r="BJ1109" s="266" t="s">
        <v>3406</v>
      </c>
      <c r="BK1109" s="260">
        <v>12.616199999999999</v>
      </c>
      <c r="BL1109" s="260">
        <v>19.1279</v>
      </c>
      <c r="BM1109" s="143">
        <f t="shared" si="344"/>
        <v>1.5161379813255973</v>
      </c>
      <c r="BN1109" s="227">
        <f t="shared" si="332"/>
        <v>6.5117000000000012</v>
      </c>
      <c r="BO1109">
        <f>+BN1109/C_to_CO2*1000/0.245</f>
        <v>7242.0619473947627</v>
      </c>
      <c r="BP1109" t="s">
        <v>233</v>
      </c>
      <c r="BQ1109" s="260" t="s">
        <v>3407</v>
      </c>
      <c r="BR1109" t="s">
        <v>1197</v>
      </c>
      <c r="BS1109">
        <v>-59.999999999999993</v>
      </c>
      <c r="BT1109">
        <v>-26.6279069767441</v>
      </c>
      <c r="BU1109" s="144">
        <f t="shared" si="328"/>
        <v>0.44379844961240172</v>
      </c>
      <c r="BV1109" s="144">
        <f t="shared" si="327"/>
        <v>33.372093023255893</v>
      </c>
      <c r="BW1109" s="144"/>
      <c r="BX1109" s="144">
        <f>BV1109</f>
        <v>33.372093023255893</v>
      </c>
      <c r="BY1109">
        <f t="shared" si="319"/>
        <v>4.6080927318304793E-3</v>
      </c>
      <c r="BZ1109">
        <v>0</v>
      </c>
      <c r="CA1109">
        <v>0</v>
      </c>
      <c r="CB1109">
        <v>0</v>
      </c>
      <c r="CC1109">
        <v>0</v>
      </c>
      <c r="CD1109">
        <v>0</v>
      </c>
      <c r="CE1109">
        <v>0</v>
      </c>
      <c r="CF1109">
        <v>0</v>
      </c>
      <c r="CG1109">
        <v>0</v>
      </c>
      <c r="CH1109">
        <v>0</v>
      </c>
      <c r="CI1109">
        <v>0</v>
      </c>
      <c r="CJ1109">
        <v>0</v>
      </c>
      <c r="CK1109">
        <v>0</v>
      </c>
      <c r="CL1109">
        <v>0</v>
      </c>
      <c r="CM1109">
        <v>0</v>
      </c>
      <c r="CN1109" t="str">
        <f t="shared" si="334"/>
        <v>refOK</v>
      </c>
      <c r="CO1109">
        <f>IF($CN1109="refNeedCorrection",BL1109,BK1109)</f>
        <v>12.616199999999999</v>
      </c>
      <c r="CP1109">
        <f>IF($CN1109="refNeedCorrection",BK1109,BL1109)</f>
        <v>19.1279</v>
      </c>
      <c r="CQ1109">
        <f t="shared" si="331"/>
        <v>7242.0619473947627</v>
      </c>
      <c r="CR1109">
        <f t="shared" si="329"/>
        <v>-59.999999999999993</v>
      </c>
      <c r="CS1109">
        <f t="shared" si="330"/>
        <v>-26.6279069767441</v>
      </c>
      <c r="CT1109">
        <f t="shared" si="322"/>
        <v>33.372093023255893</v>
      </c>
      <c r="CU1109">
        <f t="shared" si="312"/>
        <v>4.6080927318304793E-3</v>
      </c>
      <c r="CV1109" s="2">
        <f t="shared" si="323"/>
        <v>0.55620155038759833</v>
      </c>
      <c r="CW1109" s="1" t="s">
        <v>264</v>
      </c>
      <c r="CX1109" t="str">
        <f t="shared" si="298"/>
        <v>loc</v>
      </c>
      <c r="CY1109" t="s">
        <v>575</v>
      </c>
      <c r="DB1109">
        <f>DA1109-CZ1109</f>
        <v>0</v>
      </c>
      <c r="DC1109" t="str">
        <f t="shared" si="299"/>
        <v>0</v>
      </c>
      <c r="DD1109">
        <v>0</v>
      </c>
      <c r="DE1109">
        <v>0</v>
      </c>
      <c r="DF1109">
        <v>0</v>
      </c>
      <c r="DG1109">
        <v>1</v>
      </c>
      <c r="DH1109">
        <v>0</v>
      </c>
      <c r="DI1109">
        <f t="shared" si="326"/>
        <v>1</v>
      </c>
      <c r="DJ1109" t="str">
        <f t="shared" si="311"/>
        <v>TimberInput</v>
      </c>
      <c r="DK1109">
        <f t="shared" si="338"/>
        <v>0</v>
      </c>
      <c r="DL1109">
        <f t="shared" si="339"/>
        <v>0</v>
      </c>
      <c r="DM1109">
        <f t="shared" si="340"/>
        <v>0</v>
      </c>
      <c r="DN1109" t="str">
        <f t="shared" si="341"/>
        <v>Timber</v>
      </c>
      <c r="DO1109">
        <v>0</v>
      </c>
      <c r="DP1109">
        <v>0</v>
      </c>
      <c r="DQ1109">
        <v>0</v>
      </c>
      <c r="DR1109">
        <v>0</v>
      </c>
      <c r="DS1109">
        <v>0</v>
      </c>
      <c r="DT1109">
        <f t="shared" si="315"/>
        <v>0</v>
      </c>
      <c r="DU1109" s="143" t="str">
        <f t="shared" si="301"/>
        <v>explicit C balance</v>
      </c>
      <c r="DV1109">
        <v>0</v>
      </c>
      <c r="DW1109">
        <v>0</v>
      </c>
      <c r="DX1109">
        <v>0</v>
      </c>
      <c r="DY1109">
        <v>0</v>
      </c>
      <c r="DZ1109">
        <v>0</v>
      </c>
      <c r="EA1109" s="143">
        <v>0</v>
      </c>
      <c r="EB1109">
        <v>1</v>
      </c>
      <c r="EC1109">
        <v>1</v>
      </c>
      <c r="ED1109">
        <v>1</v>
      </c>
      <c r="EE1109">
        <v>1</v>
      </c>
      <c r="EF1109">
        <v>0</v>
      </c>
      <c r="EG1109">
        <v>0</v>
      </c>
      <c r="EH1109">
        <v>0</v>
      </c>
      <c r="EI1109" s="2">
        <v>0</v>
      </c>
      <c r="EK1109" t="str">
        <f t="shared" si="342"/>
        <v/>
      </c>
      <c r="EL1109" t="str">
        <f t="shared" si="343"/>
        <v/>
      </c>
      <c r="EM1109" s="2" t="str">
        <f t="shared" si="300"/>
        <v>Technology approach</v>
      </c>
      <c r="EN1109" t="s">
        <v>1198</v>
      </c>
      <c r="EP1109" t="str">
        <f>IF(ISNUMBER(BU1109),IF(ABS(BU1109-[4]QC_indicators!$B$2)&gt;3*[4]QC_indicators!$C$2,"C ratio",IF(ISNUMBER(BY1109),IF(ABS(BY1109-[4]QC_indicators!$B$1)&gt;3*[4]QC_indicators!$C$1,"DF","no"))),IF(ISNUMBER(BY1109),IF(ABS(BY1109-[4]QC_indicators!$B$1)&gt;3*[4]QC_indicators!$C$1,"DF","no")))</f>
        <v>no</v>
      </c>
      <c r="ET1109" s="266" t="s">
        <v>3275</v>
      </c>
    </row>
    <row r="1110" spans="1:150" hidden="1">
      <c r="A1110" s="1" t="s">
        <v>431</v>
      </c>
      <c r="B1110" t="s">
        <v>432</v>
      </c>
      <c r="C1110" t="s">
        <v>433</v>
      </c>
      <c r="D1110" t="s">
        <v>434</v>
      </c>
      <c r="E1110" t="s">
        <v>435</v>
      </c>
      <c r="F1110" t="s">
        <v>436</v>
      </c>
      <c r="G1110" t="s">
        <v>437</v>
      </c>
      <c r="H1110" t="s">
        <v>255</v>
      </c>
      <c r="I1110">
        <v>2000</v>
      </c>
      <c r="J1110">
        <v>174</v>
      </c>
      <c r="K1110" t="s">
        <v>438</v>
      </c>
      <c r="M1110" t="str">
        <f t="shared" si="310"/>
        <v>Borjesson_2000</v>
      </c>
      <c r="N1110" t="s">
        <v>223</v>
      </c>
      <c r="O1110" s="145" t="s">
        <v>224</v>
      </c>
      <c r="Q1110" t="s">
        <v>257</v>
      </c>
      <c r="R1110" s="255" t="s">
        <v>226</v>
      </c>
      <c r="S1110" s="1" t="s">
        <v>439</v>
      </c>
      <c r="T1110" t="s">
        <v>440</v>
      </c>
      <c r="U1110" t="s">
        <v>441</v>
      </c>
      <c r="V1110">
        <v>0</v>
      </c>
      <c r="W1110">
        <v>0</v>
      </c>
      <c r="X1110">
        <v>0</v>
      </c>
      <c r="Y1110">
        <v>0</v>
      </c>
      <c r="Z1110">
        <v>0</v>
      </c>
      <c r="AA1110">
        <v>0</v>
      </c>
      <c r="AB1110">
        <v>0</v>
      </c>
      <c r="AC1110">
        <v>0</v>
      </c>
      <c r="AD1110">
        <v>0</v>
      </c>
      <c r="AE1110">
        <v>0</v>
      </c>
      <c r="AF1110">
        <v>0</v>
      </c>
      <c r="AG1110">
        <v>0</v>
      </c>
      <c r="AH1110">
        <v>0</v>
      </c>
      <c r="AI1110">
        <v>0</v>
      </c>
      <c r="AJ1110">
        <v>0</v>
      </c>
      <c r="AK1110">
        <v>1</v>
      </c>
      <c r="AL1110">
        <v>0</v>
      </c>
      <c r="AM1110">
        <v>0</v>
      </c>
      <c r="AN1110">
        <v>0</v>
      </c>
      <c r="AO1110">
        <v>0</v>
      </c>
      <c r="AP1110">
        <v>0</v>
      </c>
      <c r="AQ1110">
        <v>0</v>
      </c>
      <c r="AR1110">
        <v>0</v>
      </c>
      <c r="AS1110">
        <v>0</v>
      </c>
      <c r="AT1110">
        <v>0</v>
      </c>
      <c r="AU1110">
        <v>0</v>
      </c>
      <c r="AV1110">
        <v>0</v>
      </c>
      <c r="AW1110">
        <v>0</v>
      </c>
      <c r="AX1110" s="141">
        <f t="shared" si="321"/>
        <v>1</v>
      </c>
      <c r="AY1110" s="141">
        <f t="shared" si="292"/>
        <v>1</v>
      </c>
      <c r="AZ1110">
        <f t="shared" si="293"/>
        <v>0</v>
      </c>
      <c r="BA1110">
        <f t="shared" si="294"/>
        <v>0</v>
      </c>
      <c r="BB1110">
        <f t="shared" si="295"/>
        <v>1</v>
      </c>
      <c r="BC1110">
        <f t="shared" si="296"/>
        <v>0</v>
      </c>
      <c r="BD1110">
        <f t="shared" si="297"/>
        <v>0</v>
      </c>
      <c r="BE1110" t="str">
        <f t="array" ref="BE1110">IF(AY1110=1,INDEX($V$7:$AL$7,MATCH(TRUE,INDEX($V1110:$AW1110&lt;&gt;0,),0)),IF(AY1110=0,INDEX($AM$7:$AW$7,MATCH(1,$AM1110:$AW1110,0)),IF(BF1110="Multiple strategies","mixed drivers",IF(BF1110="Supply chain","multiple supply","multiple silviculture"))))</f>
        <v>technologies/design switch</v>
      </c>
      <c r="BF1110" s="2" t="str" cm="1">
        <f t="array" ref="BF1110">IF(COUNTIF(AZ1110:BB1110,"&lt;&gt;0")=1,INDEX($V$4:$AW$4,MATCH(TRUE,INDEX($V1110:$AW1110&lt;&gt;0,),0)),IF(COUNTIF(AZ1110:BB1110,"&lt;&gt;0")=0,INDEX($AM$4:$AW$4,MATCH(1,$AM1110:$AW1110,0)),"Multiple strategies"))</f>
        <v>Technology</v>
      </c>
      <c r="BG1110" s="142" t="s">
        <v>230</v>
      </c>
      <c r="BH1110" t="s">
        <v>442</v>
      </c>
      <c r="BI1110" s="266" t="s">
        <v>3276</v>
      </c>
      <c r="BJ1110" s="143" t="s">
        <v>443</v>
      </c>
      <c r="BK1110">
        <v>0</v>
      </c>
      <c r="BL1110">
        <f t="shared" ref="BL1110:BL1125" si="345">3*44</f>
        <v>132</v>
      </c>
      <c r="BM1110" s="143" t="e">
        <f t="shared" si="344"/>
        <v>#DIV/0!</v>
      </c>
      <c r="BN1110">
        <f t="shared" si="332"/>
        <v>132</v>
      </c>
      <c r="BO1110">
        <f t="shared" ref="BO1110:BO1131" si="346">BN1110*tC_to_m3</f>
        <v>573.16543638732094</v>
      </c>
      <c r="BP1110" t="s">
        <v>233</v>
      </c>
      <c r="BQ1110" s="260" t="s">
        <v>815</v>
      </c>
      <c r="BR1110" t="s">
        <v>444</v>
      </c>
      <c r="BS1110" s="141">
        <v>25</v>
      </c>
      <c r="BT1110" s="141">
        <v>31</v>
      </c>
      <c r="BU1110" s="144">
        <f t="shared" si="328"/>
        <v>1.24</v>
      </c>
      <c r="BV1110">
        <f t="shared" si="327"/>
        <v>6</v>
      </c>
      <c r="BX1110">
        <f t="shared" ref="BX1110:BX1131" si="347">BV1110*C_to_CO2</f>
        <v>22.02</v>
      </c>
      <c r="BY1110">
        <f t="shared" si="319"/>
        <v>3.8418227272727271E-2</v>
      </c>
      <c r="BZ1110" s="143">
        <v>0</v>
      </c>
      <c r="CA1110" s="143">
        <v>0</v>
      </c>
      <c r="CB1110" s="143">
        <v>0</v>
      </c>
      <c r="CC1110" s="143">
        <v>0</v>
      </c>
      <c r="CD1110" s="143">
        <v>0</v>
      </c>
      <c r="CE1110" s="143">
        <v>0</v>
      </c>
      <c r="CF1110" s="143">
        <v>0</v>
      </c>
      <c r="CG1110" s="143">
        <v>0</v>
      </c>
      <c r="CH1110" s="143">
        <v>0</v>
      </c>
      <c r="CI1110" s="143">
        <v>0</v>
      </c>
      <c r="CJ1110" s="143">
        <v>0</v>
      </c>
      <c r="CK1110" s="143">
        <v>0</v>
      </c>
      <c r="CL1110" s="143">
        <v>0</v>
      </c>
      <c r="CM1110">
        <v>0</v>
      </c>
      <c r="CN1110" t="str">
        <f t="shared" si="334"/>
        <v>refOK</v>
      </c>
      <c r="CO1110">
        <f t="shared" ref="CO1110:CO1131" si="348">IF($CN1110="refOK",$BK1110,$BL1110)</f>
        <v>0</v>
      </c>
      <c r="CP1110">
        <f t="shared" ref="CP1110:CP1131" si="349">IF($CN1110="refOK",$BL1110,$BK1110)</f>
        <v>132</v>
      </c>
      <c r="CQ1110">
        <f t="shared" si="331"/>
        <v>573.16543638732094</v>
      </c>
      <c r="CR1110">
        <f t="shared" si="329"/>
        <v>25</v>
      </c>
      <c r="CS1110">
        <f t="shared" si="330"/>
        <v>31</v>
      </c>
      <c r="CT1110">
        <f t="shared" si="322"/>
        <v>22.02</v>
      </c>
      <c r="CU1110">
        <f t="shared" si="312"/>
        <v>3.8418227272727271E-2</v>
      </c>
      <c r="CV1110" s="2">
        <f t="shared" si="323"/>
        <v>0.24</v>
      </c>
      <c r="CW1110" s="1" t="s">
        <v>264</v>
      </c>
      <c r="CX1110" t="str">
        <f t="shared" si="298"/>
        <v>loc</v>
      </c>
      <c r="CY1110" t="s">
        <v>445</v>
      </c>
      <c r="DB1110">
        <v>300</v>
      </c>
      <c r="DC1110" t="str">
        <f t="shared" si="299"/>
        <v>+100</v>
      </c>
      <c r="DD1110">
        <v>0</v>
      </c>
      <c r="DE1110">
        <v>0</v>
      </c>
      <c r="DF1110">
        <v>0</v>
      </c>
      <c r="DG1110">
        <v>1</v>
      </c>
      <c r="DI1110">
        <f t="shared" si="326"/>
        <v>1</v>
      </c>
      <c r="DJ1110" t="str">
        <f t="shared" si="311"/>
        <v>TimberInput</v>
      </c>
      <c r="DK1110">
        <f t="shared" si="338"/>
        <v>0</v>
      </c>
      <c r="DL1110">
        <f t="shared" si="339"/>
        <v>0</v>
      </c>
      <c r="DM1110">
        <f t="shared" si="340"/>
        <v>0</v>
      </c>
      <c r="DN1110" t="str">
        <f t="shared" si="341"/>
        <v>Timber</v>
      </c>
      <c r="DO1110">
        <v>1</v>
      </c>
      <c r="DP1110" s="143">
        <v>0</v>
      </c>
      <c r="DQ1110" s="143">
        <v>0</v>
      </c>
      <c r="DR1110" s="143">
        <v>0</v>
      </c>
      <c r="DS1110">
        <v>0</v>
      </c>
      <c r="DT1110">
        <f t="shared" si="315"/>
        <v>1</v>
      </c>
      <c r="DU1110" s="143" t="str">
        <f t="shared" si="301"/>
        <v>self-calculated DF</v>
      </c>
      <c r="DV1110">
        <v>0</v>
      </c>
      <c r="DW1110" s="143">
        <v>0</v>
      </c>
      <c r="DX1110" s="143">
        <v>1</v>
      </c>
      <c r="DY1110" s="143">
        <v>1</v>
      </c>
      <c r="DZ1110">
        <v>1</v>
      </c>
      <c r="EA1110" s="143">
        <v>1</v>
      </c>
      <c r="EB1110">
        <v>0</v>
      </c>
      <c r="EC1110" s="143">
        <v>1</v>
      </c>
      <c r="ED1110" s="143">
        <v>0</v>
      </c>
      <c r="EE1110">
        <v>0</v>
      </c>
      <c r="EF1110">
        <v>0</v>
      </c>
      <c r="EG1110" s="143">
        <v>0</v>
      </c>
      <c r="EH1110" s="143">
        <v>0</v>
      </c>
      <c r="EI1110" s="2">
        <v>0</v>
      </c>
      <c r="EK1110" t="str">
        <f t="shared" si="342"/>
        <v/>
      </c>
      <c r="EL1110" t="str">
        <f t="shared" si="343"/>
        <v/>
      </c>
      <c r="EM1110" s="2" t="str">
        <f t="shared" si="300"/>
        <v/>
      </c>
      <c r="EN1110" t="s">
        <v>446</v>
      </c>
      <c r="EP1110" t="str">
        <f>IF(ISNUMBER(BU1110),IF(ABS(BU1110-[4]QC_indicators!$B$2)&gt;3*[4]QC_indicators!$C$2,"C ratio",IF(ISNUMBER(BY1110),IF(ABS(BY1110-[4]QC_indicators!$B$1)&gt;3*[4]QC_indicators!$C$1,"DF","no"))),IF(ISNUMBER(BY1110),IF(ABS(BY1110-[4]QC_indicators!$B$1)&gt;3*[4]QC_indicators!$C$1,"DF","no")))</f>
        <v>no</v>
      </c>
      <c r="ET1110" s="266" t="s">
        <v>3275</v>
      </c>
    </row>
    <row r="1111" spans="1:150" hidden="1">
      <c r="A1111" s="1" t="s">
        <v>431</v>
      </c>
      <c r="B1111" t="s">
        <v>432</v>
      </c>
      <c r="C1111" t="s">
        <v>433</v>
      </c>
      <c r="D1111" t="s">
        <v>434</v>
      </c>
      <c r="E1111" t="s">
        <v>435</v>
      </c>
      <c r="F1111" t="s">
        <v>436</v>
      </c>
      <c r="G1111" t="s">
        <v>437</v>
      </c>
      <c r="H1111" t="s">
        <v>255</v>
      </c>
      <c r="I1111">
        <v>2000</v>
      </c>
      <c r="J1111">
        <v>174</v>
      </c>
      <c r="K1111" t="s">
        <v>438</v>
      </c>
      <c r="M1111" t="str">
        <f t="shared" si="310"/>
        <v>Borjesson_2000</v>
      </c>
      <c r="N1111" t="s">
        <v>223</v>
      </c>
      <c r="O1111" s="145" t="s">
        <v>224</v>
      </c>
      <c r="Q1111" t="s">
        <v>257</v>
      </c>
      <c r="R1111" s="255" t="s">
        <v>226</v>
      </c>
      <c r="S1111" s="1" t="s">
        <v>439</v>
      </c>
      <c r="T1111" t="s">
        <v>447</v>
      </c>
      <c r="U1111" t="s">
        <v>441</v>
      </c>
      <c r="V1111">
        <v>0</v>
      </c>
      <c r="W1111">
        <v>0</v>
      </c>
      <c r="X1111">
        <v>0</v>
      </c>
      <c r="Y1111">
        <v>0</v>
      </c>
      <c r="Z1111">
        <v>0</v>
      </c>
      <c r="AA1111">
        <v>0</v>
      </c>
      <c r="AB1111">
        <v>0</v>
      </c>
      <c r="AC1111">
        <v>0</v>
      </c>
      <c r="AD1111">
        <v>0</v>
      </c>
      <c r="AE1111">
        <v>0</v>
      </c>
      <c r="AF1111">
        <v>0</v>
      </c>
      <c r="AG1111">
        <v>0</v>
      </c>
      <c r="AH1111">
        <v>0</v>
      </c>
      <c r="AI1111">
        <v>0</v>
      </c>
      <c r="AJ1111">
        <v>0</v>
      </c>
      <c r="AK1111">
        <v>1</v>
      </c>
      <c r="AL1111">
        <v>0</v>
      </c>
      <c r="AM1111">
        <v>0</v>
      </c>
      <c r="AN1111">
        <v>0</v>
      </c>
      <c r="AO1111">
        <v>0</v>
      </c>
      <c r="AP1111">
        <v>0</v>
      </c>
      <c r="AQ1111">
        <v>0</v>
      </c>
      <c r="AR1111">
        <v>0</v>
      </c>
      <c r="AS1111">
        <v>0</v>
      </c>
      <c r="AT1111">
        <v>0</v>
      </c>
      <c r="AU1111">
        <v>0</v>
      </c>
      <c r="AV1111">
        <v>0</v>
      </c>
      <c r="AW1111">
        <v>0</v>
      </c>
      <c r="AX1111" s="141">
        <f t="shared" si="321"/>
        <v>1</v>
      </c>
      <c r="AY1111" s="141">
        <f t="shared" si="292"/>
        <v>1</v>
      </c>
      <c r="AZ1111">
        <f t="shared" si="293"/>
        <v>0</v>
      </c>
      <c r="BA1111">
        <f t="shared" si="294"/>
        <v>0</v>
      </c>
      <c r="BB1111">
        <f t="shared" si="295"/>
        <v>1</v>
      </c>
      <c r="BC1111">
        <f t="shared" si="296"/>
        <v>0</v>
      </c>
      <c r="BD1111">
        <f t="shared" si="297"/>
        <v>0</v>
      </c>
      <c r="BE1111" t="str">
        <f t="array" ref="BE1111">IF(AY1111=1,INDEX($V$7:$AL$7,MATCH(TRUE,INDEX($V1111:$AW1111&lt;&gt;0,),0)),IF(AY1111=0,INDEX($AM$7:$AW$7,MATCH(1,$AM1111:$AW1111,0)),IF(BF1111="Multiple strategies","mixed drivers",IF(BF1111="Supply chain","multiple supply","multiple silviculture"))))</f>
        <v>technologies/design switch</v>
      </c>
      <c r="BF1111" s="2" t="str" cm="1">
        <f t="array" ref="BF1111">IF(COUNTIF(AZ1111:BB1111,"&lt;&gt;0")=1,INDEX($V$4:$AW$4,MATCH(TRUE,INDEX($V1111:$AW1111&lt;&gt;0,),0)),IF(COUNTIF(AZ1111:BB1111,"&lt;&gt;0")=0,INDEX($AM$4:$AW$4,MATCH(1,$AM1111:$AW1111,0)),"Multiple strategies"))</f>
        <v>Technology</v>
      </c>
      <c r="BG1111" s="142" t="s">
        <v>230</v>
      </c>
      <c r="BH1111" t="s">
        <v>442</v>
      </c>
      <c r="BI1111" s="266" t="s">
        <v>3276</v>
      </c>
      <c r="BJ1111" s="143" t="s">
        <v>443</v>
      </c>
      <c r="BK1111">
        <v>0</v>
      </c>
      <c r="BL1111">
        <f t="shared" si="345"/>
        <v>132</v>
      </c>
      <c r="BM1111" s="143" t="e">
        <f t="shared" si="344"/>
        <v>#DIV/0!</v>
      </c>
      <c r="BN1111">
        <f t="shared" si="332"/>
        <v>132</v>
      </c>
      <c r="BO1111">
        <f t="shared" si="346"/>
        <v>573.16543638732094</v>
      </c>
      <c r="BP1111" t="s">
        <v>233</v>
      </c>
      <c r="BQ1111" s="260" t="s">
        <v>815</v>
      </c>
      <c r="BR1111" t="s">
        <v>444</v>
      </c>
      <c r="BS1111" s="141">
        <v>18</v>
      </c>
      <c r="BT1111" s="141">
        <v>31</v>
      </c>
      <c r="BU1111" s="144">
        <f t="shared" si="328"/>
        <v>1.7222222222222223</v>
      </c>
      <c r="BV1111">
        <f t="shared" si="327"/>
        <v>13</v>
      </c>
      <c r="BX1111">
        <f t="shared" si="347"/>
        <v>47.71</v>
      </c>
      <c r="BY1111">
        <f t="shared" si="319"/>
        <v>8.3239492424242417E-2</v>
      </c>
      <c r="BZ1111" s="143">
        <v>0</v>
      </c>
      <c r="CA1111" s="143">
        <v>0</v>
      </c>
      <c r="CB1111" s="143">
        <v>0</v>
      </c>
      <c r="CC1111" s="143">
        <v>0</v>
      </c>
      <c r="CD1111" s="143">
        <v>0</v>
      </c>
      <c r="CE1111" s="143">
        <v>0</v>
      </c>
      <c r="CF1111" s="143">
        <v>0</v>
      </c>
      <c r="CG1111" s="143">
        <v>0</v>
      </c>
      <c r="CH1111" s="143">
        <v>0</v>
      </c>
      <c r="CI1111" s="143">
        <v>0</v>
      </c>
      <c r="CJ1111" s="143">
        <v>0</v>
      </c>
      <c r="CK1111" s="143">
        <v>0</v>
      </c>
      <c r="CL1111" s="143">
        <v>0</v>
      </c>
      <c r="CM1111">
        <v>0</v>
      </c>
      <c r="CN1111" t="str">
        <f t="shared" si="334"/>
        <v>refOK</v>
      </c>
      <c r="CO1111">
        <f t="shared" si="348"/>
        <v>0</v>
      </c>
      <c r="CP1111">
        <f t="shared" si="349"/>
        <v>132</v>
      </c>
      <c r="CQ1111">
        <f t="shared" si="331"/>
        <v>573.16543638732094</v>
      </c>
      <c r="CR1111">
        <f t="shared" si="329"/>
        <v>18</v>
      </c>
      <c r="CS1111">
        <f t="shared" si="330"/>
        <v>31</v>
      </c>
      <c r="CT1111">
        <f t="shared" si="322"/>
        <v>47.71</v>
      </c>
      <c r="CU1111">
        <f t="shared" si="312"/>
        <v>8.3239492424242417E-2</v>
      </c>
      <c r="CV1111" s="2">
        <f t="shared" si="323"/>
        <v>0.72222222222222221</v>
      </c>
      <c r="CW1111" s="1" t="s">
        <v>264</v>
      </c>
      <c r="CX1111" t="str">
        <f t="shared" si="298"/>
        <v>loc</v>
      </c>
      <c r="CY1111" t="s">
        <v>445</v>
      </c>
      <c r="DB1111">
        <v>300</v>
      </c>
      <c r="DC1111" t="str">
        <f t="shared" si="299"/>
        <v>+100</v>
      </c>
      <c r="DD1111">
        <v>0</v>
      </c>
      <c r="DE1111">
        <v>0</v>
      </c>
      <c r="DF1111">
        <v>0</v>
      </c>
      <c r="DG1111">
        <v>1</v>
      </c>
      <c r="DI1111">
        <f t="shared" si="326"/>
        <v>1</v>
      </c>
      <c r="DJ1111" t="str">
        <f t="shared" si="311"/>
        <v>TimberInput</v>
      </c>
      <c r="DK1111">
        <f t="shared" si="338"/>
        <v>0</v>
      </c>
      <c r="DL1111">
        <f t="shared" si="339"/>
        <v>0</v>
      </c>
      <c r="DM1111">
        <f t="shared" si="340"/>
        <v>0</v>
      </c>
      <c r="DN1111" t="str">
        <f t="shared" si="341"/>
        <v>Timber</v>
      </c>
      <c r="DO1111">
        <v>1</v>
      </c>
      <c r="DP1111" s="143">
        <v>0</v>
      </c>
      <c r="DQ1111" s="143">
        <v>0</v>
      </c>
      <c r="DR1111" s="143">
        <v>0</v>
      </c>
      <c r="DS1111">
        <v>0</v>
      </c>
      <c r="DT1111">
        <f t="shared" si="315"/>
        <v>1</v>
      </c>
      <c r="DU1111" s="143" t="str">
        <f t="shared" si="301"/>
        <v>self-calculated DF</v>
      </c>
      <c r="DV1111">
        <v>0</v>
      </c>
      <c r="DW1111" s="143">
        <v>0</v>
      </c>
      <c r="DX1111" s="143">
        <v>1</v>
      </c>
      <c r="DY1111" s="143">
        <v>1</v>
      </c>
      <c r="DZ1111">
        <v>1</v>
      </c>
      <c r="EA1111" s="143">
        <v>1</v>
      </c>
      <c r="EB1111">
        <v>0</v>
      </c>
      <c r="EC1111" s="143">
        <v>1</v>
      </c>
      <c r="ED1111" s="143">
        <v>0</v>
      </c>
      <c r="EE1111">
        <v>0</v>
      </c>
      <c r="EF1111">
        <v>0</v>
      </c>
      <c r="EG1111" s="143">
        <v>0</v>
      </c>
      <c r="EH1111" s="143">
        <v>0</v>
      </c>
      <c r="EI1111" s="2">
        <v>0</v>
      </c>
      <c r="EK1111" t="str">
        <f t="shared" si="342"/>
        <v/>
      </c>
      <c r="EL1111" t="str">
        <f t="shared" si="343"/>
        <v/>
      </c>
      <c r="EM1111" s="2" t="str">
        <f t="shared" si="300"/>
        <v/>
      </c>
      <c r="EN1111" t="s">
        <v>446</v>
      </c>
      <c r="EP1111" t="str">
        <f>IF(ISNUMBER(BU1111),IF(ABS(BU1111-[4]QC_indicators!$B$2)&gt;3*[4]QC_indicators!$C$2,"C ratio",IF(ISNUMBER(BY1111),IF(ABS(BY1111-[4]QC_indicators!$B$1)&gt;3*[4]QC_indicators!$C$1,"DF","no"))),IF(ISNUMBER(BY1111),IF(ABS(BY1111-[4]QC_indicators!$B$1)&gt;3*[4]QC_indicators!$C$1,"DF","no")))</f>
        <v>no</v>
      </c>
      <c r="ET1111" s="266" t="s">
        <v>3275</v>
      </c>
    </row>
    <row r="1112" spans="1:150" hidden="1">
      <c r="A1112" s="1" t="s">
        <v>431</v>
      </c>
      <c r="B1112" t="s">
        <v>432</v>
      </c>
      <c r="C1112" t="s">
        <v>433</v>
      </c>
      <c r="D1112" t="s">
        <v>434</v>
      </c>
      <c r="E1112" t="s">
        <v>435</v>
      </c>
      <c r="F1112" t="s">
        <v>436</v>
      </c>
      <c r="G1112" t="s">
        <v>437</v>
      </c>
      <c r="H1112" t="s">
        <v>255</v>
      </c>
      <c r="I1112">
        <v>2000</v>
      </c>
      <c r="J1112">
        <v>174</v>
      </c>
      <c r="K1112" t="s">
        <v>438</v>
      </c>
      <c r="M1112" t="str">
        <f t="shared" si="310"/>
        <v>Borjesson_2000</v>
      </c>
      <c r="N1112" t="s">
        <v>223</v>
      </c>
      <c r="O1112" s="145" t="s">
        <v>224</v>
      </c>
      <c r="Q1112" t="s">
        <v>257</v>
      </c>
      <c r="R1112" s="255" t="s">
        <v>226</v>
      </c>
      <c r="S1112" s="1" t="s">
        <v>439</v>
      </c>
      <c r="T1112" t="s">
        <v>448</v>
      </c>
      <c r="U1112" t="s">
        <v>441</v>
      </c>
      <c r="V1112">
        <v>0</v>
      </c>
      <c r="W1112">
        <v>0</v>
      </c>
      <c r="X1112">
        <v>0</v>
      </c>
      <c r="Y1112">
        <v>0</v>
      </c>
      <c r="Z1112">
        <v>0</v>
      </c>
      <c r="AA1112">
        <v>0</v>
      </c>
      <c r="AB1112">
        <v>0</v>
      </c>
      <c r="AC1112">
        <v>0</v>
      </c>
      <c r="AD1112">
        <v>0</v>
      </c>
      <c r="AE1112">
        <v>0</v>
      </c>
      <c r="AF1112">
        <v>0</v>
      </c>
      <c r="AG1112">
        <v>0</v>
      </c>
      <c r="AH1112">
        <v>0</v>
      </c>
      <c r="AI1112">
        <v>0</v>
      </c>
      <c r="AJ1112">
        <v>0</v>
      </c>
      <c r="AK1112">
        <v>1</v>
      </c>
      <c r="AL1112">
        <v>0</v>
      </c>
      <c r="AM1112">
        <v>0</v>
      </c>
      <c r="AN1112">
        <v>0</v>
      </c>
      <c r="AO1112">
        <v>0</v>
      </c>
      <c r="AP1112">
        <v>0</v>
      </c>
      <c r="AQ1112">
        <v>0</v>
      </c>
      <c r="AR1112">
        <v>0</v>
      </c>
      <c r="AS1112">
        <v>0</v>
      </c>
      <c r="AT1112">
        <v>0</v>
      </c>
      <c r="AU1112">
        <v>0</v>
      </c>
      <c r="AV1112">
        <v>0</v>
      </c>
      <c r="AW1112">
        <v>0</v>
      </c>
      <c r="AX1112" s="141">
        <f t="shared" si="321"/>
        <v>1</v>
      </c>
      <c r="AY1112" s="141">
        <f t="shared" si="292"/>
        <v>1</v>
      </c>
      <c r="AZ1112">
        <f t="shared" si="293"/>
        <v>0</v>
      </c>
      <c r="BA1112">
        <f t="shared" si="294"/>
        <v>0</v>
      </c>
      <c r="BB1112">
        <f t="shared" si="295"/>
        <v>1</v>
      </c>
      <c r="BC1112">
        <f t="shared" si="296"/>
        <v>0</v>
      </c>
      <c r="BD1112">
        <f t="shared" si="297"/>
        <v>0</v>
      </c>
      <c r="BE1112" t="str">
        <f t="array" ref="BE1112">IF(AY1112=1,INDEX($V$7:$AL$7,MATCH(TRUE,INDEX($V1112:$AW1112&lt;&gt;0,),0)),IF(AY1112=0,INDEX($AM$7:$AW$7,MATCH(1,$AM1112:$AW1112,0)),IF(BF1112="Multiple strategies","mixed drivers",IF(BF1112="Supply chain","multiple supply","multiple silviculture"))))</f>
        <v>technologies/design switch</v>
      </c>
      <c r="BF1112" s="2" t="str" cm="1">
        <f t="array" ref="BF1112">IF(COUNTIF(AZ1112:BB1112,"&lt;&gt;0")=1,INDEX($V$4:$AW$4,MATCH(TRUE,INDEX($V1112:$AW1112&lt;&gt;0,),0)),IF(COUNTIF(AZ1112:BB1112,"&lt;&gt;0")=0,INDEX($AM$4:$AW$4,MATCH(1,$AM1112:$AW1112,0)),"Multiple strategies"))</f>
        <v>Technology</v>
      </c>
      <c r="BG1112" s="142" t="s">
        <v>230</v>
      </c>
      <c r="BH1112" t="s">
        <v>442</v>
      </c>
      <c r="BI1112" s="266" t="s">
        <v>3276</v>
      </c>
      <c r="BJ1112" s="143" t="s">
        <v>443</v>
      </c>
      <c r="BK1112">
        <v>0</v>
      </c>
      <c r="BL1112">
        <f t="shared" si="345"/>
        <v>132</v>
      </c>
      <c r="BM1112" s="143" t="e">
        <f t="shared" si="344"/>
        <v>#DIV/0!</v>
      </c>
      <c r="BN1112">
        <f t="shared" si="332"/>
        <v>132</v>
      </c>
      <c r="BO1112">
        <f t="shared" si="346"/>
        <v>573.16543638732094</v>
      </c>
      <c r="BP1112" t="s">
        <v>233</v>
      </c>
      <c r="BQ1112" s="260" t="s">
        <v>815</v>
      </c>
      <c r="BR1112" t="s">
        <v>444</v>
      </c>
      <c r="BS1112" s="141">
        <v>6</v>
      </c>
      <c r="BT1112" s="141">
        <v>31</v>
      </c>
      <c r="BU1112" s="144">
        <f t="shared" si="328"/>
        <v>5.166666666666667</v>
      </c>
      <c r="BV1112">
        <f t="shared" si="327"/>
        <v>25</v>
      </c>
      <c r="BX1112">
        <f t="shared" si="347"/>
        <v>91.75</v>
      </c>
      <c r="BY1112">
        <f t="shared" si="319"/>
        <v>0.16007594696969696</v>
      </c>
      <c r="BZ1112" s="143">
        <v>0</v>
      </c>
      <c r="CA1112" s="143">
        <v>0</v>
      </c>
      <c r="CB1112" s="143">
        <v>0</v>
      </c>
      <c r="CC1112" s="143">
        <v>0</v>
      </c>
      <c r="CD1112" s="143">
        <v>0</v>
      </c>
      <c r="CE1112" s="143">
        <v>0</v>
      </c>
      <c r="CF1112" s="143">
        <v>0</v>
      </c>
      <c r="CG1112" s="143">
        <v>0</v>
      </c>
      <c r="CH1112" s="143">
        <v>0</v>
      </c>
      <c r="CI1112" s="143">
        <v>0</v>
      </c>
      <c r="CJ1112" s="143">
        <v>0</v>
      </c>
      <c r="CK1112" s="143">
        <v>0</v>
      </c>
      <c r="CL1112" s="143">
        <v>0</v>
      </c>
      <c r="CM1112">
        <v>0</v>
      </c>
      <c r="CN1112" t="str">
        <f t="shared" si="334"/>
        <v>refOK</v>
      </c>
      <c r="CO1112">
        <f t="shared" si="348"/>
        <v>0</v>
      </c>
      <c r="CP1112">
        <f t="shared" si="349"/>
        <v>132</v>
      </c>
      <c r="CQ1112">
        <f t="shared" si="331"/>
        <v>573.16543638732094</v>
      </c>
      <c r="CR1112">
        <f t="shared" si="329"/>
        <v>6</v>
      </c>
      <c r="CS1112">
        <f t="shared" si="330"/>
        <v>31</v>
      </c>
      <c r="CT1112">
        <f t="shared" si="322"/>
        <v>91.75</v>
      </c>
      <c r="CU1112">
        <f t="shared" si="312"/>
        <v>0.16007594696969696</v>
      </c>
      <c r="CV1112" s="2">
        <f t="shared" si="323"/>
        <v>4.166666666666667</v>
      </c>
      <c r="CW1112" s="1" t="s">
        <v>264</v>
      </c>
      <c r="CX1112" t="str">
        <f t="shared" si="298"/>
        <v>loc</v>
      </c>
      <c r="CY1112" t="s">
        <v>445</v>
      </c>
      <c r="DB1112">
        <v>300</v>
      </c>
      <c r="DC1112" t="str">
        <f t="shared" si="299"/>
        <v>+100</v>
      </c>
      <c r="DD1112">
        <v>0</v>
      </c>
      <c r="DE1112">
        <v>0</v>
      </c>
      <c r="DF1112">
        <v>0</v>
      </c>
      <c r="DG1112">
        <v>1</v>
      </c>
      <c r="DI1112">
        <f t="shared" si="326"/>
        <v>1</v>
      </c>
      <c r="DJ1112" t="str">
        <f t="shared" si="311"/>
        <v>TimberInput</v>
      </c>
      <c r="DK1112">
        <f t="shared" si="338"/>
        <v>0</v>
      </c>
      <c r="DL1112">
        <f t="shared" si="339"/>
        <v>0</v>
      </c>
      <c r="DM1112">
        <f t="shared" si="340"/>
        <v>0</v>
      </c>
      <c r="DN1112" t="str">
        <f t="shared" si="341"/>
        <v>Timber</v>
      </c>
      <c r="DO1112">
        <v>1</v>
      </c>
      <c r="DP1112" s="143">
        <v>0</v>
      </c>
      <c r="DQ1112" s="143">
        <v>0</v>
      </c>
      <c r="DR1112" s="143">
        <v>0</v>
      </c>
      <c r="DS1112">
        <v>0</v>
      </c>
      <c r="DT1112">
        <f t="shared" si="315"/>
        <v>1</v>
      </c>
      <c r="DU1112" s="143" t="str">
        <f t="shared" si="301"/>
        <v>self-calculated DF</v>
      </c>
      <c r="DV1112">
        <v>0</v>
      </c>
      <c r="DW1112" s="143">
        <v>0</v>
      </c>
      <c r="DX1112" s="143">
        <v>1</v>
      </c>
      <c r="DY1112" s="143">
        <v>1</v>
      </c>
      <c r="DZ1112">
        <v>1</v>
      </c>
      <c r="EA1112" s="143">
        <v>1</v>
      </c>
      <c r="EB1112">
        <v>0</v>
      </c>
      <c r="EC1112" s="143">
        <v>1</v>
      </c>
      <c r="ED1112" s="143">
        <v>0</v>
      </c>
      <c r="EE1112">
        <v>0</v>
      </c>
      <c r="EF1112">
        <v>0</v>
      </c>
      <c r="EG1112" s="143">
        <v>0</v>
      </c>
      <c r="EH1112" s="143">
        <v>0</v>
      </c>
      <c r="EI1112" s="2">
        <v>0</v>
      </c>
      <c r="EK1112" t="str">
        <f t="shared" si="342"/>
        <v/>
      </c>
      <c r="EL1112" t="str">
        <f t="shared" si="343"/>
        <v/>
      </c>
      <c r="EM1112" s="2" t="str">
        <f t="shared" si="300"/>
        <v/>
      </c>
      <c r="EN1112" t="s">
        <v>446</v>
      </c>
      <c r="EP1112" t="str">
        <f>IF(ISNUMBER(BU1112),IF(ABS(BU1112-[4]QC_indicators!$B$2)&gt;3*[4]QC_indicators!$C$2,"C ratio",IF(ISNUMBER(BY1112),IF(ABS(BY1112-[4]QC_indicators!$B$1)&gt;3*[4]QC_indicators!$C$1,"DF","no"))),IF(ISNUMBER(BY1112),IF(ABS(BY1112-[4]QC_indicators!$B$1)&gt;3*[4]QC_indicators!$C$1,"DF","no")))</f>
        <v>no</v>
      </c>
      <c r="ET1112" s="266" t="s">
        <v>3275</v>
      </c>
    </row>
    <row r="1113" spans="1:150" hidden="1">
      <c r="A1113" s="1" t="s">
        <v>431</v>
      </c>
      <c r="B1113" t="s">
        <v>432</v>
      </c>
      <c r="C1113" t="s">
        <v>433</v>
      </c>
      <c r="D1113" t="s">
        <v>434</v>
      </c>
      <c r="E1113" t="s">
        <v>435</v>
      </c>
      <c r="F1113" t="s">
        <v>436</v>
      </c>
      <c r="G1113" t="s">
        <v>437</v>
      </c>
      <c r="H1113" t="s">
        <v>255</v>
      </c>
      <c r="I1113">
        <v>2000</v>
      </c>
      <c r="J1113">
        <v>174</v>
      </c>
      <c r="K1113" t="s">
        <v>438</v>
      </c>
      <c r="M1113" t="str">
        <f t="shared" si="310"/>
        <v>Borjesson_2000</v>
      </c>
      <c r="N1113" t="s">
        <v>223</v>
      </c>
      <c r="O1113" s="145" t="s">
        <v>224</v>
      </c>
      <c r="Q1113" t="s">
        <v>257</v>
      </c>
      <c r="R1113" s="255" t="s">
        <v>226</v>
      </c>
      <c r="S1113" s="1" t="s">
        <v>439</v>
      </c>
      <c r="T1113" t="s">
        <v>440</v>
      </c>
      <c r="U1113" t="s">
        <v>449</v>
      </c>
      <c r="V1113">
        <v>0</v>
      </c>
      <c r="W1113">
        <v>0</v>
      </c>
      <c r="X1113">
        <v>0</v>
      </c>
      <c r="Y1113">
        <v>0</v>
      </c>
      <c r="Z1113">
        <v>0</v>
      </c>
      <c r="AA1113">
        <v>0</v>
      </c>
      <c r="AB1113">
        <v>0</v>
      </c>
      <c r="AC1113">
        <v>0</v>
      </c>
      <c r="AD1113">
        <v>0</v>
      </c>
      <c r="AE1113">
        <v>0</v>
      </c>
      <c r="AF1113">
        <v>0</v>
      </c>
      <c r="AG1113">
        <v>0</v>
      </c>
      <c r="AH1113">
        <v>0</v>
      </c>
      <c r="AI1113">
        <v>0</v>
      </c>
      <c r="AJ1113">
        <v>0</v>
      </c>
      <c r="AK1113">
        <v>1</v>
      </c>
      <c r="AL1113">
        <v>0</v>
      </c>
      <c r="AM1113">
        <v>0</v>
      </c>
      <c r="AN1113">
        <v>0</v>
      </c>
      <c r="AO1113">
        <v>0</v>
      </c>
      <c r="AP1113">
        <v>0</v>
      </c>
      <c r="AQ1113">
        <v>0</v>
      </c>
      <c r="AR1113">
        <v>0</v>
      </c>
      <c r="AS1113">
        <v>0</v>
      </c>
      <c r="AT1113">
        <v>0</v>
      </c>
      <c r="AU1113">
        <v>0</v>
      </c>
      <c r="AV1113">
        <v>0</v>
      </c>
      <c r="AW1113">
        <v>0</v>
      </c>
      <c r="AX1113" s="141">
        <f t="shared" si="321"/>
        <v>1</v>
      </c>
      <c r="AY1113" s="141">
        <f t="shared" si="292"/>
        <v>1</v>
      </c>
      <c r="AZ1113">
        <f t="shared" si="293"/>
        <v>0</v>
      </c>
      <c r="BA1113">
        <f t="shared" si="294"/>
        <v>0</v>
      </c>
      <c r="BB1113">
        <f t="shared" si="295"/>
        <v>1</v>
      </c>
      <c r="BC1113">
        <f t="shared" si="296"/>
        <v>0</v>
      </c>
      <c r="BD1113">
        <f t="shared" si="297"/>
        <v>0</v>
      </c>
      <c r="BE1113" t="str">
        <f t="array" ref="BE1113">IF(AY1113=1,INDEX($V$7:$AL$7,MATCH(TRUE,INDEX($V1113:$AW1113&lt;&gt;0,),0)),IF(AY1113=0,INDEX($AM$7:$AW$7,MATCH(1,$AM1113:$AW1113,0)),IF(BF1113="Multiple strategies","mixed drivers",IF(BF1113="Supply chain","multiple supply","multiple silviculture"))))</f>
        <v>technologies/design switch</v>
      </c>
      <c r="BF1113" s="2" t="str" cm="1">
        <f t="array" ref="BF1113">IF(COUNTIF(AZ1113:BB1113,"&lt;&gt;0")=1,INDEX($V$4:$AW$4,MATCH(TRUE,INDEX($V1113:$AW1113&lt;&gt;0,),0)),IF(COUNTIF(AZ1113:BB1113,"&lt;&gt;0")=0,INDEX($AM$4:$AW$4,MATCH(1,$AM1113:$AW1113,0)),"Multiple strategies"))</f>
        <v>Technology</v>
      </c>
      <c r="BG1113" s="142" t="s">
        <v>230</v>
      </c>
      <c r="BH1113" t="s">
        <v>442</v>
      </c>
      <c r="BI1113" s="266" t="s">
        <v>3276</v>
      </c>
      <c r="BJ1113" s="143" t="s">
        <v>443</v>
      </c>
      <c r="BK1113">
        <v>0</v>
      </c>
      <c r="BL1113">
        <f t="shared" si="345"/>
        <v>132</v>
      </c>
      <c r="BM1113" s="143" t="e">
        <f t="shared" si="344"/>
        <v>#DIV/0!</v>
      </c>
      <c r="BN1113">
        <f t="shared" si="332"/>
        <v>132</v>
      </c>
      <c r="BO1113">
        <f t="shared" si="346"/>
        <v>573.16543638732094</v>
      </c>
      <c r="BP1113" t="s">
        <v>233</v>
      </c>
      <c r="BQ1113" s="260" t="s">
        <v>815</v>
      </c>
      <c r="BR1113" t="s">
        <v>444</v>
      </c>
      <c r="BS1113" s="141">
        <v>25</v>
      </c>
      <c r="BT1113" s="141">
        <v>53</v>
      </c>
      <c r="BU1113" s="144">
        <f t="shared" si="328"/>
        <v>2.12</v>
      </c>
      <c r="BV1113">
        <f t="shared" si="327"/>
        <v>28</v>
      </c>
      <c r="BX1113">
        <f t="shared" si="347"/>
        <v>102.75999999999999</v>
      </c>
      <c r="BY1113">
        <f t="shared" si="319"/>
        <v>0.17928506060606059</v>
      </c>
      <c r="BZ1113" s="143">
        <v>0</v>
      </c>
      <c r="CA1113" s="143">
        <v>0</v>
      </c>
      <c r="CB1113" s="143">
        <v>0</v>
      </c>
      <c r="CC1113" s="143">
        <v>0</v>
      </c>
      <c r="CD1113" s="143">
        <v>0</v>
      </c>
      <c r="CE1113" s="143">
        <v>0</v>
      </c>
      <c r="CF1113" s="143">
        <v>0</v>
      </c>
      <c r="CG1113" s="143">
        <v>0</v>
      </c>
      <c r="CH1113" s="143">
        <v>0</v>
      </c>
      <c r="CI1113" s="143">
        <v>0</v>
      </c>
      <c r="CJ1113" s="143">
        <v>0</v>
      </c>
      <c r="CK1113" s="143">
        <v>0</v>
      </c>
      <c r="CL1113" s="143">
        <v>0</v>
      </c>
      <c r="CM1113">
        <v>0</v>
      </c>
      <c r="CN1113" t="str">
        <f t="shared" si="334"/>
        <v>refOK</v>
      </c>
      <c r="CO1113">
        <f t="shared" si="348"/>
        <v>0</v>
      </c>
      <c r="CP1113">
        <f t="shared" si="349"/>
        <v>132</v>
      </c>
      <c r="CQ1113">
        <f t="shared" si="331"/>
        <v>573.16543638732094</v>
      </c>
      <c r="CR1113">
        <f t="shared" si="329"/>
        <v>25</v>
      </c>
      <c r="CS1113">
        <f t="shared" si="330"/>
        <v>53</v>
      </c>
      <c r="CT1113">
        <f t="shared" si="322"/>
        <v>102.75999999999999</v>
      </c>
      <c r="CU1113">
        <f t="shared" si="312"/>
        <v>0.17928506060606059</v>
      </c>
      <c r="CV1113" s="2">
        <f t="shared" si="323"/>
        <v>1.1200000000000001</v>
      </c>
      <c r="CW1113" s="1" t="s">
        <v>264</v>
      </c>
      <c r="CX1113" t="str">
        <f t="shared" si="298"/>
        <v>loc</v>
      </c>
      <c r="CY1113" t="s">
        <v>445</v>
      </c>
      <c r="DB1113">
        <v>300</v>
      </c>
      <c r="DC1113" t="str">
        <f t="shared" si="299"/>
        <v>+100</v>
      </c>
      <c r="DD1113">
        <v>0</v>
      </c>
      <c r="DE1113">
        <v>0</v>
      </c>
      <c r="DF1113">
        <v>0</v>
      </c>
      <c r="DG1113">
        <v>1</v>
      </c>
      <c r="DI1113">
        <f t="shared" si="326"/>
        <v>1</v>
      </c>
      <c r="DJ1113" t="str">
        <f t="shared" si="311"/>
        <v>TimberInput</v>
      </c>
      <c r="DK1113">
        <f t="shared" si="338"/>
        <v>0</v>
      </c>
      <c r="DL1113">
        <f t="shared" si="339"/>
        <v>0</v>
      </c>
      <c r="DM1113">
        <f t="shared" si="340"/>
        <v>0</v>
      </c>
      <c r="DN1113" t="str">
        <f t="shared" si="341"/>
        <v>Timber</v>
      </c>
      <c r="DO1113">
        <v>1</v>
      </c>
      <c r="DP1113" s="143">
        <v>0</v>
      </c>
      <c r="DQ1113" s="143">
        <v>0</v>
      </c>
      <c r="DR1113" s="143">
        <v>0</v>
      </c>
      <c r="DS1113">
        <v>0</v>
      </c>
      <c r="DT1113">
        <f t="shared" si="315"/>
        <v>1</v>
      </c>
      <c r="DU1113" s="143" t="str">
        <f t="shared" si="301"/>
        <v>self-calculated DF</v>
      </c>
      <c r="DV1113">
        <v>0</v>
      </c>
      <c r="DW1113" s="143">
        <v>0</v>
      </c>
      <c r="DX1113" s="143">
        <v>1</v>
      </c>
      <c r="DY1113" s="143">
        <v>1</v>
      </c>
      <c r="DZ1113">
        <v>1</v>
      </c>
      <c r="EA1113" s="143">
        <v>1</v>
      </c>
      <c r="EB1113">
        <v>0</v>
      </c>
      <c r="EC1113" s="143">
        <v>1</v>
      </c>
      <c r="ED1113" s="143">
        <v>0</v>
      </c>
      <c r="EE1113">
        <v>0</v>
      </c>
      <c r="EF1113">
        <v>0</v>
      </c>
      <c r="EG1113" s="143">
        <v>0</v>
      </c>
      <c r="EH1113" s="143">
        <v>0</v>
      </c>
      <c r="EI1113" s="2">
        <v>0</v>
      </c>
      <c r="EK1113" t="str">
        <f t="shared" si="342"/>
        <v/>
      </c>
      <c r="EL1113" t="str">
        <f t="shared" si="343"/>
        <v/>
      </c>
      <c r="EM1113" s="2" t="str">
        <f t="shared" si="300"/>
        <v/>
      </c>
      <c r="EN1113" t="s">
        <v>446</v>
      </c>
      <c r="EP1113" t="str">
        <f>IF(ISNUMBER(BU1113),IF(ABS(BU1113-[4]QC_indicators!$B$2)&gt;3*[4]QC_indicators!$C$2,"C ratio",IF(ISNUMBER(BY1113),IF(ABS(BY1113-[4]QC_indicators!$B$1)&gt;3*[4]QC_indicators!$C$1,"DF","no"))),IF(ISNUMBER(BY1113),IF(ABS(BY1113-[4]QC_indicators!$B$1)&gt;3*[4]QC_indicators!$C$1,"DF","no")))</f>
        <v>no</v>
      </c>
      <c r="ET1113" s="266" t="s">
        <v>3275</v>
      </c>
    </row>
    <row r="1114" spans="1:150" hidden="1">
      <c r="A1114" s="1" t="s">
        <v>431</v>
      </c>
      <c r="B1114" t="s">
        <v>432</v>
      </c>
      <c r="C1114" t="s">
        <v>433</v>
      </c>
      <c r="D1114" t="s">
        <v>434</v>
      </c>
      <c r="E1114" t="s">
        <v>435</v>
      </c>
      <c r="F1114" t="s">
        <v>436</v>
      </c>
      <c r="G1114" t="s">
        <v>437</v>
      </c>
      <c r="H1114" t="s">
        <v>255</v>
      </c>
      <c r="I1114">
        <v>2000</v>
      </c>
      <c r="J1114">
        <v>174</v>
      </c>
      <c r="K1114" t="s">
        <v>438</v>
      </c>
      <c r="M1114" t="str">
        <f t="shared" si="310"/>
        <v>Borjesson_2000</v>
      </c>
      <c r="N1114" t="s">
        <v>223</v>
      </c>
      <c r="O1114" s="145" t="s">
        <v>224</v>
      </c>
      <c r="Q1114" t="s">
        <v>257</v>
      </c>
      <c r="R1114" s="255" t="s">
        <v>226</v>
      </c>
      <c r="S1114" s="1" t="s">
        <v>439</v>
      </c>
      <c r="T1114" t="s">
        <v>450</v>
      </c>
      <c r="U1114" t="s">
        <v>441</v>
      </c>
      <c r="V1114">
        <v>0</v>
      </c>
      <c r="W1114">
        <v>0</v>
      </c>
      <c r="X1114">
        <v>0</v>
      </c>
      <c r="Y1114">
        <v>0</v>
      </c>
      <c r="Z1114">
        <v>0</v>
      </c>
      <c r="AA1114">
        <v>0</v>
      </c>
      <c r="AB1114">
        <v>0</v>
      </c>
      <c r="AC1114">
        <v>0</v>
      </c>
      <c r="AD1114">
        <v>0</v>
      </c>
      <c r="AE1114">
        <v>0</v>
      </c>
      <c r="AF1114">
        <v>0</v>
      </c>
      <c r="AG1114">
        <v>0</v>
      </c>
      <c r="AH1114">
        <v>0</v>
      </c>
      <c r="AI1114">
        <v>0</v>
      </c>
      <c r="AJ1114">
        <v>0</v>
      </c>
      <c r="AK1114">
        <v>1</v>
      </c>
      <c r="AL1114">
        <v>0</v>
      </c>
      <c r="AM1114">
        <v>0</v>
      </c>
      <c r="AN1114">
        <v>0</v>
      </c>
      <c r="AO1114">
        <v>0</v>
      </c>
      <c r="AP1114">
        <v>0</v>
      </c>
      <c r="AQ1114">
        <v>0</v>
      </c>
      <c r="AR1114">
        <v>0</v>
      </c>
      <c r="AS1114">
        <v>0</v>
      </c>
      <c r="AT1114">
        <v>0</v>
      </c>
      <c r="AU1114">
        <v>0</v>
      </c>
      <c r="AV1114">
        <v>0</v>
      </c>
      <c r="AW1114">
        <v>0</v>
      </c>
      <c r="AX1114" s="141">
        <f t="shared" si="321"/>
        <v>1</v>
      </c>
      <c r="AY1114" s="141">
        <f t="shared" ref="AY1114:AY1177" si="350">COUNTIF(V1114:AL1114,"&lt;&gt;0")</f>
        <v>1</v>
      </c>
      <c r="AZ1114">
        <f t="shared" ref="AZ1114:AZ1177" si="351">COUNTIF(V1114:AC1114,"&lt;&gt;0")</f>
        <v>0</v>
      </c>
      <c r="BA1114">
        <f t="shared" ref="BA1114:BA1177" si="352">COUNTIF(AD1114:AI1114,"&lt;&gt;0")</f>
        <v>0</v>
      </c>
      <c r="BB1114">
        <f t="shared" ref="BB1114:BB1177" si="353">COUNTIF(AJ1114:AL1114,"&lt;&gt;0")</f>
        <v>1</v>
      </c>
      <c r="BC1114">
        <f t="shared" ref="BC1114:BC1177" si="354">COUNTIF(AS1114:AW1114,"&lt;&gt;0")</f>
        <v>0</v>
      </c>
      <c r="BD1114">
        <f t="shared" ref="BD1114:BD1177" si="355">COUNTIF(AM1114:AR1114,"&lt;&gt;0")</f>
        <v>0</v>
      </c>
      <c r="BE1114" t="str">
        <f t="array" ref="BE1114">IF(AY1114=1,INDEX($V$7:$AL$7,MATCH(TRUE,INDEX($V1114:$AW1114&lt;&gt;0,),0)),IF(AY1114=0,INDEX($AM$7:$AW$7,MATCH(1,$AM1114:$AW1114,0)),IF(BF1114="Multiple strategies","mixed drivers",IF(BF1114="Supply chain","multiple supply","multiple silviculture"))))</f>
        <v>technologies/design switch</v>
      </c>
      <c r="BF1114" s="2" t="str" cm="1">
        <f t="array" ref="BF1114">IF(COUNTIF(AZ1114:BB1114,"&lt;&gt;0")=1,INDEX($V$4:$AW$4,MATCH(TRUE,INDEX($V1114:$AW1114&lt;&gt;0,),0)),IF(COUNTIF(AZ1114:BB1114,"&lt;&gt;0")=0,INDEX($AM$4:$AW$4,MATCH(1,$AM1114:$AW1114,0)),"Multiple strategies"))</f>
        <v>Technology</v>
      </c>
      <c r="BG1114" s="142" t="s">
        <v>230</v>
      </c>
      <c r="BH1114" t="s">
        <v>442</v>
      </c>
      <c r="BI1114" s="266" t="s">
        <v>3276</v>
      </c>
      <c r="BJ1114" s="143" t="s">
        <v>443</v>
      </c>
      <c r="BK1114">
        <v>0</v>
      </c>
      <c r="BL1114">
        <f t="shared" si="345"/>
        <v>132</v>
      </c>
      <c r="BM1114" s="143" t="e">
        <f t="shared" si="344"/>
        <v>#DIV/0!</v>
      </c>
      <c r="BN1114">
        <f t="shared" si="332"/>
        <v>132</v>
      </c>
      <c r="BO1114">
        <f t="shared" si="346"/>
        <v>573.16543638732094</v>
      </c>
      <c r="BP1114" t="s">
        <v>233</v>
      </c>
      <c r="BQ1114" s="260" t="s">
        <v>815</v>
      </c>
      <c r="BR1114" t="s">
        <v>444</v>
      </c>
      <c r="BS1114" s="141">
        <v>3</v>
      </c>
      <c r="BT1114" s="141">
        <v>31</v>
      </c>
      <c r="BU1114" s="144">
        <f t="shared" si="328"/>
        <v>10.333333333333334</v>
      </c>
      <c r="BV1114">
        <f t="shared" si="327"/>
        <v>28</v>
      </c>
      <c r="BX1114">
        <f t="shared" si="347"/>
        <v>102.75999999999999</v>
      </c>
      <c r="BY1114">
        <f t="shared" si="319"/>
        <v>0.17928506060606059</v>
      </c>
      <c r="BZ1114" s="143">
        <v>0</v>
      </c>
      <c r="CA1114" s="143">
        <v>0</v>
      </c>
      <c r="CB1114" s="143">
        <v>0</v>
      </c>
      <c r="CC1114" s="143">
        <v>0</v>
      </c>
      <c r="CD1114" s="143">
        <v>0</v>
      </c>
      <c r="CE1114" s="143">
        <v>0</v>
      </c>
      <c r="CF1114" s="143">
        <v>0</v>
      </c>
      <c r="CG1114" s="143">
        <v>0</v>
      </c>
      <c r="CH1114" s="143">
        <v>0</v>
      </c>
      <c r="CI1114" s="143">
        <v>0</v>
      </c>
      <c r="CJ1114" s="143">
        <v>0</v>
      </c>
      <c r="CK1114" s="143">
        <v>0</v>
      </c>
      <c r="CL1114" s="143">
        <v>0</v>
      </c>
      <c r="CM1114">
        <v>0</v>
      </c>
      <c r="CN1114" t="str">
        <f t="shared" si="334"/>
        <v>refOK</v>
      </c>
      <c r="CO1114">
        <f t="shared" si="348"/>
        <v>0</v>
      </c>
      <c r="CP1114">
        <f t="shared" si="349"/>
        <v>132</v>
      </c>
      <c r="CQ1114">
        <f t="shared" si="331"/>
        <v>573.16543638732094</v>
      </c>
      <c r="CR1114">
        <f t="shared" si="329"/>
        <v>3</v>
      </c>
      <c r="CS1114">
        <f t="shared" si="330"/>
        <v>31</v>
      </c>
      <c r="CT1114">
        <f t="shared" si="322"/>
        <v>102.75999999999999</v>
      </c>
      <c r="CU1114">
        <f t="shared" si="312"/>
        <v>0.17928506060606059</v>
      </c>
      <c r="CV1114" s="2">
        <f t="shared" si="323"/>
        <v>9.3333333333333339</v>
      </c>
      <c r="CW1114" s="1" t="s">
        <v>264</v>
      </c>
      <c r="CX1114" t="str">
        <f t="shared" ref="CX1114:CX1177" si="356">IF(OR($CW1114="prd",$CW1114="std",$CW1114="cit"),"loc",IF(OR($CW1114="eur",$CW1114="reg",$CW1114="coy"),"reg",$CW1114))</f>
        <v>loc</v>
      </c>
      <c r="CY1114" t="s">
        <v>445</v>
      </c>
      <c r="DB1114">
        <v>300</v>
      </c>
      <c r="DC1114" t="str">
        <f t="shared" ref="DC1114:DC1177" si="357">IF(DB1114=0,"0",IF(AND(DB1114&gt;=1,DB1114&lt;=30),"1-30",IF(AND(DB1114&gt;30,DB1114&lt;=70),"31-70",IF(AND(DB1114&gt;70,DB1114&lt;=100),"71-100",IF(DB1114&gt;100,"+100")))))</f>
        <v>+100</v>
      </c>
      <c r="DD1114">
        <v>0</v>
      </c>
      <c r="DE1114">
        <v>0</v>
      </c>
      <c r="DF1114">
        <v>0</v>
      </c>
      <c r="DG1114">
        <v>1</v>
      </c>
      <c r="DI1114">
        <f t="shared" si="326"/>
        <v>1</v>
      </c>
      <c r="DJ1114" t="str">
        <f t="shared" si="311"/>
        <v>TimberInput</v>
      </c>
      <c r="DK1114">
        <f t="shared" si="338"/>
        <v>0</v>
      </c>
      <c r="DL1114">
        <f t="shared" si="339"/>
        <v>0</v>
      </c>
      <c r="DM1114">
        <f t="shared" si="340"/>
        <v>0</v>
      </c>
      <c r="DN1114" t="str">
        <f t="shared" si="341"/>
        <v>Timber</v>
      </c>
      <c r="DO1114">
        <v>1</v>
      </c>
      <c r="DP1114" s="143">
        <v>0</v>
      </c>
      <c r="DQ1114" s="143">
        <v>0</v>
      </c>
      <c r="DR1114" s="143">
        <v>0</v>
      </c>
      <c r="DS1114">
        <v>0</v>
      </c>
      <c r="DT1114">
        <f t="shared" si="315"/>
        <v>1</v>
      </c>
      <c r="DU1114" s="143" t="str">
        <f t="shared" si="301"/>
        <v>self-calculated DF</v>
      </c>
      <c r="DV1114">
        <v>0</v>
      </c>
      <c r="DW1114" s="143">
        <v>0</v>
      </c>
      <c r="DX1114" s="143">
        <v>1</v>
      </c>
      <c r="DY1114" s="143">
        <v>1</v>
      </c>
      <c r="DZ1114">
        <v>1</v>
      </c>
      <c r="EA1114" s="143">
        <v>1</v>
      </c>
      <c r="EB1114">
        <v>0</v>
      </c>
      <c r="EC1114" s="143">
        <v>1</v>
      </c>
      <c r="ED1114" s="143">
        <v>0</v>
      </c>
      <c r="EE1114">
        <v>0</v>
      </c>
      <c r="EF1114">
        <v>0</v>
      </c>
      <c r="EG1114" s="143">
        <v>0</v>
      </c>
      <c r="EH1114" s="143">
        <v>0</v>
      </c>
      <c r="EI1114" s="2">
        <v>0</v>
      </c>
      <c r="EK1114" t="str">
        <f t="shared" si="342"/>
        <v/>
      </c>
      <c r="EL1114" t="str">
        <f t="shared" si="343"/>
        <v/>
      </c>
      <c r="EM1114" s="2" t="str">
        <f t="shared" ref="EM1114:EM1177" si="358">IF(AND(AND(AND($DX1114=0,$DW1114=0),OR($EC1114=1,$EA1114=1)),SUM($EB1114:$EE1114)&gt;=2),"Technology approach","")</f>
        <v/>
      </c>
      <c r="EN1114" t="s">
        <v>446</v>
      </c>
      <c r="EP1114" t="str">
        <f>IF(ISNUMBER(BU1114),IF(ABS(BU1114-[4]QC_indicators!$B$2)&gt;3*[4]QC_indicators!$C$2,"C ratio",IF(ISNUMBER(BY1114),IF(ABS(BY1114-[4]QC_indicators!$B$1)&gt;3*[4]QC_indicators!$C$1,"DF","no"))),IF(ISNUMBER(BY1114),IF(ABS(BY1114-[4]QC_indicators!$B$1)&gt;3*[4]QC_indicators!$C$1,"DF","no")))</f>
        <v>no</v>
      </c>
      <c r="ET1114" s="266" t="s">
        <v>3275</v>
      </c>
    </row>
    <row r="1115" spans="1:150" hidden="1">
      <c r="A1115" s="1" t="s">
        <v>431</v>
      </c>
      <c r="B1115" t="s">
        <v>432</v>
      </c>
      <c r="C1115" t="s">
        <v>433</v>
      </c>
      <c r="D1115" t="s">
        <v>434</v>
      </c>
      <c r="E1115" t="s">
        <v>435</v>
      </c>
      <c r="F1115" t="s">
        <v>436</v>
      </c>
      <c r="G1115" t="s">
        <v>437</v>
      </c>
      <c r="H1115" t="s">
        <v>255</v>
      </c>
      <c r="I1115">
        <v>2000</v>
      </c>
      <c r="J1115">
        <v>174</v>
      </c>
      <c r="K1115" t="s">
        <v>438</v>
      </c>
      <c r="M1115" t="str">
        <f t="shared" si="310"/>
        <v>Borjesson_2000</v>
      </c>
      <c r="N1115" t="s">
        <v>223</v>
      </c>
      <c r="O1115" s="145" t="s">
        <v>224</v>
      </c>
      <c r="Q1115" t="s">
        <v>257</v>
      </c>
      <c r="R1115" s="255" t="s">
        <v>226</v>
      </c>
      <c r="S1115" s="1" t="s">
        <v>439</v>
      </c>
      <c r="T1115" t="s">
        <v>447</v>
      </c>
      <c r="U1115" t="s">
        <v>449</v>
      </c>
      <c r="V1115">
        <v>0</v>
      </c>
      <c r="W1115">
        <v>0</v>
      </c>
      <c r="X1115">
        <v>0</v>
      </c>
      <c r="Y1115">
        <v>0</v>
      </c>
      <c r="Z1115">
        <v>0</v>
      </c>
      <c r="AA1115">
        <v>0</v>
      </c>
      <c r="AB1115">
        <v>0</v>
      </c>
      <c r="AC1115">
        <v>0</v>
      </c>
      <c r="AD1115">
        <v>0</v>
      </c>
      <c r="AE1115">
        <v>0</v>
      </c>
      <c r="AF1115">
        <v>0</v>
      </c>
      <c r="AG1115">
        <v>0</v>
      </c>
      <c r="AH1115">
        <v>0</v>
      </c>
      <c r="AI1115">
        <v>0</v>
      </c>
      <c r="AJ1115">
        <v>0</v>
      </c>
      <c r="AK1115">
        <v>1</v>
      </c>
      <c r="AL1115">
        <v>0</v>
      </c>
      <c r="AM1115">
        <v>0</v>
      </c>
      <c r="AN1115">
        <v>0</v>
      </c>
      <c r="AO1115">
        <v>0</v>
      </c>
      <c r="AP1115">
        <v>0</v>
      </c>
      <c r="AQ1115">
        <v>0</v>
      </c>
      <c r="AR1115">
        <v>0</v>
      </c>
      <c r="AS1115">
        <v>0</v>
      </c>
      <c r="AT1115">
        <v>0</v>
      </c>
      <c r="AU1115">
        <v>0</v>
      </c>
      <c r="AV1115">
        <v>0</v>
      </c>
      <c r="AW1115">
        <v>0</v>
      </c>
      <c r="AX1115" s="141">
        <f t="shared" si="321"/>
        <v>1</v>
      </c>
      <c r="AY1115" s="141">
        <f t="shared" si="350"/>
        <v>1</v>
      </c>
      <c r="AZ1115">
        <f t="shared" si="351"/>
        <v>0</v>
      </c>
      <c r="BA1115">
        <f t="shared" si="352"/>
        <v>0</v>
      </c>
      <c r="BB1115">
        <f t="shared" si="353"/>
        <v>1</v>
      </c>
      <c r="BC1115">
        <f t="shared" si="354"/>
        <v>0</v>
      </c>
      <c r="BD1115">
        <f t="shared" si="355"/>
        <v>0</v>
      </c>
      <c r="BE1115" t="str">
        <f t="array" ref="BE1115">IF(AY1115=1,INDEX($V$7:$AL$7,MATCH(TRUE,INDEX($V1115:$AW1115&lt;&gt;0,),0)),IF(AY1115=0,INDEX($AM$7:$AW$7,MATCH(1,$AM1115:$AW1115,0)),IF(BF1115="Multiple strategies","mixed drivers",IF(BF1115="Supply chain","multiple supply","multiple silviculture"))))</f>
        <v>technologies/design switch</v>
      </c>
      <c r="BF1115" s="2" t="str" cm="1">
        <f t="array" ref="BF1115">IF(COUNTIF(AZ1115:BB1115,"&lt;&gt;0")=1,INDEX($V$4:$AW$4,MATCH(TRUE,INDEX($V1115:$AW1115&lt;&gt;0,),0)),IF(COUNTIF(AZ1115:BB1115,"&lt;&gt;0")=0,INDEX($AM$4:$AW$4,MATCH(1,$AM1115:$AW1115,0)),"Multiple strategies"))</f>
        <v>Technology</v>
      </c>
      <c r="BG1115" s="142" t="s">
        <v>230</v>
      </c>
      <c r="BH1115" t="s">
        <v>442</v>
      </c>
      <c r="BI1115" s="266" t="s">
        <v>3276</v>
      </c>
      <c r="BJ1115" s="143" t="s">
        <v>443</v>
      </c>
      <c r="BK1115">
        <v>0</v>
      </c>
      <c r="BL1115">
        <f t="shared" si="345"/>
        <v>132</v>
      </c>
      <c r="BM1115" s="143" t="e">
        <f t="shared" si="344"/>
        <v>#DIV/0!</v>
      </c>
      <c r="BN1115">
        <f t="shared" si="332"/>
        <v>132</v>
      </c>
      <c r="BO1115">
        <f t="shared" si="346"/>
        <v>573.16543638732094</v>
      </c>
      <c r="BP1115" t="s">
        <v>233</v>
      </c>
      <c r="BQ1115" s="260" t="s">
        <v>815</v>
      </c>
      <c r="BR1115" t="s">
        <v>444</v>
      </c>
      <c r="BS1115" s="141">
        <v>18</v>
      </c>
      <c r="BT1115" s="141">
        <v>53</v>
      </c>
      <c r="BU1115" s="144">
        <f t="shared" si="328"/>
        <v>2.9444444444444446</v>
      </c>
      <c r="BV1115">
        <f t="shared" si="327"/>
        <v>35</v>
      </c>
      <c r="BX1115">
        <f t="shared" si="347"/>
        <v>128.44999999999999</v>
      </c>
      <c r="BY1115">
        <f t="shared" si="319"/>
        <v>0.22410632575757572</v>
      </c>
      <c r="BZ1115" s="143">
        <v>0</v>
      </c>
      <c r="CA1115" s="143">
        <v>0</v>
      </c>
      <c r="CB1115" s="143">
        <v>0</v>
      </c>
      <c r="CC1115" s="143">
        <v>0</v>
      </c>
      <c r="CD1115" s="143">
        <v>0</v>
      </c>
      <c r="CE1115" s="143">
        <v>0</v>
      </c>
      <c r="CF1115" s="143">
        <v>0</v>
      </c>
      <c r="CG1115" s="143">
        <v>0</v>
      </c>
      <c r="CH1115" s="143">
        <v>0</v>
      </c>
      <c r="CI1115" s="143">
        <v>0</v>
      </c>
      <c r="CJ1115" s="143">
        <v>0</v>
      </c>
      <c r="CK1115" s="143">
        <v>0</v>
      </c>
      <c r="CL1115" s="143">
        <v>0</v>
      </c>
      <c r="CM1115">
        <v>0</v>
      </c>
      <c r="CN1115" t="str">
        <f t="shared" si="334"/>
        <v>refOK</v>
      </c>
      <c r="CO1115">
        <f t="shared" si="348"/>
        <v>0</v>
      </c>
      <c r="CP1115">
        <f t="shared" si="349"/>
        <v>132</v>
      </c>
      <c r="CQ1115">
        <f t="shared" si="331"/>
        <v>573.16543638732094</v>
      </c>
      <c r="CR1115">
        <f t="shared" si="329"/>
        <v>18</v>
      </c>
      <c r="CS1115">
        <f t="shared" si="330"/>
        <v>53</v>
      </c>
      <c r="CT1115">
        <f t="shared" si="322"/>
        <v>128.44999999999999</v>
      </c>
      <c r="CU1115">
        <f t="shared" si="312"/>
        <v>0.22410632575757572</v>
      </c>
      <c r="CV1115" s="2">
        <f t="shared" si="323"/>
        <v>1.9444444444444444</v>
      </c>
      <c r="CW1115" s="1" t="s">
        <v>264</v>
      </c>
      <c r="CX1115" t="str">
        <f t="shared" si="356"/>
        <v>loc</v>
      </c>
      <c r="CY1115" t="s">
        <v>445</v>
      </c>
      <c r="DB1115">
        <v>300</v>
      </c>
      <c r="DC1115" t="str">
        <f t="shared" si="357"/>
        <v>+100</v>
      </c>
      <c r="DD1115">
        <v>0</v>
      </c>
      <c r="DE1115">
        <v>0</v>
      </c>
      <c r="DF1115">
        <v>0</v>
      </c>
      <c r="DG1115">
        <v>1</v>
      </c>
      <c r="DI1115">
        <f t="shared" si="326"/>
        <v>1</v>
      </c>
      <c r="DJ1115" t="str">
        <f t="shared" si="311"/>
        <v>TimberInput</v>
      </c>
      <c r="DK1115">
        <f t="shared" si="338"/>
        <v>0</v>
      </c>
      <c r="DL1115">
        <f t="shared" si="339"/>
        <v>0</v>
      </c>
      <c r="DM1115">
        <f t="shared" si="340"/>
        <v>0</v>
      </c>
      <c r="DN1115" t="str">
        <f t="shared" si="341"/>
        <v>Timber</v>
      </c>
      <c r="DO1115">
        <v>1</v>
      </c>
      <c r="DP1115" s="143">
        <v>0</v>
      </c>
      <c r="DQ1115" s="143">
        <v>0</v>
      </c>
      <c r="DR1115" s="143">
        <v>0</v>
      </c>
      <c r="DS1115">
        <v>0</v>
      </c>
      <c r="DT1115">
        <f t="shared" si="315"/>
        <v>1</v>
      </c>
      <c r="DU1115" s="143" t="str">
        <f t="shared" ref="DU1115:DU1178" si="359">IF(DO1115=1,"self-calculated DF",IF(DP1115=1,"external DF used","explicit C balance"))</f>
        <v>self-calculated DF</v>
      </c>
      <c r="DV1115">
        <v>0</v>
      </c>
      <c r="DW1115" s="143">
        <v>0</v>
      </c>
      <c r="DX1115" s="143">
        <v>1</v>
      </c>
      <c r="DY1115" s="143">
        <v>1</v>
      </c>
      <c r="DZ1115">
        <v>1</v>
      </c>
      <c r="EA1115" s="143">
        <v>1</v>
      </c>
      <c r="EB1115">
        <v>0</v>
      </c>
      <c r="EC1115" s="143">
        <v>1</v>
      </c>
      <c r="ED1115" s="143">
        <v>0</v>
      </c>
      <c r="EE1115">
        <v>0</v>
      </c>
      <c r="EF1115">
        <v>0</v>
      </c>
      <c r="EG1115" s="143">
        <v>0</v>
      </c>
      <c r="EH1115" s="143">
        <v>0</v>
      </c>
      <c r="EI1115" s="2">
        <v>0</v>
      </c>
      <c r="EK1115" t="str">
        <f t="shared" si="342"/>
        <v/>
      </c>
      <c r="EL1115" t="str">
        <f t="shared" si="343"/>
        <v/>
      </c>
      <c r="EM1115" s="2" t="str">
        <f t="shared" si="358"/>
        <v/>
      </c>
      <c r="EN1115" t="s">
        <v>446</v>
      </c>
      <c r="EP1115" t="str">
        <f>IF(ISNUMBER(BU1115),IF(ABS(BU1115-[4]QC_indicators!$B$2)&gt;3*[4]QC_indicators!$C$2,"C ratio",IF(ISNUMBER(BY1115),IF(ABS(BY1115-[4]QC_indicators!$B$1)&gt;3*[4]QC_indicators!$C$1,"DF","no"))),IF(ISNUMBER(BY1115),IF(ABS(BY1115-[4]QC_indicators!$B$1)&gt;3*[4]QC_indicators!$C$1,"DF","no")))</f>
        <v>no</v>
      </c>
      <c r="ET1115" s="266" t="s">
        <v>3275</v>
      </c>
    </row>
    <row r="1116" spans="1:150" hidden="1">
      <c r="A1116" s="1" t="s">
        <v>431</v>
      </c>
      <c r="B1116" t="s">
        <v>432</v>
      </c>
      <c r="C1116" t="s">
        <v>433</v>
      </c>
      <c r="D1116" t="s">
        <v>434</v>
      </c>
      <c r="E1116" t="s">
        <v>435</v>
      </c>
      <c r="F1116" t="s">
        <v>436</v>
      </c>
      <c r="G1116" t="s">
        <v>437</v>
      </c>
      <c r="H1116" t="s">
        <v>255</v>
      </c>
      <c r="I1116">
        <v>2000</v>
      </c>
      <c r="J1116">
        <v>174</v>
      </c>
      <c r="K1116" t="s">
        <v>438</v>
      </c>
      <c r="M1116" t="str">
        <f t="shared" si="310"/>
        <v>Borjesson_2000</v>
      </c>
      <c r="N1116" t="s">
        <v>223</v>
      </c>
      <c r="O1116" s="145" t="s">
        <v>224</v>
      </c>
      <c r="Q1116" t="s">
        <v>257</v>
      </c>
      <c r="R1116" s="255" t="s">
        <v>226</v>
      </c>
      <c r="S1116" s="1" t="s">
        <v>439</v>
      </c>
      <c r="T1116" t="s">
        <v>448</v>
      </c>
      <c r="U1116" t="s">
        <v>449</v>
      </c>
      <c r="V1116">
        <v>0</v>
      </c>
      <c r="W1116">
        <v>0</v>
      </c>
      <c r="X1116">
        <v>0</v>
      </c>
      <c r="Y1116">
        <v>0</v>
      </c>
      <c r="Z1116">
        <v>0</v>
      </c>
      <c r="AA1116">
        <v>0</v>
      </c>
      <c r="AB1116">
        <v>0</v>
      </c>
      <c r="AC1116">
        <v>0</v>
      </c>
      <c r="AD1116">
        <v>0</v>
      </c>
      <c r="AE1116">
        <v>0</v>
      </c>
      <c r="AF1116">
        <v>0</v>
      </c>
      <c r="AG1116">
        <v>0</v>
      </c>
      <c r="AH1116">
        <v>0</v>
      </c>
      <c r="AI1116">
        <v>0</v>
      </c>
      <c r="AJ1116">
        <v>0</v>
      </c>
      <c r="AK1116">
        <v>1</v>
      </c>
      <c r="AL1116">
        <v>0</v>
      </c>
      <c r="AM1116">
        <v>0</v>
      </c>
      <c r="AN1116">
        <v>0</v>
      </c>
      <c r="AO1116">
        <v>0</v>
      </c>
      <c r="AP1116">
        <v>0</v>
      </c>
      <c r="AQ1116">
        <v>0</v>
      </c>
      <c r="AR1116">
        <v>0</v>
      </c>
      <c r="AS1116">
        <v>0</v>
      </c>
      <c r="AT1116">
        <v>0</v>
      </c>
      <c r="AU1116">
        <v>0</v>
      </c>
      <c r="AV1116">
        <v>0</v>
      </c>
      <c r="AW1116">
        <v>0</v>
      </c>
      <c r="AX1116" s="141">
        <f t="shared" si="321"/>
        <v>1</v>
      </c>
      <c r="AY1116" s="141">
        <f t="shared" si="350"/>
        <v>1</v>
      </c>
      <c r="AZ1116">
        <f t="shared" si="351"/>
        <v>0</v>
      </c>
      <c r="BA1116">
        <f t="shared" si="352"/>
        <v>0</v>
      </c>
      <c r="BB1116">
        <f t="shared" si="353"/>
        <v>1</v>
      </c>
      <c r="BC1116">
        <f t="shared" si="354"/>
        <v>0</v>
      </c>
      <c r="BD1116">
        <f t="shared" si="355"/>
        <v>0</v>
      </c>
      <c r="BE1116" t="str">
        <f t="array" ref="BE1116">IF(AY1116=1,INDEX($V$7:$AL$7,MATCH(TRUE,INDEX($V1116:$AW1116&lt;&gt;0,),0)),IF(AY1116=0,INDEX($AM$7:$AW$7,MATCH(1,$AM1116:$AW1116,0)),IF(BF1116="Multiple strategies","mixed drivers",IF(BF1116="Supply chain","multiple supply","multiple silviculture"))))</f>
        <v>technologies/design switch</v>
      </c>
      <c r="BF1116" s="2" t="str" cm="1">
        <f t="array" ref="BF1116">IF(COUNTIF(AZ1116:BB1116,"&lt;&gt;0")=1,INDEX($V$4:$AW$4,MATCH(TRUE,INDEX($V1116:$AW1116&lt;&gt;0,),0)),IF(COUNTIF(AZ1116:BB1116,"&lt;&gt;0")=0,INDEX($AM$4:$AW$4,MATCH(1,$AM1116:$AW1116,0)),"Multiple strategies"))</f>
        <v>Technology</v>
      </c>
      <c r="BG1116" s="142" t="s">
        <v>230</v>
      </c>
      <c r="BH1116" t="s">
        <v>442</v>
      </c>
      <c r="BI1116" s="266" t="s">
        <v>3276</v>
      </c>
      <c r="BJ1116" s="143" t="s">
        <v>443</v>
      </c>
      <c r="BK1116">
        <v>0</v>
      </c>
      <c r="BL1116">
        <f t="shared" si="345"/>
        <v>132</v>
      </c>
      <c r="BM1116" s="143" t="e">
        <f t="shared" si="344"/>
        <v>#DIV/0!</v>
      </c>
      <c r="BN1116">
        <f t="shared" si="332"/>
        <v>132</v>
      </c>
      <c r="BO1116">
        <f t="shared" si="346"/>
        <v>573.16543638732094</v>
      </c>
      <c r="BP1116" t="s">
        <v>233</v>
      </c>
      <c r="BQ1116" s="260" t="s">
        <v>815</v>
      </c>
      <c r="BR1116" t="s">
        <v>444</v>
      </c>
      <c r="BS1116" s="141">
        <v>6</v>
      </c>
      <c r="BT1116" s="141">
        <v>53</v>
      </c>
      <c r="BU1116" s="144">
        <f t="shared" si="328"/>
        <v>8.8333333333333339</v>
      </c>
      <c r="BV1116">
        <f t="shared" si="327"/>
        <v>47</v>
      </c>
      <c r="BX1116">
        <f t="shared" si="347"/>
        <v>172.49</v>
      </c>
      <c r="BY1116">
        <f t="shared" si="319"/>
        <v>0.30094278030303029</v>
      </c>
      <c r="BZ1116" s="143">
        <v>0</v>
      </c>
      <c r="CA1116" s="143">
        <v>0</v>
      </c>
      <c r="CB1116" s="143">
        <v>0</v>
      </c>
      <c r="CC1116" s="143">
        <v>0</v>
      </c>
      <c r="CD1116" s="143">
        <v>0</v>
      </c>
      <c r="CE1116" s="143">
        <v>0</v>
      </c>
      <c r="CF1116" s="143">
        <v>0</v>
      </c>
      <c r="CG1116" s="143">
        <v>0</v>
      </c>
      <c r="CH1116" s="143">
        <v>0</v>
      </c>
      <c r="CI1116" s="143">
        <v>0</v>
      </c>
      <c r="CJ1116" s="143">
        <v>0</v>
      </c>
      <c r="CK1116" s="143">
        <v>0</v>
      </c>
      <c r="CL1116" s="143">
        <v>0</v>
      </c>
      <c r="CM1116">
        <v>0</v>
      </c>
      <c r="CN1116" t="str">
        <f t="shared" si="334"/>
        <v>refOK</v>
      </c>
      <c r="CO1116">
        <f t="shared" si="348"/>
        <v>0</v>
      </c>
      <c r="CP1116">
        <f t="shared" si="349"/>
        <v>132</v>
      </c>
      <c r="CQ1116">
        <f t="shared" si="331"/>
        <v>573.16543638732094</v>
      </c>
      <c r="CR1116">
        <f t="shared" si="329"/>
        <v>6</v>
      </c>
      <c r="CS1116">
        <f t="shared" si="330"/>
        <v>53</v>
      </c>
      <c r="CT1116">
        <f t="shared" si="322"/>
        <v>172.49</v>
      </c>
      <c r="CU1116">
        <f t="shared" si="312"/>
        <v>0.30094278030303029</v>
      </c>
      <c r="CV1116" s="2">
        <f t="shared" si="323"/>
        <v>7.833333333333333</v>
      </c>
      <c r="CW1116" s="1" t="s">
        <v>264</v>
      </c>
      <c r="CX1116" t="str">
        <f t="shared" si="356"/>
        <v>loc</v>
      </c>
      <c r="CY1116" t="s">
        <v>445</v>
      </c>
      <c r="DB1116">
        <v>300</v>
      </c>
      <c r="DC1116" t="str">
        <f t="shared" si="357"/>
        <v>+100</v>
      </c>
      <c r="DD1116">
        <v>0</v>
      </c>
      <c r="DE1116">
        <v>0</v>
      </c>
      <c r="DF1116">
        <v>0</v>
      </c>
      <c r="DG1116">
        <v>1</v>
      </c>
      <c r="DI1116">
        <f t="shared" si="326"/>
        <v>1</v>
      </c>
      <c r="DJ1116" t="str">
        <f t="shared" si="311"/>
        <v>TimberInput</v>
      </c>
      <c r="DK1116">
        <f t="shared" si="338"/>
        <v>0</v>
      </c>
      <c r="DL1116">
        <f t="shared" si="339"/>
        <v>0</v>
      </c>
      <c r="DM1116">
        <f t="shared" si="340"/>
        <v>0</v>
      </c>
      <c r="DN1116" t="str">
        <f t="shared" si="341"/>
        <v>Timber</v>
      </c>
      <c r="DO1116">
        <v>1</v>
      </c>
      <c r="DP1116" s="143">
        <v>0</v>
      </c>
      <c r="DQ1116" s="143">
        <v>0</v>
      </c>
      <c r="DR1116" s="143">
        <v>0</v>
      </c>
      <c r="DS1116">
        <v>0</v>
      </c>
      <c r="DT1116">
        <f t="shared" si="315"/>
        <v>1</v>
      </c>
      <c r="DU1116" s="143" t="str">
        <f t="shared" si="359"/>
        <v>self-calculated DF</v>
      </c>
      <c r="DV1116">
        <v>0</v>
      </c>
      <c r="DW1116" s="143">
        <v>0</v>
      </c>
      <c r="DX1116" s="143">
        <v>1</v>
      </c>
      <c r="DY1116" s="143">
        <v>1</v>
      </c>
      <c r="DZ1116">
        <v>1</v>
      </c>
      <c r="EA1116" s="143">
        <v>1</v>
      </c>
      <c r="EB1116">
        <v>0</v>
      </c>
      <c r="EC1116" s="143">
        <v>1</v>
      </c>
      <c r="ED1116" s="143">
        <v>0</v>
      </c>
      <c r="EE1116">
        <v>0</v>
      </c>
      <c r="EF1116">
        <v>0</v>
      </c>
      <c r="EG1116" s="143">
        <v>0</v>
      </c>
      <c r="EH1116" s="143">
        <v>0</v>
      </c>
      <c r="EI1116" s="2">
        <v>0</v>
      </c>
      <c r="EK1116" t="str">
        <f t="shared" si="342"/>
        <v/>
      </c>
      <c r="EL1116" t="str">
        <f t="shared" si="343"/>
        <v/>
      </c>
      <c r="EM1116" s="2" t="str">
        <f t="shared" si="358"/>
        <v/>
      </c>
      <c r="EN1116" t="s">
        <v>446</v>
      </c>
      <c r="EP1116" t="str">
        <f>IF(ISNUMBER(BU1116),IF(ABS(BU1116-[4]QC_indicators!$B$2)&gt;3*[4]QC_indicators!$C$2,"C ratio",IF(ISNUMBER(BY1116),IF(ABS(BY1116-[4]QC_indicators!$B$1)&gt;3*[4]QC_indicators!$C$1,"DF","no"))),IF(ISNUMBER(BY1116),IF(ABS(BY1116-[4]QC_indicators!$B$1)&gt;3*[4]QC_indicators!$C$1,"DF","no")))</f>
        <v>no</v>
      </c>
      <c r="ET1116" s="266" t="s">
        <v>3275</v>
      </c>
    </row>
    <row r="1117" spans="1:150" hidden="1">
      <c r="A1117" s="1" t="s">
        <v>431</v>
      </c>
      <c r="B1117" t="s">
        <v>432</v>
      </c>
      <c r="C1117" t="s">
        <v>433</v>
      </c>
      <c r="D1117" t="s">
        <v>434</v>
      </c>
      <c r="E1117" t="s">
        <v>435</v>
      </c>
      <c r="F1117" t="s">
        <v>436</v>
      </c>
      <c r="G1117" t="s">
        <v>437</v>
      </c>
      <c r="H1117" t="s">
        <v>255</v>
      </c>
      <c r="I1117">
        <v>2000</v>
      </c>
      <c r="J1117">
        <v>174</v>
      </c>
      <c r="K1117" t="s">
        <v>438</v>
      </c>
      <c r="M1117" t="str">
        <f t="shared" si="310"/>
        <v>Borjesson_2000</v>
      </c>
      <c r="N1117" t="s">
        <v>223</v>
      </c>
      <c r="O1117" s="145" t="s">
        <v>224</v>
      </c>
      <c r="Q1117" t="s">
        <v>257</v>
      </c>
      <c r="R1117" s="255" t="s">
        <v>226</v>
      </c>
      <c r="S1117" s="1" t="s">
        <v>439</v>
      </c>
      <c r="T1117" t="s">
        <v>450</v>
      </c>
      <c r="U1117" t="s">
        <v>449</v>
      </c>
      <c r="V1117">
        <v>0</v>
      </c>
      <c r="W1117">
        <v>0</v>
      </c>
      <c r="X1117">
        <v>0</v>
      </c>
      <c r="Y1117">
        <v>0</v>
      </c>
      <c r="Z1117">
        <v>0</v>
      </c>
      <c r="AA1117">
        <v>0</v>
      </c>
      <c r="AB1117">
        <v>0</v>
      </c>
      <c r="AC1117">
        <v>0</v>
      </c>
      <c r="AD1117">
        <v>0</v>
      </c>
      <c r="AE1117">
        <v>0</v>
      </c>
      <c r="AF1117">
        <v>0</v>
      </c>
      <c r="AG1117">
        <v>0</v>
      </c>
      <c r="AH1117">
        <v>0</v>
      </c>
      <c r="AI1117">
        <v>0</v>
      </c>
      <c r="AJ1117">
        <v>0</v>
      </c>
      <c r="AK1117">
        <v>1</v>
      </c>
      <c r="AL1117">
        <v>0</v>
      </c>
      <c r="AM1117">
        <v>0</v>
      </c>
      <c r="AN1117">
        <v>0</v>
      </c>
      <c r="AO1117">
        <v>0</v>
      </c>
      <c r="AP1117">
        <v>0</v>
      </c>
      <c r="AQ1117">
        <v>0</v>
      </c>
      <c r="AR1117">
        <v>0</v>
      </c>
      <c r="AS1117">
        <v>0</v>
      </c>
      <c r="AT1117">
        <v>0</v>
      </c>
      <c r="AU1117">
        <v>0</v>
      </c>
      <c r="AV1117">
        <v>0</v>
      </c>
      <c r="AW1117">
        <v>0</v>
      </c>
      <c r="AX1117" s="141">
        <f t="shared" si="321"/>
        <v>1</v>
      </c>
      <c r="AY1117" s="141">
        <f t="shared" si="350"/>
        <v>1</v>
      </c>
      <c r="AZ1117">
        <f t="shared" si="351"/>
        <v>0</v>
      </c>
      <c r="BA1117">
        <f t="shared" si="352"/>
        <v>0</v>
      </c>
      <c r="BB1117">
        <f t="shared" si="353"/>
        <v>1</v>
      </c>
      <c r="BC1117">
        <f t="shared" si="354"/>
        <v>0</v>
      </c>
      <c r="BD1117">
        <f t="shared" si="355"/>
        <v>0</v>
      </c>
      <c r="BE1117" t="str">
        <f t="array" ref="BE1117">IF(AY1117=1,INDEX($V$7:$AL$7,MATCH(TRUE,INDEX($V1117:$AW1117&lt;&gt;0,),0)),IF(AY1117=0,INDEX($AM$7:$AW$7,MATCH(1,$AM1117:$AW1117,0)),IF(BF1117="Multiple strategies","mixed drivers",IF(BF1117="Supply chain","multiple supply","multiple silviculture"))))</f>
        <v>technologies/design switch</v>
      </c>
      <c r="BF1117" s="2" t="str" cm="1">
        <f t="array" ref="BF1117">IF(COUNTIF(AZ1117:BB1117,"&lt;&gt;0")=1,INDEX($V$4:$AW$4,MATCH(TRUE,INDEX($V1117:$AW1117&lt;&gt;0,),0)),IF(COUNTIF(AZ1117:BB1117,"&lt;&gt;0")=0,INDEX($AM$4:$AW$4,MATCH(1,$AM1117:$AW1117,0)),"Multiple strategies"))</f>
        <v>Technology</v>
      </c>
      <c r="BG1117" s="142" t="s">
        <v>230</v>
      </c>
      <c r="BH1117" t="s">
        <v>442</v>
      </c>
      <c r="BI1117" s="266" t="s">
        <v>3276</v>
      </c>
      <c r="BJ1117" s="143" t="s">
        <v>443</v>
      </c>
      <c r="BK1117">
        <v>0</v>
      </c>
      <c r="BL1117">
        <f t="shared" si="345"/>
        <v>132</v>
      </c>
      <c r="BM1117" s="143" t="e">
        <f t="shared" si="344"/>
        <v>#DIV/0!</v>
      </c>
      <c r="BN1117">
        <f t="shared" si="332"/>
        <v>132</v>
      </c>
      <c r="BO1117">
        <f t="shared" si="346"/>
        <v>573.16543638732094</v>
      </c>
      <c r="BP1117" t="s">
        <v>233</v>
      </c>
      <c r="BQ1117" s="260" t="s">
        <v>815</v>
      </c>
      <c r="BR1117" t="s">
        <v>444</v>
      </c>
      <c r="BS1117" s="141">
        <v>3</v>
      </c>
      <c r="BT1117" s="141">
        <v>53</v>
      </c>
      <c r="BU1117" s="144">
        <f t="shared" si="328"/>
        <v>17.666666666666668</v>
      </c>
      <c r="BV1117">
        <f t="shared" si="327"/>
        <v>50</v>
      </c>
      <c r="BX1117">
        <f t="shared" si="347"/>
        <v>183.5</v>
      </c>
      <c r="BY1117">
        <f t="shared" si="319"/>
        <v>0.32015189393939392</v>
      </c>
      <c r="BZ1117" s="143">
        <v>0</v>
      </c>
      <c r="CA1117" s="143">
        <v>0</v>
      </c>
      <c r="CB1117" s="143">
        <v>0</v>
      </c>
      <c r="CC1117" s="143">
        <v>0</v>
      </c>
      <c r="CD1117" s="143">
        <v>0</v>
      </c>
      <c r="CE1117" s="143">
        <v>0</v>
      </c>
      <c r="CF1117" s="143">
        <v>0</v>
      </c>
      <c r="CG1117" s="143">
        <v>0</v>
      </c>
      <c r="CH1117" s="143">
        <v>0</v>
      </c>
      <c r="CI1117" s="143">
        <v>0</v>
      </c>
      <c r="CJ1117" s="143">
        <v>0</v>
      </c>
      <c r="CK1117" s="143">
        <v>0</v>
      </c>
      <c r="CL1117" s="143">
        <v>0</v>
      </c>
      <c r="CM1117">
        <v>0</v>
      </c>
      <c r="CN1117" t="str">
        <f t="shared" si="334"/>
        <v>refOK</v>
      </c>
      <c r="CO1117">
        <f t="shared" si="348"/>
        <v>0</v>
      </c>
      <c r="CP1117">
        <f t="shared" si="349"/>
        <v>132</v>
      </c>
      <c r="CQ1117">
        <f t="shared" si="331"/>
        <v>573.16543638732094</v>
      </c>
      <c r="CR1117">
        <f t="shared" si="329"/>
        <v>3</v>
      </c>
      <c r="CS1117">
        <f t="shared" si="330"/>
        <v>53</v>
      </c>
      <c r="CT1117">
        <f t="shared" si="322"/>
        <v>183.5</v>
      </c>
      <c r="CU1117">
        <f t="shared" si="312"/>
        <v>0.32015189393939392</v>
      </c>
      <c r="CV1117" s="2">
        <f t="shared" si="323"/>
        <v>16.666666666666668</v>
      </c>
      <c r="CW1117" s="1" t="s">
        <v>264</v>
      </c>
      <c r="CX1117" t="str">
        <f t="shared" si="356"/>
        <v>loc</v>
      </c>
      <c r="CY1117" t="s">
        <v>445</v>
      </c>
      <c r="DB1117">
        <v>300</v>
      </c>
      <c r="DC1117" t="str">
        <f t="shared" si="357"/>
        <v>+100</v>
      </c>
      <c r="DD1117">
        <v>0</v>
      </c>
      <c r="DE1117">
        <v>0</v>
      </c>
      <c r="DF1117">
        <v>0</v>
      </c>
      <c r="DG1117">
        <v>1</v>
      </c>
      <c r="DI1117">
        <f t="shared" si="326"/>
        <v>1</v>
      </c>
      <c r="DJ1117" t="str">
        <f t="shared" si="311"/>
        <v>TimberInput</v>
      </c>
      <c r="DK1117">
        <f t="shared" si="338"/>
        <v>0</v>
      </c>
      <c r="DL1117">
        <f t="shared" si="339"/>
        <v>0</v>
      </c>
      <c r="DM1117">
        <f t="shared" si="340"/>
        <v>0</v>
      </c>
      <c r="DN1117" t="str">
        <f t="shared" si="341"/>
        <v>Timber</v>
      </c>
      <c r="DO1117">
        <v>1</v>
      </c>
      <c r="DP1117" s="143">
        <v>0</v>
      </c>
      <c r="DQ1117" s="143">
        <v>0</v>
      </c>
      <c r="DR1117" s="143">
        <v>0</v>
      </c>
      <c r="DS1117">
        <v>0</v>
      </c>
      <c r="DT1117">
        <f t="shared" si="315"/>
        <v>1</v>
      </c>
      <c r="DU1117" s="143" t="str">
        <f t="shared" si="359"/>
        <v>self-calculated DF</v>
      </c>
      <c r="DV1117">
        <v>0</v>
      </c>
      <c r="DW1117" s="143">
        <v>0</v>
      </c>
      <c r="DX1117" s="143">
        <v>1</v>
      </c>
      <c r="DY1117" s="143">
        <v>1</v>
      </c>
      <c r="DZ1117">
        <v>1</v>
      </c>
      <c r="EA1117" s="143">
        <v>1</v>
      </c>
      <c r="EB1117">
        <v>0</v>
      </c>
      <c r="EC1117" s="143">
        <v>1</v>
      </c>
      <c r="ED1117" s="143">
        <v>0</v>
      </c>
      <c r="EE1117">
        <v>0</v>
      </c>
      <c r="EF1117">
        <v>0</v>
      </c>
      <c r="EG1117" s="143">
        <v>0</v>
      </c>
      <c r="EH1117" s="143">
        <v>0</v>
      </c>
      <c r="EI1117" s="2">
        <v>0</v>
      </c>
      <c r="EK1117" t="str">
        <f t="shared" si="342"/>
        <v/>
      </c>
      <c r="EL1117" t="str">
        <f t="shared" si="343"/>
        <v/>
      </c>
      <c r="EM1117" s="2" t="str">
        <f t="shared" si="358"/>
        <v/>
      </c>
      <c r="EN1117" t="s">
        <v>446</v>
      </c>
      <c r="EP1117" t="str">
        <f>IF(ISNUMBER(BU1117),IF(ABS(BU1117-[4]QC_indicators!$B$2)&gt;3*[4]QC_indicators!$C$2,"C ratio",IF(ISNUMBER(BY1117),IF(ABS(BY1117-[4]QC_indicators!$B$1)&gt;3*[4]QC_indicators!$C$1,"DF","no"))),IF(ISNUMBER(BY1117),IF(ABS(BY1117-[4]QC_indicators!$B$1)&gt;3*[4]QC_indicators!$C$1,"DF","no")))</f>
        <v>no</v>
      </c>
      <c r="EQ1117" t="s">
        <v>451</v>
      </c>
      <c r="ET1117" s="266" t="s">
        <v>3275</v>
      </c>
    </row>
    <row r="1118" spans="1:150" hidden="1">
      <c r="A1118" s="1" t="s">
        <v>431</v>
      </c>
      <c r="B1118" t="s">
        <v>432</v>
      </c>
      <c r="C1118" t="s">
        <v>433</v>
      </c>
      <c r="D1118" t="s">
        <v>434</v>
      </c>
      <c r="E1118" t="s">
        <v>435</v>
      </c>
      <c r="F1118" t="s">
        <v>436</v>
      </c>
      <c r="G1118" t="s">
        <v>437</v>
      </c>
      <c r="H1118" t="s">
        <v>255</v>
      </c>
      <c r="I1118">
        <v>2000</v>
      </c>
      <c r="J1118">
        <v>174</v>
      </c>
      <c r="K1118" t="s">
        <v>438</v>
      </c>
      <c r="M1118" t="str">
        <f t="shared" si="310"/>
        <v>Borjesson_2000</v>
      </c>
      <c r="N1118" t="s">
        <v>223</v>
      </c>
      <c r="O1118" s="145" t="s">
        <v>224</v>
      </c>
      <c r="Q1118" t="s">
        <v>257</v>
      </c>
      <c r="R1118" s="255" t="s">
        <v>226</v>
      </c>
      <c r="S1118" s="1" t="s">
        <v>439</v>
      </c>
      <c r="T1118" t="s">
        <v>452</v>
      </c>
      <c r="U1118" t="s">
        <v>453</v>
      </c>
      <c r="V1118">
        <v>0</v>
      </c>
      <c r="W1118">
        <v>0</v>
      </c>
      <c r="X1118">
        <v>0</v>
      </c>
      <c r="Y1118">
        <v>0</v>
      </c>
      <c r="Z1118">
        <v>0</v>
      </c>
      <c r="AA1118">
        <v>0</v>
      </c>
      <c r="AB1118">
        <v>0</v>
      </c>
      <c r="AC1118">
        <v>0</v>
      </c>
      <c r="AD1118">
        <v>0</v>
      </c>
      <c r="AE1118">
        <v>0</v>
      </c>
      <c r="AF1118">
        <v>0</v>
      </c>
      <c r="AG1118">
        <v>0</v>
      </c>
      <c r="AH1118">
        <v>0</v>
      </c>
      <c r="AI1118">
        <v>0</v>
      </c>
      <c r="AJ1118">
        <v>0</v>
      </c>
      <c r="AK1118">
        <v>1</v>
      </c>
      <c r="AL1118">
        <v>0</v>
      </c>
      <c r="AM1118">
        <v>0</v>
      </c>
      <c r="AN1118">
        <v>0</v>
      </c>
      <c r="AO1118">
        <v>0</v>
      </c>
      <c r="AP1118">
        <v>0</v>
      </c>
      <c r="AQ1118">
        <v>0</v>
      </c>
      <c r="AR1118">
        <v>0</v>
      </c>
      <c r="AS1118">
        <v>0</v>
      </c>
      <c r="AT1118">
        <v>0</v>
      </c>
      <c r="AU1118">
        <v>0</v>
      </c>
      <c r="AV1118">
        <v>0</v>
      </c>
      <c r="AW1118">
        <v>0</v>
      </c>
      <c r="AX1118" s="141">
        <f t="shared" si="321"/>
        <v>1</v>
      </c>
      <c r="AY1118" s="141">
        <f t="shared" si="350"/>
        <v>1</v>
      </c>
      <c r="AZ1118">
        <f t="shared" si="351"/>
        <v>0</v>
      </c>
      <c r="BA1118">
        <f t="shared" si="352"/>
        <v>0</v>
      </c>
      <c r="BB1118">
        <f t="shared" si="353"/>
        <v>1</v>
      </c>
      <c r="BC1118">
        <f t="shared" si="354"/>
        <v>0</v>
      </c>
      <c r="BD1118">
        <f t="shared" si="355"/>
        <v>0</v>
      </c>
      <c r="BE1118" t="str">
        <f t="array" ref="BE1118">IF(AY1118=1,INDEX($V$7:$AL$7,MATCH(TRUE,INDEX($V1118:$AW1118&lt;&gt;0,),0)),IF(AY1118=0,INDEX($AM$7:$AW$7,MATCH(1,$AM1118:$AW1118,0)),IF(BF1118="Multiple strategies","mixed drivers",IF(BF1118="Supply chain","multiple supply","multiple silviculture"))))</f>
        <v>technologies/design switch</v>
      </c>
      <c r="BF1118" s="2" t="str" cm="1">
        <f t="array" ref="BF1118">IF(COUNTIF(AZ1118:BB1118,"&lt;&gt;0")=1,INDEX($V$4:$AW$4,MATCH(TRUE,INDEX($V1118:$AW1118&lt;&gt;0,),0)),IF(COUNTIF(AZ1118:BB1118,"&lt;&gt;0")=0,INDEX($AM$4:$AW$4,MATCH(1,$AM1118:$AW1118,0)),"Multiple strategies"))</f>
        <v>Technology</v>
      </c>
      <c r="BG1118" s="142" t="s">
        <v>230</v>
      </c>
      <c r="BH1118" t="s">
        <v>442</v>
      </c>
      <c r="BI1118" s="266" t="s">
        <v>3276</v>
      </c>
      <c r="BJ1118" s="143" t="s">
        <v>443</v>
      </c>
      <c r="BK1118">
        <v>0</v>
      </c>
      <c r="BL1118">
        <f t="shared" si="345"/>
        <v>132</v>
      </c>
      <c r="BM1118" s="143" t="e">
        <f t="shared" si="344"/>
        <v>#DIV/0!</v>
      </c>
      <c r="BN1118">
        <f t="shared" si="332"/>
        <v>132</v>
      </c>
      <c r="BO1118">
        <f t="shared" si="346"/>
        <v>573.16543638732094</v>
      </c>
      <c r="BP1118" t="s">
        <v>233</v>
      </c>
      <c r="BQ1118" s="260" t="s">
        <v>815</v>
      </c>
      <c r="BR1118" t="s">
        <v>444</v>
      </c>
      <c r="BS1118" s="141">
        <v>25</v>
      </c>
      <c r="BT1118" s="141">
        <v>84</v>
      </c>
      <c r="BU1118" s="144">
        <f t="shared" si="328"/>
        <v>3.36</v>
      </c>
      <c r="BV1118">
        <f t="shared" si="327"/>
        <v>59</v>
      </c>
      <c r="BX1118">
        <f t="shared" si="347"/>
        <v>216.53</v>
      </c>
      <c r="BY1118">
        <f t="shared" si="319"/>
        <v>0.3777792348484848</v>
      </c>
      <c r="BZ1118" s="143">
        <v>0</v>
      </c>
      <c r="CA1118" s="143">
        <v>0</v>
      </c>
      <c r="CB1118" s="143">
        <v>0</v>
      </c>
      <c r="CC1118" s="143">
        <v>0</v>
      </c>
      <c r="CD1118" s="143">
        <v>0</v>
      </c>
      <c r="CE1118" s="143">
        <v>0</v>
      </c>
      <c r="CF1118" s="143">
        <v>0</v>
      </c>
      <c r="CG1118" s="143">
        <v>0</v>
      </c>
      <c r="CH1118" s="143">
        <v>0</v>
      </c>
      <c r="CI1118" s="143">
        <v>0</v>
      </c>
      <c r="CJ1118" s="143">
        <v>0</v>
      </c>
      <c r="CK1118" s="143">
        <v>0</v>
      </c>
      <c r="CL1118" s="143">
        <v>0</v>
      </c>
      <c r="CM1118">
        <v>0</v>
      </c>
      <c r="CN1118" t="str">
        <f t="shared" si="334"/>
        <v>refOK</v>
      </c>
      <c r="CO1118">
        <f t="shared" si="348"/>
        <v>0</v>
      </c>
      <c r="CP1118">
        <f t="shared" si="349"/>
        <v>132</v>
      </c>
      <c r="CQ1118">
        <f t="shared" si="331"/>
        <v>573.16543638732094</v>
      </c>
      <c r="CR1118">
        <f t="shared" si="329"/>
        <v>25</v>
      </c>
      <c r="CS1118">
        <f t="shared" si="330"/>
        <v>84</v>
      </c>
      <c r="CT1118">
        <f t="shared" si="322"/>
        <v>216.53</v>
      </c>
      <c r="CU1118">
        <f t="shared" si="312"/>
        <v>0.3777792348484848</v>
      </c>
      <c r="CV1118" s="2">
        <f t="shared" si="323"/>
        <v>2.36</v>
      </c>
      <c r="CW1118" s="1" t="s">
        <v>264</v>
      </c>
      <c r="CX1118" t="str">
        <f t="shared" si="356"/>
        <v>loc</v>
      </c>
      <c r="CY1118" t="s">
        <v>445</v>
      </c>
      <c r="DB1118">
        <v>300</v>
      </c>
      <c r="DC1118" t="str">
        <f t="shared" si="357"/>
        <v>+100</v>
      </c>
      <c r="DD1118">
        <v>0</v>
      </c>
      <c r="DE1118">
        <v>0</v>
      </c>
      <c r="DF1118">
        <v>0</v>
      </c>
      <c r="DG1118">
        <v>1</v>
      </c>
      <c r="DI1118">
        <f t="shared" si="326"/>
        <v>1</v>
      </c>
      <c r="DJ1118" t="str">
        <f t="shared" si="311"/>
        <v>TimberInput</v>
      </c>
      <c r="DK1118">
        <f t="shared" si="338"/>
        <v>0</v>
      </c>
      <c r="DL1118">
        <f t="shared" si="339"/>
        <v>0</v>
      </c>
      <c r="DM1118">
        <f t="shared" si="340"/>
        <v>0</v>
      </c>
      <c r="DN1118" t="str">
        <f t="shared" si="341"/>
        <v>Timber</v>
      </c>
      <c r="DO1118">
        <v>1</v>
      </c>
      <c r="DP1118" s="143">
        <v>0</v>
      </c>
      <c r="DQ1118" s="143">
        <v>0</v>
      </c>
      <c r="DR1118" s="143">
        <v>0</v>
      </c>
      <c r="DS1118">
        <v>0</v>
      </c>
      <c r="DT1118">
        <f t="shared" si="315"/>
        <v>1</v>
      </c>
      <c r="DU1118" s="143" t="str">
        <f t="shared" si="359"/>
        <v>self-calculated DF</v>
      </c>
      <c r="DV1118">
        <v>0</v>
      </c>
      <c r="DW1118" s="143">
        <v>0</v>
      </c>
      <c r="DX1118" s="143">
        <v>1</v>
      </c>
      <c r="DY1118" s="143">
        <v>1</v>
      </c>
      <c r="DZ1118">
        <v>1</v>
      </c>
      <c r="EA1118" s="143">
        <v>1</v>
      </c>
      <c r="EB1118">
        <v>0</v>
      </c>
      <c r="EC1118" s="143">
        <v>1</v>
      </c>
      <c r="ED1118" s="143">
        <v>0</v>
      </c>
      <c r="EE1118">
        <v>0</v>
      </c>
      <c r="EF1118">
        <v>0</v>
      </c>
      <c r="EG1118" s="143">
        <v>0</v>
      </c>
      <c r="EH1118" s="143">
        <v>0</v>
      </c>
      <c r="EI1118" s="2">
        <v>0</v>
      </c>
      <c r="EK1118" t="str">
        <f t="shared" si="342"/>
        <v/>
      </c>
      <c r="EL1118" t="str">
        <f t="shared" si="343"/>
        <v/>
      </c>
      <c r="EM1118" s="2" t="str">
        <f t="shared" si="358"/>
        <v/>
      </c>
      <c r="EN1118" t="s">
        <v>446</v>
      </c>
      <c r="EP1118" t="str">
        <f>IF(ISNUMBER(BU1118),IF(ABS(BU1118-[4]QC_indicators!$B$2)&gt;3*[4]QC_indicators!$C$2,"C ratio",IF(ISNUMBER(BY1118),IF(ABS(BY1118-[4]QC_indicators!$B$1)&gt;3*[4]QC_indicators!$C$1,"DF","no"))),IF(ISNUMBER(BY1118),IF(ABS(BY1118-[4]QC_indicators!$B$1)&gt;3*[4]QC_indicators!$C$1,"DF","no")))</f>
        <v>no</v>
      </c>
      <c r="ET1118" s="266" t="s">
        <v>3275</v>
      </c>
    </row>
    <row r="1119" spans="1:150" hidden="1">
      <c r="A1119" s="1" t="s">
        <v>431</v>
      </c>
      <c r="B1119" t="s">
        <v>432</v>
      </c>
      <c r="C1119" t="s">
        <v>433</v>
      </c>
      <c r="D1119" t="s">
        <v>434</v>
      </c>
      <c r="E1119" t="s">
        <v>435</v>
      </c>
      <c r="F1119" t="s">
        <v>436</v>
      </c>
      <c r="G1119" t="s">
        <v>437</v>
      </c>
      <c r="H1119" t="s">
        <v>255</v>
      </c>
      <c r="I1119">
        <v>2000</v>
      </c>
      <c r="J1119">
        <v>174</v>
      </c>
      <c r="K1119" t="s">
        <v>438</v>
      </c>
      <c r="M1119" t="str">
        <f t="shared" si="310"/>
        <v>Borjesson_2000</v>
      </c>
      <c r="N1119" t="s">
        <v>223</v>
      </c>
      <c r="O1119" s="145" t="s">
        <v>224</v>
      </c>
      <c r="Q1119" t="s">
        <v>257</v>
      </c>
      <c r="R1119" s="255" t="s">
        <v>226</v>
      </c>
      <c r="S1119" s="1" t="s">
        <v>439</v>
      </c>
      <c r="T1119" t="s">
        <v>454</v>
      </c>
      <c r="U1119" t="s">
        <v>453</v>
      </c>
      <c r="V1119">
        <v>0</v>
      </c>
      <c r="W1119">
        <v>0</v>
      </c>
      <c r="X1119">
        <v>0</v>
      </c>
      <c r="Y1119">
        <v>0</v>
      </c>
      <c r="Z1119">
        <v>0</v>
      </c>
      <c r="AA1119">
        <v>0</v>
      </c>
      <c r="AB1119">
        <v>0</v>
      </c>
      <c r="AC1119">
        <v>0</v>
      </c>
      <c r="AD1119">
        <v>0</v>
      </c>
      <c r="AE1119">
        <v>0</v>
      </c>
      <c r="AF1119">
        <v>0</v>
      </c>
      <c r="AG1119">
        <v>0</v>
      </c>
      <c r="AH1119">
        <v>0</v>
      </c>
      <c r="AI1119">
        <v>0</v>
      </c>
      <c r="AJ1119">
        <v>0</v>
      </c>
      <c r="AK1119">
        <v>1</v>
      </c>
      <c r="AL1119">
        <v>0</v>
      </c>
      <c r="AM1119">
        <v>0</v>
      </c>
      <c r="AN1119">
        <v>0</v>
      </c>
      <c r="AO1119">
        <v>0</v>
      </c>
      <c r="AP1119">
        <v>0</v>
      </c>
      <c r="AQ1119">
        <v>0</v>
      </c>
      <c r="AR1119">
        <v>0</v>
      </c>
      <c r="AS1119">
        <v>0</v>
      </c>
      <c r="AT1119">
        <v>0</v>
      </c>
      <c r="AU1119">
        <v>0</v>
      </c>
      <c r="AV1119">
        <v>0</v>
      </c>
      <c r="AW1119">
        <v>0</v>
      </c>
      <c r="AX1119" s="141">
        <f t="shared" si="321"/>
        <v>1</v>
      </c>
      <c r="AY1119" s="141">
        <f t="shared" si="350"/>
        <v>1</v>
      </c>
      <c r="AZ1119">
        <f t="shared" si="351"/>
        <v>0</v>
      </c>
      <c r="BA1119">
        <f t="shared" si="352"/>
        <v>0</v>
      </c>
      <c r="BB1119">
        <f t="shared" si="353"/>
        <v>1</v>
      </c>
      <c r="BC1119">
        <f t="shared" si="354"/>
        <v>0</v>
      </c>
      <c r="BD1119">
        <f t="shared" si="355"/>
        <v>0</v>
      </c>
      <c r="BE1119" t="str">
        <f t="array" ref="BE1119">IF(AY1119=1,INDEX($V$7:$AL$7,MATCH(TRUE,INDEX($V1119:$AW1119&lt;&gt;0,),0)),IF(AY1119=0,INDEX($AM$7:$AW$7,MATCH(1,$AM1119:$AW1119,0)),IF(BF1119="Multiple strategies","mixed drivers",IF(BF1119="Supply chain","multiple supply","multiple silviculture"))))</f>
        <v>technologies/design switch</v>
      </c>
      <c r="BF1119" s="2" t="str" cm="1">
        <f t="array" ref="BF1119">IF(COUNTIF(AZ1119:BB1119,"&lt;&gt;0")=1,INDEX($V$4:$AW$4,MATCH(TRUE,INDEX($V1119:$AW1119&lt;&gt;0,),0)),IF(COUNTIF(AZ1119:BB1119,"&lt;&gt;0")=0,INDEX($AM$4:$AW$4,MATCH(1,$AM1119:$AW1119,0)),"Multiple strategies"))</f>
        <v>Technology</v>
      </c>
      <c r="BG1119" s="142" t="s">
        <v>230</v>
      </c>
      <c r="BH1119" t="s">
        <v>442</v>
      </c>
      <c r="BI1119" s="266" t="s">
        <v>3276</v>
      </c>
      <c r="BJ1119" s="143" t="s">
        <v>443</v>
      </c>
      <c r="BK1119">
        <v>0</v>
      </c>
      <c r="BL1119">
        <f t="shared" si="345"/>
        <v>132</v>
      </c>
      <c r="BM1119" s="143" t="e">
        <f t="shared" si="344"/>
        <v>#DIV/0!</v>
      </c>
      <c r="BN1119">
        <f t="shared" si="332"/>
        <v>132</v>
      </c>
      <c r="BO1119">
        <f t="shared" si="346"/>
        <v>573.16543638732094</v>
      </c>
      <c r="BP1119" t="s">
        <v>233</v>
      </c>
      <c r="BQ1119" s="260" t="s">
        <v>815</v>
      </c>
      <c r="BR1119" t="s">
        <v>444</v>
      </c>
      <c r="BS1119" s="141">
        <v>18</v>
      </c>
      <c r="BT1119" s="141">
        <v>84</v>
      </c>
      <c r="BU1119" s="144">
        <f t="shared" si="328"/>
        <v>4.666666666666667</v>
      </c>
      <c r="BV1119">
        <f t="shared" si="327"/>
        <v>66</v>
      </c>
      <c r="BX1119">
        <f t="shared" si="347"/>
        <v>242.22</v>
      </c>
      <c r="BY1119">
        <f t="shared" si="319"/>
        <v>0.42260049999999993</v>
      </c>
      <c r="BZ1119" s="143">
        <v>0</v>
      </c>
      <c r="CA1119" s="143">
        <v>0</v>
      </c>
      <c r="CB1119" s="143">
        <v>0</v>
      </c>
      <c r="CC1119" s="143">
        <v>0</v>
      </c>
      <c r="CD1119" s="143">
        <v>0</v>
      </c>
      <c r="CE1119" s="143">
        <v>0</v>
      </c>
      <c r="CF1119" s="143">
        <v>0</v>
      </c>
      <c r="CG1119" s="143">
        <v>0</v>
      </c>
      <c r="CH1119" s="143">
        <v>0</v>
      </c>
      <c r="CI1119" s="143">
        <v>0</v>
      </c>
      <c r="CJ1119" s="143">
        <v>0</v>
      </c>
      <c r="CK1119" s="143">
        <v>0</v>
      </c>
      <c r="CL1119" s="143">
        <v>0</v>
      </c>
      <c r="CM1119">
        <v>0</v>
      </c>
      <c r="CN1119" t="str">
        <f t="shared" si="334"/>
        <v>refOK</v>
      </c>
      <c r="CO1119">
        <f t="shared" si="348"/>
        <v>0</v>
      </c>
      <c r="CP1119">
        <f t="shared" si="349"/>
        <v>132</v>
      </c>
      <c r="CQ1119">
        <f t="shared" si="331"/>
        <v>573.16543638732094</v>
      </c>
      <c r="CR1119">
        <f t="shared" si="329"/>
        <v>18</v>
      </c>
      <c r="CS1119">
        <f t="shared" si="330"/>
        <v>84</v>
      </c>
      <c r="CT1119">
        <f t="shared" si="322"/>
        <v>242.22</v>
      </c>
      <c r="CU1119">
        <f t="shared" si="312"/>
        <v>0.42260049999999993</v>
      </c>
      <c r="CV1119" s="2">
        <f t="shared" si="323"/>
        <v>3.6666666666666665</v>
      </c>
      <c r="CW1119" s="1" t="s">
        <v>264</v>
      </c>
      <c r="CX1119" t="str">
        <f t="shared" si="356"/>
        <v>loc</v>
      </c>
      <c r="CY1119" t="s">
        <v>445</v>
      </c>
      <c r="DB1119">
        <v>300</v>
      </c>
      <c r="DC1119" t="str">
        <f t="shared" si="357"/>
        <v>+100</v>
      </c>
      <c r="DD1119">
        <v>0</v>
      </c>
      <c r="DE1119">
        <v>0</v>
      </c>
      <c r="DF1119">
        <v>0</v>
      </c>
      <c r="DG1119">
        <v>1</v>
      </c>
      <c r="DI1119">
        <f t="shared" si="326"/>
        <v>1</v>
      </c>
      <c r="DJ1119" t="str">
        <f t="shared" si="311"/>
        <v>TimberInput</v>
      </c>
      <c r="DK1119">
        <f t="shared" si="338"/>
        <v>0</v>
      </c>
      <c r="DL1119">
        <f t="shared" si="339"/>
        <v>0</v>
      </c>
      <c r="DM1119">
        <f t="shared" si="340"/>
        <v>0</v>
      </c>
      <c r="DN1119" t="str">
        <f t="shared" si="341"/>
        <v>Timber</v>
      </c>
      <c r="DO1119">
        <v>1</v>
      </c>
      <c r="DP1119" s="143">
        <v>0</v>
      </c>
      <c r="DQ1119" s="143">
        <v>0</v>
      </c>
      <c r="DR1119" s="143">
        <v>0</v>
      </c>
      <c r="DS1119">
        <v>0</v>
      </c>
      <c r="DT1119">
        <f t="shared" si="315"/>
        <v>1</v>
      </c>
      <c r="DU1119" s="143" t="str">
        <f t="shared" si="359"/>
        <v>self-calculated DF</v>
      </c>
      <c r="DV1119">
        <v>0</v>
      </c>
      <c r="DW1119" s="143">
        <v>0</v>
      </c>
      <c r="DX1119" s="143">
        <v>1</v>
      </c>
      <c r="DY1119" s="143">
        <v>1</v>
      </c>
      <c r="DZ1119">
        <v>1</v>
      </c>
      <c r="EA1119" s="143">
        <v>1</v>
      </c>
      <c r="EB1119">
        <v>0</v>
      </c>
      <c r="EC1119" s="143">
        <v>1</v>
      </c>
      <c r="ED1119" s="143">
        <v>0</v>
      </c>
      <c r="EE1119">
        <v>0</v>
      </c>
      <c r="EF1119">
        <v>0</v>
      </c>
      <c r="EG1119" s="143">
        <v>0</v>
      </c>
      <c r="EH1119" s="143">
        <v>0</v>
      </c>
      <c r="EI1119" s="2">
        <v>0</v>
      </c>
      <c r="EK1119" t="str">
        <f t="shared" si="342"/>
        <v/>
      </c>
      <c r="EL1119" t="str">
        <f t="shared" si="343"/>
        <v/>
      </c>
      <c r="EM1119" s="2" t="str">
        <f t="shared" si="358"/>
        <v/>
      </c>
      <c r="EN1119" t="s">
        <v>446</v>
      </c>
      <c r="EP1119" t="str">
        <f>IF(ISNUMBER(BU1119),IF(ABS(BU1119-[4]QC_indicators!$B$2)&gt;3*[4]QC_indicators!$C$2,"C ratio",IF(ISNUMBER(BY1119),IF(ABS(BY1119-[4]QC_indicators!$B$1)&gt;3*[4]QC_indicators!$C$1,"DF","no"))),IF(ISNUMBER(BY1119),IF(ABS(BY1119-[4]QC_indicators!$B$1)&gt;3*[4]QC_indicators!$C$1,"DF","no")))</f>
        <v>no</v>
      </c>
      <c r="ET1119" s="266" t="s">
        <v>3275</v>
      </c>
    </row>
    <row r="1120" spans="1:150" hidden="1">
      <c r="A1120" s="1" t="s">
        <v>431</v>
      </c>
      <c r="B1120" t="s">
        <v>432</v>
      </c>
      <c r="C1120" t="s">
        <v>433</v>
      </c>
      <c r="D1120" t="s">
        <v>434</v>
      </c>
      <c r="E1120" t="s">
        <v>435</v>
      </c>
      <c r="F1120" t="s">
        <v>436</v>
      </c>
      <c r="G1120" t="s">
        <v>437</v>
      </c>
      <c r="H1120" t="s">
        <v>255</v>
      </c>
      <c r="I1120">
        <v>2000</v>
      </c>
      <c r="J1120">
        <v>174</v>
      </c>
      <c r="K1120" t="s">
        <v>438</v>
      </c>
      <c r="M1120" t="str">
        <f t="shared" si="310"/>
        <v>Borjesson_2000</v>
      </c>
      <c r="N1120" t="s">
        <v>223</v>
      </c>
      <c r="O1120" s="145" t="s">
        <v>224</v>
      </c>
      <c r="Q1120" t="s">
        <v>257</v>
      </c>
      <c r="R1120" s="255" t="s">
        <v>226</v>
      </c>
      <c r="S1120" s="1" t="s">
        <v>439</v>
      </c>
      <c r="T1120" t="s">
        <v>440</v>
      </c>
      <c r="U1120" t="s">
        <v>457</v>
      </c>
      <c r="V1120">
        <v>0</v>
      </c>
      <c r="W1120">
        <v>0</v>
      </c>
      <c r="X1120">
        <v>0</v>
      </c>
      <c r="Y1120">
        <v>0</v>
      </c>
      <c r="Z1120">
        <v>0</v>
      </c>
      <c r="AA1120">
        <v>0</v>
      </c>
      <c r="AB1120">
        <v>0</v>
      </c>
      <c r="AC1120">
        <v>0</v>
      </c>
      <c r="AD1120">
        <v>0</v>
      </c>
      <c r="AE1120">
        <v>0</v>
      </c>
      <c r="AF1120">
        <v>0</v>
      </c>
      <c r="AG1120">
        <v>0</v>
      </c>
      <c r="AH1120">
        <v>0</v>
      </c>
      <c r="AI1120">
        <v>0</v>
      </c>
      <c r="AJ1120">
        <v>0</v>
      </c>
      <c r="AK1120">
        <v>1</v>
      </c>
      <c r="AL1120">
        <v>0</v>
      </c>
      <c r="AM1120">
        <v>0</v>
      </c>
      <c r="AN1120">
        <v>0</v>
      </c>
      <c r="AO1120">
        <v>0</v>
      </c>
      <c r="AP1120">
        <v>0</v>
      </c>
      <c r="AQ1120">
        <v>0</v>
      </c>
      <c r="AR1120">
        <v>0</v>
      </c>
      <c r="AS1120">
        <v>0</v>
      </c>
      <c r="AT1120">
        <v>0</v>
      </c>
      <c r="AU1120">
        <v>0</v>
      </c>
      <c r="AV1120">
        <v>0</v>
      </c>
      <c r="AW1120">
        <v>0</v>
      </c>
      <c r="AX1120" s="141">
        <f t="shared" si="321"/>
        <v>1</v>
      </c>
      <c r="AY1120" s="141">
        <f t="shared" si="350"/>
        <v>1</v>
      </c>
      <c r="AZ1120">
        <f t="shared" si="351"/>
        <v>0</v>
      </c>
      <c r="BA1120">
        <f t="shared" si="352"/>
        <v>0</v>
      </c>
      <c r="BB1120">
        <f t="shared" si="353"/>
        <v>1</v>
      </c>
      <c r="BC1120">
        <f t="shared" si="354"/>
        <v>0</v>
      </c>
      <c r="BD1120">
        <f t="shared" si="355"/>
        <v>0</v>
      </c>
      <c r="BE1120" t="str">
        <f t="array" ref="BE1120">IF(AY1120=1,INDEX($V$7:$AL$7,MATCH(TRUE,INDEX($V1120:$AW1120&lt;&gt;0,),0)),IF(AY1120=0,INDEX($AM$7:$AW$7,MATCH(1,$AM1120:$AW1120,0)),IF(BF1120="Multiple strategies","mixed drivers",IF(BF1120="Supply chain","multiple supply","multiple silviculture"))))</f>
        <v>technologies/design switch</v>
      </c>
      <c r="BF1120" s="2" t="str" cm="1">
        <f t="array" ref="BF1120">IF(COUNTIF(AZ1120:BB1120,"&lt;&gt;0")=1,INDEX($V$4:$AW$4,MATCH(TRUE,INDEX($V1120:$AW1120&lt;&gt;0,),0)),IF(COUNTIF(AZ1120:BB1120,"&lt;&gt;0")=0,INDEX($AM$4:$AW$4,MATCH(1,$AM1120:$AW1120,0)),"Multiple strategies"))</f>
        <v>Technology</v>
      </c>
      <c r="BG1120" s="142" t="s">
        <v>230</v>
      </c>
      <c r="BH1120" t="s">
        <v>442</v>
      </c>
      <c r="BI1120" s="266" t="s">
        <v>3276</v>
      </c>
      <c r="BJ1120" s="143" t="s">
        <v>443</v>
      </c>
      <c r="BK1120">
        <v>0</v>
      </c>
      <c r="BL1120">
        <f t="shared" si="345"/>
        <v>132</v>
      </c>
      <c r="BM1120" s="143" t="e">
        <f t="shared" si="344"/>
        <v>#DIV/0!</v>
      </c>
      <c r="BN1120">
        <f t="shared" si="332"/>
        <v>132</v>
      </c>
      <c r="BO1120">
        <f t="shared" si="346"/>
        <v>573.16543638732094</v>
      </c>
      <c r="BP1120" t="s">
        <v>233</v>
      </c>
      <c r="BQ1120" s="260" t="s">
        <v>815</v>
      </c>
      <c r="BR1120" t="s">
        <v>444</v>
      </c>
      <c r="BS1120" s="141">
        <v>25</v>
      </c>
      <c r="BT1120" s="141">
        <v>93</v>
      </c>
      <c r="BU1120" s="144">
        <f t="shared" si="328"/>
        <v>3.72</v>
      </c>
      <c r="BV1120">
        <f t="shared" si="327"/>
        <v>68</v>
      </c>
      <c r="BX1120">
        <f t="shared" si="347"/>
        <v>249.56</v>
      </c>
      <c r="BY1120">
        <f t="shared" si="319"/>
        <v>0.43540657575757574</v>
      </c>
      <c r="BZ1120" s="143">
        <v>0</v>
      </c>
      <c r="CA1120" s="143">
        <v>0</v>
      </c>
      <c r="CB1120" s="143">
        <v>0</v>
      </c>
      <c r="CC1120" s="143">
        <v>0</v>
      </c>
      <c r="CD1120" s="143">
        <v>0</v>
      </c>
      <c r="CE1120" s="143">
        <v>0</v>
      </c>
      <c r="CF1120" s="143">
        <v>0</v>
      </c>
      <c r="CG1120" s="143">
        <v>0</v>
      </c>
      <c r="CH1120" s="143">
        <v>0</v>
      </c>
      <c r="CI1120" s="143">
        <v>0</v>
      </c>
      <c r="CJ1120" s="143">
        <v>0</v>
      </c>
      <c r="CK1120" s="143">
        <v>0</v>
      </c>
      <c r="CL1120" s="143">
        <v>0</v>
      </c>
      <c r="CM1120">
        <v>0</v>
      </c>
      <c r="CN1120" t="str">
        <f t="shared" si="334"/>
        <v>refOK</v>
      </c>
      <c r="CO1120">
        <f t="shared" si="348"/>
        <v>0</v>
      </c>
      <c r="CP1120">
        <f t="shared" si="349"/>
        <v>132</v>
      </c>
      <c r="CQ1120">
        <f t="shared" si="331"/>
        <v>573.16543638732094</v>
      </c>
      <c r="CR1120">
        <f t="shared" si="329"/>
        <v>25</v>
      </c>
      <c r="CS1120">
        <f t="shared" si="330"/>
        <v>93</v>
      </c>
      <c r="CT1120">
        <f t="shared" si="322"/>
        <v>249.56</v>
      </c>
      <c r="CU1120">
        <f t="shared" si="312"/>
        <v>0.43540657575757574</v>
      </c>
      <c r="CV1120" s="2">
        <f t="shared" si="323"/>
        <v>2.72</v>
      </c>
      <c r="CW1120" s="1" t="s">
        <v>264</v>
      </c>
      <c r="CX1120" t="str">
        <f t="shared" si="356"/>
        <v>loc</v>
      </c>
      <c r="CY1120" t="s">
        <v>445</v>
      </c>
      <c r="DB1120">
        <v>300</v>
      </c>
      <c r="DC1120" t="str">
        <f t="shared" si="357"/>
        <v>+100</v>
      </c>
      <c r="DD1120">
        <v>0</v>
      </c>
      <c r="DE1120">
        <v>0</v>
      </c>
      <c r="DF1120">
        <v>0</v>
      </c>
      <c r="DG1120">
        <v>1</v>
      </c>
      <c r="DI1120">
        <f t="shared" si="326"/>
        <v>1</v>
      </c>
      <c r="DJ1120" t="str">
        <f t="shared" si="311"/>
        <v>TimberInput</v>
      </c>
      <c r="DK1120">
        <f t="shared" si="338"/>
        <v>0</v>
      </c>
      <c r="DL1120">
        <f t="shared" si="339"/>
        <v>0</v>
      </c>
      <c r="DM1120">
        <f t="shared" si="340"/>
        <v>0</v>
      </c>
      <c r="DN1120" t="str">
        <f t="shared" si="341"/>
        <v>Timber</v>
      </c>
      <c r="DO1120">
        <v>1</v>
      </c>
      <c r="DP1120" s="143">
        <v>0</v>
      </c>
      <c r="DQ1120" s="143">
        <v>0</v>
      </c>
      <c r="DR1120" s="143">
        <v>0</v>
      </c>
      <c r="DS1120">
        <v>0</v>
      </c>
      <c r="DT1120">
        <f t="shared" si="315"/>
        <v>1</v>
      </c>
      <c r="DU1120" s="143" t="str">
        <f t="shared" si="359"/>
        <v>self-calculated DF</v>
      </c>
      <c r="DV1120">
        <v>0</v>
      </c>
      <c r="DW1120" s="143">
        <v>0</v>
      </c>
      <c r="DX1120" s="143">
        <v>1</v>
      </c>
      <c r="DY1120" s="143">
        <v>1</v>
      </c>
      <c r="DZ1120">
        <v>1</v>
      </c>
      <c r="EA1120" s="143">
        <v>1</v>
      </c>
      <c r="EB1120">
        <v>0</v>
      </c>
      <c r="EC1120" s="143">
        <v>1</v>
      </c>
      <c r="ED1120" s="143">
        <v>0</v>
      </c>
      <c r="EE1120">
        <v>0</v>
      </c>
      <c r="EF1120">
        <v>0</v>
      </c>
      <c r="EG1120" s="143">
        <v>0</v>
      </c>
      <c r="EH1120" s="143">
        <v>0</v>
      </c>
      <c r="EI1120" s="2">
        <v>0</v>
      </c>
      <c r="EK1120" t="str">
        <f t="shared" si="342"/>
        <v/>
      </c>
      <c r="EL1120" t="str">
        <f t="shared" si="343"/>
        <v/>
      </c>
      <c r="EM1120" s="2" t="str">
        <f t="shared" si="358"/>
        <v/>
      </c>
      <c r="EN1120" t="s">
        <v>446</v>
      </c>
      <c r="EP1120" t="str">
        <f>IF(ISNUMBER(BU1120),IF(ABS(BU1120-[4]QC_indicators!$B$2)&gt;3*[4]QC_indicators!$C$2,"C ratio",IF(ISNUMBER(BY1120),IF(ABS(BY1120-[4]QC_indicators!$B$1)&gt;3*[4]QC_indicators!$C$1,"DF","no"))),IF(ISNUMBER(BY1120),IF(ABS(BY1120-[4]QC_indicators!$B$1)&gt;3*[4]QC_indicators!$C$1,"DF","no")))</f>
        <v>no</v>
      </c>
      <c r="ET1120" s="266" t="s">
        <v>3275</v>
      </c>
    </row>
    <row r="1121" spans="1:150" hidden="1">
      <c r="A1121" s="1" t="s">
        <v>431</v>
      </c>
      <c r="B1121" t="s">
        <v>432</v>
      </c>
      <c r="C1121" t="s">
        <v>433</v>
      </c>
      <c r="D1121" t="s">
        <v>434</v>
      </c>
      <c r="E1121" t="s">
        <v>435</v>
      </c>
      <c r="F1121" t="s">
        <v>436</v>
      </c>
      <c r="G1121" t="s">
        <v>437</v>
      </c>
      <c r="H1121" t="s">
        <v>255</v>
      </c>
      <c r="I1121">
        <v>2000</v>
      </c>
      <c r="J1121">
        <v>174</v>
      </c>
      <c r="K1121" t="s">
        <v>438</v>
      </c>
      <c r="M1121" t="str">
        <f t="shared" si="310"/>
        <v>Borjesson_2000</v>
      </c>
      <c r="N1121" t="s">
        <v>223</v>
      </c>
      <c r="O1121" s="145" t="s">
        <v>224</v>
      </c>
      <c r="Q1121" t="s">
        <v>257</v>
      </c>
      <c r="R1121" s="255" t="s">
        <v>226</v>
      </c>
      <c r="S1121" s="1" t="s">
        <v>439</v>
      </c>
      <c r="T1121" t="s">
        <v>447</v>
      </c>
      <c r="U1121" t="s">
        <v>457</v>
      </c>
      <c r="V1121">
        <v>0</v>
      </c>
      <c r="W1121">
        <v>0</v>
      </c>
      <c r="X1121">
        <v>0</v>
      </c>
      <c r="Y1121">
        <v>0</v>
      </c>
      <c r="Z1121">
        <v>0</v>
      </c>
      <c r="AA1121">
        <v>0</v>
      </c>
      <c r="AB1121">
        <v>0</v>
      </c>
      <c r="AC1121">
        <v>0</v>
      </c>
      <c r="AD1121">
        <v>0</v>
      </c>
      <c r="AE1121">
        <v>0</v>
      </c>
      <c r="AF1121">
        <v>0</v>
      </c>
      <c r="AG1121">
        <v>0</v>
      </c>
      <c r="AH1121">
        <v>0</v>
      </c>
      <c r="AI1121">
        <v>0</v>
      </c>
      <c r="AJ1121">
        <v>0</v>
      </c>
      <c r="AK1121">
        <v>1</v>
      </c>
      <c r="AL1121">
        <v>0</v>
      </c>
      <c r="AM1121">
        <v>0</v>
      </c>
      <c r="AN1121">
        <v>0</v>
      </c>
      <c r="AO1121">
        <v>0</v>
      </c>
      <c r="AP1121">
        <v>0</v>
      </c>
      <c r="AQ1121">
        <v>0</v>
      </c>
      <c r="AR1121">
        <v>0</v>
      </c>
      <c r="AS1121">
        <v>0</v>
      </c>
      <c r="AT1121">
        <v>0</v>
      </c>
      <c r="AU1121">
        <v>0</v>
      </c>
      <c r="AV1121">
        <v>0</v>
      </c>
      <c r="AW1121">
        <v>0</v>
      </c>
      <c r="AX1121" s="141">
        <f t="shared" si="321"/>
        <v>1</v>
      </c>
      <c r="AY1121" s="141">
        <f t="shared" si="350"/>
        <v>1</v>
      </c>
      <c r="AZ1121">
        <f t="shared" si="351"/>
        <v>0</v>
      </c>
      <c r="BA1121">
        <f t="shared" si="352"/>
        <v>0</v>
      </c>
      <c r="BB1121">
        <f t="shared" si="353"/>
        <v>1</v>
      </c>
      <c r="BC1121">
        <f t="shared" si="354"/>
        <v>0</v>
      </c>
      <c r="BD1121">
        <f t="shared" si="355"/>
        <v>0</v>
      </c>
      <c r="BE1121" t="str">
        <f t="array" ref="BE1121">IF(AY1121=1,INDEX($V$7:$AL$7,MATCH(TRUE,INDEX($V1121:$AW1121&lt;&gt;0,),0)),IF(AY1121=0,INDEX($AM$7:$AW$7,MATCH(1,$AM1121:$AW1121,0)),IF(BF1121="Multiple strategies","mixed drivers",IF(BF1121="Supply chain","multiple supply","multiple silviculture"))))</f>
        <v>technologies/design switch</v>
      </c>
      <c r="BF1121" s="2" t="str" cm="1">
        <f t="array" ref="BF1121">IF(COUNTIF(AZ1121:BB1121,"&lt;&gt;0")=1,INDEX($V$4:$AW$4,MATCH(TRUE,INDEX($V1121:$AW1121&lt;&gt;0,),0)),IF(COUNTIF(AZ1121:BB1121,"&lt;&gt;0")=0,INDEX($AM$4:$AW$4,MATCH(1,$AM1121:$AW1121,0)),"Multiple strategies"))</f>
        <v>Technology</v>
      </c>
      <c r="BG1121" s="142" t="s">
        <v>230</v>
      </c>
      <c r="BH1121" t="s">
        <v>442</v>
      </c>
      <c r="BI1121" s="266" t="s">
        <v>3276</v>
      </c>
      <c r="BJ1121" s="143" t="s">
        <v>443</v>
      </c>
      <c r="BK1121">
        <v>0</v>
      </c>
      <c r="BL1121">
        <f t="shared" si="345"/>
        <v>132</v>
      </c>
      <c r="BM1121" s="143" t="e">
        <f t="shared" si="344"/>
        <v>#DIV/0!</v>
      </c>
      <c r="BN1121">
        <f t="shared" si="332"/>
        <v>132</v>
      </c>
      <c r="BO1121">
        <f t="shared" si="346"/>
        <v>573.16543638732094</v>
      </c>
      <c r="BP1121" t="s">
        <v>233</v>
      </c>
      <c r="BQ1121" s="260" t="s">
        <v>815</v>
      </c>
      <c r="BR1121" t="s">
        <v>444</v>
      </c>
      <c r="BS1121" s="141">
        <v>18</v>
      </c>
      <c r="BT1121" s="141">
        <v>93</v>
      </c>
      <c r="BU1121" s="144">
        <f t="shared" si="328"/>
        <v>5.166666666666667</v>
      </c>
      <c r="BV1121">
        <f t="shared" si="327"/>
        <v>75</v>
      </c>
      <c r="BX1121">
        <f t="shared" si="347"/>
        <v>275.25</v>
      </c>
      <c r="BY1121">
        <f t="shared" si="319"/>
        <v>0.48022784090909088</v>
      </c>
      <c r="BZ1121" s="143">
        <v>0</v>
      </c>
      <c r="CA1121" s="143">
        <v>0</v>
      </c>
      <c r="CB1121" s="143">
        <v>0</v>
      </c>
      <c r="CC1121" s="143">
        <v>0</v>
      </c>
      <c r="CD1121" s="143">
        <v>0</v>
      </c>
      <c r="CE1121" s="143">
        <v>0</v>
      </c>
      <c r="CF1121" s="143">
        <v>0</v>
      </c>
      <c r="CG1121" s="143">
        <v>0</v>
      </c>
      <c r="CH1121" s="143">
        <v>0</v>
      </c>
      <c r="CI1121" s="143">
        <v>0</v>
      </c>
      <c r="CJ1121" s="143">
        <v>0</v>
      </c>
      <c r="CK1121" s="143">
        <v>0</v>
      </c>
      <c r="CL1121" s="143">
        <v>0</v>
      </c>
      <c r="CM1121">
        <v>0</v>
      </c>
      <c r="CN1121" t="str">
        <f t="shared" si="334"/>
        <v>refOK</v>
      </c>
      <c r="CO1121">
        <f t="shared" si="348"/>
        <v>0</v>
      </c>
      <c r="CP1121">
        <f t="shared" si="349"/>
        <v>132</v>
      </c>
      <c r="CQ1121">
        <f t="shared" si="331"/>
        <v>573.16543638732094</v>
      </c>
      <c r="CR1121">
        <f t="shared" si="329"/>
        <v>18</v>
      </c>
      <c r="CS1121">
        <f t="shared" si="330"/>
        <v>93</v>
      </c>
      <c r="CT1121">
        <f t="shared" si="322"/>
        <v>275.25</v>
      </c>
      <c r="CU1121">
        <f t="shared" si="312"/>
        <v>0.48022784090909088</v>
      </c>
      <c r="CV1121" s="2">
        <f t="shared" si="323"/>
        <v>4.166666666666667</v>
      </c>
      <c r="CW1121" s="1" t="s">
        <v>264</v>
      </c>
      <c r="CX1121" t="str">
        <f t="shared" si="356"/>
        <v>loc</v>
      </c>
      <c r="CY1121" t="s">
        <v>445</v>
      </c>
      <c r="DB1121">
        <v>300</v>
      </c>
      <c r="DC1121" t="str">
        <f t="shared" si="357"/>
        <v>+100</v>
      </c>
      <c r="DD1121">
        <v>0</v>
      </c>
      <c r="DE1121">
        <v>0</v>
      </c>
      <c r="DF1121">
        <v>0</v>
      </c>
      <c r="DG1121">
        <v>1</v>
      </c>
      <c r="DI1121">
        <f t="shared" si="326"/>
        <v>1</v>
      </c>
      <c r="DJ1121" t="str">
        <f t="shared" si="311"/>
        <v>TimberInput</v>
      </c>
      <c r="DK1121">
        <f t="shared" si="338"/>
        <v>0</v>
      </c>
      <c r="DL1121">
        <f t="shared" si="339"/>
        <v>0</v>
      </c>
      <c r="DM1121">
        <f t="shared" si="340"/>
        <v>0</v>
      </c>
      <c r="DN1121" t="str">
        <f t="shared" si="341"/>
        <v>Timber</v>
      </c>
      <c r="DO1121">
        <v>1</v>
      </c>
      <c r="DP1121" s="143">
        <v>0</v>
      </c>
      <c r="DQ1121" s="143">
        <v>0</v>
      </c>
      <c r="DR1121" s="143">
        <v>0</v>
      </c>
      <c r="DS1121">
        <v>0</v>
      </c>
      <c r="DT1121">
        <f t="shared" si="315"/>
        <v>1</v>
      </c>
      <c r="DU1121" s="143" t="str">
        <f t="shared" si="359"/>
        <v>self-calculated DF</v>
      </c>
      <c r="DV1121">
        <v>0</v>
      </c>
      <c r="DW1121" s="143">
        <v>0</v>
      </c>
      <c r="DX1121" s="143">
        <v>1</v>
      </c>
      <c r="DY1121" s="143">
        <v>1</v>
      </c>
      <c r="DZ1121">
        <v>1</v>
      </c>
      <c r="EA1121" s="143">
        <v>1</v>
      </c>
      <c r="EB1121">
        <v>0</v>
      </c>
      <c r="EC1121" s="143">
        <v>1</v>
      </c>
      <c r="ED1121" s="143">
        <v>0</v>
      </c>
      <c r="EE1121">
        <v>0</v>
      </c>
      <c r="EF1121">
        <v>0</v>
      </c>
      <c r="EG1121" s="143">
        <v>0</v>
      </c>
      <c r="EH1121" s="143">
        <v>0</v>
      </c>
      <c r="EI1121" s="2">
        <v>0</v>
      </c>
      <c r="EK1121" t="str">
        <f t="shared" si="342"/>
        <v/>
      </c>
      <c r="EL1121" t="str">
        <f t="shared" si="343"/>
        <v/>
      </c>
      <c r="EM1121" s="2" t="str">
        <f t="shared" si="358"/>
        <v/>
      </c>
      <c r="EN1121" t="s">
        <v>446</v>
      </c>
      <c r="EP1121" t="str">
        <f>IF(ISNUMBER(BU1121),IF(ABS(BU1121-[4]QC_indicators!$B$2)&gt;3*[4]QC_indicators!$C$2,"C ratio",IF(ISNUMBER(BY1121),IF(ABS(BY1121-[4]QC_indicators!$B$1)&gt;3*[4]QC_indicators!$C$1,"DF","no"))),IF(ISNUMBER(BY1121),IF(ABS(BY1121-[4]QC_indicators!$B$1)&gt;3*[4]QC_indicators!$C$1,"DF","no")))</f>
        <v>no</v>
      </c>
      <c r="ET1121" s="266" t="s">
        <v>3275</v>
      </c>
    </row>
    <row r="1122" spans="1:150" hidden="1">
      <c r="A1122" s="1" t="s">
        <v>431</v>
      </c>
      <c r="B1122" t="s">
        <v>432</v>
      </c>
      <c r="C1122" t="s">
        <v>433</v>
      </c>
      <c r="D1122" t="s">
        <v>434</v>
      </c>
      <c r="E1122" t="s">
        <v>435</v>
      </c>
      <c r="F1122" t="s">
        <v>436</v>
      </c>
      <c r="G1122" t="s">
        <v>437</v>
      </c>
      <c r="H1122" t="s">
        <v>255</v>
      </c>
      <c r="I1122">
        <v>2000</v>
      </c>
      <c r="J1122">
        <v>174</v>
      </c>
      <c r="K1122" t="s">
        <v>438</v>
      </c>
      <c r="M1122" t="str">
        <f t="shared" si="310"/>
        <v>Borjesson_2000</v>
      </c>
      <c r="N1122" t="s">
        <v>223</v>
      </c>
      <c r="O1122" s="145" t="s">
        <v>224</v>
      </c>
      <c r="Q1122" t="s">
        <v>257</v>
      </c>
      <c r="R1122" s="255" t="s">
        <v>226</v>
      </c>
      <c r="S1122" s="1" t="s">
        <v>439</v>
      </c>
      <c r="T1122" t="s">
        <v>448</v>
      </c>
      <c r="U1122" t="s">
        <v>453</v>
      </c>
      <c r="V1122">
        <v>0</v>
      </c>
      <c r="W1122">
        <v>0</v>
      </c>
      <c r="X1122">
        <v>0</v>
      </c>
      <c r="Y1122">
        <v>0</v>
      </c>
      <c r="Z1122">
        <v>0</v>
      </c>
      <c r="AA1122">
        <v>0</v>
      </c>
      <c r="AB1122">
        <v>0</v>
      </c>
      <c r="AC1122">
        <v>0</v>
      </c>
      <c r="AD1122">
        <v>0</v>
      </c>
      <c r="AE1122">
        <v>0</v>
      </c>
      <c r="AF1122">
        <v>0</v>
      </c>
      <c r="AG1122">
        <v>0</v>
      </c>
      <c r="AH1122">
        <v>0</v>
      </c>
      <c r="AI1122">
        <v>0</v>
      </c>
      <c r="AJ1122">
        <v>0</v>
      </c>
      <c r="AK1122">
        <v>1</v>
      </c>
      <c r="AL1122">
        <v>0</v>
      </c>
      <c r="AM1122">
        <v>0</v>
      </c>
      <c r="AN1122">
        <v>0</v>
      </c>
      <c r="AO1122">
        <v>0</v>
      </c>
      <c r="AP1122">
        <v>0</v>
      </c>
      <c r="AQ1122">
        <v>0</v>
      </c>
      <c r="AR1122">
        <v>0</v>
      </c>
      <c r="AS1122">
        <v>0</v>
      </c>
      <c r="AT1122">
        <v>0</v>
      </c>
      <c r="AU1122">
        <v>0</v>
      </c>
      <c r="AV1122">
        <v>0</v>
      </c>
      <c r="AW1122">
        <v>0</v>
      </c>
      <c r="AX1122" s="141">
        <f t="shared" si="321"/>
        <v>1</v>
      </c>
      <c r="AY1122" s="141">
        <f t="shared" si="350"/>
        <v>1</v>
      </c>
      <c r="AZ1122">
        <f t="shared" si="351"/>
        <v>0</v>
      </c>
      <c r="BA1122">
        <f t="shared" si="352"/>
        <v>0</v>
      </c>
      <c r="BB1122">
        <f t="shared" si="353"/>
        <v>1</v>
      </c>
      <c r="BC1122">
        <f t="shared" si="354"/>
        <v>0</v>
      </c>
      <c r="BD1122">
        <f t="shared" si="355"/>
        <v>0</v>
      </c>
      <c r="BE1122" t="str">
        <f t="array" ref="BE1122">IF(AY1122=1,INDEX($V$7:$AL$7,MATCH(TRUE,INDEX($V1122:$AW1122&lt;&gt;0,),0)),IF(AY1122=0,INDEX($AM$7:$AW$7,MATCH(1,$AM1122:$AW1122,0)),IF(BF1122="Multiple strategies","mixed drivers",IF(BF1122="Supply chain","multiple supply","multiple silviculture"))))</f>
        <v>technologies/design switch</v>
      </c>
      <c r="BF1122" s="2" t="str" cm="1">
        <f t="array" ref="BF1122">IF(COUNTIF(AZ1122:BB1122,"&lt;&gt;0")=1,INDEX($V$4:$AW$4,MATCH(TRUE,INDEX($V1122:$AW1122&lt;&gt;0,),0)),IF(COUNTIF(AZ1122:BB1122,"&lt;&gt;0")=0,INDEX($AM$4:$AW$4,MATCH(1,$AM1122:$AW1122,0)),"Multiple strategies"))</f>
        <v>Technology</v>
      </c>
      <c r="BG1122" s="142" t="s">
        <v>230</v>
      </c>
      <c r="BH1122" t="s">
        <v>442</v>
      </c>
      <c r="BI1122" s="266" t="s">
        <v>3276</v>
      </c>
      <c r="BJ1122" s="143" t="s">
        <v>443</v>
      </c>
      <c r="BK1122">
        <v>0</v>
      </c>
      <c r="BL1122">
        <f t="shared" si="345"/>
        <v>132</v>
      </c>
      <c r="BM1122" s="143" t="e">
        <f t="shared" si="344"/>
        <v>#DIV/0!</v>
      </c>
      <c r="BN1122">
        <f t="shared" si="332"/>
        <v>132</v>
      </c>
      <c r="BO1122">
        <f t="shared" si="346"/>
        <v>573.16543638732094</v>
      </c>
      <c r="BP1122" t="s">
        <v>233</v>
      </c>
      <c r="BQ1122" s="260" t="s">
        <v>815</v>
      </c>
      <c r="BR1122" t="s">
        <v>444</v>
      </c>
      <c r="BS1122" s="141">
        <v>6</v>
      </c>
      <c r="BT1122" s="141">
        <v>84</v>
      </c>
      <c r="BU1122" s="144">
        <f t="shared" si="328"/>
        <v>14</v>
      </c>
      <c r="BV1122">
        <f t="shared" si="327"/>
        <v>78</v>
      </c>
      <c r="BX1122">
        <f t="shared" si="347"/>
        <v>286.26</v>
      </c>
      <c r="BY1122">
        <f t="shared" si="319"/>
        <v>0.4994369545454545</v>
      </c>
      <c r="BZ1122" s="143">
        <v>0</v>
      </c>
      <c r="CA1122" s="143">
        <v>0</v>
      </c>
      <c r="CB1122" s="143">
        <v>0</v>
      </c>
      <c r="CC1122" s="143">
        <v>0</v>
      </c>
      <c r="CD1122" s="143">
        <v>0</v>
      </c>
      <c r="CE1122" s="143">
        <v>0</v>
      </c>
      <c r="CF1122" s="143">
        <v>0</v>
      </c>
      <c r="CG1122" s="143">
        <v>0</v>
      </c>
      <c r="CH1122" s="143">
        <v>0</v>
      </c>
      <c r="CI1122" s="143">
        <v>0</v>
      </c>
      <c r="CJ1122" s="143">
        <v>0</v>
      </c>
      <c r="CK1122" s="143">
        <v>0</v>
      </c>
      <c r="CL1122" s="143">
        <v>0</v>
      </c>
      <c r="CM1122">
        <v>0</v>
      </c>
      <c r="CN1122" t="str">
        <f t="shared" si="334"/>
        <v>refOK</v>
      </c>
      <c r="CO1122">
        <f t="shared" si="348"/>
        <v>0</v>
      </c>
      <c r="CP1122">
        <f t="shared" si="349"/>
        <v>132</v>
      </c>
      <c r="CQ1122">
        <f t="shared" si="331"/>
        <v>573.16543638732094</v>
      </c>
      <c r="CR1122">
        <f t="shared" ref="CR1122:CR1140" si="360">IF($CN1122="refOK",$BS1122,$BT1122)*IF($BP1122="Emissions positive",-1,1)</f>
        <v>6</v>
      </c>
      <c r="CS1122">
        <f t="shared" ref="CS1122:CS1140" si="361">IF($CN1122="refOK",$BT1122,$BS1122)*IF($BP1122="Emissions positive",-1,1)</f>
        <v>84</v>
      </c>
      <c r="CT1122">
        <f t="shared" si="322"/>
        <v>286.26</v>
      </c>
      <c r="CU1122">
        <f t="shared" si="312"/>
        <v>0.4994369545454545</v>
      </c>
      <c r="CV1122" s="2">
        <f t="shared" si="323"/>
        <v>13</v>
      </c>
      <c r="CW1122" s="1" t="s">
        <v>264</v>
      </c>
      <c r="CX1122" t="str">
        <f t="shared" si="356"/>
        <v>loc</v>
      </c>
      <c r="CY1122" t="s">
        <v>445</v>
      </c>
      <c r="DB1122">
        <v>300</v>
      </c>
      <c r="DC1122" t="str">
        <f t="shared" si="357"/>
        <v>+100</v>
      </c>
      <c r="DD1122">
        <v>0</v>
      </c>
      <c r="DE1122">
        <v>0</v>
      </c>
      <c r="DF1122">
        <v>0</v>
      </c>
      <c r="DG1122">
        <v>1</v>
      </c>
      <c r="DI1122">
        <f t="shared" si="326"/>
        <v>1</v>
      </c>
      <c r="DJ1122" t="str">
        <f t="shared" si="311"/>
        <v>TimberInput</v>
      </c>
      <c r="DK1122">
        <f t="shared" si="338"/>
        <v>0</v>
      </c>
      <c r="DL1122">
        <f t="shared" si="339"/>
        <v>0</v>
      </c>
      <c r="DM1122">
        <f t="shared" si="340"/>
        <v>0</v>
      </c>
      <c r="DN1122" t="str">
        <f t="shared" si="341"/>
        <v>Timber</v>
      </c>
      <c r="DO1122">
        <v>1</v>
      </c>
      <c r="DP1122" s="143">
        <v>0</v>
      </c>
      <c r="DQ1122" s="143">
        <v>0</v>
      </c>
      <c r="DR1122" s="143">
        <v>0</v>
      </c>
      <c r="DS1122">
        <v>0</v>
      </c>
      <c r="DT1122">
        <f t="shared" si="315"/>
        <v>1</v>
      </c>
      <c r="DU1122" s="143" t="str">
        <f t="shared" si="359"/>
        <v>self-calculated DF</v>
      </c>
      <c r="DV1122">
        <v>0</v>
      </c>
      <c r="DW1122" s="143">
        <v>0</v>
      </c>
      <c r="DX1122" s="143">
        <v>1</v>
      </c>
      <c r="DY1122" s="143">
        <v>1</v>
      </c>
      <c r="DZ1122">
        <v>1</v>
      </c>
      <c r="EA1122" s="143">
        <v>1</v>
      </c>
      <c r="EB1122">
        <v>0</v>
      </c>
      <c r="EC1122" s="143">
        <v>1</v>
      </c>
      <c r="ED1122" s="143">
        <v>0</v>
      </c>
      <c r="EE1122">
        <v>0</v>
      </c>
      <c r="EF1122">
        <v>0</v>
      </c>
      <c r="EG1122" s="143">
        <v>0</v>
      </c>
      <c r="EH1122" s="143">
        <v>0</v>
      </c>
      <c r="EI1122" s="2">
        <v>0</v>
      </c>
      <c r="EK1122" t="str">
        <f t="shared" si="342"/>
        <v/>
      </c>
      <c r="EL1122" t="str">
        <f t="shared" si="343"/>
        <v/>
      </c>
      <c r="EM1122" s="2" t="str">
        <f t="shared" si="358"/>
        <v/>
      </c>
      <c r="EN1122" t="s">
        <v>446</v>
      </c>
      <c r="EP1122" t="str">
        <f>IF(ISNUMBER(BU1122),IF(ABS(BU1122-[4]QC_indicators!$B$2)&gt;3*[4]QC_indicators!$C$2,"C ratio",IF(ISNUMBER(BY1122),IF(ABS(BY1122-[4]QC_indicators!$B$1)&gt;3*[4]QC_indicators!$C$1,"DF","no"))),IF(ISNUMBER(BY1122),IF(ABS(BY1122-[4]QC_indicators!$B$1)&gt;3*[4]QC_indicators!$C$1,"DF","no")))</f>
        <v>no</v>
      </c>
      <c r="EQ1122" t="s">
        <v>451</v>
      </c>
      <c r="ET1122" s="266" t="s">
        <v>3275</v>
      </c>
    </row>
    <row r="1123" spans="1:150" hidden="1">
      <c r="A1123" s="1" t="s">
        <v>431</v>
      </c>
      <c r="B1123" t="s">
        <v>432</v>
      </c>
      <c r="C1123" t="s">
        <v>433</v>
      </c>
      <c r="D1123" t="s">
        <v>434</v>
      </c>
      <c r="E1123" t="s">
        <v>435</v>
      </c>
      <c r="F1123" t="s">
        <v>436</v>
      </c>
      <c r="G1123" t="s">
        <v>437</v>
      </c>
      <c r="H1123" t="s">
        <v>255</v>
      </c>
      <c r="I1123">
        <v>2000</v>
      </c>
      <c r="J1123">
        <v>174</v>
      </c>
      <c r="K1123" t="s">
        <v>438</v>
      </c>
      <c r="M1123" t="str">
        <f t="shared" si="310"/>
        <v>Borjesson_2000</v>
      </c>
      <c r="N1123" t="s">
        <v>223</v>
      </c>
      <c r="O1123" s="145" t="s">
        <v>224</v>
      </c>
      <c r="Q1123" t="s">
        <v>257</v>
      </c>
      <c r="R1123" s="255" t="s">
        <v>226</v>
      </c>
      <c r="S1123" s="1" t="s">
        <v>439</v>
      </c>
      <c r="T1123" t="s">
        <v>450</v>
      </c>
      <c r="U1123" t="s">
        <v>453</v>
      </c>
      <c r="V1123">
        <v>0</v>
      </c>
      <c r="W1123">
        <v>0</v>
      </c>
      <c r="X1123">
        <v>0</v>
      </c>
      <c r="Y1123">
        <v>0</v>
      </c>
      <c r="Z1123">
        <v>0</v>
      </c>
      <c r="AA1123">
        <v>0</v>
      </c>
      <c r="AB1123">
        <v>0</v>
      </c>
      <c r="AC1123">
        <v>0</v>
      </c>
      <c r="AD1123">
        <v>0</v>
      </c>
      <c r="AE1123">
        <v>0</v>
      </c>
      <c r="AF1123">
        <v>0</v>
      </c>
      <c r="AG1123">
        <v>0</v>
      </c>
      <c r="AH1123">
        <v>0</v>
      </c>
      <c r="AI1123">
        <v>0</v>
      </c>
      <c r="AJ1123">
        <v>0</v>
      </c>
      <c r="AK1123">
        <v>1</v>
      </c>
      <c r="AL1123">
        <v>0</v>
      </c>
      <c r="AM1123">
        <v>0</v>
      </c>
      <c r="AN1123">
        <v>0</v>
      </c>
      <c r="AO1123">
        <v>0</v>
      </c>
      <c r="AP1123">
        <v>0</v>
      </c>
      <c r="AQ1123">
        <v>0</v>
      </c>
      <c r="AR1123">
        <v>0</v>
      </c>
      <c r="AS1123">
        <v>0</v>
      </c>
      <c r="AT1123">
        <v>0</v>
      </c>
      <c r="AU1123">
        <v>0</v>
      </c>
      <c r="AV1123">
        <v>0</v>
      </c>
      <c r="AW1123">
        <v>0</v>
      </c>
      <c r="AX1123" s="141">
        <f t="shared" si="321"/>
        <v>1</v>
      </c>
      <c r="AY1123" s="141">
        <f t="shared" si="350"/>
        <v>1</v>
      </c>
      <c r="AZ1123">
        <f t="shared" si="351"/>
        <v>0</v>
      </c>
      <c r="BA1123">
        <f t="shared" si="352"/>
        <v>0</v>
      </c>
      <c r="BB1123">
        <f t="shared" si="353"/>
        <v>1</v>
      </c>
      <c r="BC1123">
        <f t="shared" si="354"/>
        <v>0</v>
      </c>
      <c r="BD1123">
        <f t="shared" si="355"/>
        <v>0</v>
      </c>
      <c r="BE1123" t="str">
        <f t="array" ref="BE1123">IF(AY1123=1,INDEX($V$7:$AL$7,MATCH(TRUE,INDEX($V1123:$AW1123&lt;&gt;0,),0)),IF(AY1123=0,INDEX($AM$7:$AW$7,MATCH(1,$AM1123:$AW1123,0)),IF(BF1123="Multiple strategies","mixed drivers",IF(BF1123="Supply chain","multiple supply","multiple silviculture"))))</f>
        <v>technologies/design switch</v>
      </c>
      <c r="BF1123" s="2" t="str" cm="1">
        <f t="array" ref="BF1123">IF(COUNTIF(AZ1123:BB1123,"&lt;&gt;0")=1,INDEX($V$4:$AW$4,MATCH(TRUE,INDEX($V1123:$AW1123&lt;&gt;0,),0)),IF(COUNTIF(AZ1123:BB1123,"&lt;&gt;0")=0,INDEX($AM$4:$AW$4,MATCH(1,$AM1123:$AW1123,0)),"Multiple strategies"))</f>
        <v>Technology</v>
      </c>
      <c r="BG1123" s="142" t="s">
        <v>230</v>
      </c>
      <c r="BH1123" t="s">
        <v>442</v>
      </c>
      <c r="BI1123" s="266" t="s">
        <v>3276</v>
      </c>
      <c r="BJ1123" s="143" t="s">
        <v>443</v>
      </c>
      <c r="BK1123">
        <v>0</v>
      </c>
      <c r="BL1123">
        <f t="shared" si="345"/>
        <v>132</v>
      </c>
      <c r="BM1123" s="143" t="e">
        <f t="shared" si="344"/>
        <v>#DIV/0!</v>
      </c>
      <c r="BN1123">
        <f t="shared" si="332"/>
        <v>132</v>
      </c>
      <c r="BO1123">
        <f t="shared" si="346"/>
        <v>573.16543638732094</v>
      </c>
      <c r="BP1123" t="s">
        <v>233</v>
      </c>
      <c r="BQ1123" s="260" t="s">
        <v>815</v>
      </c>
      <c r="BR1123" t="s">
        <v>444</v>
      </c>
      <c r="BS1123" s="141">
        <v>3</v>
      </c>
      <c r="BT1123" s="141">
        <v>84</v>
      </c>
      <c r="BU1123" s="144">
        <f t="shared" si="328"/>
        <v>28</v>
      </c>
      <c r="BV1123">
        <f t="shared" si="327"/>
        <v>81</v>
      </c>
      <c r="BX1123">
        <f t="shared" si="347"/>
        <v>297.27</v>
      </c>
      <c r="BY1123">
        <f t="shared" si="319"/>
        <v>0.51864606818181813</v>
      </c>
      <c r="BZ1123" s="143">
        <v>0</v>
      </c>
      <c r="CA1123" s="143">
        <v>0</v>
      </c>
      <c r="CB1123" s="143">
        <v>0</v>
      </c>
      <c r="CC1123" s="143">
        <v>0</v>
      </c>
      <c r="CD1123" s="143">
        <v>0</v>
      </c>
      <c r="CE1123" s="143">
        <v>0</v>
      </c>
      <c r="CF1123" s="143">
        <v>0</v>
      </c>
      <c r="CG1123" s="143">
        <v>0</v>
      </c>
      <c r="CH1123" s="143">
        <v>0</v>
      </c>
      <c r="CI1123" s="143">
        <v>0</v>
      </c>
      <c r="CJ1123" s="143">
        <v>0</v>
      </c>
      <c r="CK1123" s="143">
        <v>0</v>
      </c>
      <c r="CL1123" s="143">
        <v>0</v>
      </c>
      <c r="CM1123">
        <v>0</v>
      </c>
      <c r="CN1123" t="str">
        <f t="shared" si="334"/>
        <v>refOK</v>
      </c>
      <c r="CO1123">
        <f t="shared" si="348"/>
        <v>0</v>
      </c>
      <c r="CP1123">
        <f t="shared" si="349"/>
        <v>132</v>
      </c>
      <c r="CQ1123">
        <f t="shared" si="331"/>
        <v>573.16543638732094</v>
      </c>
      <c r="CR1123">
        <f t="shared" si="360"/>
        <v>3</v>
      </c>
      <c r="CS1123">
        <f t="shared" si="361"/>
        <v>84</v>
      </c>
      <c r="CT1123">
        <f t="shared" si="322"/>
        <v>297.27</v>
      </c>
      <c r="CU1123">
        <f t="shared" si="312"/>
        <v>0.51864606818181813</v>
      </c>
      <c r="CV1123" s="2">
        <f t="shared" si="323"/>
        <v>27</v>
      </c>
      <c r="CW1123" s="1" t="s">
        <v>264</v>
      </c>
      <c r="CX1123" t="str">
        <f t="shared" si="356"/>
        <v>loc</v>
      </c>
      <c r="CY1123" t="s">
        <v>445</v>
      </c>
      <c r="DB1123">
        <v>300</v>
      </c>
      <c r="DC1123" t="str">
        <f t="shared" si="357"/>
        <v>+100</v>
      </c>
      <c r="DD1123">
        <v>0</v>
      </c>
      <c r="DE1123">
        <v>0</v>
      </c>
      <c r="DF1123">
        <v>0</v>
      </c>
      <c r="DG1123">
        <v>1</v>
      </c>
      <c r="DI1123">
        <f t="shared" si="326"/>
        <v>1</v>
      </c>
      <c r="DJ1123" t="str">
        <f t="shared" si="311"/>
        <v>TimberInput</v>
      </c>
      <c r="DK1123">
        <f t="shared" si="338"/>
        <v>0</v>
      </c>
      <c r="DL1123">
        <f t="shared" si="339"/>
        <v>0</v>
      </c>
      <c r="DM1123">
        <f t="shared" si="340"/>
        <v>0</v>
      </c>
      <c r="DN1123" t="str">
        <f t="shared" si="341"/>
        <v>Timber</v>
      </c>
      <c r="DO1123">
        <v>1</v>
      </c>
      <c r="DP1123" s="143">
        <v>0</v>
      </c>
      <c r="DQ1123" s="143">
        <v>0</v>
      </c>
      <c r="DR1123" s="143">
        <v>0</v>
      </c>
      <c r="DS1123">
        <v>0</v>
      </c>
      <c r="DT1123">
        <f t="shared" si="315"/>
        <v>1</v>
      </c>
      <c r="DU1123" s="143" t="str">
        <f t="shared" si="359"/>
        <v>self-calculated DF</v>
      </c>
      <c r="DV1123">
        <v>0</v>
      </c>
      <c r="DW1123" s="143">
        <v>0</v>
      </c>
      <c r="DX1123" s="143">
        <v>1</v>
      </c>
      <c r="DY1123" s="143">
        <v>1</v>
      </c>
      <c r="DZ1123">
        <v>1</v>
      </c>
      <c r="EA1123" s="143">
        <v>1</v>
      </c>
      <c r="EB1123">
        <v>0</v>
      </c>
      <c r="EC1123" s="143">
        <v>1</v>
      </c>
      <c r="ED1123" s="143">
        <v>0</v>
      </c>
      <c r="EE1123">
        <v>0</v>
      </c>
      <c r="EF1123">
        <v>0</v>
      </c>
      <c r="EG1123" s="143">
        <v>0</v>
      </c>
      <c r="EH1123" s="143">
        <v>0</v>
      </c>
      <c r="EI1123" s="2">
        <v>0</v>
      </c>
      <c r="EK1123" t="str">
        <f t="shared" si="342"/>
        <v/>
      </c>
      <c r="EL1123" t="str">
        <f t="shared" si="343"/>
        <v/>
      </c>
      <c r="EM1123" s="2" t="str">
        <f t="shared" si="358"/>
        <v/>
      </c>
      <c r="EN1123" t="s">
        <v>446</v>
      </c>
      <c r="EP1123" t="str">
        <f>IF(ISNUMBER(BU1123),IF(ABS(BU1123-[4]QC_indicators!$B$2)&gt;3*[4]QC_indicators!$C$2,"C ratio",IF(ISNUMBER(BY1123),IF(ABS(BY1123-[4]QC_indicators!$B$1)&gt;3*[4]QC_indicators!$C$1,"DF","no"))),IF(ISNUMBER(BY1123),IF(ABS(BY1123-[4]QC_indicators!$B$1)&gt;3*[4]QC_indicators!$C$1,"DF","no")))</f>
        <v>C ratio</v>
      </c>
      <c r="EQ1123" t="s">
        <v>451</v>
      </c>
      <c r="ET1123" s="266" t="s">
        <v>3275</v>
      </c>
    </row>
    <row r="1124" spans="1:150" ht="15" hidden="1" customHeight="1">
      <c r="A1124" s="1" t="s">
        <v>431</v>
      </c>
      <c r="B1124" t="s">
        <v>432</v>
      </c>
      <c r="C1124" t="s">
        <v>433</v>
      </c>
      <c r="D1124" t="s">
        <v>434</v>
      </c>
      <c r="E1124" t="s">
        <v>435</v>
      </c>
      <c r="F1124" t="s">
        <v>436</v>
      </c>
      <c r="G1124" t="s">
        <v>437</v>
      </c>
      <c r="H1124" t="s">
        <v>255</v>
      </c>
      <c r="I1124">
        <v>2000</v>
      </c>
      <c r="J1124">
        <v>174</v>
      </c>
      <c r="K1124" t="s">
        <v>438</v>
      </c>
      <c r="M1124" t="str">
        <f t="shared" si="310"/>
        <v>Borjesson_2000</v>
      </c>
      <c r="N1124" t="s">
        <v>223</v>
      </c>
      <c r="O1124" s="145" t="s">
        <v>224</v>
      </c>
      <c r="Q1124" t="s">
        <v>257</v>
      </c>
      <c r="R1124" s="255" t="s">
        <v>226</v>
      </c>
      <c r="S1124" s="1" t="s">
        <v>439</v>
      </c>
      <c r="T1124" t="s">
        <v>448</v>
      </c>
      <c r="U1124" t="s">
        <v>457</v>
      </c>
      <c r="V1124">
        <v>0</v>
      </c>
      <c r="W1124">
        <v>0</v>
      </c>
      <c r="X1124">
        <v>0</v>
      </c>
      <c r="Y1124">
        <v>0</v>
      </c>
      <c r="Z1124">
        <v>0</v>
      </c>
      <c r="AA1124">
        <v>0</v>
      </c>
      <c r="AB1124">
        <v>0</v>
      </c>
      <c r="AC1124">
        <v>0</v>
      </c>
      <c r="AD1124">
        <v>0</v>
      </c>
      <c r="AE1124">
        <v>0</v>
      </c>
      <c r="AF1124">
        <v>0</v>
      </c>
      <c r="AG1124">
        <v>0</v>
      </c>
      <c r="AH1124">
        <v>0</v>
      </c>
      <c r="AI1124">
        <v>0</v>
      </c>
      <c r="AJ1124">
        <v>0</v>
      </c>
      <c r="AK1124">
        <v>1</v>
      </c>
      <c r="AL1124">
        <v>0</v>
      </c>
      <c r="AM1124">
        <v>0</v>
      </c>
      <c r="AN1124">
        <v>0</v>
      </c>
      <c r="AO1124">
        <v>0</v>
      </c>
      <c r="AP1124">
        <v>0</v>
      </c>
      <c r="AQ1124">
        <v>0</v>
      </c>
      <c r="AR1124">
        <v>0</v>
      </c>
      <c r="AS1124">
        <v>0</v>
      </c>
      <c r="AT1124">
        <v>0</v>
      </c>
      <c r="AU1124">
        <v>0</v>
      </c>
      <c r="AV1124">
        <v>0</v>
      </c>
      <c r="AW1124">
        <v>0</v>
      </c>
      <c r="AX1124" s="141">
        <f t="shared" si="321"/>
        <v>1</v>
      </c>
      <c r="AY1124" s="141">
        <f t="shared" si="350"/>
        <v>1</v>
      </c>
      <c r="AZ1124">
        <f t="shared" si="351"/>
        <v>0</v>
      </c>
      <c r="BA1124">
        <f t="shared" si="352"/>
        <v>0</v>
      </c>
      <c r="BB1124">
        <f t="shared" si="353"/>
        <v>1</v>
      </c>
      <c r="BC1124">
        <f t="shared" si="354"/>
        <v>0</v>
      </c>
      <c r="BD1124">
        <f t="shared" si="355"/>
        <v>0</v>
      </c>
      <c r="BE1124" t="str">
        <f t="array" ref="BE1124">IF(AY1124=1,INDEX($V$7:$AL$7,MATCH(TRUE,INDEX($V1124:$AW1124&lt;&gt;0,),0)),IF(AY1124=0,INDEX($AM$7:$AW$7,MATCH(1,$AM1124:$AW1124,0)),IF(BF1124="Multiple strategies","mixed drivers",IF(BF1124="Supply chain","multiple supply","multiple silviculture"))))</f>
        <v>technologies/design switch</v>
      </c>
      <c r="BF1124" s="2" t="str" cm="1">
        <f t="array" ref="BF1124">IF(COUNTIF(AZ1124:BB1124,"&lt;&gt;0")=1,INDEX($V$4:$AW$4,MATCH(TRUE,INDEX($V1124:$AW1124&lt;&gt;0,),0)),IF(COUNTIF(AZ1124:BB1124,"&lt;&gt;0")=0,INDEX($AM$4:$AW$4,MATCH(1,$AM1124:$AW1124,0)),"Multiple strategies"))</f>
        <v>Technology</v>
      </c>
      <c r="BG1124" s="142" t="s">
        <v>230</v>
      </c>
      <c r="BH1124" t="s">
        <v>442</v>
      </c>
      <c r="BI1124" s="266" t="s">
        <v>3276</v>
      </c>
      <c r="BJ1124" s="143" t="s">
        <v>443</v>
      </c>
      <c r="BK1124">
        <v>0</v>
      </c>
      <c r="BL1124">
        <f t="shared" si="345"/>
        <v>132</v>
      </c>
      <c r="BM1124" s="143" t="e">
        <f t="shared" si="344"/>
        <v>#DIV/0!</v>
      </c>
      <c r="BN1124">
        <f t="shared" si="332"/>
        <v>132</v>
      </c>
      <c r="BO1124">
        <f t="shared" si="346"/>
        <v>573.16543638732094</v>
      </c>
      <c r="BP1124" t="s">
        <v>233</v>
      </c>
      <c r="BQ1124" s="260" t="s">
        <v>815</v>
      </c>
      <c r="BR1124" t="s">
        <v>444</v>
      </c>
      <c r="BS1124" s="141">
        <v>6</v>
      </c>
      <c r="BT1124" s="141">
        <v>93</v>
      </c>
      <c r="BU1124" s="144">
        <f t="shared" si="328"/>
        <v>15.5</v>
      </c>
      <c r="BV1124">
        <f t="shared" si="327"/>
        <v>87</v>
      </c>
      <c r="BX1124">
        <f t="shared" si="347"/>
        <v>319.29000000000002</v>
      </c>
      <c r="BY1124">
        <f t="shared" si="319"/>
        <v>0.55706429545454539</v>
      </c>
      <c r="BZ1124" s="143">
        <v>0</v>
      </c>
      <c r="CA1124" s="143">
        <v>0</v>
      </c>
      <c r="CB1124" s="143">
        <v>0</v>
      </c>
      <c r="CC1124" s="143">
        <v>0</v>
      </c>
      <c r="CD1124" s="143">
        <v>0</v>
      </c>
      <c r="CE1124" s="143">
        <v>0</v>
      </c>
      <c r="CF1124" s="143">
        <v>0</v>
      </c>
      <c r="CG1124" s="143">
        <v>0</v>
      </c>
      <c r="CH1124" s="143">
        <v>0</v>
      </c>
      <c r="CI1124" s="143">
        <v>0</v>
      </c>
      <c r="CJ1124" s="143">
        <v>0</v>
      </c>
      <c r="CK1124" s="143">
        <v>0</v>
      </c>
      <c r="CL1124" s="143">
        <v>0</v>
      </c>
      <c r="CM1124">
        <v>0</v>
      </c>
      <c r="CN1124" t="str">
        <f t="shared" si="334"/>
        <v>refOK</v>
      </c>
      <c r="CO1124">
        <f t="shared" si="348"/>
        <v>0</v>
      </c>
      <c r="CP1124">
        <f t="shared" si="349"/>
        <v>132</v>
      </c>
      <c r="CQ1124">
        <f t="shared" si="331"/>
        <v>573.16543638732094</v>
      </c>
      <c r="CR1124">
        <f t="shared" si="360"/>
        <v>6</v>
      </c>
      <c r="CS1124">
        <f t="shared" si="361"/>
        <v>93</v>
      </c>
      <c r="CT1124">
        <f t="shared" si="322"/>
        <v>319.29000000000002</v>
      </c>
      <c r="CU1124">
        <f t="shared" si="312"/>
        <v>0.55706429545454539</v>
      </c>
      <c r="CV1124" s="2">
        <f t="shared" si="323"/>
        <v>14.5</v>
      </c>
      <c r="CW1124" s="1" t="s">
        <v>264</v>
      </c>
      <c r="CX1124" t="str">
        <f t="shared" si="356"/>
        <v>loc</v>
      </c>
      <c r="CY1124" t="s">
        <v>445</v>
      </c>
      <c r="DB1124">
        <v>300</v>
      </c>
      <c r="DC1124" t="str">
        <f t="shared" si="357"/>
        <v>+100</v>
      </c>
      <c r="DD1124">
        <v>0</v>
      </c>
      <c r="DE1124">
        <v>0</v>
      </c>
      <c r="DF1124">
        <v>0</v>
      </c>
      <c r="DG1124">
        <v>1</v>
      </c>
      <c r="DI1124">
        <f t="shared" si="326"/>
        <v>1</v>
      </c>
      <c r="DJ1124" t="str">
        <f t="shared" si="311"/>
        <v>TimberInput</v>
      </c>
      <c r="DK1124">
        <f t="shared" si="338"/>
        <v>0</v>
      </c>
      <c r="DL1124">
        <f t="shared" si="339"/>
        <v>0</v>
      </c>
      <c r="DM1124">
        <f t="shared" si="340"/>
        <v>0</v>
      </c>
      <c r="DN1124" t="str">
        <f t="shared" si="341"/>
        <v>Timber</v>
      </c>
      <c r="DO1124">
        <v>1</v>
      </c>
      <c r="DP1124" s="143">
        <v>0</v>
      </c>
      <c r="DQ1124" s="143">
        <v>0</v>
      </c>
      <c r="DR1124" s="143">
        <v>0</v>
      </c>
      <c r="DS1124">
        <v>0</v>
      </c>
      <c r="DT1124">
        <f t="shared" si="315"/>
        <v>1</v>
      </c>
      <c r="DU1124" s="143" t="str">
        <f t="shared" si="359"/>
        <v>self-calculated DF</v>
      </c>
      <c r="DV1124">
        <v>0</v>
      </c>
      <c r="DW1124" s="143">
        <v>0</v>
      </c>
      <c r="DX1124" s="143">
        <v>1</v>
      </c>
      <c r="DY1124" s="143">
        <v>1</v>
      </c>
      <c r="DZ1124">
        <v>1</v>
      </c>
      <c r="EA1124" s="143">
        <v>1</v>
      </c>
      <c r="EB1124">
        <v>0</v>
      </c>
      <c r="EC1124" s="143">
        <v>1</v>
      </c>
      <c r="ED1124" s="143">
        <v>0</v>
      </c>
      <c r="EE1124">
        <v>0</v>
      </c>
      <c r="EF1124">
        <v>0</v>
      </c>
      <c r="EG1124" s="143">
        <v>0</v>
      </c>
      <c r="EH1124" s="143">
        <v>0</v>
      </c>
      <c r="EI1124" s="2">
        <v>0</v>
      </c>
      <c r="EK1124" t="str">
        <f t="shared" si="342"/>
        <v/>
      </c>
      <c r="EL1124" t="str">
        <f t="shared" si="343"/>
        <v/>
      </c>
      <c r="EM1124" s="2" t="str">
        <f t="shared" si="358"/>
        <v/>
      </c>
      <c r="EN1124" t="s">
        <v>446</v>
      </c>
      <c r="EP1124" t="str">
        <f>IF(ISNUMBER(BU1124),IF(ABS(BU1124-[4]QC_indicators!$B$2)&gt;3*[4]QC_indicators!$C$2,"C ratio",IF(ISNUMBER(BY1124),IF(ABS(BY1124-[4]QC_indicators!$B$1)&gt;3*[4]QC_indicators!$C$1,"DF","no"))),IF(ISNUMBER(BY1124),IF(ABS(BY1124-[4]QC_indicators!$B$1)&gt;3*[4]QC_indicators!$C$1,"DF","no")))</f>
        <v>no</v>
      </c>
      <c r="EQ1124" t="s">
        <v>451</v>
      </c>
      <c r="ET1124" s="266" t="s">
        <v>3275</v>
      </c>
    </row>
    <row r="1125" spans="1:150" ht="15" hidden="1" customHeight="1">
      <c r="A1125" s="1" t="s">
        <v>431</v>
      </c>
      <c r="B1125" t="s">
        <v>432</v>
      </c>
      <c r="C1125" t="s">
        <v>433</v>
      </c>
      <c r="D1125" t="s">
        <v>434</v>
      </c>
      <c r="E1125" t="s">
        <v>435</v>
      </c>
      <c r="F1125" t="s">
        <v>436</v>
      </c>
      <c r="G1125" t="s">
        <v>437</v>
      </c>
      <c r="H1125" t="s">
        <v>255</v>
      </c>
      <c r="I1125">
        <v>2000</v>
      </c>
      <c r="J1125">
        <v>174</v>
      </c>
      <c r="K1125" t="s">
        <v>438</v>
      </c>
      <c r="M1125" t="str">
        <f t="shared" si="310"/>
        <v>Borjesson_2000</v>
      </c>
      <c r="N1125" t="s">
        <v>223</v>
      </c>
      <c r="O1125" s="145" t="s">
        <v>224</v>
      </c>
      <c r="Q1125" t="s">
        <v>257</v>
      </c>
      <c r="R1125" s="255" t="s">
        <v>226</v>
      </c>
      <c r="S1125" s="1" t="s">
        <v>439</v>
      </c>
      <c r="T1125" t="s">
        <v>450</v>
      </c>
      <c r="U1125" t="s">
        <v>457</v>
      </c>
      <c r="V1125">
        <v>0</v>
      </c>
      <c r="W1125">
        <v>0</v>
      </c>
      <c r="X1125">
        <v>0</v>
      </c>
      <c r="Y1125">
        <v>0</v>
      </c>
      <c r="Z1125">
        <v>0</v>
      </c>
      <c r="AA1125">
        <v>0</v>
      </c>
      <c r="AB1125">
        <v>0</v>
      </c>
      <c r="AC1125">
        <v>0</v>
      </c>
      <c r="AD1125">
        <v>0</v>
      </c>
      <c r="AE1125">
        <v>0</v>
      </c>
      <c r="AF1125">
        <v>0</v>
      </c>
      <c r="AG1125">
        <v>0</v>
      </c>
      <c r="AH1125">
        <v>0</v>
      </c>
      <c r="AI1125">
        <v>0</v>
      </c>
      <c r="AJ1125">
        <v>0</v>
      </c>
      <c r="AK1125">
        <v>1</v>
      </c>
      <c r="AL1125">
        <v>0</v>
      </c>
      <c r="AM1125">
        <v>0</v>
      </c>
      <c r="AN1125">
        <v>0</v>
      </c>
      <c r="AO1125">
        <v>0</v>
      </c>
      <c r="AP1125">
        <v>0</v>
      </c>
      <c r="AQ1125">
        <v>0</v>
      </c>
      <c r="AR1125">
        <v>0</v>
      </c>
      <c r="AS1125">
        <v>0</v>
      </c>
      <c r="AT1125">
        <v>0</v>
      </c>
      <c r="AU1125">
        <v>0</v>
      </c>
      <c r="AV1125">
        <v>0</v>
      </c>
      <c r="AW1125">
        <v>0</v>
      </c>
      <c r="AX1125" s="141">
        <f t="shared" si="321"/>
        <v>1</v>
      </c>
      <c r="AY1125" s="141">
        <f t="shared" si="350"/>
        <v>1</v>
      </c>
      <c r="AZ1125">
        <f t="shared" si="351"/>
        <v>0</v>
      </c>
      <c r="BA1125">
        <f t="shared" si="352"/>
        <v>0</v>
      </c>
      <c r="BB1125">
        <f t="shared" si="353"/>
        <v>1</v>
      </c>
      <c r="BC1125">
        <f t="shared" si="354"/>
        <v>0</v>
      </c>
      <c r="BD1125">
        <f t="shared" si="355"/>
        <v>0</v>
      </c>
      <c r="BE1125" t="str">
        <f t="array" ref="BE1125">IF(AY1125=1,INDEX($V$7:$AL$7,MATCH(TRUE,INDEX($V1125:$AW1125&lt;&gt;0,),0)),IF(AY1125=0,INDEX($AM$7:$AW$7,MATCH(1,$AM1125:$AW1125,0)),IF(BF1125="Multiple strategies","mixed drivers",IF(BF1125="Supply chain","multiple supply","multiple silviculture"))))</f>
        <v>technologies/design switch</v>
      </c>
      <c r="BF1125" s="2" t="str" cm="1">
        <f t="array" ref="BF1125">IF(COUNTIF(AZ1125:BB1125,"&lt;&gt;0")=1,INDEX($V$4:$AW$4,MATCH(TRUE,INDEX($V1125:$AW1125&lt;&gt;0,),0)),IF(COUNTIF(AZ1125:BB1125,"&lt;&gt;0")=0,INDEX($AM$4:$AW$4,MATCH(1,$AM1125:$AW1125,0)),"Multiple strategies"))</f>
        <v>Technology</v>
      </c>
      <c r="BG1125" s="142" t="s">
        <v>230</v>
      </c>
      <c r="BH1125" t="s">
        <v>442</v>
      </c>
      <c r="BI1125" s="266" t="s">
        <v>3276</v>
      </c>
      <c r="BJ1125" s="143" t="s">
        <v>443</v>
      </c>
      <c r="BK1125">
        <v>0</v>
      </c>
      <c r="BL1125">
        <f t="shared" si="345"/>
        <v>132</v>
      </c>
      <c r="BM1125" s="143" t="e">
        <f t="shared" si="344"/>
        <v>#DIV/0!</v>
      </c>
      <c r="BN1125">
        <f t="shared" si="332"/>
        <v>132</v>
      </c>
      <c r="BO1125">
        <f t="shared" si="346"/>
        <v>573.16543638732094</v>
      </c>
      <c r="BP1125" t="s">
        <v>233</v>
      </c>
      <c r="BQ1125" s="260" t="s">
        <v>815</v>
      </c>
      <c r="BR1125" t="s">
        <v>444</v>
      </c>
      <c r="BS1125" s="141">
        <v>3</v>
      </c>
      <c r="BT1125" s="141">
        <v>93</v>
      </c>
      <c r="BU1125" s="144">
        <f t="shared" si="328"/>
        <v>31</v>
      </c>
      <c r="BV1125">
        <f t="shared" si="327"/>
        <v>90</v>
      </c>
      <c r="BX1125">
        <f t="shared" si="347"/>
        <v>330.3</v>
      </c>
      <c r="BY1125">
        <f t="shared" si="319"/>
        <v>0.57627340909090907</v>
      </c>
      <c r="BZ1125" s="143">
        <v>0</v>
      </c>
      <c r="CA1125" s="143">
        <v>0</v>
      </c>
      <c r="CB1125" s="143">
        <v>0</v>
      </c>
      <c r="CC1125" s="143">
        <v>0</v>
      </c>
      <c r="CD1125" s="143">
        <v>0</v>
      </c>
      <c r="CE1125" s="143">
        <v>0</v>
      </c>
      <c r="CF1125" s="143">
        <v>0</v>
      </c>
      <c r="CG1125" s="143">
        <v>0</v>
      </c>
      <c r="CH1125" s="143">
        <v>0</v>
      </c>
      <c r="CI1125" s="143">
        <v>0</v>
      </c>
      <c r="CJ1125" s="143">
        <v>0</v>
      </c>
      <c r="CK1125" s="143">
        <v>0</v>
      </c>
      <c r="CL1125" s="143">
        <v>0</v>
      </c>
      <c r="CM1125">
        <v>0</v>
      </c>
      <c r="CN1125" t="str">
        <f t="shared" si="334"/>
        <v>refOK</v>
      </c>
      <c r="CO1125">
        <f t="shared" si="348"/>
        <v>0</v>
      </c>
      <c r="CP1125">
        <f t="shared" si="349"/>
        <v>132</v>
      </c>
      <c r="CQ1125">
        <f t="shared" si="331"/>
        <v>573.16543638732094</v>
      </c>
      <c r="CR1125">
        <f t="shared" si="360"/>
        <v>3</v>
      </c>
      <c r="CS1125">
        <f t="shared" si="361"/>
        <v>93</v>
      </c>
      <c r="CT1125">
        <f t="shared" si="322"/>
        <v>330.3</v>
      </c>
      <c r="CU1125">
        <f t="shared" si="312"/>
        <v>0.57627340909090907</v>
      </c>
      <c r="CV1125" s="2">
        <f t="shared" si="323"/>
        <v>30</v>
      </c>
      <c r="CW1125" s="1" t="s">
        <v>264</v>
      </c>
      <c r="CX1125" t="str">
        <f t="shared" si="356"/>
        <v>loc</v>
      </c>
      <c r="CY1125" t="s">
        <v>445</v>
      </c>
      <c r="DB1125">
        <v>300</v>
      </c>
      <c r="DC1125" t="str">
        <f t="shared" si="357"/>
        <v>+100</v>
      </c>
      <c r="DD1125">
        <v>0</v>
      </c>
      <c r="DE1125">
        <v>0</v>
      </c>
      <c r="DF1125">
        <v>0</v>
      </c>
      <c r="DG1125">
        <v>1</v>
      </c>
      <c r="DI1125">
        <f t="shared" si="326"/>
        <v>1</v>
      </c>
      <c r="DJ1125" t="str">
        <f t="shared" si="311"/>
        <v>TimberInput</v>
      </c>
      <c r="DK1125">
        <f t="shared" si="338"/>
        <v>0</v>
      </c>
      <c r="DL1125">
        <f t="shared" si="339"/>
        <v>0</v>
      </c>
      <c r="DM1125">
        <f t="shared" si="340"/>
        <v>0</v>
      </c>
      <c r="DN1125" t="str">
        <f t="shared" si="341"/>
        <v>Timber</v>
      </c>
      <c r="DO1125">
        <v>1</v>
      </c>
      <c r="DP1125" s="143">
        <v>0</v>
      </c>
      <c r="DQ1125" s="143">
        <v>0</v>
      </c>
      <c r="DR1125" s="143">
        <v>0</v>
      </c>
      <c r="DS1125">
        <v>0</v>
      </c>
      <c r="DT1125">
        <f t="shared" si="315"/>
        <v>1</v>
      </c>
      <c r="DU1125" s="143" t="str">
        <f t="shared" si="359"/>
        <v>self-calculated DF</v>
      </c>
      <c r="DV1125">
        <v>0</v>
      </c>
      <c r="DW1125" s="143">
        <v>0</v>
      </c>
      <c r="DX1125" s="143">
        <v>1</v>
      </c>
      <c r="DY1125" s="143">
        <v>1</v>
      </c>
      <c r="DZ1125">
        <v>1</v>
      </c>
      <c r="EA1125" s="143">
        <v>1</v>
      </c>
      <c r="EB1125">
        <v>0</v>
      </c>
      <c r="EC1125" s="143">
        <v>1</v>
      </c>
      <c r="ED1125" s="143">
        <v>0</v>
      </c>
      <c r="EE1125">
        <v>0</v>
      </c>
      <c r="EF1125">
        <v>0</v>
      </c>
      <c r="EG1125" s="143">
        <v>0</v>
      </c>
      <c r="EH1125" s="143">
        <v>0</v>
      </c>
      <c r="EI1125" s="2">
        <v>0</v>
      </c>
      <c r="EK1125" t="str">
        <f t="shared" si="342"/>
        <v/>
      </c>
      <c r="EL1125" t="str">
        <f t="shared" si="343"/>
        <v/>
      </c>
      <c r="EM1125" s="2" t="str">
        <f t="shared" si="358"/>
        <v/>
      </c>
      <c r="EN1125" t="s">
        <v>446</v>
      </c>
      <c r="EP1125" t="str">
        <f>IF(ISNUMBER(BU1125),IF(ABS(BU1125-[4]QC_indicators!$B$2)&gt;3*[4]QC_indicators!$C$2,"C ratio",IF(ISNUMBER(BY1125),IF(ABS(BY1125-[4]QC_indicators!$B$1)&gt;3*[4]QC_indicators!$C$1,"DF","no"))),IF(ISNUMBER(BY1125),IF(ABS(BY1125-[4]QC_indicators!$B$1)&gt;3*[4]QC_indicators!$C$1,"DF","no")))</f>
        <v>C ratio</v>
      </c>
      <c r="EQ1125" t="s">
        <v>451</v>
      </c>
      <c r="ET1125" s="266" t="s">
        <v>3275</v>
      </c>
    </row>
    <row r="1126" spans="1:150" ht="15" hidden="1" customHeight="1">
      <c r="A1126" s="1" t="s">
        <v>431</v>
      </c>
      <c r="B1126" t="s">
        <v>432</v>
      </c>
      <c r="C1126" t="s">
        <v>433</v>
      </c>
      <c r="D1126" t="s">
        <v>434</v>
      </c>
      <c r="E1126" t="s">
        <v>435</v>
      </c>
      <c r="F1126" t="s">
        <v>436</v>
      </c>
      <c r="G1126" t="s">
        <v>437</v>
      </c>
      <c r="H1126" t="s">
        <v>255</v>
      </c>
      <c r="I1126">
        <v>2000</v>
      </c>
      <c r="J1126">
        <v>174</v>
      </c>
      <c r="K1126" t="s">
        <v>438</v>
      </c>
      <c r="M1126" t="str">
        <f t="shared" si="310"/>
        <v>Borjesson_2000</v>
      </c>
      <c r="N1126" t="s">
        <v>223</v>
      </c>
      <c r="O1126" s="145" t="s">
        <v>224</v>
      </c>
      <c r="Q1126" t="s">
        <v>257</v>
      </c>
      <c r="R1126" s="255" t="s">
        <v>226</v>
      </c>
      <c r="S1126" s="1" t="s">
        <v>476</v>
      </c>
      <c r="T1126" t="s">
        <v>477</v>
      </c>
      <c r="U1126" t="s">
        <v>478</v>
      </c>
      <c r="V1126">
        <v>0</v>
      </c>
      <c r="W1126">
        <v>0</v>
      </c>
      <c r="X1126">
        <v>0</v>
      </c>
      <c r="Y1126">
        <v>0</v>
      </c>
      <c r="Z1126">
        <v>0</v>
      </c>
      <c r="AA1126">
        <v>0</v>
      </c>
      <c r="AB1126">
        <v>0</v>
      </c>
      <c r="AC1126">
        <v>0</v>
      </c>
      <c r="AD1126">
        <v>0</v>
      </c>
      <c r="AE1126">
        <v>0</v>
      </c>
      <c r="AF1126">
        <v>0</v>
      </c>
      <c r="AG1126">
        <v>0</v>
      </c>
      <c r="AH1126">
        <v>0</v>
      </c>
      <c r="AI1126">
        <v>0</v>
      </c>
      <c r="AJ1126">
        <v>0</v>
      </c>
      <c r="AK1126">
        <v>1</v>
      </c>
      <c r="AL1126">
        <v>0</v>
      </c>
      <c r="AM1126">
        <v>0</v>
      </c>
      <c r="AN1126">
        <v>0</v>
      </c>
      <c r="AO1126">
        <v>0</v>
      </c>
      <c r="AP1126">
        <v>0</v>
      </c>
      <c r="AQ1126">
        <v>0</v>
      </c>
      <c r="AR1126">
        <v>0</v>
      </c>
      <c r="AS1126">
        <v>0</v>
      </c>
      <c r="AT1126">
        <v>0</v>
      </c>
      <c r="AU1126">
        <v>0</v>
      </c>
      <c r="AV1126">
        <v>0</v>
      </c>
      <c r="AW1126">
        <v>0</v>
      </c>
      <c r="AX1126" s="141">
        <f t="shared" si="321"/>
        <v>1</v>
      </c>
      <c r="AY1126" s="141">
        <f t="shared" si="350"/>
        <v>1</v>
      </c>
      <c r="AZ1126">
        <f t="shared" si="351"/>
        <v>0</v>
      </c>
      <c r="BA1126">
        <f t="shared" si="352"/>
        <v>0</v>
      </c>
      <c r="BB1126">
        <f t="shared" si="353"/>
        <v>1</v>
      </c>
      <c r="BC1126">
        <f t="shared" si="354"/>
        <v>0</v>
      </c>
      <c r="BD1126">
        <f t="shared" si="355"/>
        <v>0</v>
      </c>
      <c r="BE1126" t="str">
        <f t="array" ref="BE1126">IF(AY1126=1,INDEX($V$7:$AL$7,MATCH(TRUE,INDEX($V1126:$AW1126&lt;&gt;0,),0)),IF(AY1126=0,INDEX($AM$7:$AW$7,MATCH(1,$AM1126:$AW1126,0)),IF(BF1126="Multiple strategies","mixed drivers",IF(BF1126="Supply chain","multiple supply","multiple silviculture"))))</f>
        <v>technologies/design switch</v>
      </c>
      <c r="BF1126" s="2" t="str" cm="1">
        <f t="array" ref="BF1126">IF(COUNTIF(AZ1126:BB1126,"&lt;&gt;0")=1,INDEX($V$4:$AW$4,MATCH(TRUE,INDEX($V1126:$AW1126&lt;&gt;0,),0)),IF(COUNTIF(AZ1126:BB1126,"&lt;&gt;0")=0,INDEX($AM$4:$AW$4,MATCH(1,$AM1126:$AW1126,0)),"Multiple strategies"))</f>
        <v>Technology</v>
      </c>
      <c r="BG1126" s="142" t="s">
        <v>322</v>
      </c>
      <c r="BH1126" t="s">
        <v>479</v>
      </c>
      <c r="BI1126" s="266" t="s">
        <v>3277</v>
      </c>
      <c r="BJ1126" t="s">
        <v>443</v>
      </c>
      <c r="BK1126">
        <v>0</v>
      </c>
      <c r="BL1126">
        <v>54</v>
      </c>
      <c r="BM1126" s="143"/>
      <c r="BN1126">
        <f t="shared" si="332"/>
        <v>54</v>
      </c>
      <c r="BO1126">
        <f t="shared" si="346"/>
        <v>234.47676943117673</v>
      </c>
      <c r="BP1126" t="s">
        <v>233</v>
      </c>
      <c r="BQ1126" s="260" t="s">
        <v>815</v>
      </c>
      <c r="BR1126" t="s">
        <v>444</v>
      </c>
      <c r="BS1126" s="141">
        <v>6</v>
      </c>
      <c r="BT1126" s="141">
        <v>17</v>
      </c>
      <c r="BU1126" s="144">
        <f t="shared" si="328"/>
        <v>2.8333333333333335</v>
      </c>
      <c r="BV1126">
        <f t="shared" si="327"/>
        <v>11</v>
      </c>
      <c r="BX1126">
        <f t="shared" si="347"/>
        <v>40.369999999999997</v>
      </c>
      <c r="BY1126">
        <f t="shared" si="319"/>
        <v>0.17217057407407405</v>
      </c>
      <c r="BZ1126" s="143">
        <v>0</v>
      </c>
      <c r="CA1126" s="143">
        <v>0</v>
      </c>
      <c r="CB1126" s="143">
        <v>0</v>
      </c>
      <c r="CC1126" s="143">
        <v>0</v>
      </c>
      <c r="CD1126" s="143">
        <v>0</v>
      </c>
      <c r="CE1126" s="143">
        <v>0</v>
      </c>
      <c r="CF1126" s="143">
        <v>0</v>
      </c>
      <c r="CG1126" s="143">
        <v>0</v>
      </c>
      <c r="CH1126" s="143">
        <v>0</v>
      </c>
      <c r="CI1126" s="143">
        <v>0</v>
      </c>
      <c r="CJ1126" s="143">
        <v>0</v>
      </c>
      <c r="CK1126" s="143">
        <v>0</v>
      </c>
      <c r="CL1126" s="143">
        <v>0</v>
      </c>
      <c r="CM1126">
        <v>0</v>
      </c>
      <c r="CN1126" t="str">
        <f t="shared" si="334"/>
        <v>refOK</v>
      </c>
      <c r="CO1126">
        <f t="shared" si="348"/>
        <v>0</v>
      </c>
      <c r="CP1126">
        <f t="shared" si="349"/>
        <v>54</v>
      </c>
      <c r="CQ1126">
        <f t="shared" si="331"/>
        <v>234.47676943117673</v>
      </c>
      <c r="CR1126">
        <f t="shared" si="360"/>
        <v>6</v>
      </c>
      <c r="CS1126">
        <f t="shared" si="361"/>
        <v>17</v>
      </c>
      <c r="CT1126">
        <f t="shared" si="322"/>
        <v>40.369999999999997</v>
      </c>
      <c r="CU1126">
        <f t="shared" si="312"/>
        <v>0.17217057407407405</v>
      </c>
      <c r="CV1126" s="2">
        <f t="shared" si="323"/>
        <v>1.8333333333333333</v>
      </c>
      <c r="CW1126" s="1" t="s">
        <v>264</v>
      </c>
      <c r="CX1126" t="str">
        <f t="shared" si="356"/>
        <v>loc</v>
      </c>
      <c r="CY1126" t="s">
        <v>445</v>
      </c>
      <c r="DB1126">
        <v>300</v>
      </c>
      <c r="DC1126" t="str">
        <f t="shared" si="357"/>
        <v>+100</v>
      </c>
      <c r="DD1126">
        <v>0</v>
      </c>
      <c r="DE1126">
        <v>1</v>
      </c>
      <c r="DF1126">
        <v>0</v>
      </c>
      <c r="DG1126">
        <v>0</v>
      </c>
      <c r="DI1126">
        <f t="shared" si="326"/>
        <v>1</v>
      </c>
      <c r="DJ1126" t="str">
        <f t="shared" si="311"/>
        <v>EnergyInput</v>
      </c>
      <c r="DK1126">
        <f t="shared" si="338"/>
        <v>0</v>
      </c>
      <c r="DL1126" t="str">
        <f t="shared" si="339"/>
        <v>Energy</v>
      </c>
      <c r="DM1126">
        <f t="shared" si="340"/>
        <v>0</v>
      </c>
      <c r="DN1126">
        <f t="shared" si="341"/>
        <v>0</v>
      </c>
      <c r="DO1126">
        <v>1</v>
      </c>
      <c r="DP1126" s="143">
        <v>0</v>
      </c>
      <c r="DQ1126" s="143">
        <v>0</v>
      </c>
      <c r="DR1126" s="143">
        <v>0</v>
      </c>
      <c r="DS1126">
        <v>0</v>
      </c>
      <c r="DT1126">
        <f t="shared" si="315"/>
        <v>1</v>
      </c>
      <c r="DU1126" s="143" t="str">
        <f t="shared" si="359"/>
        <v>self-calculated DF</v>
      </c>
      <c r="DV1126">
        <v>0</v>
      </c>
      <c r="DW1126" s="143">
        <v>0</v>
      </c>
      <c r="DX1126" s="143">
        <v>1</v>
      </c>
      <c r="DY1126" s="143">
        <v>1</v>
      </c>
      <c r="DZ1126">
        <v>1</v>
      </c>
      <c r="EA1126" s="143">
        <v>1</v>
      </c>
      <c r="EB1126">
        <v>0</v>
      </c>
      <c r="EC1126" s="143">
        <v>1</v>
      </c>
      <c r="ED1126" s="143">
        <v>0</v>
      </c>
      <c r="EE1126">
        <v>0</v>
      </c>
      <c r="EF1126">
        <v>0</v>
      </c>
      <c r="EG1126" s="143">
        <v>0</v>
      </c>
      <c r="EH1126" s="143">
        <v>0</v>
      </c>
      <c r="EI1126" s="2">
        <v>0</v>
      </c>
      <c r="EK1126" t="str">
        <f t="shared" si="342"/>
        <v/>
      </c>
      <c r="EL1126" t="str">
        <f t="shared" si="343"/>
        <v/>
      </c>
      <c r="EM1126" s="2" t="str">
        <f t="shared" si="358"/>
        <v/>
      </c>
      <c r="EP1126" t="str">
        <f>IF(ISNUMBER(BU1126),IF(ABS(BU1126-[4]QC_indicators!$B$2)&gt;3*[4]QC_indicators!$C$2,"C ratio",IF(ISNUMBER(BY1126),IF(ABS(BY1126-[4]QC_indicators!$B$1)&gt;3*[4]QC_indicators!$C$1,"DF","no"))),IF(ISNUMBER(BY1126),IF(ABS(BY1126-[4]QC_indicators!$B$1)&gt;3*[4]QC_indicators!$C$1,"DF","no")))</f>
        <v>no</v>
      </c>
      <c r="ER1126" t="s">
        <v>480</v>
      </c>
      <c r="ET1126" s="266" t="s">
        <v>3275</v>
      </c>
    </row>
    <row r="1127" spans="1:150" ht="15" hidden="1" customHeight="1">
      <c r="A1127" s="1" t="s">
        <v>431</v>
      </c>
      <c r="B1127" t="s">
        <v>432</v>
      </c>
      <c r="C1127" t="s">
        <v>433</v>
      </c>
      <c r="D1127" t="s">
        <v>434</v>
      </c>
      <c r="E1127" t="s">
        <v>435</v>
      </c>
      <c r="F1127" t="s">
        <v>436</v>
      </c>
      <c r="G1127" t="s">
        <v>437</v>
      </c>
      <c r="H1127" t="s">
        <v>255</v>
      </c>
      <c r="I1127">
        <v>2000</v>
      </c>
      <c r="J1127">
        <v>174</v>
      </c>
      <c r="K1127" t="s">
        <v>438</v>
      </c>
      <c r="M1127" t="str">
        <f t="shared" si="310"/>
        <v>Borjesson_2000</v>
      </c>
      <c r="N1127" t="s">
        <v>223</v>
      </c>
      <c r="O1127" s="145" t="s">
        <v>224</v>
      </c>
      <c r="Q1127" t="s">
        <v>257</v>
      </c>
      <c r="R1127" s="255" t="s">
        <v>226</v>
      </c>
      <c r="S1127" s="1" t="s">
        <v>476</v>
      </c>
      <c r="T1127" t="s">
        <v>481</v>
      </c>
      <c r="U1127" t="s">
        <v>482</v>
      </c>
      <c r="V1127">
        <v>0</v>
      </c>
      <c r="W1127">
        <v>0</v>
      </c>
      <c r="X1127">
        <v>0</v>
      </c>
      <c r="Y1127">
        <v>0</v>
      </c>
      <c r="Z1127">
        <v>0</v>
      </c>
      <c r="AA1127">
        <v>0</v>
      </c>
      <c r="AB1127">
        <v>0</v>
      </c>
      <c r="AC1127">
        <v>0</v>
      </c>
      <c r="AD1127">
        <v>0</v>
      </c>
      <c r="AE1127">
        <v>0</v>
      </c>
      <c r="AF1127">
        <v>0</v>
      </c>
      <c r="AG1127">
        <v>0</v>
      </c>
      <c r="AH1127">
        <v>0</v>
      </c>
      <c r="AI1127">
        <v>0</v>
      </c>
      <c r="AJ1127">
        <v>0</v>
      </c>
      <c r="AK1127">
        <v>1</v>
      </c>
      <c r="AL1127">
        <v>0</v>
      </c>
      <c r="AM1127">
        <v>0</v>
      </c>
      <c r="AN1127">
        <v>0</v>
      </c>
      <c r="AO1127">
        <v>0</v>
      </c>
      <c r="AP1127">
        <v>0</v>
      </c>
      <c r="AQ1127">
        <v>0</v>
      </c>
      <c r="AR1127">
        <v>0</v>
      </c>
      <c r="AS1127">
        <v>0</v>
      </c>
      <c r="AT1127">
        <v>0</v>
      </c>
      <c r="AU1127">
        <v>0</v>
      </c>
      <c r="AV1127">
        <v>0</v>
      </c>
      <c r="AW1127">
        <v>0</v>
      </c>
      <c r="AX1127" s="141">
        <f t="shared" si="321"/>
        <v>1</v>
      </c>
      <c r="AY1127" s="141">
        <f t="shared" si="350"/>
        <v>1</v>
      </c>
      <c r="AZ1127">
        <f t="shared" si="351"/>
        <v>0</v>
      </c>
      <c r="BA1127">
        <f t="shared" si="352"/>
        <v>0</v>
      </c>
      <c r="BB1127">
        <f t="shared" si="353"/>
        <v>1</v>
      </c>
      <c r="BC1127">
        <f t="shared" si="354"/>
        <v>0</v>
      </c>
      <c r="BD1127">
        <f t="shared" si="355"/>
        <v>0</v>
      </c>
      <c r="BE1127" t="str">
        <f t="array" ref="BE1127">IF(AY1127=1,INDEX($V$7:$AL$7,MATCH(TRUE,INDEX($V1127:$AW1127&lt;&gt;0,),0)),IF(AY1127=0,INDEX($AM$7:$AW$7,MATCH(1,$AM1127:$AW1127,0)),IF(BF1127="Multiple strategies","mixed drivers",IF(BF1127="Supply chain","multiple supply","multiple silviculture"))))</f>
        <v>technologies/design switch</v>
      </c>
      <c r="BF1127" s="2" t="str" cm="1">
        <f t="array" ref="BF1127">IF(COUNTIF(AZ1127:BB1127,"&lt;&gt;0")=1,INDEX($V$4:$AW$4,MATCH(TRUE,INDEX($V1127:$AW1127&lt;&gt;0,),0)),IF(COUNTIF(AZ1127:BB1127,"&lt;&gt;0")=0,INDEX($AM$4:$AW$4,MATCH(1,$AM1127:$AW1127,0)),"Multiple strategies"))</f>
        <v>Technology</v>
      </c>
      <c r="BG1127" s="142" t="s">
        <v>322</v>
      </c>
      <c r="BH1127" t="s">
        <v>479</v>
      </c>
      <c r="BI1127" s="266" t="s">
        <v>3278</v>
      </c>
      <c r="BJ1127" t="s">
        <v>443</v>
      </c>
      <c r="BK1127">
        <v>0</v>
      </c>
      <c r="BL1127">
        <v>45</v>
      </c>
      <c r="BM1127" s="143"/>
      <c r="BN1127">
        <f t="shared" si="332"/>
        <v>45</v>
      </c>
      <c r="BO1127">
        <f t="shared" si="346"/>
        <v>195.39730785931394</v>
      </c>
      <c r="BP1127" t="s">
        <v>233</v>
      </c>
      <c r="BQ1127" s="260" t="s">
        <v>815</v>
      </c>
      <c r="BR1127" t="s">
        <v>444</v>
      </c>
      <c r="BS1127" s="141">
        <v>3</v>
      </c>
      <c r="BT1127" s="141">
        <v>12</v>
      </c>
      <c r="BU1127" s="144">
        <f t="shared" si="328"/>
        <v>4</v>
      </c>
      <c r="BV1127">
        <f t="shared" si="327"/>
        <v>9</v>
      </c>
      <c r="BX1127">
        <f t="shared" si="347"/>
        <v>33.03</v>
      </c>
      <c r="BY1127">
        <f t="shared" si="319"/>
        <v>0.1690402</v>
      </c>
      <c r="BZ1127" s="143">
        <v>0</v>
      </c>
      <c r="CA1127" s="143">
        <v>0</v>
      </c>
      <c r="CB1127" s="143">
        <v>0</v>
      </c>
      <c r="CC1127" s="143">
        <v>0</v>
      </c>
      <c r="CD1127" s="143">
        <v>0</v>
      </c>
      <c r="CE1127" s="143">
        <v>0</v>
      </c>
      <c r="CF1127" s="143">
        <v>0</v>
      </c>
      <c r="CG1127" s="143">
        <v>0</v>
      </c>
      <c r="CH1127" s="143">
        <v>0</v>
      </c>
      <c r="CI1127" s="143">
        <v>0</v>
      </c>
      <c r="CJ1127" s="143">
        <v>0</v>
      </c>
      <c r="CK1127" s="143">
        <v>0</v>
      </c>
      <c r="CL1127" s="143">
        <v>0</v>
      </c>
      <c r="CM1127">
        <v>0</v>
      </c>
      <c r="CN1127" t="str">
        <f t="shared" si="334"/>
        <v>refOK</v>
      </c>
      <c r="CO1127">
        <f t="shared" si="348"/>
        <v>0</v>
      </c>
      <c r="CP1127">
        <f t="shared" si="349"/>
        <v>45</v>
      </c>
      <c r="CQ1127">
        <f t="shared" si="331"/>
        <v>195.39730785931394</v>
      </c>
      <c r="CR1127">
        <f t="shared" si="360"/>
        <v>3</v>
      </c>
      <c r="CS1127">
        <f t="shared" si="361"/>
        <v>12</v>
      </c>
      <c r="CT1127">
        <f t="shared" si="322"/>
        <v>33.03</v>
      </c>
      <c r="CU1127">
        <f t="shared" si="312"/>
        <v>0.1690402</v>
      </c>
      <c r="CV1127" s="2">
        <f t="shared" si="323"/>
        <v>3</v>
      </c>
      <c r="CW1127" s="1" t="s">
        <v>264</v>
      </c>
      <c r="CX1127" t="str">
        <f t="shared" si="356"/>
        <v>loc</v>
      </c>
      <c r="CY1127" t="s">
        <v>445</v>
      </c>
      <c r="DB1127">
        <v>300</v>
      </c>
      <c r="DC1127" t="str">
        <f t="shared" si="357"/>
        <v>+100</v>
      </c>
      <c r="DD1127">
        <v>0</v>
      </c>
      <c r="DE1127">
        <v>1</v>
      </c>
      <c r="DF1127">
        <v>0</v>
      </c>
      <c r="DG1127">
        <v>0</v>
      </c>
      <c r="DI1127">
        <f t="shared" si="326"/>
        <v>1</v>
      </c>
      <c r="DJ1127" t="str">
        <f t="shared" si="311"/>
        <v>EnergyInput</v>
      </c>
      <c r="DK1127">
        <f t="shared" si="338"/>
        <v>0</v>
      </c>
      <c r="DL1127" t="str">
        <f t="shared" si="339"/>
        <v>Energy</v>
      </c>
      <c r="DM1127">
        <f t="shared" si="340"/>
        <v>0</v>
      </c>
      <c r="DN1127">
        <f t="shared" si="341"/>
        <v>0</v>
      </c>
      <c r="DO1127">
        <v>1</v>
      </c>
      <c r="DP1127" s="143">
        <v>0</v>
      </c>
      <c r="DQ1127" s="143">
        <v>0</v>
      </c>
      <c r="DR1127" s="143">
        <v>0</v>
      </c>
      <c r="DS1127">
        <v>0</v>
      </c>
      <c r="DT1127">
        <f t="shared" si="315"/>
        <v>1</v>
      </c>
      <c r="DU1127" s="143" t="str">
        <f t="shared" si="359"/>
        <v>self-calculated DF</v>
      </c>
      <c r="DV1127">
        <v>0</v>
      </c>
      <c r="DW1127" s="143">
        <v>0</v>
      </c>
      <c r="DX1127" s="143">
        <v>1</v>
      </c>
      <c r="DY1127" s="143">
        <v>1</v>
      </c>
      <c r="DZ1127">
        <v>1</v>
      </c>
      <c r="EA1127" s="143">
        <v>1</v>
      </c>
      <c r="EB1127">
        <v>0</v>
      </c>
      <c r="EC1127" s="143">
        <v>1</v>
      </c>
      <c r="ED1127" s="143">
        <v>0</v>
      </c>
      <c r="EE1127">
        <v>0</v>
      </c>
      <c r="EF1127">
        <v>0</v>
      </c>
      <c r="EG1127" s="143">
        <v>0</v>
      </c>
      <c r="EH1127" s="143">
        <v>0</v>
      </c>
      <c r="EI1127" s="2">
        <v>0</v>
      </c>
      <c r="EK1127" t="str">
        <f t="shared" si="342"/>
        <v/>
      </c>
      <c r="EL1127" t="str">
        <f t="shared" si="343"/>
        <v/>
      </c>
      <c r="EM1127" s="2" t="str">
        <f t="shared" si="358"/>
        <v/>
      </c>
      <c r="EP1127" t="str">
        <f>IF(ISNUMBER(BU1127),IF(ABS(BU1127-[4]QC_indicators!$B$2)&gt;3*[4]QC_indicators!$C$2,"C ratio",IF(ISNUMBER(BY1127),IF(ABS(BY1127-[4]QC_indicators!$B$1)&gt;3*[4]QC_indicators!$C$1,"DF","no"))),IF(ISNUMBER(BY1127),IF(ABS(BY1127-[4]QC_indicators!$B$1)&gt;3*[4]QC_indicators!$C$1,"DF","no")))</f>
        <v>no</v>
      </c>
      <c r="ER1127" t="s">
        <v>480</v>
      </c>
      <c r="ET1127" s="266" t="s">
        <v>3275</v>
      </c>
    </row>
    <row r="1128" spans="1:150" ht="15" hidden="1" customHeight="1">
      <c r="A1128" s="1" t="s">
        <v>431</v>
      </c>
      <c r="B1128" t="s">
        <v>432</v>
      </c>
      <c r="C1128" t="s">
        <v>433</v>
      </c>
      <c r="D1128" t="s">
        <v>434</v>
      </c>
      <c r="E1128" t="s">
        <v>435</v>
      </c>
      <c r="F1128" t="s">
        <v>436</v>
      </c>
      <c r="G1128" t="s">
        <v>437</v>
      </c>
      <c r="H1128" t="s">
        <v>255</v>
      </c>
      <c r="I1128">
        <v>2000</v>
      </c>
      <c r="J1128">
        <v>174</v>
      </c>
      <c r="K1128" t="s">
        <v>438</v>
      </c>
      <c r="M1128" t="str">
        <f t="shared" si="310"/>
        <v>Borjesson_2000</v>
      </c>
      <c r="N1128" t="s">
        <v>223</v>
      </c>
      <c r="O1128" s="145" t="s">
        <v>224</v>
      </c>
      <c r="Q1128" t="s">
        <v>257</v>
      </c>
      <c r="R1128" s="255" t="s">
        <v>226</v>
      </c>
      <c r="S1128" s="1" t="s">
        <v>476</v>
      </c>
      <c r="T1128" t="s">
        <v>477</v>
      </c>
      <c r="U1128" t="s">
        <v>483</v>
      </c>
      <c r="V1128">
        <v>0</v>
      </c>
      <c r="W1128">
        <v>0</v>
      </c>
      <c r="X1128">
        <v>0</v>
      </c>
      <c r="Y1128">
        <v>0</v>
      </c>
      <c r="Z1128">
        <v>0</v>
      </c>
      <c r="AA1128">
        <v>0</v>
      </c>
      <c r="AB1128">
        <v>0</v>
      </c>
      <c r="AC1128">
        <v>0</v>
      </c>
      <c r="AD1128">
        <v>0</v>
      </c>
      <c r="AE1128">
        <v>0</v>
      </c>
      <c r="AF1128">
        <v>0</v>
      </c>
      <c r="AG1128">
        <v>0</v>
      </c>
      <c r="AH1128">
        <v>0</v>
      </c>
      <c r="AI1128">
        <v>0</v>
      </c>
      <c r="AJ1128">
        <v>0</v>
      </c>
      <c r="AK1128">
        <v>1</v>
      </c>
      <c r="AL1128">
        <v>0</v>
      </c>
      <c r="AM1128">
        <v>0</v>
      </c>
      <c r="AN1128">
        <v>0</v>
      </c>
      <c r="AO1128">
        <v>0</v>
      </c>
      <c r="AP1128">
        <v>0</v>
      </c>
      <c r="AQ1128">
        <v>0</v>
      </c>
      <c r="AR1128">
        <v>0</v>
      </c>
      <c r="AS1128">
        <v>0</v>
      </c>
      <c r="AT1128">
        <v>0</v>
      </c>
      <c r="AU1128">
        <v>0</v>
      </c>
      <c r="AV1128">
        <v>0</v>
      </c>
      <c r="AW1128">
        <v>0</v>
      </c>
      <c r="AX1128" s="141">
        <f t="shared" si="321"/>
        <v>1</v>
      </c>
      <c r="AY1128" s="141">
        <f t="shared" si="350"/>
        <v>1</v>
      </c>
      <c r="AZ1128">
        <f t="shared" si="351"/>
        <v>0</v>
      </c>
      <c r="BA1128">
        <f t="shared" si="352"/>
        <v>0</v>
      </c>
      <c r="BB1128">
        <f t="shared" si="353"/>
        <v>1</v>
      </c>
      <c r="BC1128">
        <f t="shared" si="354"/>
        <v>0</v>
      </c>
      <c r="BD1128">
        <f t="shared" si="355"/>
        <v>0</v>
      </c>
      <c r="BE1128" t="str">
        <f t="array" ref="BE1128">IF(AY1128=1,INDEX($V$7:$AL$7,MATCH(TRUE,INDEX($V1128:$AW1128&lt;&gt;0,),0)),IF(AY1128=0,INDEX($AM$7:$AW$7,MATCH(1,$AM1128:$AW1128,0)),IF(BF1128="Multiple strategies","mixed drivers",IF(BF1128="Supply chain","multiple supply","multiple silviculture"))))</f>
        <v>technologies/design switch</v>
      </c>
      <c r="BF1128" s="2" t="str" cm="1">
        <f t="array" ref="BF1128">IF(COUNTIF(AZ1128:BB1128,"&lt;&gt;0")=1,INDEX($V$4:$AW$4,MATCH(TRUE,INDEX($V1128:$AW1128&lt;&gt;0,),0)),IF(COUNTIF(AZ1128:BB1128,"&lt;&gt;0")=0,INDEX($AM$4:$AW$4,MATCH(1,$AM1128:$AW1128,0)),"Multiple strategies"))</f>
        <v>Technology</v>
      </c>
      <c r="BG1128" s="142" t="s">
        <v>322</v>
      </c>
      <c r="BH1128" t="s">
        <v>479</v>
      </c>
      <c r="BI1128" s="266" t="s">
        <v>3277</v>
      </c>
      <c r="BJ1128" t="s">
        <v>443</v>
      </c>
      <c r="BK1128">
        <v>0</v>
      </c>
      <c r="BL1128">
        <v>54</v>
      </c>
      <c r="BM1128" s="143"/>
      <c r="BN1128">
        <f t="shared" si="332"/>
        <v>54</v>
      </c>
      <c r="BO1128">
        <f t="shared" si="346"/>
        <v>234.47676943117673</v>
      </c>
      <c r="BP1128" t="s">
        <v>233</v>
      </c>
      <c r="BQ1128" s="260" t="s">
        <v>815</v>
      </c>
      <c r="BR1128" t="s">
        <v>444</v>
      </c>
      <c r="BS1128" s="141">
        <v>6</v>
      </c>
      <c r="BT1128" s="141">
        <v>25</v>
      </c>
      <c r="BU1128" s="144">
        <f t="shared" si="328"/>
        <v>4.166666666666667</v>
      </c>
      <c r="BV1128">
        <f t="shared" si="327"/>
        <v>19</v>
      </c>
      <c r="BX1128">
        <f t="shared" si="347"/>
        <v>69.73</v>
      </c>
      <c r="BY1128">
        <f t="shared" si="319"/>
        <v>0.29738553703703702</v>
      </c>
      <c r="BZ1128" s="143">
        <v>0</v>
      </c>
      <c r="CA1128" s="143">
        <v>0</v>
      </c>
      <c r="CB1128" s="143">
        <v>0</v>
      </c>
      <c r="CC1128" s="143">
        <v>0</v>
      </c>
      <c r="CD1128" s="143">
        <v>0</v>
      </c>
      <c r="CE1128" s="143">
        <v>0</v>
      </c>
      <c r="CF1128" s="143">
        <v>0</v>
      </c>
      <c r="CG1128" s="143">
        <v>0</v>
      </c>
      <c r="CH1128" s="143">
        <v>0</v>
      </c>
      <c r="CI1128" s="143">
        <v>0</v>
      </c>
      <c r="CJ1128" s="143">
        <v>0</v>
      </c>
      <c r="CK1128" s="143">
        <v>0</v>
      </c>
      <c r="CL1128" s="143">
        <v>0</v>
      </c>
      <c r="CM1128">
        <v>0</v>
      </c>
      <c r="CN1128" t="str">
        <f t="shared" si="334"/>
        <v>refOK</v>
      </c>
      <c r="CO1128">
        <f t="shared" si="348"/>
        <v>0</v>
      </c>
      <c r="CP1128">
        <f t="shared" si="349"/>
        <v>54</v>
      </c>
      <c r="CQ1128">
        <f t="shared" si="331"/>
        <v>234.47676943117673</v>
      </c>
      <c r="CR1128">
        <f t="shared" si="360"/>
        <v>6</v>
      </c>
      <c r="CS1128">
        <f t="shared" si="361"/>
        <v>25</v>
      </c>
      <c r="CT1128">
        <f t="shared" si="322"/>
        <v>69.73</v>
      </c>
      <c r="CU1128">
        <f t="shared" si="312"/>
        <v>0.29738553703703702</v>
      </c>
      <c r="CV1128" s="2">
        <f t="shared" si="323"/>
        <v>3.1666666666666665</v>
      </c>
      <c r="CW1128" s="1" t="s">
        <v>264</v>
      </c>
      <c r="CX1128" t="str">
        <f t="shared" si="356"/>
        <v>loc</v>
      </c>
      <c r="CY1128" t="s">
        <v>445</v>
      </c>
      <c r="DB1128">
        <v>300</v>
      </c>
      <c r="DC1128" t="str">
        <f t="shared" si="357"/>
        <v>+100</v>
      </c>
      <c r="DD1128">
        <v>0</v>
      </c>
      <c r="DE1128">
        <v>1</v>
      </c>
      <c r="DF1128">
        <v>0</v>
      </c>
      <c r="DG1128">
        <v>0</v>
      </c>
      <c r="DI1128">
        <f t="shared" si="326"/>
        <v>1</v>
      </c>
      <c r="DJ1128" t="str">
        <f t="shared" si="311"/>
        <v>EnergyInput</v>
      </c>
      <c r="DK1128">
        <f t="shared" si="338"/>
        <v>0</v>
      </c>
      <c r="DL1128" t="str">
        <f t="shared" si="339"/>
        <v>Energy</v>
      </c>
      <c r="DM1128">
        <f t="shared" si="340"/>
        <v>0</v>
      </c>
      <c r="DN1128">
        <f t="shared" si="341"/>
        <v>0</v>
      </c>
      <c r="DO1128">
        <v>1</v>
      </c>
      <c r="DP1128" s="143">
        <v>0</v>
      </c>
      <c r="DQ1128" s="143">
        <v>0</v>
      </c>
      <c r="DR1128" s="143">
        <v>0</v>
      </c>
      <c r="DS1128">
        <v>0</v>
      </c>
      <c r="DT1128">
        <f t="shared" si="315"/>
        <v>1</v>
      </c>
      <c r="DU1128" s="143" t="str">
        <f t="shared" si="359"/>
        <v>self-calculated DF</v>
      </c>
      <c r="DV1128">
        <v>0</v>
      </c>
      <c r="DW1128" s="143">
        <v>0</v>
      </c>
      <c r="DX1128" s="143">
        <v>1</v>
      </c>
      <c r="DY1128" s="143">
        <v>1</v>
      </c>
      <c r="DZ1128">
        <v>1</v>
      </c>
      <c r="EA1128" s="143">
        <v>1</v>
      </c>
      <c r="EB1128">
        <v>0</v>
      </c>
      <c r="EC1128" s="143">
        <v>1</v>
      </c>
      <c r="ED1128" s="143">
        <v>0</v>
      </c>
      <c r="EE1128">
        <v>0</v>
      </c>
      <c r="EF1128">
        <v>0</v>
      </c>
      <c r="EG1128" s="143">
        <v>0</v>
      </c>
      <c r="EH1128" s="143">
        <v>0</v>
      </c>
      <c r="EI1128" s="2">
        <v>0</v>
      </c>
      <c r="EK1128" t="str">
        <f t="shared" si="342"/>
        <v/>
      </c>
      <c r="EL1128" t="str">
        <f t="shared" si="343"/>
        <v/>
      </c>
      <c r="EM1128" s="2" t="str">
        <f t="shared" si="358"/>
        <v/>
      </c>
      <c r="EP1128" t="str">
        <f>IF(ISNUMBER(BU1128),IF(ABS(BU1128-[4]QC_indicators!$B$2)&gt;3*[4]QC_indicators!$C$2,"C ratio",IF(ISNUMBER(BY1128),IF(ABS(BY1128-[4]QC_indicators!$B$1)&gt;3*[4]QC_indicators!$C$1,"DF","no"))),IF(ISNUMBER(BY1128),IF(ABS(BY1128-[4]QC_indicators!$B$1)&gt;3*[4]QC_indicators!$C$1,"DF","no")))</f>
        <v>no</v>
      </c>
      <c r="ER1128" t="s">
        <v>480</v>
      </c>
      <c r="ET1128" s="266" t="s">
        <v>3275</v>
      </c>
    </row>
    <row r="1129" spans="1:150" ht="15" hidden="1" customHeight="1">
      <c r="A1129" s="1" t="s">
        <v>431</v>
      </c>
      <c r="B1129" t="s">
        <v>432</v>
      </c>
      <c r="C1129" t="s">
        <v>433</v>
      </c>
      <c r="D1129" t="s">
        <v>434</v>
      </c>
      <c r="E1129" t="s">
        <v>435</v>
      </c>
      <c r="F1129" t="s">
        <v>436</v>
      </c>
      <c r="G1129" t="s">
        <v>437</v>
      </c>
      <c r="H1129" t="s">
        <v>255</v>
      </c>
      <c r="I1129">
        <v>2000</v>
      </c>
      <c r="J1129">
        <v>174</v>
      </c>
      <c r="K1129" t="s">
        <v>438</v>
      </c>
      <c r="M1129" t="str">
        <f t="shared" si="310"/>
        <v>Borjesson_2000</v>
      </c>
      <c r="N1129" t="s">
        <v>223</v>
      </c>
      <c r="O1129" s="145" t="s">
        <v>224</v>
      </c>
      <c r="Q1129" t="s">
        <v>257</v>
      </c>
      <c r="R1129" s="255" t="s">
        <v>226</v>
      </c>
      <c r="S1129" s="1" t="s">
        <v>476</v>
      </c>
      <c r="T1129" t="s">
        <v>481</v>
      </c>
      <c r="U1129" t="s">
        <v>484</v>
      </c>
      <c r="V1129">
        <v>0</v>
      </c>
      <c r="W1129">
        <v>0</v>
      </c>
      <c r="X1129">
        <v>0</v>
      </c>
      <c r="Y1129">
        <v>0</v>
      </c>
      <c r="Z1129">
        <v>0</v>
      </c>
      <c r="AA1129">
        <v>0</v>
      </c>
      <c r="AB1129">
        <v>0</v>
      </c>
      <c r="AC1129">
        <v>0</v>
      </c>
      <c r="AD1129">
        <v>0</v>
      </c>
      <c r="AE1129">
        <v>0</v>
      </c>
      <c r="AF1129">
        <v>0</v>
      </c>
      <c r="AG1129">
        <v>0</v>
      </c>
      <c r="AH1129">
        <v>0</v>
      </c>
      <c r="AI1129">
        <v>0</v>
      </c>
      <c r="AJ1129">
        <v>0</v>
      </c>
      <c r="AK1129">
        <v>1</v>
      </c>
      <c r="AL1129">
        <v>0</v>
      </c>
      <c r="AM1129">
        <v>0</v>
      </c>
      <c r="AN1129">
        <v>0</v>
      </c>
      <c r="AO1129">
        <v>0</v>
      </c>
      <c r="AP1129">
        <v>0</v>
      </c>
      <c r="AQ1129">
        <v>0</v>
      </c>
      <c r="AR1129">
        <v>0</v>
      </c>
      <c r="AS1129">
        <v>0</v>
      </c>
      <c r="AT1129">
        <v>0</v>
      </c>
      <c r="AU1129">
        <v>0</v>
      </c>
      <c r="AV1129">
        <v>0</v>
      </c>
      <c r="AW1129">
        <v>0</v>
      </c>
      <c r="AX1129" s="141">
        <f t="shared" si="321"/>
        <v>1</v>
      </c>
      <c r="AY1129" s="141">
        <f t="shared" si="350"/>
        <v>1</v>
      </c>
      <c r="AZ1129">
        <f t="shared" si="351"/>
        <v>0</v>
      </c>
      <c r="BA1129">
        <f t="shared" si="352"/>
        <v>0</v>
      </c>
      <c r="BB1129">
        <f t="shared" si="353"/>
        <v>1</v>
      </c>
      <c r="BC1129">
        <f t="shared" si="354"/>
        <v>0</v>
      </c>
      <c r="BD1129">
        <f t="shared" si="355"/>
        <v>0</v>
      </c>
      <c r="BE1129" t="str">
        <f t="array" ref="BE1129">IF(AY1129=1,INDEX($V$7:$AL$7,MATCH(TRUE,INDEX($V1129:$AW1129&lt;&gt;0,),0)),IF(AY1129=0,INDEX($AM$7:$AW$7,MATCH(1,$AM1129:$AW1129,0)),IF(BF1129="Multiple strategies","mixed drivers",IF(BF1129="Supply chain","multiple supply","multiple silviculture"))))</f>
        <v>technologies/design switch</v>
      </c>
      <c r="BF1129" s="2" t="str" cm="1">
        <f t="array" ref="BF1129">IF(COUNTIF(AZ1129:BB1129,"&lt;&gt;0")=1,INDEX($V$4:$AW$4,MATCH(TRUE,INDEX($V1129:$AW1129&lt;&gt;0,),0)),IF(COUNTIF(AZ1129:BB1129,"&lt;&gt;0")=0,INDEX($AM$4:$AW$4,MATCH(1,$AM1129:$AW1129,0)),"Multiple strategies"))</f>
        <v>Technology</v>
      </c>
      <c r="BG1129" s="142" t="s">
        <v>322</v>
      </c>
      <c r="BH1129" t="s">
        <v>479</v>
      </c>
      <c r="BI1129" s="266" t="s">
        <v>3278</v>
      </c>
      <c r="BJ1129" t="s">
        <v>443</v>
      </c>
      <c r="BK1129">
        <v>0</v>
      </c>
      <c r="BL1129">
        <v>45</v>
      </c>
      <c r="BM1129" s="143"/>
      <c r="BN1129">
        <f t="shared" si="332"/>
        <v>45</v>
      </c>
      <c r="BO1129">
        <f t="shared" si="346"/>
        <v>195.39730785931394</v>
      </c>
      <c r="BP1129" t="s">
        <v>233</v>
      </c>
      <c r="BQ1129" s="260" t="s">
        <v>815</v>
      </c>
      <c r="BR1129" t="s">
        <v>444</v>
      </c>
      <c r="BS1129" s="141">
        <v>3</v>
      </c>
      <c r="BT1129" s="141">
        <v>18</v>
      </c>
      <c r="BU1129" s="144">
        <f t="shared" si="328"/>
        <v>6</v>
      </c>
      <c r="BV1129">
        <f t="shared" si="327"/>
        <v>15</v>
      </c>
      <c r="BX1129">
        <f t="shared" si="347"/>
        <v>55.05</v>
      </c>
      <c r="BY1129">
        <f t="shared" si="319"/>
        <v>0.28173366666666666</v>
      </c>
      <c r="BZ1129" s="143">
        <v>0</v>
      </c>
      <c r="CA1129" s="143">
        <v>0</v>
      </c>
      <c r="CB1129" s="143">
        <v>0</v>
      </c>
      <c r="CC1129" s="143">
        <v>0</v>
      </c>
      <c r="CD1129" s="143">
        <v>0</v>
      </c>
      <c r="CE1129" s="143">
        <v>0</v>
      </c>
      <c r="CF1129" s="143">
        <v>0</v>
      </c>
      <c r="CG1129" s="143">
        <v>0</v>
      </c>
      <c r="CH1129" s="143">
        <v>0</v>
      </c>
      <c r="CI1129" s="143">
        <v>0</v>
      </c>
      <c r="CJ1129" s="143">
        <v>0</v>
      </c>
      <c r="CK1129" s="143">
        <v>0</v>
      </c>
      <c r="CL1129" s="143">
        <v>0</v>
      </c>
      <c r="CM1129">
        <v>0</v>
      </c>
      <c r="CN1129" t="str">
        <f t="shared" si="334"/>
        <v>refOK</v>
      </c>
      <c r="CO1129">
        <f t="shared" si="348"/>
        <v>0</v>
      </c>
      <c r="CP1129">
        <f t="shared" si="349"/>
        <v>45</v>
      </c>
      <c r="CQ1129">
        <f t="shared" si="331"/>
        <v>195.39730785931394</v>
      </c>
      <c r="CR1129">
        <f t="shared" si="360"/>
        <v>3</v>
      </c>
      <c r="CS1129">
        <f t="shared" si="361"/>
        <v>18</v>
      </c>
      <c r="CT1129">
        <f t="shared" si="322"/>
        <v>55.05</v>
      </c>
      <c r="CU1129">
        <f t="shared" si="312"/>
        <v>0.28173366666666666</v>
      </c>
      <c r="CV1129" s="2">
        <f t="shared" si="323"/>
        <v>5</v>
      </c>
      <c r="CW1129" s="1" t="s">
        <v>264</v>
      </c>
      <c r="CX1129" t="str">
        <f t="shared" si="356"/>
        <v>loc</v>
      </c>
      <c r="CY1129" t="s">
        <v>445</v>
      </c>
      <c r="DB1129">
        <v>300</v>
      </c>
      <c r="DC1129" t="str">
        <f t="shared" si="357"/>
        <v>+100</v>
      </c>
      <c r="DD1129">
        <v>0</v>
      </c>
      <c r="DE1129">
        <v>1</v>
      </c>
      <c r="DF1129">
        <v>0</v>
      </c>
      <c r="DG1129">
        <v>0</v>
      </c>
      <c r="DI1129">
        <f t="shared" si="326"/>
        <v>1</v>
      </c>
      <c r="DJ1129" t="str">
        <f t="shared" si="311"/>
        <v>EnergyInput</v>
      </c>
      <c r="DK1129">
        <f t="shared" si="338"/>
        <v>0</v>
      </c>
      <c r="DL1129" t="str">
        <f t="shared" si="339"/>
        <v>Energy</v>
      </c>
      <c r="DM1129">
        <f t="shared" si="340"/>
        <v>0</v>
      </c>
      <c r="DN1129">
        <f t="shared" si="341"/>
        <v>0</v>
      </c>
      <c r="DO1129">
        <v>1</v>
      </c>
      <c r="DP1129" s="143">
        <v>0</v>
      </c>
      <c r="DQ1129" s="143">
        <v>0</v>
      </c>
      <c r="DR1129" s="143">
        <v>0</v>
      </c>
      <c r="DS1129">
        <v>0</v>
      </c>
      <c r="DT1129">
        <f t="shared" si="315"/>
        <v>1</v>
      </c>
      <c r="DU1129" s="143" t="str">
        <f t="shared" si="359"/>
        <v>self-calculated DF</v>
      </c>
      <c r="DV1129">
        <v>0</v>
      </c>
      <c r="DW1129" s="143">
        <v>0</v>
      </c>
      <c r="DX1129" s="143">
        <v>1</v>
      </c>
      <c r="DY1129" s="143">
        <v>1</v>
      </c>
      <c r="DZ1129">
        <v>1</v>
      </c>
      <c r="EA1129" s="143">
        <v>1</v>
      </c>
      <c r="EB1129">
        <v>0</v>
      </c>
      <c r="EC1129" s="143">
        <v>1</v>
      </c>
      <c r="ED1129" s="143">
        <v>0</v>
      </c>
      <c r="EE1129">
        <v>0</v>
      </c>
      <c r="EF1129">
        <v>0</v>
      </c>
      <c r="EG1129" s="143">
        <v>0</v>
      </c>
      <c r="EH1129" s="143">
        <v>0</v>
      </c>
      <c r="EI1129" s="2">
        <v>0</v>
      </c>
      <c r="EK1129" t="str">
        <f t="shared" si="342"/>
        <v/>
      </c>
      <c r="EL1129" t="str">
        <f t="shared" si="343"/>
        <v/>
      </c>
      <c r="EM1129" s="2" t="str">
        <f t="shared" si="358"/>
        <v/>
      </c>
      <c r="EP1129" t="str">
        <f>IF(ISNUMBER(BU1129),IF(ABS(BU1129-[4]QC_indicators!$B$2)&gt;3*[4]QC_indicators!$C$2,"C ratio",IF(ISNUMBER(BY1129),IF(ABS(BY1129-[4]QC_indicators!$B$1)&gt;3*[4]QC_indicators!$C$1,"DF","no"))),IF(ISNUMBER(BY1129),IF(ABS(BY1129-[4]QC_indicators!$B$1)&gt;3*[4]QC_indicators!$C$1,"DF","no")))</f>
        <v>no</v>
      </c>
      <c r="ER1129" t="s">
        <v>480</v>
      </c>
      <c r="ET1129" s="266" t="s">
        <v>3275</v>
      </c>
    </row>
    <row r="1130" spans="1:150" ht="15" hidden="1" customHeight="1">
      <c r="A1130" s="1" t="s">
        <v>431</v>
      </c>
      <c r="B1130" t="s">
        <v>432</v>
      </c>
      <c r="C1130" t="s">
        <v>433</v>
      </c>
      <c r="D1130" t="s">
        <v>434</v>
      </c>
      <c r="E1130" t="s">
        <v>435</v>
      </c>
      <c r="F1130" t="s">
        <v>436</v>
      </c>
      <c r="G1130" t="s">
        <v>437</v>
      </c>
      <c r="H1130" t="s">
        <v>255</v>
      </c>
      <c r="I1130">
        <v>2000</v>
      </c>
      <c r="J1130">
        <v>174</v>
      </c>
      <c r="K1130" t="s">
        <v>438</v>
      </c>
      <c r="M1130" t="str">
        <f t="shared" si="310"/>
        <v>Borjesson_2000</v>
      </c>
      <c r="N1130" t="s">
        <v>223</v>
      </c>
      <c r="O1130" s="145" t="s">
        <v>224</v>
      </c>
      <c r="Q1130" t="s">
        <v>257</v>
      </c>
      <c r="R1130" s="255" t="s">
        <v>226</v>
      </c>
      <c r="S1130" s="1" t="s">
        <v>476</v>
      </c>
      <c r="T1130" t="s">
        <v>477</v>
      </c>
      <c r="U1130" t="s">
        <v>485</v>
      </c>
      <c r="V1130">
        <v>0</v>
      </c>
      <c r="W1130">
        <v>0</v>
      </c>
      <c r="X1130">
        <v>0</v>
      </c>
      <c r="Y1130">
        <v>0</v>
      </c>
      <c r="Z1130">
        <v>0</v>
      </c>
      <c r="AA1130">
        <v>0</v>
      </c>
      <c r="AB1130">
        <v>0</v>
      </c>
      <c r="AC1130">
        <v>0</v>
      </c>
      <c r="AD1130">
        <v>0</v>
      </c>
      <c r="AE1130">
        <v>0</v>
      </c>
      <c r="AF1130">
        <v>0</v>
      </c>
      <c r="AG1130">
        <v>0</v>
      </c>
      <c r="AH1130">
        <v>0</v>
      </c>
      <c r="AI1130">
        <v>0</v>
      </c>
      <c r="AJ1130">
        <v>0</v>
      </c>
      <c r="AK1130">
        <v>1</v>
      </c>
      <c r="AL1130">
        <v>0</v>
      </c>
      <c r="AM1130">
        <v>0</v>
      </c>
      <c r="AN1130">
        <v>0</v>
      </c>
      <c r="AO1130">
        <v>0</v>
      </c>
      <c r="AP1130">
        <v>0</v>
      </c>
      <c r="AQ1130">
        <v>0</v>
      </c>
      <c r="AR1130">
        <v>0</v>
      </c>
      <c r="AS1130">
        <v>0</v>
      </c>
      <c r="AT1130">
        <v>0</v>
      </c>
      <c r="AU1130">
        <v>0</v>
      </c>
      <c r="AV1130">
        <v>0</v>
      </c>
      <c r="AW1130">
        <v>0</v>
      </c>
      <c r="AX1130" s="141">
        <f t="shared" si="321"/>
        <v>1</v>
      </c>
      <c r="AY1130" s="141">
        <f t="shared" si="350"/>
        <v>1</v>
      </c>
      <c r="AZ1130">
        <f t="shared" si="351"/>
        <v>0</v>
      </c>
      <c r="BA1130">
        <f t="shared" si="352"/>
        <v>0</v>
      </c>
      <c r="BB1130">
        <f t="shared" si="353"/>
        <v>1</v>
      </c>
      <c r="BC1130">
        <f t="shared" si="354"/>
        <v>0</v>
      </c>
      <c r="BD1130">
        <f t="shared" si="355"/>
        <v>0</v>
      </c>
      <c r="BE1130" t="str">
        <f t="array" ref="BE1130">IF(AY1130=1,INDEX($V$7:$AL$7,MATCH(TRUE,INDEX($V1130:$AW1130&lt;&gt;0,),0)),IF(AY1130=0,INDEX($AM$7:$AW$7,MATCH(1,$AM1130:$AW1130,0)),IF(BF1130="Multiple strategies","mixed drivers",IF(BF1130="Supply chain","multiple supply","multiple silviculture"))))</f>
        <v>technologies/design switch</v>
      </c>
      <c r="BF1130" s="2" t="str" cm="1">
        <f t="array" ref="BF1130">IF(COUNTIF(AZ1130:BB1130,"&lt;&gt;0")=1,INDEX($V$4:$AW$4,MATCH(TRUE,INDEX($V1130:$AW1130&lt;&gt;0,),0)),IF(COUNTIF(AZ1130:BB1130,"&lt;&gt;0")=0,INDEX($AM$4:$AW$4,MATCH(1,$AM1130:$AW1130,0)),"Multiple strategies"))</f>
        <v>Technology</v>
      </c>
      <c r="BG1130" s="142" t="s">
        <v>322</v>
      </c>
      <c r="BH1130" t="s">
        <v>479</v>
      </c>
      <c r="BI1130" s="266" t="s">
        <v>3277</v>
      </c>
      <c r="BJ1130" t="s">
        <v>443</v>
      </c>
      <c r="BK1130">
        <v>0</v>
      </c>
      <c r="BL1130">
        <v>54</v>
      </c>
      <c r="BM1130" s="143"/>
      <c r="BN1130">
        <f t="shared" si="332"/>
        <v>54</v>
      </c>
      <c r="BO1130">
        <f t="shared" si="346"/>
        <v>234.47676943117673</v>
      </c>
      <c r="BP1130" t="s">
        <v>233</v>
      </c>
      <c r="BQ1130" s="260" t="s">
        <v>815</v>
      </c>
      <c r="BR1130" t="s">
        <v>444</v>
      </c>
      <c r="BS1130" s="141">
        <v>6</v>
      </c>
      <c r="BT1130" s="141">
        <v>39</v>
      </c>
      <c r="BU1130" s="144">
        <f t="shared" si="328"/>
        <v>6.5</v>
      </c>
      <c r="BV1130">
        <f t="shared" si="327"/>
        <v>33</v>
      </c>
      <c r="BX1130">
        <f t="shared" si="347"/>
        <v>121.11</v>
      </c>
      <c r="BY1130">
        <f t="shared" si="319"/>
        <v>0.51651172222222219</v>
      </c>
      <c r="BZ1130" s="143">
        <v>0</v>
      </c>
      <c r="CA1130" s="143">
        <v>0</v>
      </c>
      <c r="CB1130" s="143">
        <v>0</v>
      </c>
      <c r="CC1130" s="143">
        <v>0</v>
      </c>
      <c r="CD1130" s="143">
        <v>0</v>
      </c>
      <c r="CE1130" s="143">
        <v>0</v>
      </c>
      <c r="CF1130" s="143">
        <v>0</v>
      </c>
      <c r="CG1130" s="143">
        <v>0</v>
      </c>
      <c r="CH1130" s="143">
        <v>0</v>
      </c>
      <c r="CI1130" s="143">
        <v>0</v>
      </c>
      <c r="CJ1130" s="143">
        <v>0</v>
      </c>
      <c r="CK1130" s="143">
        <v>0</v>
      </c>
      <c r="CL1130" s="143">
        <v>0</v>
      </c>
      <c r="CM1130">
        <v>0</v>
      </c>
      <c r="CN1130" t="str">
        <f t="shared" si="334"/>
        <v>refOK</v>
      </c>
      <c r="CO1130">
        <f t="shared" si="348"/>
        <v>0</v>
      </c>
      <c r="CP1130">
        <f t="shared" si="349"/>
        <v>54</v>
      </c>
      <c r="CQ1130">
        <f t="shared" si="331"/>
        <v>234.47676943117673</v>
      </c>
      <c r="CR1130">
        <f t="shared" si="360"/>
        <v>6</v>
      </c>
      <c r="CS1130">
        <f t="shared" si="361"/>
        <v>39</v>
      </c>
      <c r="CT1130">
        <f t="shared" si="322"/>
        <v>121.11</v>
      </c>
      <c r="CU1130">
        <f t="shared" si="312"/>
        <v>0.51651172222222219</v>
      </c>
      <c r="CV1130" s="2">
        <f t="shared" si="323"/>
        <v>5.5</v>
      </c>
      <c r="CW1130" s="1" t="s">
        <v>264</v>
      </c>
      <c r="CX1130" t="str">
        <f t="shared" si="356"/>
        <v>loc</v>
      </c>
      <c r="CY1130" t="s">
        <v>445</v>
      </c>
      <c r="DB1130">
        <v>300</v>
      </c>
      <c r="DC1130" t="str">
        <f t="shared" si="357"/>
        <v>+100</v>
      </c>
      <c r="DD1130">
        <v>0</v>
      </c>
      <c r="DE1130">
        <v>1</v>
      </c>
      <c r="DF1130">
        <v>0</v>
      </c>
      <c r="DG1130">
        <v>0</v>
      </c>
      <c r="DI1130">
        <f t="shared" si="326"/>
        <v>1</v>
      </c>
      <c r="DJ1130" t="str">
        <f t="shared" si="311"/>
        <v>EnergyInput</v>
      </c>
      <c r="DK1130">
        <f t="shared" si="338"/>
        <v>0</v>
      </c>
      <c r="DL1130" t="str">
        <f t="shared" si="339"/>
        <v>Energy</v>
      </c>
      <c r="DM1130">
        <f t="shared" si="340"/>
        <v>0</v>
      </c>
      <c r="DN1130">
        <f t="shared" si="341"/>
        <v>0</v>
      </c>
      <c r="DO1130">
        <v>1</v>
      </c>
      <c r="DP1130" s="143">
        <v>0</v>
      </c>
      <c r="DQ1130" s="143">
        <v>0</v>
      </c>
      <c r="DR1130" s="143">
        <v>0</v>
      </c>
      <c r="DS1130">
        <v>0</v>
      </c>
      <c r="DT1130">
        <f t="shared" si="315"/>
        <v>1</v>
      </c>
      <c r="DU1130" s="143" t="str">
        <f t="shared" si="359"/>
        <v>self-calculated DF</v>
      </c>
      <c r="DV1130">
        <v>0</v>
      </c>
      <c r="DW1130" s="143">
        <v>0</v>
      </c>
      <c r="DX1130" s="143">
        <v>1</v>
      </c>
      <c r="DY1130" s="143">
        <v>1</v>
      </c>
      <c r="DZ1130">
        <v>1</v>
      </c>
      <c r="EA1130" s="143">
        <v>1</v>
      </c>
      <c r="EB1130">
        <v>0</v>
      </c>
      <c r="EC1130" s="143">
        <v>1</v>
      </c>
      <c r="ED1130" s="143">
        <v>0</v>
      </c>
      <c r="EE1130">
        <v>0</v>
      </c>
      <c r="EF1130">
        <v>0</v>
      </c>
      <c r="EG1130" s="143">
        <v>0</v>
      </c>
      <c r="EH1130" s="143">
        <v>0</v>
      </c>
      <c r="EI1130" s="2">
        <v>0</v>
      </c>
      <c r="EK1130" t="str">
        <f t="shared" si="342"/>
        <v/>
      </c>
      <c r="EL1130" t="str">
        <f t="shared" si="343"/>
        <v/>
      </c>
      <c r="EM1130" s="2" t="str">
        <f t="shared" si="358"/>
        <v/>
      </c>
      <c r="EP1130" t="str">
        <f>IF(ISNUMBER(BU1130),IF(ABS(BU1130-[4]QC_indicators!$B$2)&gt;3*[4]QC_indicators!$C$2,"C ratio",IF(ISNUMBER(BY1130),IF(ABS(BY1130-[4]QC_indicators!$B$1)&gt;3*[4]QC_indicators!$C$1,"DF","no"))),IF(ISNUMBER(BY1130),IF(ABS(BY1130-[4]QC_indicators!$B$1)&gt;3*[4]QC_indicators!$C$1,"DF","no")))</f>
        <v>no</v>
      </c>
      <c r="ER1130" t="s">
        <v>480</v>
      </c>
      <c r="ET1130" s="266" t="s">
        <v>3275</v>
      </c>
    </row>
    <row r="1131" spans="1:150" ht="15" hidden="1" customHeight="1">
      <c r="A1131" s="1" t="s">
        <v>431</v>
      </c>
      <c r="B1131" t="s">
        <v>432</v>
      </c>
      <c r="C1131" t="s">
        <v>433</v>
      </c>
      <c r="D1131" t="s">
        <v>434</v>
      </c>
      <c r="E1131" t="s">
        <v>435</v>
      </c>
      <c r="F1131" t="s">
        <v>436</v>
      </c>
      <c r="G1131" t="s">
        <v>437</v>
      </c>
      <c r="H1131" t="s">
        <v>255</v>
      </c>
      <c r="I1131">
        <v>2000</v>
      </c>
      <c r="J1131">
        <v>174</v>
      </c>
      <c r="K1131" t="s">
        <v>438</v>
      </c>
      <c r="M1131" t="str">
        <f t="shared" ref="M1131:M1194" si="362">LEFT($D1131,FIND(",",$D1131)-1)&amp;"_"&amp;I1131&amp;L1131</f>
        <v>Borjesson_2000</v>
      </c>
      <c r="N1131" t="s">
        <v>223</v>
      </c>
      <c r="O1131" s="145" t="s">
        <v>224</v>
      </c>
      <c r="Q1131" t="s">
        <v>257</v>
      </c>
      <c r="R1131" s="255" t="s">
        <v>226</v>
      </c>
      <c r="S1131" s="1" t="s">
        <v>476</v>
      </c>
      <c r="T1131" t="s">
        <v>481</v>
      </c>
      <c r="U1131" t="s">
        <v>486</v>
      </c>
      <c r="V1131">
        <v>0</v>
      </c>
      <c r="W1131">
        <v>0</v>
      </c>
      <c r="X1131">
        <v>0</v>
      </c>
      <c r="Y1131">
        <v>0</v>
      </c>
      <c r="Z1131">
        <v>0</v>
      </c>
      <c r="AA1131">
        <v>0</v>
      </c>
      <c r="AB1131">
        <v>0</v>
      </c>
      <c r="AC1131">
        <v>0</v>
      </c>
      <c r="AD1131">
        <v>0</v>
      </c>
      <c r="AE1131">
        <v>0</v>
      </c>
      <c r="AF1131">
        <v>0</v>
      </c>
      <c r="AG1131">
        <v>0</v>
      </c>
      <c r="AH1131">
        <v>0</v>
      </c>
      <c r="AI1131">
        <v>0</v>
      </c>
      <c r="AJ1131">
        <v>0</v>
      </c>
      <c r="AK1131">
        <v>1</v>
      </c>
      <c r="AL1131">
        <v>0</v>
      </c>
      <c r="AM1131">
        <v>0</v>
      </c>
      <c r="AN1131">
        <v>0</v>
      </c>
      <c r="AO1131">
        <v>0</v>
      </c>
      <c r="AP1131">
        <v>0</v>
      </c>
      <c r="AQ1131">
        <v>0</v>
      </c>
      <c r="AR1131">
        <v>0</v>
      </c>
      <c r="AS1131">
        <v>0</v>
      </c>
      <c r="AT1131">
        <v>0</v>
      </c>
      <c r="AU1131">
        <v>0</v>
      </c>
      <c r="AV1131">
        <v>0</v>
      </c>
      <c r="AW1131">
        <v>0</v>
      </c>
      <c r="AX1131" s="141">
        <f t="shared" si="321"/>
        <v>1</v>
      </c>
      <c r="AY1131" s="141">
        <f t="shared" si="350"/>
        <v>1</v>
      </c>
      <c r="AZ1131">
        <f t="shared" si="351"/>
        <v>0</v>
      </c>
      <c r="BA1131">
        <f t="shared" si="352"/>
        <v>0</v>
      </c>
      <c r="BB1131">
        <f t="shared" si="353"/>
        <v>1</v>
      </c>
      <c r="BC1131">
        <f t="shared" si="354"/>
        <v>0</v>
      </c>
      <c r="BD1131">
        <f t="shared" si="355"/>
        <v>0</v>
      </c>
      <c r="BE1131" t="str">
        <f t="array" ref="BE1131">IF(AY1131=1,INDEX($V$7:$AL$7,MATCH(TRUE,INDEX($V1131:$AW1131&lt;&gt;0,),0)),IF(AY1131=0,INDEX($AM$7:$AW$7,MATCH(1,$AM1131:$AW1131,0)),IF(BF1131="Multiple strategies","mixed drivers",IF(BF1131="Supply chain","multiple supply","multiple silviculture"))))</f>
        <v>technologies/design switch</v>
      </c>
      <c r="BF1131" s="2" t="str" cm="1">
        <f t="array" ref="BF1131">IF(COUNTIF(AZ1131:BB1131,"&lt;&gt;0")=1,INDEX($V$4:$AW$4,MATCH(TRUE,INDEX($V1131:$AW1131&lt;&gt;0,),0)),IF(COUNTIF(AZ1131:BB1131,"&lt;&gt;0")=0,INDEX($AM$4:$AW$4,MATCH(1,$AM1131:$AW1131,0)),"Multiple strategies"))</f>
        <v>Technology</v>
      </c>
      <c r="BG1131" s="142" t="s">
        <v>322</v>
      </c>
      <c r="BH1131" t="s">
        <v>479</v>
      </c>
      <c r="BI1131" s="266" t="s">
        <v>3278</v>
      </c>
      <c r="BJ1131" t="s">
        <v>443</v>
      </c>
      <c r="BK1131">
        <v>0</v>
      </c>
      <c r="BL1131">
        <v>45</v>
      </c>
      <c r="BM1131" s="143"/>
      <c r="BN1131">
        <f t="shared" si="332"/>
        <v>45</v>
      </c>
      <c r="BO1131">
        <f t="shared" si="346"/>
        <v>195.39730785931394</v>
      </c>
      <c r="BP1131" t="s">
        <v>233</v>
      </c>
      <c r="BQ1131" s="260" t="s">
        <v>815</v>
      </c>
      <c r="BR1131" t="s">
        <v>444</v>
      </c>
      <c r="BS1131" s="141">
        <v>3</v>
      </c>
      <c r="BT1131" s="141">
        <v>30</v>
      </c>
      <c r="BU1131" s="144">
        <f t="shared" si="328"/>
        <v>10</v>
      </c>
      <c r="BV1131">
        <f t="shared" si="327"/>
        <v>27</v>
      </c>
      <c r="BX1131">
        <f t="shared" si="347"/>
        <v>99.09</v>
      </c>
      <c r="BY1131">
        <f t="shared" si="319"/>
        <v>0.50712060000000003</v>
      </c>
      <c r="BZ1131" s="143">
        <v>0</v>
      </c>
      <c r="CA1131" s="143">
        <v>0</v>
      </c>
      <c r="CB1131" s="143">
        <v>0</v>
      </c>
      <c r="CC1131" s="143">
        <v>0</v>
      </c>
      <c r="CD1131" s="143">
        <v>0</v>
      </c>
      <c r="CE1131" s="143">
        <v>0</v>
      </c>
      <c r="CF1131" s="143">
        <v>0</v>
      </c>
      <c r="CG1131" s="143">
        <v>0</v>
      </c>
      <c r="CH1131" s="143">
        <v>0</v>
      </c>
      <c r="CI1131" s="143">
        <v>0</v>
      </c>
      <c r="CJ1131" s="143">
        <v>0</v>
      </c>
      <c r="CK1131" s="143">
        <v>0</v>
      </c>
      <c r="CL1131" s="143">
        <v>0</v>
      </c>
      <c r="CM1131">
        <v>0</v>
      </c>
      <c r="CN1131" t="str">
        <f t="shared" si="334"/>
        <v>refOK</v>
      </c>
      <c r="CO1131">
        <f t="shared" si="348"/>
        <v>0</v>
      </c>
      <c r="CP1131">
        <f t="shared" si="349"/>
        <v>45</v>
      </c>
      <c r="CQ1131">
        <f t="shared" si="331"/>
        <v>195.39730785931394</v>
      </c>
      <c r="CR1131">
        <f t="shared" si="360"/>
        <v>3</v>
      </c>
      <c r="CS1131">
        <f t="shared" si="361"/>
        <v>30</v>
      </c>
      <c r="CT1131">
        <f t="shared" si="322"/>
        <v>99.09</v>
      </c>
      <c r="CU1131">
        <f t="shared" si="312"/>
        <v>0.50712060000000003</v>
      </c>
      <c r="CV1131" s="2">
        <f t="shared" si="323"/>
        <v>9</v>
      </c>
      <c r="CW1131" s="1" t="s">
        <v>264</v>
      </c>
      <c r="CX1131" t="str">
        <f t="shared" si="356"/>
        <v>loc</v>
      </c>
      <c r="CY1131" t="s">
        <v>445</v>
      </c>
      <c r="DB1131">
        <v>300</v>
      </c>
      <c r="DC1131" t="str">
        <f t="shared" si="357"/>
        <v>+100</v>
      </c>
      <c r="DD1131">
        <v>0</v>
      </c>
      <c r="DE1131">
        <v>1</v>
      </c>
      <c r="DF1131">
        <v>0</v>
      </c>
      <c r="DG1131">
        <v>0</v>
      </c>
      <c r="DI1131">
        <f t="shared" si="326"/>
        <v>1</v>
      </c>
      <c r="DJ1131" t="str">
        <f t="shared" ref="DJ1131:DJ1194" si="363">IF(DI1131=1,INDEX($DD$7:$DG$7,MATCH(1,$DD1131:$DG1131,0)),"mixedProduct")</f>
        <v>EnergyInput</v>
      </c>
      <c r="DK1131">
        <f t="shared" si="338"/>
        <v>0</v>
      </c>
      <c r="DL1131" t="str">
        <f t="shared" si="339"/>
        <v>Energy</v>
      </c>
      <c r="DM1131">
        <f t="shared" si="340"/>
        <v>0</v>
      </c>
      <c r="DN1131">
        <f t="shared" si="341"/>
        <v>0</v>
      </c>
      <c r="DO1131">
        <v>1</v>
      </c>
      <c r="DP1131" s="143">
        <v>0</v>
      </c>
      <c r="DQ1131" s="143">
        <v>0</v>
      </c>
      <c r="DR1131" s="143">
        <v>0</v>
      </c>
      <c r="DS1131">
        <v>0</v>
      </c>
      <c r="DT1131">
        <f t="shared" si="315"/>
        <v>1</v>
      </c>
      <c r="DU1131" s="143" t="str">
        <f t="shared" si="359"/>
        <v>self-calculated DF</v>
      </c>
      <c r="DV1131">
        <v>0</v>
      </c>
      <c r="DW1131" s="143">
        <v>0</v>
      </c>
      <c r="DX1131" s="143">
        <v>1</v>
      </c>
      <c r="DY1131" s="143">
        <v>1</v>
      </c>
      <c r="DZ1131">
        <v>1</v>
      </c>
      <c r="EA1131" s="143">
        <v>1</v>
      </c>
      <c r="EB1131">
        <v>0</v>
      </c>
      <c r="EC1131" s="143">
        <v>1</v>
      </c>
      <c r="ED1131" s="143">
        <v>0</v>
      </c>
      <c r="EE1131">
        <v>0</v>
      </c>
      <c r="EF1131">
        <v>0</v>
      </c>
      <c r="EG1131" s="143">
        <v>0</v>
      </c>
      <c r="EH1131" s="143">
        <v>0</v>
      </c>
      <c r="EI1131" s="2">
        <v>0</v>
      </c>
      <c r="EK1131" t="str">
        <f t="shared" si="342"/>
        <v/>
      </c>
      <c r="EL1131" t="str">
        <f t="shared" si="343"/>
        <v/>
      </c>
      <c r="EM1131" s="2" t="str">
        <f t="shared" si="358"/>
        <v/>
      </c>
      <c r="EP1131" t="str">
        <f>IF(ISNUMBER(BU1131),IF(ABS(BU1131-[4]QC_indicators!$B$2)&gt;3*[4]QC_indicators!$C$2,"C ratio",IF(ISNUMBER(BY1131),IF(ABS(BY1131-[4]QC_indicators!$B$1)&gt;3*[4]QC_indicators!$C$1,"DF","no"))),IF(ISNUMBER(BY1131),IF(ABS(BY1131-[4]QC_indicators!$B$1)&gt;3*[4]QC_indicators!$C$1,"DF","no")))</f>
        <v>no</v>
      </c>
      <c r="ER1131" t="s">
        <v>480</v>
      </c>
      <c r="ET1131" s="266" t="s">
        <v>3275</v>
      </c>
    </row>
    <row r="1132" spans="1:150" ht="15" hidden="1" customHeight="1">
      <c r="A1132" s="1" t="s">
        <v>381</v>
      </c>
      <c r="B1132" t="s">
        <v>382</v>
      </c>
      <c r="C1132" t="s">
        <v>383</v>
      </c>
      <c r="D1132" t="s">
        <v>384</v>
      </c>
      <c r="E1132" t="s">
        <v>385</v>
      </c>
      <c r="F1132" t="s">
        <v>386</v>
      </c>
      <c r="G1132" t="s">
        <v>387</v>
      </c>
      <c r="H1132" t="s">
        <v>255</v>
      </c>
      <c r="I1132">
        <v>2022</v>
      </c>
      <c r="J1132">
        <v>1</v>
      </c>
      <c r="K1132" t="s">
        <v>388</v>
      </c>
      <c r="L1132" t="s">
        <v>389</v>
      </c>
      <c r="M1132" t="str">
        <f t="shared" si="362"/>
        <v>Balasbaneh_2022a</v>
      </c>
      <c r="N1132" t="s">
        <v>223</v>
      </c>
      <c r="O1132" s="145" t="s">
        <v>224</v>
      </c>
      <c r="Q1132" s="266" t="s">
        <v>390</v>
      </c>
      <c r="R1132" s="271" t="s">
        <v>342</v>
      </c>
      <c r="S1132" s="265" t="s">
        <v>391</v>
      </c>
      <c r="T1132" s="266" t="s">
        <v>392</v>
      </c>
      <c r="U1132" s="266" t="s">
        <v>393</v>
      </c>
      <c r="V1132">
        <v>0</v>
      </c>
      <c r="W1132">
        <v>0</v>
      </c>
      <c r="X1132">
        <v>0</v>
      </c>
      <c r="Y1132">
        <v>0</v>
      </c>
      <c r="Z1132">
        <v>0</v>
      </c>
      <c r="AA1132">
        <v>0</v>
      </c>
      <c r="AB1132">
        <v>0</v>
      </c>
      <c r="AC1132">
        <v>0</v>
      </c>
      <c r="AD1132">
        <v>0</v>
      </c>
      <c r="AE1132">
        <v>0</v>
      </c>
      <c r="AF1132">
        <v>0</v>
      </c>
      <c r="AG1132">
        <v>0</v>
      </c>
      <c r="AH1132">
        <v>0</v>
      </c>
      <c r="AI1132">
        <v>0</v>
      </c>
      <c r="AJ1132">
        <v>0</v>
      </c>
      <c r="AK1132">
        <v>1</v>
      </c>
      <c r="AL1132">
        <v>0</v>
      </c>
      <c r="AM1132">
        <v>0</v>
      </c>
      <c r="AN1132">
        <v>0</v>
      </c>
      <c r="AO1132">
        <v>0</v>
      </c>
      <c r="AP1132">
        <v>0</v>
      </c>
      <c r="AQ1132">
        <v>0</v>
      </c>
      <c r="AR1132">
        <v>0</v>
      </c>
      <c r="AS1132">
        <v>0</v>
      </c>
      <c r="AT1132">
        <v>0</v>
      </c>
      <c r="AU1132">
        <v>0</v>
      </c>
      <c r="AV1132">
        <v>0</v>
      </c>
      <c r="AW1132">
        <v>0</v>
      </c>
      <c r="AX1132" s="141">
        <f t="shared" si="321"/>
        <v>1</v>
      </c>
      <c r="AY1132" s="141">
        <f t="shared" si="350"/>
        <v>1</v>
      </c>
      <c r="AZ1132">
        <f t="shared" si="351"/>
        <v>0</v>
      </c>
      <c r="BA1132">
        <f t="shared" si="352"/>
        <v>0</v>
      </c>
      <c r="BB1132">
        <f t="shared" si="353"/>
        <v>1</v>
      </c>
      <c r="BC1132">
        <f t="shared" si="354"/>
        <v>0</v>
      </c>
      <c r="BD1132">
        <f t="shared" si="355"/>
        <v>0</v>
      </c>
      <c r="BE1132" t="str" cm="1">
        <f t="array" ref="BE1132">IF(AY1132=1,INDEX($V$7:$AL$7,MATCH(TRUE,INDEX($V1132:$AW1132&lt;&gt;0,),0)),IF(AY1132=0,INDEX($AM$7:$AW$7,MATCH(1,$AM1132:$AW1132,0)),IF(BF1132="Multiple strategies","mixed drivers",IF(BF1132="Supply chain","multiple supply","multiple silviculture"))))</f>
        <v>technologies/design switch</v>
      </c>
      <c r="BF1132" s="2" t="str" cm="1">
        <f t="array" ref="BF1132">IF(COUNTIF(AZ1132:BB1132,"&lt;&gt;0")=1,INDEX($V$4:$AW$4,MATCH(TRUE,INDEX($V1132:$AW1132&lt;&gt;0,),0)),IF(COUNTIF(AZ1132:BB1132,"&lt;&gt;0")=0,INDEX($AM$4:$AW$4,MATCH(1,$AM1132:$AW1132,0)),"Multiple strategies"))</f>
        <v>Technology</v>
      </c>
      <c r="BG1132" s="1" t="s">
        <v>230</v>
      </c>
      <c r="BH1132" s="266" t="s">
        <v>394</v>
      </c>
      <c r="BI1132" s="266" t="s">
        <v>395</v>
      </c>
      <c r="BJ1132" s="266" t="s">
        <v>346</v>
      </c>
      <c r="BK1132">
        <v>0</v>
      </c>
      <c r="BL1132">
        <f>500+9300</f>
        <v>9800</v>
      </c>
      <c r="BN1132">
        <f t="shared" si="332"/>
        <v>9800</v>
      </c>
      <c r="BO1132">
        <f t="shared" ref="BO1132:BO1141" si="364">BN1132*kg_to_m3</f>
        <v>20.000000000000004</v>
      </c>
      <c r="BP1132" s="266" t="s">
        <v>396</v>
      </c>
      <c r="BQ1132" s="266" t="s">
        <v>397</v>
      </c>
      <c r="BR1132" s="266" t="s">
        <v>398</v>
      </c>
      <c r="BS1132">
        <v>26513</v>
      </c>
      <c r="BT1132">
        <v>9005</v>
      </c>
      <c r="BU1132" s="144">
        <f t="shared" si="328"/>
        <v>0.33964470259872515</v>
      </c>
      <c r="BV1132">
        <f t="shared" si="327"/>
        <v>-17508</v>
      </c>
      <c r="BX1132">
        <f>BV1132/1000</f>
        <v>-17.507999999999999</v>
      </c>
      <c r="BY1132">
        <f t="shared" si="319"/>
        <v>-0.87539999999999984</v>
      </c>
      <c r="BZ1132">
        <v>1</v>
      </c>
      <c r="CA1132">
        <v>0</v>
      </c>
      <c r="CB1132">
        <v>0</v>
      </c>
      <c r="CC1132">
        <v>0</v>
      </c>
      <c r="CD1132">
        <v>0</v>
      </c>
      <c r="CE1132">
        <v>0</v>
      </c>
      <c r="CF1132">
        <v>0</v>
      </c>
      <c r="CG1132">
        <v>0</v>
      </c>
      <c r="CH1132">
        <v>0</v>
      </c>
      <c r="CI1132">
        <v>0</v>
      </c>
      <c r="CJ1132">
        <v>0</v>
      </c>
      <c r="CK1132">
        <v>0</v>
      </c>
      <c r="CL1132">
        <v>0</v>
      </c>
      <c r="CM1132">
        <v>0</v>
      </c>
      <c r="CN1132" t="str">
        <f t="shared" si="334"/>
        <v>refOK</v>
      </c>
      <c r="CO1132"/>
      <c r="CP1132"/>
      <c r="CQ1132">
        <f t="shared" si="331"/>
        <v>20.000000000000004</v>
      </c>
      <c r="CR1132">
        <f t="shared" si="360"/>
        <v>-26513</v>
      </c>
      <c r="CS1132">
        <f t="shared" si="361"/>
        <v>-9005</v>
      </c>
      <c r="CT1132">
        <f t="shared" si="322"/>
        <v>17.507999999999999</v>
      </c>
      <c r="CU1132">
        <f t="shared" si="312"/>
        <v>0.87539999999999984</v>
      </c>
      <c r="CV1132" s="2">
        <f t="shared" si="323"/>
        <v>0.66035529740127485</v>
      </c>
      <c r="CW1132" s="265" t="s">
        <v>264</v>
      </c>
      <c r="CX1132" s="266" t="str">
        <f t="shared" si="356"/>
        <v>loc</v>
      </c>
      <c r="CY1132" s="266" t="s">
        <v>349</v>
      </c>
      <c r="DB1132">
        <v>0</v>
      </c>
      <c r="DC1132" t="str">
        <f t="shared" si="357"/>
        <v>0</v>
      </c>
      <c r="DD1132">
        <v>0</v>
      </c>
      <c r="DE1132">
        <v>0</v>
      </c>
      <c r="DF1132">
        <v>0</v>
      </c>
      <c r="DG1132">
        <v>1</v>
      </c>
      <c r="DH1132">
        <v>0</v>
      </c>
      <c r="DI1132">
        <f>SUM(DD1132:DH1132)</f>
        <v>1</v>
      </c>
      <c r="DJ1132" t="str">
        <f t="shared" si="363"/>
        <v>TimberInput</v>
      </c>
      <c r="DK1132">
        <f t="shared" si="338"/>
        <v>0</v>
      </c>
      <c r="DL1132">
        <f t="shared" si="339"/>
        <v>0</v>
      </c>
      <c r="DM1132">
        <f t="shared" si="340"/>
        <v>0</v>
      </c>
      <c r="DN1132" t="str">
        <f t="shared" si="341"/>
        <v>Timber</v>
      </c>
      <c r="DO1132">
        <v>0</v>
      </c>
      <c r="DP1132">
        <v>0</v>
      </c>
      <c r="DQ1132">
        <v>0</v>
      </c>
      <c r="DR1132">
        <v>0</v>
      </c>
      <c r="DS1132">
        <v>0</v>
      </c>
      <c r="DT1132">
        <f t="shared" si="315"/>
        <v>0</v>
      </c>
      <c r="DU1132" t="str">
        <f t="shared" si="359"/>
        <v>explicit C balance</v>
      </c>
      <c r="DV1132">
        <v>0</v>
      </c>
      <c r="DW1132">
        <v>0</v>
      </c>
      <c r="DX1132">
        <v>0</v>
      </c>
      <c r="DY1132">
        <v>0</v>
      </c>
      <c r="DZ1132">
        <v>0</v>
      </c>
      <c r="EA1132" s="143">
        <v>1</v>
      </c>
      <c r="EB1132">
        <v>1</v>
      </c>
      <c r="EC1132">
        <v>1</v>
      </c>
      <c r="ED1132">
        <v>1</v>
      </c>
      <c r="EE1132">
        <v>1</v>
      </c>
      <c r="EF1132">
        <v>0</v>
      </c>
      <c r="EG1132">
        <v>0</v>
      </c>
      <c r="EH1132">
        <v>0</v>
      </c>
      <c r="EI1132" s="2">
        <v>0</v>
      </c>
      <c r="EK1132" t="str">
        <f t="shared" si="342"/>
        <v/>
      </c>
      <c r="EL1132" t="str">
        <f t="shared" si="343"/>
        <v/>
      </c>
      <c r="EM1132" s="2" t="str">
        <f t="shared" si="358"/>
        <v>Technology approach</v>
      </c>
      <c r="EP1132" t="str">
        <f>IF(ISNUMBER(BU1132),IF(ABS(BU1132-[1]QC_indicators!$B$2)&gt;3*[1]QC_indicators!$C$2,"C ratio",IF(ISNUMBER(BY1132),IF(ABS(BY1132-[1]QC_indicators!$B$1)&gt;3*[1]QC_indicators!$C$1,"DF","no"))),IF(ISNUMBER(BY1132),IF(ABS(BY1132-[1]QC_indicators!$B$1)&gt;3*[1]QC_indicators!$C$1,"DF","no")))</f>
        <v>no</v>
      </c>
      <c r="ET1132" s="308" t="s">
        <v>1166</v>
      </c>
    </row>
    <row r="1133" spans="1:150" ht="15" hidden="1" customHeight="1">
      <c r="A1133" s="1" t="s">
        <v>880</v>
      </c>
      <c r="D1133" s="266" t="s">
        <v>881</v>
      </c>
      <c r="E1133" s="266" t="s">
        <v>882</v>
      </c>
      <c r="H1133" t="s">
        <v>883</v>
      </c>
      <c r="I1133">
        <v>2020</v>
      </c>
      <c r="J1133">
        <v>8</v>
      </c>
      <c r="K1133" t="s">
        <v>884</v>
      </c>
      <c r="M1133" t="str">
        <f t="shared" si="362"/>
        <v>Lausselet_2020</v>
      </c>
      <c r="N1133" t="s">
        <v>223</v>
      </c>
      <c r="O1133" s="145" t="s">
        <v>226</v>
      </c>
      <c r="Q1133" s="266" t="s">
        <v>257</v>
      </c>
      <c r="R1133" s="271" t="s">
        <v>342</v>
      </c>
      <c r="S1133" s="1" t="s">
        <v>891</v>
      </c>
      <c r="T1133" t="s">
        <v>887</v>
      </c>
      <c r="U1133" s="143" t="s">
        <v>892</v>
      </c>
      <c r="V1133">
        <v>0</v>
      </c>
      <c r="W1133">
        <v>0</v>
      </c>
      <c r="X1133">
        <v>0</v>
      </c>
      <c r="Y1133">
        <v>0</v>
      </c>
      <c r="Z1133">
        <v>0</v>
      </c>
      <c r="AA1133">
        <v>0</v>
      </c>
      <c r="AB1133">
        <v>0</v>
      </c>
      <c r="AC1133">
        <v>0</v>
      </c>
      <c r="AD1133">
        <v>0</v>
      </c>
      <c r="AE1133">
        <v>0</v>
      </c>
      <c r="AF1133">
        <v>0</v>
      </c>
      <c r="AG1133">
        <v>0</v>
      </c>
      <c r="AH1133">
        <v>0</v>
      </c>
      <c r="AI1133">
        <v>0</v>
      </c>
      <c r="AJ1133">
        <v>1</v>
      </c>
      <c r="AK1133">
        <v>0</v>
      </c>
      <c r="AL1133">
        <v>0</v>
      </c>
      <c r="AM1133">
        <v>0</v>
      </c>
      <c r="AN1133">
        <v>0</v>
      </c>
      <c r="AO1133">
        <v>0</v>
      </c>
      <c r="AP1133">
        <v>0</v>
      </c>
      <c r="AQ1133">
        <v>0</v>
      </c>
      <c r="AR1133">
        <v>0</v>
      </c>
      <c r="AS1133">
        <v>0</v>
      </c>
      <c r="AT1133">
        <v>0</v>
      </c>
      <c r="AU1133">
        <v>0</v>
      </c>
      <c r="AV1133">
        <v>0</v>
      </c>
      <c r="AW1133">
        <v>0</v>
      </c>
      <c r="AX1133" s="141">
        <f t="shared" si="321"/>
        <v>1</v>
      </c>
      <c r="AY1133" s="141">
        <f t="shared" si="350"/>
        <v>1</v>
      </c>
      <c r="AZ1133">
        <f t="shared" si="351"/>
        <v>0</v>
      </c>
      <c r="BA1133">
        <f t="shared" si="352"/>
        <v>0</v>
      </c>
      <c r="BB1133">
        <f t="shared" si="353"/>
        <v>1</v>
      </c>
      <c r="BC1133">
        <f t="shared" si="354"/>
        <v>0</v>
      </c>
      <c r="BD1133">
        <f t="shared" si="355"/>
        <v>0</v>
      </c>
      <c r="BE1133" t="str" cm="1">
        <f t="array" ref="BE1133">IF(AY1133=1,INDEX($V$7:$AL$7,MATCH(TRUE,INDEX($V1133:$AW1133&lt;&gt;0,),0)),IF(AY1133=0,INDEX($AM$7:$AW$7,MATCH(1,$AM1133:$AW1133,0)),IF(BF1133="Multiple strategies","mixed drivers",IF(BF1133="Supply chain","multiple supply","multiple silviculture"))))</f>
        <v>efficiency improvement</v>
      </c>
      <c r="BF1133" s="2" t="str" cm="1">
        <f t="array" ref="BF1133">IF(COUNTIF(AZ1133:BB1133,"&lt;&gt;0")=1,INDEX($V$4:$AW$4,MATCH(TRUE,INDEX($V1133:$AW1133&lt;&gt;0,),0)),IF(COUNTIF(AZ1133:BB1133,"&lt;&gt;0")=0,INDEX($AM$4:$AW$4,MATCH(1,$AM1133:$AW1133,0)),"Multiple strategies"))</f>
        <v>Technology</v>
      </c>
      <c r="BG1133" s="164" t="s">
        <v>230</v>
      </c>
      <c r="BH1133" s="165" t="s">
        <v>3418</v>
      </c>
      <c r="BI1133" s="165" t="s">
        <v>3417</v>
      </c>
      <c r="BJ1133" s="166" t="s">
        <v>346</v>
      </c>
      <c r="BK1133" s="167"/>
      <c r="BL1133" s="167"/>
      <c r="BM1133" s="168" t="s">
        <v>888</v>
      </c>
      <c r="BN1133">
        <f t="shared" si="332"/>
        <v>0</v>
      </c>
      <c r="BO1133">
        <f t="shared" si="364"/>
        <v>0</v>
      </c>
      <c r="BP1133" s="308" t="s">
        <v>396</v>
      </c>
      <c r="BQ1133" s="266" t="s">
        <v>889</v>
      </c>
      <c r="BR1133" s="266" t="s">
        <v>890</v>
      </c>
      <c r="BS1133" s="169">
        <v>81960007.070510104</v>
      </c>
      <c r="BT1133" s="169">
        <v>63759415.453145199</v>
      </c>
      <c r="BU1133" s="144">
        <v>0.78</v>
      </c>
      <c r="BV1133">
        <f t="shared" si="327"/>
        <v>-18200591.617364906</v>
      </c>
      <c r="BX1133">
        <f>BV1133/1000</f>
        <v>-18200.591617364906</v>
      </c>
      <c r="BY1133" t="str">
        <f t="shared" si="319"/>
        <v/>
      </c>
      <c r="BZ1133">
        <v>0</v>
      </c>
      <c r="CA1133">
        <v>0</v>
      </c>
      <c r="CB1133">
        <v>0</v>
      </c>
      <c r="CC1133">
        <v>0</v>
      </c>
      <c r="CD1133">
        <v>0</v>
      </c>
      <c r="CE1133">
        <v>0</v>
      </c>
      <c r="CF1133">
        <v>0</v>
      </c>
      <c r="CG1133">
        <v>0</v>
      </c>
      <c r="CH1133">
        <v>0</v>
      </c>
      <c r="CI1133">
        <v>0</v>
      </c>
      <c r="CJ1133">
        <v>0</v>
      </c>
      <c r="CK1133">
        <v>0</v>
      </c>
      <c r="CL1133">
        <v>0</v>
      </c>
      <c r="CM1133">
        <v>0</v>
      </c>
      <c r="CN1133" t="str">
        <f t="shared" si="334"/>
        <v>refOK</v>
      </c>
      <c r="CO1133"/>
      <c r="CP1133"/>
      <c r="CQ1133">
        <f t="shared" si="331"/>
        <v>0</v>
      </c>
      <c r="CR1133">
        <f t="shared" si="360"/>
        <v>-81960007.070510104</v>
      </c>
      <c r="CS1133">
        <f t="shared" si="361"/>
        <v>-63759415.453145199</v>
      </c>
      <c r="CT1133">
        <f t="shared" si="322"/>
        <v>18200.591617364906</v>
      </c>
      <c r="CU1133" t="str">
        <f t="shared" ref="CU1133:CU1196" si="365">IFERROR(CT1133/CQ1133,"")</f>
        <v/>
      </c>
      <c r="CV1133" s="2">
        <f t="shared" si="323"/>
        <v>0.2220667404494848</v>
      </c>
      <c r="CW1133" s="1" t="s">
        <v>348</v>
      </c>
      <c r="CX1133" s="266" t="str">
        <f t="shared" si="356"/>
        <v>loc</v>
      </c>
      <c r="CY1133" t="s">
        <v>265</v>
      </c>
      <c r="CZ1133">
        <v>2019</v>
      </c>
      <c r="DA1133" s="143">
        <v>2080</v>
      </c>
      <c r="DB1133" s="143">
        <f>DA1133-CZ1133</f>
        <v>61</v>
      </c>
      <c r="DC1133" t="str">
        <f t="shared" si="357"/>
        <v>31-70</v>
      </c>
      <c r="DD1133">
        <v>0</v>
      </c>
      <c r="DE1133">
        <v>0</v>
      </c>
      <c r="DF1133">
        <v>0</v>
      </c>
      <c r="DG1133">
        <v>1</v>
      </c>
      <c r="DI1133">
        <f t="shared" ref="DI1133:DI1164" si="366">SUM(DD1133:DG1133)</f>
        <v>1</v>
      </c>
      <c r="DJ1133" t="str">
        <f t="shared" si="363"/>
        <v>TimberInput</v>
      </c>
      <c r="DK1133">
        <f t="shared" si="338"/>
        <v>0</v>
      </c>
      <c r="DL1133">
        <f t="shared" si="339"/>
        <v>0</v>
      </c>
      <c r="DM1133">
        <f t="shared" si="340"/>
        <v>0</v>
      </c>
      <c r="DN1133" t="str">
        <f t="shared" si="341"/>
        <v>Timber</v>
      </c>
      <c r="DO1133">
        <v>0</v>
      </c>
      <c r="DP1133" s="143">
        <v>0</v>
      </c>
      <c r="DQ1133" s="143">
        <v>0</v>
      </c>
      <c r="DR1133">
        <v>0</v>
      </c>
      <c r="DS1133" s="143">
        <v>0</v>
      </c>
      <c r="DT1133">
        <f t="shared" si="315"/>
        <v>0</v>
      </c>
      <c r="DU1133" s="143" t="str">
        <f t="shared" si="359"/>
        <v>explicit C balance</v>
      </c>
      <c r="DV1133" s="143">
        <v>0</v>
      </c>
      <c r="DW1133" s="143">
        <v>0</v>
      </c>
      <c r="DX1133" s="143">
        <v>0</v>
      </c>
      <c r="DY1133" s="143">
        <v>1</v>
      </c>
      <c r="DZ1133">
        <v>0</v>
      </c>
      <c r="EA1133" s="143">
        <v>0</v>
      </c>
      <c r="EB1133" s="143">
        <v>1</v>
      </c>
      <c r="EC1133" s="143">
        <v>1</v>
      </c>
      <c r="ED1133" s="143">
        <v>1</v>
      </c>
      <c r="EE1133">
        <v>0</v>
      </c>
      <c r="EF1133">
        <v>0</v>
      </c>
      <c r="EG1133" s="143">
        <v>0</v>
      </c>
      <c r="EH1133">
        <v>0</v>
      </c>
      <c r="EI1133" s="2">
        <v>0</v>
      </c>
      <c r="EK1133" t="str">
        <f t="shared" si="342"/>
        <v/>
      </c>
      <c r="EL1133" t="str">
        <f t="shared" si="343"/>
        <v/>
      </c>
      <c r="EM1133" s="2" t="str">
        <f t="shared" si="358"/>
        <v>Technology approach</v>
      </c>
      <c r="EP1133" t="b">
        <f>IF(ISNUMBER(BU1133),IF(ABS(BU1133-[1]QC_indicators!$B$2)&gt;3*[1]QC_indicators!$C$2,"C ratio",IF(ISNUMBER(BY1133),IF(ABS(BY1133-[1]QC_indicators!$B$1)&gt;3*[1]QC_indicators!$C$1,"DF","no"))),IF(ISNUMBER(BY1133),IF(ABS(BY1133-[1]QC_indicators!$B$1)&gt;3*[1]QC_indicators!$C$1,"DF","no")))</f>
        <v>0</v>
      </c>
      <c r="ER1133" s="296" t="s">
        <v>350</v>
      </c>
      <c r="ET1133" s="308" t="s">
        <v>3421</v>
      </c>
    </row>
    <row r="1134" spans="1:150" ht="15" hidden="1" customHeight="1">
      <c r="A1134" s="1" t="s">
        <v>880</v>
      </c>
      <c r="D1134" s="266" t="s">
        <v>881</v>
      </c>
      <c r="E1134" s="266" t="s">
        <v>882</v>
      </c>
      <c r="H1134" t="s">
        <v>883</v>
      </c>
      <c r="I1134">
        <v>2020</v>
      </c>
      <c r="J1134">
        <v>8</v>
      </c>
      <c r="K1134" t="s">
        <v>884</v>
      </c>
      <c r="M1134" t="str">
        <f t="shared" si="362"/>
        <v>Lausselet_2020</v>
      </c>
      <c r="N1134" t="s">
        <v>223</v>
      </c>
      <c r="O1134" s="145" t="s">
        <v>226</v>
      </c>
      <c r="Q1134" s="266" t="s">
        <v>257</v>
      </c>
      <c r="R1134" s="271" t="s">
        <v>342</v>
      </c>
      <c r="S1134" s="1" t="s">
        <v>891</v>
      </c>
      <c r="T1134" t="s">
        <v>887</v>
      </c>
      <c r="U1134" s="143" t="s">
        <v>893</v>
      </c>
      <c r="V1134">
        <v>0</v>
      </c>
      <c r="W1134">
        <v>0</v>
      </c>
      <c r="X1134">
        <v>0</v>
      </c>
      <c r="Y1134">
        <v>0</v>
      </c>
      <c r="Z1134">
        <v>0</v>
      </c>
      <c r="AA1134">
        <v>0</v>
      </c>
      <c r="AB1134">
        <v>0</v>
      </c>
      <c r="AC1134">
        <v>0</v>
      </c>
      <c r="AD1134">
        <v>0</v>
      </c>
      <c r="AE1134">
        <v>0</v>
      </c>
      <c r="AF1134">
        <v>0</v>
      </c>
      <c r="AG1134">
        <v>0</v>
      </c>
      <c r="AH1134">
        <v>0</v>
      </c>
      <c r="AI1134">
        <v>0</v>
      </c>
      <c r="AJ1134">
        <v>1</v>
      </c>
      <c r="AK1134">
        <v>0</v>
      </c>
      <c r="AL1134">
        <v>0</v>
      </c>
      <c r="AM1134">
        <v>0</v>
      </c>
      <c r="AN1134">
        <v>0</v>
      </c>
      <c r="AO1134">
        <v>0</v>
      </c>
      <c r="AP1134">
        <v>0</v>
      </c>
      <c r="AQ1134">
        <v>0</v>
      </c>
      <c r="AR1134">
        <v>0</v>
      </c>
      <c r="AS1134">
        <v>0</v>
      </c>
      <c r="AT1134">
        <v>0</v>
      </c>
      <c r="AU1134">
        <v>0</v>
      </c>
      <c r="AV1134">
        <v>0</v>
      </c>
      <c r="AW1134">
        <v>0</v>
      </c>
      <c r="AX1134" s="141">
        <f t="shared" si="321"/>
        <v>1</v>
      </c>
      <c r="AY1134" s="141">
        <f t="shared" si="350"/>
        <v>1</v>
      </c>
      <c r="AZ1134">
        <f t="shared" si="351"/>
        <v>0</v>
      </c>
      <c r="BA1134">
        <f t="shared" si="352"/>
        <v>0</v>
      </c>
      <c r="BB1134">
        <f t="shared" si="353"/>
        <v>1</v>
      </c>
      <c r="BC1134">
        <f t="shared" si="354"/>
        <v>0</v>
      </c>
      <c r="BD1134">
        <f t="shared" si="355"/>
        <v>0</v>
      </c>
      <c r="BE1134" t="str" cm="1">
        <f t="array" ref="BE1134">IF(AY1134=1,INDEX($V$7:$AL$7,MATCH(TRUE,INDEX($V1134:$AW1134&lt;&gt;0,),0)),IF(AY1134=0,INDEX($AM$7:$AW$7,MATCH(1,$AM1134:$AW1134,0)),IF(BF1134="Multiple strategies","mixed drivers",IF(BF1134="Supply chain","multiple supply","multiple silviculture"))))</f>
        <v>efficiency improvement</v>
      </c>
      <c r="BF1134" s="2" t="str" cm="1">
        <f t="array" ref="BF1134">IF(COUNTIF(AZ1134:BB1134,"&lt;&gt;0")=1,INDEX($V$4:$AW$4,MATCH(TRUE,INDEX($V1134:$AW1134&lt;&gt;0,),0)),IF(COUNTIF(AZ1134:BB1134,"&lt;&gt;0")=0,INDEX($AM$4:$AW$4,MATCH(1,$AM1134:$AW1134,0)),"Multiple strategies"))</f>
        <v>Technology</v>
      </c>
      <c r="BG1134" s="164" t="s">
        <v>230</v>
      </c>
      <c r="BH1134" s="165" t="s">
        <v>3418</v>
      </c>
      <c r="BI1134" s="165" t="s">
        <v>3417</v>
      </c>
      <c r="BJ1134" s="166" t="s">
        <v>346</v>
      </c>
      <c r="BK1134" s="167"/>
      <c r="BL1134" s="167"/>
      <c r="BM1134" s="168" t="s">
        <v>888</v>
      </c>
      <c r="BN1134">
        <f t="shared" si="332"/>
        <v>0</v>
      </c>
      <c r="BO1134">
        <f t="shared" si="364"/>
        <v>0</v>
      </c>
      <c r="BP1134" s="308" t="s">
        <v>396</v>
      </c>
      <c r="BQ1134" s="266" t="s">
        <v>889</v>
      </c>
      <c r="BR1134" s="266" t="s">
        <v>890</v>
      </c>
      <c r="BS1134" s="169">
        <v>81960007.070510104</v>
      </c>
      <c r="BT1134" s="169">
        <v>69008389.932988703</v>
      </c>
      <c r="BU1134" s="144">
        <v>0.83999999999999986</v>
      </c>
      <c r="BV1134">
        <f t="shared" si="327"/>
        <v>-12951617.137521401</v>
      </c>
      <c r="BX1134">
        <f>BV1134/1000</f>
        <v>-12951.617137521402</v>
      </c>
      <c r="BY1134" t="str">
        <f t="shared" si="319"/>
        <v/>
      </c>
      <c r="BZ1134">
        <v>0</v>
      </c>
      <c r="CA1134">
        <v>0</v>
      </c>
      <c r="CB1134">
        <v>0</v>
      </c>
      <c r="CC1134">
        <v>0</v>
      </c>
      <c r="CD1134">
        <v>0</v>
      </c>
      <c r="CE1134">
        <v>0</v>
      </c>
      <c r="CF1134">
        <v>0</v>
      </c>
      <c r="CG1134">
        <v>0</v>
      </c>
      <c r="CH1134">
        <v>0</v>
      </c>
      <c r="CI1134">
        <v>0</v>
      </c>
      <c r="CJ1134">
        <v>0</v>
      </c>
      <c r="CK1134">
        <v>0</v>
      </c>
      <c r="CL1134">
        <v>0</v>
      </c>
      <c r="CM1134">
        <v>0</v>
      </c>
      <c r="CN1134" t="str">
        <f t="shared" si="334"/>
        <v>refOK</v>
      </c>
      <c r="CO1134"/>
      <c r="CP1134"/>
      <c r="CQ1134">
        <f t="shared" si="331"/>
        <v>0</v>
      </c>
      <c r="CR1134">
        <f t="shared" si="360"/>
        <v>-81960007.070510104</v>
      </c>
      <c r="CS1134">
        <f t="shared" si="361"/>
        <v>-69008389.932988703</v>
      </c>
      <c r="CT1134">
        <f t="shared" si="322"/>
        <v>12951.617137521402</v>
      </c>
      <c r="CU1134" t="str">
        <f t="shared" si="365"/>
        <v/>
      </c>
      <c r="CV1134" s="2">
        <f t="shared" si="323"/>
        <v>0.15802362152530244</v>
      </c>
      <c r="CW1134" s="1" t="s">
        <v>348</v>
      </c>
      <c r="CX1134" s="266" t="str">
        <f t="shared" si="356"/>
        <v>loc</v>
      </c>
      <c r="CY1134" t="s">
        <v>265</v>
      </c>
      <c r="CZ1134">
        <v>2019</v>
      </c>
      <c r="DA1134" s="143">
        <v>2080</v>
      </c>
      <c r="DB1134" s="143">
        <f>DA1134-CZ1134</f>
        <v>61</v>
      </c>
      <c r="DC1134" t="str">
        <f t="shared" si="357"/>
        <v>31-70</v>
      </c>
      <c r="DD1134">
        <v>0</v>
      </c>
      <c r="DE1134">
        <v>0</v>
      </c>
      <c r="DF1134">
        <v>0</v>
      </c>
      <c r="DG1134">
        <v>1</v>
      </c>
      <c r="DI1134">
        <f t="shared" si="366"/>
        <v>1</v>
      </c>
      <c r="DJ1134" t="str">
        <f t="shared" si="363"/>
        <v>TimberInput</v>
      </c>
      <c r="DK1134">
        <f t="shared" si="338"/>
        <v>0</v>
      </c>
      <c r="DL1134">
        <f t="shared" si="339"/>
        <v>0</v>
      </c>
      <c r="DM1134">
        <f t="shared" si="340"/>
        <v>0</v>
      </c>
      <c r="DN1134" t="str">
        <f t="shared" si="341"/>
        <v>Timber</v>
      </c>
      <c r="DO1134">
        <v>0</v>
      </c>
      <c r="DP1134" s="143">
        <v>0</v>
      </c>
      <c r="DQ1134" s="143">
        <v>0</v>
      </c>
      <c r="DR1134">
        <v>0</v>
      </c>
      <c r="DS1134" s="143">
        <v>0</v>
      </c>
      <c r="DT1134">
        <f t="shared" si="315"/>
        <v>0</v>
      </c>
      <c r="DU1134" s="143" t="str">
        <f t="shared" si="359"/>
        <v>explicit C balance</v>
      </c>
      <c r="DV1134" s="143">
        <v>0</v>
      </c>
      <c r="DW1134" s="143">
        <v>0</v>
      </c>
      <c r="DX1134" s="143">
        <v>0</v>
      </c>
      <c r="DY1134" s="143">
        <v>1</v>
      </c>
      <c r="DZ1134">
        <v>0</v>
      </c>
      <c r="EA1134" s="143">
        <v>0</v>
      </c>
      <c r="EB1134" s="143">
        <v>1</v>
      </c>
      <c r="EC1134" s="143">
        <v>1</v>
      </c>
      <c r="ED1134" s="143">
        <v>1</v>
      </c>
      <c r="EE1134">
        <v>0</v>
      </c>
      <c r="EF1134">
        <v>0</v>
      </c>
      <c r="EG1134" s="143">
        <v>0</v>
      </c>
      <c r="EH1134">
        <v>0</v>
      </c>
      <c r="EI1134" s="2">
        <v>0</v>
      </c>
      <c r="EK1134" t="str">
        <f t="shared" si="342"/>
        <v/>
      </c>
      <c r="EL1134" t="str">
        <f t="shared" si="343"/>
        <v/>
      </c>
      <c r="EM1134" s="2" t="str">
        <f t="shared" si="358"/>
        <v>Technology approach</v>
      </c>
      <c r="EP1134" t="b">
        <f>IF(ISNUMBER(BU1134),IF(ABS(BU1134-[1]QC_indicators!$B$2)&gt;3*[1]QC_indicators!$C$2,"C ratio",IF(ISNUMBER(BY1134),IF(ABS(BY1134-[1]QC_indicators!$B$1)&gt;3*[1]QC_indicators!$C$1,"DF","no"))),IF(ISNUMBER(BY1134),IF(ABS(BY1134-[1]QC_indicators!$B$1)&gt;3*[1]QC_indicators!$C$1,"DF","no")))</f>
        <v>0</v>
      </c>
      <c r="ER1134" s="296" t="s">
        <v>350</v>
      </c>
      <c r="ET1134" s="308" t="s">
        <v>3421</v>
      </c>
    </row>
    <row r="1135" spans="1:150" ht="15" hidden="1" customHeight="1">
      <c r="A1135" s="1" t="s">
        <v>563</v>
      </c>
      <c r="B1135" t="s">
        <v>545</v>
      </c>
      <c r="C1135" t="s">
        <v>564</v>
      </c>
      <c r="D1135" t="s">
        <v>565</v>
      </c>
      <c r="E1135" t="s">
        <v>566</v>
      </c>
      <c r="F1135" t="s">
        <v>567</v>
      </c>
      <c r="G1135" t="s">
        <v>568</v>
      </c>
      <c r="H1135" t="s">
        <v>255</v>
      </c>
      <c r="I1135">
        <v>2009</v>
      </c>
      <c r="J1135">
        <v>16</v>
      </c>
      <c r="K1135" t="s">
        <v>569</v>
      </c>
      <c r="M1135" t="str">
        <f t="shared" si="362"/>
        <v>Crawford_2009</v>
      </c>
      <c r="N1135" t="s">
        <v>223</v>
      </c>
      <c r="O1135" s="145" t="s">
        <v>224</v>
      </c>
      <c r="Q1135" s="266" t="s">
        <v>257</v>
      </c>
      <c r="R1135" s="271" t="s">
        <v>1156</v>
      </c>
      <c r="S1135" s="1" t="s">
        <v>580</v>
      </c>
      <c r="T1135" s="266" t="s">
        <v>581</v>
      </c>
      <c r="U1135" s="266" t="s">
        <v>572</v>
      </c>
      <c r="V1135">
        <v>0</v>
      </c>
      <c r="W1135">
        <v>0</v>
      </c>
      <c r="X1135">
        <v>0</v>
      </c>
      <c r="Y1135">
        <v>0</v>
      </c>
      <c r="Z1135">
        <v>0</v>
      </c>
      <c r="AA1135">
        <v>0</v>
      </c>
      <c r="AB1135">
        <v>0</v>
      </c>
      <c r="AC1135">
        <v>0</v>
      </c>
      <c r="AD1135">
        <v>0</v>
      </c>
      <c r="AE1135">
        <v>0</v>
      </c>
      <c r="AF1135">
        <v>0</v>
      </c>
      <c r="AG1135">
        <v>0</v>
      </c>
      <c r="AH1135">
        <v>0</v>
      </c>
      <c r="AI1135">
        <v>0</v>
      </c>
      <c r="AJ1135">
        <v>0</v>
      </c>
      <c r="AK1135">
        <v>1</v>
      </c>
      <c r="AL1135">
        <v>0</v>
      </c>
      <c r="AM1135">
        <v>0</v>
      </c>
      <c r="AN1135">
        <v>0</v>
      </c>
      <c r="AO1135">
        <v>0</v>
      </c>
      <c r="AP1135">
        <v>0</v>
      </c>
      <c r="AQ1135">
        <v>0</v>
      </c>
      <c r="AR1135">
        <v>0</v>
      </c>
      <c r="AS1135">
        <v>0</v>
      </c>
      <c r="AT1135">
        <v>0</v>
      </c>
      <c r="AU1135">
        <v>0</v>
      </c>
      <c r="AV1135">
        <v>0</v>
      </c>
      <c r="AW1135">
        <v>0</v>
      </c>
      <c r="AX1135" s="141">
        <f t="shared" si="321"/>
        <v>1</v>
      </c>
      <c r="AY1135" s="141">
        <f t="shared" si="350"/>
        <v>1</v>
      </c>
      <c r="AZ1135">
        <f t="shared" si="351"/>
        <v>0</v>
      </c>
      <c r="BA1135">
        <f t="shared" si="352"/>
        <v>0</v>
      </c>
      <c r="BB1135">
        <f t="shared" si="353"/>
        <v>1</v>
      </c>
      <c r="BC1135">
        <f t="shared" si="354"/>
        <v>0</v>
      </c>
      <c r="BD1135">
        <f t="shared" si="355"/>
        <v>0</v>
      </c>
      <c r="BE1135" t="str" cm="1">
        <f t="array" ref="BE1135">IF(AY1135=1,INDEX($V$7:$AL$7,MATCH(TRUE,INDEX($V1135:$AW1135&lt;&gt;0,),0)),IF(AY1135=0,INDEX($AM$7:$AW$7,MATCH(1,$AM1135:$AW1135,0)),IF(BF1135="Multiple strategies","mixed drivers",IF(BF1135="Supply chain","multiple supply","multiple silviculture"))))</f>
        <v>technologies/design switch</v>
      </c>
      <c r="BF1135" s="2" t="str" cm="1">
        <f t="array" ref="BF1135">IF(COUNTIF(AZ1135:BB1135,"&lt;&gt;0")=1,INDEX($V$4:$AW$4,MATCH(TRUE,INDEX($V1135:$AW1135&lt;&gt;0,),0)),IF(COUNTIF(AZ1135:BB1135,"&lt;&gt;0")=0,INDEX($AM$4:$AW$4,MATCH(1,$AM1135:$AW1135,0)),"Multiple strategies"))</f>
        <v>Technology</v>
      </c>
      <c r="BG1135" s="1" t="s">
        <v>230</v>
      </c>
      <c r="BH1135" t="s">
        <v>573</v>
      </c>
      <c r="BJ1135" t="s">
        <v>346</v>
      </c>
      <c r="BK1135">
        <v>0</v>
      </c>
      <c r="BL1135">
        <f t="shared" ref="BL1135:BL1141" si="367">80.2*1460</f>
        <v>117092</v>
      </c>
      <c r="BN1135">
        <f t="shared" si="332"/>
        <v>117092</v>
      </c>
      <c r="BO1135">
        <f t="shared" si="364"/>
        <v>238.96326530612248</v>
      </c>
      <c r="BP1135" s="266" t="s">
        <v>233</v>
      </c>
      <c r="BQ1135" s="266" t="s">
        <v>582</v>
      </c>
      <c r="BR1135" t="s">
        <v>574</v>
      </c>
      <c r="BS1135">
        <v>-1491</v>
      </c>
      <c r="BT1135">
        <v>-3656</v>
      </c>
      <c r="BU1135" s="144">
        <v>3.2421193829644532</v>
      </c>
      <c r="BV1135">
        <v>-3343</v>
      </c>
      <c r="BX1135">
        <f t="shared" ref="BX1135:BX1140" si="368">BV1135</f>
        <v>-3343</v>
      </c>
      <c r="BY1135">
        <f t="shared" si="319"/>
        <v>-13.989597923000716</v>
      </c>
      <c r="BZ1135">
        <v>0</v>
      </c>
      <c r="CA1135">
        <v>0</v>
      </c>
      <c r="CB1135">
        <v>0</v>
      </c>
      <c r="CC1135">
        <v>0</v>
      </c>
      <c r="CD1135">
        <v>0</v>
      </c>
      <c r="CE1135">
        <v>0</v>
      </c>
      <c r="CF1135">
        <v>0</v>
      </c>
      <c r="CG1135">
        <v>0</v>
      </c>
      <c r="CH1135">
        <v>0</v>
      </c>
      <c r="CI1135">
        <v>0</v>
      </c>
      <c r="CJ1135">
        <v>0</v>
      </c>
      <c r="CK1135">
        <v>0</v>
      </c>
      <c r="CL1135">
        <v>0</v>
      </c>
      <c r="CM1135">
        <v>0</v>
      </c>
      <c r="CN1135" t="str">
        <f t="shared" si="334"/>
        <v>refOK</v>
      </c>
      <c r="CO1135">
        <f t="shared" ref="CO1135:CO1140" si="369">IF($CN1135="refNeedCorrection",BL1135,BK1135)</f>
        <v>0</v>
      </c>
      <c r="CP1135">
        <f t="shared" ref="CP1135:CP1140" si="370">IF($CN1135="refNeedCorrection",BK1135,BL1135)</f>
        <v>117092</v>
      </c>
      <c r="CQ1135">
        <f t="shared" si="331"/>
        <v>238.96326530612248</v>
      </c>
      <c r="CR1135">
        <f t="shared" si="360"/>
        <v>-1491</v>
      </c>
      <c r="CS1135">
        <f t="shared" si="361"/>
        <v>-3656</v>
      </c>
      <c r="CT1135">
        <f t="shared" si="322"/>
        <v>-3343</v>
      </c>
      <c r="CU1135">
        <f t="shared" si="365"/>
        <v>-13.989597923000716</v>
      </c>
      <c r="CV1135" s="2">
        <f t="shared" si="323"/>
        <v>-1.4520456069751844</v>
      </c>
      <c r="CW1135" s="1" t="s">
        <v>264</v>
      </c>
      <c r="CX1135" s="266" t="str">
        <f t="shared" si="356"/>
        <v>loc</v>
      </c>
      <c r="CY1135" t="s">
        <v>575</v>
      </c>
      <c r="DB1135">
        <v>100</v>
      </c>
      <c r="DC1135" t="str">
        <f t="shared" si="357"/>
        <v>71-100</v>
      </c>
      <c r="DD1135">
        <v>0</v>
      </c>
      <c r="DE1135">
        <v>0</v>
      </c>
      <c r="DF1135">
        <v>0</v>
      </c>
      <c r="DG1135">
        <v>1</v>
      </c>
      <c r="DI1135">
        <f t="shared" si="366"/>
        <v>1</v>
      </c>
      <c r="DJ1135" t="str">
        <f t="shared" si="363"/>
        <v>TimberInput</v>
      </c>
      <c r="DK1135">
        <f t="shared" si="338"/>
        <v>0</v>
      </c>
      <c r="DL1135">
        <f t="shared" si="339"/>
        <v>0</v>
      </c>
      <c r="DM1135">
        <f t="shared" si="340"/>
        <v>0</v>
      </c>
      <c r="DN1135" t="str">
        <f t="shared" si="341"/>
        <v>Timber</v>
      </c>
      <c r="DO1135">
        <v>0</v>
      </c>
      <c r="DP1135">
        <v>0</v>
      </c>
      <c r="DQ1135">
        <v>0</v>
      </c>
      <c r="DR1135">
        <v>0</v>
      </c>
      <c r="DS1135">
        <v>0</v>
      </c>
      <c r="DT1135">
        <f t="shared" si="315"/>
        <v>0</v>
      </c>
      <c r="DU1135" s="143" t="str">
        <f t="shared" si="359"/>
        <v>explicit C balance</v>
      </c>
      <c r="DV1135">
        <v>0</v>
      </c>
      <c r="DW1135">
        <v>1</v>
      </c>
      <c r="DX1135">
        <v>0</v>
      </c>
      <c r="DY1135">
        <v>1</v>
      </c>
      <c r="DZ1135">
        <v>1</v>
      </c>
      <c r="EA1135" s="143">
        <v>0</v>
      </c>
      <c r="EB1135">
        <v>1</v>
      </c>
      <c r="EC1135">
        <v>1</v>
      </c>
      <c r="ED1135">
        <v>0</v>
      </c>
      <c r="EE1135">
        <v>1</v>
      </c>
      <c r="EF1135">
        <v>0</v>
      </c>
      <c r="EG1135">
        <v>0</v>
      </c>
      <c r="EH1135">
        <v>0</v>
      </c>
      <c r="EI1135" s="2">
        <v>0</v>
      </c>
      <c r="EK1135" t="str">
        <f t="shared" si="342"/>
        <v/>
      </c>
      <c r="EL1135" t="str">
        <f t="shared" si="343"/>
        <v/>
      </c>
      <c r="EM1135" s="2" t="str">
        <f t="shared" si="358"/>
        <v/>
      </c>
      <c r="EP1135" t="str">
        <f>IF(ISNUMBER(BU1135),IF(ABS(BU1135-[1]QC_indicators!$B$2)&gt;3*[1]QC_indicators!$C$2,"C ratio",IF(ISNUMBER(BY1135),IF(ABS(BY1135-[1]QC_indicators!$B$1)&gt;3*[1]QC_indicators!$C$1,"DF","no"))),IF(ISNUMBER(BY1135),IF(ABS(BY1135-[1]QC_indicators!$B$1)&gt;3*[1]QC_indicators!$C$1,"DF","no")))</f>
        <v>DF</v>
      </c>
      <c r="ER1135" s="296" t="s">
        <v>350</v>
      </c>
      <c r="ET1135" s="266" t="s">
        <v>3409</v>
      </c>
    </row>
    <row r="1136" spans="1:150" ht="15" hidden="1" customHeight="1">
      <c r="A1136" s="1" t="s">
        <v>563</v>
      </c>
      <c r="B1136" t="s">
        <v>545</v>
      </c>
      <c r="C1136" t="s">
        <v>564</v>
      </c>
      <c r="D1136" t="s">
        <v>565</v>
      </c>
      <c r="E1136" t="s">
        <v>566</v>
      </c>
      <c r="F1136" t="s">
        <v>567</v>
      </c>
      <c r="G1136" t="s">
        <v>568</v>
      </c>
      <c r="H1136" t="s">
        <v>255</v>
      </c>
      <c r="I1136">
        <v>2009</v>
      </c>
      <c r="J1136">
        <v>16</v>
      </c>
      <c r="K1136" t="s">
        <v>569</v>
      </c>
      <c r="M1136" t="str">
        <f t="shared" si="362"/>
        <v>Crawford_2009</v>
      </c>
      <c r="N1136" t="s">
        <v>223</v>
      </c>
      <c r="O1136" s="145" t="s">
        <v>224</v>
      </c>
      <c r="Q1136" s="266" t="s">
        <v>257</v>
      </c>
      <c r="R1136" s="271" t="s">
        <v>1156</v>
      </c>
      <c r="S1136" s="1" t="s">
        <v>580</v>
      </c>
      <c r="T1136" s="266" t="s">
        <v>583</v>
      </c>
      <c r="U1136" s="266" t="s">
        <v>572</v>
      </c>
      <c r="V1136">
        <v>0</v>
      </c>
      <c r="W1136">
        <v>0</v>
      </c>
      <c r="X1136">
        <v>0</v>
      </c>
      <c r="Y1136">
        <v>0</v>
      </c>
      <c r="Z1136">
        <v>0</v>
      </c>
      <c r="AA1136">
        <v>0</v>
      </c>
      <c r="AB1136">
        <v>0</v>
      </c>
      <c r="AC1136">
        <v>0</v>
      </c>
      <c r="AD1136">
        <v>0</v>
      </c>
      <c r="AE1136">
        <v>0</v>
      </c>
      <c r="AF1136">
        <v>0</v>
      </c>
      <c r="AG1136">
        <v>0</v>
      </c>
      <c r="AH1136">
        <v>0</v>
      </c>
      <c r="AI1136">
        <v>0</v>
      </c>
      <c r="AJ1136">
        <v>0</v>
      </c>
      <c r="AK1136">
        <v>1</v>
      </c>
      <c r="AL1136">
        <v>0</v>
      </c>
      <c r="AM1136">
        <v>0</v>
      </c>
      <c r="AN1136">
        <v>0</v>
      </c>
      <c r="AO1136">
        <v>0</v>
      </c>
      <c r="AP1136">
        <v>0</v>
      </c>
      <c r="AQ1136">
        <v>0</v>
      </c>
      <c r="AR1136">
        <v>0</v>
      </c>
      <c r="AS1136">
        <v>0</v>
      </c>
      <c r="AT1136">
        <v>0</v>
      </c>
      <c r="AU1136">
        <v>0</v>
      </c>
      <c r="AV1136">
        <v>0</v>
      </c>
      <c r="AW1136">
        <v>0</v>
      </c>
      <c r="AX1136" s="141">
        <f t="shared" si="321"/>
        <v>1</v>
      </c>
      <c r="AY1136" s="141">
        <f t="shared" si="350"/>
        <v>1</v>
      </c>
      <c r="AZ1136">
        <f t="shared" si="351"/>
        <v>0</v>
      </c>
      <c r="BA1136">
        <f t="shared" si="352"/>
        <v>0</v>
      </c>
      <c r="BB1136">
        <f t="shared" si="353"/>
        <v>1</v>
      </c>
      <c r="BC1136">
        <f t="shared" si="354"/>
        <v>0</v>
      </c>
      <c r="BD1136">
        <f t="shared" si="355"/>
        <v>0</v>
      </c>
      <c r="BE1136" t="str" cm="1">
        <f t="array" ref="BE1136">IF(AY1136=1,INDEX($V$7:$AL$7,MATCH(TRUE,INDEX($V1136:$AW1136&lt;&gt;0,),0)),IF(AY1136=0,INDEX($AM$7:$AW$7,MATCH(1,$AM1136:$AW1136,0)),IF(BF1136="Multiple strategies","mixed drivers",IF(BF1136="Supply chain","multiple supply","multiple silviculture"))))</f>
        <v>technologies/design switch</v>
      </c>
      <c r="BF1136" s="2" t="str" cm="1">
        <f t="array" ref="BF1136">IF(COUNTIF(AZ1136:BB1136,"&lt;&gt;0")=1,INDEX($V$4:$AW$4,MATCH(TRUE,INDEX($V1136:$AW1136&lt;&gt;0,),0)),IF(COUNTIF(AZ1136:BB1136,"&lt;&gt;0")=0,INDEX($AM$4:$AW$4,MATCH(1,$AM1136:$AW1136,0)),"Multiple strategies"))</f>
        <v>Technology</v>
      </c>
      <c r="BG1136" s="1" t="s">
        <v>230</v>
      </c>
      <c r="BH1136" t="s">
        <v>573</v>
      </c>
      <c r="BJ1136" t="s">
        <v>346</v>
      </c>
      <c r="BK1136">
        <v>0</v>
      </c>
      <c r="BL1136">
        <f t="shared" si="367"/>
        <v>117092</v>
      </c>
      <c r="BN1136">
        <f t="shared" si="332"/>
        <v>117092</v>
      </c>
      <c r="BO1136">
        <f t="shared" si="364"/>
        <v>238.96326530612248</v>
      </c>
      <c r="BP1136" s="266" t="s">
        <v>233</v>
      </c>
      <c r="BQ1136" s="266"/>
      <c r="BR1136" t="s">
        <v>574</v>
      </c>
      <c r="BS1136">
        <v>-822</v>
      </c>
      <c r="BT1136">
        <v>-3656</v>
      </c>
      <c r="BU1136" s="144">
        <v>4.447688564476886</v>
      </c>
      <c r="BV1136">
        <v>-2834</v>
      </c>
      <c r="BX1136">
        <f t="shared" si="368"/>
        <v>-2834</v>
      </c>
      <c r="BY1136">
        <f t="shared" si="319"/>
        <v>-11.859563420216581</v>
      </c>
      <c r="BZ1136">
        <v>0</v>
      </c>
      <c r="CA1136">
        <v>0</v>
      </c>
      <c r="CB1136">
        <v>0</v>
      </c>
      <c r="CC1136">
        <v>0</v>
      </c>
      <c r="CD1136">
        <v>0</v>
      </c>
      <c r="CE1136">
        <v>0</v>
      </c>
      <c r="CF1136">
        <v>0</v>
      </c>
      <c r="CG1136">
        <v>0</v>
      </c>
      <c r="CH1136">
        <v>0</v>
      </c>
      <c r="CI1136">
        <v>0</v>
      </c>
      <c r="CJ1136">
        <v>0</v>
      </c>
      <c r="CK1136">
        <v>0</v>
      </c>
      <c r="CL1136">
        <v>0</v>
      </c>
      <c r="CM1136">
        <v>0</v>
      </c>
      <c r="CN1136" t="str">
        <f t="shared" si="334"/>
        <v>refOK</v>
      </c>
      <c r="CO1136">
        <f t="shared" si="369"/>
        <v>0</v>
      </c>
      <c r="CP1136">
        <f t="shared" si="370"/>
        <v>117092</v>
      </c>
      <c r="CQ1136">
        <f t="shared" si="331"/>
        <v>238.96326530612248</v>
      </c>
      <c r="CR1136">
        <f t="shared" si="360"/>
        <v>-822</v>
      </c>
      <c r="CS1136">
        <f t="shared" si="361"/>
        <v>-3656</v>
      </c>
      <c r="CT1136">
        <f t="shared" si="322"/>
        <v>-2834</v>
      </c>
      <c r="CU1136">
        <f t="shared" si="365"/>
        <v>-11.859563420216581</v>
      </c>
      <c r="CV1136" s="2">
        <f t="shared" si="323"/>
        <v>-3.4476885644768855</v>
      </c>
      <c r="CW1136" s="1" t="s">
        <v>264</v>
      </c>
      <c r="CX1136" s="266" t="str">
        <f t="shared" si="356"/>
        <v>loc</v>
      </c>
      <c r="CY1136" t="s">
        <v>575</v>
      </c>
      <c r="DB1136">
        <v>100</v>
      </c>
      <c r="DC1136" t="str">
        <f t="shared" si="357"/>
        <v>71-100</v>
      </c>
      <c r="DD1136">
        <v>0</v>
      </c>
      <c r="DE1136">
        <v>0</v>
      </c>
      <c r="DF1136">
        <v>0</v>
      </c>
      <c r="DG1136">
        <v>1</v>
      </c>
      <c r="DI1136">
        <f t="shared" si="366"/>
        <v>1</v>
      </c>
      <c r="DJ1136" t="str">
        <f t="shared" si="363"/>
        <v>TimberInput</v>
      </c>
      <c r="DK1136">
        <f t="shared" si="338"/>
        <v>0</v>
      </c>
      <c r="DL1136">
        <f t="shared" si="339"/>
        <v>0</v>
      </c>
      <c r="DM1136">
        <f t="shared" si="340"/>
        <v>0</v>
      </c>
      <c r="DN1136" t="str">
        <f t="shared" si="341"/>
        <v>Timber</v>
      </c>
      <c r="DO1136">
        <v>0</v>
      </c>
      <c r="DP1136">
        <v>0</v>
      </c>
      <c r="DQ1136">
        <v>0</v>
      </c>
      <c r="DR1136">
        <v>0</v>
      </c>
      <c r="DS1136">
        <v>0</v>
      </c>
      <c r="DT1136">
        <f t="shared" si="315"/>
        <v>0</v>
      </c>
      <c r="DU1136" s="143" t="str">
        <f t="shared" si="359"/>
        <v>explicit C balance</v>
      </c>
      <c r="DV1136">
        <v>0</v>
      </c>
      <c r="DW1136">
        <v>1</v>
      </c>
      <c r="DX1136">
        <v>0</v>
      </c>
      <c r="DY1136">
        <v>1</v>
      </c>
      <c r="DZ1136">
        <v>1</v>
      </c>
      <c r="EA1136" s="143">
        <v>0</v>
      </c>
      <c r="EB1136">
        <v>1</v>
      </c>
      <c r="EC1136">
        <v>1</v>
      </c>
      <c r="ED1136">
        <v>0</v>
      </c>
      <c r="EE1136">
        <v>1</v>
      </c>
      <c r="EF1136">
        <v>0</v>
      </c>
      <c r="EG1136">
        <v>0</v>
      </c>
      <c r="EH1136">
        <v>0</v>
      </c>
      <c r="EI1136" s="2">
        <v>0</v>
      </c>
      <c r="EK1136" t="str">
        <f t="shared" si="342"/>
        <v/>
      </c>
      <c r="EL1136" t="str">
        <f t="shared" si="343"/>
        <v/>
      </c>
      <c r="EM1136" s="2" t="str">
        <f t="shared" si="358"/>
        <v/>
      </c>
      <c r="EP1136" t="str">
        <f>IF(ISNUMBER(BU1136),IF(ABS(BU1136-[1]QC_indicators!$B$2)&gt;3*[1]QC_indicators!$C$2,"C ratio",IF(ISNUMBER(BY1136),IF(ABS(BY1136-[1]QC_indicators!$B$1)&gt;3*[1]QC_indicators!$C$1,"DF","no"))),IF(ISNUMBER(BY1136),IF(ABS(BY1136-[1]QC_indicators!$B$1)&gt;3*[1]QC_indicators!$C$1,"DF","no")))</f>
        <v>DF</v>
      </c>
      <c r="ER1136" s="296" t="s">
        <v>350</v>
      </c>
      <c r="ET1136" s="266" t="s">
        <v>3409</v>
      </c>
    </row>
    <row r="1137" spans="1:150" ht="15" hidden="1" customHeight="1">
      <c r="A1137" s="1" t="s">
        <v>563</v>
      </c>
      <c r="B1137" t="s">
        <v>545</v>
      </c>
      <c r="C1137" t="s">
        <v>564</v>
      </c>
      <c r="D1137" t="s">
        <v>565</v>
      </c>
      <c r="E1137" t="s">
        <v>566</v>
      </c>
      <c r="F1137" t="s">
        <v>567</v>
      </c>
      <c r="G1137" t="s">
        <v>568</v>
      </c>
      <c r="H1137" t="s">
        <v>255</v>
      </c>
      <c r="I1137">
        <v>2009</v>
      </c>
      <c r="J1137">
        <v>16</v>
      </c>
      <c r="K1137" t="s">
        <v>569</v>
      </c>
      <c r="M1137" t="str">
        <f t="shared" si="362"/>
        <v>Crawford_2009</v>
      </c>
      <c r="N1137" t="s">
        <v>223</v>
      </c>
      <c r="O1137" s="145" t="s">
        <v>224</v>
      </c>
      <c r="Q1137" s="266" t="s">
        <v>257</v>
      </c>
      <c r="R1137" s="271" t="s">
        <v>1156</v>
      </c>
      <c r="S1137" s="1" t="s">
        <v>580</v>
      </c>
      <c r="T1137" s="266" t="s">
        <v>581</v>
      </c>
      <c r="U1137" s="266" t="s">
        <v>576</v>
      </c>
      <c r="V1137">
        <v>0</v>
      </c>
      <c r="W1137">
        <v>0</v>
      </c>
      <c r="X1137">
        <v>0</v>
      </c>
      <c r="Y1137">
        <v>0</v>
      </c>
      <c r="Z1137">
        <v>0</v>
      </c>
      <c r="AA1137">
        <v>0</v>
      </c>
      <c r="AB1137">
        <v>0</v>
      </c>
      <c r="AC1137">
        <v>0</v>
      </c>
      <c r="AD1137">
        <v>0</v>
      </c>
      <c r="AE1137">
        <v>0</v>
      </c>
      <c r="AF1137">
        <v>0</v>
      </c>
      <c r="AG1137">
        <v>0</v>
      </c>
      <c r="AH1137">
        <v>0</v>
      </c>
      <c r="AI1137">
        <v>0</v>
      </c>
      <c r="AJ1137">
        <v>0</v>
      </c>
      <c r="AK1137">
        <v>1</v>
      </c>
      <c r="AL1137">
        <v>0</v>
      </c>
      <c r="AM1137">
        <v>0</v>
      </c>
      <c r="AN1137">
        <v>0</v>
      </c>
      <c r="AO1137">
        <v>0</v>
      </c>
      <c r="AP1137">
        <v>0</v>
      </c>
      <c r="AQ1137">
        <v>0</v>
      </c>
      <c r="AR1137">
        <v>0</v>
      </c>
      <c r="AS1137">
        <v>0</v>
      </c>
      <c r="AT1137">
        <v>0</v>
      </c>
      <c r="AU1137">
        <v>0</v>
      </c>
      <c r="AV1137">
        <v>0</v>
      </c>
      <c r="AW1137">
        <v>0</v>
      </c>
      <c r="AX1137" s="141">
        <f t="shared" si="321"/>
        <v>1</v>
      </c>
      <c r="AY1137" s="141">
        <f t="shared" si="350"/>
        <v>1</v>
      </c>
      <c r="AZ1137">
        <f t="shared" si="351"/>
        <v>0</v>
      </c>
      <c r="BA1137">
        <f t="shared" si="352"/>
        <v>0</v>
      </c>
      <c r="BB1137">
        <f t="shared" si="353"/>
        <v>1</v>
      </c>
      <c r="BC1137">
        <f t="shared" si="354"/>
        <v>0</v>
      </c>
      <c r="BD1137">
        <f t="shared" si="355"/>
        <v>0</v>
      </c>
      <c r="BE1137" t="str" cm="1">
        <f t="array" ref="BE1137">IF(AY1137=1,INDEX($V$7:$AL$7,MATCH(TRUE,INDEX($V1137:$AW1137&lt;&gt;0,),0)),IF(AY1137=0,INDEX($AM$7:$AW$7,MATCH(1,$AM1137:$AW1137,0)),IF(BF1137="Multiple strategies","mixed drivers",IF(BF1137="Supply chain","multiple supply","multiple silviculture"))))</f>
        <v>technologies/design switch</v>
      </c>
      <c r="BF1137" s="2" t="str" cm="1">
        <f t="array" ref="BF1137">IF(COUNTIF(AZ1137:BB1137,"&lt;&gt;0")=1,INDEX($V$4:$AW$4,MATCH(TRUE,INDEX($V1137:$AW1137&lt;&gt;0,),0)),IF(COUNTIF(AZ1137:BB1137,"&lt;&gt;0")=0,INDEX($AM$4:$AW$4,MATCH(1,$AM1137:$AW1137,0)),"Multiple strategies"))</f>
        <v>Technology</v>
      </c>
      <c r="BG1137" s="1" t="s">
        <v>230</v>
      </c>
      <c r="BH1137" t="s">
        <v>573</v>
      </c>
      <c r="BJ1137" t="s">
        <v>346</v>
      </c>
      <c r="BK1137">
        <v>0</v>
      </c>
      <c r="BL1137">
        <f t="shared" si="367"/>
        <v>117092</v>
      </c>
      <c r="BN1137">
        <f t="shared" si="332"/>
        <v>117092</v>
      </c>
      <c r="BO1137">
        <f t="shared" si="364"/>
        <v>238.96326530612248</v>
      </c>
      <c r="BP1137" s="266" t="s">
        <v>233</v>
      </c>
      <c r="BQ1137" s="266"/>
      <c r="BR1137" t="s">
        <v>574</v>
      </c>
      <c r="BS1137">
        <v>-1491</v>
      </c>
      <c r="BT1137">
        <v>-4208</v>
      </c>
      <c r="BU1137" s="144">
        <v>2.8222669349429914</v>
      </c>
      <c r="BV1137">
        <v>-2717</v>
      </c>
      <c r="BX1137">
        <f t="shared" si="368"/>
        <v>-2717</v>
      </c>
      <c r="BY1137">
        <f t="shared" si="319"/>
        <v>-11.369948416629658</v>
      </c>
      <c r="BZ1137">
        <v>0</v>
      </c>
      <c r="CA1137">
        <v>0</v>
      </c>
      <c r="CB1137">
        <v>0</v>
      </c>
      <c r="CC1137">
        <v>0</v>
      </c>
      <c r="CD1137">
        <v>0</v>
      </c>
      <c r="CE1137">
        <v>0</v>
      </c>
      <c r="CF1137">
        <v>0</v>
      </c>
      <c r="CG1137">
        <v>0</v>
      </c>
      <c r="CH1137">
        <v>0</v>
      </c>
      <c r="CI1137">
        <v>0</v>
      </c>
      <c r="CJ1137">
        <v>0</v>
      </c>
      <c r="CK1137">
        <v>0</v>
      </c>
      <c r="CL1137">
        <v>0</v>
      </c>
      <c r="CM1137">
        <v>0</v>
      </c>
      <c r="CN1137" t="str">
        <f t="shared" si="334"/>
        <v>refOK</v>
      </c>
      <c r="CO1137">
        <f t="shared" si="369"/>
        <v>0</v>
      </c>
      <c r="CP1137">
        <f t="shared" si="370"/>
        <v>117092</v>
      </c>
      <c r="CQ1137">
        <f t="shared" si="331"/>
        <v>238.96326530612248</v>
      </c>
      <c r="CR1137">
        <f t="shared" si="360"/>
        <v>-1491</v>
      </c>
      <c r="CS1137">
        <f t="shared" si="361"/>
        <v>-4208</v>
      </c>
      <c r="CT1137">
        <f t="shared" si="322"/>
        <v>-2717</v>
      </c>
      <c r="CU1137">
        <f t="shared" si="365"/>
        <v>-11.369948416629658</v>
      </c>
      <c r="CV1137" s="2">
        <f t="shared" si="323"/>
        <v>-1.8222669349429912</v>
      </c>
      <c r="CW1137" s="1" t="s">
        <v>264</v>
      </c>
      <c r="CX1137" s="266" t="str">
        <f t="shared" si="356"/>
        <v>loc</v>
      </c>
      <c r="CY1137" t="s">
        <v>575</v>
      </c>
      <c r="DB1137">
        <v>100</v>
      </c>
      <c r="DC1137" t="str">
        <f t="shared" si="357"/>
        <v>71-100</v>
      </c>
      <c r="DD1137">
        <v>0</v>
      </c>
      <c r="DE1137">
        <v>0</v>
      </c>
      <c r="DF1137">
        <v>0</v>
      </c>
      <c r="DG1137">
        <v>1</v>
      </c>
      <c r="DI1137">
        <f t="shared" si="366"/>
        <v>1</v>
      </c>
      <c r="DJ1137" t="str">
        <f t="shared" si="363"/>
        <v>TimberInput</v>
      </c>
      <c r="DK1137">
        <f t="shared" si="338"/>
        <v>0</v>
      </c>
      <c r="DL1137">
        <f t="shared" si="339"/>
        <v>0</v>
      </c>
      <c r="DM1137">
        <f t="shared" si="340"/>
        <v>0</v>
      </c>
      <c r="DN1137" t="str">
        <f t="shared" si="341"/>
        <v>Timber</v>
      </c>
      <c r="DO1137">
        <v>0</v>
      </c>
      <c r="DP1137">
        <v>0</v>
      </c>
      <c r="DQ1137">
        <v>0</v>
      </c>
      <c r="DR1137">
        <v>0</v>
      </c>
      <c r="DS1137">
        <v>0</v>
      </c>
      <c r="DT1137">
        <f t="shared" ref="DT1137:DT1200" si="371">SUM(DO1137:DP1137)</f>
        <v>0</v>
      </c>
      <c r="DU1137" s="143" t="str">
        <f t="shared" si="359"/>
        <v>explicit C balance</v>
      </c>
      <c r="DV1137">
        <v>0</v>
      </c>
      <c r="DW1137">
        <v>1</v>
      </c>
      <c r="DX1137">
        <v>0</v>
      </c>
      <c r="DY1137">
        <v>1</v>
      </c>
      <c r="DZ1137">
        <v>1</v>
      </c>
      <c r="EA1137" s="143">
        <v>0</v>
      </c>
      <c r="EB1137">
        <v>1</v>
      </c>
      <c r="EC1137">
        <v>1</v>
      </c>
      <c r="ED1137">
        <v>0</v>
      </c>
      <c r="EE1137">
        <v>1</v>
      </c>
      <c r="EF1137">
        <v>0</v>
      </c>
      <c r="EG1137">
        <v>0</v>
      </c>
      <c r="EH1137">
        <v>0</v>
      </c>
      <c r="EI1137" s="2">
        <v>0</v>
      </c>
      <c r="EK1137" t="str">
        <f t="shared" si="342"/>
        <v/>
      </c>
      <c r="EL1137" t="str">
        <f t="shared" si="343"/>
        <v/>
      </c>
      <c r="EM1137" s="2" t="str">
        <f t="shared" si="358"/>
        <v/>
      </c>
      <c r="EN1137" t="s">
        <v>584</v>
      </c>
      <c r="EP1137" t="str">
        <f>IF(ISNUMBER(BU1137),IF(ABS(BU1137-[1]QC_indicators!$B$2)&gt;3*[1]QC_indicators!$C$2,"C ratio",IF(ISNUMBER(BY1137),IF(ABS(BY1137-[1]QC_indicators!$B$1)&gt;3*[1]QC_indicators!$C$1,"DF","no"))),IF(ISNUMBER(BY1137),IF(ABS(BY1137-[1]QC_indicators!$B$1)&gt;3*[1]QC_indicators!$C$1,"DF","no")))</f>
        <v>DF</v>
      </c>
      <c r="ER1137" s="296" t="s">
        <v>350</v>
      </c>
      <c r="ET1137" s="266" t="s">
        <v>3409</v>
      </c>
    </row>
    <row r="1138" spans="1:150" ht="15" hidden="1" customHeight="1">
      <c r="A1138" s="1" t="s">
        <v>563</v>
      </c>
      <c r="B1138" t="s">
        <v>545</v>
      </c>
      <c r="C1138" t="s">
        <v>564</v>
      </c>
      <c r="D1138" t="s">
        <v>565</v>
      </c>
      <c r="E1138" t="s">
        <v>566</v>
      </c>
      <c r="F1138" t="s">
        <v>567</v>
      </c>
      <c r="G1138" t="s">
        <v>568</v>
      </c>
      <c r="H1138" t="s">
        <v>255</v>
      </c>
      <c r="I1138">
        <v>2009</v>
      </c>
      <c r="J1138">
        <v>16</v>
      </c>
      <c r="K1138" t="s">
        <v>569</v>
      </c>
      <c r="M1138" t="str">
        <f t="shared" si="362"/>
        <v>Crawford_2009</v>
      </c>
      <c r="N1138" t="s">
        <v>223</v>
      </c>
      <c r="O1138" s="145" t="s">
        <v>224</v>
      </c>
      <c r="Q1138" s="266" t="s">
        <v>257</v>
      </c>
      <c r="R1138" s="271" t="s">
        <v>1156</v>
      </c>
      <c r="S1138" s="1" t="s">
        <v>580</v>
      </c>
      <c r="T1138" s="266" t="s">
        <v>583</v>
      </c>
      <c r="U1138" s="266" t="s">
        <v>577</v>
      </c>
      <c r="V1138">
        <v>0</v>
      </c>
      <c r="W1138">
        <v>0</v>
      </c>
      <c r="X1138">
        <v>0</v>
      </c>
      <c r="Y1138">
        <v>0</v>
      </c>
      <c r="Z1138">
        <v>0</v>
      </c>
      <c r="AA1138">
        <v>0</v>
      </c>
      <c r="AB1138">
        <v>0</v>
      </c>
      <c r="AC1138">
        <v>0</v>
      </c>
      <c r="AD1138">
        <v>0</v>
      </c>
      <c r="AE1138">
        <v>0</v>
      </c>
      <c r="AF1138">
        <v>0</v>
      </c>
      <c r="AG1138">
        <v>0</v>
      </c>
      <c r="AH1138">
        <v>0</v>
      </c>
      <c r="AI1138">
        <v>0</v>
      </c>
      <c r="AJ1138">
        <v>0</v>
      </c>
      <c r="AK1138">
        <v>1</v>
      </c>
      <c r="AL1138">
        <v>0</v>
      </c>
      <c r="AM1138">
        <v>0</v>
      </c>
      <c r="AN1138">
        <v>0</v>
      </c>
      <c r="AO1138">
        <v>0</v>
      </c>
      <c r="AP1138">
        <v>0</v>
      </c>
      <c r="AQ1138">
        <v>0</v>
      </c>
      <c r="AR1138">
        <v>0</v>
      </c>
      <c r="AS1138">
        <v>0</v>
      </c>
      <c r="AT1138">
        <v>0</v>
      </c>
      <c r="AU1138">
        <v>0</v>
      </c>
      <c r="AV1138">
        <v>0</v>
      </c>
      <c r="AW1138">
        <v>0</v>
      </c>
      <c r="AX1138" s="141">
        <f t="shared" si="321"/>
        <v>1</v>
      </c>
      <c r="AY1138" s="141">
        <f t="shared" si="350"/>
        <v>1</v>
      </c>
      <c r="AZ1138">
        <f t="shared" si="351"/>
        <v>0</v>
      </c>
      <c r="BA1138">
        <f t="shared" si="352"/>
        <v>0</v>
      </c>
      <c r="BB1138">
        <f t="shared" si="353"/>
        <v>1</v>
      </c>
      <c r="BC1138">
        <f t="shared" si="354"/>
        <v>0</v>
      </c>
      <c r="BD1138">
        <f t="shared" si="355"/>
        <v>0</v>
      </c>
      <c r="BE1138" t="str" cm="1">
        <f t="array" ref="BE1138">IF(AY1138=1,INDEX($V$7:$AL$7,MATCH(TRUE,INDEX($V1138:$AW1138&lt;&gt;0,),0)),IF(AY1138=0,INDEX($AM$7:$AW$7,MATCH(1,$AM1138:$AW1138,0)),IF(BF1138="Multiple strategies","mixed drivers",IF(BF1138="Supply chain","multiple supply","multiple silviculture"))))</f>
        <v>technologies/design switch</v>
      </c>
      <c r="BF1138" s="2" t="str" cm="1">
        <f t="array" ref="BF1138">IF(COUNTIF(AZ1138:BB1138,"&lt;&gt;0")=1,INDEX($V$4:$AW$4,MATCH(TRUE,INDEX($V1138:$AW1138&lt;&gt;0,),0)),IF(COUNTIF(AZ1138:BB1138,"&lt;&gt;0")=0,INDEX($AM$4:$AW$4,MATCH(1,$AM1138:$AW1138,0)),"Multiple strategies"))</f>
        <v>Technology</v>
      </c>
      <c r="BG1138" s="1" t="s">
        <v>230</v>
      </c>
      <c r="BH1138" t="s">
        <v>573</v>
      </c>
      <c r="BJ1138" t="s">
        <v>346</v>
      </c>
      <c r="BK1138">
        <v>0</v>
      </c>
      <c r="BL1138">
        <f t="shared" si="367"/>
        <v>117092</v>
      </c>
      <c r="BN1138">
        <f t="shared" si="332"/>
        <v>117092</v>
      </c>
      <c r="BO1138">
        <f t="shared" si="364"/>
        <v>238.96326530612248</v>
      </c>
      <c r="BP1138" s="266" t="s">
        <v>233</v>
      </c>
      <c r="BQ1138" s="266"/>
      <c r="BR1138" t="s">
        <v>574</v>
      </c>
      <c r="BS1138">
        <v>-822</v>
      </c>
      <c r="BT1138">
        <v>-3185</v>
      </c>
      <c r="BU1138" s="144">
        <v>3.8746958637469588</v>
      </c>
      <c r="BV1138">
        <v>-2363</v>
      </c>
      <c r="BX1138">
        <f t="shared" si="368"/>
        <v>-2363</v>
      </c>
      <c r="BY1138">
        <f t="shared" si="319"/>
        <v>-9.8885491750076842</v>
      </c>
      <c r="BZ1138">
        <v>0</v>
      </c>
      <c r="CA1138">
        <v>0</v>
      </c>
      <c r="CB1138">
        <v>0</v>
      </c>
      <c r="CC1138">
        <v>0</v>
      </c>
      <c r="CD1138">
        <v>0</v>
      </c>
      <c r="CE1138">
        <v>0</v>
      </c>
      <c r="CF1138">
        <v>0</v>
      </c>
      <c r="CG1138">
        <v>0</v>
      </c>
      <c r="CH1138">
        <v>0</v>
      </c>
      <c r="CI1138">
        <v>0</v>
      </c>
      <c r="CJ1138">
        <v>0</v>
      </c>
      <c r="CK1138">
        <v>0</v>
      </c>
      <c r="CL1138">
        <v>0</v>
      </c>
      <c r="CM1138">
        <v>0</v>
      </c>
      <c r="CN1138" t="str">
        <f t="shared" si="334"/>
        <v>refOK</v>
      </c>
      <c r="CO1138">
        <f t="shared" si="369"/>
        <v>0</v>
      </c>
      <c r="CP1138">
        <f t="shared" si="370"/>
        <v>117092</v>
      </c>
      <c r="CQ1138">
        <f t="shared" si="331"/>
        <v>238.96326530612248</v>
      </c>
      <c r="CR1138">
        <f t="shared" si="360"/>
        <v>-822</v>
      </c>
      <c r="CS1138">
        <f t="shared" si="361"/>
        <v>-3185</v>
      </c>
      <c r="CT1138">
        <f t="shared" si="322"/>
        <v>-2363</v>
      </c>
      <c r="CU1138">
        <f t="shared" si="365"/>
        <v>-9.8885491750076842</v>
      </c>
      <c r="CV1138" s="2">
        <f t="shared" si="323"/>
        <v>-2.8746958637469588</v>
      </c>
      <c r="CW1138" s="1" t="s">
        <v>264</v>
      </c>
      <c r="CX1138" s="266" t="str">
        <f t="shared" si="356"/>
        <v>loc</v>
      </c>
      <c r="CY1138" t="s">
        <v>575</v>
      </c>
      <c r="DB1138">
        <v>100</v>
      </c>
      <c r="DC1138" t="str">
        <f t="shared" si="357"/>
        <v>71-100</v>
      </c>
      <c r="DD1138">
        <v>0</v>
      </c>
      <c r="DE1138">
        <v>0</v>
      </c>
      <c r="DF1138">
        <v>0</v>
      </c>
      <c r="DG1138">
        <v>1</v>
      </c>
      <c r="DI1138">
        <f t="shared" si="366"/>
        <v>1</v>
      </c>
      <c r="DJ1138" t="str">
        <f t="shared" si="363"/>
        <v>TimberInput</v>
      </c>
      <c r="DK1138">
        <f t="shared" si="338"/>
        <v>0</v>
      </c>
      <c r="DL1138">
        <f t="shared" si="339"/>
        <v>0</v>
      </c>
      <c r="DM1138">
        <f t="shared" si="340"/>
        <v>0</v>
      </c>
      <c r="DN1138" t="str">
        <f t="shared" si="341"/>
        <v>Timber</v>
      </c>
      <c r="DO1138">
        <v>0</v>
      </c>
      <c r="DP1138">
        <v>0</v>
      </c>
      <c r="DQ1138">
        <v>0</v>
      </c>
      <c r="DR1138">
        <v>0</v>
      </c>
      <c r="DS1138">
        <v>0</v>
      </c>
      <c r="DT1138">
        <f t="shared" si="371"/>
        <v>0</v>
      </c>
      <c r="DU1138" s="143" t="str">
        <f t="shared" si="359"/>
        <v>explicit C balance</v>
      </c>
      <c r="DV1138">
        <v>0</v>
      </c>
      <c r="DW1138">
        <v>1</v>
      </c>
      <c r="DX1138">
        <v>0</v>
      </c>
      <c r="DY1138">
        <v>1</v>
      </c>
      <c r="DZ1138">
        <v>1</v>
      </c>
      <c r="EA1138" s="143">
        <v>0</v>
      </c>
      <c r="EB1138">
        <v>1</v>
      </c>
      <c r="EC1138">
        <v>1</v>
      </c>
      <c r="ED1138">
        <v>0</v>
      </c>
      <c r="EE1138">
        <v>1</v>
      </c>
      <c r="EF1138">
        <v>0</v>
      </c>
      <c r="EG1138">
        <v>0</v>
      </c>
      <c r="EH1138">
        <v>0</v>
      </c>
      <c r="EI1138" s="2">
        <v>0</v>
      </c>
      <c r="EK1138" t="str">
        <f t="shared" si="342"/>
        <v/>
      </c>
      <c r="EL1138" t="str">
        <f t="shared" si="343"/>
        <v/>
      </c>
      <c r="EM1138" s="2" t="str">
        <f t="shared" si="358"/>
        <v/>
      </c>
      <c r="EN1138" t="s">
        <v>584</v>
      </c>
      <c r="EP1138" t="str">
        <f>IF(ISNUMBER(BU1138),IF(ABS(BU1138-[1]QC_indicators!$B$2)&gt;3*[1]QC_indicators!$C$2,"C ratio",IF(ISNUMBER(BY1138),IF(ABS(BY1138-[1]QC_indicators!$B$1)&gt;3*[1]QC_indicators!$C$1,"DF","no"))),IF(ISNUMBER(BY1138),IF(ABS(BY1138-[1]QC_indicators!$B$1)&gt;3*[1]QC_indicators!$C$1,"DF","no")))</f>
        <v>DF</v>
      </c>
      <c r="ER1138" s="296" t="s">
        <v>350</v>
      </c>
      <c r="ET1138" s="266" t="s">
        <v>3409</v>
      </c>
    </row>
    <row r="1139" spans="1:150" ht="15" hidden="1" customHeight="1">
      <c r="A1139" s="1" t="s">
        <v>563</v>
      </c>
      <c r="B1139" t="s">
        <v>545</v>
      </c>
      <c r="C1139" t="s">
        <v>564</v>
      </c>
      <c r="D1139" t="s">
        <v>565</v>
      </c>
      <c r="E1139" t="s">
        <v>566</v>
      </c>
      <c r="F1139" t="s">
        <v>567</v>
      </c>
      <c r="G1139" t="s">
        <v>568</v>
      </c>
      <c r="H1139" t="s">
        <v>255</v>
      </c>
      <c r="I1139">
        <v>2009</v>
      </c>
      <c r="J1139">
        <v>16</v>
      </c>
      <c r="K1139" t="s">
        <v>569</v>
      </c>
      <c r="M1139" t="str">
        <f t="shared" si="362"/>
        <v>Crawford_2009</v>
      </c>
      <c r="N1139" t="s">
        <v>223</v>
      </c>
      <c r="O1139" s="145" t="s">
        <v>224</v>
      </c>
      <c r="Q1139" s="266" t="s">
        <v>257</v>
      </c>
      <c r="R1139" s="271" t="s">
        <v>1156</v>
      </c>
      <c r="S1139" s="1" t="s">
        <v>580</v>
      </c>
      <c r="T1139" s="266" t="s">
        <v>585</v>
      </c>
      <c r="U1139" s="266" t="s">
        <v>572</v>
      </c>
      <c r="V1139">
        <v>0</v>
      </c>
      <c r="W1139">
        <v>0</v>
      </c>
      <c r="X1139">
        <v>0</v>
      </c>
      <c r="Y1139">
        <v>0</v>
      </c>
      <c r="Z1139">
        <v>0</v>
      </c>
      <c r="AA1139">
        <v>0</v>
      </c>
      <c r="AB1139">
        <v>0</v>
      </c>
      <c r="AC1139">
        <v>0</v>
      </c>
      <c r="AD1139">
        <v>0</v>
      </c>
      <c r="AE1139">
        <v>0</v>
      </c>
      <c r="AF1139">
        <v>0</v>
      </c>
      <c r="AG1139">
        <v>0</v>
      </c>
      <c r="AH1139">
        <v>0</v>
      </c>
      <c r="AI1139">
        <v>0</v>
      </c>
      <c r="AJ1139">
        <v>0</v>
      </c>
      <c r="AK1139">
        <v>1</v>
      </c>
      <c r="AL1139">
        <v>0</v>
      </c>
      <c r="AM1139">
        <v>0</v>
      </c>
      <c r="AN1139">
        <v>0</v>
      </c>
      <c r="AO1139">
        <v>0</v>
      </c>
      <c r="AP1139">
        <v>0</v>
      </c>
      <c r="AQ1139">
        <v>0</v>
      </c>
      <c r="AR1139">
        <v>0</v>
      </c>
      <c r="AS1139">
        <v>0</v>
      </c>
      <c r="AT1139">
        <v>0</v>
      </c>
      <c r="AU1139">
        <v>0</v>
      </c>
      <c r="AV1139">
        <v>0</v>
      </c>
      <c r="AW1139">
        <v>0</v>
      </c>
      <c r="AX1139" s="141">
        <f t="shared" si="321"/>
        <v>1</v>
      </c>
      <c r="AY1139" s="141">
        <f t="shared" si="350"/>
        <v>1</v>
      </c>
      <c r="AZ1139">
        <f t="shared" si="351"/>
        <v>0</v>
      </c>
      <c r="BA1139">
        <f t="shared" si="352"/>
        <v>0</v>
      </c>
      <c r="BB1139">
        <f t="shared" si="353"/>
        <v>1</v>
      </c>
      <c r="BC1139">
        <f t="shared" si="354"/>
        <v>0</v>
      </c>
      <c r="BD1139">
        <f t="shared" si="355"/>
        <v>0</v>
      </c>
      <c r="BE1139" t="str" cm="1">
        <f t="array" ref="BE1139">IF(AY1139=1,INDEX($V$7:$AL$7,MATCH(TRUE,INDEX($V1139:$AW1139&lt;&gt;0,),0)),IF(AY1139=0,INDEX($AM$7:$AW$7,MATCH(1,$AM1139:$AW1139,0)),IF(BF1139="Multiple strategies","mixed drivers",IF(BF1139="Supply chain","multiple supply","multiple silviculture"))))</f>
        <v>technologies/design switch</v>
      </c>
      <c r="BF1139" s="2" t="str" cm="1">
        <f t="array" ref="BF1139">IF(COUNTIF(AZ1139:BB1139,"&lt;&gt;0")=1,INDEX($V$4:$AW$4,MATCH(TRUE,INDEX($V1139:$AW1139&lt;&gt;0,),0)),IF(COUNTIF(AZ1139:BB1139,"&lt;&gt;0")=0,INDEX($AM$4:$AW$4,MATCH(1,$AM1139:$AW1139,0)),"Multiple strategies"))</f>
        <v>Technology</v>
      </c>
      <c r="BG1139" s="1" t="s">
        <v>230</v>
      </c>
      <c r="BH1139" t="s">
        <v>573</v>
      </c>
      <c r="BJ1139" t="s">
        <v>346</v>
      </c>
      <c r="BK1139">
        <v>0</v>
      </c>
      <c r="BL1139">
        <f t="shared" si="367"/>
        <v>117092</v>
      </c>
      <c r="BN1139">
        <f t="shared" si="332"/>
        <v>117092</v>
      </c>
      <c r="BO1139">
        <f t="shared" si="364"/>
        <v>238.96326530612248</v>
      </c>
      <c r="BP1139" s="266" t="s">
        <v>233</v>
      </c>
      <c r="BQ1139" s="266"/>
      <c r="BR1139" t="s">
        <v>574</v>
      </c>
      <c r="BS1139">
        <v>-1491</v>
      </c>
      <c r="BT1139">
        <v>-3656</v>
      </c>
      <c r="BU1139" s="144">
        <v>2.4352783366867872</v>
      </c>
      <c r="BV1139">
        <v>-2140</v>
      </c>
      <c r="BX1139">
        <f t="shared" si="368"/>
        <v>-2140</v>
      </c>
      <c r="BY1139">
        <f t="shared" si="319"/>
        <v>-8.9553513476582509</v>
      </c>
      <c r="BZ1139">
        <v>0</v>
      </c>
      <c r="CA1139">
        <v>0</v>
      </c>
      <c r="CB1139">
        <v>0</v>
      </c>
      <c r="CC1139">
        <v>0</v>
      </c>
      <c r="CD1139">
        <v>0</v>
      </c>
      <c r="CE1139">
        <v>0</v>
      </c>
      <c r="CF1139">
        <v>0</v>
      </c>
      <c r="CG1139">
        <v>0</v>
      </c>
      <c r="CH1139">
        <v>0</v>
      </c>
      <c r="CI1139">
        <v>0</v>
      </c>
      <c r="CJ1139">
        <v>0</v>
      </c>
      <c r="CK1139">
        <v>0</v>
      </c>
      <c r="CL1139">
        <v>0</v>
      </c>
      <c r="CM1139">
        <v>0</v>
      </c>
      <c r="CN1139" t="str">
        <f t="shared" si="334"/>
        <v>refOK</v>
      </c>
      <c r="CO1139">
        <f t="shared" si="369"/>
        <v>0</v>
      </c>
      <c r="CP1139">
        <f t="shared" si="370"/>
        <v>117092</v>
      </c>
      <c r="CQ1139">
        <f t="shared" si="331"/>
        <v>238.96326530612248</v>
      </c>
      <c r="CR1139">
        <f t="shared" si="360"/>
        <v>-1491</v>
      </c>
      <c r="CS1139">
        <f t="shared" si="361"/>
        <v>-3656</v>
      </c>
      <c r="CT1139">
        <f t="shared" si="322"/>
        <v>-2140</v>
      </c>
      <c r="CU1139">
        <f t="shared" si="365"/>
        <v>-8.9553513476582509</v>
      </c>
      <c r="CV1139" s="2">
        <f t="shared" si="323"/>
        <v>-1.4520456069751844</v>
      </c>
      <c r="CW1139" s="1" t="s">
        <v>264</v>
      </c>
      <c r="CX1139" s="266" t="str">
        <f t="shared" si="356"/>
        <v>loc</v>
      </c>
      <c r="CY1139" t="s">
        <v>575</v>
      </c>
      <c r="DB1139">
        <v>100</v>
      </c>
      <c r="DC1139" t="str">
        <f t="shared" si="357"/>
        <v>71-100</v>
      </c>
      <c r="DD1139">
        <v>0</v>
      </c>
      <c r="DE1139">
        <v>0</v>
      </c>
      <c r="DF1139">
        <v>0</v>
      </c>
      <c r="DG1139">
        <v>1</v>
      </c>
      <c r="DI1139">
        <f t="shared" si="366"/>
        <v>1</v>
      </c>
      <c r="DJ1139" t="str">
        <f t="shared" si="363"/>
        <v>TimberInput</v>
      </c>
      <c r="DK1139">
        <f t="shared" si="338"/>
        <v>0</v>
      </c>
      <c r="DL1139">
        <f t="shared" si="339"/>
        <v>0</v>
      </c>
      <c r="DM1139">
        <f t="shared" si="340"/>
        <v>0</v>
      </c>
      <c r="DN1139" t="str">
        <f t="shared" si="341"/>
        <v>Timber</v>
      </c>
      <c r="DO1139">
        <v>0</v>
      </c>
      <c r="DP1139">
        <v>0</v>
      </c>
      <c r="DQ1139">
        <v>0</v>
      </c>
      <c r="DR1139">
        <v>0</v>
      </c>
      <c r="DS1139">
        <v>0</v>
      </c>
      <c r="DT1139">
        <f t="shared" si="371"/>
        <v>0</v>
      </c>
      <c r="DU1139" s="143" t="str">
        <f t="shared" si="359"/>
        <v>explicit C balance</v>
      </c>
      <c r="DV1139">
        <v>0</v>
      </c>
      <c r="DW1139">
        <v>1</v>
      </c>
      <c r="DX1139">
        <v>0</v>
      </c>
      <c r="DY1139">
        <v>1</v>
      </c>
      <c r="DZ1139">
        <v>1</v>
      </c>
      <c r="EA1139" s="143">
        <v>0</v>
      </c>
      <c r="EB1139">
        <v>1</v>
      </c>
      <c r="EC1139">
        <v>1</v>
      </c>
      <c r="ED1139">
        <v>0</v>
      </c>
      <c r="EE1139">
        <v>1</v>
      </c>
      <c r="EF1139">
        <v>0</v>
      </c>
      <c r="EG1139">
        <v>0</v>
      </c>
      <c r="EH1139">
        <v>0</v>
      </c>
      <c r="EI1139" s="2">
        <v>0</v>
      </c>
      <c r="EK1139" t="str">
        <f t="shared" si="342"/>
        <v/>
      </c>
      <c r="EL1139" t="str">
        <f t="shared" si="343"/>
        <v/>
      </c>
      <c r="EM1139" s="2" t="str">
        <f t="shared" si="358"/>
        <v/>
      </c>
      <c r="EN1139" t="s">
        <v>584</v>
      </c>
      <c r="EP1139" t="str">
        <f>IF(ISNUMBER(BU1139),IF(ABS(BU1139-[1]QC_indicators!$B$2)&gt;3*[1]QC_indicators!$C$2,"C ratio",IF(ISNUMBER(BY1139),IF(ABS(BY1139-[1]QC_indicators!$B$1)&gt;3*[1]QC_indicators!$C$1,"DF","no"))),IF(ISNUMBER(BY1139),IF(ABS(BY1139-[1]QC_indicators!$B$1)&gt;3*[1]QC_indicators!$C$1,"DF","no")))</f>
        <v>DF</v>
      </c>
      <c r="ER1139" s="296" t="s">
        <v>350</v>
      </c>
      <c r="ET1139" s="266" t="s">
        <v>3409</v>
      </c>
    </row>
    <row r="1140" spans="1:150" ht="15" hidden="1" customHeight="1">
      <c r="A1140" s="1" t="s">
        <v>563</v>
      </c>
      <c r="B1140" t="s">
        <v>545</v>
      </c>
      <c r="C1140" t="s">
        <v>564</v>
      </c>
      <c r="D1140" t="s">
        <v>565</v>
      </c>
      <c r="E1140" t="s">
        <v>566</v>
      </c>
      <c r="F1140" t="s">
        <v>567</v>
      </c>
      <c r="G1140" t="s">
        <v>568</v>
      </c>
      <c r="H1140" t="s">
        <v>255</v>
      </c>
      <c r="I1140">
        <v>2009</v>
      </c>
      <c r="J1140">
        <v>16</v>
      </c>
      <c r="K1140" t="s">
        <v>569</v>
      </c>
      <c r="M1140" t="str">
        <f t="shared" si="362"/>
        <v>Crawford_2009</v>
      </c>
      <c r="N1140" t="s">
        <v>223</v>
      </c>
      <c r="O1140" s="145" t="s">
        <v>224</v>
      </c>
      <c r="Q1140" s="266" t="s">
        <v>257</v>
      </c>
      <c r="R1140" s="271" t="s">
        <v>1156</v>
      </c>
      <c r="S1140" s="1" t="s">
        <v>580</v>
      </c>
      <c r="T1140" s="266" t="s">
        <v>586</v>
      </c>
      <c r="U1140" s="266" t="s">
        <v>579</v>
      </c>
      <c r="V1140">
        <v>0</v>
      </c>
      <c r="W1140">
        <v>0</v>
      </c>
      <c r="X1140">
        <v>0</v>
      </c>
      <c r="Y1140">
        <v>0</v>
      </c>
      <c r="Z1140">
        <v>0</v>
      </c>
      <c r="AA1140">
        <v>0</v>
      </c>
      <c r="AB1140">
        <v>0</v>
      </c>
      <c r="AC1140">
        <v>0</v>
      </c>
      <c r="AD1140">
        <v>0</v>
      </c>
      <c r="AE1140">
        <v>0</v>
      </c>
      <c r="AF1140">
        <v>0</v>
      </c>
      <c r="AG1140">
        <v>0</v>
      </c>
      <c r="AH1140">
        <v>0</v>
      </c>
      <c r="AI1140">
        <v>0</v>
      </c>
      <c r="AJ1140">
        <v>0</v>
      </c>
      <c r="AK1140">
        <v>1</v>
      </c>
      <c r="AL1140">
        <v>0</v>
      </c>
      <c r="AM1140">
        <v>0</v>
      </c>
      <c r="AN1140">
        <v>0</v>
      </c>
      <c r="AO1140">
        <v>0</v>
      </c>
      <c r="AP1140">
        <v>0</v>
      </c>
      <c r="AQ1140">
        <v>0</v>
      </c>
      <c r="AR1140">
        <v>0</v>
      </c>
      <c r="AS1140">
        <v>0</v>
      </c>
      <c r="AT1140">
        <v>0</v>
      </c>
      <c r="AU1140">
        <v>0</v>
      </c>
      <c r="AV1140">
        <v>0</v>
      </c>
      <c r="AW1140">
        <v>0</v>
      </c>
      <c r="AX1140" s="141">
        <f t="shared" si="321"/>
        <v>1</v>
      </c>
      <c r="AY1140" s="141">
        <f t="shared" si="350"/>
        <v>1</v>
      </c>
      <c r="AZ1140">
        <f t="shared" si="351"/>
        <v>0</v>
      </c>
      <c r="BA1140">
        <f t="shared" si="352"/>
        <v>0</v>
      </c>
      <c r="BB1140">
        <f t="shared" si="353"/>
        <v>1</v>
      </c>
      <c r="BC1140">
        <f t="shared" si="354"/>
        <v>0</v>
      </c>
      <c r="BD1140">
        <f t="shared" si="355"/>
        <v>0</v>
      </c>
      <c r="BE1140" t="str" cm="1">
        <f t="array" ref="BE1140">IF(AY1140=1,INDEX($V$7:$AL$7,MATCH(TRUE,INDEX($V1140:$AW1140&lt;&gt;0,),0)),IF(AY1140=0,INDEX($AM$7:$AW$7,MATCH(1,$AM1140:$AW1140,0)),IF(BF1140="Multiple strategies","mixed drivers",IF(BF1140="Supply chain","multiple supply","multiple silviculture"))))</f>
        <v>technologies/design switch</v>
      </c>
      <c r="BF1140" s="2" t="str" cm="1">
        <f t="array" ref="BF1140">IF(COUNTIF(AZ1140:BB1140,"&lt;&gt;0")=1,INDEX($V$4:$AW$4,MATCH(TRUE,INDEX($V1140:$AW1140&lt;&gt;0,),0)),IF(COUNTIF(AZ1140:BB1140,"&lt;&gt;0")=0,INDEX($AM$4:$AW$4,MATCH(1,$AM1140:$AW1140,0)),"Multiple strategies"))</f>
        <v>Technology</v>
      </c>
      <c r="BG1140" s="1" t="s">
        <v>230</v>
      </c>
      <c r="BH1140" t="s">
        <v>573</v>
      </c>
      <c r="BJ1140" t="s">
        <v>346</v>
      </c>
      <c r="BK1140">
        <v>0</v>
      </c>
      <c r="BL1140">
        <f t="shared" si="367"/>
        <v>117092</v>
      </c>
      <c r="BN1140">
        <f t="shared" si="332"/>
        <v>117092</v>
      </c>
      <c r="BO1140">
        <f t="shared" si="364"/>
        <v>238.96326530612248</v>
      </c>
      <c r="BP1140" s="266" t="s">
        <v>233</v>
      </c>
      <c r="BQ1140" s="266"/>
      <c r="BR1140" t="s">
        <v>574</v>
      </c>
      <c r="BS1140">
        <v>-822</v>
      </c>
      <c r="BT1140">
        <v>-2751</v>
      </c>
      <c r="BU1140" s="144">
        <v>3.3467153284671531</v>
      </c>
      <c r="BV1140">
        <v>-1929</v>
      </c>
      <c r="BX1140">
        <f t="shared" si="368"/>
        <v>-1929</v>
      </c>
      <c r="BY1140">
        <f t="shared" si="319"/>
        <v>-8.0723704437536288</v>
      </c>
      <c r="BZ1140">
        <v>0</v>
      </c>
      <c r="CA1140">
        <v>0</v>
      </c>
      <c r="CB1140">
        <v>0</v>
      </c>
      <c r="CC1140">
        <v>0</v>
      </c>
      <c r="CD1140">
        <v>0</v>
      </c>
      <c r="CE1140">
        <v>0</v>
      </c>
      <c r="CF1140">
        <v>0</v>
      </c>
      <c r="CG1140">
        <v>0</v>
      </c>
      <c r="CH1140">
        <v>0</v>
      </c>
      <c r="CI1140">
        <v>0</v>
      </c>
      <c r="CJ1140">
        <v>0</v>
      </c>
      <c r="CK1140">
        <v>0</v>
      </c>
      <c r="CL1140">
        <v>0</v>
      </c>
      <c r="CM1140">
        <v>0</v>
      </c>
      <c r="CN1140" t="str">
        <f t="shared" si="334"/>
        <v>refOK</v>
      </c>
      <c r="CO1140">
        <f t="shared" si="369"/>
        <v>0</v>
      </c>
      <c r="CP1140">
        <f t="shared" si="370"/>
        <v>117092</v>
      </c>
      <c r="CQ1140">
        <f t="shared" si="331"/>
        <v>238.96326530612248</v>
      </c>
      <c r="CR1140">
        <f t="shared" si="360"/>
        <v>-822</v>
      </c>
      <c r="CS1140">
        <f t="shared" si="361"/>
        <v>-2751</v>
      </c>
      <c r="CT1140">
        <f t="shared" si="322"/>
        <v>-1929</v>
      </c>
      <c r="CU1140">
        <f t="shared" si="365"/>
        <v>-8.0723704437536288</v>
      </c>
      <c r="CV1140" s="2">
        <f t="shared" si="323"/>
        <v>-2.3467153284671531</v>
      </c>
      <c r="CW1140" s="1" t="s">
        <v>264</v>
      </c>
      <c r="CX1140" s="266" t="str">
        <f t="shared" si="356"/>
        <v>loc</v>
      </c>
      <c r="CY1140" t="s">
        <v>575</v>
      </c>
      <c r="DB1140">
        <v>100</v>
      </c>
      <c r="DC1140" t="str">
        <f t="shared" si="357"/>
        <v>71-100</v>
      </c>
      <c r="DD1140">
        <v>0</v>
      </c>
      <c r="DE1140">
        <v>0</v>
      </c>
      <c r="DF1140">
        <v>0</v>
      </c>
      <c r="DG1140">
        <v>1</v>
      </c>
      <c r="DI1140">
        <f t="shared" si="366"/>
        <v>1</v>
      </c>
      <c r="DJ1140" t="str">
        <f t="shared" si="363"/>
        <v>TimberInput</v>
      </c>
      <c r="DK1140">
        <f t="shared" si="338"/>
        <v>0</v>
      </c>
      <c r="DL1140">
        <f t="shared" si="339"/>
        <v>0</v>
      </c>
      <c r="DM1140">
        <f t="shared" si="340"/>
        <v>0</v>
      </c>
      <c r="DN1140" t="str">
        <f t="shared" si="341"/>
        <v>Timber</v>
      </c>
      <c r="DO1140">
        <v>0</v>
      </c>
      <c r="DP1140">
        <v>0</v>
      </c>
      <c r="DQ1140">
        <v>0</v>
      </c>
      <c r="DR1140">
        <v>0</v>
      </c>
      <c r="DS1140">
        <v>0</v>
      </c>
      <c r="DT1140">
        <f t="shared" si="371"/>
        <v>0</v>
      </c>
      <c r="DU1140" s="143" t="str">
        <f t="shared" si="359"/>
        <v>explicit C balance</v>
      </c>
      <c r="DV1140">
        <v>0</v>
      </c>
      <c r="DW1140">
        <v>1</v>
      </c>
      <c r="DX1140">
        <v>0</v>
      </c>
      <c r="DY1140">
        <v>1</v>
      </c>
      <c r="DZ1140">
        <v>1</v>
      </c>
      <c r="EA1140" s="143">
        <v>0</v>
      </c>
      <c r="EB1140">
        <v>1</v>
      </c>
      <c r="EC1140">
        <v>1</v>
      </c>
      <c r="ED1140">
        <v>0</v>
      </c>
      <c r="EE1140">
        <v>1</v>
      </c>
      <c r="EF1140">
        <v>0</v>
      </c>
      <c r="EG1140">
        <v>0</v>
      </c>
      <c r="EH1140">
        <v>0</v>
      </c>
      <c r="EI1140" s="2">
        <v>0</v>
      </c>
      <c r="EK1140" t="str">
        <f t="shared" si="342"/>
        <v/>
      </c>
      <c r="EL1140" t="str">
        <f t="shared" si="343"/>
        <v/>
      </c>
      <c r="EM1140" s="2" t="str">
        <f t="shared" si="358"/>
        <v/>
      </c>
      <c r="EN1140" t="s">
        <v>584</v>
      </c>
      <c r="EP1140" t="str">
        <f>IF(ISNUMBER(BU1140),IF(ABS(BU1140-[1]QC_indicators!$B$2)&gt;3*[1]QC_indicators!$C$2,"C ratio",IF(ISNUMBER(BY1140),IF(ABS(BY1140-[1]QC_indicators!$B$1)&gt;3*[1]QC_indicators!$C$1,"DF","no"))),IF(ISNUMBER(BY1140),IF(ABS(BY1140-[1]QC_indicators!$B$1)&gt;3*[1]QC_indicators!$C$1,"DF","no")))</f>
        <v>DF</v>
      </c>
      <c r="ER1140" s="296" t="s">
        <v>350</v>
      </c>
      <c r="ET1140" s="266" t="s">
        <v>3409</v>
      </c>
    </row>
    <row r="1141" spans="1:150" ht="15" hidden="1" customHeight="1">
      <c r="A1141" s="1" t="s">
        <v>563</v>
      </c>
      <c r="B1141" t="s">
        <v>545</v>
      </c>
      <c r="C1141" t="s">
        <v>564</v>
      </c>
      <c r="D1141" t="s">
        <v>565</v>
      </c>
      <c r="E1141" t="s">
        <v>566</v>
      </c>
      <c r="F1141" t="s">
        <v>567</v>
      </c>
      <c r="G1141" t="s">
        <v>568</v>
      </c>
      <c r="H1141" t="s">
        <v>255</v>
      </c>
      <c r="I1141">
        <v>2009</v>
      </c>
      <c r="J1141">
        <v>16</v>
      </c>
      <c r="K1141" t="s">
        <v>569</v>
      </c>
      <c r="M1141" t="str">
        <f t="shared" si="362"/>
        <v>Crawford_2009</v>
      </c>
      <c r="N1141" t="s">
        <v>223</v>
      </c>
      <c r="O1141" s="145" t="s">
        <v>224</v>
      </c>
      <c r="Q1141" s="266" t="s">
        <v>257</v>
      </c>
      <c r="R1141" s="271" t="s">
        <v>1156</v>
      </c>
      <c r="S1141" s="1" t="s">
        <v>570</v>
      </c>
      <c r="T1141" s="266" t="s">
        <v>587</v>
      </c>
      <c r="U1141" s="266" t="s">
        <v>579</v>
      </c>
      <c r="V1141">
        <v>0</v>
      </c>
      <c r="W1141">
        <v>0</v>
      </c>
      <c r="X1141">
        <v>0</v>
      </c>
      <c r="Y1141">
        <v>0</v>
      </c>
      <c r="Z1141">
        <v>0</v>
      </c>
      <c r="AA1141">
        <v>0</v>
      </c>
      <c r="AB1141">
        <v>0</v>
      </c>
      <c r="AC1141">
        <v>0</v>
      </c>
      <c r="AD1141">
        <v>0</v>
      </c>
      <c r="AE1141">
        <v>0</v>
      </c>
      <c r="AF1141">
        <v>0</v>
      </c>
      <c r="AG1141">
        <v>0</v>
      </c>
      <c r="AH1141">
        <v>0</v>
      </c>
      <c r="AI1141">
        <v>0</v>
      </c>
      <c r="AJ1141">
        <v>0</v>
      </c>
      <c r="AK1141">
        <v>1</v>
      </c>
      <c r="AL1141">
        <v>0</v>
      </c>
      <c r="AM1141">
        <v>0</v>
      </c>
      <c r="AN1141">
        <v>0</v>
      </c>
      <c r="AO1141">
        <v>0</v>
      </c>
      <c r="AP1141">
        <v>0</v>
      </c>
      <c r="AQ1141">
        <v>0</v>
      </c>
      <c r="AR1141">
        <v>0</v>
      </c>
      <c r="AS1141">
        <v>0</v>
      </c>
      <c r="AT1141">
        <v>0</v>
      </c>
      <c r="AU1141">
        <v>0</v>
      </c>
      <c r="AV1141">
        <v>0</v>
      </c>
      <c r="AW1141">
        <v>0</v>
      </c>
      <c r="AX1141" s="141">
        <f t="shared" si="321"/>
        <v>1</v>
      </c>
      <c r="AY1141" s="141">
        <f t="shared" si="350"/>
        <v>1</v>
      </c>
      <c r="AZ1141">
        <f t="shared" si="351"/>
        <v>0</v>
      </c>
      <c r="BA1141">
        <f t="shared" si="352"/>
        <v>0</v>
      </c>
      <c r="BB1141">
        <f t="shared" si="353"/>
        <v>1</v>
      </c>
      <c r="BC1141">
        <f t="shared" si="354"/>
        <v>0</v>
      </c>
      <c r="BD1141">
        <f t="shared" si="355"/>
        <v>0</v>
      </c>
      <c r="BE1141" t="str" cm="1">
        <f t="array" ref="BE1141">IF(AY1141=1,INDEX($V$7:$AL$7,MATCH(TRUE,INDEX($V1141:$AW1141&lt;&gt;0,),0)),IF(AY1141=0,INDEX($AM$7:$AW$7,MATCH(1,$AM1141:$AW1141,0)),IF(BF1141="Multiple strategies","mixed drivers",IF(BF1141="Supply chain","multiple supply","multiple silviculture"))))</f>
        <v>technologies/design switch</v>
      </c>
      <c r="BF1141" s="2" t="str" cm="1">
        <f t="array" ref="BF1141">IF(COUNTIF(AZ1141:BB1141,"&lt;&gt;0")=1,INDEX($V$4:$AW$4,MATCH(TRUE,INDEX($V1141:$AW1141&lt;&gt;0,),0)),IF(COUNTIF(AZ1141:BB1141,"&lt;&gt;0")=0,INDEX($AM$4:$AW$4,MATCH(1,$AM1141:$AW1141,0)),"Multiple strategies"))</f>
        <v>Technology</v>
      </c>
      <c r="BG1141" s="1" t="s">
        <v>230</v>
      </c>
      <c r="BH1141" t="s">
        <v>573</v>
      </c>
      <c r="BJ1141" t="s">
        <v>346</v>
      </c>
      <c r="BK1141">
        <f>80.2*1460</f>
        <v>117092</v>
      </c>
      <c r="BL1141">
        <f t="shared" si="367"/>
        <v>117092</v>
      </c>
      <c r="BN1141">
        <f t="shared" si="332"/>
        <v>0</v>
      </c>
      <c r="BO1141">
        <f t="shared" si="364"/>
        <v>0</v>
      </c>
      <c r="BP1141" s="266" t="s">
        <v>233</v>
      </c>
      <c r="BR1141" t="s">
        <v>574</v>
      </c>
      <c r="BS1141">
        <v>-3185</v>
      </c>
      <c r="BT1141">
        <v>-2751</v>
      </c>
      <c r="BY1141" t="str">
        <f t="shared" si="319"/>
        <v/>
      </c>
      <c r="CN1141"/>
      <c r="CO1141"/>
      <c r="CP1141"/>
      <c r="CQ1141"/>
      <c r="CR1141"/>
      <c r="CS1141"/>
      <c r="CT1141"/>
      <c r="CU1141" t="str">
        <f t="shared" si="365"/>
        <v/>
      </c>
      <c r="CV1141" s="2"/>
      <c r="CW1141" s="1" t="s">
        <v>264</v>
      </c>
      <c r="CX1141" s="266" t="str">
        <f t="shared" si="356"/>
        <v>loc</v>
      </c>
      <c r="CY1141" t="s">
        <v>575</v>
      </c>
      <c r="DB1141">
        <v>100</v>
      </c>
      <c r="DC1141" t="str">
        <f t="shared" si="357"/>
        <v>71-100</v>
      </c>
      <c r="DD1141">
        <v>0</v>
      </c>
      <c r="DE1141">
        <v>0</v>
      </c>
      <c r="DF1141">
        <v>0</v>
      </c>
      <c r="DG1141">
        <v>1</v>
      </c>
      <c r="DI1141">
        <f t="shared" si="366"/>
        <v>1</v>
      </c>
      <c r="DJ1141" t="str">
        <f t="shared" si="363"/>
        <v>TimberInput</v>
      </c>
      <c r="DK1141">
        <f t="shared" si="338"/>
        <v>0</v>
      </c>
      <c r="DL1141">
        <f t="shared" si="339"/>
        <v>0</v>
      </c>
      <c r="DM1141">
        <f t="shared" si="340"/>
        <v>0</v>
      </c>
      <c r="DN1141" t="str">
        <f t="shared" si="341"/>
        <v>Timber</v>
      </c>
      <c r="DO1141">
        <v>0</v>
      </c>
      <c r="DP1141">
        <v>0</v>
      </c>
      <c r="DQ1141">
        <v>0</v>
      </c>
      <c r="DR1141">
        <v>0</v>
      </c>
      <c r="DS1141">
        <v>0</v>
      </c>
      <c r="DT1141">
        <f t="shared" si="371"/>
        <v>0</v>
      </c>
      <c r="DU1141" s="143" t="str">
        <f t="shared" si="359"/>
        <v>explicit C balance</v>
      </c>
      <c r="DV1141">
        <v>0</v>
      </c>
      <c r="DW1141">
        <v>1</v>
      </c>
      <c r="DX1141">
        <v>0</v>
      </c>
      <c r="DY1141">
        <v>1</v>
      </c>
      <c r="DZ1141">
        <v>1</v>
      </c>
      <c r="EA1141" s="143">
        <v>0</v>
      </c>
      <c r="EB1141">
        <v>1</v>
      </c>
      <c r="EC1141">
        <v>1</v>
      </c>
      <c r="ED1141">
        <v>0</v>
      </c>
      <c r="EE1141">
        <v>1</v>
      </c>
      <c r="EF1141">
        <v>0</v>
      </c>
      <c r="EG1141">
        <v>0</v>
      </c>
      <c r="EH1141">
        <v>0</v>
      </c>
      <c r="EI1141" s="2">
        <v>0</v>
      </c>
      <c r="EK1141" t="str">
        <f t="shared" si="342"/>
        <v/>
      </c>
      <c r="EL1141" t="str">
        <f t="shared" si="343"/>
        <v/>
      </c>
      <c r="EM1141" s="2" t="str">
        <f t="shared" si="358"/>
        <v/>
      </c>
      <c r="ET1141" s="266" t="s">
        <v>3409</v>
      </c>
    </row>
    <row r="1142" spans="1:150" ht="15" hidden="1" customHeight="1">
      <c r="A1142" s="1" t="s">
        <v>1362</v>
      </c>
      <c r="B1142" t="s">
        <v>2137</v>
      </c>
      <c r="C1142" t="s">
        <v>2138</v>
      </c>
      <c r="D1142" t="s">
        <v>2139</v>
      </c>
      <c r="E1142" t="s">
        <v>2140</v>
      </c>
      <c r="F1142" t="s">
        <v>2141</v>
      </c>
      <c r="G1142" t="s">
        <v>1368</v>
      </c>
      <c r="H1142" t="s">
        <v>255</v>
      </c>
      <c r="I1142">
        <v>2012</v>
      </c>
      <c r="J1142">
        <v>21</v>
      </c>
      <c r="K1142" t="s">
        <v>2142</v>
      </c>
      <c r="L1142" s="192"/>
      <c r="M1142" t="str">
        <f t="shared" si="362"/>
        <v>Pyorala_2012</v>
      </c>
      <c r="N1142" t="s">
        <v>223</v>
      </c>
      <c r="O1142" s="145" t="s">
        <v>342</v>
      </c>
      <c r="Q1142" s="266" t="s">
        <v>257</v>
      </c>
      <c r="R1142" s="271" t="s">
        <v>1156</v>
      </c>
      <c r="S1142" s="1" t="s">
        <v>2169</v>
      </c>
      <c r="T1142" t="s">
        <v>800</v>
      </c>
      <c r="U1142" t="s">
        <v>2170</v>
      </c>
      <c r="V1142">
        <v>0</v>
      </c>
      <c r="W1142">
        <v>0</v>
      </c>
      <c r="X1142">
        <v>0</v>
      </c>
      <c r="Y1142">
        <v>0</v>
      </c>
      <c r="Z1142">
        <v>0</v>
      </c>
      <c r="AA1142">
        <v>0</v>
      </c>
      <c r="AB1142">
        <v>0</v>
      </c>
      <c r="AC1142">
        <v>0</v>
      </c>
      <c r="AD1142">
        <v>0</v>
      </c>
      <c r="AE1142">
        <v>0</v>
      </c>
      <c r="AF1142">
        <v>0</v>
      </c>
      <c r="AG1142">
        <v>0</v>
      </c>
      <c r="AH1142">
        <v>0</v>
      </c>
      <c r="AI1142">
        <v>0</v>
      </c>
      <c r="AJ1142">
        <v>0</v>
      </c>
      <c r="AK1142">
        <v>1</v>
      </c>
      <c r="AL1142">
        <v>0</v>
      </c>
      <c r="AM1142">
        <v>0</v>
      </c>
      <c r="AN1142">
        <v>0</v>
      </c>
      <c r="AO1142">
        <v>0</v>
      </c>
      <c r="AP1142">
        <v>0</v>
      </c>
      <c r="AQ1142">
        <v>0</v>
      </c>
      <c r="AR1142">
        <v>0</v>
      </c>
      <c r="AS1142">
        <v>0</v>
      </c>
      <c r="AT1142">
        <v>0</v>
      </c>
      <c r="AU1142">
        <v>0</v>
      </c>
      <c r="AV1142">
        <v>0</v>
      </c>
      <c r="AW1142">
        <v>0</v>
      </c>
      <c r="AX1142" s="141">
        <f t="shared" si="321"/>
        <v>1</v>
      </c>
      <c r="AY1142" s="141">
        <f t="shared" si="350"/>
        <v>1</v>
      </c>
      <c r="AZ1142">
        <f t="shared" si="351"/>
        <v>0</v>
      </c>
      <c r="BA1142">
        <f t="shared" si="352"/>
        <v>0</v>
      </c>
      <c r="BB1142">
        <f t="shared" si="353"/>
        <v>1</v>
      </c>
      <c r="BC1142">
        <f t="shared" si="354"/>
        <v>0</v>
      </c>
      <c r="BD1142">
        <f t="shared" si="355"/>
        <v>0</v>
      </c>
      <c r="BE1142" t="str" cm="1">
        <f t="array" ref="BE1142">IF(AY1142=1,INDEX($V$7:$AL$7,MATCH(TRUE,INDEX($V1142:$AW1142&lt;&gt;0,),0)),IF(AY1142=0,INDEX($AM$7:$AW$7,MATCH(1,$AM1142:$AW1142,0)),IF(BF1142="Multiple strategies","mixed drivers",IF(BF1142="Supply chain","multiple supply","multiple silviculture"))))</f>
        <v>technologies/design switch</v>
      </c>
      <c r="BF1142" s="2" t="str" cm="1">
        <f t="array" ref="BF1142">IF(COUNTIF(AZ1142:BB1142,"&lt;&gt;0")=1,INDEX($V$4:$AW$4,MATCH(TRUE,INDEX($V1142:$AW1142&lt;&gt;0,),0)),IF(COUNTIF(AZ1142:BB1142,"&lt;&gt;0")=0,INDEX($AM$4:$AW$4,MATCH(1,$AM1142:$AW1142,0)),"Multiple strategies"))</f>
        <v>Technology</v>
      </c>
      <c r="BH1142" t="s">
        <v>2171</v>
      </c>
      <c r="BN1142" s="143"/>
      <c r="BP1142" s="266" t="s">
        <v>233</v>
      </c>
      <c r="BQ1142" s="266"/>
      <c r="BR1142" t="s">
        <v>2172</v>
      </c>
      <c r="BS1142">
        <v>-157</v>
      </c>
      <c r="BT1142">
        <v>-49</v>
      </c>
      <c r="BU1142" s="144">
        <v>0.14369501466275661</v>
      </c>
      <c r="BV1142">
        <v>292</v>
      </c>
      <c r="BX1142">
        <f t="shared" ref="BX1142:BX1159" si="372">BV1142/1000</f>
        <v>0.29199999999999998</v>
      </c>
      <c r="BY1142" t="str">
        <f t="shared" si="319"/>
        <v/>
      </c>
      <c r="BZ1142">
        <v>0</v>
      </c>
      <c r="CA1142">
        <v>0</v>
      </c>
      <c r="CB1142">
        <v>0</v>
      </c>
      <c r="CC1142">
        <v>0</v>
      </c>
      <c r="CD1142">
        <v>0</v>
      </c>
      <c r="CE1142">
        <v>0</v>
      </c>
      <c r="CF1142">
        <v>0</v>
      </c>
      <c r="CG1142">
        <v>0</v>
      </c>
      <c r="CH1142">
        <v>0</v>
      </c>
      <c r="CI1142">
        <v>0</v>
      </c>
      <c r="CJ1142">
        <v>0</v>
      </c>
      <c r="CK1142">
        <v>0</v>
      </c>
      <c r="CL1142">
        <v>0</v>
      </c>
      <c r="CM1142">
        <v>0</v>
      </c>
      <c r="CN1142" t="str">
        <f t="shared" ref="CN1142:CN1159" si="373">IF(BL1142&lt;BK1142,"refNeedCorrection","refOK")</f>
        <v>refOK</v>
      </c>
      <c r="CO1142"/>
      <c r="CP1142"/>
      <c r="CQ1142"/>
      <c r="CR1142">
        <f t="shared" ref="CR1142:CR1173" si="374">IF($CN1142="refOK",$BS1142,$BT1142)*IF($BP1142="Emissions positive",-1,1)</f>
        <v>-157</v>
      </c>
      <c r="CS1142">
        <f t="shared" ref="CS1142:CS1173" si="375">IF($CN1142="refOK",$BT1142,$BS1142)*IF($BP1142="Emissions positive",-1,1)</f>
        <v>-49</v>
      </c>
      <c r="CT1142">
        <f t="shared" ref="CT1142:CT1173" si="376">IF($CN1142="refNeedCorrection",-BX1142,BX1142)*IF($BP1142="Emissions positive",-1,1)</f>
        <v>0.29199999999999998</v>
      </c>
      <c r="CU1142" t="str">
        <f t="shared" si="365"/>
        <v/>
      </c>
      <c r="CV1142" s="2">
        <f t="shared" ref="CV1142:CV1173" si="377">IFERROR((CS1142-CR1142)/ABS(CR1142),"")</f>
        <v>0.68789808917197448</v>
      </c>
      <c r="CW1142" s="1" t="s">
        <v>1201</v>
      </c>
      <c r="CX1142" s="266" t="str">
        <f t="shared" si="356"/>
        <v>reg</v>
      </c>
      <c r="CY1142" t="s">
        <v>236</v>
      </c>
      <c r="DB1142">
        <v>80</v>
      </c>
      <c r="DC1142" t="str">
        <f t="shared" si="357"/>
        <v>71-100</v>
      </c>
      <c r="DD1142">
        <v>0</v>
      </c>
      <c r="DE1142">
        <v>1</v>
      </c>
      <c r="DF1142">
        <v>0</v>
      </c>
      <c r="DG1142">
        <v>0</v>
      </c>
      <c r="DI1142">
        <f t="shared" si="366"/>
        <v>1</v>
      </c>
      <c r="DJ1142" t="str">
        <f t="shared" si="363"/>
        <v>EnergyInput</v>
      </c>
      <c r="DK1142">
        <f t="shared" si="338"/>
        <v>0</v>
      </c>
      <c r="DL1142" t="str">
        <f t="shared" si="339"/>
        <v>Energy</v>
      </c>
      <c r="DM1142">
        <f t="shared" si="340"/>
        <v>0</v>
      </c>
      <c r="DN1142">
        <f t="shared" si="341"/>
        <v>0</v>
      </c>
      <c r="DO1142">
        <v>0</v>
      </c>
      <c r="DP1142">
        <v>1</v>
      </c>
      <c r="DQ1142" t="s">
        <v>2148</v>
      </c>
      <c r="DR1142">
        <v>0</v>
      </c>
      <c r="DS1142">
        <v>0</v>
      </c>
      <c r="DT1142">
        <f t="shared" si="371"/>
        <v>1</v>
      </c>
      <c r="DU1142" s="143" t="str">
        <f t="shared" si="359"/>
        <v>external DF used</v>
      </c>
      <c r="DV1142">
        <v>1</v>
      </c>
      <c r="DW1142">
        <v>1</v>
      </c>
      <c r="DX1142">
        <v>1</v>
      </c>
      <c r="DY1142">
        <v>1</v>
      </c>
      <c r="DZ1142">
        <v>1</v>
      </c>
      <c r="EA1142">
        <v>0</v>
      </c>
      <c r="EB1142">
        <v>1</v>
      </c>
      <c r="EC1142">
        <v>1</v>
      </c>
      <c r="ED1142">
        <v>0</v>
      </c>
      <c r="EE1142">
        <v>0</v>
      </c>
      <c r="EF1142">
        <v>1</v>
      </c>
      <c r="EG1142">
        <v>0</v>
      </c>
      <c r="EH1142">
        <v>0</v>
      </c>
      <c r="EI1142" s="2">
        <v>0</v>
      </c>
      <c r="EK1142" t="str">
        <f t="shared" si="342"/>
        <v>Whole sector</v>
      </c>
      <c r="EL1142" t="str">
        <f t="shared" si="343"/>
        <v/>
      </c>
      <c r="EM1142" s="2" t="str">
        <f t="shared" si="358"/>
        <v/>
      </c>
      <c r="EP1142" t="b">
        <f>IF(ISNUMBER(BU1142),IF(ABS(BU1142-[1]QC_indicators!$B$2)&gt;3*[1]QC_indicators!$C$2,"C ratio",IF(ISNUMBER(BY1142),IF(ABS(BY1142-[1]QC_indicators!$B$1)&gt;3*[1]QC_indicators!$C$1,"DF","no"))),IF(ISNUMBER(BY1142),IF(ABS(BY1142-[1]QC_indicators!$B$1)&gt;3*[1]QC_indicators!$C$1,"DF","no")))</f>
        <v>0</v>
      </c>
      <c r="ER1142" s="296" t="s">
        <v>2173</v>
      </c>
      <c r="ET1142" s="266" t="s">
        <v>3409</v>
      </c>
    </row>
    <row r="1143" spans="1:150" ht="15" hidden="1" customHeight="1">
      <c r="A1143" s="1" t="s">
        <v>1362</v>
      </c>
      <c r="B1143" t="s">
        <v>2137</v>
      </c>
      <c r="C1143" t="s">
        <v>2138</v>
      </c>
      <c r="D1143" t="s">
        <v>2139</v>
      </c>
      <c r="E1143" t="s">
        <v>2140</v>
      </c>
      <c r="F1143" t="s">
        <v>2141</v>
      </c>
      <c r="G1143" t="s">
        <v>1368</v>
      </c>
      <c r="H1143" t="s">
        <v>255</v>
      </c>
      <c r="I1143">
        <v>2012</v>
      </c>
      <c r="J1143">
        <v>21</v>
      </c>
      <c r="K1143" t="s">
        <v>2142</v>
      </c>
      <c r="M1143" t="str">
        <f t="shared" si="362"/>
        <v>Pyorala_2012</v>
      </c>
      <c r="N1143" t="s">
        <v>223</v>
      </c>
      <c r="O1143" s="145" t="s">
        <v>342</v>
      </c>
      <c r="Q1143" s="266" t="s">
        <v>257</v>
      </c>
      <c r="R1143" s="271" t="s">
        <v>1156</v>
      </c>
      <c r="S1143" s="1" t="s">
        <v>2174</v>
      </c>
      <c r="T1143" t="s">
        <v>800</v>
      </c>
      <c r="U1143" t="s">
        <v>2170</v>
      </c>
      <c r="V1143">
        <v>0</v>
      </c>
      <c r="W1143">
        <v>0</v>
      </c>
      <c r="X1143">
        <v>0</v>
      </c>
      <c r="Y1143">
        <v>0</v>
      </c>
      <c r="Z1143">
        <v>0</v>
      </c>
      <c r="AA1143">
        <v>0</v>
      </c>
      <c r="AB1143">
        <v>0</v>
      </c>
      <c r="AC1143">
        <v>0</v>
      </c>
      <c r="AD1143">
        <v>0</v>
      </c>
      <c r="AE1143">
        <v>0</v>
      </c>
      <c r="AF1143">
        <v>0</v>
      </c>
      <c r="AG1143">
        <v>0</v>
      </c>
      <c r="AH1143">
        <v>0</v>
      </c>
      <c r="AI1143">
        <v>0</v>
      </c>
      <c r="AJ1143">
        <v>0</v>
      </c>
      <c r="AK1143">
        <v>1</v>
      </c>
      <c r="AL1143">
        <v>0</v>
      </c>
      <c r="AM1143">
        <v>0</v>
      </c>
      <c r="AN1143">
        <v>0</v>
      </c>
      <c r="AO1143">
        <v>0</v>
      </c>
      <c r="AP1143">
        <v>0</v>
      </c>
      <c r="AQ1143">
        <v>0</v>
      </c>
      <c r="AR1143">
        <v>0</v>
      </c>
      <c r="AS1143">
        <v>0</v>
      </c>
      <c r="AT1143">
        <v>0</v>
      </c>
      <c r="AU1143">
        <v>0</v>
      </c>
      <c r="AV1143">
        <v>0</v>
      </c>
      <c r="AW1143">
        <v>0</v>
      </c>
      <c r="AX1143" s="141">
        <f t="shared" si="321"/>
        <v>1</v>
      </c>
      <c r="AY1143" s="141">
        <f t="shared" si="350"/>
        <v>1</v>
      </c>
      <c r="AZ1143">
        <f t="shared" si="351"/>
        <v>0</v>
      </c>
      <c r="BA1143">
        <f t="shared" si="352"/>
        <v>0</v>
      </c>
      <c r="BB1143">
        <f t="shared" si="353"/>
        <v>1</v>
      </c>
      <c r="BC1143">
        <f t="shared" si="354"/>
        <v>0</v>
      </c>
      <c r="BD1143">
        <f t="shared" si="355"/>
        <v>0</v>
      </c>
      <c r="BE1143" t="str" cm="1">
        <f t="array" ref="BE1143">IF(AY1143=1,INDEX($V$7:$AL$7,MATCH(TRUE,INDEX($V1143:$AW1143&lt;&gt;0,),0)),IF(AY1143=0,INDEX($AM$7:$AW$7,MATCH(1,$AM1143:$AW1143,0)),IF(BF1143="Multiple strategies","mixed drivers",IF(BF1143="Supply chain","multiple supply","multiple silviculture"))))</f>
        <v>technologies/design switch</v>
      </c>
      <c r="BF1143" s="2" t="str" cm="1">
        <f t="array" ref="BF1143">IF(COUNTIF(AZ1143:BB1143,"&lt;&gt;0")=1,INDEX($V$4:$AW$4,MATCH(TRUE,INDEX($V1143:$AW1143&lt;&gt;0,),0)),IF(COUNTIF(AZ1143:BB1143,"&lt;&gt;0")=0,INDEX($AM$4:$AW$4,MATCH(1,$AM1143:$AW1143,0)),"Multiple strategies"))</f>
        <v>Technology</v>
      </c>
      <c r="BH1143" t="s">
        <v>2171</v>
      </c>
      <c r="BN1143" s="143"/>
      <c r="BP1143" s="266" t="s">
        <v>233</v>
      </c>
      <c r="BQ1143" s="266"/>
      <c r="BR1143" t="s">
        <v>2172</v>
      </c>
      <c r="BS1143">
        <v>-157</v>
      </c>
      <c r="BT1143">
        <v>-80</v>
      </c>
      <c r="BU1143" s="144">
        <v>0.23460410557184752</v>
      </c>
      <c r="BV1143">
        <v>261</v>
      </c>
      <c r="BX1143">
        <f t="shared" si="372"/>
        <v>0.26100000000000001</v>
      </c>
      <c r="BY1143" t="str">
        <f t="shared" si="319"/>
        <v/>
      </c>
      <c r="BZ1143">
        <v>0</v>
      </c>
      <c r="CA1143">
        <v>0</v>
      </c>
      <c r="CB1143">
        <v>0</v>
      </c>
      <c r="CC1143">
        <v>0</v>
      </c>
      <c r="CD1143">
        <v>0</v>
      </c>
      <c r="CE1143">
        <v>0</v>
      </c>
      <c r="CF1143">
        <v>0</v>
      </c>
      <c r="CG1143">
        <v>0</v>
      </c>
      <c r="CH1143">
        <v>0</v>
      </c>
      <c r="CI1143">
        <v>0</v>
      </c>
      <c r="CJ1143">
        <v>0</v>
      </c>
      <c r="CK1143">
        <v>0</v>
      </c>
      <c r="CL1143">
        <v>0</v>
      </c>
      <c r="CM1143">
        <v>0</v>
      </c>
      <c r="CN1143" t="str">
        <f t="shared" si="373"/>
        <v>refOK</v>
      </c>
      <c r="CO1143"/>
      <c r="CP1143"/>
      <c r="CQ1143"/>
      <c r="CR1143">
        <f t="shared" si="374"/>
        <v>-157</v>
      </c>
      <c r="CS1143">
        <f t="shared" si="375"/>
        <v>-80</v>
      </c>
      <c r="CT1143">
        <f t="shared" si="376"/>
        <v>0.26100000000000001</v>
      </c>
      <c r="CU1143" t="str">
        <f t="shared" si="365"/>
        <v/>
      </c>
      <c r="CV1143" s="2">
        <f t="shared" si="377"/>
        <v>0.49044585987261147</v>
      </c>
      <c r="CW1143" s="1" t="s">
        <v>1201</v>
      </c>
      <c r="CX1143" s="266" t="str">
        <f t="shared" si="356"/>
        <v>reg</v>
      </c>
      <c r="CY1143" t="s">
        <v>236</v>
      </c>
      <c r="DB1143">
        <v>80</v>
      </c>
      <c r="DC1143" t="str">
        <f t="shared" si="357"/>
        <v>71-100</v>
      </c>
      <c r="DD1143">
        <v>0</v>
      </c>
      <c r="DE1143">
        <v>1</v>
      </c>
      <c r="DF1143">
        <v>0</v>
      </c>
      <c r="DG1143">
        <v>0</v>
      </c>
      <c r="DI1143">
        <f t="shared" si="366"/>
        <v>1</v>
      </c>
      <c r="DJ1143" t="str">
        <f t="shared" si="363"/>
        <v>EnergyInput</v>
      </c>
      <c r="DK1143">
        <f t="shared" si="338"/>
        <v>0</v>
      </c>
      <c r="DL1143" t="str">
        <f t="shared" si="339"/>
        <v>Energy</v>
      </c>
      <c r="DM1143">
        <f t="shared" si="340"/>
        <v>0</v>
      </c>
      <c r="DN1143">
        <f t="shared" si="341"/>
        <v>0</v>
      </c>
      <c r="DO1143">
        <v>0</v>
      </c>
      <c r="DP1143">
        <v>1</v>
      </c>
      <c r="DQ1143" t="s">
        <v>2148</v>
      </c>
      <c r="DR1143">
        <v>0</v>
      </c>
      <c r="DS1143">
        <v>0</v>
      </c>
      <c r="DT1143">
        <f t="shared" si="371"/>
        <v>1</v>
      </c>
      <c r="DU1143" s="143" t="str">
        <f t="shared" si="359"/>
        <v>external DF used</v>
      </c>
      <c r="DV1143">
        <v>1</v>
      </c>
      <c r="DW1143">
        <v>1</v>
      </c>
      <c r="DX1143">
        <v>1</v>
      </c>
      <c r="DY1143">
        <v>1</v>
      </c>
      <c r="DZ1143">
        <v>1</v>
      </c>
      <c r="EA1143">
        <v>0</v>
      </c>
      <c r="EB1143">
        <v>1</v>
      </c>
      <c r="EC1143">
        <v>1</v>
      </c>
      <c r="ED1143">
        <v>0</v>
      </c>
      <c r="EE1143">
        <v>0</v>
      </c>
      <c r="EF1143">
        <v>1</v>
      </c>
      <c r="EG1143">
        <v>0</v>
      </c>
      <c r="EH1143">
        <v>0</v>
      </c>
      <c r="EI1143" s="2">
        <v>0</v>
      </c>
      <c r="EK1143" t="str">
        <f t="shared" si="342"/>
        <v>Whole sector</v>
      </c>
      <c r="EL1143" t="str">
        <f t="shared" si="343"/>
        <v/>
      </c>
      <c r="EM1143" s="2" t="str">
        <f t="shared" si="358"/>
        <v/>
      </c>
      <c r="EP1143" t="b">
        <f>IF(ISNUMBER(BU1143),IF(ABS(BU1143-[1]QC_indicators!$B$2)&gt;3*[1]QC_indicators!$C$2,"C ratio",IF(ISNUMBER(BY1143),IF(ABS(BY1143-[1]QC_indicators!$B$1)&gt;3*[1]QC_indicators!$C$1,"DF","no"))),IF(ISNUMBER(BY1143),IF(ABS(BY1143-[1]QC_indicators!$B$1)&gt;3*[1]QC_indicators!$C$1,"DF","no")))</f>
        <v>0</v>
      </c>
      <c r="ER1143" s="296" t="s">
        <v>2173</v>
      </c>
      <c r="ET1143" s="266" t="s">
        <v>3409</v>
      </c>
    </row>
    <row r="1144" spans="1:150" ht="15" hidden="1" customHeight="1">
      <c r="A1144" s="1" t="s">
        <v>1362</v>
      </c>
      <c r="B1144" t="s">
        <v>2137</v>
      </c>
      <c r="C1144" t="s">
        <v>2138</v>
      </c>
      <c r="D1144" t="s">
        <v>2139</v>
      </c>
      <c r="E1144" t="s">
        <v>2140</v>
      </c>
      <c r="F1144" t="s">
        <v>2141</v>
      </c>
      <c r="G1144" t="s">
        <v>1368</v>
      </c>
      <c r="H1144" t="s">
        <v>255</v>
      </c>
      <c r="I1144">
        <v>2012</v>
      </c>
      <c r="J1144">
        <v>21</v>
      </c>
      <c r="K1144" t="s">
        <v>2142</v>
      </c>
      <c r="L1144" s="192"/>
      <c r="M1144" t="str">
        <f t="shared" si="362"/>
        <v>Pyorala_2012</v>
      </c>
      <c r="N1144" t="s">
        <v>223</v>
      </c>
      <c r="O1144" s="145" t="s">
        <v>342</v>
      </c>
      <c r="Q1144" s="266" t="s">
        <v>257</v>
      </c>
      <c r="R1144" s="271" t="s">
        <v>1156</v>
      </c>
      <c r="S1144" s="1" t="s">
        <v>2175</v>
      </c>
      <c r="T1144" t="s">
        <v>800</v>
      </c>
      <c r="U1144" t="s">
        <v>2170</v>
      </c>
      <c r="V1144">
        <v>0</v>
      </c>
      <c r="W1144">
        <v>0</v>
      </c>
      <c r="X1144">
        <v>0</v>
      </c>
      <c r="Y1144">
        <v>0</v>
      </c>
      <c r="Z1144">
        <v>0</v>
      </c>
      <c r="AA1144">
        <v>0</v>
      </c>
      <c r="AB1144">
        <v>0</v>
      </c>
      <c r="AC1144">
        <v>0</v>
      </c>
      <c r="AD1144">
        <v>0</v>
      </c>
      <c r="AE1144">
        <v>0</v>
      </c>
      <c r="AF1144">
        <v>0</v>
      </c>
      <c r="AG1144">
        <v>0</v>
      </c>
      <c r="AH1144">
        <v>0</v>
      </c>
      <c r="AI1144">
        <v>0</v>
      </c>
      <c r="AJ1144">
        <v>0</v>
      </c>
      <c r="AK1144">
        <v>1</v>
      </c>
      <c r="AL1144">
        <v>0</v>
      </c>
      <c r="AM1144">
        <v>0</v>
      </c>
      <c r="AN1144">
        <v>0</v>
      </c>
      <c r="AO1144">
        <v>0</v>
      </c>
      <c r="AP1144">
        <v>0</v>
      </c>
      <c r="AQ1144">
        <v>0</v>
      </c>
      <c r="AR1144">
        <v>0</v>
      </c>
      <c r="AS1144">
        <v>0</v>
      </c>
      <c r="AT1144">
        <v>0</v>
      </c>
      <c r="AU1144">
        <v>0</v>
      </c>
      <c r="AV1144">
        <v>0</v>
      </c>
      <c r="AW1144">
        <v>0</v>
      </c>
      <c r="AX1144" s="141">
        <f t="shared" si="321"/>
        <v>1</v>
      </c>
      <c r="AY1144" s="141">
        <f t="shared" si="350"/>
        <v>1</v>
      </c>
      <c r="AZ1144">
        <f t="shared" si="351"/>
        <v>0</v>
      </c>
      <c r="BA1144">
        <f t="shared" si="352"/>
        <v>0</v>
      </c>
      <c r="BB1144">
        <f t="shared" si="353"/>
        <v>1</v>
      </c>
      <c r="BC1144">
        <f t="shared" si="354"/>
        <v>0</v>
      </c>
      <c r="BD1144">
        <f t="shared" si="355"/>
        <v>0</v>
      </c>
      <c r="BE1144" t="str" cm="1">
        <f t="array" ref="BE1144">IF(AY1144=1,INDEX($V$7:$AL$7,MATCH(TRUE,INDEX($V1144:$AW1144&lt;&gt;0,),0)),IF(AY1144=0,INDEX($AM$7:$AW$7,MATCH(1,$AM1144:$AW1144,0)),IF(BF1144="Multiple strategies","mixed drivers",IF(BF1144="Supply chain","multiple supply","multiple silviculture"))))</f>
        <v>technologies/design switch</v>
      </c>
      <c r="BF1144" s="2" t="str" cm="1">
        <f t="array" ref="BF1144">IF(COUNTIF(AZ1144:BB1144,"&lt;&gt;0")=1,INDEX($V$4:$AW$4,MATCH(TRUE,INDEX($V1144:$AW1144&lt;&gt;0,),0)),IF(COUNTIF(AZ1144:BB1144,"&lt;&gt;0")=0,INDEX($AM$4:$AW$4,MATCH(1,$AM1144:$AW1144,0)),"Multiple strategies"))</f>
        <v>Technology</v>
      </c>
      <c r="BH1144" t="s">
        <v>2171</v>
      </c>
      <c r="BN1144" s="143"/>
      <c r="BP1144" s="266" t="s">
        <v>233</v>
      </c>
      <c r="BQ1144" s="266"/>
      <c r="BR1144" t="s">
        <v>2172</v>
      </c>
      <c r="BS1144">
        <v>-157</v>
      </c>
      <c r="BT1144">
        <v>-118</v>
      </c>
      <c r="BU1144" s="144">
        <v>0.3460410557184751</v>
      </c>
      <c r="BV1144">
        <v>223</v>
      </c>
      <c r="BX1144">
        <f t="shared" si="372"/>
        <v>0.223</v>
      </c>
      <c r="BY1144" t="str">
        <f t="shared" ref="BY1144:BY1207" si="378">IFERROR(BX1144/BO1144,"")</f>
        <v/>
      </c>
      <c r="BZ1144">
        <v>0</v>
      </c>
      <c r="CA1144">
        <v>0</v>
      </c>
      <c r="CB1144">
        <v>0</v>
      </c>
      <c r="CC1144">
        <v>0</v>
      </c>
      <c r="CD1144">
        <v>0</v>
      </c>
      <c r="CE1144">
        <v>0</v>
      </c>
      <c r="CF1144">
        <v>0</v>
      </c>
      <c r="CG1144">
        <v>0</v>
      </c>
      <c r="CH1144">
        <v>0</v>
      </c>
      <c r="CI1144">
        <v>0</v>
      </c>
      <c r="CJ1144">
        <v>0</v>
      </c>
      <c r="CK1144">
        <v>0</v>
      </c>
      <c r="CL1144">
        <v>0</v>
      </c>
      <c r="CM1144">
        <v>0</v>
      </c>
      <c r="CN1144" t="str">
        <f t="shared" si="373"/>
        <v>refOK</v>
      </c>
      <c r="CO1144"/>
      <c r="CP1144"/>
      <c r="CQ1144"/>
      <c r="CR1144">
        <f t="shared" si="374"/>
        <v>-157</v>
      </c>
      <c r="CS1144">
        <f t="shared" si="375"/>
        <v>-118</v>
      </c>
      <c r="CT1144">
        <f t="shared" si="376"/>
        <v>0.223</v>
      </c>
      <c r="CU1144" t="str">
        <f t="shared" si="365"/>
        <v/>
      </c>
      <c r="CV1144" s="2">
        <f t="shared" si="377"/>
        <v>0.24840764331210191</v>
      </c>
      <c r="CW1144" s="1" t="s">
        <v>1201</v>
      </c>
      <c r="CX1144" s="266" t="str">
        <f t="shared" si="356"/>
        <v>reg</v>
      </c>
      <c r="CY1144" t="s">
        <v>236</v>
      </c>
      <c r="DB1144">
        <v>80</v>
      </c>
      <c r="DC1144" t="str">
        <f t="shared" si="357"/>
        <v>71-100</v>
      </c>
      <c r="DD1144">
        <v>0</v>
      </c>
      <c r="DE1144">
        <v>1</v>
      </c>
      <c r="DF1144">
        <v>0</v>
      </c>
      <c r="DG1144">
        <v>0</v>
      </c>
      <c r="DI1144">
        <f t="shared" si="366"/>
        <v>1</v>
      </c>
      <c r="DJ1144" t="str">
        <f t="shared" si="363"/>
        <v>EnergyInput</v>
      </c>
      <c r="DK1144">
        <f t="shared" si="338"/>
        <v>0</v>
      </c>
      <c r="DL1144" t="str">
        <f t="shared" si="339"/>
        <v>Energy</v>
      </c>
      <c r="DM1144">
        <f t="shared" si="340"/>
        <v>0</v>
      </c>
      <c r="DN1144">
        <f t="shared" si="341"/>
        <v>0</v>
      </c>
      <c r="DO1144">
        <v>0</v>
      </c>
      <c r="DP1144">
        <v>1</v>
      </c>
      <c r="DQ1144" t="s">
        <v>2148</v>
      </c>
      <c r="DR1144">
        <v>0</v>
      </c>
      <c r="DS1144">
        <v>0</v>
      </c>
      <c r="DT1144">
        <f t="shared" si="371"/>
        <v>1</v>
      </c>
      <c r="DU1144" s="143" t="str">
        <f t="shared" si="359"/>
        <v>external DF used</v>
      </c>
      <c r="DV1144">
        <v>1</v>
      </c>
      <c r="DW1144">
        <v>1</v>
      </c>
      <c r="DX1144">
        <v>1</v>
      </c>
      <c r="DY1144">
        <v>1</v>
      </c>
      <c r="DZ1144">
        <v>1</v>
      </c>
      <c r="EA1144">
        <v>0</v>
      </c>
      <c r="EB1144">
        <v>1</v>
      </c>
      <c r="EC1144">
        <v>1</v>
      </c>
      <c r="ED1144">
        <v>0</v>
      </c>
      <c r="EE1144">
        <v>0</v>
      </c>
      <c r="EF1144">
        <v>1</v>
      </c>
      <c r="EG1144">
        <v>0</v>
      </c>
      <c r="EH1144">
        <v>0</v>
      </c>
      <c r="EI1144" s="2">
        <v>0</v>
      </c>
      <c r="EK1144" t="str">
        <f t="shared" si="342"/>
        <v>Whole sector</v>
      </c>
      <c r="EL1144" t="str">
        <f t="shared" si="343"/>
        <v/>
      </c>
      <c r="EM1144" s="2" t="str">
        <f t="shared" si="358"/>
        <v/>
      </c>
      <c r="EP1144" t="b">
        <f>IF(ISNUMBER(BU1144),IF(ABS(BU1144-[1]QC_indicators!$B$2)&gt;3*[1]QC_indicators!$C$2,"C ratio",IF(ISNUMBER(BY1144),IF(ABS(BY1144-[1]QC_indicators!$B$1)&gt;3*[1]QC_indicators!$C$1,"DF","no"))),IF(ISNUMBER(BY1144),IF(ABS(BY1144-[1]QC_indicators!$B$1)&gt;3*[1]QC_indicators!$C$1,"DF","no")))</f>
        <v>0</v>
      </c>
      <c r="ER1144" s="296" t="s">
        <v>2173</v>
      </c>
      <c r="ET1144" s="266" t="s">
        <v>3409</v>
      </c>
    </row>
    <row r="1145" spans="1:150" ht="15" hidden="1" customHeight="1">
      <c r="A1145" s="1" t="s">
        <v>1362</v>
      </c>
      <c r="B1145" t="s">
        <v>2137</v>
      </c>
      <c r="C1145" t="s">
        <v>2138</v>
      </c>
      <c r="D1145" t="s">
        <v>2139</v>
      </c>
      <c r="E1145" t="s">
        <v>2140</v>
      </c>
      <c r="F1145" t="s">
        <v>2141</v>
      </c>
      <c r="G1145" t="s">
        <v>1368</v>
      </c>
      <c r="H1145" t="s">
        <v>255</v>
      </c>
      <c r="I1145">
        <v>2012</v>
      </c>
      <c r="J1145">
        <v>21</v>
      </c>
      <c r="K1145" t="s">
        <v>2142</v>
      </c>
      <c r="L1145" s="192"/>
      <c r="M1145" t="str">
        <f t="shared" si="362"/>
        <v>Pyorala_2012</v>
      </c>
      <c r="N1145" t="s">
        <v>223</v>
      </c>
      <c r="O1145" s="145" t="s">
        <v>342</v>
      </c>
      <c r="Q1145" s="266" t="s">
        <v>257</v>
      </c>
      <c r="R1145" s="271" t="s">
        <v>1156</v>
      </c>
      <c r="S1145" s="1" t="s">
        <v>2176</v>
      </c>
      <c r="T1145" t="s">
        <v>800</v>
      </c>
      <c r="U1145" t="s">
        <v>2170</v>
      </c>
      <c r="V1145">
        <v>0</v>
      </c>
      <c r="W1145">
        <v>0</v>
      </c>
      <c r="X1145">
        <v>0</v>
      </c>
      <c r="Y1145">
        <v>0</v>
      </c>
      <c r="Z1145">
        <v>0</v>
      </c>
      <c r="AA1145">
        <v>0</v>
      </c>
      <c r="AB1145">
        <v>0</v>
      </c>
      <c r="AC1145">
        <v>0</v>
      </c>
      <c r="AD1145">
        <v>0</v>
      </c>
      <c r="AE1145">
        <v>0</v>
      </c>
      <c r="AF1145">
        <v>0</v>
      </c>
      <c r="AG1145">
        <v>0</v>
      </c>
      <c r="AH1145">
        <v>0</v>
      </c>
      <c r="AI1145">
        <v>0</v>
      </c>
      <c r="AJ1145">
        <v>0</v>
      </c>
      <c r="AK1145">
        <v>1</v>
      </c>
      <c r="AL1145">
        <v>0</v>
      </c>
      <c r="AM1145">
        <v>0</v>
      </c>
      <c r="AN1145">
        <v>0</v>
      </c>
      <c r="AO1145">
        <v>0</v>
      </c>
      <c r="AP1145">
        <v>0</v>
      </c>
      <c r="AQ1145">
        <v>0</v>
      </c>
      <c r="AR1145">
        <v>0</v>
      </c>
      <c r="AS1145">
        <v>0</v>
      </c>
      <c r="AT1145">
        <v>0</v>
      </c>
      <c r="AU1145">
        <v>0</v>
      </c>
      <c r="AV1145">
        <v>0</v>
      </c>
      <c r="AW1145">
        <v>0</v>
      </c>
      <c r="AX1145" s="141">
        <f t="shared" si="321"/>
        <v>1</v>
      </c>
      <c r="AY1145" s="141">
        <f t="shared" si="350"/>
        <v>1</v>
      </c>
      <c r="AZ1145">
        <f t="shared" si="351"/>
        <v>0</v>
      </c>
      <c r="BA1145">
        <f t="shared" si="352"/>
        <v>0</v>
      </c>
      <c r="BB1145">
        <f t="shared" si="353"/>
        <v>1</v>
      </c>
      <c r="BC1145">
        <f t="shared" si="354"/>
        <v>0</v>
      </c>
      <c r="BD1145">
        <f t="shared" si="355"/>
        <v>0</v>
      </c>
      <c r="BE1145" t="str" cm="1">
        <f t="array" ref="BE1145">IF(AY1145=1,INDEX($V$7:$AL$7,MATCH(TRUE,INDEX($V1145:$AW1145&lt;&gt;0,),0)),IF(AY1145=0,INDEX($AM$7:$AW$7,MATCH(1,$AM1145:$AW1145,0)),IF(BF1145="Multiple strategies","mixed drivers",IF(BF1145="Supply chain","multiple supply","multiple silviculture"))))</f>
        <v>technologies/design switch</v>
      </c>
      <c r="BF1145" s="2" t="str" cm="1">
        <f t="array" ref="BF1145">IF(COUNTIF(AZ1145:BB1145,"&lt;&gt;0")=1,INDEX($V$4:$AW$4,MATCH(TRUE,INDEX($V1145:$AW1145&lt;&gt;0,),0)),IF(COUNTIF(AZ1145:BB1145,"&lt;&gt;0")=0,INDEX($AM$4:$AW$4,MATCH(1,$AM1145:$AW1145,0)),"Multiple strategies"))</f>
        <v>Technology</v>
      </c>
      <c r="BH1145" t="s">
        <v>2171</v>
      </c>
      <c r="BN1145" s="143"/>
      <c r="BP1145" s="266" t="s">
        <v>233</v>
      </c>
      <c r="BQ1145" s="266"/>
      <c r="BR1145" t="s">
        <v>2172</v>
      </c>
      <c r="BS1145">
        <v>-157</v>
      </c>
      <c r="BT1145">
        <v>-127</v>
      </c>
      <c r="BU1145" s="144">
        <v>0.37243401759530792</v>
      </c>
      <c r="BV1145">
        <v>214</v>
      </c>
      <c r="BX1145">
        <f t="shared" si="372"/>
        <v>0.214</v>
      </c>
      <c r="BY1145" t="str">
        <f t="shared" si="378"/>
        <v/>
      </c>
      <c r="BZ1145">
        <v>0</v>
      </c>
      <c r="CA1145">
        <v>0</v>
      </c>
      <c r="CB1145">
        <v>0</v>
      </c>
      <c r="CC1145">
        <v>0</v>
      </c>
      <c r="CD1145">
        <v>0</v>
      </c>
      <c r="CE1145">
        <v>0</v>
      </c>
      <c r="CF1145">
        <v>0</v>
      </c>
      <c r="CG1145">
        <v>0</v>
      </c>
      <c r="CH1145">
        <v>0</v>
      </c>
      <c r="CI1145">
        <v>0</v>
      </c>
      <c r="CJ1145">
        <v>0</v>
      </c>
      <c r="CK1145">
        <v>0</v>
      </c>
      <c r="CL1145">
        <v>0</v>
      </c>
      <c r="CM1145">
        <v>0</v>
      </c>
      <c r="CN1145" t="str">
        <f t="shared" si="373"/>
        <v>refOK</v>
      </c>
      <c r="CO1145"/>
      <c r="CP1145"/>
      <c r="CQ1145"/>
      <c r="CR1145">
        <f t="shared" si="374"/>
        <v>-157</v>
      </c>
      <c r="CS1145">
        <f t="shared" si="375"/>
        <v>-127</v>
      </c>
      <c r="CT1145">
        <f t="shared" si="376"/>
        <v>0.214</v>
      </c>
      <c r="CU1145" t="str">
        <f t="shared" si="365"/>
        <v/>
      </c>
      <c r="CV1145" s="2">
        <f t="shared" si="377"/>
        <v>0.19108280254777071</v>
      </c>
      <c r="CW1145" s="1" t="s">
        <v>1201</v>
      </c>
      <c r="CX1145" s="266" t="str">
        <f t="shared" si="356"/>
        <v>reg</v>
      </c>
      <c r="CY1145" t="s">
        <v>236</v>
      </c>
      <c r="DB1145">
        <v>80</v>
      </c>
      <c r="DC1145" t="str">
        <f t="shared" si="357"/>
        <v>71-100</v>
      </c>
      <c r="DD1145">
        <v>0</v>
      </c>
      <c r="DE1145">
        <v>1</v>
      </c>
      <c r="DF1145">
        <v>0</v>
      </c>
      <c r="DG1145">
        <v>0</v>
      </c>
      <c r="DI1145">
        <f t="shared" si="366"/>
        <v>1</v>
      </c>
      <c r="DJ1145" t="str">
        <f t="shared" si="363"/>
        <v>EnergyInput</v>
      </c>
      <c r="DK1145">
        <f t="shared" si="338"/>
        <v>0</v>
      </c>
      <c r="DL1145" t="str">
        <f t="shared" si="339"/>
        <v>Energy</v>
      </c>
      <c r="DM1145">
        <f t="shared" si="340"/>
        <v>0</v>
      </c>
      <c r="DN1145">
        <f t="shared" si="341"/>
        <v>0</v>
      </c>
      <c r="DO1145">
        <v>0</v>
      </c>
      <c r="DP1145">
        <v>1</v>
      </c>
      <c r="DQ1145" t="s">
        <v>2148</v>
      </c>
      <c r="DR1145">
        <v>0</v>
      </c>
      <c r="DS1145">
        <v>0</v>
      </c>
      <c r="DT1145">
        <f t="shared" si="371"/>
        <v>1</v>
      </c>
      <c r="DU1145" s="143" t="str">
        <f t="shared" si="359"/>
        <v>external DF used</v>
      </c>
      <c r="DV1145">
        <v>1</v>
      </c>
      <c r="DW1145">
        <v>1</v>
      </c>
      <c r="DX1145">
        <v>1</v>
      </c>
      <c r="DY1145">
        <v>1</v>
      </c>
      <c r="DZ1145">
        <v>1</v>
      </c>
      <c r="EA1145">
        <v>0</v>
      </c>
      <c r="EB1145">
        <v>1</v>
      </c>
      <c r="EC1145">
        <v>1</v>
      </c>
      <c r="ED1145">
        <v>0</v>
      </c>
      <c r="EE1145">
        <v>0</v>
      </c>
      <c r="EF1145">
        <v>1</v>
      </c>
      <c r="EG1145">
        <v>0</v>
      </c>
      <c r="EH1145">
        <v>0</v>
      </c>
      <c r="EI1145" s="2">
        <v>0</v>
      </c>
      <c r="EK1145" t="str">
        <f t="shared" si="342"/>
        <v>Whole sector</v>
      </c>
      <c r="EL1145" t="str">
        <f t="shared" si="343"/>
        <v/>
      </c>
      <c r="EM1145" s="2" t="str">
        <f t="shared" si="358"/>
        <v/>
      </c>
      <c r="EP1145" t="b">
        <f>IF(ISNUMBER(BU1145),IF(ABS(BU1145-[1]QC_indicators!$B$2)&gt;3*[1]QC_indicators!$C$2,"C ratio",IF(ISNUMBER(BY1145),IF(ABS(BY1145-[1]QC_indicators!$B$1)&gt;3*[1]QC_indicators!$C$1,"DF","no"))),IF(ISNUMBER(BY1145),IF(ABS(BY1145-[1]QC_indicators!$B$1)&gt;3*[1]QC_indicators!$C$1,"DF","no")))</f>
        <v>0</v>
      </c>
      <c r="ER1145" s="296" t="s">
        <v>2173</v>
      </c>
      <c r="ET1145" s="266" t="s">
        <v>3409</v>
      </c>
    </row>
    <row r="1146" spans="1:150" ht="15" hidden="1" customHeight="1">
      <c r="A1146" s="1" t="s">
        <v>1362</v>
      </c>
      <c r="B1146" t="s">
        <v>2137</v>
      </c>
      <c r="C1146" t="s">
        <v>2138</v>
      </c>
      <c r="D1146" t="s">
        <v>2139</v>
      </c>
      <c r="E1146" t="s">
        <v>2140</v>
      </c>
      <c r="F1146" t="s">
        <v>2141</v>
      </c>
      <c r="G1146" t="s">
        <v>1368</v>
      </c>
      <c r="H1146" t="s">
        <v>255</v>
      </c>
      <c r="I1146">
        <v>2012</v>
      </c>
      <c r="J1146">
        <v>21</v>
      </c>
      <c r="K1146" t="s">
        <v>2142</v>
      </c>
      <c r="L1146" s="192"/>
      <c r="M1146" t="str">
        <f t="shared" si="362"/>
        <v>Pyorala_2012</v>
      </c>
      <c r="N1146" t="s">
        <v>223</v>
      </c>
      <c r="O1146" s="145" t="s">
        <v>342</v>
      </c>
      <c r="Q1146" s="266" t="s">
        <v>257</v>
      </c>
      <c r="R1146" s="271" t="s">
        <v>1156</v>
      </c>
      <c r="S1146" s="1" t="s">
        <v>2177</v>
      </c>
      <c r="T1146" t="s">
        <v>800</v>
      </c>
      <c r="U1146" t="s">
        <v>2170</v>
      </c>
      <c r="V1146">
        <v>0</v>
      </c>
      <c r="W1146">
        <v>0</v>
      </c>
      <c r="X1146">
        <v>0</v>
      </c>
      <c r="Y1146">
        <v>0</v>
      </c>
      <c r="Z1146">
        <v>0</v>
      </c>
      <c r="AA1146">
        <v>0</v>
      </c>
      <c r="AB1146">
        <v>0</v>
      </c>
      <c r="AC1146">
        <v>0</v>
      </c>
      <c r="AD1146">
        <v>0</v>
      </c>
      <c r="AE1146">
        <v>0</v>
      </c>
      <c r="AF1146">
        <v>0</v>
      </c>
      <c r="AG1146">
        <v>0</v>
      </c>
      <c r="AH1146">
        <v>0</v>
      </c>
      <c r="AI1146">
        <v>0</v>
      </c>
      <c r="AJ1146">
        <v>0</v>
      </c>
      <c r="AK1146">
        <v>1</v>
      </c>
      <c r="AL1146">
        <v>0</v>
      </c>
      <c r="AM1146">
        <v>0</v>
      </c>
      <c r="AN1146">
        <v>0</v>
      </c>
      <c r="AO1146">
        <v>0</v>
      </c>
      <c r="AP1146">
        <v>0</v>
      </c>
      <c r="AQ1146">
        <v>0</v>
      </c>
      <c r="AR1146">
        <v>0</v>
      </c>
      <c r="AS1146">
        <v>0</v>
      </c>
      <c r="AT1146">
        <v>0</v>
      </c>
      <c r="AU1146">
        <v>0</v>
      </c>
      <c r="AV1146">
        <v>0</v>
      </c>
      <c r="AW1146">
        <v>0</v>
      </c>
      <c r="AX1146" s="141">
        <f t="shared" si="321"/>
        <v>1</v>
      </c>
      <c r="AY1146" s="141">
        <f t="shared" si="350"/>
        <v>1</v>
      </c>
      <c r="AZ1146">
        <f t="shared" si="351"/>
        <v>0</v>
      </c>
      <c r="BA1146">
        <f t="shared" si="352"/>
        <v>0</v>
      </c>
      <c r="BB1146">
        <f t="shared" si="353"/>
        <v>1</v>
      </c>
      <c r="BC1146">
        <f t="shared" si="354"/>
        <v>0</v>
      </c>
      <c r="BD1146">
        <f t="shared" si="355"/>
        <v>0</v>
      </c>
      <c r="BE1146" t="str" cm="1">
        <f t="array" ref="BE1146">IF(AY1146=1,INDEX($V$7:$AL$7,MATCH(TRUE,INDEX($V1146:$AW1146&lt;&gt;0,),0)),IF(AY1146=0,INDEX($AM$7:$AW$7,MATCH(1,$AM1146:$AW1146,0)),IF(BF1146="Multiple strategies","mixed drivers",IF(BF1146="Supply chain","multiple supply","multiple silviculture"))))</f>
        <v>technologies/design switch</v>
      </c>
      <c r="BF1146" s="2" t="str" cm="1">
        <f t="array" ref="BF1146">IF(COUNTIF(AZ1146:BB1146,"&lt;&gt;0")=1,INDEX($V$4:$AW$4,MATCH(TRUE,INDEX($V1146:$AW1146&lt;&gt;0,),0)),IF(COUNTIF(AZ1146:BB1146,"&lt;&gt;0")=0,INDEX($AM$4:$AW$4,MATCH(1,$AM1146:$AW1146,0)),"Multiple strategies"))</f>
        <v>Technology</v>
      </c>
      <c r="BH1146" t="s">
        <v>2171</v>
      </c>
      <c r="BN1146" s="143"/>
      <c r="BP1146" s="266" t="s">
        <v>233</v>
      </c>
      <c r="BQ1146" s="266"/>
      <c r="BR1146" t="s">
        <v>2172</v>
      </c>
      <c r="BS1146">
        <v>-157</v>
      </c>
      <c r="BT1146">
        <v>-135</v>
      </c>
      <c r="BU1146" s="144">
        <v>0.39589442815249265</v>
      </c>
      <c r="BV1146">
        <v>206</v>
      </c>
      <c r="BX1146">
        <f t="shared" si="372"/>
        <v>0.20599999999999999</v>
      </c>
      <c r="BY1146" t="str">
        <f t="shared" si="378"/>
        <v/>
      </c>
      <c r="BZ1146">
        <v>0</v>
      </c>
      <c r="CA1146">
        <v>0</v>
      </c>
      <c r="CB1146">
        <v>0</v>
      </c>
      <c r="CC1146">
        <v>0</v>
      </c>
      <c r="CD1146">
        <v>0</v>
      </c>
      <c r="CE1146">
        <v>0</v>
      </c>
      <c r="CF1146">
        <v>0</v>
      </c>
      <c r="CG1146">
        <v>0</v>
      </c>
      <c r="CH1146">
        <v>0</v>
      </c>
      <c r="CI1146">
        <v>0</v>
      </c>
      <c r="CJ1146">
        <v>0</v>
      </c>
      <c r="CK1146">
        <v>0</v>
      </c>
      <c r="CL1146">
        <v>0</v>
      </c>
      <c r="CM1146">
        <v>0</v>
      </c>
      <c r="CN1146" t="str">
        <f t="shared" si="373"/>
        <v>refOK</v>
      </c>
      <c r="CO1146"/>
      <c r="CP1146"/>
      <c r="CQ1146"/>
      <c r="CR1146">
        <f t="shared" si="374"/>
        <v>-157</v>
      </c>
      <c r="CS1146">
        <f t="shared" si="375"/>
        <v>-135</v>
      </c>
      <c r="CT1146">
        <f t="shared" si="376"/>
        <v>0.20599999999999999</v>
      </c>
      <c r="CU1146" t="str">
        <f t="shared" si="365"/>
        <v/>
      </c>
      <c r="CV1146" s="2">
        <f t="shared" si="377"/>
        <v>0.14012738853503184</v>
      </c>
      <c r="CW1146" s="1" t="s">
        <v>1201</v>
      </c>
      <c r="CX1146" s="266" t="str">
        <f t="shared" si="356"/>
        <v>reg</v>
      </c>
      <c r="CY1146" t="s">
        <v>236</v>
      </c>
      <c r="DB1146">
        <v>80</v>
      </c>
      <c r="DC1146" t="str">
        <f t="shared" si="357"/>
        <v>71-100</v>
      </c>
      <c r="DD1146">
        <v>0</v>
      </c>
      <c r="DE1146">
        <v>1</v>
      </c>
      <c r="DF1146">
        <v>0</v>
      </c>
      <c r="DG1146">
        <v>0</v>
      </c>
      <c r="DI1146">
        <f t="shared" si="366"/>
        <v>1</v>
      </c>
      <c r="DJ1146" t="str">
        <f t="shared" si="363"/>
        <v>EnergyInput</v>
      </c>
      <c r="DK1146">
        <f t="shared" si="338"/>
        <v>0</v>
      </c>
      <c r="DL1146" t="str">
        <f t="shared" si="339"/>
        <v>Energy</v>
      </c>
      <c r="DM1146">
        <f t="shared" si="340"/>
        <v>0</v>
      </c>
      <c r="DN1146">
        <f t="shared" si="341"/>
        <v>0</v>
      </c>
      <c r="DO1146">
        <v>0</v>
      </c>
      <c r="DP1146">
        <v>1</v>
      </c>
      <c r="DQ1146" t="s">
        <v>2148</v>
      </c>
      <c r="DR1146">
        <v>0</v>
      </c>
      <c r="DS1146">
        <v>0</v>
      </c>
      <c r="DT1146">
        <f t="shared" si="371"/>
        <v>1</v>
      </c>
      <c r="DU1146" s="143" t="str">
        <f t="shared" si="359"/>
        <v>external DF used</v>
      </c>
      <c r="DV1146">
        <v>1</v>
      </c>
      <c r="DW1146">
        <v>1</v>
      </c>
      <c r="DX1146">
        <v>1</v>
      </c>
      <c r="DY1146">
        <v>1</v>
      </c>
      <c r="DZ1146">
        <v>1</v>
      </c>
      <c r="EA1146">
        <v>0</v>
      </c>
      <c r="EB1146">
        <v>1</v>
      </c>
      <c r="EC1146">
        <v>1</v>
      </c>
      <c r="ED1146">
        <v>0</v>
      </c>
      <c r="EE1146">
        <v>0</v>
      </c>
      <c r="EF1146">
        <v>1</v>
      </c>
      <c r="EG1146">
        <v>0</v>
      </c>
      <c r="EH1146">
        <v>0</v>
      </c>
      <c r="EI1146" s="2">
        <v>0</v>
      </c>
      <c r="EK1146" t="str">
        <f t="shared" si="342"/>
        <v>Whole sector</v>
      </c>
      <c r="EL1146" t="str">
        <f t="shared" si="343"/>
        <v/>
      </c>
      <c r="EM1146" s="2" t="str">
        <f t="shared" si="358"/>
        <v/>
      </c>
      <c r="EP1146" t="b">
        <f>IF(ISNUMBER(BU1146),IF(ABS(BU1146-[1]QC_indicators!$B$2)&gt;3*[1]QC_indicators!$C$2,"C ratio",IF(ISNUMBER(BY1146),IF(ABS(BY1146-[1]QC_indicators!$B$1)&gt;3*[1]QC_indicators!$C$1,"DF","no"))),IF(ISNUMBER(BY1146),IF(ABS(BY1146-[1]QC_indicators!$B$1)&gt;3*[1]QC_indicators!$C$1,"DF","no")))</f>
        <v>0</v>
      </c>
      <c r="ER1146" s="296" t="s">
        <v>2173</v>
      </c>
      <c r="ET1146" s="266" t="s">
        <v>3409</v>
      </c>
    </row>
    <row r="1147" spans="1:150" ht="15" hidden="1" customHeight="1">
      <c r="A1147" s="1" t="s">
        <v>1362</v>
      </c>
      <c r="B1147" t="s">
        <v>2137</v>
      </c>
      <c r="C1147" t="s">
        <v>2138</v>
      </c>
      <c r="D1147" t="s">
        <v>2139</v>
      </c>
      <c r="E1147" t="s">
        <v>2140</v>
      </c>
      <c r="F1147" t="s">
        <v>2141</v>
      </c>
      <c r="G1147" t="s">
        <v>1368</v>
      </c>
      <c r="H1147" t="s">
        <v>255</v>
      </c>
      <c r="I1147">
        <v>2012</v>
      </c>
      <c r="J1147">
        <v>21</v>
      </c>
      <c r="K1147" t="s">
        <v>2142</v>
      </c>
      <c r="L1147" s="192"/>
      <c r="M1147" t="str">
        <f t="shared" si="362"/>
        <v>Pyorala_2012</v>
      </c>
      <c r="N1147" t="s">
        <v>223</v>
      </c>
      <c r="O1147" s="145" t="s">
        <v>342</v>
      </c>
      <c r="Q1147" s="266" t="s">
        <v>257</v>
      </c>
      <c r="R1147" s="271" t="s">
        <v>1156</v>
      </c>
      <c r="S1147" s="1" t="s">
        <v>2178</v>
      </c>
      <c r="T1147" t="s">
        <v>800</v>
      </c>
      <c r="U1147" t="s">
        <v>2170</v>
      </c>
      <c r="V1147">
        <v>0</v>
      </c>
      <c r="W1147">
        <v>0</v>
      </c>
      <c r="X1147">
        <v>0</v>
      </c>
      <c r="Y1147">
        <v>0</v>
      </c>
      <c r="Z1147">
        <v>0</v>
      </c>
      <c r="AA1147">
        <v>0</v>
      </c>
      <c r="AB1147">
        <v>0</v>
      </c>
      <c r="AC1147">
        <v>0</v>
      </c>
      <c r="AD1147">
        <v>0</v>
      </c>
      <c r="AE1147">
        <v>0</v>
      </c>
      <c r="AF1147">
        <v>0</v>
      </c>
      <c r="AG1147">
        <v>0</v>
      </c>
      <c r="AH1147">
        <v>0</v>
      </c>
      <c r="AI1147">
        <v>0</v>
      </c>
      <c r="AJ1147">
        <v>0</v>
      </c>
      <c r="AK1147">
        <v>1</v>
      </c>
      <c r="AL1147">
        <v>0</v>
      </c>
      <c r="AM1147">
        <v>0</v>
      </c>
      <c r="AN1147">
        <v>0</v>
      </c>
      <c r="AO1147">
        <v>0</v>
      </c>
      <c r="AP1147">
        <v>0</v>
      </c>
      <c r="AQ1147">
        <v>0</v>
      </c>
      <c r="AR1147">
        <v>0</v>
      </c>
      <c r="AS1147">
        <v>0</v>
      </c>
      <c r="AT1147">
        <v>0</v>
      </c>
      <c r="AU1147">
        <v>0</v>
      </c>
      <c r="AV1147">
        <v>0</v>
      </c>
      <c r="AW1147">
        <v>0</v>
      </c>
      <c r="AX1147" s="141">
        <f t="shared" ref="AX1147:AX1210" si="379">COUNTIF(V1147:AW1147,"&lt;&gt;0")</f>
        <v>1</v>
      </c>
      <c r="AY1147" s="141">
        <f t="shared" si="350"/>
        <v>1</v>
      </c>
      <c r="AZ1147">
        <f t="shared" si="351"/>
        <v>0</v>
      </c>
      <c r="BA1147">
        <f t="shared" si="352"/>
        <v>0</v>
      </c>
      <c r="BB1147">
        <f t="shared" si="353"/>
        <v>1</v>
      </c>
      <c r="BC1147">
        <f t="shared" si="354"/>
        <v>0</v>
      </c>
      <c r="BD1147">
        <f t="shared" si="355"/>
        <v>0</v>
      </c>
      <c r="BE1147" t="str" cm="1">
        <f t="array" ref="BE1147">IF(AY1147=1,INDEX($V$7:$AL$7,MATCH(TRUE,INDEX($V1147:$AW1147&lt;&gt;0,),0)),IF(AY1147=0,INDEX($AM$7:$AW$7,MATCH(1,$AM1147:$AW1147,0)),IF(BF1147="Multiple strategies","mixed drivers",IF(BF1147="Supply chain","multiple supply","multiple silviculture"))))</f>
        <v>technologies/design switch</v>
      </c>
      <c r="BF1147" s="2" t="str" cm="1">
        <f t="array" ref="BF1147">IF(COUNTIF(AZ1147:BB1147,"&lt;&gt;0")=1,INDEX($V$4:$AW$4,MATCH(TRUE,INDEX($V1147:$AW1147&lt;&gt;0,),0)),IF(COUNTIF(AZ1147:BB1147,"&lt;&gt;0")=0,INDEX($AM$4:$AW$4,MATCH(1,$AM1147:$AW1147,0)),"Multiple strategies"))</f>
        <v>Technology</v>
      </c>
      <c r="BH1147" t="s">
        <v>2171</v>
      </c>
      <c r="BN1147" s="143"/>
      <c r="BP1147" s="266" t="s">
        <v>233</v>
      </c>
      <c r="BQ1147" s="266"/>
      <c r="BR1147" t="s">
        <v>2172</v>
      </c>
      <c r="BS1147">
        <v>-157</v>
      </c>
      <c r="BT1147">
        <v>-137</v>
      </c>
      <c r="BU1147" s="144">
        <v>0.40175953079178883</v>
      </c>
      <c r="BV1147">
        <v>204</v>
      </c>
      <c r="BX1147">
        <f t="shared" si="372"/>
        <v>0.20399999999999999</v>
      </c>
      <c r="BY1147" t="str">
        <f t="shared" si="378"/>
        <v/>
      </c>
      <c r="BZ1147">
        <v>0</v>
      </c>
      <c r="CA1147">
        <v>0</v>
      </c>
      <c r="CB1147">
        <v>0</v>
      </c>
      <c r="CC1147">
        <v>0</v>
      </c>
      <c r="CD1147">
        <v>0</v>
      </c>
      <c r="CE1147">
        <v>0</v>
      </c>
      <c r="CF1147">
        <v>0</v>
      </c>
      <c r="CG1147">
        <v>0</v>
      </c>
      <c r="CH1147">
        <v>0</v>
      </c>
      <c r="CI1147">
        <v>0</v>
      </c>
      <c r="CJ1147">
        <v>0</v>
      </c>
      <c r="CK1147">
        <v>0</v>
      </c>
      <c r="CL1147">
        <v>0</v>
      </c>
      <c r="CM1147">
        <v>0</v>
      </c>
      <c r="CN1147" t="str">
        <f t="shared" si="373"/>
        <v>refOK</v>
      </c>
      <c r="CO1147"/>
      <c r="CP1147"/>
      <c r="CQ1147"/>
      <c r="CR1147">
        <f t="shared" si="374"/>
        <v>-157</v>
      </c>
      <c r="CS1147">
        <f t="shared" si="375"/>
        <v>-137</v>
      </c>
      <c r="CT1147">
        <f t="shared" si="376"/>
        <v>0.20399999999999999</v>
      </c>
      <c r="CU1147" t="str">
        <f t="shared" si="365"/>
        <v/>
      </c>
      <c r="CV1147" s="2">
        <f t="shared" si="377"/>
        <v>0.12738853503184713</v>
      </c>
      <c r="CW1147" s="1" t="s">
        <v>1201</v>
      </c>
      <c r="CX1147" s="266" t="str">
        <f t="shared" si="356"/>
        <v>reg</v>
      </c>
      <c r="CY1147" t="s">
        <v>236</v>
      </c>
      <c r="DB1147">
        <v>80</v>
      </c>
      <c r="DC1147" t="str">
        <f t="shared" si="357"/>
        <v>71-100</v>
      </c>
      <c r="DD1147">
        <v>0</v>
      </c>
      <c r="DE1147">
        <v>1</v>
      </c>
      <c r="DF1147">
        <v>0</v>
      </c>
      <c r="DG1147">
        <v>0</v>
      </c>
      <c r="DI1147">
        <f t="shared" si="366"/>
        <v>1</v>
      </c>
      <c r="DJ1147" t="str">
        <f t="shared" si="363"/>
        <v>EnergyInput</v>
      </c>
      <c r="DK1147">
        <f t="shared" si="338"/>
        <v>0</v>
      </c>
      <c r="DL1147" t="str">
        <f t="shared" si="339"/>
        <v>Energy</v>
      </c>
      <c r="DM1147">
        <f t="shared" si="340"/>
        <v>0</v>
      </c>
      <c r="DN1147">
        <f t="shared" si="341"/>
        <v>0</v>
      </c>
      <c r="DO1147">
        <v>0</v>
      </c>
      <c r="DP1147">
        <v>1</v>
      </c>
      <c r="DQ1147" t="s">
        <v>2148</v>
      </c>
      <c r="DR1147">
        <v>0</v>
      </c>
      <c r="DS1147">
        <v>0</v>
      </c>
      <c r="DT1147">
        <f t="shared" si="371"/>
        <v>1</v>
      </c>
      <c r="DU1147" s="143" t="str">
        <f t="shared" si="359"/>
        <v>external DF used</v>
      </c>
      <c r="DV1147">
        <v>1</v>
      </c>
      <c r="DW1147">
        <v>1</v>
      </c>
      <c r="DX1147">
        <v>1</v>
      </c>
      <c r="DY1147">
        <v>1</v>
      </c>
      <c r="DZ1147">
        <v>1</v>
      </c>
      <c r="EA1147">
        <v>0</v>
      </c>
      <c r="EB1147">
        <v>1</v>
      </c>
      <c r="EC1147">
        <v>1</v>
      </c>
      <c r="ED1147">
        <v>0</v>
      </c>
      <c r="EE1147">
        <v>0</v>
      </c>
      <c r="EF1147">
        <v>1</v>
      </c>
      <c r="EG1147">
        <v>0</v>
      </c>
      <c r="EH1147">
        <v>0</v>
      </c>
      <c r="EI1147" s="2">
        <v>0</v>
      </c>
      <c r="EK1147" t="str">
        <f t="shared" si="342"/>
        <v>Whole sector</v>
      </c>
      <c r="EL1147" t="str">
        <f t="shared" si="343"/>
        <v/>
      </c>
      <c r="EM1147" s="2" t="str">
        <f t="shared" si="358"/>
        <v/>
      </c>
      <c r="EP1147" t="b">
        <f>IF(ISNUMBER(BU1147),IF(ABS(BU1147-[1]QC_indicators!$B$2)&gt;3*[1]QC_indicators!$C$2,"C ratio",IF(ISNUMBER(BY1147),IF(ABS(BY1147-[1]QC_indicators!$B$1)&gt;3*[1]QC_indicators!$C$1,"DF","no"))),IF(ISNUMBER(BY1147),IF(ABS(BY1147-[1]QC_indicators!$B$1)&gt;3*[1]QC_indicators!$C$1,"DF","no")))</f>
        <v>0</v>
      </c>
      <c r="ER1147" s="296" t="s">
        <v>2173</v>
      </c>
      <c r="ET1147" s="266" t="s">
        <v>3409</v>
      </c>
    </row>
    <row r="1148" spans="1:150" ht="15" hidden="1" customHeight="1">
      <c r="A1148" s="1" t="s">
        <v>1362</v>
      </c>
      <c r="B1148" t="s">
        <v>2137</v>
      </c>
      <c r="C1148" t="s">
        <v>2138</v>
      </c>
      <c r="D1148" t="s">
        <v>2139</v>
      </c>
      <c r="E1148" t="s">
        <v>2140</v>
      </c>
      <c r="F1148" t="s">
        <v>2141</v>
      </c>
      <c r="G1148" t="s">
        <v>1368</v>
      </c>
      <c r="H1148" t="s">
        <v>255</v>
      </c>
      <c r="I1148">
        <v>2012</v>
      </c>
      <c r="J1148">
        <v>21</v>
      </c>
      <c r="K1148" t="s">
        <v>2142</v>
      </c>
      <c r="L1148" s="192"/>
      <c r="M1148" t="str">
        <f t="shared" si="362"/>
        <v>Pyorala_2012</v>
      </c>
      <c r="N1148" t="s">
        <v>223</v>
      </c>
      <c r="O1148" s="145" t="s">
        <v>342</v>
      </c>
      <c r="Q1148" s="266" t="s">
        <v>257</v>
      </c>
      <c r="R1148" s="271" t="s">
        <v>1156</v>
      </c>
      <c r="S1148" s="1" t="s">
        <v>2179</v>
      </c>
      <c r="T1148" t="s">
        <v>800</v>
      </c>
      <c r="U1148" t="s">
        <v>2170</v>
      </c>
      <c r="V1148">
        <v>0</v>
      </c>
      <c r="W1148">
        <v>0</v>
      </c>
      <c r="X1148">
        <v>0</v>
      </c>
      <c r="Y1148">
        <v>0</v>
      </c>
      <c r="Z1148">
        <v>0</v>
      </c>
      <c r="AA1148">
        <v>0</v>
      </c>
      <c r="AB1148">
        <v>0</v>
      </c>
      <c r="AC1148">
        <v>0</v>
      </c>
      <c r="AD1148">
        <v>0</v>
      </c>
      <c r="AE1148">
        <v>0</v>
      </c>
      <c r="AF1148">
        <v>0</v>
      </c>
      <c r="AG1148">
        <v>0</v>
      </c>
      <c r="AH1148">
        <v>0</v>
      </c>
      <c r="AI1148">
        <v>0</v>
      </c>
      <c r="AJ1148">
        <v>0</v>
      </c>
      <c r="AK1148">
        <v>1</v>
      </c>
      <c r="AL1148">
        <v>0</v>
      </c>
      <c r="AM1148">
        <v>0</v>
      </c>
      <c r="AN1148">
        <v>0</v>
      </c>
      <c r="AO1148">
        <v>0</v>
      </c>
      <c r="AP1148">
        <v>0</v>
      </c>
      <c r="AQ1148">
        <v>0</v>
      </c>
      <c r="AR1148">
        <v>0</v>
      </c>
      <c r="AS1148">
        <v>0</v>
      </c>
      <c r="AT1148">
        <v>0</v>
      </c>
      <c r="AU1148">
        <v>0</v>
      </c>
      <c r="AV1148">
        <v>0</v>
      </c>
      <c r="AW1148">
        <v>0</v>
      </c>
      <c r="AX1148" s="141">
        <f t="shared" si="379"/>
        <v>1</v>
      </c>
      <c r="AY1148" s="141">
        <f t="shared" si="350"/>
        <v>1</v>
      </c>
      <c r="AZ1148">
        <f t="shared" si="351"/>
        <v>0</v>
      </c>
      <c r="BA1148">
        <f t="shared" si="352"/>
        <v>0</v>
      </c>
      <c r="BB1148">
        <f t="shared" si="353"/>
        <v>1</v>
      </c>
      <c r="BC1148">
        <f t="shared" si="354"/>
        <v>0</v>
      </c>
      <c r="BD1148">
        <f t="shared" si="355"/>
        <v>0</v>
      </c>
      <c r="BE1148" t="str" cm="1">
        <f t="array" ref="BE1148">IF(AY1148=1,INDEX($V$7:$AL$7,MATCH(TRUE,INDEX($V1148:$AW1148&lt;&gt;0,),0)),IF(AY1148=0,INDEX($AM$7:$AW$7,MATCH(1,$AM1148:$AW1148,0)),IF(BF1148="Multiple strategies","mixed drivers",IF(BF1148="Supply chain","multiple supply","multiple silviculture"))))</f>
        <v>technologies/design switch</v>
      </c>
      <c r="BF1148" s="2" t="str" cm="1">
        <f t="array" ref="BF1148">IF(COUNTIF(AZ1148:BB1148,"&lt;&gt;0")=1,INDEX($V$4:$AW$4,MATCH(TRUE,INDEX($V1148:$AW1148&lt;&gt;0,),0)),IF(COUNTIF(AZ1148:BB1148,"&lt;&gt;0")=0,INDEX($AM$4:$AW$4,MATCH(1,$AM1148:$AW1148,0)),"Multiple strategies"))</f>
        <v>Technology</v>
      </c>
      <c r="BH1148" t="s">
        <v>2171</v>
      </c>
      <c r="BN1148" s="143"/>
      <c r="BP1148" s="266" t="s">
        <v>233</v>
      </c>
      <c r="BQ1148" s="266"/>
      <c r="BR1148" t="s">
        <v>2172</v>
      </c>
      <c r="BS1148">
        <v>-157</v>
      </c>
      <c r="BT1148">
        <v>-142</v>
      </c>
      <c r="BU1148" s="144">
        <v>0.41642228739002934</v>
      </c>
      <c r="BV1148">
        <v>199</v>
      </c>
      <c r="BX1148">
        <f t="shared" si="372"/>
        <v>0.19900000000000001</v>
      </c>
      <c r="BY1148" t="str">
        <f t="shared" si="378"/>
        <v/>
      </c>
      <c r="BZ1148">
        <v>0</v>
      </c>
      <c r="CA1148">
        <v>0</v>
      </c>
      <c r="CB1148">
        <v>0</v>
      </c>
      <c r="CC1148">
        <v>0</v>
      </c>
      <c r="CD1148">
        <v>0</v>
      </c>
      <c r="CE1148">
        <v>0</v>
      </c>
      <c r="CF1148">
        <v>0</v>
      </c>
      <c r="CG1148">
        <v>0</v>
      </c>
      <c r="CH1148">
        <v>0</v>
      </c>
      <c r="CI1148">
        <v>0</v>
      </c>
      <c r="CJ1148">
        <v>0</v>
      </c>
      <c r="CK1148">
        <v>0</v>
      </c>
      <c r="CL1148">
        <v>0</v>
      </c>
      <c r="CM1148">
        <v>0</v>
      </c>
      <c r="CN1148" t="str">
        <f t="shared" si="373"/>
        <v>refOK</v>
      </c>
      <c r="CO1148"/>
      <c r="CP1148"/>
      <c r="CQ1148"/>
      <c r="CR1148">
        <f t="shared" si="374"/>
        <v>-157</v>
      </c>
      <c r="CS1148">
        <f t="shared" si="375"/>
        <v>-142</v>
      </c>
      <c r="CT1148">
        <f t="shared" si="376"/>
        <v>0.19900000000000001</v>
      </c>
      <c r="CU1148" t="str">
        <f t="shared" si="365"/>
        <v/>
      </c>
      <c r="CV1148" s="2">
        <f t="shared" si="377"/>
        <v>9.5541401273885357E-2</v>
      </c>
      <c r="CW1148" s="1" t="s">
        <v>1201</v>
      </c>
      <c r="CX1148" s="266" t="str">
        <f t="shared" si="356"/>
        <v>reg</v>
      </c>
      <c r="CY1148" t="s">
        <v>236</v>
      </c>
      <c r="DB1148">
        <v>80</v>
      </c>
      <c r="DC1148" t="str">
        <f t="shared" si="357"/>
        <v>71-100</v>
      </c>
      <c r="DD1148">
        <v>0</v>
      </c>
      <c r="DE1148">
        <v>1</v>
      </c>
      <c r="DF1148">
        <v>0</v>
      </c>
      <c r="DG1148">
        <v>0</v>
      </c>
      <c r="DI1148">
        <f t="shared" si="366"/>
        <v>1</v>
      </c>
      <c r="DJ1148" t="str">
        <f t="shared" si="363"/>
        <v>EnergyInput</v>
      </c>
      <c r="DK1148">
        <f t="shared" si="338"/>
        <v>0</v>
      </c>
      <c r="DL1148" t="str">
        <f t="shared" si="339"/>
        <v>Energy</v>
      </c>
      <c r="DM1148">
        <f t="shared" si="340"/>
        <v>0</v>
      </c>
      <c r="DN1148">
        <f t="shared" si="341"/>
        <v>0</v>
      </c>
      <c r="DO1148">
        <v>0</v>
      </c>
      <c r="DP1148">
        <v>1</v>
      </c>
      <c r="DQ1148" t="s">
        <v>2148</v>
      </c>
      <c r="DR1148">
        <v>0</v>
      </c>
      <c r="DS1148">
        <v>0</v>
      </c>
      <c r="DT1148">
        <f t="shared" si="371"/>
        <v>1</v>
      </c>
      <c r="DU1148" s="143" t="str">
        <f t="shared" si="359"/>
        <v>external DF used</v>
      </c>
      <c r="DV1148">
        <v>1</v>
      </c>
      <c r="DW1148">
        <v>1</v>
      </c>
      <c r="DX1148">
        <v>1</v>
      </c>
      <c r="DY1148">
        <v>1</v>
      </c>
      <c r="DZ1148">
        <v>1</v>
      </c>
      <c r="EA1148">
        <v>0</v>
      </c>
      <c r="EB1148">
        <v>1</v>
      </c>
      <c r="EC1148">
        <v>1</v>
      </c>
      <c r="ED1148">
        <v>0</v>
      </c>
      <c r="EE1148">
        <v>0</v>
      </c>
      <c r="EF1148">
        <v>1</v>
      </c>
      <c r="EG1148">
        <v>0</v>
      </c>
      <c r="EH1148">
        <v>0</v>
      </c>
      <c r="EI1148" s="2">
        <v>0</v>
      </c>
      <c r="EK1148" t="str">
        <f t="shared" si="342"/>
        <v>Whole sector</v>
      </c>
      <c r="EL1148" t="str">
        <f t="shared" si="343"/>
        <v/>
      </c>
      <c r="EM1148" s="2" t="str">
        <f t="shared" si="358"/>
        <v/>
      </c>
      <c r="EP1148" t="b">
        <f>IF(ISNUMBER(BU1148),IF(ABS(BU1148-[1]QC_indicators!$B$2)&gt;3*[1]QC_indicators!$C$2,"C ratio",IF(ISNUMBER(BY1148),IF(ABS(BY1148-[1]QC_indicators!$B$1)&gt;3*[1]QC_indicators!$C$1,"DF","no"))),IF(ISNUMBER(BY1148),IF(ABS(BY1148-[1]QC_indicators!$B$1)&gt;3*[1]QC_indicators!$C$1,"DF","no")))</f>
        <v>0</v>
      </c>
      <c r="ER1148" s="296" t="s">
        <v>2173</v>
      </c>
      <c r="ET1148" s="266" t="s">
        <v>3409</v>
      </c>
    </row>
    <row r="1149" spans="1:150" ht="15" hidden="1" customHeight="1">
      <c r="A1149" s="1" t="s">
        <v>1362</v>
      </c>
      <c r="B1149" t="s">
        <v>2137</v>
      </c>
      <c r="C1149" t="s">
        <v>2138</v>
      </c>
      <c r="D1149" t="s">
        <v>2139</v>
      </c>
      <c r="E1149" t="s">
        <v>2140</v>
      </c>
      <c r="F1149" t="s">
        <v>2141</v>
      </c>
      <c r="G1149" t="s">
        <v>1368</v>
      </c>
      <c r="H1149" t="s">
        <v>255</v>
      </c>
      <c r="I1149">
        <v>2012</v>
      </c>
      <c r="J1149">
        <v>21</v>
      </c>
      <c r="K1149" t="s">
        <v>2142</v>
      </c>
      <c r="L1149" s="192"/>
      <c r="M1149" t="str">
        <f t="shared" si="362"/>
        <v>Pyorala_2012</v>
      </c>
      <c r="N1149" t="s">
        <v>223</v>
      </c>
      <c r="O1149" s="145" t="s">
        <v>342</v>
      </c>
      <c r="Q1149" s="266" t="s">
        <v>257</v>
      </c>
      <c r="R1149" s="271" t="s">
        <v>1156</v>
      </c>
      <c r="S1149" s="1" t="s">
        <v>2180</v>
      </c>
      <c r="T1149" t="s">
        <v>800</v>
      </c>
      <c r="U1149" t="s">
        <v>2170</v>
      </c>
      <c r="V1149">
        <v>0</v>
      </c>
      <c r="W1149">
        <v>0</v>
      </c>
      <c r="X1149">
        <v>0</v>
      </c>
      <c r="Y1149">
        <v>0</v>
      </c>
      <c r="Z1149">
        <v>0</v>
      </c>
      <c r="AA1149">
        <v>0</v>
      </c>
      <c r="AB1149">
        <v>0</v>
      </c>
      <c r="AC1149">
        <v>0</v>
      </c>
      <c r="AD1149">
        <v>0</v>
      </c>
      <c r="AE1149">
        <v>0</v>
      </c>
      <c r="AF1149">
        <v>0</v>
      </c>
      <c r="AG1149">
        <v>0</v>
      </c>
      <c r="AH1149">
        <v>0</v>
      </c>
      <c r="AI1149">
        <v>0</v>
      </c>
      <c r="AJ1149">
        <v>0</v>
      </c>
      <c r="AK1149">
        <v>1</v>
      </c>
      <c r="AL1149">
        <v>0</v>
      </c>
      <c r="AM1149">
        <v>0</v>
      </c>
      <c r="AN1149">
        <v>0</v>
      </c>
      <c r="AO1149">
        <v>0</v>
      </c>
      <c r="AP1149">
        <v>0</v>
      </c>
      <c r="AQ1149">
        <v>0</v>
      </c>
      <c r="AR1149">
        <v>0</v>
      </c>
      <c r="AS1149">
        <v>0</v>
      </c>
      <c r="AT1149">
        <v>0</v>
      </c>
      <c r="AU1149">
        <v>0</v>
      </c>
      <c r="AV1149">
        <v>0</v>
      </c>
      <c r="AW1149">
        <v>0</v>
      </c>
      <c r="AX1149" s="141">
        <f t="shared" si="379"/>
        <v>1</v>
      </c>
      <c r="AY1149" s="141">
        <f t="shared" si="350"/>
        <v>1</v>
      </c>
      <c r="AZ1149">
        <f t="shared" si="351"/>
        <v>0</v>
      </c>
      <c r="BA1149">
        <f t="shared" si="352"/>
        <v>0</v>
      </c>
      <c r="BB1149">
        <f t="shared" si="353"/>
        <v>1</v>
      </c>
      <c r="BC1149">
        <f t="shared" si="354"/>
        <v>0</v>
      </c>
      <c r="BD1149">
        <f t="shared" si="355"/>
        <v>0</v>
      </c>
      <c r="BE1149" t="str" cm="1">
        <f t="array" ref="BE1149">IF(AY1149=1,INDEX($V$7:$AL$7,MATCH(TRUE,INDEX($V1149:$AW1149&lt;&gt;0,),0)),IF(AY1149=0,INDEX($AM$7:$AW$7,MATCH(1,$AM1149:$AW1149,0)),IF(BF1149="Multiple strategies","mixed drivers",IF(BF1149="Supply chain","multiple supply","multiple silviculture"))))</f>
        <v>technologies/design switch</v>
      </c>
      <c r="BF1149" s="2" t="str" cm="1">
        <f t="array" ref="BF1149">IF(COUNTIF(AZ1149:BB1149,"&lt;&gt;0")=1,INDEX($V$4:$AW$4,MATCH(TRUE,INDEX($V1149:$AW1149&lt;&gt;0,),0)),IF(COUNTIF(AZ1149:BB1149,"&lt;&gt;0")=0,INDEX($AM$4:$AW$4,MATCH(1,$AM1149:$AW1149,0)),"Multiple strategies"))</f>
        <v>Technology</v>
      </c>
      <c r="BH1149" t="s">
        <v>2171</v>
      </c>
      <c r="BN1149" s="143"/>
      <c r="BP1149" s="266" t="s">
        <v>233</v>
      </c>
      <c r="BQ1149" s="266"/>
      <c r="BR1149" t="s">
        <v>2172</v>
      </c>
      <c r="BS1149">
        <v>-157</v>
      </c>
      <c r="BT1149">
        <v>-150</v>
      </c>
      <c r="BU1149" s="144">
        <v>0.43988269794721407</v>
      </c>
      <c r="BV1149">
        <v>191</v>
      </c>
      <c r="BX1149">
        <f t="shared" si="372"/>
        <v>0.191</v>
      </c>
      <c r="BY1149" t="str">
        <f t="shared" si="378"/>
        <v/>
      </c>
      <c r="BZ1149">
        <v>0</v>
      </c>
      <c r="CA1149">
        <v>0</v>
      </c>
      <c r="CB1149">
        <v>0</v>
      </c>
      <c r="CC1149">
        <v>0</v>
      </c>
      <c r="CD1149">
        <v>0</v>
      </c>
      <c r="CE1149">
        <v>0</v>
      </c>
      <c r="CF1149">
        <v>0</v>
      </c>
      <c r="CG1149">
        <v>0</v>
      </c>
      <c r="CH1149">
        <v>0</v>
      </c>
      <c r="CI1149">
        <v>0</v>
      </c>
      <c r="CJ1149">
        <v>0</v>
      </c>
      <c r="CK1149">
        <v>0</v>
      </c>
      <c r="CL1149">
        <v>0</v>
      </c>
      <c r="CM1149">
        <v>0</v>
      </c>
      <c r="CN1149" t="str">
        <f t="shared" si="373"/>
        <v>refOK</v>
      </c>
      <c r="CO1149"/>
      <c r="CP1149"/>
      <c r="CQ1149"/>
      <c r="CR1149">
        <f t="shared" si="374"/>
        <v>-157</v>
      </c>
      <c r="CS1149">
        <f t="shared" si="375"/>
        <v>-150</v>
      </c>
      <c r="CT1149">
        <f t="shared" si="376"/>
        <v>0.191</v>
      </c>
      <c r="CU1149" t="str">
        <f t="shared" si="365"/>
        <v/>
      </c>
      <c r="CV1149" s="2">
        <f t="shared" si="377"/>
        <v>4.4585987261146494E-2</v>
      </c>
      <c r="CW1149" s="1" t="s">
        <v>1201</v>
      </c>
      <c r="CX1149" s="266" t="str">
        <f t="shared" si="356"/>
        <v>reg</v>
      </c>
      <c r="CY1149" t="s">
        <v>236</v>
      </c>
      <c r="DB1149">
        <v>80</v>
      </c>
      <c r="DC1149" t="str">
        <f t="shared" si="357"/>
        <v>71-100</v>
      </c>
      <c r="DD1149">
        <v>0</v>
      </c>
      <c r="DE1149">
        <v>1</v>
      </c>
      <c r="DF1149">
        <v>0</v>
      </c>
      <c r="DG1149">
        <v>0</v>
      </c>
      <c r="DI1149">
        <f t="shared" si="366"/>
        <v>1</v>
      </c>
      <c r="DJ1149" t="str">
        <f t="shared" si="363"/>
        <v>EnergyInput</v>
      </c>
      <c r="DK1149">
        <f t="shared" si="338"/>
        <v>0</v>
      </c>
      <c r="DL1149" t="str">
        <f t="shared" si="339"/>
        <v>Energy</v>
      </c>
      <c r="DM1149">
        <f t="shared" si="340"/>
        <v>0</v>
      </c>
      <c r="DN1149">
        <f t="shared" si="341"/>
        <v>0</v>
      </c>
      <c r="DO1149">
        <v>0</v>
      </c>
      <c r="DP1149">
        <v>1</v>
      </c>
      <c r="DQ1149" t="s">
        <v>2148</v>
      </c>
      <c r="DR1149">
        <v>0</v>
      </c>
      <c r="DS1149">
        <v>0</v>
      </c>
      <c r="DT1149">
        <f t="shared" si="371"/>
        <v>1</v>
      </c>
      <c r="DU1149" s="143" t="str">
        <f t="shared" si="359"/>
        <v>external DF used</v>
      </c>
      <c r="DV1149">
        <v>1</v>
      </c>
      <c r="DW1149">
        <v>1</v>
      </c>
      <c r="DX1149">
        <v>1</v>
      </c>
      <c r="DY1149">
        <v>1</v>
      </c>
      <c r="DZ1149">
        <v>1</v>
      </c>
      <c r="EA1149">
        <v>0</v>
      </c>
      <c r="EB1149">
        <v>1</v>
      </c>
      <c r="EC1149">
        <v>1</v>
      </c>
      <c r="ED1149">
        <v>0</v>
      </c>
      <c r="EE1149">
        <v>0</v>
      </c>
      <c r="EF1149">
        <v>1</v>
      </c>
      <c r="EG1149">
        <v>0</v>
      </c>
      <c r="EH1149">
        <v>0</v>
      </c>
      <c r="EI1149" s="2">
        <v>0</v>
      </c>
      <c r="EK1149" t="str">
        <f t="shared" si="342"/>
        <v>Whole sector</v>
      </c>
      <c r="EL1149" t="str">
        <f t="shared" si="343"/>
        <v/>
      </c>
      <c r="EM1149" s="2" t="str">
        <f t="shared" si="358"/>
        <v/>
      </c>
      <c r="EP1149" t="b">
        <f>IF(ISNUMBER(BU1149),IF(ABS(BU1149-[1]QC_indicators!$B$2)&gt;3*[1]QC_indicators!$C$2,"C ratio",IF(ISNUMBER(BY1149),IF(ABS(BY1149-[1]QC_indicators!$B$1)&gt;3*[1]QC_indicators!$C$1,"DF","no"))),IF(ISNUMBER(BY1149),IF(ABS(BY1149-[1]QC_indicators!$B$1)&gt;3*[1]QC_indicators!$C$1,"DF","no")))</f>
        <v>0</v>
      </c>
      <c r="ER1149" s="296" t="s">
        <v>2173</v>
      </c>
      <c r="ET1149" s="266" t="s">
        <v>3409</v>
      </c>
    </row>
    <row r="1150" spans="1:150" ht="15" hidden="1" customHeight="1">
      <c r="A1150" s="1" t="s">
        <v>1362</v>
      </c>
      <c r="B1150" t="s">
        <v>2137</v>
      </c>
      <c r="C1150" t="s">
        <v>2138</v>
      </c>
      <c r="D1150" t="s">
        <v>2139</v>
      </c>
      <c r="E1150" t="s">
        <v>2140</v>
      </c>
      <c r="F1150" t="s">
        <v>2141</v>
      </c>
      <c r="G1150" t="s">
        <v>1368</v>
      </c>
      <c r="H1150" t="s">
        <v>255</v>
      </c>
      <c r="I1150">
        <v>2012</v>
      </c>
      <c r="J1150">
        <v>21</v>
      </c>
      <c r="K1150" t="s">
        <v>2142</v>
      </c>
      <c r="L1150" s="192"/>
      <c r="M1150" t="str">
        <f t="shared" si="362"/>
        <v>Pyorala_2012</v>
      </c>
      <c r="N1150" t="s">
        <v>223</v>
      </c>
      <c r="O1150" s="145" t="s">
        <v>342</v>
      </c>
      <c r="Q1150" s="266" t="s">
        <v>257</v>
      </c>
      <c r="R1150" s="271" t="s">
        <v>1156</v>
      </c>
      <c r="S1150" s="1" t="s">
        <v>2181</v>
      </c>
      <c r="T1150" t="s">
        <v>800</v>
      </c>
      <c r="U1150" t="s">
        <v>2170</v>
      </c>
      <c r="V1150">
        <v>0</v>
      </c>
      <c r="W1150">
        <v>0</v>
      </c>
      <c r="X1150">
        <v>0</v>
      </c>
      <c r="Y1150">
        <v>0</v>
      </c>
      <c r="Z1150">
        <v>0</v>
      </c>
      <c r="AA1150">
        <v>0</v>
      </c>
      <c r="AB1150">
        <v>0</v>
      </c>
      <c r="AC1150">
        <v>0</v>
      </c>
      <c r="AD1150">
        <v>0</v>
      </c>
      <c r="AE1150">
        <v>0</v>
      </c>
      <c r="AF1150">
        <v>0</v>
      </c>
      <c r="AG1150">
        <v>0</v>
      </c>
      <c r="AH1150">
        <v>0</v>
      </c>
      <c r="AI1150">
        <v>0</v>
      </c>
      <c r="AJ1150">
        <v>0</v>
      </c>
      <c r="AK1150">
        <v>1</v>
      </c>
      <c r="AL1150">
        <v>0</v>
      </c>
      <c r="AM1150">
        <v>0</v>
      </c>
      <c r="AN1150">
        <v>0</v>
      </c>
      <c r="AO1150">
        <v>0</v>
      </c>
      <c r="AP1150">
        <v>0</v>
      </c>
      <c r="AQ1150">
        <v>0</v>
      </c>
      <c r="AR1150">
        <v>0</v>
      </c>
      <c r="AS1150">
        <v>0</v>
      </c>
      <c r="AT1150">
        <v>0</v>
      </c>
      <c r="AU1150">
        <v>0</v>
      </c>
      <c r="AV1150">
        <v>0</v>
      </c>
      <c r="AW1150">
        <v>0</v>
      </c>
      <c r="AX1150" s="141">
        <f t="shared" si="379"/>
        <v>1</v>
      </c>
      <c r="AY1150" s="141">
        <f t="shared" si="350"/>
        <v>1</v>
      </c>
      <c r="AZ1150">
        <f t="shared" si="351"/>
        <v>0</v>
      </c>
      <c r="BA1150">
        <f t="shared" si="352"/>
        <v>0</v>
      </c>
      <c r="BB1150">
        <f t="shared" si="353"/>
        <v>1</v>
      </c>
      <c r="BC1150">
        <f t="shared" si="354"/>
        <v>0</v>
      </c>
      <c r="BD1150">
        <f t="shared" si="355"/>
        <v>0</v>
      </c>
      <c r="BE1150" t="str" cm="1">
        <f t="array" ref="BE1150">IF(AY1150=1,INDEX($V$7:$AL$7,MATCH(TRUE,INDEX($V1150:$AW1150&lt;&gt;0,),0)),IF(AY1150=0,INDEX($AM$7:$AW$7,MATCH(1,$AM1150:$AW1150,0)),IF(BF1150="Multiple strategies","mixed drivers",IF(BF1150="Supply chain","multiple supply","multiple silviculture"))))</f>
        <v>technologies/design switch</v>
      </c>
      <c r="BF1150" s="2" t="str" cm="1">
        <f t="array" ref="BF1150">IF(COUNTIF(AZ1150:BB1150,"&lt;&gt;0")=1,INDEX($V$4:$AW$4,MATCH(TRUE,INDEX($V1150:$AW1150&lt;&gt;0,),0)),IF(COUNTIF(AZ1150:BB1150,"&lt;&gt;0")=0,INDEX($AM$4:$AW$4,MATCH(1,$AM1150:$AW1150,0)),"Multiple strategies"))</f>
        <v>Technology</v>
      </c>
      <c r="BH1150" t="s">
        <v>2171</v>
      </c>
      <c r="BN1150" s="143"/>
      <c r="BP1150" s="266" t="s">
        <v>233</v>
      </c>
      <c r="BQ1150" s="266"/>
      <c r="BR1150" t="s">
        <v>2172</v>
      </c>
      <c r="BS1150">
        <v>-157</v>
      </c>
      <c r="BT1150">
        <v>-156</v>
      </c>
      <c r="BU1150" s="144">
        <v>0.45747800586510262</v>
      </c>
      <c r="BV1150">
        <v>185</v>
      </c>
      <c r="BX1150">
        <f t="shared" si="372"/>
        <v>0.185</v>
      </c>
      <c r="BY1150" t="str">
        <f t="shared" si="378"/>
        <v/>
      </c>
      <c r="BZ1150">
        <v>0</v>
      </c>
      <c r="CA1150">
        <v>0</v>
      </c>
      <c r="CB1150">
        <v>0</v>
      </c>
      <c r="CC1150">
        <v>0</v>
      </c>
      <c r="CD1150">
        <v>0</v>
      </c>
      <c r="CE1150">
        <v>0</v>
      </c>
      <c r="CF1150">
        <v>0</v>
      </c>
      <c r="CG1150">
        <v>0</v>
      </c>
      <c r="CH1150">
        <v>0</v>
      </c>
      <c r="CI1150">
        <v>0</v>
      </c>
      <c r="CJ1150">
        <v>0</v>
      </c>
      <c r="CK1150">
        <v>0</v>
      </c>
      <c r="CL1150">
        <v>0</v>
      </c>
      <c r="CM1150">
        <v>0</v>
      </c>
      <c r="CN1150" t="str">
        <f t="shared" si="373"/>
        <v>refOK</v>
      </c>
      <c r="CO1150"/>
      <c r="CP1150"/>
      <c r="CQ1150"/>
      <c r="CR1150">
        <f t="shared" si="374"/>
        <v>-157</v>
      </c>
      <c r="CS1150">
        <f t="shared" si="375"/>
        <v>-156</v>
      </c>
      <c r="CT1150">
        <f t="shared" si="376"/>
        <v>0.185</v>
      </c>
      <c r="CU1150" t="str">
        <f t="shared" si="365"/>
        <v/>
      </c>
      <c r="CV1150" s="2">
        <f t="shared" si="377"/>
        <v>6.369426751592357E-3</v>
      </c>
      <c r="CW1150" s="1" t="s">
        <v>1201</v>
      </c>
      <c r="CX1150" s="266" t="str">
        <f t="shared" si="356"/>
        <v>reg</v>
      </c>
      <c r="CY1150" t="s">
        <v>236</v>
      </c>
      <c r="DB1150">
        <v>80</v>
      </c>
      <c r="DC1150" t="str">
        <f t="shared" si="357"/>
        <v>71-100</v>
      </c>
      <c r="DD1150">
        <v>0</v>
      </c>
      <c r="DE1150">
        <v>1</v>
      </c>
      <c r="DF1150">
        <v>0</v>
      </c>
      <c r="DG1150">
        <v>0</v>
      </c>
      <c r="DI1150">
        <f t="shared" si="366"/>
        <v>1</v>
      </c>
      <c r="DJ1150" t="str">
        <f t="shared" si="363"/>
        <v>EnergyInput</v>
      </c>
      <c r="DK1150">
        <f t="shared" si="338"/>
        <v>0</v>
      </c>
      <c r="DL1150" t="str">
        <f t="shared" si="339"/>
        <v>Energy</v>
      </c>
      <c r="DM1150">
        <f t="shared" si="340"/>
        <v>0</v>
      </c>
      <c r="DN1150">
        <f t="shared" si="341"/>
        <v>0</v>
      </c>
      <c r="DO1150">
        <v>0</v>
      </c>
      <c r="DP1150">
        <v>1</v>
      </c>
      <c r="DQ1150" t="s">
        <v>2148</v>
      </c>
      <c r="DR1150">
        <v>0</v>
      </c>
      <c r="DS1150">
        <v>0</v>
      </c>
      <c r="DT1150">
        <f t="shared" si="371"/>
        <v>1</v>
      </c>
      <c r="DU1150" s="143" t="str">
        <f t="shared" si="359"/>
        <v>external DF used</v>
      </c>
      <c r="DV1150">
        <v>1</v>
      </c>
      <c r="DW1150">
        <v>1</v>
      </c>
      <c r="DX1150">
        <v>1</v>
      </c>
      <c r="DY1150">
        <v>1</v>
      </c>
      <c r="DZ1150">
        <v>1</v>
      </c>
      <c r="EA1150">
        <v>0</v>
      </c>
      <c r="EB1150">
        <v>1</v>
      </c>
      <c r="EC1150">
        <v>1</v>
      </c>
      <c r="ED1150">
        <v>0</v>
      </c>
      <c r="EE1150">
        <v>0</v>
      </c>
      <c r="EF1150">
        <v>1</v>
      </c>
      <c r="EG1150">
        <v>0</v>
      </c>
      <c r="EH1150">
        <v>0</v>
      </c>
      <c r="EI1150" s="2">
        <v>0</v>
      </c>
      <c r="EK1150" t="str">
        <f t="shared" si="342"/>
        <v>Whole sector</v>
      </c>
      <c r="EL1150" t="str">
        <f t="shared" si="343"/>
        <v/>
      </c>
      <c r="EM1150" s="2" t="str">
        <f t="shared" si="358"/>
        <v/>
      </c>
      <c r="EP1150" t="b">
        <f>IF(ISNUMBER(BU1150),IF(ABS(BU1150-[1]QC_indicators!$B$2)&gt;3*[1]QC_indicators!$C$2,"C ratio",IF(ISNUMBER(BY1150),IF(ABS(BY1150-[1]QC_indicators!$B$1)&gt;3*[1]QC_indicators!$C$1,"DF","no"))),IF(ISNUMBER(BY1150),IF(ABS(BY1150-[1]QC_indicators!$B$1)&gt;3*[1]QC_indicators!$C$1,"DF","no")))</f>
        <v>0</v>
      </c>
      <c r="ER1150" s="296" t="s">
        <v>2173</v>
      </c>
      <c r="ET1150" s="266" t="s">
        <v>3409</v>
      </c>
    </row>
    <row r="1151" spans="1:150" ht="15" hidden="1" customHeight="1">
      <c r="A1151" s="1" t="s">
        <v>1362</v>
      </c>
      <c r="B1151" t="s">
        <v>2137</v>
      </c>
      <c r="C1151" t="s">
        <v>2138</v>
      </c>
      <c r="D1151" t="s">
        <v>2139</v>
      </c>
      <c r="E1151" t="s">
        <v>2140</v>
      </c>
      <c r="F1151" t="s">
        <v>2141</v>
      </c>
      <c r="G1151" t="s">
        <v>1368</v>
      </c>
      <c r="H1151" t="s">
        <v>255</v>
      </c>
      <c r="I1151">
        <v>2012</v>
      </c>
      <c r="J1151">
        <v>21</v>
      </c>
      <c r="K1151" t="s">
        <v>2142</v>
      </c>
      <c r="L1151" s="192"/>
      <c r="M1151" t="str">
        <f t="shared" si="362"/>
        <v>Pyorala_2012</v>
      </c>
      <c r="N1151" t="s">
        <v>223</v>
      </c>
      <c r="O1151" s="145" t="s">
        <v>342</v>
      </c>
      <c r="Q1151" s="266" t="s">
        <v>257</v>
      </c>
      <c r="R1151" s="271" t="s">
        <v>1156</v>
      </c>
      <c r="S1151" s="1" t="s">
        <v>2182</v>
      </c>
      <c r="T1151" t="s">
        <v>800</v>
      </c>
      <c r="U1151" t="s">
        <v>2170</v>
      </c>
      <c r="V1151">
        <v>0</v>
      </c>
      <c r="W1151">
        <v>0</v>
      </c>
      <c r="X1151">
        <v>0</v>
      </c>
      <c r="Y1151">
        <v>0</v>
      </c>
      <c r="Z1151">
        <v>0</v>
      </c>
      <c r="AA1151">
        <v>0</v>
      </c>
      <c r="AB1151">
        <v>0</v>
      </c>
      <c r="AC1151">
        <v>0</v>
      </c>
      <c r="AD1151">
        <v>0</v>
      </c>
      <c r="AE1151">
        <v>0</v>
      </c>
      <c r="AF1151">
        <v>0</v>
      </c>
      <c r="AG1151">
        <v>0</v>
      </c>
      <c r="AH1151">
        <v>0</v>
      </c>
      <c r="AI1151">
        <v>0</v>
      </c>
      <c r="AJ1151">
        <v>0</v>
      </c>
      <c r="AK1151">
        <v>1</v>
      </c>
      <c r="AL1151">
        <v>0</v>
      </c>
      <c r="AM1151">
        <v>0</v>
      </c>
      <c r="AN1151">
        <v>0</v>
      </c>
      <c r="AO1151">
        <v>0</v>
      </c>
      <c r="AP1151">
        <v>0</v>
      </c>
      <c r="AQ1151">
        <v>0</v>
      </c>
      <c r="AR1151">
        <v>0</v>
      </c>
      <c r="AS1151">
        <v>0</v>
      </c>
      <c r="AT1151">
        <v>0</v>
      </c>
      <c r="AU1151">
        <v>0</v>
      </c>
      <c r="AV1151">
        <v>0</v>
      </c>
      <c r="AW1151">
        <v>0</v>
      </c>
      <c r="AX1151" s="141">
        <f t="shared" si="379"/>
        <v>1</v>
      </c>
      <c r="AY1151" s="141">
        <f t="shared" si="350"/>
        <v>1</v>
      </c>
      <c r="AZ1151">
        <f t="shared" si="351"/>
        <v>0</v>
      </c>
      <c r="BA1151">
        <f t="shared" si="352"/>
        <v>0</v>
      </c>
      <c r="BB1151">
        <f t="shared" si="353"/>
        <v>1</v>
      </c>
      <c r="BC1151">
        <f t="shared" si="354"/>
        <v>0</v>
      </c>
      <c r="BD1151">
        <f t="shared" si="355"/>
        <v>0</v>
      </c>
      <c r="BE1151" t="str" cm="1">
        <f t="array" ref="BE1151">IF(AY1151=1,INDEX($V$7:$AL$7,MATCH(TRUE,INDEX($V1151:$AW1151&lt;&gt;0,),0)),IF(AY1151=0,INDEX($AM$7:$AW$7,MATCH(1,$AM1151:$AW1151,0)),IF(BF1151="Multiple strategies","mixed drivers",IF(BF1151="Supply chain","multiple supply","multiple silviculture"))))</f>
        <v>technologies/design switch</v>
      </c>
      <c r="BF1151" s="2" t="str" cm="1">
        <f t="array" ref="BF1151">IF(COUNTIF(AZ1151:BB1151,"&lt;&gt;0")=1,INDEX($V$4:$AW$4,MATCH(TRUE,INDEX($V1151:$AW1151&lt;&gt;0,),0)),IF(COUNTIF(AZ1151:BB1151,"&lt;&gt;0")=0,INDEX($AM$4:$AW$4,MATCH(1,$AM1151:$AW1151,0)),"Multiple strategies"))</f>
        <v>Technology</v>
      </c>
      <c r="BH1151" t="s">
        <v>2171</v>
      </c>
      <c r="BN1151" s="143"/>
      <c r="BP1151" s="266" t="s">
        <v>233</v>
      </c>
      <c r="BQ1151" s="266"/>
      <c r="BR1151" t="s">
        <v>2172</v>
      </c>
      <c r="BS1151">
        <v>-157</v>
      </c>
      <c r="BT1151">
        <v>-162</v>
      </c>
      <c r="BU1151" s="144">
        <v>0.47507331378299122</v>
      </c>
      <c r="BV1151">
        <v>179</v>
      </c>
      <c r="BX1151">
        <f t="shared" si="372"/>
        <v>0.17899999999999999</v>
      </c>
      <c r="BY1151" t="str">
        <f t="shared" si="378"/>
        <v/>
      </c>
      <c r="BZ1151">
        <v>0</v>
      </c>
      <c r="CA1151">
        <v>0</v>
      </c>
      <c r="CB1151">
        <v>0</v>
      </c>
      <c r="CC1151">
        <v>0</v>
      </c>
      <c r="CD1151">
        <v>0</v>
      </c>
      <c r="CE1151">
        <v>0</v>
      </c>
      <c r="CF1151">
        <v>0</v>
      </c>
      <c r="CG1151">
        <v>0</v>
      </c>
      <c r="CH1151">
        <v>0</v>
      </c>
      <c r="CI1151">
        <v>0</v>
      </c>
      <c r="CJ1151">
        <v>0</v>
      </c>
      <c r="CK1151">
        <v>0</v>
      </c>
      <c r="CL1151">
        <v>0</v>
      </c>
      <c r="CM1151">
        <v>0</v>
      </c>
      <c r="CN1151" t="str">
        <f t="shared" si="373"/>
        <v>refOK</v>
      </c>
      <c r="CO1151"/>
      <c r="CP1151"/>
      <c r="CQ1151"/>
      <c r="CR1151">
        <f t="shared" si="374"/>
        <v>-157</v>
      </c>
      <c r="CS1151">
        <f t="shared" si="375"/>
        <v>-162</v>
      </c>
      <c r="CT1151">
        <f t="shared" si="376"/>
        <v>0.17899999999999999</v>
      </c>
      <c r="CU1151" t="str">
        <f t="shared" si="365"/>
        <v/>
      </c>
      <c r="CV1151" s="2">
        <f t="shared" si="377"/>
        <v>-3.1847133757961783E-2</v>
      </c>
      <c r="CW1151" s="1" t="s">
        <v>1201</v>
      </c>
      <c r="CX1151" s="266" t="str">
        <f t="shared" si="356"/>
        <v>reg</v>
      </c>
      <c r="CY1151" t="s">
        <v>236</v>
      </c>
      <c r="DB1151">
        <v>80</v>
      </c>
      <c r="DC1151" t="str">
        <f t="shared" si="357"/>
        <v>71-100</v>
      </c>
      <c r="DD1151">
        <v>0</v>
      </c>
      <c r="DE1151">
        <v>1</v>
      </c>
      <c r="DF1151">
        <v>0</v>
      </c>
      <c r="DG1151">
        <v>0</v>
      </c>
      <c r="DI1151">
        <f t="shared" si="366"/>
        <v>1</v>
      </c>
      <c r="DJ1151" t="str">
        <f t="shared" si="363"/>
        <v>EnergyInput</v>
      </c>
      <c r="DK1151">
        <f t="shared" si="338"/>
        <v>0</v>
      </c>
      <c r="DL1151" t="str">
        <f t="shared" si="339"/>
        <v>Energy</v>
      </c>
      <c r="DM1151">
        <f t="shared" si="340"/>
        <v>0</v>
      </c>
      <c r="DN1151">
        <f t="shared" si="341"/>
        <v>0</v>
      </c>
      <c r="DO1151">
        <v>0</v>
      </c>
      <c r="DP1151">
        <v>1</v>
      </c>
      <c r="DQ1151" t="s">
        <v>2148</v>
      </c>
      <c r="DR1151">
        <v>0</v>
      </c>
      <c r="DS1151">
        <v>0</v>
      </c>
      <c r="DT1151">
        <f t="shared" si="371"/>
        <v>1</v>
      </c>
      <c r="DU1151" s="143" t="str">
        <f t="shared" si="359"/>
        <v>external DF used</v>
      </c>
      <c r="DV1151">
        <v>1</v>
      </c>
      <c r="DW1151">
        <v>1</v>
      </c>
      <c r="DX1151">
        <v>1</v>
      </c>
      <c r="DY1151">
        <v>1</v>
      </c>
      <c r="DZ1151">
        <v>1</v>
      </c>
      <c r="EA1151">
        <v>0</v>
      </c>
      <c r="EB1151">
        <v>1</v>
      </c>
      <c r="EC1151">
        <v>1</v>
      </c>
      <c r="ED1151">
        <v>0</v>
      </c>
      <c r="EE1151">
        <v>0</v>
      </c>
      <c r="EF1151">
        <v>1</v>
      </c>
      <c r="EG1151">
        <v>0</v>
      </c>
      <c r="EH1151">
        <v>0</v>
      </c>
      <c r="EI1151" s="2">
        <v>0</v>
      </c>
      <c r="EK1151" t="str">
        <f t="shared" si="342"/>
        <v>Whole sector</v>
      </c>
      <c r="EL1151" t="str">
        <f t="shared" si="343"/>
        <v/>
      </c>
      <c r="EM1151" s="2" t="str">
        <f t="shared" si="358"/>
        <v/>
      </c>
      <c r="EP1151" t="b">
        <f>IF(ISNUMBER(BU1151),IF(ABS(BU1151-[1]QC_indicators!$B$2)&gt;3*[1]QC_indicators!$C$2,"C ratio",IF(ISNUMBER(BY1151),IF(ABS(BY1151-[1]QC_indicators!$B$1)&gt;3*[1]QC_indicators!$C$1,"DF","no"))),IF(ISNUMBER(BY1151),IF(ABS(BY1151-[1]QC_indicators!$B$1)&gt;3*[1]QC_indicators!$C$1,"DF","no")))</f>
        <v>0</v>
      </c>
      <c r="ER1151" s="296" t="s">
        <v>2173</v>
      </c>
      <c r="ET1151" s="266" t="s">
        <v>3409</v>
      </c>
    </row>
    <row r="1152" spans="1:150" ht="15" hidden="1" customHeight="1">
      <c r="A1152" s="1" t="s">
        <v>1362</v>
      </c>
      <c r="B1152" t="s">
        <v>2137</v>
      </c>
      <c r="C1152" t="s">
        <v>2138</v>
      </c>
      <c r="D1152" t="s">
        <v>2139</v>
      </c>
      <c r="E1152" t="s">
        <v>2140</v>
      </c>
      <c r="F1152" t="s">
        <v>2141</v>
      </c>
      <c r="G1152" t="s">
        <v>1368</v>
      </c>
      <c r="H1152" t="s">
        <v>255</v>
      </c>
      <c r="I1152">
        <v>2012</v>
      </c>
      <c r="J1152">
        <v>21</v>
      </c>
      <c r="K1152" t="s">
        <v>2142</v>
      </c>
      <c r="L1152" s="192"/>
      <c r="M1152" t="str">
        <f t="shared" si="362"/>
        <v>Pyorala_2012</v>
      </c>
      <c r="N1152" t="s">
        <v>223</v>
      </c>
      <c r="O1152" s="145" t="s">
        <v>342</v>
      </c>
      <c r="Q1152" s="266" t="s">
        <v>257</v>
      </c>
      <c r="R1152" s="271" t="s">
        <v>1156</v>
      </c>
      <c r="S1152" s="1" t="s">
        <v>2183</v>
      </c>
      <c r="T1152" t="s">
        <v>800</v>
      </c>
      <c r="U1152" t="s">
        <v>2170</v>
      </c>
      <c r="V1152">
        <v>0</v>
      </c>
      <c r="W1152">
        <v>0</v>
      </c>
      <c r="X1152">
        <v>0</v>
      </c>
      <c r="Y1152">
        <v>0</v>
      </c>
      <c r="Z1152">
        <v>0</v>
      </c>
      <c r="AA1152">
        <v>0</v>
      </c>
      <c r="AB1152">
        <v>0</v>
      </c>
      <c r="AC1152">
        <v>0</v>
      </c>
      <c r="AD1152">
        <v>0</v>
      </c>
      <c r="AE1152">
        <v>0</v>
      </c>
      <c r="AF1152">
        <v>0</v>
      </c>
      <c r="AG1152">
        <v>0</v>
      </c>
      <c r="AH1152">
        <v>0</v>
      </c>
      <c r="AI1152">
        <v>0</v>
      </c>
      <c r="AJ1152">
        <v>0</v>
      </c>
      <c r="AK1152">
        <v>1</v>
      </c>
      <c r="AL1152">
        <v>0</v>
      </c>
      <c r="AM1152">
        <v>0</v>
      </c>
      <c r="AN1152">
        <v>0</v>
      </c>
      <c r="AO1152">
        <v>0</v>
      </c>
      <c r="AP1152">
        <v>0</v>
      </c>
      <c r="AQ1152">
        <v>0</v>
      </c>
      <c r="AR1152">
        <v>0</v>
      </c>
      <c r="AS1152">
        <v>0</v>
      </c>
      <c r="AT1152">
        <v>0</v>
      </c>
      <c r="AU1152">
        <v>0</v>
      </c>
      <c r="AV1152">
        <v>0</v>
      </c>
      <c r="AW1152">
        <v>0</v>
      </c>
      <c r="AX1152" s="141">
        <f t="shared" si="379"/>
        <v>1</v>
      </c>
      <c r="AY1152" s="141">
        <f t="shared" si="350"/>
        <v>1</v>
      </c>
      <c r="AZ1152">
        <f t="shared" si="351"/>
        <v>0</v>
      </c>
      <c r="BA1152">
        <f t="shared" si="352"/>
        <v>0</v>
      </c>
      <c r="BB1152">
        <f t="shared" si="353"/>
        <v>1</v>
      </c>
      <c r="BC1152">
        <f t="shared" si="354"/>
        <v>0</v>
      </c>
      <c r="BD1152">
        <f t="shared" si="355"/>
        <v>0</v>
      </c>
      <c r="BE1152" t="str" cm="1">
        <f t="array" ref="BE1152">IF(AY1152=1,INDEX($V$7:$AL$7,MATCH(TRUE,INDEX($V1152:$AW1152&lt;&gt;0,),0)),IF(AY1152=0,INDEX($AM$7:$AW$7,MATCH(1,$AM1152:$AW1152,0)),IF(BF1152="Multiple strategies","mixed drivers",IF(BF1152="Supply chain","multiple supply","multiple silviculture"))))</f>
        <v>technologies/design switch</v>
      </c>
      <c r="BF1152" s="2" t="str" cm="1">
        <f t="array" ref="BF1152">IF(COUNTIF(AZ1152:BB1152,"&lt;&gt;0")=1,INDEX($V$4:$AW$4,MATCH(TRUE,INDEX($V1152:$AW1152&lt;&gt;0,),0)),IF(COUNTIF(AZ1152:BB1152,"&lt;&gt;0")=0,INDEX($AM$4:$AW$4,MATCH(1,$AM1152:$AW1152,0)),"Multiple strategies"))</f>
        <v>Technology</v>
      </c>
      <c r="BH1152" t="s">
        <v>2171</v>
      </c>
      <c r="BN1152" s="143"/>
      <c r="BP1152" s="266" t="s">
        <v>233</v>
      </c>
      <c r="BQ1152" s="266"/>
      <c r="BR1152" t="s">
        <v>2172</v>
      </c>
      <c r="BS1152">
        <v>-157</v>
      </c>
      <c r="BT1152">
        <v>-179</v>
      </c>
      <c r="BU1152" s="144">
        <v>0.52492668621700878</v>
      </c>
      <c r="BV1152">
        <v>162</v>
      </c>
      <c r="BX1152">
        <f t="shared" si="372"/>
        <v>0.16200000000000001</v>
      </c>
      <c r="BY1152" t="str">
        <f t="shared" si="378"/>
        <v/>
      </c>
      <c r="BZ1152">
        <v>0</v>
      </c>
      <c r="CA1152">
        <v>0</v>
      </c>
      <c r="CB1152">
        <v>0</v>
      </c>
      <c r="CC1152">
        <v>0</v>
      </c>
      <c r="CD1152">
        <v>0</v>
      </c>
      <c r="CE1152">
        <v>0</v>
      </c>
      <c r="CF1152">
        <v>0</v>
      </c>
      <c r="CG1152">
        <v>0</v>
      </c>
      <c r="CH1152">
        <v>0</v>
      </c>
      <c r="CI1152">
        <v>0</v>
      </c>
      <c r="CJ1152">
        <v>0</v>
      </c>
      <c r="CK1152">
        <v>0</v>
      </c>
      <c r="CL1152">
        <v>0</v>
      </c>
      <c r="CM1152">
        <v>0</v>
      </c>
      <c r="CN1152" t="str">
        <f t="shared" si="373"/>
        <v>refOK</v>
      </c>
      <c r="CO1152"/>
      <c r="CP1152"/>
      <c r="CQ1152"/>
      <c r="CR1152">
        <f t="shared" si="374"/>
        <v>-157</v>
      </c>
      <c r="CS1152">
        <f t="shared" si="375"/>
        <v>-179</v>
      </c>
      <c r="CT1152">
        <f t="shared" si="376"/>
        <v>0.16200000000000001</v>
      </c>
      <c r="CU1152" t="str">
        <f t="shared" si="365"/>
        <v/>
      </c>
      <c r="CV1152" s="2">
        <f t="shared" si="377"/>
        <v>-0.14012738853503184</v>
      </c>
      <c r="CW1152" s="1" t="s">
        <v>1201</v>
      </c>
      <c r="CX1152" s="266" t="str">
        <f t="shared" si="356"/>
        <v>reg</v>
      </c>
      <c r="CY1152" t="s">
        <v>236</v>
      </c>
      <c r="DB1152">
        <v>80</v>
      </c>
      <c r="DC1152" t="str">
        <f t="shared" si="357"/>
        <v>71-100</v>
      </c>
      <c r="DD1152">
        <v>0</v>
      </c>
      <c r="DE1152">
        <v>1</v>
      </c>
      <c r="DF1152">
        <v>0</v>
      </c>
      <c r="DG1152">
        <v>0</v>
      </c>
      <c r="DI1152">
        <f t="shared" si="366"/>
        <v>1</v>
      </c>
      <c r="DJ1152" t="str">
        <f t="shared" si="363"/>
        <v>EnergyInput</v>
      </c>
      <c r="DK1152">
        <f t="shared" si="338"/>
        <v>0</v>
      </c>
      <c r="DL1152" t="str">
        <f t="shared" si="339"/>
        <v>Energy</v>
      </c>
      <c r="DM1152">
        <f t="shared" si="340"/>
        <v>0</v>
      </c>
      <c r="DN1152">
        <f t="shared" si="341"/>
        <v>0</v>
      </c>
      <c r="DO1152">
        <v>0</v>
      </c>
      <c r="DP1152">
        <v>1</v>
      </c>
      <c r="DQ1152" t="s">
        <v>2148</v>
      </c>
      <c r="DR1152">
        <v>0</v>
      </c>
      <c r="DS1152">
        <v>0</v>
      </c>
      <c r="DT1152">
        <f t="shared" si="371"/>
        <v>1</v>
      </c>
      <c r="DU1152" s="143" t="str">
        <f t="shared" si="359"/>
        <v>external DF used</v>
      </c>
      <c r="DV1152">
        <v>1</v>
      </c>
      <c r="DW1152">
        <v>1</v>
      </c>
      <c r="DX1152">
        <v>1</v>
      </c>
      <c r="DY1152">
        <v>1</v>
      </c>
      <c r="DZ1152">
        <v>1</v>
      </c>
      <c r="EA1152">
        <v>0</v>
      </c>
      <c r="EB1152">
        <v>1</v>
      </c>
      <c r="EC1152">
        <v>1</v>
      </c>
      <c r="ED1152">
        <v>0</v>
      </c>
      <c r="EE1152">
        <v>0</v>
      </c>
      <c r="EF1152">
        <v>1</v>
      </c>
      <c r="EG1152">
        <v>0</v>
      </c>
      <c r="EH1152">
        <v>0</v>
      </c>
      <c r="EI1152" s="2">
        <v>0</v>
      </c>
      <c r="EK1152" t="str">
        <f t="shared" si="342"/>
        <v>Whole sector</v>
      </c>
      <c r="EL1152" t="str">
        <f t="shared" si="343"/>
        <v/>
      </c>
      <c r="EM1152" s="2" t="str">
        <f t="shared" si="358"/>
        <v/>
      </c>
      <c r="EP1152" t="b">
        <f>IF(ISNUMBER(BU1152),IF(ABS(BU1152-[1]QC_indicators!$B$2)&gt;3*[1]QC_indicators!$C$2,"C ratio",IF(ISNUMBER(BY1152),IF(ABS(BY1152-[1]QC_indicators!$B$1)&gt;3*[1]QC_indicators!$C$1,"DF","no"))),IF(ISNUMBER(BY1152),IF(ABS(BY1152-[1]QC_indicators!$B$1)&gt;3*[1]QC_indicators!$C$1,"DF","no")))</f>
        <v>0</v>
      </c>
      <c r="ER1152" s="296" t="s">
        <v>2173</v>
      </c>
      <c r="ET1152" s="266" t="s">
        <v>3409</v>
      </c>
    </row>
    <row r="1153" spans="1:150" ht="15" hidden="1" customHeight="1">
      <c r="A1153" s="1" t="s">
        <v>1362</v>
      </c>
      <c r="B1153" t="s">
        <v>2137</v>
      </c>
      <c r="C1153" t="s">
        <v>2138</v>
      </c>
      <c r="D1153" t="s">
        <v>2139</v>
      </c>
      <c r="E1153" t="s">
        <v>2140</v>
      </c>
      <c r="F1153" t="s">
        <v>2141</v>
      </c>
      <c r="G1153" t="s">
        <v>1368</v>
      </c>
      <c r="H1153" t="s">
        <v>255</v>
      </c>
      <c r="I1153">
        <v>2012</v>
      </c>
      <c r="J1153">
        <v>21</v>
      </c>
      <c r="K1153" t="s">
        <v>2142</v>
      </c>
      <c r="L1153" s="192"/>
      <c r="M1153" t="str">
        <f t="shared" si="362"/>
        <v>Pyorala_2012</v>
      </c>
      <c r="N1153" t="s">
        <v>223</v>
      </c>
      <c r="O1153" s="145" t="s">
        <v>342</v>
      </c>
      <c r="Q1153" s="266" t="s">
        <v>257</v>
      </c>
      <c r="R1153" s="271" t="s">
        <v>1156</v>
      </c>
      <c r="S1153" s="1" t="s">
        <v>2184</v>
      </c>
      <c r="T1153" t="s">
        <v>800</v>
      </c>
      <c r="U1153" t="s">
        <v>2170</v>
      </c>
      <c r="V1153">
        <v>0</v>
      </c>
      <c r="W1153">
        <v>0</v>
      </c>
      <c r="X1153">
        <v>0</v>
      </c>
      <c r="Y1153">
        <v>0</v>
      </c>
      <c r="Z1153">
        <v>0</v>
      </c>
      <c r="AA1153">
        <v>0</v>
      </c>
      <c r="AB1153">
        <v>0</v>
      </c>
      <c r="AC1153">
        <v>0</v>
      </c>
      <c r="AD1153">
        <v>0</v>
      </c>
      <c r="AE1153">
        <v>0</v>
      </c>
      <c r="AF1153">
        <v>0</v>
      </c>
      <c r="AG1153">
        <v>0</v>
      </c>
      <c r="AH1153">
        <v>0</v>
      </c>
      <c r="AI1153">
        <v>0</v>
      </c>
      <c r="AJ1153">
        <v>0</v>
      </c>
      <c r="AK1153">
        <v>1</v>
      </c>
      <c r="AL1153">
        <v>0</v>
      </c>
      <c r="AM1153">
        <v>0</v>
      </c>
      <c r="AN1153">
        <v>0</v>
      </c>
      <c r="AO1153">
        <v>0</v>
      </c>
      <c r="AP1153">
        <v>0</v>
      </c>
      <c r="AQ1153">
        <v>0</v>
      </c>
      <c r="AR1153">
        <v>0</v>
      </c>
      <c r="AS1153">
        <v>0</v>
      </c>
      <c r="AT1153">
        <v>0</v>
      </c>
      <c r="AU1153">
        <v>0</v>
      </c>
      <c r="AV1153">
        <v>0</v>
      </c>
      <c r="AW1153">
        <v>0</v>
      </c>
      <c r="AX1153" s="141">
        <f t="shared" si="379"/>
        <v>1</v>
      </c>
      <c r="AY1153" s="141">
        <f t="shared" si="350"/>
        <v>1</v>
      </c>
      <c r="AZ1153">
        <f t="shared" si="351"/>
        <v>0</v>
      </c>
      <c r="BA1153">
        <f t="shared" si="352"/>
        <v>0</v>
      </c>
      <c r="BB1153">
        <f t="shared" si="353"/>
        <v>1</v>
      </c>
      <c r="BC1153">
        <f t="shared" si="354"/>
        <v>0</v>
      </c>
      <c r="BD1153">
        <f t="shared" si="355"/>
        <v>0</v>
      </c>
      <c r="BE1153" t="str" cm="1">
        <f t="array" ref="BE1153">IF(AY1153=1,INDEX($V$7:$AL$7,MATCH(TRUE,INDEX($V1153:$AW1153&lt;&gt;0,),0)),IF(AY1153=0,INDEX($AM$7:$AW$7,MATCH(1,$AM1153:$AW1153,0)),IF(BF1153="Multiple strategies","mixed drivers",IF(BF1153="Supply chain","multiple supply","multiple silviculture"))))</f>
        <v>technologies/design switch</v>
      </c>
      <c r="BF1153" s="2" t="str" cm="1">
        <f t="array" ref="BF1153">IF(COUNTIF(AZ1153:BB1153,"&lt;&gt;0")=1,INDEX($V$4:$AW$4,MATCH(TRUE,INDEX($V1153:$AW1153&lt;&gt;0,),0)),IF(COUNTIF(AZ1153:BB1153,"&lt;&gt;0")=0,INDEX($AM$4:$AW$4,MATCH(1,$AM1153:$AW1153,0)),"Multiple strategies"))</f>
        <v>Technology</v>
      </c>
      <c r="BH1153" t="s">
        <v>2171</v>
      </c>
      <c r="BN1153" s="143"/>
      <c r="BP1153" s="266" t="s">
        <v>233</v>
      </c>
      <c r="BQ1153" s="266"/>
      <c r="BR1153" t="s">
        <v>2172</v>
      </c>
      <c r="BS1153">
        <v>-157</v>
      </c>
      <c r="BT1153">
        <v>-180</v>
      </c>
      <c r="BU1153" s="144">
        <v>0.52785923753665687</v>
      </c>
      <c r="BV1153">
        <v>161</v>
      </c>
      <c r="BX1153">
        <f t="shared" si="372"/>
        <v>0.161</v>
      </c>
      <c r="BY1153" t="str">
        <f t="shared" si="378"/>
        <v/>
      </c>
      <c r="BZ1153">
        <v>0</v>
      </c>
      <c r="CA1153">
        <v>0</v>
      </c>
      <c r="CB1153">
        <v>0</v>
      </c>
      <c r="CC1153">
        <v>0</v>
      </c>
      <c r="CD1153">
        <v>0</v>
      </c>
      <c r="CE1153">
        <v>0</v>
      </c>
      <c r="CF1153">
        <v>0</v>
      </c>
      <c r="CG1153">
        <v>0</v>
      </c>
      <c r="CH1153">
        <v>0</v>
      </c>
      <c r="CI1153">
        <v>0</v>
      </c>
      <c r="CJ1153">
        <v>0</v>
      </c>
      <c r="CK1153">
        <v>0</v>
      </c>
      <c r="CL1153">
        <v>0</v>
      </c>
      <c r="CM1153">
        <v>0</v>
      </c>
      <c r="CN1153" t="str">
        <f t="shared" si="373"/>
        <v>refOK</v>
      </c>
      <c r="CO1153"/>
      <c r="CP1153"/>
      <c r="CQ1153"/>
      <c r="CR1153">
        <f t="shared" si="374"/>
        <v>-157</v>
      </c>
      <c r="CS1153">
        <f t="shared" si="375"/>
        <v>-180</v>
      </c>
      <c r="CT1153">
        <f t="shared" si="376"/>
        <v>0.161</v>
      </c>
      <c r="CU1153" t="str">
        <f t="shared" si="365"/>
        <v/>
      </c>
      <c r="CV1153" s="2">
        <f t="shared" si="377"/>
        <v>-0.1464968152866242</v>
      </c>
      <c r="CW1153" s="1" t="s">
        <v>1201</v>
      </c>
      <c r="CX1153" s="266" t="str">
        <f t="shared" si="356"/>
        <v>reg</v>
      </c>
      <c r="CY1153" t="s">
        <v>236</v>
      </c>
      <c r="DB1153">
        <v>80</v>
      </c>
      <c r="DC1153" t="str">
        <f t="shared" si="357"/>
        <v>71-100</v>
      </c>
      <c r="DD1153">
        <v>0</v>
      </c>
      <c r="DE1153">
        <v>1</v>
      </c>
      <c r="DF1153">
        <v>0</v>
      </c>
      <c r="DG1153">
        <v>0</v>
      </c>
      <c r="DI1153">
        <f t="shared" si="366"/>
        <v>1</v>
      </c>
      <c r="DJ1153" t="str">
        <f t="shared" si="363"/>
        <v>EnergyInput</v>
      </c>
      <c r="DK1153">
        <f t="shared" si="338"/>
        <v>0</v>
      </c>
      <c r="DL1153" t="str">
        <f t="shared" si="339"/>
        <v>Energy</v>
      </c>
      <c r="DM1153">
        <f t="shared" si="340"/>
        <v>0</v>
      </c>
      <c r="DN1153">
        <f t="shared" si="341"/>
        <v>0</v>
      </c>
      <c r="DO1153">
        <v>0</v>
      </c>
      <c r="DP1153">
        <v>1</v>
      </c>
      <c r="DQ1153" t="s">
        <v>2148</v>
      </c>
      <c r="DR1153">
        <v>0</v>
      </c>
      <c r="DS1153">
        <v>0</v>
      </c>
      <c r="DT1153">
        <f t="shared" si="371"/>
        <v>1</v>
      </c>
      <c r="DU1153" s="143" t="str">
        <f t="shared" si="359"/>
        <v>external DF used</v>
      </c>
      <c r="DV1153">
        <v>1</v>
      </c>
      <c r="DW1153">
        <v>1</v>
      </c>
      <c r="DX1153">
        <v>1</v>
      </c>
      <c r="DY1153">
        <v>1</v>
      </c>
      <c r="DZ1153">
        <v>1</v>
      </c>
      <c r="EA1153">
        <v>0</v>
      </c>
      <c r="EB1153">
        <v>1</v>
      </c>
      <c r="EC1153">
        <v>1</v>
      </c>
      <c r="ED1153">
        <v>0</v>
      </c>
      <c r="EE1153">
        <v>0</v>
      </c>
      <c r="EF1153">
        <v>1</v>
      </c>
      <c r="EG1153">
        <v>0</v>
      </c>
      <c r="EH1153">
        <v>0</v>
      </c>
      <c r="EI1153" s="2">
        <v>0</v>
      </c>
      <c r="EK1153" t="str">
        <f t="shared" si="342"/>
        <v>Whole sector</v>
      </c>
      <c r="EL1153" t="str">
        <f t="shared" si="343"/>
        <v/>
      </c>
      <c r="EM1153" s="2" t="str">
        <f t="shared" si="358"/>
        <v/>
      </c>
      <c r="EP1153" t="b">
        <f>IF(ISNUMBER(BU1153),IF(ABS(BU1153-[1]QC_indicators!$B$2)&gt;3*[1]QC_indicators!$C$2,"C ratio",IF(ISNUMBER(BY1153),IF(ABS(BY1153-[1]QC_indicators!$B$1)&gt;3*[1]QC_indicators!$C$1,"DF","no"))),IF(ISNUMBER(BY1153),IF(ABS(BY1153-[1]QC_indicators!$B$1)&gt;3*[1]QC_indicators!$C$1,"DF","no")))</f>
        <v>0</v>
      </c>
      <c r="ER1153" s="296" t="s">
        <v>2173</v>
      </c>
      <c r="ET1153" s="266" t="s">
        <v>3409</v>
      </c>
    </row>
    <row r="1154" spans="1:150" ht="15" hidden="1" customHeight="1">
      <c r="A1154" s="1" t="s">
        <v>1362</v>
      </c>
      <c r="B1154" t="s">
        <v>2137</v>
      </c>
      <c r="C1154" t="s">
        <v>2138</v>
      </c>
      <c r="D1154" t="s">
        <v>2139</v>
      </c>
      <c r="E1154" t="s">
        <v>2140</v>
      </c>
      <c r="F1154" t="s">
        <v>2141</v>
      </c>
      <c r="G1154" t="s">
        <v>1368</v>
      </c>
      <c r="H1154" t="s">
        <v>255</v>
      </c>
      <c r="I1154">
        <v>2012</v>
      </c>
      <c r="J1154">
        <v>21</v>
      </c>
      <c r="K1154" t="s">
        <v>2142</v>
      </c>
      <c r="L1154" s="192"/>
      <c r="M1154" t="str">
        <f t="shared" si="362"/>
        <v>Pyorala_2012</v>
      </c>
      <c r="N1154" t="s">
        <v>223</v>
      </c>
      <c r="O1154" s="145" t="s">
        <v>342</v>
      </c>
      <c r="Q1154" s="266" t="s">
        <v>257</v>
      </c>
      <c r="R1154" s="271" t="s">
        <v>1156</v>
      </c>
      <c r="S1154" s="1" t="s">
        <v>2185</v>
      </c>
      <c r="T1154" t="s">
        <v>800</v>
      </c>
      <c r="U1154" t="s">
        <v>2170</v>
      </c>
      <c r="V1154">
        <v>0</v>
      </c>
      <c r="W1154">
        <v>0</v>
      </c>
      <c r="X1154">
        <v>0</v>
      </c>
      <c r="Y1154">
        <v>0</v>
      </c>
      <c r="Z1154">
        <v>0</v>
      </c>
      <c r="AA1154">
        <v>0</v>
      </c>
      <c r="AB1154">
        <v>0</v>
      </c>
      <c r="AC1154">
        <v>0</v>
      </c>
      <c r="AD1154">
        <v>0</v>
      </c>
      <c r="AE1154">
        <v>0</v>
      </c>
      <c r="AF1154">
        <v>0</v>
      </c>
      <c r="AG1154">
        <v>0</v>
      </c>
      <c r="AH1154">
        <v>0</v>
      </c>
      <c r="AI1154">
        <v>0</v>
      </c>
      <c r="AJ1154">
        <v>0</v>
      </c>
      <c r="AK1154">
        <v>1</v>
      </c>
      <c r="AL1154">
        <v>0</v>
      </c>
      <c r="AM1154">
        <v>0</v>
      </c>
      <c r="AN1154">
        <v>0</v>
      </c>
      <c r="AO1154">
        <v>0</v>
      </c>
      <c r="AP1154">
        <v>0</v>
      </c>
      <c r="AQ1154">
        <v>0</v>
      </c>
      <c r="AR1154">
        <v>0</v>
      </c>
      <c r="AS1154">
        <v>0</v>
      </c>
      <c r="AT1154">
        <v>0</v>
      </c>
      <c r="AU1154">
        <v>0</v>
      </c>
      <c r="AV1154">
        <v>0</v>
      </c>
      <c r="AW1154">
        <v>0</v>
      </c>
      <c r="AX1154" s="141">
        <f t="shared" si="379"/>
        <v>1</v>
      </c>
      <c r="AY1154" s="141">
        <f t="shared" si="350"/>
        <v>1</v>
      </c>
      <c r="AZ1154">
        <f t="shared" si="351"/>
        <v>0</v>
      </c>
      <c r="BA1154">
        <f t="shared" si="352"/>
        <v>0</v>
      </c>
      <c r="BB1154">
        <f t="shared" si="353"/>
        <v>1</v>
      </c>
      <c r="BC1154">
        <f t="shared" si="354"/>
        <v>0</v>
      </c>
      <c r="BD1154">
        <f t="shared" si="355"/>
        <v>0</v>
      </c>
      <c r="BE1154" t="str" cm="1">
        <f t="array" ref="BE1154">IF(AY1154=1,INDEX($V$7:$AL$7,MATCH(TRUE,INDEX($V1154:$AW1154&lt;&gt;0,),0)),IF(AY1154=0,INDEX($AM$7:$AW$7,MATCH(1,$AM1154:$AW1154,0)),IF(BF1154="Multiple strategies","mixed drivers",IF(BF1154="Supply chain","multiple supply","multiple silviculture"))))</f>
        <v>technologies/design switch</v>
      </c>
      <c r="BF1154" s="2" t="str" cm="1">
        <f t="array" ref="BF1154">IF(COUNTIF(AZ1154:BB1154,"&lt;&gt;0")=1,INDEX($V$4:$AW$4,MATCH(TRUE,INDEX($V1154:$AW1154&lt;&gt;0,),0)),IF(COUNTIF(AZ1154:BB1154,"&lt;&gt;0")=0,INDEX($AM$4:$AW$4,MATCH(1,$AM1154:$AW1154,0)),"Multiple strategies"))</f>
        <v>Technology</v>
      </c>
      <c r="BH1154" t="s">
        <v>2171</v>
      </c>
      <c r="BN1154" s="143"/>
      <c r="BP1154" s="266" t="s">
        <v>233</v>
      </c>
      <c r="BQ1154" s="266"/>
      <c r="BR1154" t="s">
        <v>2172</v>
      </c>
      <c r="BS1154">
        <v>-157</v>
      </c>
      <c r="BT1154">
        <v>-182</v>
      </c>
      <c r="BU1154" s="144">
        <v>0.53372434017595305</v>
      </c>
      <c r="BV1154">
        <v>159</v>
      </c>
      <c r="BX1154">
        <f t="shared" si="372"/>
        <v>0.159</v>
      </c>
      <c r="BY1154" t="str">
        <f t="shared" si="378"/>
        <v/>
      </c>
      <c r="BZ1154">
        <v>0</v>
      </c>
      <c r="CA1154">
        <v>0</v>
      </c>
      <c r="CB1154">
        <v>0</v>
      </c>
      <c r="CC1154">
        <v>0</v>
      </c>
      <c r="CD1154">
        <v>0</v>
      </c>
      <c r="CE1154">
        <v>0</v>
      </c>
      <c r="CF1154">
        <v>0</v>
      </c>
      <c r="CG1154">
        <v>0</v>
      </c>
      <c r="CH1154">
        <v>0</v>
      </c>
      <c r="CI1154">
        <v>0</v>
      </c>
      <c r="CJ1154">
        <v>0</v>
      </c>
      <c r="CK1154">
        <v>0</v>
      </c>
      <c r="CL1154">
        <v>0</v>
      </c>
      <c r="CM1154">
        <v>0</v>
      </c>
      <c r="CN1154" t="str">
        <f t="shared" si="373"/>
        <v>refOK</v>
      </c>
      <c r="CO1154"/>
      <c r="CP1154"/>
      <c r="CQ1154"/>
      <c r="CR1154">
        <f t="shared" si="374"/>
        <v>-157</v>
      </c>
      <c r="CS1154">
        <f t="shared" si="375"/>
        <v>-182</v>
      </c>
      <c r="CT1154">
        <f t="shared" si="376"/>
        <v>0.159</v>
      </c>
      <c r="CU1154" t="str">
        <f t="shared" si="365"/>
        <v/>
      </c>
      <c r="CV1154" s="2">
        <f t="shared" si="377"/>
        <v>-0.15923566878980891</v>
      </c>
      <c r="CW1154" s="1" t="s">
        <v>1201</v>
      </c>
      <c r="CX1154" s="266" t="str">
        <f t="shared" si="356"/>
        <v>reg</v>
      </c>
      <c r="CY1154" t="s">
        <v>236</v>
      </c>
      <c r="DB1154">
        <v>80</v>
      </c>
      <c r="DC1154" t="str">
        <f t="shared" si="357"/>
        <v>71-100</v>
      </c>
      <c r="DD1154">
        <v>0</v>
      </c>
      <c r="DE1154">
        <v>1</v>
      </c>
      <c r="DF1154">
        <v>0</v>
      </c>
      <c r="DG1154">
        <v>0</v>
      </c>
      <c r="DI1154">
        <f t="shared" si="366"/>
        <v>1</v>
      </c>
      <c r="DJ1154" t="str">
        <f t="shared" si="363"/>
        <v>EnergyInput</v>
      </c>
      <c r="DK1154">
        <f t="shared" si="338"/>
        <v>0</v>
      </c>
      <c r="DL1154" t="str">
        <f t="shared" si="339"/>
        <v>Energy</v>
      </c>
      <c r="DM1154">
        <f t="shared" si="340"/>
        <v>0</v>
      </c>
      <c r="DN1154">
        <f t="shared" si="341"/>
        <v>0</v>
      </c>
      <c r="DO1154">
        <v>0</v>
      </c>
      <c r="DP1154">
        <v>1</v>
      </c>
      <c r="DQ1154" t="s">
        <v>2148</v>
      </c>
      <c r="DR1154">
        <v>0</v>
      </c>
      <c r="DS1154">
        <v>0</v>
      </c>
      <c r="DT1154">
        <f t="shared" si="371"/>
        <v>1</v>
      </c>
      <c r="DU1154" s="143" t="str">
        <f t="shared" si="359"/>
        <v>external DF used</v>
      </c>
      <c r="DV1154">
        <v>1</v>
      </c>
      <c r="DW1154">
        <v>1</v>
      </c>
      <c r="DX1154">
        <v>1</v>
      </c>
      <c r="DY1154">
        <v>1</v>
      </c>
      <c r="DZ1154">
        <v>1</v>
      </c>
      <c r="EA1154">
        <v>0</v>
      </c>
      <c r="EB1154">
        <v>1</v>
      </c>
      <c r="EC1154">
        <v>1</v>
      </c>
      <c r="ED1154">
        <v>0</v>
      </c>
      <c r="EE1154">
        <v>0</v>
      </c>
      <c r="EF1154">
        <v>1</v>
      </c>
      <c r="EG1154">
        <v>0</v>
      </c>
      <c r="EH1154">
        <v>0</v>
      </c>
      <c r="EI1154" s="2">
        <v>0</v>
      </c>
      <c r="EK1154" t="str">
        <f t="shared" si="342"/>
        <v>Whole sector</v>
      </c>
      <c r="EL1154" t="str">
        <f t="shared" si="343"/>
        <v/>
      </c>
      <c r="EM1154" s="2" t="str">
        <f t="shared" si="358"/>
        <v/>
      </c>
      <c r="EP1154" t="b">
        <f>IF(ISNUMBER(BU1154),IF(ABS(BU1154-[1]QC_indicators!$B$2)&gt;3*[1]QC_indicators!$C$2,"C ratio",IF(ISNUMBER(BY1154),IF(ABS(BY1154-[1]QC_indicators!$B$1)&gt;3*[1]QC_indicators!$C$1,"DF","no"))),IF(ISNUMBER(BY1154),IF(ABS(BY1154-[1]QC_indicators!$B$1)&gt;3*[1]QC_indicators!$C$1,"DF","no")))</f>
        <v>0</v>
      </c>
      <c r="ER1154" s="296" t="s">
        <v>2173</v>
      </c>
      <c r="ET1154" s="266" t="s">
        <v>3409</v>
      </c>
    </row>
    <row r="1155" spans="1:150" ht="15" hidden="1" customHeight="1">
      <c r="A1155" s="1" t="s">
        <v>1362</v>
      </c>
      <c r="B1155" t="s">
        <v>2137</v>
      </c>
      <c r="C1155" t="s">
        <v>2138</v>
      </c>
      <c r="D1155" t="s">
        <v>2139</v>
      </c>
      <c r="E1155" t="s">
        <v>2140</v>
      </c>
      <c r="F1155" t="s">
        <v>2141</v>
      </c>
      <c r="G1155" t="s">
        <v>1368</v>
      </c>
      <c r="H1155" t="s">
        <v>255</v>
      </c>
      <c r="I1155">
        <v>2012</v>
      </c>
      <c r="J1155">
        <v>21</v>
      </c>
      <c r="K1155" t="s">
        <v>2142</v>
      </c>
      <c r="M1155" t="str">
        <f t="shared" si="362"/>
        <v>Pyorala_2012</v>
      </c>
      <c r="N1155" t="s">
        <v>223</v>
      </c>
      <c r="O1155" s="145" t="s">
        <v>342</v>
      </c>
      <c r="Q1155" s="266" t="s">
        <v>257</v>
      </c>
      <c r="R1155" s="271" t="s">
        <v>1156</v>
      </c>
      <c r="S1155" s="1" t="s">
        <v>2186</v>
      </c>
      <c r="T1155" t="s">
        <v>800</v>
      </c>
      <c r="U1155" t="s">
        <v>2170</v>
      </c>
      <c r="V1155">
        <v>0</v>
      </c>
      <c r="W1155">
        <v>0</v>
      </c>
      <c r="X1155">
        <v>0</v>
      </c>
      <c r="Y1155">
        <v>0</v>
      </c>
      <c r="Z1155">
        <v>0</v>
      </c>
      <c r="AA1155">
        <v>0</v>
      </c>
      <c r="AB1155">
        <v>0</v>
      </c>
      <c r="AC1155">
        <v>0</v>
      </c>
      <c r="AD1155">
        <v>0</v>
      </c>
      <c r="AE1155">
        <v>0</v>
      </c>
      <c r="AF1155">
        <v>0</v>
      </c>
      <c r="AG1155">
        <v>0</v>
      </c>
      <c r="AH1155">
        <v>0</v>
      </c>
      <c r="AI1155">
        <v>0</v>
      </c>
      <c r="AJ1155">
        <v>0</v>
      </c>
      <c r="AK1155">
        <v>1</v>
      </c>
      <c r="AL1155">
        <v>0</v>
      </c>
      <c r="AM1155">
        <v>0</v>
      </c>
      <c r="AN1155">
        <v>0</v>
      </c>
      <c r="AO1155">
        <v>0</v>
      </c>
      <c r="AP1155">
        <v>0</v>
      </c>
      <c r="AQ1155">
        <v>0</v>
      </c>
      <c r="AR1155">
        <v>0</v>
      </c>
      <c r="AS1155">
        <v>0</v>
      </c>
      <c r="AT1155">
        <v>0</v>
      </c>
      <c r="AU1155">
        <v>0</v>
      </c>
      <c r="AV1155">
        <v>0</v>
      </c>
      <c r="AW1155">
        <v>0</v>
      </c>
      <c r="AX1155" s="141">
        <f t="shared" si="379"/>
        <v>1</v>
      </c>
      <c r="AY1155" s="141">
        <f t="shared" si="350"/>
        <v>1</v>
      </c>
      <c r="AZ1155">
        <f t="shared" si="351"/>
        <v>0</v>
      </c>
      <c r="BA1155">
        <f t="shared" si="352"/>
        <v>0</v>
      </c>
      <c r="BB1155">
        <f t="shared" si="353"/>
        <v>1</v>
      </c>
      <c r="BC1155">
        <f t="shared" si="354"/>
        <v>0</v>
      </c>
      <c r="BD1155">
        <f t="shared" si="355"/>
        <v>0</v>
      </c>
      <c r="BE1155" t="str" cm="1">
        <f t="array" ref="BE1155">IF(AY1155=1,INDEX($V$7:$AL$7,MATCH(TRUE,INDEX($V1155:$AW1155&lt;&gt;0,),0)),IF(AY1155=0,INDEX($AM$7:$AW$7,MATCH(1,$AM1155:$AW1155,0)),IF(BF1155="Multiple strategies","mixed drivers",IF(BF1155="Supply chain","multiple supply","multiple silviculture"))))</f>
        <v>technologies/design switch</v>
      </c>
      <c r="BF1155" s="2" t="str" cm="1">
        <f t="array" ref="BF1155">IF(COUNTIF(AZ1155:BB1155,"&lt;&gt;0")=1,INDEX($V$4:$AW$4,MATCH(TRUE,INDEX($V1155:$AW1155&lt;&gt;0,),0)),IF(COUNTIF(AZ1155:BB1155,"&lt;&gt;0")=0,INDEX($AM$4:$AW$4,MATCH(1,$AM1155:$AW1155,0)),"Multiple strategies"))</f>
        <v>Technology</v>
      </c>
      <c r="BH1155" t="s">
        <v>2171</v>
      </c>
      <c r="BN1155" s="143"/>
      <c r="BP1155" s="266" t="s">
        <v>233</v>
      </c>
      <c r="BQ1155" s="266"/>
      <c r="BR1155" t="s">
        <v>2172</v>
      </c>
      <c r="BS1155">
        <v>-157</v>
      </c>
      <c r="BT1155">
        <v>-185</v>
      </c>
      <c r="BU1155" s="144">
        <v>0.54252199413489732</v>
      </c>
      <c r="BV1155">
        <v>156</v>
      </c>
      <c r="BX1155">
        <f t="shared" si="372"/>
        <v>0.156</v>
      </c>
      <c r="BY1155" t="str">
        <f t="shared" si="378"/>
        <v/>
      </c>
      <c r="BZ1155">
        <v>0</v>
      </c>
      <c r="CA1155">
        <v>0</v>
      </c>
      <c r="CB1155">
        <v>0</v>
      </c>
      <c r="CC1155">
        <v>0</v>
      </c>
      <c r="CD1155">
        <v>0</v>
      </c>
      <c r="CE1155">
        <v>0</v>
      </c>
      <c r="CF1155">
        <v>0</v>
      </c>
      <c r="CG1155">
        <v>0</v>
      </c>
      <c r="CH1155">
        <v>0</v>
      </c>
      <c r="CI1155">
        <v>0</v>
      </c>
      <c r="CJ1155">
        <v>0</v>
      </c>
      <c r="CK1155">
        <v>0</v>
      </c>
      <c r="CL1155">
        <v>0</v>
      </c>
      <c r="CM1155">
        <v>0</v>
      </c>
      <c r="CN1155" t="str">
        <f t="shared" si="373"/>
        <v>refOK</v>
      </c>
      <c r="CO1155"/>
      <c r="CP1155"/>
      <c r="CQ1155"/>
      <c r="CR1155">
        <f t="shared" si="374"/>
        <v>-157</v>
      </c>
      <c r="CS1155">
        <f t="shared" si="375"/>
        <v>-185</v>
      </c>
      <c r="CT1155">
        <f t="shared" si="376"/>
        <v>0.156</v>
      </c>
      <c r="CU1155" t="str">
        <f t="shared" si="365"/>
        <v/>
      </c>
      <c r="CV1155" s="2">
        <f t="shared" si="377"/>
        <v>-0.17834394904458598</v>
      </c>
      <c r="CW1155" s="1" t="s">
        <v>1201</v>
      </c>
      <c r="CX1155" s="266" t="str">
        <f t="shared" si="356"/>
        <v>reg</v>
      </c>
      <c r="CY1155" t="s">
        <v>236</v>
      </c>
      <c r="DB1155">
        <v>80</v>
      </c>
      <c r="DC1155" t="str">
        <f t="shared" si="357"/>
        <v>71-100</v>
      </c>
      <c r="DD1155">
        <v>0</v>
      </c>
      <c r="DE1155">
        <v>1</v>
      </c>
      <c r="DF1155">
        <v>0</v>
      </c>
      <c r="DG1155">
        <v>0</v>
      </c>
      <c r="DI1155">
        <f t="shared" si="366"/>
        <v>1</v>
      </c>
      <c r="DJ1155" t="str">
        <f t="shared" si="363"/>
        <v>EnergyInput</v>
      </c>
      <c r="DK1155">
        <f t="shared" si="338"/>
        <v>0</v>
      </c>
      <c r="DL1155" t="str">
        <f t="shared" si="339"/>
        <v>Energy</v>
      </c>
      <c r="DM1155">
        <f t="shared" si="340"/>
        <v>0</v>
      </c>
      <c r="DN1155">
        <f t="shared" si="341"/>
        <v>0</v>
      </c>
      <c r="DO1155">
        <v>0</v>
      </c>
      <c r="DP1155">
        <v>1</v>
      </c>
      <c r="DQ1155" t="s">
        <v>2148</v>
      </c>
      <c r="DR1155">
        <v>0</v>
      </c>
      <c r="DS1155">
        <v>0</v>
      </c>
      <c r="DT1155">
        <f t="shared" si="371"/>
        <v>1</v>
      </c>
      <c r="DU1155" s="143" t="str">
        <f t="shared" si="359"/>
        <v>external DF used</v>
      </c>
      <c r="DV1155">
        <v>1</v>
      </c>
      <c r="DW1155">
        <v>1</v>
      </c>
      <c r="DX1155">
        <v>1</v>
      </c>
      <c r="DY1155">
        <v>1</v>
      </c>
      <c r="DZ1155">
        <v>1</v>
      </c>
      <c r="EA1155">
        <v>0</v>
      </c>
      <c r="EB1155">
        <v>1</v>
      </c>
      <c r="EC1155">
        <v>1</v>
      </c>
      <c r="ED1155">
        <v>0</v>
      </c>
      <c r="EE1155">
        <v>0</v>
      </c>
      <c r="EF1155">
        <v>1</v>
      </c>
      <c r="EG1155">
        <v>0</v>
      </c>
      <c r="EH1155">
        <v>0</v>
      </c>
      <c r="EI1155" s="2">
        <v>0</v>
      </c>
      <c r="EK1155" t="str">
        <f t="shared" si="342"/>
        <v>Whole sector</v>
      </c>
      <c r="EL1155" t="str">
        <f t="shared" si="343"/>
        <v/>
      </c>
      <c r="EM1155" s="2" t="str">
        <f t="shared" si="358"/>
        <v/>
      </c>
      <c r="EP1155" t="b">
        <f>IF(ISNUMBER(BU1155),IF(ABS(BU1155-[1]QC_indicators!$B$2)&gt;3*[1]QC_indicators!$C$2,"C ratio",IF(ISNUMBER(BY1155),IF(ABS(BY1155-[1]QC_indicators!$B$1)&gt;3*[1]QC_indicators!$C$1,"DF","no"))),IF(ISNUMBER(BY1155),IF(ABS(BY1155-[1]QC_indicators!$B$1)&gt;3*[1]QC_indicators!$C$1,"DF","no")))</f>
        <v>0</v>
      </c>
      <c r="ER1155" s="296" t="s">
        <v>2173</v>
      </c>
      <c r="ET1155" s="266" t="s">
        <v>3409</v>
      </c>
    </row>
    <row r="1156" spans="1:150" ht="15" hidden="1" customHeight="1">
      <c r="A1156" s="1" t="s">
        <v>1362</v>
      </c>
      <c r="B1156" t="s">
        <v>2137</v>
      </c>
      <c r="C1156" t="s">
        <v>2138</v>
      </c>
      <c r="D1156" t="s">
        <v>2139</v>
      </c>
      <c r="E1156" t="s">
        <v>2140</v>
      </c>
      <c r="F1156" t="s">
        <v>2141</v>
      </c>
      <c r="G1156" t="s">
        <v>1368</v>
      </c>
      <c r="H1156" t="s">
        <v>255</v>
      </c>
      <c r="I1156">
        <v>2012</v>
      </c>
      <c r="J1156">
        <v>21</v>
      </c>
      <c r="K1156" t="s">
        <v>2142</v>
      </c>
      <c r="L1156" s="192"/>
      <c r="M1156" t="str">
        <f t="shared" si="362"/>
        <v>Pyorala_2012</v>
      </c>
      <c r="N1156" t="s">
        <v>223</v>
      </c>
      <c r="O1156" s="145" t="s">
        <v>342</v>
      </c>
      <c r="Q1156" s="266" t="s">
        <v>257</v>
      </c>
      <c r="R1156" s="271" t="s">
        <v>1156</v>
      </c>
      <c r="S1156" s="1" t="s">
        <v>2187</v>
      </c>
      <c r="T1156" t="s">
        <v>800</v>
      </c>
      <c r="U1156" t="s">
        <v>2170</v>
      </c>
      <c r="V1156">
        <v>0</v>
      </c>
      <c r="W1156">
        <v>0</v>
      </c>
      <c r="X1156">
        <v>0</v>
      </c>
      <c r="Y1156">
        <v>0</v>
      </c>
      <c r="Z1156">
        <v>0</v>
      </c>
      <c r="AA1156">
        <v>0</v>
      </c>
      <c r="AB1156">
        <v>0</v>
      </c>
      <c r="AC1156">
        <v>0</v>
      </c>
      <c r="AD1156">
        <v>0</v>
      </c>
      <c r="AE1156">
        <v>0</v>
      </c>
      <c r="AF1156">
        <v>0</v>
      </c>
      <c r="AG1156">
        <v>0</v>
      </c>
      <c r="AH1156">
        <v>0</v>
      </c>
      <c r="AI1156">
        <v>0</v>
      </c>
      <c r="AJ1156">
        <v>0</v>
      </c>
      <c r="AK1156">
        <v>1</v>
      </c>
      <c r="AL1156">
        <v>0</v>
      </c>
      <c r="AM1156">
        <v>0</v>
      </c>
      <c r="AN1156">
        <v>0</v>
      </c>
      <c r="AO1156">
        <v>0</v>
      </c>
      <c r="AP1156">
        <v>0</v>
      </c>
      <c r="AQ1156">
        <v>0</v>
      </c>
      <c r="AR1156">
        <v>0</v>
      </c>
      <c r="AS1156">
        <v>0</v>
      </c>
      <c r="AT1156">
        <v>0</v>
      </c>
      <c r="AU1156">
        <v>0</v>
      </c>
      <c r="AV1156">
        <v>0</v>
      </c>
      <c r="AW1156">
        <v>0</v>
      </c>
      <c r="AX1156" s="141">
        <f t="shared" si="379"/>
        <v>1</v>
      </c>
      <c r="AY1156" s="141">
        <f t="shared" si="350"/>
        <v>1</v>
      </c>
      <c r="AZ1156">
        <f t="shared" si="351"/>
        <v>0</v>
      </c>
      <c r="BA1156">
        <f t="shared" si="352"/>
        <v>0</v>
      </c>
      <c r="BB1156">
        <f t="shared" si="353"/>
        <v>1</v>
      </c>
      <c r="BC1156">
        <f t="shared" si="354"/>
        <v>0</v>
      </c>
      <c r="BD1156">
        <f t="shared" si="355"/>
        <v>0</v>
      </c>
      <c r="BE1156" t="str" cm="1">
        <f t="array" ref="BE1156">IF(AY1156=1,INDEX($V$7:$AL$7,MATCH(TRUE,INDEX($V1156:$AW1156&lt;&gt;0,),0)),IF(AY1156=0,INDEX($AM$7:$AW$7,MATCH(1,$AM1156:$AW1156,0)),IF(BF1156="Multiple strategies","mixed drivers",IF(BF1156="Supply chain","multiple supply","multiple silviculture"))))</f>
        <v>technologies/design switch</v>
      </c>
      <c r="BF1156" s="2" t="str" cm="1">
        <f t="array" ref="BF1156">IF(COUNTIF(AZ1156:BB1156,"&lt;&gt;0")=1,INDEX($V$4:$AW$4,MATCH(TRUE,INDEX($V1156:$AW1156&lt;&gt;0,),0)),IF(COUNTIF(AZ1156:BB1156,"&lt;&gt;0")=0,INDEX($AM$4:$AW$4,MATCH(1,$AM1156:$AW1156,0)),"Multiple strategies"))</f>
        <v>Technology</v>
      </c>
      <c r="BH1156" t="s">
        <v>2171</v>
      </c>
      <c r="BN1156" s="143"/>
      <c r="BP1156" s="266" t="s">
        <v>233</v>
      </c>
      <c r="BQ1156" s="266"/>
      <c r="BR1156" t="s">
        <v>2172</v>
      </c>
      <c r="BS1156">
        <v>-157</v>
      </c>
      <c r="BT1156">
        <v>-187</v>
      </c>
      <c r="BU1156" s="144">
        <v>0.54838709677419351</v>
      </c>
      <c r="BV1156">
        <v>154</v>
      </c>
      <c r="BX1156">
        <f t="shared" si="372"/>
        <v>0.154</v>
      </c>
      <c r="BY1156" t="str">
        <f t="shared" si="378"/>
        <v/>
      </c>
      <c r="BZ1156">
        <v>0</v>
      </c>
      <c r="CA1156">
        <v>0</v>
      </c>
      <c r="CB1156">
        <v>0</v>
      </c>
      <c r="CC1156">
        <v>0</v>
      </c>
      <c r="CD1156">
        <v>0</v>
      </c>
      <c r="CE1156">
        <v>0</v>
      </c>
      <c r="CF1156">
        <v>0</v>
      </c>
      <c r="CG1156">
        <v>0</v>
      </c>
      <c r="CH1156">
        <v>0</v>
      </c>
      <c r="CI1156">
        <v>0</v>
      </c>
      <c r="CJ1156">
        <v>0</v>
      </c>
      <c r="CK1156">
        <v>0</v>
      </c>
      <c r="CL1156">
        <v>0</v>
      </c>
      <c r="CM1156">
        <v>0</v>
      </c>
      <c r="CN1156" t="str">
        <f t="shared" si="373"/>
        <v>refOK</v>
      </c>
      <c r="CO1156"/>
      <c r="CP1156"/>
      <c r="CQ1156"/>
      <c r="CR1156">
        <f t="shared" si="374"/>
        <v>-157</v>
      </c>
      <c r="CS1156">
        <f t="shared" si="375"/>
        <v>-187</v>
      </c>
      <c r="CT1156">
        <f t="shared" si="376"/>
        <v>0.154</v>
      </c>
      <c r="CU1156" t="str">
        <f t="shared" si="365"/>
        <v/>
      </c>
      <c r="CV1156" s="2">
        <f t="shared" si="377"/>
        <v>-0.19108280254777071</v>
      </c>
      <c r="CW1156" s="1" t="s">
        <v>1201</v>
      </c>
      <c r="CX1156" s="266" t="str">
        <f t="shared" si="356"/>
        <v>reg</v>
      </c>
      <c r="CY1156" t="s">
        <v>236</v>
      </c>
      <c r="DB1156">
        <v>80</v>
      </c>
      <c r="DC1156" t="str">
        <f t="shared" si="357"/>
        <v>71-100</v>
      </c>
      <c r="DD1156">
        <v>0</v>
      </c>
      <c r="DE1156">
        <v>1</v>
      </c>
      <c r="DF1156">
        <v>0</v>
      </c>
      <c r="DG1156">
        <v>0</v>
      </c>
      <c r="DI1156">
        <f t="shared" si="366"/>
        <v>1</v>
      </c>
      <c r="DJ1156" t="str">
        <f t="shared" si="363"/>
        <v>EnergyInput</v>
      </c>
      <c r="DK1156">
        <f t="shared" si="338"/>
        <v>0</v>
      </c>
      <c r="DL1156" t="str">
        <f t="shared" si="339"/>
        <v>Energy</v>
      </c>
      <c r="DM1156">
        <f t="shared" si="340"/>
        <v>0</v>
      </c>
      <c r="DN1156">
        <f t="shared" si="341"/>
        <v>0</v>
      </c>
      <c r="DO1156">
        <v>0</v>
      </c>
      <c r="DP1156">
        <v>1</v>
      </c>
      <c r="DQ1156" t="s">
        <v>2148</v>
      </c>
      <c r="DR1156">
        <v>0</v>
      </c>
      <c r="DS1156">
        <v>0</v>
      </c>
      <c r="DT1156">
        <f t="shared" si="371"/>
        <v>1</v>
      </c>
      <c r="DU1156" s="143" t="str">
        <f t="shared" si="359"/>
        <v>external DF used</v>
      </c>
      <c r="DV1156">
        <v>1</v>
      </c>
      <c r="DW1156">
        <v>1</v>
      </c>
      <c r="DX1156">
        <v>1</v>
      </c>
      <c r="DY1156">
        <v>1</v>
      </c>
      <c r="DZ1156">
        <v>1</v>
      </c>
      <c r="EA1156">
        <v>0</v>
      </c>
      <c r="EB1156">
        <v>1</v>
      </c>
      <c r="EC1156">
        <v>1</v>
      </c>
      <c r="ED1156">
        <v>0</v>
      </c>
      <c r="EE1156">
        <v>0</v>
      </c>
      <c r="EF1156">
        <v>1</v>
      </c>
      <c r="EG1156">
        <v>0</v>
      </c>
      <c r="EH1156">
        <v>0</v>
      </c>
      <c r="EI1156" s="2">
        <v>0</v>
      </c>
      <c r="EK1156" t="str">
        <f t="shared" si="342"/>
        <v>Whole sector</v>
      </c>
      <c r="EL1156" t="str">
        <f t="shared" si="343"/>
        <v/>
      </c>
      <c r="EM1156" s="2" t="str">
        <f t="shared" si="358"/>
        <v/>
      </c>
      <c r="EP1156" t="b">
        <f>IF(ISNUMBER(BU1156),IF(ABS(BU1156-[1]QC_indicators!$B$2)&gt;3*[1]QC_indicators!$C$2,"C ratio",IF(ISNUMBER(BY1156),IF(ABS(BY1156-[1]QC_indicators!$B$1)&gt;3*[1]QC_indicators!$C$1,"DF","no"))),IF(ISNUMBER(BY1156),IF(ABS(BY1156-[1]QC_indicators!$B$1)&gt;3*[1]QC_indicators!$C$1,"DF","no")))</f>
        <v>0</v>
      </c>
      <c r="ER1156" s="296" t="s">
        <v>2173</v>
      </c>
      <c r="ET1156" s="266" t="s">
        <v>3409</v>
      </c>
    </row>
    <row r="1157" spans="1:150" ht="15" hidden="1" customHeight="1">
      <c r="A1157" s="1" t="s">
        <v>1362</v>
      </c>
      <c r="B1157" t="s">
        <v>2137</v>
      </c>
      <c r="C1157" t="s">
        <v>2138</v>
      </c>
      <c r="D1157" t="s">
        <v>2139</v>
      </c>
      <c r="E1157" t="s">
        <v>2140</v>
      </c>
      <c r="F1157" t="s">
        <v>2141</v>
      </c>
      <c r="G1157" t="s">
        <v>1368</v>
      </c>
      <c r="H1157" t="s">
        <v>255</v>
      </c>
      <c r="I1157">
        <v>2012</v>
      </c>
      <c r="J1157">
        <v>21</v>
      </c>
      <c r="K1157" t="s">
        <v>2142</v>
      </c>
      <c r="M1157" t="str">
        <f t="shared" si="362"/>
        <v>Pyorala_2012</v>
      </c>
      <c r="N1157" t="s">
        <v>223</v>
      </c>
      <c r="O1157" s="145" t="s">
        <v>342</v>
      </c>
      <c r="Q1157" s="266" t="s">
        <v>257</v>
      </c>
      <c r="R1157" s="271" t="s">
        <v>1156</v>
      </c>
      <c r="S1157" s="1" t="s">
        <v>2188</v>
      </c>
      <c r="T1157" t="s">
        <v>800</v>
      </c>
      <c r="U1157" t="s">
        <v>2170</v>
      </c>
      <c r="V1157">
        <v>0</v>
      </c>
      <c r="W1157">
        <v>0</v>
      </c>
      <c r="X1157">
        <v>0</v>
      </c>
      <c r="Y1157">
        <v>0</v>
      </c>
      <c r="Z1157">
        <v>0</v>
      </c>
      <c r="AA1157">
        <v>0</v>
      </c>
      <c r="AB1157">
        <v>0</v>
      </c>
      <c r="AC1157">
        <v>0</v>
      </c>
      <c r="AD1157">
        <v>0</v>
      </c>
      <c r="AE1157">
        <v>0</v>
      </c>
      <c r="AF1157">
        <v>0</v>
      </c>
      <c r="AG1157">
        <v>0</v>
      </c>
      <c r="AH1157">
        <v>0</v>
      </c>
      <c r="AI1157">
        <v>0</v>
      </c>
      <c r="AJ1157">
        <v>0</v>
      </c>
      <c r="AK1157">
        <v>1</v>
      </c>
      <c r="AL1157">
        <v>0</v>
      </c>
      <c r="AM1157">
        <v>0</v>
      </c>
      <c r="AN1157">
        <v>0</v>
      </c>
      <c r="AO1157">
        <v>0</v>
      </c>
      <c r="AP1157">
        <v>0</v>
      </c>
      <c r="AQ1157">
        <v>0</v>
      </c>
      <c r="AR1157">
        <v>0</v>
      </c>
      <c r="AS1157">
        <v>0</v>
      </c>
      <c r="AT1157">
        <v>0</v>
      </c>
      <c r="AU1157">
        <v>0</v>
      </c>
      <c r="AV1157">
        <v>0</v>
      </c>
      <c r="AW1157">
        <v>0</v>
      </c>
      <c r="AX1157" s="141">
        <f t="shared" si="379"/>
        <v>1</v>
      </c>
      <c r="AY1157" s="141">
        <f t="shared" si="350"/>
        <v>1</v>
      </c>
      <c r="AZ1157">
        <f t="shared" si="351"/>
        <v>0</v>
      </c>
      <c r="BA1157">
        <f t="shared" si="352"/>
        <v>0</v>
      </c>
      <c r="BB1157">
        <f t="shared" si="353"/>
        <v>1</v>
      </c>
      <c r="BC1157">
        <f t="shared" si="354"/>
        <v>0</v>
      </c>
      <c r="BD1157">
        <f t="shared" si="355"/>
        <v>0</v>
      </c>
      <c r="BE1157" t="str" cm="1">
        <f t="array" ref="BE1157">IF(AY1157=1,INDEX($V$7:$AL$7,MATCH(TRUE,INDEX($V1157:$AW1157&lt;&gt;0,),0)),IF(AY1157=0,INDEX($AM$7:$AW$7,MATCH(1,$AM1157:$AW1157,0)),IF(BF1157="Multiple strategies","mixed drivers",IF(BF1157="Supply chain","multiple supply","multiple silviculture"))))</f>
        <v>technologies/design switch</v>
      </c>
      <c r="BF1157" s="2" t="str" cm="1">
        <f t="array" ref="BF1157">IF(COUNTIF(AZ1157:BB1157,"&lt;&gt;0")=1,INDEX($V$4:$AW$4,MATCH(TRUE,INDEX($V1157:$AW1157&lt;&gt;0,),0)),IF(COUNTIF(AZ1157:BB1157,"&lt;&gt;0")=0,INDEX($AM$4:$AW$4,MATCH(1,$AM1157:$AW1157,0)),"Multiple strategies"))</f>
        <v>Technology</v>
      </c>
      <c r="BH1157" t="s">
        <v>2171</v>
      </c>
      <c r="BN1157" s="143"/>
      <c r="BP1157" s="266" t="s">
        <v>233</v>
      </c>
      <c r="BQ1157" s="266"/>
      <c r="BR1157" t="s">
        <v>2172</v>
      </c>
      <c r="BS1157">
        <v>-157</v>
      </c>
      <c r="BT1157">
        <v>-191</v>
      </c>
      <c r="BU1157" s="144">
        <v>0.56011730205278587</v>
      </c>
      <c r="BV1157">
        <v>150</v>
      </c>
      <c r="BX1157">
        <f t="shared" si="372"/>
        <v>0.15</v>
      </c>
      <c r="BY1157" t="str">
        <f t="shared" si="378"/>
        <v/>
      </c>
      <c r="BZ1157">
        <v>0</v>
      </c>
      <c r="CA1157">
        <v>0</v>
      </c>
      <c r="CB1157">
        <v>0</v>
      </c>
      <c r="CC1157">
        <v>0</v>
      </c>
      <c r="CD1157">
        <v>0</v>
      </c>
      <c r="CE1157">
        <v>0</v>
      </c>
      <c r="CF1157">
        <v>0</v>
      </c>
      <c r="CG1157">
        <v>0</v>
      </c>
      <c r="CH1157">
        <v>0</v>
      </c>
      <c r="CI1157">
        <v>0</v>
      </c>
      <c r="CJ1157">
        <v>0</v>
      </c>
      <c r="CK1157">
        <v>0</v>
      </c>
      <c r="CL1157">
        <v>0</v>
      </c>
      <c r="CM1157">
        <v>0</v>
      </c>
      <c r="CN1157" t="str">
        <f t="shared" si="373"/>
        <v>refOK</v>
      </c>
      <c r="CO1157"/>
      <c r="CP1157"/>
      <c r="CQ1157"/>
      <c r="CR1157">
        <f t="shared" si="374"/>
        <v>-157</v>
      </c>
      <c r="CS1157">
        <f t="shared" si="375"/>
        <v>-191</v>
      </c>
      <c r="CT1157">
        <f t="shared" si="376"/>
        <v>0.15</v>
      </c>
      <c r="CU1157" t="str">
        <f t="shared" si="365"/>
        <v/>
      </c>
      <c r="CV1157" s="2">
        <f t="shared" si="377"/>
        <v>-0.21656050955414013</v>
      </c>
      <c r="CW1157" s="1" t="s">
        <v>1201</v>
      </c>
      <c r="CX1157" s="266" t="str">
        <f t="shared" si="356"/>
        <v>reg</v>
      </c>
      <c r="CY1157" t="s">
        <v>236</v>
      </c>
      <c r="DB1157">
        <v>80</v>
      </c>
      <c r="DC1157" t="str">
        <f t="shared" si="357"/>
        <v>71-100</v>
      </c>
      <c r="DD1157">
        <v>0</v>
      </c>
      <c r="DE1157">
        <v>1</v>
      </c>
      <c r="DF1157">
        <v>0</v>
      </c>
      <c r="DG1157">
        <v>0</v>
      </c>
      <c r="DI1157">
        <f t="shared" si="366"/>
        <v>1</v>
      </c>
      <c r="DJ1157" t="str">
        <f t="shared" si="363"/>
        <v>EnergyInput</v>
      </c>
      <c r="DK1157">
        <f t="shared" si="338"/>
        <v>0</v>
      </c>
      <c r="DL1157" t="str">
        <f t="shared" si="339"/>
        <v>Energy</v>
      </c>
      <c r="DM1157">
        <f t="shared" si="340"/>
        <v>0</v>
      </c>
      <c r="DN1157">
        <f t="shared" si="341"/>
        <v>0</v>
      </c>
      <c r="DO1157">
        <v>0</v>
      </c>
      <c r="DP1157">
        <v>1</v>
      </c>
      <c r="DQ1157" t="s">
        <v>2148</v>
      </c>
      <c r="DR1157">
        <v>0</v>
      </c>
      <c r="DS1157">
        <v>0</v>
      </c>
      <c r="DT1157">
        <f t="shared" si="371"/>
        <v>1</v>
      </c>
      <c r="DU1157" s="143" t="str">
        <f t="shared" si="359"/>
        <v>external DF used</v>
      </c>
      <c r="DV1157">
        <v>1</v>
      </c>
      <c r="DW1157">
        <v>1</v>
      </c>
      <c r="DX1157">
        <v>1</v>
      </c>
      <c r="DY1157">
        <v>1</v>
      </c>
      <c r="DZ1157">
        <v>1</v>
      </c>
      <c r="EA1157">
        <v>0</v>
      </c>
      <c r="EB1157">
        <v>1</v>
      </c>
      <c r="EC1157">
        <v>1</v>
      </c>
      <c r="ED1157">
        <v>0</v>
      </c>
      <c r="EE1157">
        <v>0</v>
      </c>
      <c r="EF1157">
        <v>1</v>
      </c>
      <c r="EG1157">
        <v>0</v>
      </c>
      <c r="EH1157">
        <v>0</v>
      </c>
      <c r="EI1157" s="2">
        <v>0</v>
      </c>
      <c r="EK1157" t="str">
        <f t="shared" si="342"/>
        <v>Whole sector</v>
      </c>
      <c r="EL1157" t="str">
        <f t="shared" si="343"/>
        <v/>
      </c>
      <c r="EM1157" s="2" t="str">
        <f t="shared" si="358"/>
        <v/>
      </c>
      <c r="EP1157" t="b">
        <f>IF(ISNUMBER(BU1157),IF(ABS(BU1157-[1]QC_indicators!$B$2)&gt;3*[1]QC_indicators!$C$2,"C ratio",IF(ISNUMBER(BY1157),IF(ABS(BY1157-[1]QC_indicators!$B$1)&gt;3*[1]QC_indicators!$C$1,"DF","no"))),IF(ISNUMBER(BY1157),IF(ABS(BY1157-[1]QC_indicators!$B$1)&gt;3*[1]QC_indicators!$C$1,"DF","no")))</f>
        <v>0</v>
      </c>
      <c r="ER1157" s="296" t="s">
        <v>2173</v>
      </c>
      <c r="ET1157" s="266" t="s">
        <v>3409</v>
      </c>
    </row>
    <row r="1158" spans="1:150" ht="15" hidden="1" customHeight="1">
      <c r="A1158" s="1" t="s">
        <v>1362</v>
      </c>
      <c r="B1158" t="s">
        <v>2137</v>
      </c>
      <c r="C1158" t="s">
        <v>2138</v>
      </c>
      <c r="D1158" t="s">
        <v>2139</v>
      </c>
      <c r="E1158" t="s">
        <v>2140</v>
      </c>
      <c r="F1158" t="s">
        <v>2141</v>
      </c>
      <c r="G1158" t="s">
        <v>1368</v>
      </c>
      <c r="H1158" t="s">
        <v>255</v>
      </c>
      <c r="I1158">
        <v>2012</v>
      </c>
      <c r="J1158">
        <v>21</v>
      </c>
      <c r="K1158" t="s">
        <v>2142</v>
      </c>
      <c r="L1158" s="192"/>
      <c r="M1158" t="str">
        <f t="shared" si="362"/>
        <v>Pyorala_2012</v>
      </c>
      <c r="N1158" t="s">
        <v>223</v>
      </c>
      <c r="O1158" s="145" t="s">
        <v>342</v>
      </c>
      <c r="Q1158" s="266" t="s">
        <v>257</v>
      </c>
      <c r="R1158" s="271" t="s">
        <v>1156</v>
      </c>
      <c r="S1158" s="1" t="s">
        <v>2189</v>
      </c>
      <c r="T1158" t="s">
        <v>800</v>
      </c>
      <c r="U1158" t="s">
        <v>2170</v>
      </c>
      <c r="V1158">
        <v>0</v>
      </c>
      <c r="W1158">
        <v>0</v>
      </c>
      <c r="X1158">
        <v>0</v>
      </c>
      <c r="Y1158">
        <v>0</v>
      </c>
      <c r="Z1158">
        <v>0</v>
      </c>
      <c r="AA1158">
        <v>0</v>
      </c>
      <c r="AB1158">
        <v>0</v>
      </c>
      <c r="AC1158">
        <v>0</v>
      </c>
      <c r="AD1158">
        <v>0</v>
      </c>
      <c r="AE1158">
        <v>0</v>
      </c>
      <c r="AF1158">
        <v>0</v>
      </c>
      <c r="AG1158">
        <v>0</v>
      </c>
      <c r="AH1158">
        <v>0</v>
      </c>
      <c r="AI1158">
        <v>0</v>
      </c>
      <c r="AJ1158">
        <v>0</v>
      </c>
      <c r="AK1158">
        <v>1</v>
      </c>
      <c r="AL1158">
        <v>0</v>
      </c>
      <c r="AM1158">
        <v>0</v>
      </c>
      <c r="AN1158">
        <v>0</v>
      </c>
      <c r="AO1158">
        <v>0</v>
      </c>
      <c r="AP1158">
        <v>0</v>
      </c>
      <c r="AQ1158">
        <v>0</v>
      </c>
      <c r="AR1158">
        <v>0</v>
      </c>
      <c r="AS1158">
        <v>0</v>
      </c>
      <c r="AT1158">
        <v>0</v>
      </c>
      <c r="AU1158">
        <v>0</v>
      </c>
      <c r="AV1158">
        <v>0</v>
      </c>
      <c r="AW1158">
        <v>0</v>
      </c>
      <c r="AX1158" s="141">
        <f t="shared" si="379"/>
        <v>1</v>
      </c>
      <c r="AY1158" s="141">
        <f t="shared" si="350"/>
        <v>1</v>
      </c>
      <c r="AZ1158">
        <f t="shared" si="351"/>
        <v>0</v>
      </c>
      <c r="BA1158">
        <f t="shared" si="352"/>
        <v>0</v>
      </c>
      <c r="BB1158">
        <f t="shared" si="353"/>
        <v>1</v>
      </c>
      <c r="BC1158">
        <f t="shared" si="354"/>
        <v>0</v>
      </c>
      <c r="BD1158">
        <f t="shared" si="355"/>
        <v>0</v>
      </c>
      <c r="BE1158" t="str" cm="1">
        <f t="array" ref="BE1158">IF(AY1158=1,INDEX($V$7:$AL$7,MATCH(TRUE,INDEX($V1158:$AW1158&lt;&gt;0,),0)),IF(AY1158=0,INDEX($AM$7:$AW$7,MATCH(1,$AM1158:$AW1158,0)),IF(BF1158="Multiple strategies","mixed drivers",IF(BF1158="Supply chain","multiple supply","multiple silviculture"))))</f>
        <v>technologies/design switch</v>
      </c>
      <c r="BF1158" s="2" t="str" cm="1">
        <f t="array" ref="BF1158">IF(COUNTIF(AZ1158:BB1158,"&lt;&gt;0")=1,INDEX($V$4:$AW$4,MATCH(TRUE,INDEX($V1158:$AW1158&lt;&gt;0,),0)),IF(COUNTIF(AZ1158:BB1158,"&lt;&gt;0")=0,INDEX($AM$4:$AW$4,MATCH(1,$AM1158:$AW1158,0)),"Multiple strategies"))</f>
        <v>Technology</v>
      </c>
      <c r="BH1158" t="s">
        <v>2171</v>
      </c>
      <c r="BN1158" s="143"/>
      <c r="BP1158" s="266" t="s">
        <v>233</v>
      </c>
      <c r="BQ1158" s="266"/>
      <c r="BR1158" t="s">
        <v>2172</v>
      </c>
      <c r="BS1158">
        <v>-157</v>
      </c>
      <c r="BT1158">
        <v>-197</v>
      </c>
      <c r="BU1158" s="144">
        <v>0.57771260997067453</v>
      </c>
      <c r="BV1158">
        <v>144</v>
      </c>
      <c r="BX1158">
        <f t="shared" si="372"/>
        <v>0.14399999999999999</v>
      </c>
      <c r="BY1158" t="str">
        <f t="shared" si="378"/>
        <v/>
      </c>
      <c r="BZ1158">
        <v>0</v>
      </c>
      <c r="CA1158">
        <v>0</v>
      </c>
      <c r="CB1158">
        <v>0</v>
      </c>
      <c r="CC1158">
        <v>0</v>
      </c>
      <c r="CD1158">
        <v>0</v>
      </c>
      <c r="CE1158">
        <v>0</v>
      </c>
      <c r="CF1158">
        <v>0</v>
      </c>
      <c r="CG1158">
        <v>0</v>
      </c>
      <c r="CH1158">
        <v>0</v>
      </c>
      <c r="CI1158">
        <v>0</v>
      </c>
      <c r="CJ1158">
        <v>0</v>
      </c>
      <c r="CK1158">
        <v>0</v>
      </c>
      <c r="CL1158">
        <v>0</v>
      </c>
      <c r="CM1158">
        <v>0</v>
      </c>
      <c r="CN1158" t="str">
        <f t="shared" si="373"/>
        <v>refOK</v>
      </c>
      <c r="CO1158"/>
      <c r="CP1158"/>
      <c r="CQ1158"/>
      <c r="CR1158">
        <f t="shared" si="374"/>
        <v>-157</v>
      </c>
      <c r="CS1158">
        <f t="shared" si="375"/>
        <v>-197</v>
      </c>
      <c r="CT1158">
        <f t="shared" si="376"/>
        <v>0.14399999999999999</v>
      </c>
      <c r="CU1158" t="str">
        <f t="shared" si="365"/>
        <v/>
      </c>
      <c r="CV1158" s="2">
        <f t="shared" si="377"/>
        <v>-0.25477707006369427</v>
      </c>
      <c r="CW1158" s="1" t="s">
        <v>1201</v>
      </c>
      <c r="CX1158" s="266" t="str">
        <f t="shared" si="356"/>
        <v>reg</v>
      </c>
      <c r="CY1158" t="s">
        <v>236</v>
      </c>
      <c r="DB1158">
        <v>80</v>
      </c>
      <c r="DC1158" t="str">
        <f t="shared" si="357"/>
        <v>71-100</v>
      </c>
      <c r="DD1158">
        <v>0</v>
      </c>
      <c r="DE1158">
        <v>1</v>
      </c>
      <c r="DF1158">
        <v>0</v>
      </c>
      <c r="DG1158">
        <v>0</v>
      </c>
      <c r="DI1158">
        <f t="shared" si="366"/>
        <v>1</v>
      </c>
      <c r="DJ1158" t="str">
        <f t="shared" si="363"/>
        <v>EnergyInput</v>
      </c>
      <c r="DK1158">
        <f t="shared" si="338"/>
        <v>0</v>
      </c>
      <c r="DL1158" t="str">
        <f t="shared" si="339"/>
        <v>Energy</v>
      </c>
      <c r="DM1158">
        <f t="shared" si="340"/>
        <v>0</v>
      </c>
      <c r="DN1158">
        <f t="shared" si="341"/>
        <v>0</v>
      </c>
      <c r="DO1158">
        <v>0</v>
      </c>
      <c r="DP1158">
        <v>1</v>
      </c>
      <c r="DQ1158" t="s">
        <v>2148</v>
      </c>
      <c r="DR1158">
        <v>0</v>
      </c>
      <c r="DS1158">
        <v>0</v>
      </c>
      <c r="DT1158">
        <f t="shared" si="371"/>
        <v>1</v>
      </c>
      <c r="DU1158" s="143" t="str">
        <f t="shared" si="359"/>
        <v>external DF used</v>
      </c>
      <c r="DV1158">
        <v>1</v>
      </c>
      <c r="DW1158">
        <v>1</v>
      </c>
      <c r="DX1158">
        <v>1</v>
      </c>
      <c r="DY1158">
        <v>1</v>
      </c>
      <c r="DZ1158">
        <v>1</v>
      </c>
      <c r="EA1158">
        <v>0</v>
      </c>
      <c r="EB1158">
        <v>1</v>
      </c>
      <c r="EC1158">
        <v>1</v>
      </c>
      <c r="ED1158">
        <v>0</v>
      </c>
      <c r="EE1158">
        <v>0</v>
      </c>
      <c r="EF1158">
        <v>1</v>
      </c>
      <c r="EG1158">
        <v>0</v>
      </c>
      <c r="EH1158">
        <v>0</v>
      </c>
      <c r="EI1158" s="2">
        <v>0</v>
      </c>
      <c r="EK1158" t="str">
        <f t="shared" si="342"/>
        <v>Whole sector</v>
      </c>
      <c r="EL1158" t="str">
        <f t="shared" si="343"/>
        <v/>
      </c>
      <c r="EM1158" s="2" t="str">
        <f t="shared" si="358"/>
        <v/>
      </c>
      <c r="EP1158" t="b">
        <f>IF(ISNUMBER(BU1158),IF(ABS(BU1158-[1]QC_indicators!$B$2)&gt;3*[1]QC_indicators!$C$2,"C ratio",IF(ISNUMBER(BY1158),IF(ABS(BY1158-[1]QC_indicators!$B$1)&gt;3*[1]QC_indicators!$C$1,"DF","no"))),IF(ISNUMBER(BY1158),IF(ABS(BY1158-[1]QC_indicators!$B$1)&gt;3*[1]QC_indicators!$C$1,"DF","no")))</f>
        <v>0</v>
      </c>
      <c r="ER1158" s="296" t="s">
        <v>2173</v>
      </c>
      <c r="ET1158" s="266" t="s">
        <v>3409</v>
      </c>
    </row>
    <row r="1159" spans="1:150" ht="15" hidden="1" customHeight="1">
      <c r="A1159" s="1" t="s">
        <v>1362</v>
      </c>
      <c r="B1159" t="s">
        <v>2137</v>
      </c>
      <c r="C1159" t="s">
        <v>2138</v>
      </c>
      <c r="D1159" t="s">
        <v>2139</v>
      </c>
      <c r="E1159" t="s">
        <v>2140</v>
      </c>
      <c r="F1159" t="s">
        <v>2141</v>
      </c>
      <c r="G1159" t="s">
        <v>1368</v>
      </c>
      <c r="H1159" t="s">
        <v>255</v>
      </c>
      <c r="I1159">
        <v>2012</v>
      </c>
      <c r="J1159">
        <v>21</v>
      </c>
      <c r="K1159" t="s">
        <v>2142</v>
      </c>
      <c r="L1159" s="192"/>
      <c r="M1159" t="str">
        <f t="shared" si="362"/>
        <v>Pyorala_2012</v>
      </c>
      <c r="N1159" t="s">
        <v>223</v>
      </c>
      <c r="O1159" s="145" t="s">
        <v>342</v>
      </c>
      <c r="Q1159" s="266" t="s">
        <v>257</v>
      </c>
      <c r="R1159" s="271" t="s">
        <v>1156</v>
      </c>
      <c r="S1159" s="1" t="s">
        <v>2190</v>
      </c>
      <c r="T1159" t="s">
        <v>800</v>
      </c>
      <c r="U1159" t="s">
        <v>2170</v>
      </c>
      <c r="V1159">
        <v>0</v>
      </c>
      <c r="W1159">
        <v>0</v>
      </c>
      <c r="X1159">
        <v>0</v>
      </c>
      <c r="Y1159">
        <v>0</v>
      </c>
      <c r="Z1159">
        <v>0</v>
      </c>
      <c r="AA1159">
        <v>0</v>
      </c>
      <c r="AB1159">
        <v>0</v>
      </c>
      <c r="AC1159">
        <v>0</v>
      </c>
      <c r="AD1159">
        <v>0</v>
      </c>
      <c r="AE1159">
        <v>0</v>
      </c>
      <c r="AF1159">
        <v>0</v>
      </c>
      <c r="AG1159">
        <v>0</v>
      </c>
      <c r="AH1159">
        <v>0</v>
      </c>
      <c r="AI1159">
        <v>0</v>
      </c>
      <c r="AJ1159">
        <v>0</v>
      </c>
      <c r="AK1159">
        <v>1</v>
      </c>
      <c r="AL1159">
        <v>0</v>
      </c>
      <c r="AM1159">
        <v>0</v>
      </c>
      <c r="AN1159">
        <v>0</v>
      </c>
      <c r="AO1159">
        <v>0</v>
      </c>
      <c r="AP1159">
        <v>0</v>
      </c>
      <c r="AQ1159">
        <v>0</v>
      </c>
      <c r="AR1159">
        <v>0</v>
      </c>
      <c r="AS1159">
        <v>0</v>
      </c>
      <c r="AT1159">
        <v>0</v>
      </c>
      <c r="AU1159">
        <v>0</v>
      </c>
      <c r="AV1159">
        <v>0</v>
      </c>
      <c r="AW1159">
        <v>0</v>
      </c>
      <c r="AX1159" s="141">
        <f t="shared" si="379"/>
        <v>1</v>
      </c>
      <c r="AY1159" s="141">
        <f t="shared" si="350"/>
        <v>1</v>
      </c>
      <c r="AZ1159">
        <f t="shared" si="351"/>
        <v>0</v>
      </c>
      <c r="BA1159">
        <f t="shared" si="352"/>
        <v>0</v>
      </c>
      <c r="BB1159">
        <f t="shared" si="353"/>
        <v>1</v>
      </c>
      <c r="BC1159">
        <f t="shared" si="354"/>
        <v>0</v>
      </c>
      <c r="BD1159">
        <f t="shared" si="355"/>
        <v>0</v>
      </c>
      <c r="BE1159" t="str" cm="1">
        <f t="array" ref="BE1159">IF(AY1159=1,INDEX($V$7:$AL$7,MATCH(TRUE,INDEX($V1159:$AW1159&lt;&gt;0,),0)),IF(AY1159=0,INDEX($AM$7:$AW$7,MATCH(1,$AM1159:$AW1159,0)),IF(BF1159="Multiple strategies","mixed drivers",IF(BF1159="Supply chain","multiple supply","multiple silviculture"))))</f>
        <v>technologies/design switch</v>
      </c>
      <c r="BF1159" s="2" t="str" cm="1">
        <f t="array" ref="BF1159">IF(COUNTIF(AZ1159:BB1159,"&lt;&gt;0")=1,INDEX($V$4:$AW$4,MATCH(TRUE,INDEX($V1159:$AW1159&lt;&gt;0,),0)),IF(COUNTIF(AZ1159:BB1159,"&lt;&gt;0")=0,INDEX($AM$4:$AW$4,MATCH(1,$AM1159:$AW1159,0)),"Multiple strategies"))</f>
        <v>Technology</v>
      </c>
      <c r="BH1159" t="s">
        <v>2171</v>
      </c>
      <c r="BN1159" s="143"/>
      <c r="BP1159" s="266" t="s">
        <v>233</v>
      </c>
      <c r="BQ1159" s="266"/>
      <c r="BR1159" t="s">
        <v>2172</v>
      </c>
      <c r="BS1159">
        <v>-157</v>
      </c>
      <c r="BT1159">
        <v>-242</v>
      </c>
      <c r="BU1159" s="144">
        <v>0.70967741935483875</v>
      </c>
      <c r="BV1159">
        <v>99</v>
      </c>
      <c r="BX1159">
        <f t="shared" si="372"/>
        <v>9.9000000000000005E-2</v>
      </c>
      <c r="BY1159" t="str">
        <f t="shared" si="378"/>
        <v/>
      </c>
      <c r="BZ1159">
        <v>0</v>
      </c>
      <c r="CA1159">
        <v>0</v>
      </c>
      <c r="CB1159">
        <v>0</v>
      </c>
      <c r="CC1159">
        <v>0</v>
      </c>
      <c r="CD1159">
        <v>0</v>
      </c>
      <c r="CE1159">
        <v>0</v>
      </c>
      <c r="CF1159">
        <v>0</v>
      </c>
      <c r="CG1159">
        <v>0</v>
      </c>
      <c r="CH1159">
        <v>0</v>
      </c>
      <c r="CI1159">
        <v>0</v>
      </c>
      <c r="CJ1159">
        <v>0</v>
      </c>
      <c r="CK1159">
        <v>0</v>
      </c>
      <c r="CL1159">
        <v>0</v>
      </c>
      <c r="CM1159">
        <v>0</v>
      </c>
      <c r="CN1159" t="str">
        <f t="shared" si="373"/>
        <v>refOK</v>
      </c>
      <c r="CO1159"/>
      <c r="CP1159"/>
      <c r="CQ1159"/>
      <c r="CR1159">
        <f t="shared" si="374"/>
        <v>-157</v>
      </c>
      <c r="CS1159">
        <f t="shared" si="375"/>
        <v>-242</v>
      </c>
      <c r="CT1159">
        <f t="shared" si="376"/>
        <v>9.9000000000000005E-2</v>
      </c>
      <c r="CU1159" t="str">
        <f t="shared" si="365"/>
        <v/>
      </c>
      <c r="CV1159" s="2">
        <f t="shared" si="377"/>
        <v>-0.54140127388535031</v>
      </c>
      <c r="CW1159" s="1" t="s">
        <v>1201</v>
      </c>
      <c r="CX1159" s="266" t="str">
        <f t="shared" si="356"/>
        <v>reg</v>
      </c>
      <c r="CY1159" t="s">
        <v>236</v>
      </c>
      <c r="DB1159">
        <v>80</v>
      </c>
      <c r="DC1159" t="str">
        <f t="shared" si="357"/>
        <v>71-100</v>
      </c>
      <c r="DD1159">
        <v>0</v>
      </c>
      <c r="DE1159">
        <v>1</v>
      </c>
      <c r="DF1159">
        <v>0</v>
      </c>
      <c r="DG1159">
        <v>0</v>
      </c>
      <c r="DI1159">
        <f t="shared" si="366"/>
        <v>1</v>
      </c>
      <c r="DJ1159" t="str">
        <f t="shared" si="363"/>
        <v>EnergyInput</v>
      </c>
      <c r="DK1159">
        <f t="shared" si="338"/>
        <v>0</v>
      </c>
      <c r="DL1159" t="str">
        <f t="shared" si="339"/>
        <v>Energy</v>
      </c>
      <c r="DM1159">
        <f t="shared" si="340"/>
        <v>0</v>
      </c>
      <c r="DN1159">
        <f t="shared" si="341"/>
        <v>0</v>
      </c>
      <c r="DO1159">
        <v>0</v>
      </c>
      <c r="DP1159">
        <v>1</v>
      </c>
      <c r="DQ1159" t="s">
        <v>2148</v>
      </c>
      <c r="DR1159">
        <v>0</v>
      </c>
      <c r="DS1159">
        <v>0</v>
      </c>
      <c r="DT1159">
        <f t="shared" si="371"/>
        <v>1</v>
      </c>
      <c r="DU1159" s="143" t="str">
        <f t="shared" si="359"/>
        <v>external DF used</v>
      </c>
      <c r="DV1159">
        <v>1</v>
      </c>
      <c r="DW1159">
        <v>1</v>
      </c>
      <c r="DX1159">
        <v>1</v>
      </c>
      <c r="DY1159">
        <v>1</v>
      </c>
      <c r="DZ1159">
        <v>1</v>
      </c>
      <c r="EA1159">
        <v>0</v>
      </c>
      <c r="EB1159">
        <v>1</v>
      </c>
      <c r="EC1159">
        <v>1</v>
      </c>
      <c r="ED1159">
        <v>0</v>
      </c>
      <c r="EE1159">
        <v>0</v>
      </c>
      <c r="EF1159">
        <v>1</v>
      </c>
      <c r="EG1159">
        <v>0</v>
      </c>
      <c r="EH1159">
        <v>0</v>
      </c>
      <c r="EI1159" s="2">
        <v>0</v>
      </c>
      <c r="EK1159" t="str">
        <f t="shared" si="342"/>
        <v>Whole sector</v>
      </c>
      <c r="EL1159" t="str">
        <f t="shared" si="343"/>
        <v/>
      </c>
      <c r="EM1159" s="2" t="str">
        <f t="shared" si="358"/>
        <v/>
      </c>
      <c r="EP1159" t="b">
        <f>IF(ISNUMBER(BU1159),IF(ABS(BU1159-[1]QC_indicators!$B$2)&gt;3*[1]QC_indicators!$C$2,"C ratio",IF(ISNUMBER(BY1159),IF(ABS(BY1159-[1]QC_indicators!$B$1)&gt;3*[1]QC_indicators!$C$1,"DF","no"))),IF(ISNUMBER(BY1159),IF(ABS(BY1159-[1]QC_indicators!$B$1)&gt;3*[1]QC_indicators!$C$1,"DF","no")))</f>
        <v>0</v>
      </c>
      <c r="ER1159" s="296" t="s">
        <v>2173</v>
      </c>
      <c r="ET1159" s="266" t="s">
        <v>3409</v>
      </c>
    </row>
    <row r="1160" spans="1:150" ht="15" hidden="1" customHeight="1">
      <c r="D1160" t="s">
        <v>759</v>
      </c>
      <c r="E1160" t="s">
        <v>760</v>
      </c>
      <c r="G1160" t="s">
        <v>761</v>
      </c>
      <c r="I1160">
        <v>2006</v>
      </c>
      <c r="K1160" s="298" t="s">
        <v>762</v>
      </c>
      <c r="M1160" t="str">
        <f t="shared" si="362"/>
        <v>Gustavsson_2006</v>
      </c>
      <c r="N1160" t="s">
        <v>223</v>
      </c>
      <c r="O1160" t="s">
        <v>224</v>
      </c>
      <c r="Q1160" s="266" t="s">
        <v>257</v>
      </c>
      <c r="R1160" s="271" t="s">
        <v>1156</v>
      </c>
      <c r="S1160" s="265" t="s">
        <v>768</v>
      </c>
      <c r="T1160" t="s">
        <v>755</v>
      </c>
      <c r="U1160" s="143" t="s">
        <v>756</v>
      </c>
      <c r="V1160">
        <v>0</v>
      </c>
      <c r="W1160">
        <v>0</v>
      </c>
      <c r="X1160">
        <v>0</v>
      </c>
      <c r="Y1160">
        <v>0</v>
      </c>
      <c r="Z1160">
        <v>0</v>
      </c>
      <c r="AA1160">
        <v>0</v>
      </c>
      <c r="AB1160">
        <v>0</v>
      </c>
      <c r="AC1160">
        <v>0</v>
      </c>
      <c r="AD1160">
        <v>0</v>
      </c>
      <c r="AE1160">
        <v>0</v>
      </c>
      <c r="AF1160">
        <v>0</v>
      </c>
      <c r="AG1160">
        <v>0</v>
      </c>
      <c r="AH1160">
        <v>0</v>
      </c>
      <c r="AI1160">
        <v>0</v>
      </c>
      <c r="AJ1160">
        <v>0</v>
      </c>
      <c r="AK1160">
        <v>1</v>
      </c>
      <c r="AL1160">
        <v>0</v>
      </c>
      <c r="AM1160">
        <v>0</v>
      </c>
      <c r="AN1160">
        <v>0</v>
      </c>
      <c r="AO1160">
        <v>0</v>
      </c>
      <c r="AP1160">
        <v>0</v>
      </c>
      <c r="AQ1160">
        <v>0</v>
      </c>
      <c r="AR1160">
        <v>0</v>
      </c>
      <c r="AS1160">
        <v>0</v>
      </c>
      <c r="AT1160">
        <v>0</v>
      </c>
      <c r="AU1160">
        <v>0</v>
      </c>
      <c r="AV1160">
        <v>0</v>
      </c>
      <c r="AW1160">
        <v>0</v>
      </c>
      <c r="AX1160" s="141">
        <f t="shared" si="379"/>
        <v>1</v>
      </c>
      <c r="AY1160" s="141">
        <f t="shared" si="350"/>
        <v>1</v>
      </c>
      <c r="AZ1160">
        <f t="shared" si="351"/>
        <v>0</v>
      </c>
      <c r="BA1160">
        <f t="shared" si="352"/>
        <v>0</v>
      </c>
      <c r="BB1160">
        <f t="shared" si="353"/>
        <v>1</v>
      </c>
      <c r="BC1160">
        <f t="shared" si="354"/>
        <v>0</v>
      </c>
      <c r="BD1160">
        <f t="shared" si="355"/>
        <v>0</v>
      </c>
      <c r="BE1160" t="str" cm="1">
        <f t="array" ref="BE1160">IF(AY1160=1,INDEX($V$7:$AL$7,MATCH(TRUE,INDEX($V1160:$AW1160&lt;&gt;0,),0)),IF(AY1160=0,INDEX($AM$7:$AW$7,MATCH(1,$AM1160:$AW1160,0)),IF(BF1160="Multiple strategies","mixed drivers",IF(BF1160="Supply chain","multiple supply","multiple silviculture"))))</f>
        <v>technologies/design switch</v>
      </c>
      <c r="BF1160" s="2" t="str" cm="1">
        <f t="array" ref="BF1160">IF(COUNTIF(AZ1160:BB1160,"&lt;&gt;0")=1,INDEX($V$4:$AW$4,MATCH(TRUE,INDEX($V1160:$AW1160&lt;&gt;0,),0)),IF(COUNTIF(AZ1160:BB1160,"&lt;&gt;0")=0,INDEX($AM$4:$AW$4,MATCH(1,$AM1160:$AW1160,0)),"Multiple strategies"))</f>
        <v>Technology</v>
      </c>
      <c r="BG1160" s="142" t="s">
        <v>230</v>
      </c>
      <c r="BH1160" t="s">
        <v>394</v>
      </c>
      <c r="BI1160" s="266" t="s">
        <v>764</v>
      </c>
      <c r="BJ1160" s="143" t="s">
        <v>765</v>
      </c>
      <c r="BK1160">
        <v>325</v>
      </c>
      <c r="BL1160" s="143">
        <v>428</v>
      </c>
      <c r="BM1160" s="143"/>
      <c r="BN1160">
        <f t="shared" ref="BN1160:BN1177" si="380">BL1160-BK1160</f>
        <v>103</v>
      </c>
      <c r="BO1160" s="143">
        <f>BN1160*t_to_m3</f>
        <v>210.20408163265307</v>
      </c>
      <c r="BP1160" s="266" t="s">
        <v>233</v>
      </c>
      <c r="BQ1160" s="155" t="s">
        <v>766</v>
      </c>
      <c r="BR1160" t="s">
        <v>443</v>
      </c>
      <c r="BS1160" s="143">
        <v>35.299999999999997</v>
      </c>
      <c r="BT1160" s="151">
        <v>76.2</v>
      </c>
      <c r="BV1160">
        <f>BT1160-BS1160</f>
        <v>40.900000000000006</v>
      </c>
      <c r="BX1160">
        <f>BV1160*C_to_CO2</f>
        <v>150.10300000000001</v>
      </c>
      <c r="BY1160">
        <f t="shared" si="378"/>
        <v>0.71408223300970874</v>
      </c>
      <c r="BZ1160" s="143">
        <v>0</v>
      </c>
      <c r="CA1160" s="143">
        <v>0</v>
      </c>
      <c r="CB1160" s="143">
        <v>0</v>
      </c>
      <c r="CC1160" s="143">
        <v>0</v>
      </c>
      <c r="CD1160" s="143">
        <v>0</v>
      </c>
      <c r="CE1160" s="143">
        <v>0</v>
      </c>
      <c r="CF1160" s="143">
        <v>0</v>
      </c>
      <c r="CG1160" s="143">
        <v>0</v>
      </c>
      <c r="CH1160" s="143">
        <v>0</v>
      </c>
      <c r="CI1160" s="143">
        <v>0</v>
      </c>
      <c r="CJ1160" s="143">
        <v>0</v>
      </c>
      <c r="CK1160" s="143">
        <v>0</v>
      </c>
      <c r="CL1160" s="143">
        <v>0</v>
      </c>
      <c r="CM1160">
        <v>0</v>
      </c>
      <c r="CN1160" t="str">
        <f t="shared" ref="CN1160:CN1177" si="381">IF($BL1160&lt;$BK1160,"refNeedCorrection","refOK")</f>
        <v>refOK</v>
      </c>
      <c r="CO1160">
        <f>IF($CN1160="refOK",$BK1160,$BL1160)</f>
        <v>325</v>
      </c>
      <c r="CP1160">
        <f>IF($CN1160="refOK",$BL1160,$BK1160)</f>
        <v>428</v>
      </c>
      <c r="CQ1160">
        <f t="shared" ref="CQ1160:CQ1177" si="382">IF($CN1160="refOK",$BO1160,-$BO1160)</f>
        <v>210.20408163265307</v>
      </c>
      <c r="CR1160">
        <f t="shared" si="374"/>
        <v>35.299999999999997</v>
      </c>
      <c r="CS1160">
        <f t="shared" si="375"/>
        <v>76.2</v>
      </c>
      <c r="CT1160">
        <f t="shared" si="376"/>
        <v>150.10300000000001</v>
      </c>
      <c r="CU1160">
        <f t="shared" si="365"/>
        <v>0.71408223300970874</v>
      </c>
      <c r="CV1160" s="2">
        <f t="shared" si="377"/>
        <v>1.1586402266288955</v>
      </c>
      <c r="CW1160" s="1" t="s">
        <v>264</v>
      </c>
      <c r="CX1160" s="266" t="str">
        <f t="shared" si="356"/>
        <v>loc</v>
      </c>
      <c r="CY1160" t="s">
        <v>236</v>
      </c>
      <c r="DA1160" s="143"/>
      <c r="DB1160" s="143">
        <v>100</v>
      </c>
      <c r="DC1160" t="str">
        <f t="shared" si="357"/>
        <v>71-100</v>
      </c>
      <c r="DD1160">
        <v>0</v>
      </c>
      <c r="DE1160">
        <v>0</v>
      </c>
      <c r="DF1160">
        <v>0</v>
      </c>
      <c r="DG1160">
        <v>1</v>
      </c>
      <c r="DI1160">
        <f t="shared" si="366"/>
        <v>1</v>
      </c>
      <c r="DJ1160" t="str">
        <f t="shared" si="363"/>
        <v>TimberInput</v>
      </c>
      <c r="DK1160">
        <f t="shared" ref="DK1160:DK1223" si="383">IF(DD1160=1,DK$7,0)</f>
        <v>0</v>
      </c>
      <c r="DL1160">
        <f t="shared" ref="DL1160:DL1223" si="384">IF(DE1160=1,DL$7,0)</f>
        <v>0</v>
      </c>
      <c r="DM1160">
        <f t="shared" ref="DM1160:DM1223" si="385">IF(DF1160=1,DM$7,0)</f>
        <v>0</v>
      </c>
      <c r="DN1160" t="str">
        <f t="shared" ref="DN1160:DN1223" si="386">IF(DG1160=1,DN$7,0)</f>
        <v>Timber</v>
      </c>
      <c r="DO1160">
        <v>1</v>
      </c>
      <c r="DP1160" s="143">
        <v>0</v>
      </c>
      <c r="DQ1160" s="143">
        <v>0</v>
      </c>
      <c r="DR1160">
        <v>0</v>
      </c>
      <c r="DS1160" s="143">
        <v>0</v>
      </c>
      <c r="DT1160">
        <f t="shared" si="371"/>
        <v>1</v>
      </c>
      <c r="DU1160" s="143" t="str">
        <f t="shared" si="359"/>
        <v>self-calculated DF</v>
      </c>
      <c r="DV1160" s="143">
        <v>0</v>
      </c>
      <c r="DW1160" s="143">
        <v>0</v>
      </c>
      <c r="DX1160" s="143">
        <v>0</v>
      </c>
      <c r="DY1160" s="143">
        <v>1</v>
      </c>
      <c r="DZ1160">
        <v>0</v>
      </c>
      <c r="EA1160" s="143">
        <v>1</v>
      </c>
      <c r="EB1160" s="143">
        <v>1</v>
      </c>
      <c r="EC1160" s="143">
        <v>1</v>
      </c>
      <c r="ED1160" s="143">
        <v>0</v>
      </c>
      <c r="EE1160">
        <v>0</v>
      </c>
      <c r="EF1160">
        <v>0</v>
      </c>
      <c r="EG1160" s="143">
        <v>0</v>
      </c>
      <c r="EH1160" s="143">
        <v>0</v>
      </c>
      <c r="EI1160" s="2">
        <v>0</v>
      </c>
      <c r="EK1160" t="str">
        <f t="shared" ref="EK1160:EK1223" si="387">IF(AND(AND(AND(OR($DX1160=1,$DW1160=1),OR($EC1160=1,$EA1160=1)),SUM($DV1160:$DZ1160,$EF1160)&gt;=4),SUM($EA1160:$EE1160)&gt;=2),"Whole sector","")</f>
        <v/>
      </c>
      <c r="EL1160" t="str">
        <f t="shared" ref="EL1160:EL1223" si="388">IF(AND(AND(OR($DX1160=1,$DW1160=1),AND($EC1160=0,$EA1160=0)),SUM($DV1160:$DZ1160,$EF1160)&gt;=4),"Ecosystem approach","")</f>
        <v/>
      </c>
      <c r="EM1160" s="2" t="str">
        <f t="shared" si="358"/>
        <v>Technology approach</v>
      </c>
      <c r="EN1160" t="s">
        <v>771</v>
      </c>
      <c r="EP1160" t="str">
        <f>IF(ISNUMBER(BU1160),IF(ABS(BU1160-[1]QC_indicators!$B$2)&gt;3*[1]QC_indicators!$C$2,"C ratio",IF(ISNUMBER(BY1160),IF(ABS(BY1160-[1]QC_indicators!$B$1)&gt;3*[1]QC_indicators!$C$1,"DF","no"))),IF(ISNUMBER(BY1160),IF(ABS(BY1160-[1]QC_indicators!$B$1)&gt;3*[1]QC_indicators!$C$1,"DF","no")))</f>
        <v>no</v>
      </c>
      <c r="EQ1160" t="s">
        <v>287</v>
      </c>
      <c r="ER1160" s="296" t="s">
        <v>350</v>
      </c>
      <c r="ET1160" s="266" t="s">
        <v>3409</v>
      </c>
    </row>
    <row r="1161" spans="1:150" ht="15" hidden="1" customHeight="1">
      <c r="D1161" t="s">
        <v>759</v>
      </c>
      <c r="E1161" t="s">
        <v>760</v>
      </c>
      <c r="G1161" t="s">
        <v>761</v>
      </c>
      <c r="I1161">
        <v>2006</v>
      </c>
      <c r="K1161" s="298" t="s">
        <v>762</v>
      </c>
      <c r="M1161" t="str">
        <f t="shared" si="362"/>
        <v>Gustavsson_2006</v>
      </c>
      <c r="N1161" t="s">
        <v>223</v>
      </c>
      <c r="O1161" t="s">
        <v>224</v>
      </c>
      <c r="Q1161" s="266" t="s">
        <v>257</v>
      </c>
      <c r="R1161" s="271" t="s">
        <v>1156</v>
      </c>
      <c r="S1161" s="265" t="s">
        <v>774</v>
      </c>
      <c r="T1161" t="s">
        <v>755</v>
      </c>
      <c r="U1161" s="143" t="s">
        <v>756</v>
      </c>
      <c r="V1161">
        <v>0</v>
      </c>
      <c r="W1161">
        <v>0</v>
      </c>
      <c r="X1161">
        <v>0</v>
      </c>
      <c r="Y1161">
        <v>0</v>
      </c>
      <c r="Z1161">
        <v>0</v>
      </c>
      <c r="AA1161">
        <v>0</v>
      </c>
      <c r="AB1161">
        <v>0</v>
      </c>
      <c r="AC1161">
        <v>0</v>
      </c>
      <c r="AD1161">
        <v>0</v>
      </c>
      <c r="AE1161">
        <v>0</v>
      </c>
      <c r="AF1161">
        <v>0</v>
      </c>
      <c r="AG1161">
        <v>0</v>
      </c>
      <c r="AH1161">
        <v>0</v>
      </c>
      <c r="AI1161">
        <v>0</v>
      </c>
      <c r="AJ1161">
        <v>0</v>
      </c>
      <c r="AK1161">
        <v>1</v>
      </c>
      <c r="AL1161">
        <v>0</v>
      </c>
      <c r="AM1161">
        <v>0</v>
      </c>
      <c r="AN1161">
        <v>0</v>
      </c>
      <c r="AO1161">
        <v>0</v>
      </c>
      <c r="AP1161">
        <v>0</v>
      </c>
      <c r="AQ1161">
        <v>0</v>
      </c>
      <c r="AR1161">
        <v>0</v>
      </c>
      <c r="AS1161">
        <v>0</v>
      </c>
      <c r="AT1161">
        <v>0</v>
      </c>
      <c r="AU1161">
        <v>0</v>
      </c>
      <c r="AV1161">
        <v>0</v>
      </c>
      <c r="AW1161">
        <v>0</v>
      </c>
      <c r="AX1161" s="141">
        <f t="shared" si="379"/>
        <v>1</v>
      </c>
      <c r="AY1161" s="141">
        <f t="shared" si="350"/>
        <v>1</v>
      </c>
      <c r="AZ1161">
        <f t="shared" si="351"/>
        <v>0</v>
      </c>
      <c r="BA1161">
        <f t="shared" si="352"/>
        <v>0</v>
      </c>
      <c r="BB1161">
        <f t="shared" si="353"/>
        <v>1</v>
      </c>
      <c r="BC1161">
        <f t="shared" si="354"/>
        <v>0</v>
      </c>
      <c r="BD1161">
        <f t="shared" si="355"/>
        <v>0</v>
      </c>
      <c r="BE1161" t="str" cm="1">
        <f t="array" ref="BE1161">IF(AY1161=1,INDEX($V$7:$AL$7,MATCH(TRUE,INDEX($V1161:$AW1161&lt;&gt;0,),0)),IF(AY1161=0,INDEX($AM$7:$AW$7,MATCH(1,$AM1161:$AW1161,0)),IF(BF1161="Multiple strategies","mixed drivers",IF(BF1161="Supply chain","multiple supply","multiple silviculture"))))</f>
        <v>technologies/design switch</v>
      </c>
      <c r="BF1161" s="2" t="str" cm="1">
        <f t="array" ref="BF1161">IF(COUNTIF(AZ1161:BB1161,"&lt;&gt;0")=1,INDEX($V$4:$AW$4,MATCH(TRUE,INDEX($V1161:$AW1161&lt;&gt;0,),0)),IF(COUNTIF(AZ1161:BB1161,"&lt;&gt;0")=0,INDEX($AM$4:$AW$4,MATCH(1,$AM1161:$AW1161,0)),"Multiple strategies"))</f>
        <v>Technology</v>
      </c>
      <c r="BG1161" s="142" t="s">
        <v>230</v>
      </c>
      <c r="BH1161" t="s">
        <v>394</v>
      </c>
      <c r="BI1161" s="266" t="s">
        <v>764</v>
      </c>
      <c r="BJ1161" s="143" t="s">
        <v>765</v>
      </c>
      <c r="BK1161">
        <v>266</v>
      </c>
      <c r="BL1161" s="143">
        <v>291</v>
      </c>
      <c r="BM1161" s="143"/>
      <c r="BN1161">
        <f t="shared" si="380"/>
        <v>25</v>
      </c>
      <c r="BO1161" s="143">
        <f>BN1161*t_to_m3</f>
        <v>51.020408163265309</v>
      </c>
      <c r="BP1161" s="266" t="s">
        <v>233</v>
      </c>
      <c r="BQ1161" s="155" t="s">
        <v>766</v>
      </c>
      <c r="BR1161" t="s">
        <v>443</v>
      </c>
      <c r="BS1161" s="143">
        <v>7.2</v>
      </c>
      <c r="BT1161" s="151">
        <v>41.4</v>
      </c>
      <c r="BV1161">
        <f>BT1161-BS1161</f>
        <v>34.199999999999996</v>
      </c>
      <c r="BX1161">
        <f>BV1161*C_to_CO2</f>
        <v>125.51399999999998</v>
      </c>
      <c r="BY1161">
        <f t="shared" si="378"/>
        <v>2.4600743999999994</v>
      </c>
      <c r="BZ1161" s="143">
        <v>0</v>
      </c>
      <c r="CA1161" s="143">
        <v>0</v>
      </c>
      <c r="CB1161" s="143">
        <v>0</v>
      </c>
      <c r="CC1161" s="143">
        <v>0</v>
      </c>
      <c r="CD1161" s="143">
        <v>0</v>
      </c>
      <c r="CE1161" s="143">
        <v>0</v>
      </c>
      <c r="CF1161" s="143">
        <v>0</v>
      </c>
      <c r="CG1161" s="143">
        <v>0</v>
      </c>
      <c r="CH1161" s="143">
        <v>0</v>
      </c>
      <c r="CI1161" s="143">
        <v>0</v>
      </c>
      <c r="CJ1161" s="143">
        <v>0</v>
      </c>
      <c r="CK1161" s="143">
        <v>0</v>
      </c>
      <c r="CL1161" s="143">
        <v>0</v>
      </c>
      <c r="CM1161">
        <v>0</v>
      </c>
      <c r="CN1161" t="str">
        <f t="shared" si="381"/>
        <v>refOK</v>
      </c>
      <c r="CO1161">
        <f>IF($CN1161="refOK",$BK1161,$BL1161)</f>
        <v>266</v>
      </c>
      <c r="CP1161">
        <f>IF($CN1161="refOK",$BL1161,$BK1161)</f>
        <v>291</v>
      </c>
      <c r="CQ1161">
        <f t="shared" si="382"/>
        <v>51.020408163265309</v>
      </c>
      <c r="CR1161">
        <f t="shared" si="374"/>
        <v>7.2</v>
      </c>
      <c r="CS1161">
        <f t="shared" si="375"/>
        <v>41.4</v>
      </c>
      <c r="CT1161">
        <f t="shared" si="376"/>
        <v>125.51399999999998</v>
      </c>
      <c r="CU1161">
        <f t="shared" si="365"/>
        <v>2.4600743999999994</v>
      </c>
      <c r="CV1161" s="2">
        <f t="shared" si="377"/>
        <v>4.7499999999999991</v>
      </c>
      <c r="CW1161" s="1" t="s">
        <v>264</v>
      </c>
      <c r="CX1161" s="266" t="str">
        <f t="shared" si="356"/>
        <v>loc</v>
      </c>
      <c r="CY1161" t="s">
        <v>445</v>
      </c>
      <c r="DA1161" s="143"/>
      <c r="DB1161" s="143">
        <v>100</v>
      </c>
      <c r="DC1161" t="str">
        <f t="shared" si="357"/>
        <v>71-100</v>
      </c>
      <c r="DD1161">
        <v>0</v>
      </c>
      <c r="DE1161">
        <v>0</v>
      </c>
      <c r="DF1161">
        <v>0</v>
      </c>
      <c r="DG1161">
        <v>1</v>
      </c>
      <c r="DI1161">
        <f t="shared" si="366"/>
        <v>1</v>
      </c>
      <c r="DJ1161" t="str">
        <f t="shared" si="363"/>
        <v>TimberInput</v>
      </c>
      <c r="DK1161">
        <f t="shared" si="383"/>
        <v>0</v>
      </c>
      <c r="DL1161">
        <f t="shared" si="384"/>
        <v>0</v>
      </c>
      <c r="DM1161">
        <f t="shared" si="385"/>
        <v>0</v>
      </c>
      <c r="DN1161" t="str">
        <f t="shared" si="386"/>
        <v>Timber</v>
      </c>
      <c r="DO1161">
        <v>1</v>
      </c>
      <c r="DP1161" s="143">
        <v>0</v>
      </c>
      <c r="DQ1161" s="143">
        <v>0</v>
      </c>
      <c r="DR1161">
        <v>0</v>
      </c>
      <c r="DS1161" s="143">
        <v>0</v>
      </c>
      <c r="DT1161">
        <f t="shared" si="371"/>
        <v>1</v>
      </c>
      <c r="DU1161" s="143" t="str">
        <f t="shared" si="359"/>
        <v>self-calculated DF</v>
      </c>
      <c r="DV1161" s="143">
        <v>0</v>
      </c>
      <c r="DW1161" s="143">
        <v>0</v>
      </c>
      <c r="DX1161" s="143">
        <v>0</v>
      </c>
      <c r="DY1161" s="143">
        <v>1</v>
      </c>
      <c r="DZ1161">
        <v>0</v>
      </c>
      <c r="EA1161" s="143">
        <v>1</v>
      </c>
      <c r="EB1161" s="143">
        <v>1</v>
      </c>
      <c r="EC1161" s="143">
        <v>1</v>
      </c>
      <c r="ED1161" s="143">
        <v>0</v>
      </c>
      <c r="EE1161">
        <v>0</v>
      </c>
      <c r="EF1161">
        <v>0</v>
      </c>
      <c r="EG1161" s="143">
        <v>0</v>
      </c>
      <c r="EH1161" s="143">
        <v>0</v>
      </c>
      <c r="EI1161" s="2">
        <v>0</v>
      </c>
      <c r="EK1161" t="str">
        <f t="shared" si="387"/>
        <v/>
      </c>
      <c r="EL1161" t="str">
        <f t="shared" si="388"/>
        <v/>
      </c>
      <c r="EM1161" s="2" t="str">
        <f t="shared" si="358"/>
        <v>Technology approach</v>
      </c>
      <c r="EN1161" t="s">
        <v>771</v>
      </c>
      <c r="EP1161" t="str">
        <f>IF(ISNUMBER(BU1161),IF(ABS(BU1161-[1]QC_indicators!$B$2)&gt;3*[1]QC_indicators!$C$2,"C ratio",IF(ISNUMBER(BY1161),IF(ABS(BY1161-[1]QC_indicators!$B$1)&gt;3*[1]QC_indicators!$C$1,"DF","no"))),IF(ISNUMBER(BY1161),IF(ABS(BY1161-[1]QC_indicators!$B$1)&gt;3*[1]QC_indicators!$C$1,"DF","no")))</f>
        <v>no</v>
      </c>
      <c r="EQ1161" t="s">
        <v>287</v>
      </c>
      <c r="ER1161" s="296" t="s">
        <v>350</v>
      </c>
      <c r="ET1161" s="266" t="s">
        <v>3409</v>
      </c>
    </row>
    <row r="1162" spans="1:150" ht="15" hidden="1" customHeight="1">
      <c r="D1162" t="s">
        <v>965</v>
      </c>
      <c r="E1162" t="s">
        <v>990</v>
      </c>
      <c r="G1162" t="s">
        <v>695</v>
      </c>
      <c r="I1162">
        <v>2003</v>
      </c>
      <c r="K1162" s="297" t="s">
        <v>991</v>
      </c>
      <c r="M1162" t="str">
        <f t="shared" si="362"/>
        <v>Petersen_2003</v>
      </c>
      <c r="N1162" t="s">
        <v>223</v>
      </c>
      <c r="O1162" s="171" t="s">
        <v>514</v>
      </c>
      <c r="P1162" s="141" t="s">
        <v>226</v>
      </c>
      <c r="Q1162" s="266" t="s">
        <v>390</v>
      </c>
      <c r="R1162" s="271" t="s">
        <v>1156</v>
      </c>
      <c r="S1162" s="1" t="s">
        <v>1000</v>
      </c>
      <c r="T1162" s="266" t="s">
        <v>1001</v>
      </c>
      <c r="U1162" s="266" t="s">
        <v>1002</v>
      </c>
      <c r="V1162">
        <v>0</v>
      </c>
      <c r="W1162">
        <v>0</v>
      </c>
      <c r="X1162">
        <v>0</v>
      </c>
      <c r="Y1162">
        <v>0</v>
      </c>
      <c r="Z1162">
        <v>0</v>
      </c>
      <c r="AA1162">
        <v>0</v>
      </c>
      <c r="AB1162">
        <v>0</v>
      </c>
      <c r="AC1162">
        <v>0</v>
      </c>
      <c r="AD1162">
        <v>0</v>
      </c>
      <c r="AE1162">
        <v>0</v>
      </c>
      <c r="AF1162">
        <v>0</v>
      </c>
      <c r="AG1162">
        <v>0</v>
      </c>
      <c r="AH1162">
        <v>0</v>
      </c>
      <c r="AI1162">
        <v>0</v>
      </c>
      <c r="AJ1162">
        <v>0</v>
      </c>
      <c r="AK1162">
        <v>1</v>
      </c>
      <c r="AL1162">
        <v>0</v>
      </c>
      <c r="AM1162">
        <v>0</v>
      </c>
      <c r="AN1162">
        <v>0</v>
      </c>
      <c r="AO1162">
        <v>0</v>
      </c>
      <c r="AP1162">
        <v>0</v>
      </c>
      <c r="AQ1162">
        <v>0</v>
      </c>
      <c r="AR1162">
        <v>0</v>
      </c>
      <c r="AS1162">
        <v>0</v>
      </c>
      <c r="AT1162">
        <v>0</v>
      </c>
      <c r="AU1162">
        <v>0</v>
      </c>
      <c r="AV1162">
        <v>0</v>
      </c>
      <c r="AW1162">
        <v>0</v>
      </c>
      <c r="AX1162" s="141">
        <f t="shared" si="379"/>
        <v>1</v>
      </c>
      <c r="AY1162" s="141">
        <f t="shared" si="350"/>
        <v>1</v>
      </c>
      <c r="AZ1162">
        <f t="shared" si="351"/>
        <v>0</v>
      </c>
      <c r="BA1162">
        <f t="shared" si="352"/>
        <v>0</v>
      </c>
      <c r="BB1162">
        <f t="shared" si="353"/>
        <v>1</v>
      </c>
      <c r="BC1162">
        <f t="shared" si="354"/>
        <v>0</v>
      </c>
      <c r="BD1162">
        <f t="shared" si="355"/>
        <v>0</v>
      </c>
      <c r="BE1162" t="str" cm="1">
        <f t="array" ref="BE1162">IF(AY1162=1,INDEX($V$7:$AL$7,MATCH(TRUE,INDEX($V1162:$AW1162&lt;&gt;0,),0)),IF(AY1162=0,INDEX($AM$7:$AW$7,MATCH(1,$AM1162:$AW1162,0)),IF(BF1162="Multiple strategies","mixed drivers",IF(BF1162="Supply chain","multiple supply","multiple silviculture"))))</f>
        <v>technologies/design switch</v>
      </c>
      <c r="BF1162" s="2" t="str" cm="1">
        <f t="array" ref="BF1162">IF(COUNTIF(AZ1162:BB1162,"&lt;&gt;0")=1,INDEX($V$4:$AW$4,MATCH(TRUE,INDEX($V1162:$AW1162&lt;&gt;0,),0)),IF(COUNTIF(AZ1162:BB1162,"&lt;&gt;0")=0,INDEX($AM$4:$AW$4,MATCH(1,$AM1162:$AW1162,0)),"Multiple strategies"))</f>
        <v>Technology</v>
      </c>
      <c r="BG1162" s="142" t="s">
        <v>230</v>
      </c>
      <c r="BH1162" t="s">
        <v>972</v>
      </c>
      <c r="BI1162" t="s">
        <v>995</v>
      </c>
      <c r="BJ1162" t="s">
        <v>499</v>
      </c>
      <c r="BK1162">
        <v>0</v>
      </c>
      <c r="BL1162">
        <v>1</v>
      </c>
      <c r="BM1162" t="str">
        <f>IFERROR(BL1162/BK1162,"")</f>
        <v/>
      </c>
      <c r="BN1162">
        <f t="shared" si="380"/>
        <v>1</v>
      </c>
      <c r="BO1162">
        <v>1</v>
      </c>
      <c r="BP1162" t="s">
        <v>233</v>
      </c>
      <c r="BQ1162" t="s">
        <v>744</v>
      </c>
      <c r="BR1162" s="266" t="s">
        <v>975</v>
      </c>
      <c r="BV1162">
        <v>0.21099999999999999</v>
      </c>
      <c r="BX1162">
        <f>BV1162</f>
        <v>0.21099999999999999</v>
      </c>
      <c r="BY1162">
        <f t="shared" si="378"/>
        <v>0.21099999999999999</v>
      </c>
      <c r="BZ1162">
        <v>0</v>
      </c>
      <c r="CA1162">
        <v>0</v>
      </c>
      <c r="CB1162">
        <v>0</v>
      </c>
      <c r="CC1162">
        <v>0</v>
      </c>
      <c r="CD1162">
        <v>0</v>
      </c>
      <c r="CE1162">
        <v>0</v>
      </c>
      <c r="CF1162">
        <v>0</v>
      </c>
      <c r="CG1162">
        <v>0</v>
      </c>
      <c r="CH1162">
        <v>0</v>
      </c>
      <c r="CI1162">
        <v>0</v>
      </c>
      <c r="CJ1162">
        <v>0</v>
      </c>
      <c r="CK1162">
        <v>0</v>
      </c>
      <c r="CL1162">
        <v>0</v>
      </c>
      <c r="CM1162">
        <v>0</v>
      </c>
      <c r="CN1162" t="str">
        <f t="shared" si="381"/>
        <v>refOK</v>
      </c>
      <c r="CO1162">
        <f>IF($CN1162="refOK",$BK1162,$BL1162)</f>
        <v>0</v>
      </c>
      <c r="CP1162">
        <f>IF($CN1162="refOK",$BL1162,$BK1162)</f>
        <v>1</v>
      </c>
      <c r="CQ1162">
        <f t="shared" si="382"/>
        <v>1</v>
      </c>
      <c r="CR1162">
        <f t="shared" si="374"/>
        <v>0</v>
      </c>
      <c r="CS1162">
        <f t="shared" si="375"/>
        <v>0</v>
      </c>
      <c r="CT1162">
        <f t="shared" si="376"/>
        <v>0.21099999999999999</v>
      </c>
      <c r="CU1162">
        <f t="shared" si="365"/>
        <v>0.21099999999999999</v>
      </c>
      <c r="CV1162" s="2" t="str">
        <f t="shared" si="377"/>
        <v/>
      </c>
      <c r="CW1162" s="1" t="s">
        <v>264</v>
      </c>
      <c r="CX1162" s="266" t="str">
        <f t="shared" si="356"/>
        <v>loc</v>
      </c>
      <c r="CY1162" t="s">
        <v>265</v>
      </c>
      <c r="DA1162" s="143"/>
      <c r="DB1162" s="143">
        <v>90</v>
      </c>
      <c r="DC1162" t="str">
        <f t="shared" si="357"/>
        <v>71-100</v>
      </c>
      <c r="DD1162">
        <v>0</v>
      </c>
      <c r="DE1162">
        <v>0</v>
      </c>
      <c r="DF1162">
        <v>0</v>
      </c>
      <c r="DG1162">
        <v>1</v>
      </c>
      <c r="DH1162">
        <v>0</v>
      </c>
      <c r="DI1162">
        <f t="shared" si="366"/>
        <v>1</v>
      </c>
      <c r="DJ1162" t="str">
        <f t="shared" si="363"/>
        <v>TimberInput</v>
      </c>
      <c r="DK1162">
        <f t="shared" si="383"/>
        <v>0</v>
      </c>
      <c r="DL1162">
        <f t="shared" si="384"/>
        <v>0</v>
      </c>
      <c r="DM1162">
        <f t="shared" si="385"/>
        <v>0</v>
      </c>
      <c r="DN1162" t="str">
        <f t="shared" si="386"/>
        <v>Timber</v>
      </c>
      <c r="DO1162">
        <v>1</v>
      </c>
      <c r="DP1162">
        <v>0</v>
      </c>
      <c r="DQ1162">
        <v>0</v>
      </c>
      <c r="DR1162">
        <v>0</v>
      </c>
      <c r="DS1162">
        <v>0</v>
      </c>
      <c r="DT1162">
        <f t="shared" si="371"/>
        <v>1</v>
      </c>
      <c r="DU1162" s="143" t="str">
        <f t="shared" si="359"/>
        <v>self-calculated DF</v>
      </c>
      <c r="DV1162">
        <v>0</v>
      </c>
      <c r="DW1162">
        <v>0</v>
      </c>
      <c r="DX1162" s="143">
        <v>0</v>
      </c>
      <c r="DY1162" s="143">
        <v>0</v>
      </c>
      <c r="DZ1162">
        <v>0</v>
      </c>
      <c r="EA1162" s="143">
        <v>0</v>
      </c>
      <c r="EB1162">
        <v>0</v>
      </c>
      <c r="EC1162" s="143">
        <v>1</v>
      </c>
      <c r="ED1162" s="143">
        <v>0</v>
      </c>
      <c r="EE1162">
        <v>1</v>
      </c>
      <c r="EF1162">
        <v>0</v>
      </c>
      <c r="EG1162" s="143">
        <v>0</v>
      </c>
      <c r="EH1162" s="143">
        <v>0</v>
      </c>
      <c r="EI1162" s="2">
        <v>0</v>
      </c>
      <c r="EK1162" t="str">
        <f t="shared" si="387"/>
        <v/>
      </c>
      <c r="EL1162" t="str">
        <f t="shared" si="388"/>
        <v/>
      </c>
      <c r="EM1162" s="2" t="str">
        <f t="shared" si="358"/>
        <v>Technology approach</v>
      </c>
      <c r="EN1162" t="s">
        <v>1003</v>
      </c>
      <c r="EP1162" t="str">
        <f>IF(ISNUMBER(BU1162),IF(ABS(BU1162-[1]QC_indicators!$B$2)&gt;3*[1]QC_indicators!$C$2,"C ratio",IF(ISNUMBER(BY1162),IF(ABS(BY1162-[1]QC_indicators!$B$1)&gt;3*[1]QC_indicators!$C$1,"DF","no"))),IF(ISNUMBER(BY1162),IF(ABS(BY1162-[1]QC_indicators!$B$1)&gt;3*[1]QC_indicators!$C$1,"DF","no")))</f>
        <v>no</v>
      </c>
      <c r="ER1162" s="266" t="s">
        <v>997</v>
      </c>
      <c r="ET1162" s="266" t="s">
        <v>3409</v>
      </c>
    </row>
    <row r="1163" spans="1:150" ht="15" hidden="1" customHeight="1">
      <c r="D1163" t="s">
        <v>759</v>
      </c>
      <c r="E1163" t="s">
        <v>760</v>
      </c>
      <c r="G1163" t="s">
        <v>761</v>
      </c>
      <c r="I1163">
        <v>2006</v>
      </c>
      <c r="K1163" s="298" t="s">
        <v>762</v>
      </c>
      <c r="M1163" t="str">
        <f t="shared" si="362"/>
        <v>Gustavsson_2006</v>
      </c>
      <c r="N1163" t="s">
        <v>223</v>
      </c>
      <c r="O1163" t="s">
        <v>224</v>
      </c>
      <c r="Q1163" s="266" t="s">
        <v>257</v>
      </c>
      <c r="R1163" s="271" t="s">
        <v>1156</v>
      </c>
      <c r="S1163" s="265" t="s">
        <v>767</v>
      </c>
      <c r="T1163" t="s">
        <v>755</v>
      </c>
      <c r="U1163" s="143" t="s">
        <v>756</v>
      </c>
      <c r="V1163">
        <v>0</v>
      </c>
      <c r="W1163">
        <v>0</v>
      </c>
      <c r="X1163">
        <v>0</v>
      </c>
      <c r="Y1163">
        <v>0</v>
      </c>
      <c r="Z1163">
        <v>0</v>
      </c>
      <c r="AA1163">
        <v>0</v>
      </c>
      <c r="AB1163">
        <v>0</v>
      </c>
      <c r="AC1163">
        <v>0</v>
      </c>
      <c r="AD1163">
        <v>0</v>
      </c>
      <c r="AE1163">
        <v>0</v>
      </c>
      <c r="AF1163">
        <v>0</v>
      </c>
      <c r="AG1163">
        <v>0</v>
      </c>
      <c r="AH1163">
        <v>0</v>
      </c>
      <c r="AI1163">
        <v>0</v>
      </c>
      <c r="AJ1163">
        <v>0</v>
      </c>
      <c r="AK1163">
        <v>1</v>
      </c>
      <c r="AL1163">
        <v>0</v>
      </c>
      <c r="AM1163">
        <v>0</v>
      </c>
      <c r="AN1163">
        <v>0</v>
      </c>
      <c r="AO1163">
        <v>0</v>
      </c>
      <c r="AP1163">
        <v>0</v>
      </c>
      <c r="AQ1163">
        <v>0</v>
      </c>
      <c r="AR1163">
        <v>0</v>
      </c>
      <c r="AS1163">
        <v>0</v>
      </c>
      <c r="AT1163">
        <v>0</v>
      </c>
      <c r="AU1163">
        <v>0</v>
      </c>
      <c r="AV1163">
        <v>0</v>
      </c>
      <c r="AW1163">
        <v>0</v>
      </c>
      <c r="AX1163" s="141">
        <f t="shared" si="379"/>
        <v>1</v>
      </c>
      <c r="AY1163" s="141">
        <f t="shared" si="350"/>
        <v>1</v>
      </c>
      <c r="AZ1163">
        <f t="shared" si="351"/>
        <v>0</v>
      </c>
      <c r="BA1163">
        <f t="shared" si="352"/>
        <v>0</v>
      </c>
      <c r="BB1163">
        <f t="shared" si="353"/>
        <v>1</v>
      </c>
      <c r="BC1163">
        <f t="shared" si="354"/>
        <v>0</v>
      </c>
      <c r="BD1163">
        <f t="shared" si="355"/>
        <v>0</v>
      </c>
      <c r="BE1163" t="str" cm="1">
        <f t="array" ref="BE1163">IF(AY1163=1,INDEX($V$7:$AL$7,MATCH(TRUE,INDEX($V1163:$AW1163&lt;&gt;0,),0)),IF(AY1163=0,INDEX($AM$7:$AW$7,MATCH(1,$AM1163:$AW1163,0)),IF(BF1163="Multiple strategies","mixed drivers",IF(BF1163="Supply chain","multiple supply","multiple silviculture"))))</f>
        <v>technologies/design switch</v>
      </c>
      <c r="BF1163" s="2" t="str" cm="1">
        <f t="array" ref="BF1163">IF(COUNTIF(AZ1163:BB1163,"&lt;&gt;0")=1,INDEX($V$4:$AW$4,MATCH(TRUE,INDEX($V1163:$AW1163&lt;&gt;0,),0)),IF(COUNTIF(AZ1163:BB1163,"&lt;&gt;0")=0,INDEX($AM$4:$AW$4,MATCH(1,$AM1163:$AW1163,0)),"Multiple strategies"))</f>
        <v>Technology</v>
      </c>
      <c r="BG1163" s="142" t="s">
        <v>230</v>
      </c>
      <c r="BH1163" t="s">
        <v>394</v>
      </c>
      <c r="BI1163" s="266" t="s">
        <v>764</v>
      </c>
      <c r="BJ1163" s="143" t="s">
        <v>765</v>
      </c>
      <c r="BK1163">
        <v>87</v>
      </c>
      <c r="BL1163" s="143">
        <v>428</v>
      </c>
      <c r="BM1163" s="143"/>
      <c r="BN1163">
        <f t="shared" si="380"/>
        <v>341</v>
      </c>
      <c r="BO1163" s="143">
        <f>BN1163*t_to_m3</f>
        <v>695.91836734693879</v>
      </c>
      <c r="BP1163" s="266" t="s">
        <v>233</v>
      </c>
      <c r="BQ1163" s="155" t="s">
        <v>766</v>
      </c>
      <c r="BR1163" t="s">
        <v>443</v>
      </c>
      <c r="BS1163" s="143">
        <v>-75.3</v>
      </c>
      <c r="BT1163" s="151">
        <v>76.2</v>
      </c>
      <c r="BV1163">
        <f t="shared" ref="BV1163:BV1168" si="389">BT1163-BS1163</f>
        <v>151.5</v>
      </c>
      <c r="BX1163">
        <f>BV1163*C_to_CO2</f>
        <v>556.005</v>
      </c>
      <c r="BY1163">
        <f t="shared" si="378"/>
        <v>0.79895146627565983</v>
      </c>
      <c r="BZ1163" s="143">
        <v>0</v>
      </c>
      <c r="CA1163" s="143">
        <v>0</v>
      </c>
      <c r="CB1163" s="143">
        <v>0</v>
      </c>
      <c r="CC1163" s="143">
        <v>0</v>
      </c>
      <c r="CD1163" s="143">
        <v>0</v>
      </c>
      <c r="CE1163" s="143">
        <v>0</v>
      </c>
      <c r="CF1163" s="143">
        <v>0</v>
      </c>
      <c r="CG1163" s="143">
        <v>0</v>
      </c>
      <c r="CH1163" s="143">
        <v>0</v>
      </c>
      <c r="CI1163" s="143">
        <v>0</v>
      </c>
      <c r="CJ1163" s="143">
        <v>0</v>
      </c>
      <c r="CK1163" s="143">
        <v>0</v>
      </c>
      <c r="CL1163" s="143">
        <v>0</v>
      </c>
      <c r="CM1163">
        <v>0</v>
      </c>
      <c r="CN1163" t="str">
        <f t="shared" si="381"/>
        <v>refOK</v>
      </c>
      <c r="CO1163">
        <f>IF($CN1163="refOK",$BK1163,$BL1163)</f>
        <v>87</v>
      </c>
      <c r="CP1163">
        <f>IF($CN1163="refOK",$BL1163,$BK1163)</f>
        <v>428</v>
      </c>
      <c r="CQ1163">
        <f t="shared" si="382"/>
        <v>695.91836734693879</v>
      </c>
      <c r="CR1163">
        <f t="shared" si="374"/>
        <v>-75.3</v>
      </c>
      <c r="CS1163">
        <f t="shared" si="375"/>
        <v>76.2</v>
      </c>
      <c r="CT1163">
        <f t="shared" si="376"/>
        <v>556.005</v>
      </c>
      <c r="CU1163">
        <f t="shared" si="365"/>
        <v>0.79895146627565983</v>
      </c>
      <c r="CV1163" s="2">
        <f t="shared" si="377"/>
        <v>2.0119521912350598</v>
      </c>
      <c r="CW1163" s="1" t="s">
        <v>264</v>
      </c>
      <c r="CX1163" s="266" t="str">
        <f t="shared" si="356"/>
        <v>loc</v>
      </c>
      <c r="CY1163" t="s">
        <v>236</v>
      </c>
      <c r="DA1163" s="143"/>
      <c r="DB1163" s="143">
        <v>100</v>
      </c>
      <c r="DC1163" t="str">
        <f t="shared" si="357"/>
        <v>71-100</v>
      </c>
      <c r="DD1163">
        <v>0</v>
      </c>
      <c r="DE1163">
        <v>0</v>
      </c>
      <c r="DF1163">
        <v>0</v>
      </c>
      <c r="DG1163">
        <v>1</v>
      </c>
      <c r="DI1163">
        <f t="shared" si="366"/>
        <v>1</v>
      </c>
      <c r="DJ1163" t="str">
        <f t="shared" si="363"/>
        <v>TimberInput</v>
      </c>
      <c r="DK1163">
        <f t="shared" si="383"/>
        <v>0</v>
      </c>
      <c r="DL1163">
        <f t="shared" si="384"/>
        <v>0</v>
      </c>
      <c r="DM1163">
        <f t="shared" si="385"/>
        <v>0</v>
      </c>
      <c r="DN1163" t="str">
        <f t="shared" si="386"/>
        <v>Timber</v>
      </c>
      <c r="DO1163">
        <v>1</v>
      </c>
      <c r="DP1163" s="143">
        <v>0</v>
      </c>
      <c r="DQ1163" s="143">
        <v>0</v>
      </c>
      <c r="DR1163">
        <v>0</v>
      </c>
      <c r="DS1163" s="143">
        <v>0</v>
      </c>
      <c r="DT1163">
        <f t="shared" si="371"/>
        <v>1</v>
      </c>
      <c r="DU1163" s="143" t="str">
        <f t="shared" si="359"/>
        <v>self-calculated DF</v>
      </c>
      <c r="DV1163" s="143">
        <v>0</v>
      </c>
      <c r="DW1163" s="143">
        <v>0</v>
      </c>
      <c r="DX1163" s="143">
        <v>1</v>
      </c>
      <c r="DY1163" s="143">
        <v>1</v>
      </c>
      <c r="DZ1163">
        <v>0</v>
      </c>
      <c r="EA1163" s="143">
        <v>1</v>
      </c>
      <c r="EB1163" s="143">
        <v>1</v>
      </c>
      <c r="EC1163" s="143">
        <v>1</v>
      </c>
      <c r="ED1163" s="143">
        <v>0</v>
      </c>
      <c r="EE1163">
        <v>0</v>
      </c>
      <c r="EF1163">
        <v>1</v>
      </c>
      <c r="EG1163" s="143">
        <v>0</v>
      </c>
      <c r="EH1163" s="143">
        <v>0</v>
      </c>
      <c r="EI1163" s="2">
        <v>0</v>
      </c>
      <c r="EK1163" t="str">
        <f t="shared" si="387"/>
        <v/>
      </c>
      <c r="EL1163" t="str">
        <f t="shared" si="388"/>
        <v/>
      </c>
      <c r="EM1163" s="2" t="str">
        <f t="shared" si="358"/>
        <v/>
      </c>
      <c r="EN1163" t="s">
        <v>771</v>
      </c>
      <c r="EP1163" t="str">
        <f>IF(ISNUMBER(BU1163),IF(ABS(BU1163-[1]QC_indicators!$B$2)&gt;3*[1]QC_indicators!$C$2,"C ratio",IF(ISNUMBER(BY1163),IF(ABS(BY1163-[1]QC_indicators!$B$1)&gt;3*[1]QC_indicators!$C$1,"DF","no"))),IF(ISNUMBER(BY1163),IF(ABS(BY1163-[1]QC_indicators!$B$1)&gt;3*[1]QC_indicators!$C$1,"DF","no")))</f>
        <v>no</v>
      </c>
      <c r="EQ1163" t="s">
        <v>287</v>
      </c>
      <c r="ER1163" s="266" t="s">
        <v>772</v>
      </c>
      <c r="ES1163" t="s">
        <v>773</v>
      </c>
      <c r="ET1163" s="266" t="s">
        <v>3409</v>
      </c>
    </row>
    <row r="1164" spans="1:150" ht="15" hidden="1" customHeight="1">
      <c r="D1164" t="s">
        <v>759</v>
      </c>
      <c r="E1164" t="s">
        <v>760</v>
      </c>
      <c r="G1164" t="s">
        <v>761</v>
      </c>
      <c r="I1164">
        <v>2006</v>
      </c>
      <c r="K1164" s="298" t="s">
        <v>762</v>
      </c>
      <c r="M1164" t="str">
        <f t="shared" si="362"/>
        <v>Gustavsson_2006</v>
      </c>
      <c r="N1164" t="s">
        <v>223</v>
      </c>
      <c r="O1164" t="s">
        <v>224</v>
      </c>
      <c r="Q1164" s="266" t="s">
        <v>257</v>
      </c>
      <c r="R1164" s="271" t="s">
        <v>1156</v>
      </c>
      <c r="S1164" s="265" t="s">
        <v>770</v>
      </c>
      <c r="T1164" t="s">
        <v>755</v>
      </c>
      <c r="U1164" s="143" t="s">
        <v>756</v>
      </c>
      <c r="V1164">
        <v>0</v>
      </c>
      <c r="W1164">
        <v>0</v>
      </c>
      <c r="X1164">
        <v>0</v>
      </c>
      <c r="Y1164">
        <v>0</v>
      </c>
      <c r="Z1164">
        <v>0</v>
      </c>
      <c r="AA1164">
        <v>0</v>
      </c>
      <c r="AB1164">
        <v>0</v>
      </c>
      <c r="AC1164">
        <v>0</v>
      </c>
      <c r="AD1164">
        <v>0</v>
      </c>
      <c r="AE1164">
        <v>0</v>
      </c>
      <c r="AF1164">
        <v>0</v>
      </c>
      <c r="AG1164">
        <v>0</v>
      </c>
      <c r="AH1164">
        <v>0</v>
      </c>
      <c r="AI1164">
        <v>0</v>
      </c>
      <c r="AJ1164">
        <v>0</v>
      </c>
      <c r="AK1164">
        <v>1</v>
      </c>
      <c r="AL1164">
        <v>0</v>
      </c>
      <c r="AM1164">
        <v>0</v>
      </c>
      <c r="AN1164">
        <v>0</v>
      </c>
      <c r="AO1164">
        <v>0</v>
      </c>
      <c r="AP1164">
        <v>0</v>
      </c>
      <c r="AQ1164">
        <v>0</v>
      </c>
      <c r="AR1164">
        <v>0</v>
      </c>
      <c r="AS1164">
        <v>0</v>
      </c>
      <c r="AT1164">
        <v>0</v>
      </c>
      <c r="AU1164">
        <v>0</v>
      </c>
      <c r="AV1164">
        <v>0</v>
      </c>
      <c r="AW1164">
        <v>0</v>
      </c>
      <c r="AX1164" s="141">
        <f t="shared" si="379"/>
        <v>1</v>
      </c>
      <c r="AY1164" s="141">
        <f t="shared" si="350"/>
        <v>1</v>
      </c>
      <c r="AZ1164">
        <f t="shared" si="351"/>
        <v>0</v>
      </c>
      <c r="BA1164">
        <f t="shared" si="352"/>
        <v>0</v>
      </c>
      <c r="BB1164">
        <f t="shared" si="353"/>
        <v>1</v>
      </c>
      <c r="BC1164">
        <f t="shared" si="354"/>
        <v>0</v>
      </c>
      <c r="BD1164">
        <f t="shared" si="355"/>
        <v>0</v>
      </c>
      <c r="BE1164" t="str" cm="1">
        <f t="array" ref="BE1164">IF(AY1164=1,INDEX($V$7:$AL$7,MATCH(TRUE,INDEX($V1164:$AW1164&lt;&gt;0,),0)),IF(AY1164=0,INDEX($AM$7:$AW$7,MATCH(1,$AM1164:$AW1164,0)),IF(BF1164="Multiple strategies","mixed drivers",IF(BF1164="Supply chain","multiple supply","multiple silviculture"))))</f>
        <v>technologies/design switch</v>
      </c>
      <c r="BF1164" s="2" t="str" cm="1">
        <f t="array" ref="BF1164">IF(COUNTIF(AZ1164:BB1164,"&lt;&gt;0")=1,INDEX($V$4:$AW$4,MATCH(TRUE,INDEX($V1164:$AW1164&lt;&gt;0,),0)),IF(COUNTIF(AZ1164:BB1164,"&lt;&gt;0")=0,INDEX($AM$4:$AW$4,MATCH(1,$AM1164:$AW1164,0)),"Multiple strategies"))</f>
        <v>Technology</v>
      </c>
      <c r="BG1164" s="142" t="s">
        <v>230</v>
      </c>
      <c r="BH1164" t="s">
        <v>394</v>
      </c>
      <c r="BI1164" s="266" t="s">
        <v>764</v>
      </c>
      <c r="BJ1164" s="143" t="s">
        <v>765</v>
      </c>
      <c r="BK1164">
        <v>195</v>
      </c>
      <c r="BL1164" s="143">
        <v>291</v>
      </c>
      <c r="BM1164" s="143"/>
      <c r="BN1164">
        <f t="shared" si="380"/>
        <v>96</v>
      </c>
      <c r="BO1164" s="143">
        <f>BN1164*t_to_m3</f>
        <v>195.91836734693879</v>
      </c>
      <c r="BP1164" s="266" t="s">
        <v>233</v>
      </c>
      <c r="BQ1164" s="155" t="s">
        <v>766</v>
      </c>
      <c r="BR1164" t="s">
        <v>443</v>
      </c>
      <c r="BS1164" s="143">
        <v>-25.8</v>
      </c>
      <c r="BT1164" s="151">
        <v>41.4</v>
      </c>
      <c r="BV1164">
        <f t="shared" si="389"/>
        <v>67.2</v>
      </c>
      <c r="BX1164">
        <f>BV1164*C_to_CO2</f>
        <v>246.624</v>
      </c>
      <c r="BY1164">
        <f t="shared" si="378"/>
        <v>1.2588099999999998</v>
      </c>
      <c r="BZ1164" s="143">
        <v>0</v>
      </c>
      <c r="CA1164" s="143">
        <v>0</v>
      </c>
      <c r="CB1164" s="143">
        <v>0</v>
      </c>
      <c r="CC1164" s="143">
        <v>0</v>
      </c>
      <c r="CD1164" s="143">
        <v>0</v>
      </c>
      <c r="CE1164" s="143">
        <v>0</v>
      </c>
      <c r="CF1164" s="143">
        <v>0</v>
      </c>
      <c r="CG1164" s="143">
        <v>0</v>
      </c>
      <c r="CH1164" s="143">
        <v>0</v>
      </c>
      <c r="CI1164" s="143">
        <v>0</v>
      </c>
      <c r="CJ1164" s="143">
        <v>0</v>
      </c>
      <c r="CK1164" s="143">
        <v>0</v>
      </c>
      <c r="CL1164" s="143">
        <v>0</v>
      </c>
      <c r="CM1164">
        <v>0</v>
      </c>
      <c r="CN1164" t="str">
        <f t="shared" si="381"/>
        <v>refOK</v>
      </c>
      <c r="CO1164">
        <f>IF($CN1164="refOK",$BK1164,$BL1164)</f>
        <v>195</v>
      </c>
      <c r="CP1164">
        <f>IF($CN1164="refOK",$BL1164,$BK1164)</f>
        <v>291</v>
      </c>
      <c r="CQ1164">
        <f t="shared" si="382"/>
        <v>195.91836734693879</v>
      </c>
      <c r="CR1164">
        <f t="shared" si="374"/>
        <v>-25.8</v>
      </c>
      <c r="CS1164">
        <f t="shared" si="375"/>
        <v>41.4</v>
      </c>
      <c r="CT1164">
        <f t="shared" si="376"/>
        <v>246.624</v>
      </c>
      <c r="CU1164">
        <f t="shared" si="365"/>
        <v>1.2588099999999998</v>
      </c>
      <c r="CV1164" s="2">
        <f t="shared" si="377"/>
        <v>2.6046511627906979</v>
      </c>
      <c r="CW1164" s="1" t="s">
        <v>264</v>
      </c>
      <c r="CX1164" s="266" t="str">
        <f t="shared" si="356"/>
        <v>loc</v>
      </c>
      <c r="CY1164" t="s">
        <v>445</v>
      </c>
      <c r="DA1164" s="143"/>
      <c r="DB1164" s="143">
        <v>100</v>
      </c>
      <c r="DC1164" t="str">
        <f t="shared" si="357"/>
        <v>71-100</v>
      </c>
      <c r="DD1164">
        <v>0</v>
      </c>
      <c r="DE1164">
        <v>0</v>
      </c>
      <c r="DF1164">
        <v>0</v>
      </c>
      <c r="DG1164">
        <v>1</v>
      </c>
      <c r="DI1164">
        <f t="shared" si="366"/>
        <v>1</v>
      </c>
      <c r="DJ1164" t="str">
        <f t="shared" si="363"/>
        <v>TimberInput</v>
      </c>
      <c r="DK1164">
        <f t="shared" si="383"/>
        <v>0</v>
      </c>
      <c r="DL1164">
        <f t="shared" si="384"/>
        <v>0</v>
      </c>
      <c r="DM1164">
        <f t="shared" si="385"/>
        <v>0</v>
      </c>
      <c r="DN1164" t="str">
        <f t="shared" si="386"/>
        <v>Timber</v>
      </c>
      <c r="DO1164">
        <v>1</v>
      </c>
      <c r="DP1164" s="143">
        <v>0</v>
      </c>
      <c r="DQ1164" s="143">
        <v>0</v>
      </c>
      <c r="DR1164">
        <v>0</v>
      </c>
      <c r="DS1164" s="143">
        <v>0</v>
      </c>
      <c r="DT1164">
        <f t="shared" si="371"/>
        <v>1</v>
      </c>
      <c r="DU1164" s="143" t="str">
        <f t="shared" si="359"/>
        <v>self-calculated DF</v>
      </c>
      <c r="DV1164" s="143">
        <v>0</v>
      </c>
      <c r="DW1164" s="143">
        <v>0</v>
      </c>
      <c r="DX1164" s="143">
        <v>1</v>
      </c>
      <c r="DY1164" s="143">
        <v>1</v>
      </c>
      <c r="DZ1164">
        <v>0</v>
      </c>
      <c r="EA1164" s="143">
        <v>1</v>
      </c>
      <c r="EB1164" s="143">
        <v>1</v>
      </c>
      <c r="EC1164" s="143">
        <v>1</v>
      </c>
      <c r="ED1164" s="143">
        <v>0</v>
      </c>
      <c r="EE1164">
        <v>0</v>
      </c>
      <c r="EF1164">
        <v>1</v>
      </c>
      <c r="EG1164" s="143">
        <v>0</v>
      </c>
      <c r="EH1164" s="143">
        <v>0</v>
      </c>
      <c r="EI1164" s="2">
        <v>0</v>
      </c>
      <c r="EK1164" t="str">
        <f t="shared" si="387"/>
        <v/>
      </c>
      <c r="EL1164" t="str">
        <f t="shared" si="388"/>
        <v/>
      </c>
      <c r="EM1164" s="2" t="str">
        <f t="shared" si="358"/>
        <v/>
      </c>
      <c r="EN1164" t="s">
        <v>771</v>
      </c>
      <c r="EP1164" t="str">
        <f>IF(ISNUMBER(BU1164),IF(ABS(BU1164-[1]QC_indicators!$B$2)&gt;3*[1]QC_indicators!$C$2,"C ratio",IF(ISNUMBER(BY1164),IF(ABS(BY1164-[1]QC_indicators!$B$1)&gt;3*[1]QC_indicators!$C$1,"DF","no"))),IF(ISNUMBER(BY1164),IF(ABS(BY1164-[1]QC_indicators!$B$1)&gt;3*[1]QC_indicators!$C$1,"DF","no")))</f>
        <v>no</v>
      </c>
      <c r="EQ1164" t="s">
        <v>287</v>
      </c>
      <c r="ER1164" s="296" t="s">
        <v>350</v>
      </c>
      <c r="ET1164" s="266" t="s">
        <v>3409</v>
      </c>
    </row>
    <row r="1165" spans="1:150" ht="15" hidden="1" customHeight="1">
      <c r="A1165" s="1" t="s">
        <v>658</v>
      </c>
      <c r="B1165" t="s">
        <v>1907</v>
      </c>
      <c r="C1165" t="s">
        <v>1908</v>
      </c>
      <c r="D1165" t="s">
        <v>1909</v>
      </c>
      <c r="E1165" t="s">
        <v>1910</v>
      </c>
      <c r="F1165" t="s">
        <v>1911</v>
      </c>
      <c r="G1165" t="s">
        <v>664</v>
      </c>
      <c r="H1165" t="s">
        <v>255</v>
      </c>
      <c r="I1165">
        <v>2016</v>
      </c>
      <c r="J1165">
        <v>41</v>
      </c>
      <c r="K1165" t="s">
        <v>1912</v>
      </c>
      <c r="M1165" t="str">
        <f t="shared" si="362"/>
        <v>Liu_2016</v>
      </c>
      <c r="N1165" t="s">
        <v>223</v>
      </c>
      <c r="O1165" s="145" t="s">
        <v>226</v>
      </c>
      <c r="Q1165" s="266" t="s">
        <v>257</v>
      </c>
      <c r="R1165" s="271" t="s">
        <v>1156</v>
      </c>
      <c r="S1165" s="1" t="s">
        <v>1919</v>
      </c>
      <c r="T1165" s="143" t="s">
        <v>1920</v>
      </c>
      <c r="U1165" s="143" t="s">
        <v>1921</v>
      </c>
      <c r="V1165">
        <v>0</v>
      </c>
      <c r="W1165">
        <v>0</v>
      </c>
      <c r="X1165">
        <v>0</v>
      </c>
      <c r="Y1165">
        <v>0</v>
      </c>
      <c r="Z1165">
        <v>0</v>
      </c>
      <c r="AA1165">
        <v>0</v>
      </c>
      <c r="AB1165">
        <v>0</v>
      </c>
      <c r="AC1165">
        <v>0</v>
      </c>
      <c r="AD1165">
        <v>0</v>
      </c>
      <c r="AE1165">
        <v>0</v>
      </c>
      <c r="AF1165">
        <v>0</v>
      </c>
      <c r="AG1165">
        <v>0</v>
      </c>
      <c r="AH1165">
        <v>0</v>
      </c>
      <c r="AI1165">
        <v>0</v>
      </c>
      <c r="AJ1165">
        <v>0</v>
      </c>
      <c r="AK1165">
        <v>1</v>
      </c>
      <c r="AL1165">
        <v>0</v>
      </c>
      <c r="AM1165">
        <v>0</v>
      </c>
      <c r="AN1165">
        <v>0</v>
      </c>
      <c r="AO1165">
        <v>0</v>
      </c>
      <c r="AP1165">
        <v>0</v>
      </c>
      <c r="AQ1165">
        <v>0</v>
      </c>
      <c r="AR1165">
        <v>0</v>
      </c>
      <c r="AS1165">
        <v>0</v>
      </c>
      <c r="AT1165">
        <v>0</v>
      </c>
      <c r="AU1165">
        <v>0</v>
      </c>
      <c r="AV1165">
        <v>0</v>
      </c>
      <c r="AW1165">
        <v>0</v>
      </c>
      <c r="AX1165" s="141">
        <f t="shared" si="379"/>
        <v>1</v>
      </c>
      <c r="AY1165" s="141">
        <f t="shared" si="350"/>
        <v>1</v>
      </c>
      <c r="AZ1165">
        <f t="shared" si="351"/>
        <v>0</v>
      </c>
      <c r="BA1165">
        <f t="shared" si="352"/>
        <v>0</v>
      </c>
      <c r="BB1165">
        <f t="shared" si="353"/>
        <v>1</v>
      </c>
      <c r="BC1165">
        <f t="shared" si="354"/>
        <v>0</v>
      </c>
      <c r="BD1165">
        <f t="shared" si="355"/>
        <v>0</v>
      </c>
      <c r="BE1165" t="str" cm="1">
        <f t="array" ref="BE1165">IF(AY1165=1,INDEX($V$7:$AL$7,MATCH(TRUE,INDEX($V1165:$AW1165&lt;&gt;0,),0)),IF(AY1165=0,INDEX($AM$7:$AW$7,MATCH(1,$AM1165:$AW1165,0)),IF(BF1165="Multiple strategies","mixed drivers",IF(BF1165="Supply chain","multiple supply","multiple silviculture"))))</f>
        <v>technologies/design switch</v>
      </c>
      <c r="BF1165" s="2" t="str" cm="1">
        <f t="array" ref="BF1165">IF(COUNTIF(AZ1165:BB1165,"&lt;&gt;0")=1,INDEX($V$4:$AW$4,MATCH(TRUE,INDEX($V1165:$AW1165&lt;&gt;0,),0)),IF(COUNTIF(AZ1165:BB1165,"&lt;&gt;0")=0,INDEX($AM$4:$AW$4,MATCH(1,$AM1165:$AW1165,0)),"Multiple strategies"))</f>
        <v>Technology</v>
      </c>
      <c r="BG1165" s="142" t="s">
        <v>230</v>
      </c>
      <c r="BH1165" t="s">
        <v>1914</v>
      </c>
      <c r="BJ1165" s="143" t="s">
        <v>1915</v>
      </c>
      <c r="BK1165">
        <v>0</v>
      </c>
      <c r="BL1165" s="143">
        <v>606</v>
      </c>
      <c r="BM1165" s="163"/>
      <c r="BN1165">
        <f t="shared" si="380"/>
        <v>606</v>
      </c>
      <c r="BO1165" s="143">
        <f>BN1165*t_to_m3</f>
        <v>1236.7346938775511</v>
      </c>
      <c r="BP1165" s="266" t="s">
        <v>233</v>
      </c>
      <c r="BQ1165" s="266"/>
      <c r="BR1165" t="s">
        <v>1916</v>
      </c>
      <c r="BS1165" s="143">
        <v>-3829</v>
      </c>
      <c r="BT1165">
        <v>-2339</v>
      </c>
      <c r="BU1165" s="144">
        <v>0.61086445547140245</v>
      </c>
      <c r="BV1165">
        <f t="shared" si="389"/>
        <v>1490</v>
      </c>
      <c r="BX1165">
        <f t="shared" ref="BX1165:BX1177" si="390">BV1165</f>
        <v>1490</v>
      </c>
      <c r="BY1165">
        <f t="shared" si="378"/>
        <v>1.2047854785478547</v>
      </c>
      <c r="BZ1165">
        <v>0</v>
      </c>
      <c r="CA1165">
        <v>0</v>
      </c>
      <c r="CB1165">
        <v>0</v>
      </c>
      <c r="CC1165">
        <v>0</v>
      </c>
      <c r="CD1165">
        <v>0</v>
      </c>
      <c r="CE1165">
        <v>0</v>
      </c>
      <c r="CF1165">
        <v>0</v>
      </c>
      <c r="CG1165">
        <v>0</v>
      </c>
      <c r="CH1165">
        <v>0</v>
      </c>
      <c r="CI1165">
        <v>0</v>
      </c>
      <c r="CJ1165">
        <v>0</v>
      </c>
      <c r="CK1165">
        <v>0</v>
      </c>
      <c r="CL1165">
        <v>0</v>
      </c>
      <c r="CM1165">
        <v>0</v>
      </c>
      <c r="CN1165" t="str">
        <f t="shared" si="381"/>
        <v>refOK</v>
      </c>
      <c r="CO1165">
        <f>IF($CN1165="refNeedCorrection",BL1165,BK1165)</f>
        <v>0</v>
      </c>
      <c r="CP1165">
        <f>IF($CN1165="refNeedCorrection",BK1165,BL1165)</f>
        <v>606</v>
      </c>
      <c r="CQ1165">
        <f t="shared" si="382"/>
        <v>1236.7346938775511</v>
      </c>
      <c r="CR1165">
        <f t="shared" si="374"/>
        <v>-3829</v>
      </c>
      <c r="CS1165">
        <f t="shared" si="375"/>
        <v>-2339</v>
      </c>
      <c r="CT1165">
        <f t="shared" si="376"/>
        <v>1490</v>
      </c>
      <c r="CU1165">
        <f t="shared" si="365"/>
        <v>1.2047854785478547</v>
      </c>
      <c r="CV1165" s="2">
        <f t="shared" si="377"/>
        <v>0.38913554452859755</v>
      </c>
      <c r="CW1165" s="1" t="s">
        <v>1201</v>
      </c>
      <c r="CX1165" s="266" t="str">
        <f t="shared" si="356"/>
        <v>reg</v>
      </c>
      <c r="CY1165" t="s">
        <v>692</v>
      </c>
      <c r="DA1165" s="143"/>
      <c r="DB1165" s="143">
        <v>50</v>
      </c>
      <c r="DC1165" t="str">
        <f t="shared" si="357"/>
        <v>31-70</v>
      </c>
      <c r="DD1165">
        <v>0</v>
      </c>
      <c r="DE1165">
        <v>0</v>
      </c>
      <c r="DF1165">
        <v>0</v>
      </c>
      <c r="DG1165">
        <v>1</v>
      </c>
      <c r="DI1165">
        <f t="shared" ref="DI1165:DI1196" si="391">SUM(DD1165:DG1165)</f>
        <v>1</v>
      </c>
      <c r="DJ1165" t="str">
        <f t="shared" si="363"/>
        <v>TimberInput</v>
      </c>
      <c r="DK1165">
        <f t="shared" si="383"/>
        <v>0</v>
      </c>
      <c r="DL1165">
        <f t="shared" si="384"/>
        <v>0</v>
      </c>
      <c r="DM1165">
        <f t="shared" si="385"/>
        <v>0</v>
      </c>
      <c r="DN1165" t="str">
        <f t="shared" si="386"/>
        <v>Timber</v>
      </c>
      <c r="DO1165">
        <v>0</v>
      </c>
      <c r="DP1165" s="143">
        <v>0</v>
      </c>
      <c r="DQ1165" s="143">
        <v>0</v>
      </c>
      <c r="DR1165">
        <v>0</v>
      </c>
      <c r="DS1165" s="143">
        <v>0</v>
      </c>
      <c r="DT1165">
        <f t="shared" si="371"/>
        <v>0</v>
      </c>
      <c r="DU1165" s="143" t="str">
        <f t="shared" si="359"/>
        <v>explicit C balance</v>
      </c>
      <c r="DV1165" s="143">
        <v>0</v>
      </c>
      <c r="DW1165" s="143">
        <v>0</v>
      </c>
      <c r="DX1165" s="143">
        <v>0</v>
      </c>
      <c r="DY1165" s="143">
        <v>1</v>
      </c>
      <c r="DZ1165">
        <v>0</v>
      </c>
      <c r="EA1165" s="143">
        <v>0</v>
      </c>
      <c r="EB1165" s="143">
        <v>1</v>
      </c>
      <c r="EC1165" s="143">
        <v>1</v>
      </c>
      <c r="ED1165" s="143">
        <v>1</v>
      </c>
      <c r="EE1165">
        <v>1</v>
      </c>
      <c r="EF1165">
        <v>0</v>
      </c>
      <c r="EG1165" s="143">
        <v>0</v>
      </c>
      <c r="EH1165">
        <v>0</v>
      </c>
      <c r="EI1165" s="2">
        <v>0</v>
      </c>
      <c r="EK1165" t="str">
        <f t="shared" si="387"/>
        <v/>
      </c>
      <c r="EL1165" t="str">
        <f t="shared" si="388"/>
        <v/>
      </c>
      <c r="EM1165" s="2" t="str">
        <f t="shared" si="358"/>
        <v>Technology approach</v>
      </c>
      <c r="EN1165" t="s">
        <v>1917</v>
      </c>
      <c r="EP1165" t="str">
        <f>IF(ISNUMBER(BU1165),IF(ABS(BU1165-[1]QC_indicators!$B$2)&gt;3*[1]QC_indicators!$C$2,"C ratio",IF(ISNUMBER(BY1165),IF(ABS(BY1165-[1]QC_indicators!$B$1)&gt;3*[1]QC_indicators!$C$1,"DF","no"))),IF(ISNUMBER(BY1165),IF(ABS(BY1165-[1]QC_indicators!$B$1)&gt;3*[1]QC_indicators!$C$1,"DF","no")))</f>
        <v>no</v>
      </c>
      <c r="EQ1165" t="s">
        <v>1166</v>
      </c>
      <c r="ER1165" s="266" t="s">
        <v>1918</v>
      </c>
      <c r="ET1165" s="266" t="s">
        <v>3409</v>
      </c>
    </row>
    <row r="1166" spans="1:150" ht="15" hidden="1" customHeight="1">
      <c r="A1166" s="1" t="s">
        <v>658</v>
      </c>
      <c r="B1166" t="s">
        <v>1907</v>
      </c>
      <c r="C1166" t="s">
        <v>1908</v>
      </c>
      <c r="D1166" t="s">
        <v>1909</v>
      </c>
      <c r="E1166" t="s">
        <v>1910</v>
      </c>
      <c r="F1166" t="s">
        <v>1911</v>
      </c>
      <c r="G1166" t="s">
        <v>664</v>
      </c>
      <c r="H1166" t="s">
        <v>255</v>
      </c>
      <c r="I1166">
        <v>2016</v>
      </c>
      <c r="J1166">
        <v>41</v>
      </c>
      <c r="K1166" t="s">
        <v>1912</v>
      </c>
      <c r="M1166" t="str">
        <f t="shared" si="362"/>
        <v>Liu_2016</v>
      </c>
      <c r="N1166" t="s">
        <v>223</v>
      </c>
      <c r="O1166" s="145" t="s">
        <v>226</v>
      </c>
      <c r="Q1166" s="266" t="s">
        <v>257</v>
      </c>
      <c r="R1166" s="271" t="s">
        <v>1156</v>
      </c>
      <c r="S1166" s="1" t="s">
        <v>1919</v>
      </c>
      <c r="T1166" s="143" t="s">
        <v>1922</v>
      </c>
      <c r="U1166" s="143" t="s">
        <v>1923</v>
      </c>
      <c r="V1166">
        <v>0</v>
      </c>
      <c r="W1166">
        <v>0</v>
      </c>
      <c r="X1166">
        <v>0</v>
      </c>
      <c r="Y1166">
        <v>0</v>
      </c>
      <c r="Z1166">
        <v>0</v>
      </c>
      <c r="AA1166">
        <v>0</v>
      </c>
      <c r="AB1166">
        <v>0</v>
      </c>
      <c r="AC1166">
        <v>0</v>
      </c>
      <c r="AD1166">
        <v>0</v>
      </c>
      <c r="AE1166">
        <v>0</v>
      </c>
      <c r="AF1166">
        <v>0</v>
      </c>
      <c r="AG1166">
        <v>0</v>
      </c>
      <c r="AH1166">
        <v>0</v>
      </c>
      <c r="AI1166">
        <v>0</v>
      </c>
      <c r="AJ1166">
        <v>0</v>
      </c>
      <c r="AK1166">
        <v>1</v>
      </c>
      <c r="AL1166">
        <v>0</v>
      </c>
      <c r="AM1166">
        <v>0</v>
      </c>
      <c r="AN1166">
        <v>0</v>
      </c>
      <c r="AO1166">
        <v>0</v>
      </c>
      <c r="AP1166">
        <v>0</v>
      </c>
      <c r="AQ1166">
        <v>0</v>
      </c>
      <c r="AR1166">
        <v>0</v>
      </c>
      <c r="AS1166">
        <v>0</v>
      </c>
      <c r="AT1166">
        <v>0</v>
      </c>
      <c r="AU1166">
        <v>0</v>
      </c>
      <c r="AV1166">
        <v>0</v>
      </c>
      <c r="AW1166">
        <v>0</v>
      </c>
      <c r="AX1166" s="141">
        <f t="shared" si="379"/>
        <v>1</v>
      </c>
      <c r="AY1166" s="141">
        <f t="shared" si="350"/>
        <v>1</v>
      </c>
      <c r="AZ1166">
        <f t="shared" si="351"/>
        <v>0</v>
      </c>
      <c r="BA1166">
        <f t="shared" si="352"/>
        <v>0</v>
      </c>
      <c r="BB1166">
        <f t="shared" si="353"/>
        <v>1</v>
      </c>
      <c r="BC1166">
        <f t="shared" si="354"/>
        <v>0</v>
      </c>
      <c r="BD1166">
        <f t="shared" si="355"/>
        <v>0</v>
      </c>
      <c r="BE1166" t="str" cm="1">
        <f t="array" ref="BE1166">IF(AY1166=1,INDEX($V$7:$AL$7,MATCH(TRUE,INDEX($V1166:$AW1166&lt;&gt;0,),0)),IF(AY1166=0,INDEX($AM$7:$AW$7,MATCH(1,$AM1166:$AW1166,0)),IF(BF1166="Multiple strategies","mixed drivers",IF(BF1166="Supply chain","multiple supply","multiple silviculture"))))</f>
        <v>technologies/design switch</v>
      </c>
      <c r="BF1166" s="2" t="str" cm="1">
        <f t="array" ref="BF1166">IF(COUNTIF(AZ1166:BB1166,"&lt;&gt;0")=1,INDEX($V$4:$AW$4,MATCH(TRUE,INDEX($V1166:$AW1166&lt;&gt;0,),0)),IF(COUNTIF(AZ1166:BB1166,"&lt;&gt;0")=0,INDEX($AM$4:$AW$4,MATCH(1,$AM1166:$AW1166,0)),"Multiple strategies"))</f>
        <v>Technology</v>
      </c>
      <c r="BG1166" s="142" t="s">
        <v>230</v>
      </c>
      <c r="BH1166" t="s">
        <v>1914</v>
      </c>
      <c r="BJ1166" s="143" t="s">
        <v>1915</v>
      </c>
      <c r="BK1166">
        <v>0</v>
      </c>
      <c r="BL1166" s="143">
        <v>606</v>
      </c>
      <c r="BM1166" s="163"/>
      <c r="BN1166">
        <f t="shared" si="380"/>
        <v>606</v>
      </c>
      <c r="BO1166" s="143">
        <f>BN1166*t_to_m3</f>
        <v>1236.7346938775511</v>
      </c>
      <c r="BP1166" s="266" t="s">
        <v>233</v>
      </c>
      <c r="BQ1166" s="266"/>
      <c r="BR1166" t="s">
        <v>1916</v>
      </c>
      <c r="BS1166" s="143">
        <v>-5229</v>
      </c>
      <c r="BT1166">
        <v>-2970</v>
      </c>
      <c r="BU1166" s="144">
        <v>0.56798623063683307</v>
      </c>
      <c r="BV1166">
        <f t="shared" si="389"/>
        <v>2259</v>
      </c>
      <c r="BX1166">
        <f t="shared" si="390"/>
        <v>2259</v>
      </c>
      <c r="BY1166">
        <f t="shared" si="378"/>
        <v>1.8265841584158415</v>
      </c>
      <c r="BZ1166">
        <v>0</v>
      </c>
      <c r="CA1166">
        <v>0</v>
      </c>
      <c r="CB1166">
        <v>0</v>
      </c>
      <c r="CC1166">
        <v>0</v>
      </c>
      <c r="CD1166">
        <v>0</v>
      </c>
      <c r="CE1166">
        <v>0</v>
      </c>
      <c r="CF1166">
        <v>0</v>
      </c>
      <c r="CG1166">
        <v>0</v>
      </c>
      <c r="CH1166">
        <v>0</v>
      </c>
      <c r="CI1166">
        <v>0</v>
      </c>
      <c r="CJ1166">
        <v>0</v>
      </c>
      <c r="CK1166">
        <v>0</v>
      </c>
      <c r="CL1166">
        <v>0</v>
      </c>
      <c r="CM1166">
        <v>0</v>
      </c>
      <c r="CN1166" t="str">
        <f t="shared" si="381"/>
        <v>refOK</v>
      </c>
      <c r="CO1166">
        <f>IF($CN1166="refNeedCorrection",BL1166,BK1166)</f>
        <v>0</v>
      </c>
      <c r="CP1166">
        <f>IF($CN1166="refNeedCorrection",BK1166,BL1166)</f>
        <v>606</v>
      </c>
      <c r="CQ1166">
        <f t="shared" si="382"/>
        <v>1236.7346938775511</v>
      </c>
      <c r="CR1166">
        <f t="shared" si="374"/>
        <v>-5229</v>
      </c>
      <c r="CS1166">
        <f t="shared" si="375"/>
        <v>-2970</v>
      </c>
      <c r="CT1166">
        <f t="shared" si="376"/>
        <v>2259</v>
      </c>
      <c r="CU1166">
        <f t="shared" si="365"/>
        <v>1.8265841584158415</v>
      </c>
      <c r="CV1166" s="2">
        <f t="shared" si="377"/>
        <v>0.43201376936316693</v>
      </c>
      <c r="CW1166" s="1" t="s">
        <v>1201</v>
      </c>
      <c r="CX1166" s="266" t="str">
        <f t="shared" si="356"/>
        <v>reg</v>
      </c>
      <c r="CY1166" t="s">
        <v>692</v>
      </c>
      <c r="DA1166" s="143"/>
      <c r="DB1166" s="143">
        <v>50</v>
      </c>
      <c r="DC1166" t="str">
        <f t="shared" si="357"/>
        <v>31-70</v>
      </c>
      <c r="DD1166">
        <v>0</v>
      </c>
      <c r="DE1166">
        <v>0</v>
      </c>
      <c r="DF1166">
        <v>0</v>
      </c>
      <c r="DG1166">
        <v>1</v>
      </c>
      <c r="DI1166">
        <f t="shared" si="391"/>
        <v>1</v>
      </c>
      <c r="DJ1166" t="str">
        <f t="shared" si="363"/>
        <v>TimberInput</v>
      </c>
      <c r="DK1166">
        <f t="shared" si="383"/>
        <v>0</v>
      </c>
      <c r="DL1166">
        <f t="shared" si="384"/>
        <v>0</v>
      </c>
      <c r="DM1166">
        <f t="shared" si="385"/>
        <v>0</v>
      </c>
      <c r="DN1166" t="str">
        <f t="shared" si="386"/>
        <v>Timber</v>
      </c>
      <c r="DO1166">
        <v>0</v>
      </c>
      <c r="DP1166" s="143">
        <v>0</v>
      </c>
      <c r="DQ1166" s="143">
        <v>0</v>
      </c>
      <c r="DR1166">
        <v>0</v>
      </c>
      <c r="DS1166" s="143">
        <v>0</v>
      </c>
      <c r="DT1166">
        <f t="shared" si="371"/>
        <v>0</v>
      </c>
      <c r="DU1166" s="143" t="str">
        <f t="shared" si="359"/>
        <v>explicit C balance</v>
      </c>
      <c r="DV1166" s="143">
        <v>0</v>
      </c>
      <c r="DW1166" s="143">
        <v>0</v>
      </c>
      <c r="DX1166" s="143">
        <v>0</v>
      </c>
      <c r="DY1166" s="143">
        <v>1</v>
      </c>
      <c r="DZ1166">
        <v>0</v>
      </c>
      <c r="EA1166" s="143">
        <v>0</v>
      </c>
      <c r="EB1166" s="143">
        <v>1</v>
      </c>
      <c r="EC1166" s="143">
        <v>1</v>
      </c>
      <c r="ED1166" s="143">
        <v>1</v>
      </c>
      <c r="EE1166">
        <v>1</v>
      </c>
      <c r="EF1166">
        <v>0</v>
      </c>
      <c r="EG1166" s="143">
        <v>0</v>
      </c>
      <c r="EH1166">
        <v>0</v>
      </c>
      <c r="EI1166" s="2">
        <v>0</v>
      </c>
      <c r="EK1166" t="str">
        <f t="shared" si="387"/>
        <v/>
      </c>
      <c r="EL1166" t="str">
        <f t="shared" si="388"/>
        <v/>
      </c>
      <c r="EM1166" s="2" t="str">
        <f t="shared" si="358"/>
        <v>Technology approach</v>
      </c>
      <c r="EN1166" t="s">
        <v>1917</v>
      </c>
      <c r="EP1166" t="str">
        <f>IF(ISNUMBER(BU1166),IF(ABS(BU1166-[1]QC_indicators!$B$2)&gt;3*[1]QC_indicators!$C$2,"C ratio",IF(ISNUMBER(BY1166),IF(ABS(BY1166-[1]QC_indicators!$B$1)&gt;3*[1]QC_indicators!$C$1,"DF","no"))),IF(ISNUMBER(BY1166),IF(ABS(BY1166-[1]QC_indicators!$B$1)&gt;3*[1]QC_indicators!$C$1,"DF","no")))</f>
        <v>no</v>
      </c>
      <c r="EQ1166" t="s">
        <v>1166</v>
      </c>
      <c r="ER1166" s="266" t="s">
        <v>1918</v>
      </c>
      <c r="ET1166" s="266" t="s">
        <v>3409</v>
      </c>
    </row>
    <row r="1167" spans="1:150" ht="15" hidden="1" customHeight="1">
      <c r="D1167" t="s">
        <v>965</v>
      </c>
      <c r="E1167" t="s">
        <v>966</v>
      </c>
      <c r="G1167" t="s">
        <v>967</v>
      </c>
      <c r="I1167">
        <v>2002</v>
      </c>
      <c r="K1167" s="297" t="s">
        <v>968</v>
      </c>
      <c r="M1167" t="str">
        <f t="shared" si="362"/>
        <v>Petersen_2002</v>
      </c>
      <c r="N1167" t="s">
        <v>223</v>
      </c>
      <c r="O1167" s="171" t="s">
        <v>514</v>
      </c>
      <c r="P1167" s="141" t="s">
        <v>226</v>
      </c>
      <c r="Q1167" s="266" t="s">
        <v>390</v>
      </c>
      <c r="R1167" s="271" t="s">
        <v>1156</v>
      </c>
      <c r="S1167" s="265" t="s">
        <v>969</v>
      </c>
      <c r="T1167" s="266" t="s">
        <v>970</v>
      </c>
      <c r="U1167" s="266" t="s">
        <v>971</v>
      </c>
      <c r="V1167">
        <v>0</v>
      </c>
      <c r="W1167">
        <v>0</v>
      </c>
      <c r="X1167">
        <v>0</v>
      </c>
      <c r="Y1167">
        <v>0</v>
      </c>
      <c r="Z1167">
        <v>0</v>
      </c>
      <c r="AA1167">
        <v>0</v>
      </c>
      <c r="AB1167">
        <v>0</v>
      </c>
      <c r="AC1167">
        <v>0</v>
      </c>
      <c r="AD1167">
        <v>0</v>
      </c>
      <c r="AE1167">
        <v>0</v>
      </c>
      <c r="AF1167">
        <v>0</v>
      </c>
      <c r="AG1167">
        <v>0</v>
      </c>
      <c r="AH1167">
        <v>0</v>
      </c>
      <c r="AI1167">
        <v>0</v>
      </c>
      <c r="AJ1167">
        <v>1</v>
      </c>
      <c r="AK1167">
        <v>0</v>
      </c>
      <c r="AL1167">
        <v>0</v>
      </c>
      <c r="AM1167">
        <v>0</v>
      </c>
      <c r="AN1167">
        <v>0</v>
      </c>
      <c r="AO1167">
        <v>0</v>
      </c>
      <c r="AP1167">
        <v>0</v>
      </c>
      <c r="AQ1167">
        <v>0</v>
      </c>
      <c r="AR1167">
        <v>0</v>
      </c>
      <c r="AS1167">
        <v>0</v>
      </c>
      <c r="AT1167">
        <v>0</v>
      </c>
      <c r="AU1167">
        <v>0</v>
      </c>
      <c r="AV1167">
        <v>0</v>
      </c>
      <c r="AW1167">
        <v>0</v>
      </c>
      <c r="AX1167" s="141">
        <f t="shared" si="379"/>
        <v>1</v>
      </c>
      <c r="AY1167" s="141">
        <f t="shared" si="350"/>
        <v>1</v>
      </c>
      <c r="AZ1167">
        <f t="shared" si="351"/>
        <v>0</v>
      </c>
      <c r="BA1167">
        <f t="shared" si="352"/>
        <v>0</v>
      </c>
      <c r="BB1167">
        <f t="shared" si="353"/>
        <v>1</v>
      </c>
      <c r="BC1167">
        <f t="shared" si="354"/>
        <v>0</v>
      </c>
      <c r="BD1167">
        <f t="shared" si="355"/>
        <v>0</v>
      </c>
      <c r="BE1167" t="str" cm="1">
        <f t="array" ref="BE1167">IF(AY1167=1,INDEX($V$7:$AL$7,MATCH(TRUE,INDEX($V1167:$AW1167&lt;&gt;0,),0)),IF(AY1167=0,INDEX($AM$7:$AW$7,MATCH(1,$AM1167:$AW1167,0)),IF(BF1167="Multiple strategies","mixed drivers",IF(BF1167="Supply chain","multiple supply","multiple silviculture"))))</f>
        <v>efficiency improvement</v>
      </c>
      <c r="BF1167" s="2" t="str" cm="1">
        <f t="array" ref="BF1167">IF(COUNTIF(AZ1167:BB1167,"&lt;&gt;0")=1,INDEX($V$4:$AW$4,MATCH(TRUE,INDEX($V1167:$AW1167&lt;&gt;0,),0)),IF(COUNTIF(AZ1167:BB1167,"&lt;&gt;0")=0,INDEX($AM$4:$AW$4,MATCH(1,$AM1167:$AW1167,0)),"Multiple strategies"))</f>
        <v>Technology</v>
      </c>
      <c r="BG1167" s="142" t="s">
        <v>230</v>
      </c>
      <c r="BH1167" t="s">
        <v>972</v>
      </c>
      <c r="BI1167" t="s">
        <v>973</v>
      </c>
      <c r="BJ1167" t="s">
        <v>499</v>
      </c>
      <c r="BK1167">
        <v>1</v>
      </c>
      <c r="BL1167">
        <v>1</v>
      </c>
      <c r="BM1167">
        <f t="shared" ref="BM1167:BM1177" si="392">IFERROR(BL1167/BK1167,"")</f>
        <v>1</v>
      </c>
      <c r="BN1167">
        <f t="shared" si="380"/>
        <v>0</v>
      </c>
      <c r="BO1167">
        <v>1</v>
      </c>
      <c r="BP1167" t="s">
        <v>233</v>
      </c>
      <c r="BQ1167" t="s">
        <v>974</v>
      </c>
      <c r="BR1167" s="266" t="s">
        <v>975</v>
      </c>
      <c r="BS1167">
        <v>0.312</v>
      </c>
      <c r="BT1167">
        <v>0.32900000000000001</v>
      </c>
      <c r="BV1167">
        <f t="shared" si="389"/>
        <v>1.7000000000000015E-2</v>
      </c>
      <c r="BX1167">
        <f t="shared" si="390"/>
        <v>1.7000000000000015E-2</v>
      </c>
      <c r="BY1167">
        <f t="shared" si="378"/>
        <v>1.7000000000000015E-2</v>
      </c>
      <c r="BZ1167">
        <v>0</v>
      </c>
      <c r="CA1167">
        <v>0</v>
      </c>
      <c r="CB1167">
        <v>0</v>
      </c>
      <c r="CC1167">
        <v>0</v>
      </c>
      <c r="CD1167">
        <v>0</v>
      </c>
      <c r="CE1167">
        <v>0</v>
      </c>
      <c r="CF1167">
        <v>0</v>
      </c>
      <c r="CG1167">
        <v>0</v>
      </c>
      <c r="CH1167">
        <v>0</v>
      </c>
      <c r="CI1167">
        <v>0</v>
      </c>
      <c r="CJ1167">
        <v>0</v>
      </c>
      <c r="CK1167">
        <v>0</v>
      </c>
      <c r="CL1167">
        <v>0</v>
      </c>
      <c r="CM1167">
        <v>0</v>
      </c>
      <c r="CN1167" t="str">
        <f t="shared" si="381"/>
        <v>refOK</v>
      </c>
      <c r="CO1167">
        <f t="shared" ref="CO1167:CO1177" si="393">IF($CN1167="refOK",$BK1167,$BL1167)</f>
        <v>1</v>
      </c>
      <c r="CP1167">
        <f t="shared" ref="CP1167:CP1177" si="394">IF($CN1167="refOK",$BL1167,$BK1167)</f>
        <v>1</v>
      </c>
      <c r="CQ1167">
        <f t="shared" si="382"/>
        <v>1</v>
      </c>
      <c r="CR1167">
        <f t="shared" si="374"/>
        <v>0.312</v>
      </c>
      <c r="CS1167">
        <f t="shared" si="375"/>
        <v>0.32900000000000001</v>
      </c>
      <c r="CT1167">
        <f t="shared" si="376"/>
        <v>1.7000000000000015E-2</v>
      </c>
      <c r="CU1167">
        <f t="shared" si="365"/>
        <v>1.7000000000000015E-2</v>
      </c>
      <c r="CV1167" s="2">
        <f t="shared" si="377"/>
        <v>5.4487179487179536E-2</v>
      </c>
      <c r="CW1167" s="1" t="s">
        <v>976</v>
      </c>
      <c r="CX1167" s="266" t="str">
        <f t="shared" si="356"/>
        <v>loc</v>
      </c>
      <c r="CY1167" t="s">
        <v>265</v>
      </c>
      <c r="DB1167">
        <v>50</v>
      </c>
      <c r="DC1167" t="str">
        <f t="shared" si="357"/>
        <v>31-70</v>
      </c>
      <c r="DD1167">
        <v>0</v>
      </c>
      <c r="DE1167">
        <v>0</v>
      </c>
      <c r="DF1167">
        <v>0</v>
      </c>
      <c r="DG1167">
        <v>1</v>
      </c>
      <c r="DH1167">
        <v>0</v>
      </c>
      <c r="DI1167">
        <f t="shared" si="391"/>
        <v>1</v>
      </c>
      <c r="DJ1167" t="str">
        <f t="shared" si="363"/>
        <v>TimberInput</v>
      </c>
      <c r="DK1167">
        <f t="shared" si="383"/>
        <v>0</v>
      </c>
      <c r="DL1167">
        <f t="shared" si="384"/>
        <v>0</v>
      </c>
      <c r="DM1167">
        <f t="shared" si="385"/>
        <v>0</v>
      </c>
      <c r="DN1167" t="str">
        <f t="shared" si="386"/>
        <v>Timber</v>
      </c>
      <c r="DO1167">
        <v>1</v>
      </c>
      <c r="DP1167">
        <v>0</v>
      </c>
      <c r="DQ1167">
        <v>0</v>
      </c>
      <c r="DR1167">
        <v>0</v>
      </c>
      <c r="DS1167">
        <v>0</v>
      </c>
      <c r="DT1167">
        <f t="shared" si="371"/>
        <v>1</v>
      </c>
      <c r="DU1167" s="143" t="str">
        <f t="shared" si="359"/>
        <v>self-calculated DF</v>
      </c>
      <c r="DV1167" s="143">
        <v>0</v>
      </c>
      <c r="DW1167" s="143">
        <v>0</v>
      </c>
      <c r="DX1167" s="143">
        <v>0</v>
      </c>
      <c r="DY1167" s="143">
        <v>0</v>
      </c>
      <c r="DZ1167">
        <v>0</v>
      </c>
      <c r="EA1167" s="143">
        <v>1</v>
      </c>
      <c r="EB1167" s="143">
        <v>0</v>
      </c>
      <c r="EC1167" s="143">
        <v>1</v>
      </c>
      <c r="ED1167" s="143">
        <v>0</v>
      </c>
      <c r="EE1167">
        <v>1</v>
      </c>
      <c r="EF1167">
        <v>0</v>
      </c>
      <c r="EG1167" s="143">
        <v>0</v>
      </c>
      <c r="EH1167" s="143">
        <v>0</v>
      </c>
      <c r="EI1167" s="2">
        <v>0</v>
      </c>
      <c r="EK1167" t="str">
        <f t="shared" si="387"/>
        <v/>
      </c>
      <c r="EL1167" t="str">
        <f t="shared" si="388"/>
        <v/>
      </c>
      <c r="EM1167" s="2" t="str">
        <f t="shared" si="358"/>
        <v>Technology approach</v>
      </c>
      <c r="EN1167" t="s">
        <v>977</v>
      </c>
      <c r="EP1167" t="str">
        <f>IF(ISNUMBER(BU1167),IF(ABS(BU1167-[1]QC_indicators!$B$2)&gt;3*[1]QC_indicators!$C$2,"C ratio",IF(ISNUMBER(BY1167),IF(ABS(BY1167-[1]QC_indicators!$B$1)&gt;3*[1]QC_indicators!$C$1,"DF","no"))),IF(ISNUMBER(BY1167),IF(ABS(BY1167-[1]QC_indicators!$B$1)&gt;3*[1]QC_indicators!$C$1,"DF","no")))</f>
        <v>no</v>
      </c>
      <c r="ET1167" s="266" t="s">
        <v>3409</v>
      </c>
    </row>
    <row r="1168" spans="1:150" ht="15" hidden="1" customHeight="1">
      <c r="D1168" t="s">
        <v>965</v>
      </c>
      <c r="E1168" t="s">
        <v>966</v>
      </c>
      <c r="G1168" t="s">
        <v>967</v>
      </c>
      <c r="I1168">
        <v>2002</v>
      </c>
      <c r="K1168" s="297" t="s">
        <v>968</v>
      </c>
      <c r="M1168" t="str">
        <f t="shared" si="362"/>
        <v>Petersen_2002</v>
      </c>
      <c r="N1168" t="s">
        <v>223</v>
      </c>
      <c r="O1168" s="171" t="s">
        <v>514</v>
      </c>
      <c r="P1168" s="141" t="s">
        <v>226</v>
      </c>
      <c r="Q1168" s="266" t="s">
        <v>390</v>
      </c>
      <c r="R1168" s="271" t="s">
        <v>1156</v>
      </c>
      <c r="S1168" s="265" t="s">
        <v>969</v>
      </c>
      <c r="T1168" s="266" t="s">
        <v>978</v>
      </c>
      <c r="U1168" s="266" t="s">
        <v>971</v>
      </c>
      <c r="V1168">
        <v>0</v>
      </c>
      <c r="W1168">
        <v>0</v>
      </c>
      <c r="X1168">
        <v>0</v>
      </c>
      <c r="Y1168">
        <v>0</v>
      </c>
      <c r="Z1168">
        <v>0</v>
      </c>
      <c r="AA1168">
        <v>0</v>
      </c>
      <c r="AB1168">
        <v>0</v>
      </c>
      <c r="AC1168">
        <v>0</v>
      </c>
      <c r="AD1168">
        <v>0</v>
      </c>
      <c r="AE1168">
        <v>0</v>
      </c>
      <c r="AF1168">
        <v>0</v>
      </c>
      <c r="AG1168">
        <v>0</v>
      </c>
      <c r="AH1168">
        <v>0</v>
      </c>
      <c r="AI1168">
        <v>0</v>
      </c>
      <c r="AJ1168">
        <v>1</v>
      </c>
      <c r="AK1168">
        <v>0</v>
      </c>
      <c r="AL1168">
        <v>0</v>
      </c>
      <c r="AM1168">
        <v>0</v>
      </c>
      <c r="AN1168">
        <v>0</v>
      </c>
      <c r="AO1168">
        <v>0</v>
      </c>
      <c r="AP1168">
        <v>0</v>
      </c>
      <c r="AQ1168">
        <v>0</v>
      </c>
      <c r="AR1168">
        <v>0</v>
      </c>
      <c r="AS1168">
        <v>0</v>
      </c>
      <c r="AT1168">
        <v>0</v>
      </c>
      <c r="AU1168">
        <v>0</v>
      </c>
      <c r="AV1168">
        <v>0</v>
      </c>
      <c r="AW1168">
        <v>0</v>
      </c>
      <c r="AX1168" s="141">
        <f t="shared" si="379"/>
        <v>1</v>
      </c>
      <c r="AY1168" s="141">
        <f t="shared" si="350"/>
        <v>1</v>
      </c>
      <c r="AZ1168">
        <f t="shared" si="351"/>
        <v>0</v>
      </c>
      <c r="BA1168">
        <f t="shared" si="352"/>
        <v>0</v>
      </c>
      <c r="BB1168">
        <f t="shared" si="353"/>
        <v>1</v>
      </c>
      <c r="BC1168">
        <f t="shared" si="354"/>
        <v>0</v>
      </c>
      <c r="BD1168">
        <f t="shared" si="355"/>
        <v>0</v>
      </c>
      <c r="BE1168" t="str" cm="1">
        <f t="array" ref="BE1168">IF(AY1168=1,INDEX($V$7:$AL$7,MATCH(TRUE,INDEX($V1168:$AW1168&lt;&gt;0,),0)),IF(AY1168=0,INDEX($AM$7:$AW$7,MATCH(1,$AM1168:$AW1168,0)),IF(BF1168="Multiple strategies","mixed drivers",IF(BF1168="Supply chain","multiple supply","multiple silviculture"))))</f>
        <v>efficiency improvement</v>
      </c>
      <c r="BF1168" s="2" t="str" cm="1">
        <f t="array" ref="BF1168">IF(COUNTIF(AZ1168:BB1168,"&lt;&gt;0")=1,INDEX($V$4:$AW$4,MATCH(TRUE,INDEX($V1168:$AW1168&lt;&gt;0,),0)),IF(COUNTIF(AZ1168:BB1168,"&lt;&gt;0")=0,INDEX($AM$4:$AW$4,MATCH(1,$AM1168:$AW1168,0)),"Multiple strategies"))</f>
        <v>Technology</v>
      </c>
      <c r="BG1168" s="142" t="s">
        <v>230</v>
      </c>
      <c r="BH1168" t="s">
        <v>972</v>
      </c>
      <c r="BI1168" t="s">
        <v>973</v>
      </c>
      <c r="BJ1168" t="s">
        <v>499</v>
      </c>
      <c r="BK1168">
        <v>1</v>
      </c>
      <c r="BL1168">
        <v>1</v>
      </c>
      <c r="BM1168">
        <f t="shared" si="392"/>
        <v>1</v>
      </c>
      <c r="BN1168">
        <f t="shared" si="380"/>
        <v>0</v>
      </c>
      <c r="BO1168">
        <v>1</v>
      </c>
      <c r="BP1168" t="s">
        <v>233</v>
      </c>
      <c r="BQ1168" t="s">
        <v>974</v>
      </c>
      <c r="BR1168" s="266" t="s">
        <v>975</v>
      </c>
      <c r="BS1168">
        <v>0.28399999999999997</v>
      </c>
      <c r="BT1168">
        <v>0.32900000000000001</v>
      </c>
      <c r="BV1168">
        <f t="shared" si="389"/>
        <v>4.500000000000004E-2</v>
      </c>
      <c r="BX1168">
        <f t="shared" si="390"/>
        <v>4.500000000000004E-2</v>
      </c>
      <c r="BY1168">
        <f t="shared" si="378"/>
        <v>4.500000000000004E-2</v>
      </c>
      <c r="BZ1168">
        <v>0</v>
      </c>
      <c r="CA1168">
        <v>0</v>
      </c>
      <c r="CB1168">
        <v>0</v>
      </c>
      <c r="CC1168">
        <v>0</v>
      </c>
      <c r="CD1168">
        <v>0</v>
      </c>
      <c r="CE1168">
        <v>0</v>
      </c>
      <c r="CF1168">
        <v>0</v>
      </c>
      <c r="CG1168">
        <v>0</v>
      </c>
      <c r="CH1168">
        <v>0</v>
      </c>
      <c r="CI1168">
        <v>0</v>
      </c>
      <c r="CJ1168">
        <v>0</v>
      </c>
      <c r="CK1168">
        <v>0</v>
      </c>
      <c r="CL1168">
        <v>0</v>
      </c>
      <c r="CM1168">
        <v>0</v>
      </c>
      <c r="CN1168" t="str">
        <f t="shared" si="381"/>
        <v>refOK</v>
      </c>
      <c r="CO1168">
        <f t="shared" si="393"/>
        <v>1</v>
      </c>
      <c r="CP1168">
        <f t="shared" si="394"/>
        <v>1</v>
      </c>
      <c r="CQ1168">
        <f t="shared" si="382"/>
        <v>1</v>
      </c>
      <c r="CR1168">
        <f t="shared" si="374"/>
        <v>0.28399999999999997</v>
      </c>
      <c r="CS1168">
        <f t="shared" si="375"/>
        <v>0.32900000000000001</v>
      </c>
      <c r="CT1168">
        <f t="shared" si="376"/>
        <v>4.500000000000004E-2</v>
      </c>
      <c r="CU1168">
        <f t="shared" si="365"/>
        <v>4.500000000000004E-2</v>
      </c>
      <c r="CV1168" s="2">
        <f t="shared" si="377"/>
        <v>0.15845070422535226</v>
      </c>
      <c r="CW1168" s="1" t="s">
        <v>976</v>
      </c>
      <c r="CX1168" s="266" t="str">
        <f t="shared" si="356"/>
        <v>loc</v>
      </c>
      <c r="CY1168" t="s">
        <v>265</v>
      </c>
      <c r="DB1168">
        <v>50</v>
      </c>
      <c r="DC1168" t="str">
        <f t="shared" si="357"/>
        <v>31-70</v>
      </c>
      <c r="DD1168">
        <v>0</v>
      </c>
      <c r="DE1168">
        <v>0</v>
      </c>
      <c r="DF1168">
        <v>0</v>
      </c>
      <c r="DG1168">
        <v>1</v>
      </c>
      <c r="DH1168">
        <v>0</v>
      </c>
      <c r="DI1168">
        <f t="shared" si="391"/>
        <v>1</v>
      </c>
      <c r="DJ1168" t="str">
        <f t="shared" si="363"/>
        <v>TimberInput</v>
      </c>
      <c r="DK1168">
        <f t="shared" si="383"/>
        <v>0</v>
      </c>
      <c r="DL1168">
        <f t="shared" si="384"/>
        <v>0</v>
      </c>
      <c r="DM1168">
        <f t="shared" si="385"/>
        <v>0</v>
      </c>
      <c r="DN1168" t="str">
        <f t="shared" si="386"/>
        <v>Timber</v>
      </c>
      <c r="DO1168">
        <v>1</v>
      </c>
      <c r="DP1168">
        <v>0</v>
      </c>
      <c r="DQ1168">
        <v>0</v>
      </c>
      <c r="DR1168">
        <v>0</v>
      </c>
      <c r="DS1168">
        <v>0</v>
      </c>
      <c r="DT1168">
        <f t="shared" si="371"/>
        <v>1</v>
      </c>
      <c r="DU1168" s="143" t="str">
        <f t="shared" si="359"/>
        <v>self-calculated DF</v>
      </c>
      <c r="DV1168" s="143">
        <v>0</v>
      </c>
      <c r="DW1168" s="143">
        <v>0</v>
      </c>
      <c r="DX1168" s="143">
        <v>0</v>
      </c>
      <c r="DY1168" s="143">
        <v>0</v>
      </c>
      <c r="DZ1168">
        <v>0</v>
      </c>
      <c r="EA1168" s="143">
        <v>1</v>
      </c>
      <c r="EB1168" s="143">
        <v>0</v>
      </c>
      <c r="EC1168" s="143">
        <v>1</v>
      </c>
      <c r="ED1168" s="143">
        <v>0</v>
      </c>
      <c r="EE1168">
        <v>1</v>
      </c>
      <c r="EF1168">
        <v>0</v>
      </c>
      <c r="EG1168" s="143">
        <v>0</v>
      </c>
      <c r="EH1168" s="143">
        <v>0</v>
      </c>
      <c r="EI1168" s="2">
        <v>0</v>
      </c>
      <c r="EK1168" t="str">
        <f t="shared" si="387"/>
        <v/>
      </c>
      <c r="EL1168" t="str">
        <f t="shared" si="388"/>
        <v/>
      </c>
      <c r="EM1168" s="2" t="str">
        <f t="shared" si="358"/>
        <v>Technology approach</v>
      </c>
      <c r="EN1168" t="s">
        <v>979</v>
      </c>
      <c r="EP1168" t="str">
        <f>IF(ISNUMBER(BU1168),IF(ABS(BU1168-[1]QC_indicators!$B$2)&gt;3*[1]QC_indicators!$C$2,"C ratio",IF(ISNUMBER(BY1168),IF(ABS(BY1168-[1]QC_indicators!$B$1)&gt;3*[1]QC_indicators!$C$1,"DF","no"))),IF(ISNUMBER(BY1168),IF(ABS(BY1168-[1]QC_indicators!$B$1)&gt;3*[1]QC_indicators!$C$1,"DF","no")))</f>
        <v>no</v>
      </c>
      <c r="ET1168" s="266" t="s">
        <v>3409</v>
      </c>
    </row>
    <row r="1169" spans="1:150" ht="15" hidden="1" customHeight="1">
      <c r="D1169" t="s">
        <v>965</v>
      </c>
      <c r="E1169" t="s">
        <v>966</v>
      </c>
      <c r="G1169" t="s">
        <v>967</v>
      </c>
      <c r="I1169">
        <v>2002</v>
      </c>
      <c r="K1169" s="297" t="s">
        <v>968</v>
      </c>
      <c r="M1169" t="str">
        <f t="shared" si="362"/>
        <v>Petersen_2002</v>
      </c>
      <c r="N1169" t="s">
        <v>223</v>
      </c>
      <c r="O1169" s="171" t="s">
        <v>514</v>
      </c>
      <c r="P1169" s="141" t="s">
        <v>226</v>
      </c>
      <c r="Q1169" s="266" t="s">
        <v>390</v>
      </c>
      <c r="R1169" s="271" t="s">
        <v>1156</v>
      </c>
      <c r="S1169" s="265" t="s">
        <v>980</v>
      </c>
      <c r="T1169" s="266" t="s">
        <v>981</v>
      </c>
      <c r="U1169" s="266" t="s">
        <v>982</v>
      </c>
      <c r="V1169">
        <v>0</v>
      </c>
      <c r="W1169">
        <v>0</v>
      </c>
      <c r="X1169">
        <v>0</v>
      </c>
      <c r="Y1169">
        <v>0</v>
      </c>
      <c r="Z1169">
        <v>0</v>
      </c>
      <c r="AA1169">
        <v>0</v>
      </c>
      <c r="AB1169">
        <v>0</v>
      </c>
      <c r="AC1169">
        <v>0</v>
      </c>
      <c r="AD1169">
        <v>0</v>
      </c>
      <c r="AE1169">
        <v>0</v>
      </c>
      <c r="AF1169">
        <v>0</v>
      </c>
      <c r="AG1169">
        <v>0</v>
      </c>
      <c r="AH1169">
        <v>0</v>
      </c>
      <c r="AI1169">
        <v>0</v>
      </c>
      <c r="AJ1169">
        <v>0</v>
      </c>
      <c r="AK1169">
        <v>1</v>
      </c>
      <c r="AL1169">
        <v>0</v>
      </c>
      <c r="AM1169">
        <v>0</v>
      </c>
      <c r="AN1169">
        <v>0</v>
      </c>
      <c r="AO1169">
        <v>0</v>
      </c>
      <c r="AP1169">
        <v>0</v>
      </c>
      <c r="AQ1169">
        <v>0</v>
      </c>
      <c r="AR1169">
        <v>0</v>
      </c>
      <c r="AS1169">
        <v>0</v>
      </c>
      <c r="AT1169">
        <v>0</v>
      </c>
      <c r="AU1169">
        <v>0</v>
      </c>
      <c r="AV1169">
        <v>0</v>
      </c>
      <c r="AW1169">
        <v>0</v>
      </c>
      <c r="AX1169" s="141">
        <f t="shared" si="379"/>
        <v>1</v>
      </c>
      <c r="AY1169" s="141">
        <f t="shared" si="350"/>
        <v>1</v>
      </c>
      <c r="AZ1169">
        <f t="shared" si="351"/>
        <v>0</v>
      </c>
      <c r="BA1169">
        <f t="shared" si="352"/>
        <v>0</v>
      </c>
      <c r="BB1169">
        <f t="shared" si="353"/>
        <v>1</v>
      </c>
      <c r="BC1169">
        <f t="shared" si="354"/>
        <v>0</v>
      </c>
      <c r="BD1169">
        <f t="shared" si="355"/>
        <v>0</v>
      </c>
      <c r="BE1169" t="str" cm="1">
        <f t="array" ref="BE1169">IF(AY1169=1,INDEX($V$7:$AL$7,MATCH(TRUE,INDEX($V1169:$AW1169&lt;&gt;0,),0)),IF(AY1169=0,INDEX($AM$7:$AW$7,MATCH(1,$AM1169:$AW1169,0)),IF(BF1169="Multiple strategies","mixed drivers",IF(BF1169="Supply chain","multiple supply","multiple silviculture"))))</f>
        <v>technologies/design switch</v>
      </c>
      <c r="BF1169" s="2" t="str" cm="1">
        <f t="array" ref="BF1169">IF(COUNTIF(AZ1169:BB1169,"&lt;&gt;0")=1,INDEX($V$4:$AW$4,MATCH(TRUE,INDEX($V1169:$AW1169&lt;&gt;0,),0)),IF(COUNTIF(AZ1169:BB1169,"&lt;&gt;0")=0,INDEX($AM$4:$AW$4,MATCH(1,$AM1169:$AW1169,0)),"Multiple strategies"))</f>
        <v>Technology</v>
      </c>
      <c r="BG1169" s="142" t="s">
        <v>230</v>
      </c>
      <c r="BH1169" t="s">
        <v>972</v>
      </c>
      <c r="BI1169" t="s">
        <v>973</v>
      </c>
      <c r="BJ1169" t="s">
        <v>499</v>
      </c>
      <c r="BK1169">
        <v>0</v>
      </c>
      <c r="BL1169">
        <v>1</v>
      </c>
      <c r="BM1169" t="str">
        <f t="shared" si="392"/>
        <v/>
      </c>
      <c r="BN1169">
        <f t="shared" si="380"/>
        <v>1</v>
      </c>
      <c r="BO1169">
        <v>1</v>
      </c>
      <c r="BP1169" t="s">
        <v>233</v>
      </c>
      <c r="BQ1169" t="s">
        <v>974</v>
      </c>
      <c r="BR1169" s="266" t="s">
        <v>975</v>
      </c>
      <c r="BV1169">
        <v>-0.58299999999999996</v>
      </c>
      <c r="BX1169">
        <f t="shared" si="390"/>
        <v>-0.58299999999999996</v>
      </c>
      <c r="BY1169">
        <f t="shared" si="378"/>
        <v>-0.58299999999999996</v>
      </c>
      <c r="BZ1169">
        <v>0</v>
      </c>
      <c r="CA1169">
        <v>0</v>
      </c>
      <c r="CB1169">
        <v>0</v>
      </c>
      <c r="CC1169">
        <v>0</v>
      </c>
      <c r="CD1169">
        <v>0</v>
      </c>
      <c r="CE1169">
        <v>0</v>
      </c>
      <c r="CF1169">
        <v>0</v>
      </c>
      <c r="CG1169">
        <v>0</v>
      </c>
      <c r="CH1169">
        <v>0</v>
      </c>
      <c r="CI1169">
        <v>0</v>
      </c>
      <c r="CJ1169">
        <v>0</v>
      </c>
      <c r="CK1169">
        <v>0</v>
      </c>
      <c r="CL1169">
        <v>0</v>
      </c>
      <c r="CM1169">
        <v>0</v>
      </c>
      <c r="CN1169" t="str">
        <f t="shared" si="381"/>
        <v>refOK</v>
      </c>
      <c r="CO1169">
        <f t="shared" si="393"/>
        <v>0</v>
      </c>
      <c r="CP1169">
        <f t="shared" si="394"/>
        <v>1</v>
      </c>
      <c r="CQ1169">
        <f t="shared" si="382"/>
        <v>1</v>
      </c>
      <c r="CR1169">
        <f t="shared" si="374"/>
        <v>0</v>
      </c>
      <c r="CS1169">
        <f t="shared" si="375"/>
        <v>0</v>
      </c>
      <c r="CT1169">
        <f t="shared" si="376"/>
        <v>-0.58299999999999996</v>
      </c>
      <c r="CU1169">
        <f t="shared" si="365"/>
        <v>-0.58299999999999996</v>
      </c>
      <c r="CV1169" s="2" t="str">
        <f t="shared" si="377"/>
        <v/>
      </c>
      <c r="CW1169" s="1" t="s">
        <v>976</v>
      </c>
      <c r="CX1169" s="266" t="str">
        <f t="shared" si="356"/>
        <v>loc</v>
      </c>
      <c r="CY1169" t="s">
        <v>265</v>
      </c>
      <c r="DB1169">
        <v>50</v>
      </c>
      <c r="DC1169" t="str">
        <f t="shared" si="357"/>
        <v>31-70</v>
      </c>
      <c r="DD1169">
        <v>0</v>
      </c>
      <c r="DE1169">
        <v>0</v>
      </c>
      <c r="DF1169">
        <v>0</v>
      </c>
      <c r="DG1169">
        <v>1</v>
      </c>
      <c r="DH1169">
        <v>0</v>
      </c>
      <c r="DI1169">
        <f t="shared" si="391"/>
        <v>1</v>
      </c>
      <c r="DJ1169" t="str">
        <f t="shared" si="363"/>
        <v>TimberInput</v>
      </c>
      <c r="DK1169">
        <f t="shared" si="383"/>
        <v>0</v>
      </c>
      <c r="DL1169">
        <f t="shared" si="384"/>
        <v>0</v>
      </c>
      <c r="DM1169">
        <f t="shared" si="385"/>
        <v>0</v>
      </c>
      <c r="DN1169" t="str">
        <f t="shared" si="386"/>
        <v>Timber</v>
      </c>
      <c r="DO1169">
        <v>1</v>
      </c>
      <c r="DP1169">
        <v>0</v>
      </c>
      <c r="DQ1169">
        <v>0</v>
      </c>
      <c r="DR1169">
        <v>0</v>
      </c>
      <c r="DS1169">
        <v>0</v>
      </c>
      <c r="DT1169">
        <f t="shared" si="371"/>
        <v>1</v>
      </c>
      <c r="DU1169" s="143" t="str">
        <f t="shared" si="359"/>
        <v>self-calculated DF</v>
      </c>
      <c r="DV1169" s="143">
        <v>0</v>
      </c>
      <c r="DW1169" s="143">
        <v>0</v>
      </c>
      <c r="DX1169" s="143">
        <v>0</v>
      </c>
      <c r="DY1169" s="143">
        <v>0</v>
      </c>
      <c r="DZ1169">
        <v>0</v>
      </c>
      <c r="EA1169" s="143">
        <v>1</v>
      </c>
      <c r="EB1169" s="143">
        <v>0</v>
      </c>
      <c r="EC1169" s="143">
        <v>1</v>
      </c>
      <c r="ED1169" s="143">
        <v>0</v>
      </c>
      <c r="EE1169">
        <v>1</v>
      </c>
      <c r="EF1169">
        <v>0</v>
      </c>
      <c r="EG1169" s="143">
        <v>0</v>
      </c>
      <c r="EH1169" s="143">
        <v>0</v>
      </c>
      <c r="EI1169" s="2">
        <v>0</v>
      </c>
      <c r="EK1169" t="str">
        <f t="shared" si="387"/>
        <v/>
      </c>
      <c r="EL1169" t="str">
        <f t="shared" si="388"/>
        <v/>
      </c>
      <c r="EM1169" s="2" t="str">
        <f t="shared" si="358"/>
        <v>Technology approach</v>
      </c>
      <c r="EN1169" t="s">
        <v>983</v>
      </c>
      <c r="EP1169" t="str">
        <f>IF(ISNUMBER(BU1169),IF(ABS(BU1169-[1]QC_indicators!$B$2)&gt;3*[1]QC_indicators!$C$2,"C ratio",IF(ISNUMBER(BY1169),IF(ABS(BY1169-[1]QC_indicators!$B$1)&gt;3*[1]QC_indicators!$C$1,"DF","no"))),IF(ISNUMBER(BY1169),IF(ABS(BY1169-[1]QC_indicators!$B$1)&gt;3*[1]QC_indicators!$C$1,"DF","no")))</f>
        <v>no</v>
      </c>
      <c r="ET1169" s="266" t="s">
        <v>3409</v>
      </c>
    </row>
    <row r="1170" spans="1:150" ht="15" hidden="1" customHeight="1">
      <c r="D1170" t="s">
        <v>965</v>
      </c>
      <c r="E1170" t="s">
        <v>966</v>
      </c>
      <c r="G1170" t="s">
        <v>967</v>
      </c>
      <c r="I1170">
        <v>2002</v>
      </c>
      <c r="K1170" s="297" t="s">
        <v>968</v>
      </c>
      <c r="M1170" t="str">
        <f t="shared" si="362"/>
        <v>Petersen_2002</v>
      </c>
      <c r="N1170" t="s">
        <v>223</v>
      </c>
      <c r="O1170" s="171" t="s">
        <v>514</v>
      </c>
      <c r="P1170" s="141" t="s">
        <v>226</v>
      </c>
      <c r="Q1170" s="266" t="s">
        <v>390</v>
      </c>
      <c r="R1170" s="271" t="s">
        <v>1156</v>
      </c>
      <c r="S1170" s="265" t="s">
        <v>984</v>
      </c>
      <c r="T1170" s="266" t="s">
        <v>981</v>
      </c>
      <c r="U1170" s="266" t="s">
        <v>982</v>
      </c>
      <c r="V1170">
        <v>0</v>
      </c>
      <c r="W1170">
        <v>0</v>
      </c>
      <c r="X1170">
        <v>0</v>
      </c>
      <c r="Y1170">
        <v>0</v>
      </c>
      <c r="Z1170">
        <v>0</v>
      </c>
      <c r="AA1170">
        <v>0</v>
      </c>
      <c r="AB1170">
        <v>0</v>
      </c>
      <c r="AC1170">
        <v>0</v>
      </c>
      <c r="AD1170">
        <v>0</v>
      </c>
      <c r="AE1170">
        <v>0</v>
      </c>
      <c r="AF1170">
        <v>0</v>
      </c>
      <c r="AG1170">
        <v>0</v>
      </c>
      <c r="AH1170">
        <v>0</v>
      </c>
      <c r="AI1170">
        <v>0</v>
      </c>
      <c r="AJ1170">
        <v>0</v>
      </c>
      <c r="AK1170">
        <v>1</v>
      </c>
      <c r="AL1170">
        <v>0</v>
      </c>
      <c r="AM1170">
        <v>0</v>
      </c>
      <c r="AN1170">
        <v>0</v>
      </c>
      <c r="AO1170">
        <v>0</v>
      </c>
      <c r="AP1170">
        <v>0</v>
      </c>
      <c r="AQ1170">
        <v>0</v>
      </c>
      <c r="AR1170">
        <v>0</v>
      </c>
      <c r="AS1170">
        <v>0</v>
      </c>
      <c r="AT1170">
        <v>0</v>
      </c>
      <c r="AU1170">
        <v>0</v>
      </c>
      <c r="AV1170">
        <v>0</v>
      </c>
      <c r="AW1170">
        <v>0</v>
      </c>
      <c r="AX1170" s="141">
        <f t="shared" si="379"/>
        <v>1</v>
      </c>
      <c r="AY1170" s="141">
        <f t="shared" si="350"/>
        <v>1</v>
      </c>
      <c r="AZ1170">
        <f t="shared" si="351"/>
        <v>0</v>
      </c>
      <c r="BA1170">
        <f t="shared" si="352"/>
        <v>0</v>
      </c>
      <c r="BB1170">
        <f t="shared" si="353"/>
        <v>1</v>
      </c>
      <c r="BC1170">
        <f t="shared" si="354"/>
        <v>0</v>
      </c>
      <c r="BD1170">
        <f t="shared" si="355"/>
        <v>0</v>
      </c>
      <c r="BE1170" t="str" cm="1">
        <f t="array" ref="BE1170">IF(AY1170=1,INDEX($V$7:$AL$7,MATCH(TRUE,INDEX($V1170:$AW1170&lt;&gt;0,),0)),IF(AY1170=0,INDEX($AM$7:$AW$7,MATCH(1,$AM1170:$AW1170,0)),IF(BF1170="Multiple strategies","mixed drivers",IF(BF1170="Supply chain","multiple supply","multiple silviculture"))))</f>
        <v>technologies/design switch</v>
      </c>
      <c r="BF1170" s="2" t="str" cm="1">
        <f t="array" ref="BF1170">IF(COUNTIF(AZ1170:BB1170,"&lt;&gt;0")=1,INDEX($V$4:$AW$4,MATCH(TRUE,INDEX($V1170:$AW1170&lt;&gt;0,),0)),IF(COUNTIF(AZ1170:BB1170,"&lt;&gt;0")=0,INDEX($AM$4:$AW$4,MATCH(1,$AM1170:$AW1170,0)),"Multiple strategies"))</f>
        <v>Technology</v>
      </c>
      <c r="BG1170" s="142" t="s">
        <v>230</v>
      </c>
      <c r="BH1170" t="s">
        <v>972</v>
      </c>
      <c r="BI1170" t="s">
        <v>973</v>
      </c>
      <c r="BJ1170" t="s">
        <v>499</v>
      </c>
      <c r="BK1170">
        <v>0</v>
      </c>
      <c r="BL1170">
        <v>1</v>
      </c>
      <c r="BM1170" t="str">
        <f t="shared" si="392"/>
        <v/>
      </c>
      <c r="BN1170">
        <f t="shared" si="380"/>
        <v>1</v>
      </c>
      <c r="BO1170">
        <v>1</v>
      </c>
      <c r="BP1170" t="s">
        <v>233</v>
      </c>
      <c r="BQ1170" t="s">
        <v>974</v>
      </c>
      <c r="BR1170" s="266" t="s">
        <v>975</v>
      </c>
      <c r="BV1170">
        <v>-4.3999999999999997E-2</v>
      </c>
      <c r="BX1170">
        <f t="shared" si="390"/>
        <v>-4.3999999999999997E-2</v>
      </c>
      <c r="BY1170">
        <f t="shared" si="378"/>
        <v>-4.3999999999999997E-2</v>
      </c>
      <c r="BZ1170">
        <v>0</v>
      </c>
      <c r="CA1170">
        <v>0</v>
      </c>
      <c r="CB1170">
        <v>0</v>
      </c>
      <c r="CC1170">
        <v>0</v>
      </c>
      <c r="CD1170">
        <v>0</v>
      </c>
      <c r="CE1170">
        <v>0</v>
      </c>
      <c r="CF1170">
        <v>0</v>
      </c>
      <c r="CG1170">
        <v>0</v>
      </c>
      <c r="CH1170">
        <v>0</v>
      </c>
      <c r="CI1170">
        <v>0</v>
      </c>
      <c r="CJ1170">
        <v>0</v>
      </c>
      <c r="CK1170">
        <v>0</v>
      </c>
      <c r="CL1170">
        <v>0</v>
      </c>
      <c r="CM1170">
        <v>0</v>
      </c>
      <c r="CN1170" t="str">
        <f t="shared" si="381"/>
        <v>refOK</v>
      </c>
      <c r="CO1170">
        <f t="shared" si="393"/>
        <v>0</v>
      </c>
      <c r="CP1170">
        <f t="shared" si="394"/>
        <v>1</v>
      </c>
      <c r="CQ1170">
        <f t="shared" si="382"/>
        <v>1</v>
      </c>
      <c r="CR1170">
        <f t="shared" si="374"/>
        <v>0</v>
      </c>
      <c r="CS1170">
        <f t="shared" si="375"/>
        <v>0</v>
      </c>
      <c r="CT1170">
        <f t="shared" si="376"/>
        <v>-4.3999999999999997E-2</v>
      </c>
      <c r="CU1170">
        <f t="shared" si="365"/>
        <v>-4.3999999999999997E-2</v>
      </c>
      <c r="CV1170" s="2" t="str">
        <f t="shared" si="377"/>
        <v/>
      </c>
      <c r="CW1170" s="1" t="s">
        <v>976</v>
      </c>
      <c r="CX1170" s="266" t="str">
        <f t="shared" si="356"/>
        <v>loc</v>
      </c>
      <c r="CY1170" t="s">
        <v>265</v>
      </c>
      <c r="DB1170">
        <v>50</v>
      </c>
      <c r="DC1170" t="str">
        <f t="shared" si="357"/>
        <v>31-70</v>
      </c>
      <c r="DD1170">
        <v>0</v>
      </c>
      <c r="DE1170">
        <v>0</v>
      </c>
      <c r="DF1170">
        <v>0</v>
      </c>
      <c r="DG1170">
        <v>1</v>
      </c>
      <c r="DH1170">
        <v>0</v>
      </c>
      <c r="DI1170">
        <f t="shared" si="391"/>
        <v>1</v>
      </c>
      <c r="DJ1170" t="str">
        <f t="shared" si="363"/>
        <v>TimberInput</v>
      </c>
      <c r="DK1170">
        <f t="shared" si="383"/>
        <v>0</v>
      </c>
      <c r="DL1170">
        <f t="shared" si="384"/>
        <v>0</v>
      </c>
      <c r="DM1170">
        <f t="shared" si="385"/>
        <v>0</v>
      </c>
      <c r="DN1170" t="str">
        <f t="shared" si="386"/>
        <v>Timber</v>
      </c>
      <c r="DO1170">
        <v>1</v>
      </c>
      <c r="DP1170">
        <v>0</v>
      </c>
      <c r="DQ1170">
        <v>0</v>
      </c>
      <c r="DR1170">
        <v>0</v>
      </c>
      <c r="DS1170">
        <v>0</v>
      </c>
      <c r="DT1170">
        <f t="shared" si="371"/>
        <v>1</v>
      </c>
      <c r="DU1170" s="143" t="str">
        <f t="shared" si="359"/>
        <v>self-calculated DF</v>
      </c>
      <c r="DV1170" s="143">
        <v>0</v>
      </c>
      <c r="DW1170" s="143">
        <v>0</v>
      </c>
      <c r="DX1170" s="143">
        <v>0</v>
      </c>
      <c r="DY1170" s="143">
        <v>0</v>
      </c>
      <c r="DZ1170">
        <v>0</v>
      </c>
      <c r="EA1170" s="143">
        <v>1</v>
      </c>
      <c r="EB1170" s="143">
        <v>0</v>
      </c>
      <c r="EC1170" s="143">
        <v>1</v>
      </c>
      <c r="ED1170" s="143">
        <v>0</v>
      </c>
      <c r="EE1170">
        <v>1</v>
      </c>
      <c r="EF1170">
        <v>0</v>
      </c>
      <c r="EG1170" s="143">
        <v>0</v>
      </c>
      <c r="EH1170" s="143">
        <v>0</v>
      </c>
      <c r="EI1170" s="2">
        <v>0</v>
      </c>
      <c r="EK1170" t="str">
        <f t="shared" si="387"/>
        <v/>
      </c>
      <c r="EL1170" t="str">
        <f t="shared" si="388"/>
        <v/>
      </c>
      <c r="EM1170" s="2" t="str">
        <f t="shared" si="358"/>
        <v>Technology approach</v>
      </c>
      <c r="EN1170" t="s">
        <v>979</v>
      </c>
      <c r="EP1170" t="str">
        <f>IF(ISNUMBER(BU1170),IF(ABS(BU1170-[1]QC_indicators!$B$2)&gt;3*[1]QC_indicators!$C$2,"C ratio",IF(ISNUMBER(BY1170),IF(ABS(BY1170-[1]QC_indicators!$B$1)&gt;3*[1]QC_indicators!$C$1,"DF","no"))),IF(ISNUMBER(BY1170),IF(ABS(BY1170-[1]QC_indicators!$B$1)&gt;3*[1]QC_indicators!$C$1,"DF","no")))</f>
        <v>no</v>
      </c>
      <c r="ET1170" s="266" t="s">
        <v>3409</v>
      </c>
    </row>
    <row r="1171" spans="1:150" ht="15" hidden="1" customHeight="1">
      <c r="D1171" t="s">
        <v>965</v>
      </c>
      <c r="E1171" t="s">
        <v>966</v>
      </c>
      <c r="G1171" t="s">
        <v>967</v>
      </c>
      <c r="I1171">
        <v>2002</v>
      </c>
      <c r="K1171" s="297" t="s">
        <v>968</v>
      </c>
      <c r="M1171" t="str">
        <f t="shared" si="362"/>
        <v>Petersen_2002</v>
      </c>
      <c r="N1171" t="s">
        <v>223</v>
      </c>
      <c r="O1171" s="171" t="s">
        <v>514</v>
      </c>
      <c r="P1171" s="141" t="s">
        <v>226</v>
      </c>
      <c r="Q1171" s="266" t="s">
        <v>390</v>
      </c>
      <c r="R1171" s="271" t="s">
        <v>1156</v>
      </c>
      <c r="S1171" s="265" t="s">
        <v>985</v>
      </c>
      <c r="T1171" s="149" t="s">
        <v>981</v>
      </c>
      <c r="U1171" s="266" t="s">
        <v>982</v>
      </c>
      <c r="V1171">
        <v>0</v>
      </c>
      <c r="W1171">
        <v>0</v>
      </c>
      <c r="X1171">
        <v>0</v>
      </c>
      <c r="Y1171">
        <v>0</v>
      </c>
      <c r="Z1171">
        <v>0</v>
      </c>
      <c r="AA1171">
        <v>0</v>
      </c>
      <c r="AB1171">
        <v>0</v>
      </c>
      <c r="AC1171">
        <v>0</v>
      </c>
      <c r="AD1171">
        <v>0</v>
      </c>
      <c r="AE1171">
        <v>0</v>
      </c>
      <c r="AF1171">
        <v>0</v>
      </c>
      <c r="AG1171">
        <v>0</v>
      </c>
      <c r="AH1171">
        <v>0</v>
      </c>
      <c r="AI1171">
        <v>0</v>
      </c>
      <c r="AJ1171">
        <v>0</v>
      </c>
      <c r="AK1171">
        <v>1</v>
      </c>
      <c r="AL1171">
        <v>0</v>
      </c>
      <c r="AM1171">
        <v>0</v>
      </c>
      <c r="AN1171">
        <v>0</v>
      </c>
      <c r="AO1171">
        <v>0</v>
      </c>
      <c r="AP1171">
        <v>0</v>
      </c>
      <c r="AQ1171">
        <v>0</v>
      </c>
      <c r="AR1171">
        <v>0</v>
      </c>
      <c r="AS1171">
        <v>0</v>
      </c>
      <c r="AT1171">
        <v>0</v>
      </c>
      <c r="AU1171">
        <v>0</v>
      </c>
      <c r="AV1171">
        <v>0</v>
      </c>
      <c r="AW1171">
        <v>0</v>
      </c>
      <c r="AX1171" s="141">
        <f t="shared" si="379"/>
        <v>1</v>
      </c>
      <c r="AY1171" s="141">
        <f t="shared" si="350"/>
        <v>1</v>
      </c>
      <c r="AZ1171">
        <f t="shared" si="351"/>
        <v>0</v>
      </c>
      <c r="BA1171">
        <f t="shared" si="352"/>
        <v>0</v>
      </c>
      <c r="BB1171">
        <f t="shared" si="353"/>
        <v>1</v>
      </c>
      <c r="BC1171">
        <f t="shared" si="354"/>
        <v>0</v>
      </c>
      <c r="BD1171">
        <f t="shared" si="355"/>
        <v>0</v>
      </c>
      <c r="BE1171" t="str" cm="1">
        <f t="array" ref="BE1171">IF(AY1171=1,INDEX($V$7:$AL$7,MATCH(TRUE,INDEX($V1171:$AW1171&lt;&gt;0,),0)),IF(AY1171=0,INDEX($AM$7:$AW$7,MATCH(1,$AM1171:$AW1171,0)),IF(BF1171="Multiple strategies","mixed drivers",IF(BF1171="Supply chain","multiple supply","multiple silviculture"))))</f>
        <v>technologies/design switch</v>
      </c>
      <c r="BF1171" s="2" t="str" cm="1">
        <f t="array" ref="BF1171">IF(COUNTIF(AZ1171:BB1171,"&lt;&gt;0")=1,INDEX($V$4:$AW$4,MATCH(TRUE,INDEX($V1171:$AW1171&lt;&gt;0,),0)),IF(COUNTIF(AZ1171:BB1171,"&lt;&gt;0")=0,INDEX($AM$4:$AW$4,MATCH(1,$AM1171:$AW1171,0)),"Multiple strategies"))</f>
        <v>Technology</v>
      </c>
      <c r="BG1171" s="142" t="s">
        <v>230</v>
      </c>
      <c r="BH1171" t="s">
        <v>972</v>
      </c>
      <c r="BI1171" t="s">
        <v>973</v>
      </c>
      <c r="BJ1171" t="s">
        <v>499</v>
      </c>
      <c r="BK1171">
        <v>0</v>
      </c>
      <c r="BL1171">
        <v>1</v>
      </c>
      <c r="BM1171" t="str">
        <f t="shared" si="392"/>
        <v/>
      </c>
      <c r="BN1171">
        <f t="shared" si="380"/>
        <v>1</v>
      </c>
      <c r="BO1171">
        <v>1</v>
      </c>
      <c r="BP1171" t="s">
        <v>233</v>
      </c>
      <c r="BQ1171" t="s">
        <v>974</v>
      </c>
      <c r="BR1171" s="266" t="s">
        <v>975</v>
      </c>
      <c r="BV1171">
        <v>0.312</v>
      </c>
      <c r="BX1171">
        <f t="shared" si="390"/>
        <v>0.312</v>
      </c>
      <c r="BY1171">
        <f t="shared" si="378"/>
        <v>0.312</v>
      </c>
      <c r="BZ1171">
        <v>0</v>
      </c>
      <c r="CA1171">
        <v>0</v>
      </c>
      <c r="CB1171">
        <v>0</v>
      </c>
      <c r="CC1171">
        <v>0</v>
      </c>
      <c r="CD1171">
        <v>0</v>
      </c>
      <c r="CE1171">
        <v>0</v>
      </c>
      <c r="CF1171">
        <v>0</v>
      </c>
      <c r="CG1171">
        <v>0</v>
      </c>
      <c r="CH1171">
        <v>0</v>
      </c>
      <c r="CI1171">
        <v>0</v>
      </c>
      <c r="CJ1171">
        <v>0</v>
      </c>
      <c r="CK1171">
        <v>0</v>
      </c>
      <c r="CL1171">
        <v>0</v>
      </c>
      <c r="CM1171">
        <v>0</v>
      </c>
      <c r="CN1171" t="str">
        <f t="shared" si="381"/>
        <v>refOK</v>
      </c>
      <c r="CO1171">
        <f t="shared" si="393"/>
        <v>0</v>
      </c>
      <c r="CP1171">
        <f t="shared" si="394"/>
        <v>1</v>
      </c>
      <c r="CQ1171">
        <f t="shared" si="382"/>
        <v>1</v>
      </c>
      <c r="CR1171">
        <f t="shared" si="374"/>
        <v>0</v>
      </c>
      <c r="CS1171">
        <f t="shared" si="375"/>
        <v>0</v>
      </c>
      <c r="CT1171">
        <f t="shared" si="376"/>
        <v>0.312</v>
      </c>
      <c r="CU1171">
        <f t="shared" si="365"/>
        <v>0.312</v>
      </c>
      <c r="CV1171" s="2" t="str">
        <f t="shared" si="377"/>
        <v/>
      </c>
      <c r="CW1171" s="1" t="s">
        <v>976</v>
      </c>
      <c r="CX1171" s="266" t="str">
        <f t="shared" si="356"/>
        <v>loc</v>
      </c>
      <c r="CY1171" t="s">
        <v>265</v>
      </c>
      <c r="DB1171">
        <v>50</v>
      </c>
      <c r="DC1171" t="str">
        <f t="shared" si="357"/>
        <v>31-70</v>
      </c>
      <c r="DD1171">
        <v>0</v>
      </c>
      <c r="DE1171">
        <v>0</v>
      </c>
      <c r="DF1171">
        <v>0</v>
      </c>
      <c r="DG1171">
        <v>1</v>
      </c>
      <c r="DH1171">
        <v>0</v>
      </c>
      <c r="DI1171">
        <f t="shared" si="391"/>
        <v>1</v>
      </c>
      <c r="DJ1171" t="str">
        <f t="shared" si="363"/>
        <v>TimberInput</v>
      </c>
      <c r="DK1171">
        <f t="shared" si="383"/>
        <v>0</v>
      </c>
      <c r="DL1171">
        <f t="shared" si="384"/>
        <v>0</v>
      </c>
      <c r="DM1171">
        <f t="shared" si="385"/>
        <v>0</v>
      </c>
      <c r="DN1171" t="str">
        <f t="shared" si="386"/>
        <v>Timber</v>
      </c>
      <c r="DO1171">
        <v>1</v>
      </c>
      <c r="DP1171">
        <v>0</v>
      </c>
      <c r="DQ1171">
        <v>0</v>
      </c>
      <c r="DR1171">
        <v>0</v>
      </c>
      <c r="DS1171">
        <v>0</v>
      </c>
      <c r="DT1171">
        <f t="shared" si="371"/>
        <v>1</v>
      </c>
      <c r="DU1171" s="143" t="str">
        <f t="shared" si="359"/>
        <v>self-calculated DF</v>
      </c>
      <c r="DV1171" s="143">
        <v>0</v>
      </c>
      <c r="DW1171" s="143">
        <v>0</v>
      </c>
      <c r="DX1171" s="143">
        <v>0</v>
      </c>
      <c r="DY1171" s="143">
        <v>0</v>
      </c>
      <c r="DZ1171">
        <v>0</v>
      </c>
      <c r="EA1171" s="143">
        <v>1</v>
      </c>
      <c r="EB1171" s="143">
        <v>0</v>
      </c>
      <c r="EC1171" s="143">
        <v>1</v>
      </c>
      <c r="ED1171" s="143">
        <v>0</v>
      </c>
      <c r="EE1171">
        <v>1</v>
      </c>
      <c r="EF1171">
        <v>0</v>
      </c>
      <c r="EG1171" s="143">
        <v>0</v>
      </c>
      <c r="EH1171" s="143">
        <v>0</v>
      </c>
      <c r="EI1171" s="2">
        <v>0</v>
      </c>
      <c r="EK1171" t="str">
        <f t="shared" si="387"/>
        <v/>
      </c>
      <c r="EL1171" t="str">
        <f t="shared" si="388"/>
        <v/>
      </c>
      <c r="EM1171" s="2" t="str">
        <f t="shared" si="358"/>
        <v>Technology approach</v>
      </c>
      <c r="EN1171" t="s">
        <v>986</v>
      </c>
      <c r="EP1171" t="str">
        <f>IF(ISNUMBER(BU1171),IF(ABS(BU1171-[1]QC_indicators!$B$2)&gt;3*[1]QC_indicators!$C$2,"C ratio",IF(ISNUMBER(BY1171),IF(ABS(BY1171-[1]QC_indicators!$B$1)&gt;3*[1]QC_indicators!$C$1,"DF","no"))),IF(ISNUMBER(BY1171),IF(ABS(BY1171-[1]QC_indicators!$B$1)&gt;3*[1]QC_indicators!$C$1,"DF","no")))</f>
        <v>no</v>
      </c>
      <c r="ET1171" s="266" t="s">
        <v>3409</v>
      </c>
    </row>
    <row r="1172" spans="1:150" ht="15" hidden="1" customHeight="1">
      <c r="D1172" t="s">
        <v>965</v>
      </c>
      <c r="E1172" t="s">
        <v>966</v>
      </c>
      <c r="G1172" t="s">
        <v>967</v>
      </c>
      <c r="I1172">
        <v>2002</v>
      </c>
      <c r="K1172" s="297" t="s">
        <v>968</v>
      </c>
      <c r="M1172" t="str">
        <f t="shared" si="362"/>
        <v>Petersen_2002</v>
      </c>
      <c r="N1172" t="s">
        <v>223</v>
      </c>
      <c r="O1172" s="171" t="s">
        <v>514</v>
      </c>
      <c r="P1172" s="141" t="s">
        <v>226</v>
      </c>
      <c r="Q1172" s="266" t="s">
        <v>390</v>
      </c>
      <c r="R1172" s="271" t="s">
        <v>1156</v>
      </c>
      <c r="S1172" s="265" t="s">
        <v>987</v>
      </c>
      <c r="T1172" s="266" t="s">
        <v>981</v>
      </c>
      <c r="U1172" s="266" t="s">
        <v>982</v>
      </c>
      <c r="V1172">
        <v>0</v>
      </c>
      <c r="W1172">
        <v>0</v>
      </c>
      <c r="X1172">
        <v>0</v>
      </c>
      <c r="Y1172">
        <v>0</v>
      </c>
      <c r="Z1172">
        <v>0</v>
      </c>
      <c r="AA1172">
        <v>0</v>
      </c>
      <c r="AB1172">
        <v>0</v>
      </c>
      <c r="AC1172">
        <v>0</v>
      </c>
      <c r="AD1172">
        <v>0</v>
      </c>
      <c r="AE1172">
        <v>0</v>
      </c>
      <c r="AF1172">
        <v>0</v>
      </c>
      <c r="AG1172">
        <v>0</v>
      </c>
      <c r="AH1172">
        <v>0</v>
      </c>
      <c r="AI1172">
        <v>0</v>
      </c>
      <c r="AJ1172">
        <v>0</v>
      </c>
      <c r="AK1172">
        <v>1</v>
      </c>
      <c r="AL1172">
        <v>0</v>
      </c>
      <c r="AM1172">
        <v>0</v>
      </c>
      <c r="AN1172">
        <v>0</v>
      </c>
      <c r="AO1172">
        <v>0</v>
      </c>
      <c r="AP1172">
        <v>0</v>
      </c>
      <c r="AQ1172">
        <v>0</v>
      </c>
      <c r="AR1172">
        <v>0</v>
      </c>
      <c r="AS1172">
        <v>0</v>
      </c>
      <c r="AT1172">
        <v>0</v>
      </c>
      <c r="AU1172">
        <v>0</v>
      </c>
      <c r="AV1172">
        <v>0</v>
      </c>
      <c r="AW1172">
        <v>0</v>
      </c>
      <c r="AX1172" s="141">
        <f t="shared" si="379"/>
        <v>1</v>
      </c>
      <c r="AY1172" s="141">
        <f t="shared" si="350"/>
        <v>1</v>
      </c>
      <c r="AZ1172">
        <f t="shared" si="351"/>
        <v>0</v>
      </c>
      <c r="BA1172">
        <f t="shared" si="352"/>
        <v>0</v>
      </c>
      <c r="BB1172">
        <f t="shared" si="353"/>
        <v>1</v>
      </c>
      <c r="BC1172">
        <f t="shared" si="354"/>
        <v>0</v>
      </c>
      <c r="BD1172">
        <f t="shared" si="355"/>
        <v>0</v>
      </c>
      <c r="BE1172" t="str" cm="1">
        <f t="array" ref="BE1172">IF(AY1172=1,INDEX($V$7:$AL$7,MATCH(TRUE,INDEX($V1172:$AW1172&lt;&gt;0,),0)),IF(AY1172=0,INDEX($AM$7:$AW$7,MATCH(1,$AM1172:$AW1172,0)),IF(BF1172="Multiple strategies","mixed drivers",IF(BF1172="Supply chain","multiple supply","multiple silviculture"))))</f>
        <v>technologies/design switch</v>
      </c>
      <c r="BF1172" s="2" t="str" cm="1">
        <f t="array" ref="BF1172">IF(COUNTIF(AZ1172:BB1172,"&lt;&gt;0")=1,INDEX($V$4:$AW$4,MATCH(TRUE,INDEX($V1172:$AW1172&lt;&gt;0,),0)),IF(COUNTIF(AZ1172:BB1172,"&lt;&gt;0")=0,INDEX($AM$4:$AW$4,MATCH(1,$AM1172:$AW1172,0)),"Multiple strategies"))</f>
        <v>Technology</v>
      </c>
      <c r="BG1172" s="142" t="s">
        <v>230</v>
      </c>
      <c r="BH1172" t="s">
        <v>972</v>
      </c>
      <c r="BI1172" t="s">
        <v>973</v>
      </c>
      <c r="BJ1172" t="s">
        <v>499</v>
      </c>
      <c r="BK1172">
        <v>0</v>
      </c>
      <c r="BL1172">
        <v>1</v>
      </c>
      <c r="BM1172" t="str">
        <f t="shared" si="392"/>
        <v/>
      </c>
      <c r="BN1172">
        <f t="shared" si="380"/>
        <v>1</v>
      </c>
      <c r="BO1172">
        <v>1</v>
      </c>
      <c r="BP1172" t="s">
        <v>233</v>
      </c>
      <c r="BQ1172" t="s">
        <v>974</v>
      </c>
      <c r="BR1172" s="266" t="s">
        <v>975</v>
      </c>
      <c r="BV1172">
        <v>0.438</v>
      </c>
      <c r="BX1172">
        <f t="shared" si="390"/>
        <v>0.438</v>
      </c>
      <c r="BY1172">
        <f t="shared" si="378"/>
        <v>0.438</v>
      </c>
      <c r="BZ1172">
        <v>0</v>
      </c>
      <c r="CA1172">
        <v>0</v>
      </c>
      <c r="CB1172">
        <v>0</v>
      </c>
      <c r="CC1172">
        <v>0</v>
      </c>
      <c r="CD1172">
        <v>0</v>
      </c>
      <c r="CE1172">
        <v>0</v>
      </c>
      <c r="CF1172">
        <v>0</v>
      </c>
      <c r="CG1172">
        <v>0</v>
      </c>
      <c r="CH1172">
        <v>0</v>
      </c>
      <c r="CI1172">
        <v>0</v>
      </c>
      <c r="CJ1172">
        <v>0</v>
      </c>
      <c r="CK1172">
        <v>0</v>
      </c>
      <c r="CL1172">
        <v>0</v>
      </c>
      <c r="CM1172">
        <v>0</v>
      </c>
      <c r="CN1172" t="str">
        <f t="shared" si="381"/>
        <v>refOK</v>
      </c>
      <c r="CO1172">
        <f t="shared" si="393"/>
        <v>0</v>
      </c>
      <c r="CP1172">
        <f t="shared" si="394"/>
        <v>1</v>
      </c>
      <c r="CQ1172">
        <f t="shared" si="382"/>
        <v>1</v>
      </c>
      <c r="CR1172">
        <f t="shared" si="374"/>
        <v>0</v>
      </c>
      <c r="CS1172">
        <f t="shared" si="375"/>
        <v>0</v>
      </c>
      <c r="CT1172">
        <f t="shared" si="376"/>
        <v>0.438</v>
      </c>
      <c r="CU1172">
        <f t="shared" si="365"/>
        <v>0.438</v>
      </c>
      <c r="CV1172" s="2" t="str">
        <f t="shared" si="377"/>
        <v/>
      </c>
      <c r="CW1172" s="1" t="s">
        <v>976</v>
      </c>
      <c r="CX1172" s="266" t="str">
        <f t="shared" si="356"/>
        <v>loc</v>
      </c>
      <c r="CY1172" t="s">
        <v>265</v>
      </c>
      <c r="DB1172">
        <v>50</v>
      </c>
      <c r="DC1172" t="str">
        <f t="shared" si="357"/>
        <v>31-70</v>
      </c>
      <c r="DD1172">
        <v>0</v>
      </c>
      <c r="DE1172">
        <v>0</v>
      </c>
      <c r="DF1172">
        <v>0</v>
      </c>
      <c r="DG1172">
        <v>1</v>
      </c>
      <c r="DH1172">
        <v>0</v>
      </c>
      <c r="DI1172">
        <f t="shared" si="391"/>
        <v>1</v>
      </c>
      <c r="DJ1172" t="str">
        <f t="shared" si="363"/>
        <v>TimberInput</v>
      </c>
      <c r="DK1172">
        <f t="shared" si="383"/>
        <v>0</v>
      </c>
      <c r="DL1172">
        <f t="shared" si="384"/>
        <v>0</v>
      </c>
      <c r="DM1172">
        <f t="shared" si="385"/>
        <v>0</v>
      </c>
      <c r="DN1172" t="str">
        <f t="shared" si="386"/>
        <v>Timber</v>
      </c>
      <c r="DO1172">
        <v>1</v>
      </c>
      <c r="DP1172">
        <v>0</v>
      </c>
      <c r="DQ1172">
        <v>0</v>
      </c>
      <c r="DR1172">
        <v>0</v>
      </c>
      <c r="DS1172">
        <v>0</v>
      </c>
      <c r="DT1172">
        <f t="shared" si="371"/>
        <v>1</v>
      </c>
      <c r="DU1172" s="143" t="str">
        <f t="shared" si="359"/>
        <v>self-calculated DF</v>
      </c>
      <c r="DV1172" s="143">
        <v>0</v>
      </c>
      <c r="DW1172" s="143">
        <v>0</v>
      </c>
      <c r="DX1172" s="143">
        <v>0</v>
      </c>
      <c r="DY1172" s="143">
        <v>0</v>
      </c>
      <c r="DZ1172">
        <v>0</v>
      </c>
      <c r="EA1172" s="143">
        <v>1</v>
      </c>
      <c r="EB1172" s="143">
        <v>0</v>
      </c>
      <c r="EC1172" s="143">
        <v>1</v>
      </c>
      <c r="ED1172" s="143">
        <v>0</v>
      </c>
      <c r="EE1172">
        <v>1</v>
      </c>
      <c r="EF1172">
        <v>0</v>
      </c>
      <c r="EG1172" s="143">
        <v>0</v>
      </c>
      <c r="EH1172" s="143">
        <v>0</v>
      </c>
      <c r="EI1172" s="2">
        <v>0</v>
      </c>
      <c r="EK1172" t="str">
        <f t="shared" si="387"/>
        <v/>
      </c>
      <c r="EL1172" t="str">
        <f t="shared" si="388"/>
        <v/>
      </c>
      <c r="EM1172" s="2" t="str">
        <f t="shared" si="358"/>
        <v>Technology approach</v>
      </c>
      <c r="EN1172" t="s">
        <v>979</v>
      </c>
      <c r="EP1172" t="str">
        <f>IF(ISNUMBER(BU1172),IF(ABS(BU1172-[1]QC_indicators!$B$2)&gt;3*[1]QC_indicators!$C$2,"C ratio",IF(ISNUMBER(BY1172),IF(ABS(BY1172-[1]QC_indicators!$B$1)&gt;3*[1]QC_indicators!$C$1,"DF","no"))),IF(ISNUMBER(BY1172),IF(ABS(BY1172-[1]QC_indicators!$B$1)&gt;3*[1]QC_indicators!$C$1,"DF","no")))</f>
        <v>no</v>
      </c>
      <c r="ET1172" s="266" t="s">
        <v>3409</v>
      </c>
    </row>
    <row r="1173" spans="1:150" ht="15" hidden="1" customHeight="1">
      <c r="D1173" t="s">
        <v>965</v>
      </c>
      <c r="E1173" t="s">
        <v>966</v>
      </c>
      <c r="G1173" t="s">
        <v>967</v>
      </c>
      <c r="I1173">
        <v>2002</v>
      </c>
      <c r="K1173" s="297" t="s">
        <v>968</v>
      </c>
      <c r="M1173" t="str">
        <f t="shared" si="362"/>
        <v>Petersen_2002</v>
      </c>
      <c r="N1173" t="s">
        <v>223</v>
      </c>
      <c r="O1173" s="171" t="s">
        <v>514</v>
      </c>
      <c r="P1173" s="141" t="s">
        <v>226</v>
      </c>
      <c r="Q1173" s="266" t="s">
        <v>390</v>
      </c>
      <c r="R1173" s="271" t="s">
        <v>1156</v>
      </c>
      <c r="S1173" s="1" t="s">
        <v>988</v>
      </c>
      <c r="T1173" s="266" t="s">
        <v>981</v>
      </c>
      <c r="U1173" s="266" t="s">
        <v>982</v>
      </c>
      <c r="V1173">
        <v>0</v>
      </c>
      <c r="W1173">
        <v>0</v>
      </c>
      <c r="X1173">
        <v>0</v>
      </c>
      <c r="Y1173">
        <v>0</v>
      </c>
      <c r="Z1173">
        <v>0</v>
      </c>
      <c r="AA1173">
        <v>0</v>
      </c>
      <c r="AB1173">
        <v>0</v>
      </c>
      <c r="AC1173">
        <v>0</v>
      </c>
      <c r="AD1173">
        <v>0</v>
      </c>
      <c r="AE1173">
        <v>0</v>
      </c>
      <c r="AF1173">
        <v>0</v>
      </c>
      <c r="AG1173">
        <v>0</v>
      </c>
      <c r="AH1173">
        <v>0</v>
      </c>
      <c r="AI1173">
        <v>0</v>
      </c>
      <c r="AJ1173">
        <v>0</v>
      </c>
      <c r="AK1173">
        <v>1</v>
      </c>
      <c r="AL1173">
        <v>0</v>
      </c>
      <c r="AM1173">
        <v>0</v>
      </c>
      <c r="AN1173">
        <v>0</v>
      </c>
      <c r="AO1173">
        <v>0</v>
      </c>
      <c r="AP1173">
        <v>0</v>
      </c>
      <c r="AQ1173">
        <v>0</v>
      </c>
      <c r="AR1173">
        <v>0</v>
      </c>
      <c r="AS1173">
        <v>0</v>
      </c>
      <c r="AT1173">
        <v>0</v>
      </c>
      <c r="AU1173">
        <v>0</v>
      </c>
      <c r="AV1173">
        <v>0</v>
      </c>
      <c r="AW1173">
        <v>0</v>
      </c>
      <c r="AX1173" s="141">
        <f t="shared" si="379"/>
        <v>1</v>
      </c>
      <c r="AY1173" s="141">
        <f t="shared" si="350"/>
        <v>1</v>
      </c>
      <c r="AZ1173">
        <f t="shared" si="351"/>
        <v>0</v>
      </c>
      <c r="BA1173">
        <f t="shared" si="352"/>
        <v>0</v>
      </c>
      <c r="BB1173">
        <f t="shared" si="353"/>
        <v>1</v>
      </c>
      <c r="BC1173">
        <f t="shared" si="354"/>
        <v>0</v>
      </c>
      <c r="BD1173">
        <f t="shared" si="355"/>
        <v>0</v>
      </c>
      <c r="BE1173" t="str" cm="1">
        <f t="array" ref="BE1173">IF(AY1173=1,INDEX($V$7:$AL$7,MATCH(TRUE,INDEX($V1173:$AW1173&lt;&gt;0,),0)),IF(AY1173=0,INDEX($AM$7:$AW$7,MATCH(1,$AM1173:$AW1173,0)),IF(BF1173="Multiple strategies","mixed drivers",IF(BF1173="Supply chain","multiple supply","multiple silviculture"))))</f>
        <v>technologies/design switch</v>
      </c>
      <c r="BF1173" s="2" t="str" cm="1">
        <f t="array" ref="BF1173">IF(COUNTIF(AZ1173:BB1173,"&lt;&gt;0")=1,INDEX($V$4:$AW$4,MATCH(TRUE,INDEX($V1173:$AW1173&lt;&gt;0,),0)),IF(COUNTIF(AZ1173:BB1173,"&lt;&gt;0")=0,INDEX($AM$4:$AW$4,MATCH(1,$AM1173:$AW1173,0)),"Multiple strategies"))</f>
        <v>Technology</v>
      </c>
      <c r="BG1173" s="142" t="s">
        <v>230</v>
      </c>
      <c r="BH1173" t="s">
        <v>972</v>
      </c>
      <c r="BI1173" t="s">
        <v>973</v>
      </c>
      <c r="BJ1173" t="s">
        <v>499</v>
      </c>
      <c r="BK1173">
        <v>0</v>
      </c>
      <c r="BL1173">
        <v>1</v>
      </c>
      <c r="BM1173" t="str">
        <f t="shared" si="392"/>
        <v/>
      </c>
      <c r="BN1173">
        <f t="shared" si="380"/>
        <v>1</v>
      </c>
      <c r="BO1173">
        <v>1</v>
      </c>
      <c r="BP1173" t="s">
        <v>233</v>
      </c>
      <c r="BQ1173" t="s">
        <v>974</v>
      </c>
      <c r="BR1173" s="266" t="s">
        <v>975</v>
      </c>
      <c r="BV1173">
        <v>0.52300000000000002</v>
      </c>
      <c r="BX1173">
        <f t="shared" si="390"/>
        <v>0.52300000000000002</v>
      </c>
      <c r="BY1173">
        <f t="shared" si="378"/>
        <v>0.52300000000000002</v>
      </c>
      <c r="BZ1173">
        <v>0</v>
      </c>
      <c r="CA1173">
        <v>0</v>
      </c>
      <c r="CB1173">
        <v>0</v>
      </c>
      <c r="CC1173">
        <v>0</v>
      </c>
      <c r="CD1173">
        <v>0</v>
      </c>
      <c r="CE1173">
        <v>0</v>
      </c>
      <c r="CF1173">
        <v>0</v>
      </c>
      <c r="CG1173">
        <v>0</v>
      </c>
      <c r="CH1173">
        <v>0</v>
      </c>
      <c r="CI1173">
        <v>0</v>
      </c>
      <c r="CJ1173">
        <v>0</v>
      </c>
      <c r="CK1173">
        <v>0</v>
      </c>
      <c r="CL1173">
        <v>0</v>
      </c>
      <c r="CM1173">
        <v>0</v>
      </c>
      <c r="CN1173" t="str">
        <f t="shared" si="381"/>
        <v>refOK</v>
      </c>
      <c r="CO1173">
        <f t="shared" si="393"/>
        <v>0</v>
      </c>
      <c r="CP1173">
        <f t="shared" si="394"/>
        <v>1</v>
      </c>
      <c r="CQ1173">
        <f t="shared" si="382"/>
        <v>1</v>
      </c>
      <c r="CR1173">
        <f t="shared" si="374"/>
        <v>0</v>
      </c>
      <c r="CS1173">
        <f t="shared" si="375"/>
        <v>0</v>
      </c>
      <c r="CT1173">
        <f t="shared" si="376"/>
        <v>0.52300000000000002</v>
      </c>
      <c r="CU1173">
        <f t="shared" si="365"/>
        <v>0.52300000000000002</v>
      </c>
      <c r="CV1173" s="2" t="str">
        <f t="shared" si="377"/>
        <v/>
      </c>
      <c r="CW1173" s="1" t="s">
        <v>976</v>
      </c>
      <c r="CX1173" s="266" t="str">
        <f t="shared" si="356"/>
        <v>loc</v>
      </c>
      <c r="CY1173" t="s">
        <v>265</v>
      </c>
      <c r="DB1173">
        <v>50</v>
      </c>
      <c r="DC1173" t="str">
        <f t="shared" si="357"/>
        <v>31-70</v>
      </c>
      <c r="DD1173">
        <v>0</v>
      </c>
      <c r="DE1173">
        <v>0</v>
      </c>
      <c r="DF1173">
        <v>0</v>
      </c>
      <c r="DG1173">
        <v>1</v>
      </c>
      <c r="DH1173">
        <v>0</v>
      </c>
      <c r="DI1173">
        <f t="shared" si="391"/>
        <v>1</v>
      </c>
      <c r="DJ1173" t="str">
        <f t="shared" si="363"/>
        <v>TimberInput</v>
      </c>
      <c r="DK1173">
        <f t="shared" si="383"/>
        <v>0</v>
      </c>
      <c r="DL1173">
        <f t="shared" si="384"/>
        <v>0</v>
      </c>
      <c r="DM1173">
        <f t="shared" si="385"/>
        <v>0</v>
      </c>
      <c r="DN1173" t="str">
        <f t="shared" si="386"/>
        <v>Timber</v>
      </c>
      <c r="DO1173">
        <v>1</v>
      </c>
      <c r="DP1173">
        <v>0</v>
      </c>
      <c r="DQ1173">
        <v>0</v>
      </c>
      <c r="DR1173">
        <v>0</v>
      </c>
      <c r="DS1173">
        <v>0</v>
      </c>
      <c r="DT1173">
        <f t="shared" si="371"/>
        <v>1</v>
      </c>
      <c r="DU1173" s="143" t="str">
        <f t="shared" si="359"/>
        <v>self-calculated DF</v>
      </c>
      <c r="DV1173" s="143">
        <v>0</v>
      </c>
      <c r="DW1173" s="143">
        <v>0</v>
      </c>
      <c r="DX1173" s="143">
        <v>0</v>
      </c>
      <c r="DY1173" s="143">
        <v>0</v>
      </c>
      <c r="DZ1173">
        <v>0</v>
      </c>
      <c r="EA1173" s="143">
        <v>1</v>
      </c>
      <c r="EB1173" s="143">
        <v>0</v>
      </c>
      <c r="EC1173" s="143">
        <v>1</v>
      </c>
      <c r="ED1173" s="143">
        <v>0</v>
      </c>
      <c r="EE1173">
        <v>1</v>
      </c>
      <c r="EF1173">
        <v>0</v>
      </c>
      <c r="EG1173" s="143">
        <v>0</v>
      </c>
      <c r="EH1173" s="143">
        <v>0</v>
      </c>
      <c r="EI1173" s="2">
        <v>0</v>
      </c>
      <c r="EK1173" t="str">
        <f t="shared" si="387"/>
        <v/>
      </c>
      <c r="EL1173" t="str">
        <f t="shared" si="388"/>
        <v/>
      </c>
      <c r="EM1173" s="2" t="str">
        <f t="shared" si="358"/>
        <v>Technology approach</v>
      </c>
      <c r="EN1173" t="s">
        <v>989</v>
      </c>
      <c r="EP1173" t="str">
        <f>IF(ISNUMBER(BU1173),IF(ABS(BU1173-[1]QC_indicators!$B$2)&gt;3*[1]QC_indicators!$C$2,"C ratio",IF(ISNUMBER(BY1173),IF(ABS(BY1173-[1]QC_indicators!$B$1)&gt;3*[1]QC_indicators!$C$1,"DF","no"))),IF(ISNUMBER(BY1173),IF(ABS(BY1173-[1]QC_indicators!$B$1)&gt;3*[1]QC_indicators!$C$1,"DF","no")))</f>
        <v>no</v>
      </c>
      <c r="ET1173" s="266" t="s">
        <v>3409</v>
      </c>
    </row>
    <row r="1174" spans="1:150" ht="15" hidden="1" customHeight="1">
      <c r="D1174" t="s">
        <v>965</v>
      </c>
      <c r="E1174" t="s">
        <v>990</v>
      </c>
      <c r="G1174" t="s">
        <v>695</v>
      </c>
      <c r="I1174">
        <v>2003</v>
      </c>
      <c r="K1174" s="297" t="s">
        <v>991</v>
      </c>
      <c r="M1174" t="str">
        <f t="shared" si="362"/>
        <v>Petersen_2003</v>
      </c>
      <c r="N1174" t="s">
        <v>223</v>
      </c>
      <c r="O1174" s="171" t="s">
        <v>514</v>
      </c>
      <c r="P1174" s="141" t="s">
        <v>226</v>
      </c>
      <c r="Q1174" s="266" t="s">
        <v>390</v>
      </c>
      <c r="R1174" s="271" t="s">
        <v>1156</v>
      </c>
      <c r="S1174" s="265" t="s">
        <v>992</v>
      </c>
      <c r="T1174" s="266" t="s">
        <v>993</v>
      </c>
      <c r="U1174" s="266" t="s">
        <v>994</v>
      </c>
      <c r="V1174">
        <v>0</v>
      </c>
      <c r="W1174">
        <v>0</v>
      </c>
      <c r="X1174">
        <v>0</v>
      </c>
      <c r="Y1174">
        <v>0</v>
      </c>
      <c r="Z1174">
        <v>0</v>
      </c>
      <c r="AA1174">
        <v>0</v>
      </c>
      <c r="AB1174">
        <v>0</v>
      </c>
      <c r="AC1174">
        <v>0</v>
      </c>
      <c r="AD1174">
        <v>0</v>
      </c>
      <c r="AE1174">
        <v>0</v>
      </c>
      <c r="AF1174">
        <v>0</v>
      </c>
      <c r="AG1174">
        <v>0</v>
      </c>
      <c r="AH1174">
        <v>0</v>
      </c>
      <c r="AI1174">
        <v>0</v>
      </c>
      <c r="AJ1174">
        <v>1</v>
      </c>
      <c r="AK1174">
        <v>0</v>
      </c>
      <c r="AL1174">
        <v>0</v>
      </c>
      <c r="AM1174">
        <v>0</v>
      </c>
      <c r="AN1174">
        <v>0</v>
      </c>
      <c r="AO1174">
        <v>0</v>
      </c>
      <c r="AP1174">
        <v>0</v>
      </c>
      <c r="AQ1174">
        <v>0</v>
      </c>
      <c r="AR1174">
        <v>0</v>
      </c>
      <c r="AS1174">
        <v>0</v>
      </c>
      <c r="AT1174">
        <v>0</v>
      </c>
      <c r="AU1174">
        <v>0</v>
      </c>
      <c r="AV1174">
        <v>0</v>
      </c>
      <c r="AW1174">
        <v>0</v>
      </c>
      <c r="AX1174" s="141">
        <f t="shared" si="379"/>
        <v>1</v>
      </c>
      <c r="AY1174" s="141">
        <f t="shared" si="350"/>
        <v>1</v>
      </c>
      <c r="AZ1174">
        <f t="shared" si="351"/>
        <v>0</v>
      </c>
      <c r="BA1174">
        <f t="shared" si="352"/>
        <v>0</v>
      </c>
      <c r="BB1174">
        <f t="shared" si="353"/>
        <v>1</v>
      </c>
      <c r="BC1174">
        <f t="shared" si="354"/>
        <v>0</v>
      </c>
      <c r="BD1174">
        <f t="shared" si="355"/>
        <v>0</v>
      </c>
      <c r="BE1174" t="str" cm="1">
        <f t="array" ref="BE1174">IF(AY1174=1,INDEX($V$7:$AL$7,MATCH(TRUE,INDEX($V1174:$AW1174&lt;&gt;0,),0)),IF(AY1174=0,INDEX($AM$7:$AW$7,MATCH(1,$AM1174:$AW1174,0)),IF(BF1174="Multiple strategies","mixed drivers",IF(BF1174="Supply chain","multiple supply","multiple silviculture"))))</f>
        <v>efficiency improvement</v>
      </c>
      <c r="BF1174" s="2" t="str" cm="1">
        <f t="array" ref="BF1174">IF(COUNTIF(AZ1174:BB1174,"&lt;&gt;0")=1,INDEX($V$4:$AW$4,MATCH(TRUE,INDEX($V1174:$AW1174&lt;&gt;0,),0)),IF(COUNTIF(AZ1174:BB1174,"&lt;&gt;0")=0,INDEX($AM$4:$AW$4,MATCH(1,$AM1174:$AW1174,0)),"Multiple strategies"))</f>
        <v>Technology</v>
      </c>
      <c r="BG1174" s="142" t="s">
        <v>230</v>
      </c>
      <c r="BH1174" t="s">
        <v>972</v>
      </c>
      <c r="BI1174" t="s">
        <v>995</v>
      </c>
      <c r="BJ1174" t="s">
        <v>499</v>
      </c>
      <c r="BK1174">
        <v>1</v>
      </c>
      <c r="BL1174">
        <v>1</v>
      </c>
      <c r="BM1174">
        <f t="shared" si="392"/>
        <v>1</v>
      </c>
      <c r="BN1174">
        <f t="shared" si="380"/>
        <v>0</v>
      </c>
      <c r="BO1174">
        <v>1</v>
      </c>
      <c r="BP1174" t="s">
        <v>233</v>
      </c>
      <c r="BQ1174" t="s">
        <v>744</v>
      </c>
      <c r="BR1174" s="266" t="s">
        <v>975</v>
      </c>
      <c r="BS1174">
        <v>0.39600000000000002</v>
      </c>
      <c r="BT1174">
        <v>0.39100000000000001</v>
      </c>
      <c r="BV1174">
        <f>BT1174-BS1174</f>
        <v>-5.0000000000000044E-3</v>
      </c>
      <c r="BX1174">
        <f t="shared" si="390"/>
        <v>-5.0000000000000044E-3</v>
      </c>
      <c r="BY1174">
        <f t="shared" si="378"/>
        <v>-5.0000000000000044E-3</v>
      </c>
      <c r="BZ1174">
        <v>0</v>
      </c>
      <c r="CA1174">
        <v>0</v>
      </c>
      <c r="CB1174">
        <v>0</v>
      </c>
      <c r="CC1174">
        <v>0</v>
      </c>
      <c r="CD1174">
        <v>0</v>
      </c>
      <c r="CE1174">
        <v>0</v>
      </c>
      <c r="CF1174">
        <v>0</v>
      </c>
      <c r="CG1174">
        <v>0</v>
      </c>
      <c r="CH1174">
        <v>0</v>
      </c>
      <c r="CI1174">
        <v>0</v>
      </c>
      <c r="CJ1174">
        <v>0</v>
      </c>
      <c r="CK1174">
        <v>0</v>
      </c>
      <c r="CL1174">
        <v>0</v>
      </c>
      <c r="CM1174">
        <v>0</v>
      </c>
      <c r="CN1174" t="str">
        <f t="shared" si="381"/>
        <v>refOK</v>
      </c>
      <c r="CO1174">
        <f t="shared" si="393"/>
        <v>1</v>
      </c>
      <c r="CP1174">
        <f t="shared" si="394"/>
        <v>1</v>
      </c>
      <c r="CQ1174">
        <f t="shared" si="382"/>
        <v>1</v>
      </c>
      <c r="CR1174">
        <f t="shared" ref="CR1174:CR1205" si="395">IF($CN1174="refOK",$BS1174,$BT1174)*IF($BP1174="Emissions positive",-1,1)</f>
        <v>0.39600000000000002</v>
      </c>
      <c r="CS1174">
        <f t="shared" ref="CS1174:CS1205" si="396">IF($CN1174="refOK",$BT1174,$BS1174)*IF($BP1174="Emissions positive",-1,1)</f>
        <v>0.39100000000000001</v>
      </c>
      <c r="CT1174">
        <f t="shared" ref="CT1174:CT1205" si="397">IF($CN1174="refNeedCorrection",-BX1174,BX1174)*IF($BP1174="Emissions positive",-1,1)</f>
        <v>-5.0000000000000044E-3</v>
      </c>
      <c r="CU1174">
        <f t="shared" si="365"/>
        <v>-5.0000000000000044E-3</v>
      </c>
      <c r="CV1174" s="2">
        <f t="shared" ref="CV1174:CV1205" si="398">IFERROR((CS1174-CR1174)/ABS(CR1174),"")</f>
        <v>-1.2626262626262636E-2</v>
      </c>
      <c r="CW1174" s="1" t="s">
        <v>264</v>
      </c>
      <c r="CX1174" s="266" t="str">
        <f t="shared" si="356"/>
        <v>loc</v>
      </c>
      <c r="CY1174" t="s">
        <v>265</v>
      </c>
      <c r="DA1174" s="143"/>
      <c r="DB1174" s="143">
        <v>45</v>
      </c>
      <c r="DC1174" t="str">
        <f t="shared" si="357"/>
        <v>31-70</v>
      </c>
      <c r="DD1174">
        <v>0</v>
      </c>
      <c r="DE1174">
        <v>0</v>
      </c>
      <c r="DF1174">
        <v>0</v>
      </c>
      <c r="DG1174">
        <v>1</v>
      </c>
      <c r="DH1174">
        <v>0</v>
      </c>
      <c r="DI1174">
        <f t="shared" si="391"/>
        <v>1</v>
      </c>
      <c r="DJ1174" t="str">
        <f t="shared" si="363"/>
        <v>TimberInput</v>
      </c>
      <c r="DK1174">
        <f t="shared" si="383"/>
        <v>0</v>
      </c>
      <c r="DL1174">
        <f t="shared" si="384"/>
        <v>0</v>
      </c>
      <c r="DM1174">
        <f t="shared" si="385"/>
        <v>0</v>
      </c>
      <c r="DN1174" t="str">
        <f t="shared" si="386"/>
        <v>Timber</v>
      </c>
      <c r="DO1174">
        <v>1</v>
      </c>
      <c r="DP1174">
        <v>0</v>
      </c>
      <c r="DQ1174">
        <v>0</v>
      </c>
      <c r="DR1174">
        <v>0</v>
      </c>
      <c r="DS1174">
        <v>0</v>
      </c>
      <c r="DT1174">
        <f t="shared" si="371"/>
        <v>1</v>
      </c>
      <c r="DU1174" s="143" t="str">
        <f t="shared" si="359"/>
        <v>self-calculated DF</v>
      </c>
      <c r="DV1174" s="143">
        <v>0</v>
      </c>
      <c r="DW1174" s="143">
        <v>0</v>
      </c>
      <c r="DX1174" s="143">
        <v>0</v>
      </c>
      <c r="DY1174" s="143">
        <v>0</v>
      </c>
      <c r="DZ1174">
        <v>0</v>
      </c>
      <c r="EA1174" s="143">
        <v>0</v>
      </c>
      <c r="EB1174" s="143">
        <v>0</v>
      </c>
      <c r="EC1174" s="143">
        <v>1</v>
      </c>
      <c r="ED1174" s="143">
        <v>0</v>
      </c>
      <c r="EE1174">
        <v>1</v>
      </c>
      <c r="EF1174">
        <v>0</v>
      </c>
      <c r="EG1174" s="143">
        <v>0</v>
      </c>
      <c r="EH1174" s="143">
        <v>0</v>
      </c>
      <c r="EI1174" s="2">
        <v>0</v>
      </c>
      <c r="EK1174" t="str">
        <f t="shared" si="387"/>
        <v/>
      </c>
      <c r="EL1174" t="str">
        <f t="shared" si="388"/>
        <v/>
      </c>
      <c r="EM1174" s="2" t="str">
        <f t="shared" si="358"/>
        <v>Technology approach</v>
      </c>
      <c r="EN1174" t="s">
        <v>996</v>
      </c>
      <c r="EP1174" t="str">
        <f>IF(ISNUMBER(BU1174),IF(ABS(BU1174-[1]QC_indicators!$B$2)&gt;3*[1]QC_indicators!$C$2,"C ratio",IF(ISNUMBER(BY1174),IF(ABS(BY1174-[1]QC_indicators!$B$1)&gt;3*[1]QC_indicators!$C$1,"DF","no"))),IF(ISNUMBER(BY1174),IF(ABS(BY1174-[1]QC_indicators!$B$1)&gt;3*[1]QC_indicators!$C$1,"DF","no")))</f>
        <v>no</v>
      </c>
      <c r="ER1174" s="266" t="s">
        <v>997</v>
      </c>
      <c r="ET1174" s="266" t="s">
        <v>3409</v>
      </c>
    </row>
    <row r="1175" spans="1:150" ht="15" hidden="1" customHeight="1">
      <c r="D1175" t="s">
        <v>965</v>
      </c>
      <c r="E1175" t="s">
        <v>990</v>
      </c>
      <c r="G1175" t="s">
        <v>695</v>
      </c>
      <c r="I1175">
        <v>2003</v>
      </c>
      <c r="K1175" s="297" t="s">
        <v>991</v>
      </c>
      <c r="M1175" t="str">
        <f t="shared" si="362"/>
        <v>Petersen_2003</v>
      </c>
      <c r="N1175" t="s">
        <v>223</v>
      </c>
      <c r="O1175" s="171" t="s">
        <v>514</v>
      </c>
      <c r="P1175" s="141" t="s">
        <v>226</v>
      </c>
      <c r="Q1175" s="266" t="s">
        <v>390</v>
      </c>
      <c r="R1175" s="271" t="s">
        <v>1156</v>
      </c>
      <c r="S1175" s="265" t="s">
        <v>985</v>
      </c>
      <c r="T1175" s="266" t="s">
        <v>1001</v>
      </c>
      <c r="U1175" s="266" t="s">
        <v>1002</v>
      </c>
      <c r="V1175">
        <v>0</v>
      </c>
      <c r="W1175">
        <v>0</v>
      </c>
      <c r="X1175">
        <v>0</v>
      </c>
      <c r="Y1175">
        <v>0</v>
      </c>
      <c r="Z1175">
        <v>0</v>
      </c>
      <c r="AA1175">
        <v>0</v>
      </c>
      <c r="AB1175">
        <v>0</v>
      </c>
      <c r="AC1175">
        <v>0</v>
      </c>
      <c r="AD1175">
        <v>0</v>
      </c>
      <c r="AE1175">
        <v>0</v>
      </c>
      <c r="AF1175">
        <v>0</v>
      </c>
      <c r="AG1175">
        <v>0</v>
      </c>
      <c r="AH1175">
        <v>0</v>
      </c>
      <c r="AI1175">
        <v>0</v>
      </c>
      <c r="AJ1175">
        <v>0</v>
      </c>
      <c r="AK1175">
        <v>1</v>
      </c>
      <c r="AL1175">
        <v>0</v>
      </c>
      <c r="AM1175">
        <v>0</v>
      </c>
      <c r="AN1175">
        <v>0</v>
      </c>
      <c r="AO1175">
        <v>0</v>
      </c>
      <c r="AP1175">
        <v>0</v>
      </c>
      <c r="AQ1175">
        <v>0</v>
      </c>
      <c r="AR1175">
        <v>0</v>
      </c>
      <c r="AS1175">
        <v>0</v>
      </c>
      <c r="AT1175">
        <v>0</v>
      </c>
      <c r="AU1175">
        <v>0</v>
      </c>
      <c r="AV1175">
        <v>0</v>
      </c>
      <c r="AW1175">
        <v>0</v>
      </c>
      <c r="AX1175" s="141">
        <f t="shared" si="379"/>
        <v>1</v>
      </c>
      <c r="AY1175" s="141">
        <f t="shared" si="350"/>
        <v>1</v>
      </c>
      <c r="AZ1175">
        <f t="shared" si="351"/>
        <v>0</v>
      </c>
      <c r="BA1175">
        <f t="shared" si="352"/>
        <v>0</v>
      </c>
      <c r="BB1175">
        <f t="shared" si="353"/>
        <v>1</v>
      </c>
      <c r="BC1175">
        <f t="shared" si="354"/>
        <v>0</v>
      </c>
      <c r="BD1175">
        <f t="shared" si="355"/>
        <v>0</v>
      </c>
      <c r="BE1175" t="str" cm="1">
        <f t="array" ref="BE1175">IF(AY1175=1,INDEX($V$7:$AL$7,MATCH(TRUE,INDEX($V1175:$AW1175&lt;&gt;0,),0)),IF(AY1175=0,INDEX($AM$7:$AW$7,MATCH(1,$AM1175:$AW1175,0)),IF(BF1175="Multiple strategies","mixed drivers",IF(BF1175="Supply chain","multiple supply","multiple silviculture"))))</f>
        <v>technologies/design switch</v>
      </c>
      <c r="BF1175" s="2" t="str" cm="1">
        <f t="array" ref="BF1175">IF(COUNTIF(AZ1175:BB1175,"&lt;&gt;0")=1,INDEX($V$4:$AW$4,MATCH(TRUE,INDEX($V1175:$AW1175&lt;&gt;0,),0)),IF(COUNTIF(AZ1175:BB1175,"&lt;&gt;0")=0,INDEX($AM$4:$AW$4,MATCH(1,$AM1175:$AW1175,0)),"Multiple strategies"))</f>
        <v>Technology</v>
      </c>
      <c r="BG1175" s="142" t="s">
        <v>230</v>
      </c>
      <c r="BH1175" t="s">
        <v>972</v>
      </c>
      <c r="BI1175" t="s">
        <v>995</v>
      </c>
      <c r="BJ1175" t="s">
        <v>499</v>
      </c>
      <c r="BK1175">
        <v>0</v>
      </c>
      <c r="BL1175">
        <v>1</v>
      </c>
      <c r="BM1175" t="str">
        <f t="shared" si="392"/>
        <v/>
      </c>
      <c r="BN1175">
        <f t="shared" si="380"/>
        <v>1</v>
      </c>
      <c r="BO1175">
        <v>1</v>
      </c>
      <c r="BP1175" t="s">
        <v>233</v>
      </c>
      <c r="BQ1175" t="s">
        <v>744</v>
      </c>
      <c r="BR1175" s="266" t="s">
        <v>1004</v>
      </c>
      <c r="BV1175">
        <v>0.39600000000000002</v>
      </c>
      <c r="BX1175">
        <f t="shared" si="390"/>
        <v>0.39600000000000002</v>
      </c>
      <c r="BY1175">
        <f t="shared" si="378"/>
        <v>0.39600000000000002</v>
      </c>
      <c r="BZ1175">
        <v>0</v>
      </c>
      <c r="CA1175">
        <v>0</v>
      </c>
      <c r="CB1175">
        <v>0</v>
      </c>
      <c r="CC1175">
        <v>0</v>
      </c>
      <c r="CD1175">
        <v>0</v>
      </c>
      <c r="CE1175">
        <v>0</v>
      </c>
      <c r="CF1175">
        <v>0</v>
      </c>
      <c r="CG1175">
        <v>0</v>
      </c>
      <c r="CH1175">
        <v>0</v>
      </c>
      <c r="CI1175">
        <v>0</v>
      </c>
      <c r="CJ1175">
        <v>0</v>
      </c>
      <c r="CK1175">
        <v>0</v>
      </c>
      <c r="CL1175">
        <v>0</v>
      </c>
      <c r="CM1175">
        <v>0</v>
      </c>
      <c r="CN1175" t="str">
        <f t="shared" si="381"/>
        <v>refOK</v>
      </c>
      <c r="CO1175">
        <f t="shared" si="393"/>
        <v>0</v>
      </c>
      <c r="CP1175">
        <f t="shared" si="394"/>
        <v>1</v>
      </c>
      <c r="CQ1175">
        <f t="shared" si="382"/>
        <v>1</v>
      </c>
      <c r="CR1175">
        <f t="shared" si="395"/>
        <v>0</v>
      </c>
      <c r="CS1175">
        <f t="shared" si="396"/>
        <v>0</v>
      </c>
      <c r="CT1175">
        <f t="shared" si="397"/>
        <v>0.39600000000000002</v>
      </c>
      <c r="CU1175">
        <f t="shared" si="365"/>
        <v>0.39600000000000002</v>
      </c>
      <c r="CV1175" s="2" t="str">
        <f t="shared" si="398"/>
        <v/>
      </c>
      <c r="CW1175" s="1" t="s">
        <v>264</v>
      </c>
      <c r="CX1175" s="266" t="str">
        <f t="shared" si="356"/>
        <v>loc</v>
      </c>
      <c r="CY1175" t="s">
        <v>265</v>
      </c>
      <c r="DA1175" s="143"/>
      <c r="DB1175" s="143">
        <v>45</v>
      </c>
      <c r="DC1175" t="str">
        <f t="shared" si="357"/>
        <v>31-70</v>
      </c>
      <c r="DD1175">
        <v>0</v>
      </c>
      <c r="DE1175">
        <v>0</v>
      </c>
      <c r="DF1175">
        <v>0</v>
      </c>
      <c r="DG1175">
        <v>1</v>
      </c>
      <c r="DH1175">
        <v>0</v>
      </c>
      <c r="DI1175">
        <f t="shared" si="391"/>
        <v>1</v>
      </c>
      <c r="DJ1175" t="str">
        <f t="shared" si="363"/>
        <v>TimberInput</v>
      </c>
      <c r="DK1175">
        <f t="shared" si="383"/>
        <v>0</v>
      </c>
      <c r="DL1175">
        <f t="shared" si="384"/>
        <v>0</v>
      </c>
      <c r="DM1175">
        <f t="shared" si="385"/>
        <v>0</v>
      </c>
      <c r="DN1175" t="str">
        <f t="shared" si="386"/>
        <v>Timber</v>
      </c>
      <c r="DO1175">
        <v>1</v>
      </c>
      <c r="DP1175">
        <v>0</v>
      </c>
      <c r="DQ1175">
        <v>0</v>
      </c>
      <c r="DR1175">
        <v>0</v>
      </c>
      <c r="DS1175">
        <v>0</v>
      </c>
      <c r="DT1175">
        <f t="shared" si="371"/>
        <v>1</v>
      </c>
      <c r="DU1175" s="143" t="str">
        <f t="shared" si="359"/>
        <v>self-calculated DF</v>
      </c>
      <c r="DV1175" s="143">
        <v>0</v>
      </c>
      <c r="DW1175" s="143">
        <v>0</v>
      </c>
      <c r="DX1175" s="143">
        <v>0</v>
      </c>
      <c r="DY1175" s="143">
        <v>0</v>
      </c>
      <c r="DZ1175">
        <v>0</v>
      </c>
      <c r="EA1175" s="143">
        <v>0</v>
      </c>
      <c r="EB1175" s="143">
        <v>0</v>
      </c>
      <c r="EC1175" s="143">
        <v>1</v>
      </c>
      <c r="ED1175" s="143">
        <v>0</v>
      </c>
      <c r="EE1175">
        <v>1</v>
      </c>
      <c r="EF1175">
        <v>0</v>
      </c>
      <c r="EG1175" s="143">
        <v>0</v>
      </c>
      <c r="EH1175" s="143">
        <v>0</v>
      </c>
      <c r="EI1175" s="2">
        <v>0</v>
      </c>
      <c r="EK1175" t="str">
        <f t="shared" si="387"/>
        <v/>
      </c>
      <c r="EL1175" t="str">
        <f t="shared" si="388"/>
        <v/>
      </c>
      <c r="EM1175" s="2" t="str">
        <f t="shared" si="358"/>
        <v>Technology approach</v>
      </c>
      <c r="EN1175" t="s">
        <v>1005</v>
      </c>
      <c r="EP1175" t="str">
        <f>IF(ISNUMBER(BU1175),IF(ABS(BU1175-[1]QC_indicators!$B$2)&gt;3*[1]QC_indicators!$C$2,"C ratio",IF(ISNUMBER(BY1175),IF(ABS(BY1175-[1]QC_indicators!$B$1)&gt;3*[1]QC_indicators!$C$1,"DF","no"))),IF(ISNUMBER(BY1175),IF(ABS(BY1175-[1]QC_indicators!$B$1)&gt;3*[1]QC_indicators!$C$1,"DF","no")))</f>
        <v>no</v>
      </c>
      <c r="ER1175" s="266" t="s">
        <v>997</v>
      </c>
      <c r="ET1175" s="266" t="s">
        <v>3409</v>
      </c>
    </row>
    <row r="1176" spans="1:150" ht="15" hidden="1" customHeight="1">
      <c r="D1176" t="s">
        <v>965</v>
      </c>
      <c r="E1176" t="s">
        <v>990</v>
      </c>
      <c r="G1176" t="s">
        <v>695</v>
      </c>
      <c r="I1176">
        <v>2003</v>
      </c>
      <c r="K1176" s="297" t="s">
        <v>991</v>
      </c>
      <c r="M1176" t="str">
        <f t="shared" si="362"/>
        <v>Petersen_2003</v>
      </c>
      <c r="N1176" t="s">
        <v>223</v>
      </c>
      <c r="O1176" s="171" t="s">
        <v>514</v>
      </c>
      <c r="P1176" s="141" t="s">
        <v>226</v>
      </c>
      <c r="Q1176" s="266" t="s">
        <v>390</v>
      </c>
      <c r="R1176" s="271" t="s">
        <v>1156</v>
      </c>
      <c r="S1176" s="265" t="s">
        <v>1006</v>
      </c>
      <c r="T1176" s="266" t="s">
        <v>1001</v>
      </c>
      <c r="U1176" s="266" t="s">
        <v>1002</v>
      </c>
      <c r="V1176">
        <v>0</v>
      </c>
      <c r="W1176">
        <v>0</v>
      </c>
      <c r="X1176">
        <v>0</v>
      </c>
      <c r="Y1176">
        <v>0</v>
      </c>
      <c r="Z1176">
        <v>0</v>
      </c>
      <c r="AA1176">
        <v>0</v>
      </c>
      <c r="AB1176">
        <v>0</v>
      </c>
      <c r="AC1176">
        <v>0</v>
      </c>
      <c r="AD1176">
        <v>0</v>
      </c>
      <c r="AE1176">
        <v>0</v>
      </c>
      <c r="AF1176">
        <v>0</v>
      </c>
      <c r="AG1176">
        <v>0</v>
      </c>
      <c r="AH1176">
        <v>0</v>
      </c>
      <c r="AI1176">
        <v>0</v>
      </c>
      <c r="AJ1176">
        <v>0</v>
      </c>
      <c r="AK1176">
        <v>1</v>
      </c>
      <c r="AL1176">
        <v>0</v>
      </c>
      <c r="AM1176">
        <v>0</v>
      </c>
      <c r="AN1176">
        <v>0</v>
      </c>
      <c r="AO1176">
        <v>0</v>
      </c>
      <c r="AP1176">
        <v>0</v>
      </c>
      <c r="AQ1176">
        <v>0</v>
      </c>
      <c r="AR1176">
        <v>0</v>
      </c>
      <c r="AS1176">
        <v>0</v>
      </c>
      <c r="AT1176">
        <v>0</v>
      </c>
      <c r="AU1176">
        <v>0</v>
      </c>
      <c r="AV1176">
        <v>0</v>
      </c>
      <c r="AW1176">
        <v>0</v>
      </c>
      <c r="AX1176" s="141">
        <f t="shared" si="379"/>
        <v>1</v>
      </c>
      <c r="AY1176" s="141">
        <f t="shared" si="350"/>
        <v>1</v>
      </c>
      <c r="AZ1176">
        <f t="shared" si="351"/>
        <v>0</v>
      </c>
      <c r="BA1176">
        <f t="shared" si="352"/>
        <v>0</v>
      </c>
      <c r="BB1176">
        <f t="shared" si="353"/>
        <v>1</v>
      </c>
      <c r="BC1176">
        <f t="shared" si="354"/>
        <v>0</v>
      </c>
      <c r="BD1176">
        <f t="shared" si="355"/>
        <v>0</v>
      </c>
      <c r="BE1176" t="str" cm="1">
        <f t="array" ref="BE1176">IF(AY1176=1,INDEX($V$7:$AL$7,MATCH(TRUE,INDEX($V1176:$AW1176&lt;&gt;0,),0)),IF(AY1176=0,INDEX($AM$7:$AW$7,MATCH(1,$AM1176:$AW1176,0)),IF(BF1176="Multiple strategies","mixed drivers",IF(BF1176="Supply chain","multiple supply","multiple silviculture"))))</f>
        <v>technologies/design switch</v>
      </c>
      <c r="BF1176" s="2" t="str" cm="1">
        <f t="array" ref="BF1176">IF(COUNTIF(AZ1176:BB1176,"&lt;&gt;0")=1,INDEX($V$4:$AW$4,MATCH(TRUE,INDEX($V1176:$AW1176&lt;&gt;0,),0)),IF(COUNTIF(AZ1176:BB1176,"&lt;&gt;0")=0,INDEX($AM$4:$AW$4,MATCH(1,$AM1176:$AW1176,0)),"Multiple strategies"))</f>
        <v>Technology</v>
      </c>
      <c r="BG1176" s="142" t="s">
        <v>230</v>
      </c>
      <c r="BH1176" t="s">
        <v>972</v>
      </c>
      <c r="BI1176" t="s">
        <v>995</v>
      </c>
      <c r="BJ1176" t="s">
        <v>499</v>
      </c>
      <c r="BK1176">
        <v>0</v>
      </c>
      <c r="BL1176">
        <v>1</v>
      </c>
      <c r="BM1176" t="str">
        <f t="shared" si="392"/>
        <v/>
      </c>
      <c r="BN1176">
        <f t="shared" si="380"/>
        <v>1</v>
      </c>
      <c r="BO1176">
        <v>1</v>
      </c>
      <c r="BP1176" t="s">
        <v>233</v>
      </c>
      <c r="BQ1176" t="s">
        <v>744</v>
      </c>
      <c r="BR1176" s="266" t="s">
        <v>975</v>
      </c>
      <c r="BV1176">
        <v>0.7</v>
      </c>
      <c r="BX1176">
        <f t="shared" si="390"/>
        <v>0.7</v>
      </c>
      <c r="BY1176">
        <f t="shared" si="378"/>
        <v>0.7</v>
      </c>
      <c r="BZ1176">
        <v>0</v>
      </c>
      <c r="CA1176">
        <v>0</v>
      </c>
      <c r="CB1176">
        <v>0</v>
      </c>
      <c r="CC1176">
        <v>0</v>
      </c>
      <c r="CD1176">
        <v>0</v>
      </c>
      <c r="CE1176">
        <v>0</v>
      </c>
      <c r="CF1176">
        <v>0</v>
      </c>
      <c r="CG1176">
        <v>0</v>
      </c>
      <c r="CH1176">
        <v>0</v>
      </c>
      <c r="CI1176">
        <v>0</v>
      </c>
      <c r="CJ1176">
        <v>0</v>
      </c>
      <c r="CK1176">
        <v>0</v>
      </c>
      <c r="CL1176">
        <v>0</v>
      </c>
      <c r="CM1176">
        <v>0</v>
      </c>
      <c r="CN1176" t="str">
        <f t="shared" si="381"/>
        <v>refOK</v>
      </c>
      <c r="CO1176">
        <f t="shared" si="393"/>
        <v>0</v>
      </c>
      <c r="CP1176">
        <f t="shared" si="394"/>
        <v>1</v>
      </c>
      <c r="CQ1176">
        <f t="shared" si="382"/>
        <v>1</v>
      </c>
      <c r="CR1176">
        <f t="shared" si="395"/>
        <v>0</v>
      </c>
      <c r="CS1176">
        <f t="shared" si="396"/>
        <v>0</v>
      </c>
      <c r="CT1176">
        <f t="shared" si="397"/>
        <v>0.7</v>
      </c>
      <c r="CU1176">
        <f t="shared" si="365"/>
        <v>0.7</v>
      </c>
      <c r="CV1176" s="2" t="str">
        <f t="shared" si="398"/>
        <v/>
      </c>
      <c r="CW1176" s="1" t="s">
        <v>264</v>
      </c>
      <c r="CX1176" s="266" t="str">
        <f t="shared" si="356"/>
        <v>loc</v>
      </c>
      <c r="CY1176" t="s">
        <v>265</v>
      </c>
      <c r="DA1176" s="143"/>
      <c r="DB1176" s="143">
        <v>45</v>
      </c>
      <c r="DC1176" t="str">
        <f t="shared" si="357"/>
        <v>31-70</v>
      </c>
      <c r="DD1176">
        <v>0</v>
      </c>
      <c r="DE1176">
        <v>0</v>
      </c>
      <c r="DF1176">
        <v>0</v>
      </c>
      <c r="DG1176">
        <v>1</v>
      </c>
      <c r="DH1176">
        <v>0</v>
      </c>
      <c r="DI1176">
        <f t="shared" si="391"/>
        <v>1</v>
      </c>
      <c r="DJ1176" t="str">
        <f t="shared" si="363"/>
        <v>TimberInput</v>
      </c>
      <c r="DK1176">
        <f t="shared" si="383"/>
        <v>0</v>
      </c>
      <c r="DL1176">
        <f t="shared" si="384"/>
        <v>0</v>
      </c>
      <c r="DM1176">
        <f t="shared" si="385"/>
        <v>0</v>
      </c>
      <c r="DN1176" t="str">
        <f t="shared" si="386"/>
        <v>Timber</v>
      </c>
      <c r="DO1176">
        <v>1</v>
      </c>
      <c r="DP1176">
        <v>0</v>
      </c>
      <c r="DQ1176">
        <v>0</v>
      </c>
      <c r="DR1176">
        <v>0</v>
      </c>
      <c r="DS1176">
        <v>0</v>
      </c>
      <c r="DT1176">
        <f t="shared" si="371"/>
        <v>1</v>
      </c>
      <c r="DU1176" s="143" t="str">
        <f t="shared" si="359"/>
        <v>self-calculated DF</v>
      </c>
      <c r="DV1176" s="143">
        <v>0</v>
      </c>
      <c r="DW1176" s="143">
        <v>0</v>
      </c>
      <c r="DX1176" s="143">
        <v>0</v>
      </c>
      <c r="DY1176" s="143">
        <v>0</v>
      </c>
      <c r="DZ1176">
        <v>0</v>
      </c>
      <c r="EA1176" s="143">
        <v>0</v>
      </c>
      <c r="EB1176" s="143">
        <v>0</v>
      </c>
      <c r="EC1176" s="143">
        <v>1</v>
      </c>
      <c r="ED1176" s="143">
        <v>0</v>
      </c>
      <c r="EE1176">
        <v>1</v>
      </c>
      <c r="EF1176">
        <v>0</v>
      </c>
      <c r="EG1176" s="143">
        <v>0</v>
      </c>
      <c r="EH1176" s="143">
        <v>0</v>
      </c>
      <c r="EI1176" s="2">
        <v>0</v>
      </c>
      <c r="EK1176" t="str">
        <f t="shared" si="387"/>
        <v/>
      </c>
      <c r="EL1176" t="str">
        <f t="shared" si="388"/>
        <v/>
      </c>
      <c r="EM1176" s="2" t="str">
        <f t="shared" si="358"/>
        <v>Technology approach</v>
      </c>
      <c r="EN1176" t="s">
        <v>1007</v>
      </c>
      <c r="EP1176" t="str">
        <f>IF(ISNUMBER(BU1176),IF(ABS(BU1176-[1]QC_indicators!$B$2)&gt;3*[1]QC_indicators!$C$2,"C ratio",IF(ISNUMBER(BY1176),IF(ABS(BY1176-[1]QC_indicators!$B$1)&gt;3*[1]QC_indicators!$C$1,"DF","no"))),IF(ISNUMBER(BY1176),IF(ABS(BY1176-[1]QC_indicators!$B$1)&gt;3*[1]QC_indicators!$C$1,"DF","no")))</f>
        <v>no</v>
      </c>
      <c r="ER1176" s="266" t="s">
        <v>997</v>
      </c>
      <c r="ET1176" s="266" t="s">
        <v>3409</v>
      </c>
    </row>
    <row r="1177" spans="1:150" ht="15" hidden="1" customHeight="1">
      <c r="D1177" t="s">
        <v>965</v>
      </c>
      <c r="E1177" t="s">
        <v>990</v>
      </c>
      <c r="G1177" t="s">
        <v>695</v>
      </c>
      <c r="I1177">
        <v>2003</v>
      </c>
      <c r="K1177" s="297" t="s">
        <v>991</v>
      </c>
      <c r="M1177" t="str">
        <f t="shared" si="362"/>
        <v>Petersen_2003</v>
      </c>
      <c r="N1177" t="s">
        <v>223</v>
      </c>
      <c r="O1177" s="171" t="s">
        <v>514</v>
      </c>
      <c r="P1177" s="141" t="s">
        <v>226</v>
      </c>
      <c r="Q1177" s="266" t="s">
        <v>390</v>
      </c>
      <c r="R1177" s="271" t="s">
        <v>1156</v>
      </c>
      <c r="S1177" s="265" t="s">
        <v>1008</v>
      </c>
      <c r="T1177" s="266" t="s">
        <v>1001</v>
      </c>
      <c r="U1177" s="266" t="s">
        <v>1002</v>
      </c>
      <c r="V1177">
        <v>0</v>
      </c>
      <c r="W1177">
        <v>0</v>
      </c>
      <c r="X1177">
        <v>0</v>
      </c>
      <c r="Y1177">
        <v>0</v>
      </c>
      <c r="Z1177">
        <v>0</v>
      </c>
      <c r="AA1177">
        <v>0</v>
      </c>
      <c r="AB1177">
        <v>0</v>
      </c>
      <c r="AC1177">
        <v>0</v>
      </c>
      <c r="AD1177">
        <v>0</v>
      </c>
      <c r="AE1177">
        <v>0</v>
      </c>
      <c r="AF1177">
        <v>0</v>
      </c>
      <c r="AG1177">
        <v>0</v>
      </c>
      <c r="AH1177">
        <v>0</v>
      </c>
      <c r="AI1177">
        <v>0</v>
      </c>
      <c r="AJ1177">
        <v>0</v>
      </c>
      <c r="AK1177">
        <v>1</v>
      </c>
      <c r="AL1177">
        <v>0</v>
      </c>
      <c r="AM1177">
        <v>0</v>
      </c>
      <c r="AN1177">
        <v>0</v>
      </c>
      <c r="AO1177">
        <v>0</v>
      </c>
      <c r="AP1177">
        <v>0</v>
      </c>
      <c r="AQ1177">
        <v>0</v>
      </c>
      <c r="AR1177">
        <v>0</v>
      </c>
      <c r="AS1177">
        <v>0</v>
      </c>
      <c r="AT1177">
        <v>0</v>
      </c>
      <c r="AU1177">
        <v>0</v>
      </c>
      <c r="AV1177">
        <v>0</v>
      </c>
      <c r="AW1177">
        <v>0</v>
      </c>
      <c r="AX1177" s="141">
        <f t="shared" si="379"/>
        <v>1</v>
      </c>
      <c r="AY1177" s="141">
        <f t="shared" si="350"/>
        <v>1</v>
      </c>
      <c r="AZ1177">
        <f t="shared" si="351"/>
        <v>0</v>
      </c>
      <c r="BA1177">
        <f t="shared" si="352"/>
        <v>0</v>
      </c>
      <c r="BB1177">
        <f t="shared" si="353"/>
        <v>1</v>
      </c>
      <c r="BC1177">
        <f t="shared" si="354"/>
        <v>0</v>
      </c>
      <c r="BD1177">
        <f t="shared" si="355"/>
        <v>0</v>
      </c>
      <c r="BE1177" t="str" cm="1">
        <f t="array" ref="BE1177">IF(AY1177=1,INDEX($V$7:$AL$7,MATCH(TRUE,INDEX($V1177:$AW1177&lt;&gt;0,),0)),IF(AY1177=0,INDEX($AM$7:$AW$7,MATCH(1,$AM1177:$AW1177,0)),IF(BF1177="Multiple strategies","mixed drivers",IF(BF1177="Supply chain","multiple supply","multiple silviculture"))))</f>
        <v>technologies/design switch</v>
      </c>
      <c r="BF1177" s="2" t="str" cm="1">
        <f t="array" ref="BF1177">IF(COUNTIF(AZ1177:BB1177,"&lt;&gt;0")=1,INDEX($V$4:$AW$4,MATCH(TRUE,INDEX($V1177:$AW1177&lt;&gt;0,),0)),IF(COUNTIF(AZ1177:BB1177,"&lt;&gt;0")=0,INDEX($AM$4:$AW$4,MATCH(1,$AM1177:$AW1177,0)),"Multiple strategies"))</f>
        <v>Technology</v>
      </c>
      <c r="BG1177" s="142" t="s">
        <v>230</v>
      </c>
      <c r="BH1177" t="s">
        <v>972</v>
      </c>
      <c r="BI1177" t="s">
        <v>995</v>
      </c>
      <c r="BJ1177" t="s">
        <v>499</v>
      </c>
      <c r="BK1177">
        <v>0</v>
      </c>
      <c r="BL1177">
        <v>1</v>
      </c>
      <c r="BM1177" t="str">
        <f t="shared" si="392"/>
        <v/>
      </c>
      <c r="BN1177">
        <f t="shared" si="380"/>
        <v>1</v>
      </c>
      <c r="BO1177">
        <v>1</v>
      </c>
      <c r="BP1177" t="s">
        <v>233</v>
      </c>
      <c r="BQ1177" t="s">
        <v>744</v>
      </c>
      <c r="BR1177" s="266" t="s">
        <v>975</v>
      </c>
      <c r="BV1177">
        <v>0.84599999999999997</v>
      </c>
      <c r="BX1177">
        <f t="shared" si="390"/>
        <v>0.84599999999999997</v>
      </c>
      <c r="BY1177">
        <f t="shared" si="378"/>
        <v>0.84599999999999997</v>
      </c>
      <c r="BZ1177">
        <v>0</v>
      </c>
      <c r="CA1177">
        <v>0</v>
      </c>
      <c r="CB1177">
        <v>0</v>
      </c>
      <c r="CC1177">
        <v>0</v>
      </c>
      <c r="CD1177">
        <v>0</v>
      </c>
      <c r="CE1177">
        <v>0</v>
      </c>
      <c r="CF1177">
        <v>0</v>
      </c>
      <c r="CG1177">
        <v>0</v>
      </c>
      <c r="CH1177">
        <v>0</v>
      </c>
      <c r="CI1177">
        <v>0</v>
      </c>
      <c r="CJ1177">
        <v>0</v>
      </c>
      <c r="CK1177">
        <v>0</v>
      </c>
      <c r="CL1177">
        <v>0</v>
      </c>
      <c r="CM1177">
        <v>0</v>
      </c>
      <c r="CN1177" t="str">
        <f t="shared" si="381"/>
        <v>refOK</v>
      </c>
      <c r="CO1177">
        <f t="shared" si="393"/>
        <v>0</v>
      </c>
      <c r="CP1177">
        <f t="shared" si="394"/>
        <v>1</v>
      </c>
      <c r="CQ1177">
        <f t="shared" si="382"/>
        <v>1</v>
      </c>
      <c r="CR1177">
        <f t="shared" si="395"/>
        <v>0</v>
      </c>
      <c r="CS1177">
        <f t="shared" si="396"/>
        <v>0</v>
      </c>
      <c r="CT1177">
        <f t="shared" si="397"/>
        <v>0.84599999999999997</v>
      </c>
      <c r="CU1177">
        <f t="shared" si="365"/>
        <v>0.84599999999999997</v>
      </c>
      <c r="CV1177" s="2" t="str">
        <f t="shared" si="398"/>
        <v/>
      </c>
      <c r="CW1177" s="1" t="s">
        <v>264</v>
      </c>
      <c r="CX1177" s="266" t="str">
        <f t="shared" si="356"/>
        <v>loc</v>
      </c>
      <c r="CY1177" t="s">
        <v>265</v>
      </c>
      <c r="DA1177" s="143"/>
      <c r="DB1177" s="143">
        <v>45</v>
      </c>
      <c r="DC1177" t="str">
        <f t="shared" si="357"/>
        <v>31-70</v>
      </c>
      <c r="DD1177">
        <v>0</v>
      </c>
      <c r="DE1177">
        <v>0</v>
      </c>
      <c r="DF1177">
        <v>0</v>
      </c>
      <c r="DG1177">
        <v>1</v>
      </c>
      <c r="DH1177">
        <v>0</v>
      </c>
      <c r="DI1177">
        <f t="shared" si="391"/>
        <v>1</v>
      </c>
      <c r="DJ1177" t="str">
        <f t="shared" si="363"/>
        <v>TimberInput</v>
      </c>
      <c r="DK1177">
        <f t="shared" si="383"/>
        <v>0</v>
      </c>
      <c r="DL1177">
        <f t="shared" si="384"/>
        <v>0</v>
      </c>
      <c r="DM1177">
        <f t="shared" si="385"/>
        <v>0</v>
      </c>
      <c r="DN1177" t="str">
        <f t="shared" si="386"/>
        <v>Timber</v>
      </c>
      <c r="DO1177">
        <v>1</v>
      </c>
      <c r="DP1177">
        <v>0</v>
      </c>
      <c r="DQ1177">
        <v>0</v>
      </c>
      <c r="DR1177">
        <v>0</v>
      </c>
      <c r="DS1177">
        <v>0</v>
      </c>
      <c r="DT1177">
        <f t="shared" si="371"/>
        <v>1</v>
      </c>
      <c r="DU1177" s="143" t="str">
        <f t="shared" si="359"/>
        <v>self-calculated DF</v>
      </c>
      <c r="DV1177" s="143">
        <v>0</v>
      </c>
      <c r="DW1177" s="143">
        <v>0</v>
      </c>
      <c r="DX1177" s="143">
        <v>0</v>
      </c>
      <c r="DY1177" s="143">
        <v>0</v>
      </c>
      <c r="DZ1177">
        <v>0</v>
      </c>
      <c r="EA1177" s="143">
        <v>0</v>
      </c>
      <c r="EB1177" s="143">
        <v>0</v>
      </c>
      <c r="EC1177" s="143">
        <v>1</v>
      </c>
      <c r="ED1177" s="143">
        <v>0</v>
      </c>
      <c r="EE1177">
        <v>0</v>
      </c>
      <c r="EF1177">
        <v>0</v>
      </c>
      <c r="EG1177" s="143">
        <v>0</v>
      </c>
      <c r="EH1177" s="143">
        <v>0</v>
      </c>
      <c r="EI1177" s="2">
        <v>0</v>
      </c>
      <c r="EK1177" t="str">
        <f t="shared" si="387"/>
        <v/>
      </c>
      <c r="EL1177" t="str">
        <f t="shared" si="388"/>
        <v/>
      </c>
      <c r="EM1177" s="2" t="str">
        <f t="shared" si="358"/>
        <v/>
      </c>
      <c r="EN1177" t="s">
        <v>1007</v>
      </c>
      <c r="EP1177" t="str">
        <f>IF(ISNUMBER(BU1177),IF(ABS(BU1177-[1]QC_indicators!$B$2)&gt;3*[1]QC_indicators!$C$2,"C ratio",IF(ISNUMBER(BY1177),IF(ABS(BY1177-[1]QC_indicators!$B$1)&gt;3*[1]QC_indicators!$C$1,"DF","no"))),IF(ISNUMBER(BY1177),IF(ABS(BY1177-[1]QC_indicators!$B$1)&gt;3*[1]QC_indicators!$C$1,"DF","no")))</f>
        <v>no</v>
      </c>
      <c r="ER1177" s="266" t="s">
        <v>997</v>
      </c>
      <c r="ET1177" s="266" t="s">
        <v>3409</v>
      </c>
    </row>
    <row r="1178" spans="1:150" ht="15" hidden="1" customHeight="1">
      <c r="A1178" s="1" t="s">
        <v>1362</v>
      </c>
      <c r="B1178" t="s">
        <v>2137</v>
      </c>
      <c r="C1178" t="s">
        <v>2138</v>
      </c>
      <c r="D1178" t="s">
        <v>2139</v>
      </c>
      <c r="E1178" t="s">
        <v>2140</v>
      </c>
      <c r="F1178" t="s">
        <v>2141</v>
      </c>
      <c r="G1178" t="s">
        <v>1368</v>
      </c>
      <c r="H1178" t="s">
        <v>255</v>
      </c>
      <c r="I1178">
        <v>2012</v>
      </c>
      <c r="J1178">
        <v>21</v>
      </c>
      <c r="K1178" t="s">
        <v>2142</v>
      </c>
      <c r="L1178" s="192"/>
      <c r="M1178" t="str">
        <f t="shared" si="362"/>
        <v>Pyorala_2012</v>
      </c>
      <c r="N1178" t="s">
        <v>223</v>
      </c>
      <c r="O1178" s="145" t="s">
        <v>342</v>
      </c>
      <c r="Q1178" s="266" t="s">
        <v>257</v>
      </c>
      <c r="R1178" s="271" t="s">
        <v>1156</v>
      </c>
      <c r="S1178" s="1" t="s">
        <v>2191</v>
      </c>
      <c r="T1178" t="s">
        <v>800</v>
      </c>
      <c r="U1178" t="s">
        <v>2170</v>
      </c>
      <c r="V1178">
        <v>0</v>
      </c>
      <c r="W1178">
        <v>0</v>
      </c>
      <c r="X1178">
        <v>0</v>
      </c>
      <c r="Y1178">
        <v>0</v>
      </c>
      <c r="Z1178">
        <v>0</v>
      </c>
      <c r="AA1178">
        <v>0</v>
      </c>
      <c r="AB1178">
        <v>0</v>
      </c>
      <c r="AC1178">
        <v>0</v>
      </c>
      <c r="AD1178">
        <v>0</v>
      </c>
      <c r="AE1178">
        <v>0</v>
      </c>
      <c r="AF1178">
        <v>0</v>
      </c>
      <c r="AG1178">
        <v>0</v>
      </c>
      <c r="AH1178">
        <v>0</v>
      </c>
      <c r="AI1178">
        <v>0</v>
      </c>
      <c r="AJ1178">
        <v>0</v>
      </c>
      <c r="AK1178">
        <v>1</v>
      </c>
      <c r="AL1178">
        <v>0</v>
      </c>
      <c r="AM1178">
        <v>0</v>
      </c>
      <c r="AN1178">
        <v>0</v>
      </c>
      <c r="AO1178">
        <v>0</v>
      </c>
      <c r="AP1178">
        <v>0</v>
      </c>
      <c r="AQ1178">
        <v>0</v>
      </c>
      <c r="AR1178">
        <v>0</v>
      </c>
      <c r="AS1178">
        <v>0</v>
      </c>
      <c r="AT1178">
        <v>0</v>
      </c>
      <c r="AU1178">
        <v>0</v>
      </c>
      <c r="AV1178">
        <v>0</v>
      </c>
      <c r="AW1178">
        <v>0</v>
      </c>
      <c r="AX1178" s="141">
        <f t="shared" si="379"/>
        <v>1</v>
      </c>
      <c r="AY1178" s="141">
        <f t="shared" ref="AY1178:AY1241" si="399">COUNTIF(V1178:AL1178,"&lt;&gt;0")</f>
        <v>1</v>
      </c>
      <c r="AZ1178">
        <f t="shared" ref="AZ1178:AZ1241" si="400">COUNTIF(V1178:AC1178,"&lt;&gt;0")</f>
        <v>0</v>
      </c>
      <c r="BA1178">
        <f t="shared" ref="BA1178:BA1241" si="401">COUNTIF(AD1178:AI1178,"&lt;&gt;0")</f>
        <v>0</v>
      </c>
      <c r="BB1178">
        <f t="shared" ref="BB1178:BB1241" si="402">COUNTIF(AJ1178:AL1178,"&lt;&gt;0")</f>
        <v>1</v>
      </c>
      <c r="BC1178">
        <f t="shared" ref="BC1178:BC1241" si="403">COUNTIF(AS1178:AW1178,"&lt;&gt;0")</f>
        <v>0</v>
      </c>
      <c r="BD1178">
        <f t="shared" ref="BD1178:BD1241" si="404">COUNTIF(AM1178:AR1178,"&lt;&gt;0")</f>
        <v>0</v>
      </c>
      <c r="BE1178" t="str" cm="1">
        <f t="array" ref="BE1178">IF(AY1178=1,INDEX($V$7:$AL$7,MATCH(TRUE,INDEX($V1178:$AW1178&lt;&gt;0,),0)),IF(AY1178=0,INDEX($AM$7:$AW$7,MATCH(1,$AM1178:$AW1178,0)),IF(BF1178="Multiple strategies","mixed drivers",IF(BF1178="Supply chain","multiple supply","multiple silviculture"))))</f>
        <v>technologies/design switch</v>
      </c>
      <c r="BF1178" s="2" t="str" cm="1">
        <f t="array" ref="BF1178">IF(COUNTIF(AZ1178:BB1178,"&lt;&gt;0")=1,INDEX($V$4:$AW$4,MATCH(TRUE,INDEX($V1178:$AW1178&lt;&gt;0,),0)),IF(COUNTIF(AZ1178:BB1178,"&lt;&gt;0")=0,INDEX($AM$4:$AW$4,MATCH(1,$AM1178:$AW1178,0)),"Multiple strategies"))</f>
        <v>Technology</v>
      </c>
      <c r="BH1178" t="s">
        <v>2171</v>
      </c>
      <c r="BN1178" s="143"/>
      <c r="BP1178" s="266" t="s">
        <v>233</v>
      </c>
      <c r="BQ1178" s="266"/>
      <c r="BR1178" t="s">
        <v>2172</v>
      </c>
      <c r="BS1178">
        <v>-157</v>
      </c>
      <c r="BT1178">
        <v>-374</v>
      </c>
      <c r="BU1178" s="144">
        <v>1.096774193548387</v>
      </c>
      <c r="BV1178">
        <v>-33</v>
      </c>
      <c r="BX1178">
        <f t="shared" ref="BX1178:BX1195" si="405">BV1178/1000</f>
        <v>-3.3000000000000002E-2</v>
      </c>
      <c r="BY1178" t="str">
        <f t="shared" si="378"/>
        <v/>
      </c>
      <c r="BZ1178">
        <v>0</v>
      </c>
      <c r="CA1178">
        <v>0</v>
      </c>
      <c r="CB1178">
        <v>0</v>
      </c>
      <c r="CC1178">
        <v>0</v>
      </c>
      <c r="CD1178">
        <v>0</v>
      </c>
      <c r="CE1178">
        <v>0</v>
      </c>
      <c r="CF1178">
        <v>0</v>
      </c>
      <c r="CG1178">
        <v>0</v>
      </c>
      <c r="CH1178">
        <v>0</v>
      </c>
      <c r="CI1178">
        <v>0</v>
      </c>
      <c r="CJ1178">
        <v>0</v>
      </c>
      <c r="CK1178">
        <v>0</v>
      </c>
      <c r="CL1178">
        <v>0</v>
      </c>
      <c r="CM1178">
        <v>0</v>
      </c>
      <c r="CN1178" t="str">
        <f t="shared" ref="CN1178:CN1195" si="406">IF(BL1178&lt;BK1178,"refNeedCorrection","refOK")</f>
        <v>refOK</v>
      </c>
      <c r="CO1178"/>
      <c r="CP1178"/>
      <c r="CQ1178"/>
      <c r="CR1178">
        <f t="shared" si="395"/>
        <v>-157</v>
      </c>
      <c r="CS1178">
        <f t="shared" si="396"/>
        <v>-374</v>
      </c>
      <c r="CT1178">
        <f t="shared" si="397"/>
        <v>-3.3000000000000002E-2</v>
      </c>
      <c r="CU1178" t="str">
        <f t="shared" si="365"/>
        <v/>
      </c>
      <c r="CV1178" s="2">
        <f t="shared" si="398"/>
        <v>-1.3821656050955413</v>
      </c>
      <c r="CW1178" s="1" t="s">
        <v>1201</v>
      </c>
      <c r="CX1178" s="266" t="str">
        <f t="shared" ref="CX1178:CX1241" si="407">IF(OR($CW1178="prd",$CW1178="std",$CW1178="cit"),"loc",IF(OR($CW1178="eur",$CW1178="reg",$CW1178="coy"),"reg",$CW1178))</f>
        <v>reg</v>
      </c>
      <c r="CY1178" t="s">
        <v>236</v>
      </c>
      <c r="DB1178">
        <v>30</v>
      </c>
      <c r="DC1178" t="str">
        <f t="shared" ref="DC1178:DC1241" si="408">IF(DB1178=0,"0",IF(AND(DB1178&gt;=1,DB1178&lt;=30),"1-30",IF(AND(DB1178&gt;30,DB1178&lt;=70),"31-70",IF(AND(DB1178&gt;70,DB1178&lt;=100),"71-100",IF(DB1178&gt;100,"+100")))))</f>
        <v>1-30</v>
      </c>
      <c r="DD1178">
        <v>0</v>
      </c>
      <c r="DE1178">
        <v>1</v>
      </c>
      <c r="DF1178">
        <v>0</v>
      </c>
      <c r="DG1178">
        <v>0</v>
      </c>
      <c r="DI1178">
        <f t="shared" si="391"/>
        <v>1</v>
      </c>
      <c r="DJ1178" t="str">
        <f t="shared" si="363"/>
        <v>EnergyInput</v>
      </c>
      <c r="DK1178">
        <f t="shared" si="383"/>
        <v>0</v>
      </c>
      <c r="DL1178" t="str">
        <f t="shared" si="384"/>
        <v>Energy</v>
      </c>
      <c r="DM1178">
        <f t="shared" si="385"/>
        <v>0</v>
      </c>
      <c r="DN1178">
        <f t="shared" si="386"/>
        <v>0</v>
      </c>
      <c r="DO1178">
        <v>0</v>
      </c>
      <c r="DP1178">
        <v>1</v>
      </c>
      <c r="DQ1178" t="s">
        <v>2148</v>
      </c>
      <c r="DR1178">
        <v>0</v>
      </c>
      <c r="DS1178">
        <v>0</v>
      </c>
      <c r="DT1178">
        <f t="shared" si="371"/>
        <v>1</v>
      </c>
      <c r="DU1178" s="143" t="str">
        <f t="shared" si="359"/>
        <v>external DF used</v>
      </c>
      <c r="DV1178">
        <v>1</v>
      </c>
      <c r="DW1178">
        <v>1</v>
      </c>
      <c r="DX1178">
        <v>1</v>
      </c>
      <c r="DY1178">
        <v>1</v>
      </c>
      <c r="DZ1178">
        <v>1</v>
      </c>
      <c r="EA1178">
        <v>0</v>
      </c>
      <c r="EB1178">
        <v>1</v>
      </c>
      <c r="EC1178">
        <v>1</v>
      </c>
      <c r="ED1178">
        <v>0</v>
      </c>
      <c r="EE1178">
        <v>0</v>
      </c>
      <c r="EF1178">
        <v>1</v>
      </c>
      <c r="EG1178">
        <v>0</v>
      </c>
      <c r="EH1178">
        <v>0</v>
      </c>
      <c r="EI1178" s="2">
        <v>0</v>
      </c>
      <c r="EK1178" t="str">
        <f t="shared" si="387"/>
        <v>Whole sector</v>
      </c>
      <c r="EL1178" t="str">
        <f t="shared" si="388"/>
        <v/>
      </c>
      <c r="EM1178" s="2" t="str">
        <f t="shared" ref="EM1178:EM1241" si="409">IF(AND(AND(AND($DX1178=0,$DW1178=0),OR($EC1178=1,$EA1178=1)),SUM($EB1178:$EE1178)&gt;=2),"Technology approach","")</f>
        <v/>
      </c>
      <c r="EP1178" t="b">
        <f>IF(ISNUMBER(BU1178),IF(ABS(BU1178-[1]QC_indicators!$B$2)&gt;3*[1]QC_indicators!$C$2,"C ratio",IF(ISNUMBER(BY1178),IF(ABS(BY1178-[1]QC_indicators!$B$1)&gt;3*[1]QC_indicators!$C$1,"DF","no"))),IF(ISNUMBER(BY1178),IF(ABS(BY1178-[1]QC_indicators!$B$1)&gt;3*[1]QC_indicators!$C$1,"DF","no")))</f>
        <v>0</v>
      </c>
      <c r="ER1178" s="296" t="s">
        <v>2173</v>
      </c>
      <c r="ET1178" s="266" t="s">
        <v>3409</v>
      </c>
    </row>
    <row r="1179" spans="1:150" ht="15" hidden="1" customHeight="1">
      <c r="A1179" s="1" t="s">
        <v>1362</v>
      </c>
      <c r="B1179" t="s">
        <v>2137</v>
      </c>
      <c r="C1179" t="s">
        <v>2138</v>
      </c>
      <c r="D1179" t="s">
        <v>2139</v>
      </c>
      <c r="E1179" t="s">
        <v>2140</v>
      </c>
      <c r="F1179" t="s">
        <v>2141</v>
      </c>
      <c r="G1179" t="s">
        <v>1368</v>
      </c>
      <c r="H1179" t="s">
        <v>255</v>
      </c>
      <c r="I1179">
        <v>2012</v>
      </c>
      <c r="J1179">
        <v>21</v>
      </c>
      <c r="K1179" t="s">
        <v>2142</v>
      </c>
      <c r="L1179" s="192"/>
      <c r="M1179" t="str">
        <f t="shared" si="362"/>
        <v>Pyorala_2012</v>
      </c>
      <c r="N1179" t="s">
        <v>223</v>
      </c>
      <c r="O1179" s="145" t="s">
        <v>342</v>
      </c>
      <c r="Q1179" s="266" t="s">
        <v>257</v>
      </c>
      <c r="R1179" s="271" t="s">
        <v>1156</v>
      </c>
      <c r="S1179" s="1" t="s">
        <v>2192</v>
      </c>
      <c r="T1179" t="s">
        <v>800</v>
      </c>
      <c r="U1179" t="s">
        <v>2170</v>
      </c>
      <c r="V1179">
        <v>0</v>
      </c>
      <c r="W1179">
        <v>0</v>
      </c>
      <c r="X1179">
        <v>0</v>
      </c>
      <c r="Y1179">
        <v>0</v>
      </c>
      <c r="Z1179">
        <v>0</v>
      </c>
      <c r="AA1179">
        <v>0</v>
      </c>
      <c r="AB1179">
        <v>0</v>
      </c>
      <c r="AC1179">
        <v>0</v>
      </c>
      <c r="AD1179">
        <v>0</v>
      </c>
      <c r="AE1179">
        <v>0</v>
      </c>
      <c r="AF1179">
        <v>0</v>
      </c>
      <c r="AG1179">
        <v>0</v>
      </c>
      <c r="AH1179">
        <v>0</v>
      </c>
      <c r="AI1179">
        <v>0</v>
      </c>
      <c r="AJ1179">
        <v>0</v>
      </c>
      <c r="AK1179">
        <v>1</v>
      </c>
      <c r="AL1179">
        <v>0</v>
      </c>
      <c r="AM1179">
        <v>0</v>
      </c>
      <c r="AN1179">
        <v>0</v>
      </c>
      <c r="AO1179">
        <v>0</v>
      </c>
      <c r="AP1179">
        <v>0</v>
      </c>
      <c r="AQ1179">
        <v>0</v>
      </c>
      <c r="AR1179">
        <v>0</v>
      </c>
      <c r="AS1179">
        <v>0</v>
      </c>
      <c r="AT1179">
        <v>0</v>
      </c>
      <c r="AU1179">
        <v>0</v>
      </c>
      <c r="AV1179">
        <v>0</v>
      </c>
      <c r="AW1179">
        <v>0</v>
      </c>
      <c r="AX1179" s="141">
        <f t="shared" si="379"/>
        <v>1</v>
      </c>
      <c r="AY1179" s="141">
        <f t="shared" si="399"/>
        <v>1</v>
      </c>
      <c r="AZ1179">
        <f t="shared" si="400"/>
        <v>0</v>
      </c>
      <c r="BA1179">
        <f t="shared" si="401"/>
        <v>0</v>
      </c>
      <c r="BB1179">
        <f t="shared" si="402"/>
        <v>1</v>
      </c>
      <c r="BC1179">
        <f t="shared" si="403"/>
        <v>0</v>
      </c>
      <c r="BD1179">
        <f t="shared" si="404"/>
        <v>0</v>
      </c>
      <c r="BE1179" t="str" cm="1">
        <f t="array" ref="BE1179">IF(AY1179=1,INDEX($V$7:$AL$7,MATCH(TRUE,INDEX($V1179:$AW1179&lt;&gt;0,),0)),IF(AY1179=0,INDEX($AM$7:$AW$7,MATCH(1,$AM1179:$AW1179,0)),IF(BF1179="Multiple strategies","mixed drivers",IF(BF1179="Supply chain","multiple supply","multiple silviculture"))))</f>
        <v>technologies/design switch</v>
      </c>
      <c r="BF1179" s="2" t="str" cm="1">
        <f t="array" ref="BF1179">IF(COUNTIF(AZ1179:BB1179,"&lt;&gt;0")=1,INDEX($V$4:$AW$4,MATCH(TRUE,INDEX($V1179:$AW1179&lt;&gt;0,),0)),IF(COUNTIF(AZ1179:BB1179,"&lt;&gt;0")=0,INDEX($AM$4:$AW$4,MATCH(1,$AM1179:$AW1179,0)),"Multiple strategies"))</f>
        <v>Technology</v>
      </c>
      <c r="BH1179" t="s">
        <v>2171</v>
      </c>
      <c r="BN1179" s="143"/>
      <c r="BP1179" s="266" t="s">
        <v>233</v>
      </c>
      <c r="BQ1179" s="266"/>
      <c r="BR1179" t="s">
        <v>2172</v>
      </c>
      <c r="BS1179">
        <v>-157</v>
      </c>
      <c r="BT1179">
        <v>-374</v>
      </c>
      <c r="BU1179" s="144">
        <v>1.096774193548387</v>
      </c>
      <c r="BV1179">
        <v>-33</v>
      </c>
      <c r="BX1179">
        <f t="shared" si="405"/>
        <v>-3.3000000000000002E-2</v>
      </c>
      <c r="BY1179" t="str">
        <f t="shared" si="378"/>
        <v/>
      </c>
      <c r="BZ1179">
        <v>0</v>
      </c>
      <c r="CA1179">
        <v>0</v>
      </c>
      <c r="CB1179">
        <v>0</v>
      </c>
      <c r="CC1179">
        <v>0</v>
      </c>
      <c r="CD1179">
        <v>0</v>
      </c>
      <c r="CE1179">
        <v>0</v>
      </c>
      <c r="CF1179">
        <v>0</v>
      </c>
      <c r="CG1179">
        <v>0</v>
      </c>
      <c r="CH1179">
        <v>0</v>
      </c>
      <c r="CI1179">
        <v>0</v>
      </c>
      <c r="CJ1179">
        <v>0</v>
      </c>
      <c r="CK1179">
        <v>0</v>
      </c>
      <c r="CL1179">
        <v>0</v>
      </c>
      <c r="CM1179">
        <v>0</v>
      </c>
      <c r="CN1179" t="str">
        <f t="shared" si="406"/>
        <v>refOK</v>
      </c>
      <c r="CO1179"/>
      <c r="CP1179"/>
      <c r="CQ1179"/>
      <c r="CR1179">
        <f t="shared" si="395"/>
        <v>-157</v>
      </c>
      <c r="CS1179">
        <f t="shared" si="396"/>
        <v>-374</v>
      </c>
      <c r="CT1179">
        <f t="shared" si="397"/>
        <v>-3.3000000000000002E-2</v>
      </c>
      <c r="CU1179" t="str">
        <f t="shared" si="365"/>
        <v/>
      </c>
      <c r="CV1179" s="2">
        <f t="shared" si="398"/>
        <v>-1.3821656050955413</v>
      </c>
      <c r="CW1179" s="1" t="s">
        <v>1201</v>
      </c>
      <c r="CX1179" s="266" t="str">
        <f t="shared" si="407"/>
        <v>reg</v>
      </c>
      <c r="CY1179" t="s">
        <v>236</v>
      </c>
      <c r="DB1179">
        <v>30</v>
      </c>
      <c r="DC1179" t="str">
        <f t="shared" si="408"/>
        <v>1-30</v>
      </c>
      <c r="DD1179">
        <v>0</v>
      </c>
      <c r="DE1179">
        <v>1</v>
      </c>
      <c r="DF1179">
        <v>0</v>
      </c>
      <c r="DG1179">
        <v>0</v>
      </c>
      <c r="DI1179">
        <f t="shared" si="391"/>
        <v>1</v>
      </c>
      <c r="DJ1179" t="str">
        <f t="shared" si="363"/>
        <v>EnergyInput</v>
      </c>
      <c r="DK1179">
        <f t="shared" si="383"/>
        <v>0</v>
      </c>
      <c r="DL1179" t="str">
        <f t="shared" si="384"/>
        <v>Energy</v>
      </c>
      <c r="DM1179">
        <f t="shared" si="385"/>
        <v>0</v>
      </c>
      <c r="DN1179">
        <f t="shared" si="386"/>
        <v>0</v>
      </c>
      <c r="DO1179">
        <v>0</v>
      </c>
      <c r="DP1179">
        <v>1</v>
      </c>
      <c r="DQ1179" t="s">
        <v>2148</v>
      </c>
      <c r="DR1179">
        <v>0</v>
      </c>
      <c r="DS1179">
        <v>0</v>
      </c>
      <c r="DT1179">
        <f t="shared" si="371"/>
        <v>1</v>
      </c>
      <c r="DU1179" s="143" t="str">
        <f t="shared" ref="DU1179:DU1225" si="410">IF(DO1179=1,"self-calculated DF",IF(DP1179=1,"external DF used","explicit C balance"))</f>
        <v>external DF used</v>
      </c>
      <c r="DV1179">
        <v>1</v>
      </c>
      <c r="DW1179">
        <v>1</v>
      </c>
      <c r="DX1179">
        <v>1</v>
      </c>
      <c r="DY1179">
        <v>1</v>
      </c>
      <c r="DZ1179">
        <v>1</v>
      </c>
      <c r="EA1179">
        <v>0</v>
      </c>
      <c r="EB1179">
        <v>1</v>
      </c>
      <c r="EC1179">
        <v>1</v>
      </c>
      <c r="ED1179">
        <v>0</v>
      </c>
      <c r="EE1179">
        <v>0</v>
      </c>
      <c r="EF1179">
        <v>1</v>
      </c>
      <c r="EG1179">
        <v>0</v>
      </c>
      <c r="EH1179">
        <v>0</v>
      </c>
      <c r="EI1179" s="2">
        <v>0</v>
      </c>
      <c r="EK1179" t="str">
        <f t="shared" si="387"/>
        <v>Whole sector</v>
      </c>
      <c r="EL1179" t="str">
        <f t="shared" si="388"/>
        <v/>
      </c>
      <c r="EM1179" s="2" t="str">
        <f t="shared" si="409"/>
        <v/>
      </c>
      <c r="EP1179" t="b">
        <f>IF(ISNUMBER(BU1179),IF(ABS(BU1179-[1]QC_indicators!$B$2)&gt;3*[1]QC_indicators!$C$2,"C ratio",IF(ISNUMBER(BY1179),IF(ABS(BY1179-[1]QC_indicators!$B$1)&gt;3*[1]QC_indicators!$C$1,"DF","no"))),IF(ISNUMBER(BY1179),IF(ABS(BY1179-[1]QC_indicators!$B$1)&gt;3*[1]QC_indicators!$C$1,"DF","no")))</f>
        <v>0</v>
      </c>
      <c r="ER1179" s="296" t="s">
        <v>2173</v>
      </c>
      <c r="ET1179" s="266" t="s">
        <v>3409</v>
      </c>
    </row>
    <row r="1180" spans="1:150" ht="15" hidden="1" customHeight="1">
      <c r="A1180" s="1" t="s">
        <v>1362</v>
      </c>
      <c r="B1180" t="s">
        <v>2137</v>
      </c>
      <c r="C1180" t="s">
        <v>2138</v>
      </c>
      <c r="D1180" t="s">
        <v>2139</v>
      </c>
      <c r="E1180" t="s">
        <v>2140</v>
      </c>
      <c r="F1180" t="s">
        <v>2141</v>
      </c>
      <c r="G1180" t="s">
        <v>1368</v>
      </c>
      <c r="H1180" t="s">
        <v>255</v>
      </c>
      <c r="I1180">
        <v>2012</v>
      </c>
      <c r="J1180">
        <v>21</v>
      </c>
      <c r="K1180" t="s">
        <v>2142</v>
      </c>
      <c r="L1180" s="192"/>
      <c r="M1180" t="str">
        <f t="shared" si="362"/>
        <v>Pyorala_2012</v>
      </c>
      <c r="N1180" t="s">
        <v>223</v>
      </c>
      <c r="O1180" s="145" t="s">
        <v>342</v>
      </c>
      <c r="Q1180" s="266" t="s">
        <v>257</v>
      </c>
      <c r="R1180" s="271" t="s">
        <v>1156</v>
      </c>
      <c r="S1180" s="1" t="s">
        <v>2193</v>
      </c>
      <c r="T1180" t="s">
        <v>800</v>
      </c>
      <c r="U1180" t="s">
        <v>2170</v>
      </c>
      <c r="V1180">
        <v>0</v>
      </c>
      <c r="W1180">
        <v>0</v>
      </c>
      <c r="X1180">
        <v>0</v>
      </c>
      <c r="Y1180">
        <v>0</v>
      </c>
      <c r="Z1180">
        <v>0</v>
      </c>
      <c r="AA1180">
        <v>0</v>
      </c>
      <c r="AB1180">
        <v>0</v>
      </c>
      <c r="AC1180">
        <v>0</v>
      </c>
      <c r="AD1180">
        <v>0</v>
      </c>
      <c r="AE1180">
        <v>0</v>
      </c>
      <c r="AF1180">
        <v>0</v>
      </c>
      <c r="AG1180">
        <v>0</v>
      </c>
      <c r="AH1180">
        <v>0</v>
      </c>
      <c r="AI1180">
        <v>0</v>
      </c>
      <c r="AJ1180">
        <v>0</v>
      </c>
      <c r="AK1180">
        <v>1</v>
      </c>
      <c r="AL1180">
        <v>0</v>
      </c>
      <c r="AM1180">
        <v>0</v>
      </c>
      <c r="AN1180">
        <v>0</v>
      </c>
      <c r="AO1180">
        <v>0</v>
      </c>
      <c r="AP1180">
        <v>0</v>
      </c>
      <c r="AQ1180">
        <v>0</v>
      </c>
      <c r="AR1180">
        <v>0</v>
      </c>
      <c r="AS1180">
        <v>0</v>
      </c>
      <c r="AT1180">
        <v>0</v>
      </c>
      <c r="AU1180">
        <v>0</v>
      </c>
      <c r="AV1180">
        <v>0</v>
      </c>
      <c r="AW1180">
        <v>0</v>
      </c>
      <c r="AX1180" s="141">
        <f t="shared" si="379"/>
        <v>1</v>
      </c>
      <c r="AY1180" s="141">
        <f t="shared" si="399"/>
        <v>1</v>
      </c>
      <c r="AZ1180">
        <f t="shared" si="400"/>
        <v>0</v>
      </c>
      <c r="BA1180">
        <f t="shared" si="401"/>
        <v>0</v>
      </c>
      <c r="BB1180">
        <f t="shared" si="402"/>
        <v>1</v>
      </c>
      <c r="BC1180">
        <f t="shared" si="403"/>
        <v>0</v>
      </c>
      <c r="BD1180">
        <f t="shared" si="404"/>
        <v>0</v>
      </c>
      <c r="BE1180" t="str" cm="1">
        <f t="array" ref="BE1180">IF(AY1180=1,INDEX($V$7:$AL$7,MATCH(TRUE,INDEX($V1180:$AW1180&lt;&gt;0,),0)),IF(AY1180=0,INDEX($AM$7:$AW$7,MATCH(1,$AM1180:$AW1180,0)),IF(BF1180="Multiple strategies","mixed drivers",IF(BF1180="Supply chain","multiple supply","multiple silviculture"))))</f>
        <v>technologies/design switch</v>
      </c>
      <c r="BF1180" s="2" t="str" cm="1">
        <f t="array" ref="BF1180">IF(COUNTIF(AZ1180:BB1180,"&lt;&gt;0")=1,INDEX($V$4:$AW$4,MATCH(TRUE,INDEX($V1180:$AW1180&lt;&gt;0,),0)),IF(COUNTIF(AZ1180:BB1180,"&lt;&gt;0")=0,INDEX($AM$4:$AW$4,MATCH(1,$AM1180:$AW1180,0)),"Multiple strategies"))</f>
        <v>Technology</v>
      </c>
      <c r="BH1180" t="s">
        <v>2171</v>
      </c>
      <c r="BN1180" s="143"/>
      <c r="BP1180" s="266" t="s">
        <v>233</v>
      </c>
      <c r="BQ1180" s="266"/>
      <c r="BR1180" t="s">
        <v>2172</v>
      </c>
      <c r="BS1180">
        <v>-157</v>
      </c>
      <c r="BT1180">
        <v>-375</v>
      </c>
      <c r="BU1180" s="144">
        <v>1.0997067448680351</v>
      </c>
      <c r="BV1180">
        <v>-34</v>
      </c>
      <c r="BX1180">
        <f t="shared" si="405"/>
        <v>-3.4000000000000002E-2</v>
      </c>
      <c r="BY1180" t="str">
        <f t="shared" si="378"/>
        <v/>
      </c>
      <c r="BZ1180">
        <v>0</v>
      </c>
      <c r="CA1180">
        <v>0</v>
      </c>
      <c r="CB1180">
        <v>0</v>
      </c>
      <c r="CC1180">
        <v>0</v>
      </c>
      <c r="CD1180">
        <v>0</v>
      </c>
      <c r="CE1180">
        <v>0</v>
      </c>
      <c r="CF1180">
        <v>0</v>
      </c>
      <c r="CG1180">
        <v>0</v>
      </c>
      <c r="CH1180">
        <v>0</v>
      </c>
      <c r="CI1180">
        <v>0</v>
      </c>
      <c r="CJ1180">
        <v>0</v>
      </c>
      <c r="CK1180">
        <v>0</v>
      </c>
      <c r="CL1180">
        <v>0</v>
      </c>
      <c r="CM1180">
        <v>0</v>
      </c>
      <c r="CN1180" t="str">
        <f t="shared" si="406"/>
        <v>refOK</v>
      </c>
      <c r="CO1180"/>
      <c r="CP1180"/>
      <c r="CQ1180"/>
      <c r="CR1180">
        <f t="shared" si="395"/>
        <v>-157</v>
      </c>
      <c r="CS1180">
        <f t="shared" si="396"/>
        <v>-375</v>
      </c>
      <c r="CT1180">
        <f t="shared" si="397"/>
        <v>-3.4000000000000002E-2</v>
      </c>
      <c r="CU1180" t="str">
        <f t="shared" si="365"/>
        <v/>
      </c>
      <c r="CV1180" s="2">
        <f t="shared" si="398"/>
        <v>-1.3885350318471337</v>
      </c>
      <c r="CW1180" s="1" t="s">
        <v>1201</v>
      </c>
      <c r="CX1180" s="266" t="str">
        <f t="shared" si="407"/>
        <v>reg</v>
      </c>
      <c r="CY1180" t="s">
        <v>236</v>
      </c>
      <c r="DB1180">
        <v>30</v>
      </c>
      <c r="DC1180" t="str">
        <f t="shared" si="408"/>
        <v>1-30</v>
      </c>
      <c r="DD1180">
        <v>0</v>
      </c>
      <c r="DE1180">
        <v>1</v>
      </c>
      <c r="DF1180">
        <v>0</v>
      </c>
      <c r="DG1180">
        <v>0</v>
      </c>
      <c r="DI1180">
        <f t="shared" si="391"/>
        <v>1</v>
      </c>
      <c r="DJ1180" t="str">
        <f t="shared" si="363"/>
        <v>EnergyInput</v>
      </c>
      <c r="DK1180">
        <f t="shared" si="383"/>
        <v>0</v>
      </c>
      <c r="DL1180" t="str">
        <f t="shared" si="384"/>
        <v>Energy</v>
      </c>
      <c r="DM1180">
        <f t="shared" si="385"/>
        <v>0</v>
      </c>
      <c r="DN1180">
        <f t="shared" si="386"/>
        <v>0</v>
      </c>
      <c r="DO1180">
        <v>0</v>
      </c>
      <c r="DP1180">
        <v>1</v>
      </c>
      <c r="DQ1180" t="s">
        <v>2148</v>
      </c>
      <c r="DR1180">
        <v>0</v>
      </c>
      <c r="DS1180">
        <v>0</v>
      </c>
      <c r="DT1180">
        <f t="shared" si="371"/>
        <v>1</v>
      </c>
      <c r="DU1180" s="143" t="str">
        <f t="shared" si="410"/>
        <v>external DF used</v>
      </c>
      <c r="DV1180">
        <v>1</v>
      </c>
      <c r="DW1180">
        <v>1</v>
      </c>
      <c r="DX1180">
        <v>1</v>
      </c>
      <c r="DY1180">
        <v>1</v>
      </c>
      <c r="DZ1180">
        <v>1</v>
      </c>
      <c r="EA1180">
        <v>0</v>
      </c>
      <c r="EB1180">
        <v>1</v>
      </c>
      <c r="EC1180">
        <v>1</v>
      </c>
      <c r="ED1180">
        <v>0</v>
      </c>
      <c r="EE1180">
        <v>0</v>
      </c>
      <c r="EF1180">
        <v>1</v>
      </c>
      <c r="EG1180">
        <v>0</v>
      </c>
      <c r="EH1180">
        <v>0</v>
      </c>
      <c r="EI1180" s="2">
        <v>0</v>
      </c>
      <c r="EK1180" t="str">
        <f t="shared" si="387"/>
        <v>Whole sector</v>
      </c>
      <c r="EL1180" t="str">
        <f t="shared" si="388"/>
        <v/>
      </c>
      <c r="EM1180" s="2" t="str">
        <f t="shared" si="409"/>
        <v/>
      </c>
      <c r="EP1180" t="b">
        <f>IF(ISNUMBER(BU1180),IF(ABS(BU1180-[1]QC_indicators!$B$2)&gt;3*[1]QC_indicators!$C$2,"C ratio",IF(ISNUMBER(BY1180),IF(ABS(BY1180-[1]QC_indicators!$B$1)&gt;3*[1]QC_indicators!$C$1,"DF","no"))),IF(ISNUMBER(BY1180),IF(ABS(BY1180-[1]QC_indicators!$B$1)&gt;3*[1]QC_indicators!$C$1,"DF","no")))</f>
        <v>0</v>
      </c>
      <c r="ER1180" s="296" t="s">
        <v>2173</v>
      </c>
      <c r="ET1180" s="266" t="s">
        <v>3409</v>
      </c>
    </row>
    <row r="1181" spans="1:150" ht="15" hidden="1" customHeight="1">
      <c r="A1181" s="1" t="s">
        <v>1362</v>
      </c>
      <c r="B1181" t="s">
        <v>2137</v>
      </c>
      <c r="C1181" t="s">
        <v>2138</v>
      </c>
      <c r="D1181" t="s">
        <v>2139</v>
      </c>
      <c r="E1181" t="s">
        <v>2140</v>
      </c>
      <c r="F1181" t="s">
        <v>2141</v>
      </c>
      <c r="G1181" t="s">
        <v>1368</v>
      </c>
      <c r="H1181" t="s">
        <v>255</v>
      </c>
      <c r="I1181">
        <v>2012</v>
      </c>
      <c r="J1181">
        <v>21</v>
      </c>
      <c r="K1181" t="s">
        <v>2142</v>
      </c>
      <c r="L1181" s="192"/>
      <c r="M1181" t="str">
        <f t="shared" si="362"/>
        <v>Pyorala_2012</v>
      </c>
      <c r="N1181" t="s">
        <v>223</v>
      </c>
      <c r="O1181" s="145" t="s">
        <v>342</v>
      </c>
      <c r="Q1181" s="266" t="s">
        <v>257</v>
      </c>
      <c r="R1181" s="271" t="s">
        <v>1156</v>
      </c>
      <c r="S1181" s="1" t="s">
        <v>2194</v>
      </c>
      <c r="T1181" t="s">
        <v>800</v>
      </c>
      <c r="U1181" t="s">
        <v>2170</v>
      </c>
      <c r="V1181">
        <v>0</v>
      </c>
      <c r="W1181">
        <v>0</v>
      </c>
      <c r="X1181">
        <v>0</v>
      </c>
      <c r="Y1181">
        <v>0</v>
      </c>
      <c r="Z1181">
        <v>0</v>
      </c>
      <c r="AA1181">
        <v>0</v>
      </c>
      <c r="AB1181">
        <v>0</v>
      </c>
      <c r="AC1181">
        <v>0</v>
      </c>
      <c r="AD1181">
        <v>0</v>
      </c>
      <c r="AE1181">
        <v>0</v>
      </c>
      <c r="AF1181">
        <v>0</v>
      </c>
      <c r="AG1181">
        <v>0</v>
      </c>
      <c r="AH1181">
        <v>0</v>
      </c>
      <c r="AI1181">
        <v>0</v>
      </c>
      <c r="AJ1181">
        <v>0</v>
      </c>
      <c r="AK1181">
        <v>1</v>
      </c>
      <c r="AL1181">
        <v>0</v>
      </c>
      <c r="AM1181">
        <v>0</v>
      </c>
      <c r="AN1181">
        <v>0</v>
      </c>
      <c r="AO1181">
        <v>0</v>
      </c>
      <c r="AP1181">
        <v>0</v>
      </c>
      <c r="AQ1181">
        <v>0</v>
      </c>
      <c r="AR1181">
        <v>0</v>
      </c>
      <c r="AS1181">
        <v>0</v>
      </c>
      <c r="AT1181">
        <v>0</v>
      </c>
      <c r="AU1181">
        <v>0</v>
      </c>
      <c r="AV1181">
        <v>0</v>
      </c>
      <c r="AW1181">
        <v>0</v>
      </c>
      <c r="AX1181" s="141">
        <f t="shared" si="379"/>
        <v>1</v>
      </c>
      <c r="AY1181" s="141">
        <f t="shared" si="399"/>
        <v>1</v>
      </c>
      <c r="AZ1181">
        <f t="shared" si="400"/>
        <v>0</v>
      </c>
      <c r="BA1181">
        <f t="shared" si="401"/>
        <v>0</v>
      </c>
      <c r="BB1181">
        <f t="shared" si="402"/>
        <v>1</v>
      </c>
      <c r="BC1181">
        <f t="shared" si="403"/>
        <v>0</v>
      </c>
      <c r="BD1181">
        <f t="shared" si="404"/>
        <v>0</v>
      </c>
      <c r="BE1181" t="str" cm="1">
        <f t="array" ref="BE1181">IF(AY1181=1,INDEX($V$7:$AL$7,MATCH(TRUE,INDEX($V1181:$AW1181&lt;&gt;0,),0)),IF(AY1181=0,INDEX($AM$7:$AW$7,MATCH(1,$AM1181:$AW1181,0)),IF(BF1181="Multiple strategies","mixed drivers",IF(BF1181="Supply chain","multiple supply","multiple silviculture"))))</f>
        <v>technologies/design switch</v>
      </c>
      <c r="BF1181" s="2" t="str" cm="1">
        <f t="array" ref="BF1181">IF(COUNTIF(AZ1181:BB1181,"&lt;&gt;0")=1,INDEX($V$4:$AW$4,MATCH(TRUE,INDEX($V1181:$AW1181&lt;&gt;0,),0)),IF(COUNTIF(AZ1181:BB1181,"&lt;&gt;0")=0,INDEX($AM$4:$AW$4,MATCH(1,$AM1181:$AW1181,0)),"Multiple strategies"))</f>
        <v>Technology</v>
      </c>
      <c r="BH1181" t="s">
        <v>2171</v>
      </c>
      <c r="BN1181" s="143"/>
      <c r="BP1181" s="266" t="s">
        <v>233</v>
      </c>
      <c r="BQ1181" s="266"/>
      <c r="BR1181" t="s">
        <v>2172</v>
      </c>
      <c r="BS1181">
        <v>-157</v>
      </c>
      <c r="BT1181">
        <v>-380</v>
      </c>
      <c r="BU1181" s="144">
        <v>1.1143695014662756</v>
      </c>
      <c r="BV1181">
        <v>-39</v>
      </c>
      <c r="BX1181">
        <f t="shared" si="405"/>
        <v>-3.9E-2</v>
      </c>
      <c r="BY1181" t="str">
        <f t="shared" si="378"/>
        <v/>
      </c>
      <c r="BZ1181">
        <v>0</v>
      </c>
      <c r="CA1181">
        <v>0</v>
      </c>
      <c r="CB1181">
        <v>0</v>
      </c>
      <c r="CC1181">
        <v>0</v>
      </c>
      <c r="CD1181">
        <v>0</v>
      </c>
      <c r="CE1181">
        <v>0</v>
      </c>
      <c r="CF1181">
        <v>0</v>
      </c>
      <c r="CG1181">
        <v>0</v>
      </c>
      <c r="CH1181">
        <v>0</v>
      </c>
      <c r="CI1181">
        <v>0</v>
      </c>
      <c r="CJ1181">
        <v>0</v>
      </c>
      <c r="CK1181">
        <v>0</v>
      </c>
      <c r="CL1181">
        <v>0</v>
      </c>
      <c r="CM1181">
        <v>0</v>
      </c>
      <c r="CN1181" t="str">
        <f t="shared" si="406"/>
        <v>refOK</v>
      </c>
      <c r="CO1181"/>
      <c r="CP1181"/>
      <c r="CQ1181"/>
      <c r="CR1181">
        <f t="shared" si="395"/>
        <v>-157</v>
      </c>
      <c r="CS1181">
        <f t="shared" si="396"/>
        <v>-380</v>
      </c>
      <c r="CT1181">
        <f t="shared" si="397"/>
        <v>-3.9E-2</v>
      </c>
      <c r="CU1181" t="str">
        <f t="shared" si="365"/>
        <v/>
      </c>
      <c r="CV1181" s="2">
        <f t="shared" si="398"/>
        <v>-1.4203821656050954</v>
      </c>
      <c r="CW1181" s="1" t="s">
        <v>1201</v>
      </c>
      <c r="CX1181" s="266" t="str">
        <f t="shared" si="407"/>
        <v>reg</v>
      </c>
      <c r="CY1181" t="s">
        <v>236</v>
      </c>
      <c r="DB1181">
        <v>30</v>
      </c>
      <c r="DC1181" t="str">
        <f t="shared" si="408"/>
        <v>1-30</v>
      </c>
      <c r="DD1181">
        <v>0</v>
      </c>
      <c r="DE1181">
        <v>1</v>
      </c>
      <c r="DF1181">
        <v>0</v>
      </c>
      <c r="DG1181">
        <v>0</v>
      </c>
      <c r="DI1181">
        <f t="shared" si="391"/>
        <v>1</v>
      </c>
      <c r="DJ1181" t="str">
        <f t="shared" si="363"/>
        <v>EnergyInput</v>
      </c>
      <c r="DK1181">
        <f t="shared" si="383"/>
        <v>0</v>
      </c>
      <c r="DL1181" t="str">
        <f t="shared" si="384"/>
        <v>Energy</v>
      </c>
      <c r="DM1181">
        <f t="shared" si="385"/>
        <v>0</v>
      </c>
      <c r="DN1181">
        <f t="shared" si="386"/>
        <v>0</v>
      </c>
      <c r="DO1181">
        <v>0</v>
      </c>
      <c r="DP1181">
        <v>1</v>
      </c>
      <c r="DQ1181" t="s">
        <v>2148</v>
      </c>
      <c r="DR1181">
        <v>0</v>
      </c>
      <c r="DS1181">
        <v>0</v>
      </c>
      <c r="DT1181">
        <f t="shared" si="371"/>
        <v>1</v>
      </c>
      <c r="DU1181" s="143" t="str">
        <f t="shared" si="410"/>
        <v>external DF used</v>
      </c>
      <c r="DV1181">
        <v>1</v>
      </c>
      <c r="DW1181">
        <v>1</v>
      </c>
      <c r="DX1181">
        <v>1</v>
      </c>
      <c r="DY1181">
        <v>1</v>
      </c>
      <c r="DZ1181">
        <v>1</v>
      </c>
      <c r="EA1181">
        <v>0</v>
      </c>
      <c r="EB1181">
        <v>1</v>
      </c>
      <c r="EC1181">
        <v>1</v>
      </c>
      <c r="ED1181">
        <v>0</v>
      </c>
      <c r="EE1181">
        <v>0</v>
      </c>
      <c r="EF1181">
        <v>1</v>
      </c>
      <c r="EG1181">
        <v>0</v>
      </c>
      <c r="EH1181">
        <v>0</v>
      </c>
      <c r="EI1181" s="2">
        <v>0</v>
      </c>
      <c r="EK1181" t="str">
        <f t="shared" si="387"/>
        <v>Whole sector</v>
      </c>
      <c r="EL1181" t="str">
        <f t="shared" si="388"/>
        <v/>
      </c>
      <c r="EM1181" s="2" t="str">
        <f t="shared" si="409"/>
        <v/>
      </c>
      <c r="EP1181" t="b">
        <f>IF(ISNUMBER(BU1181),IF(ABS(BU1181-[1]QC_indicators!$B$2)&gt;3*[1]QC_indicators!$C$2,"C ratio",IF(ISNUMBER(BY1181),IF(ABS(BY1181-[1]QC_indicators!$B$1)&gt;3*[1]QC_indicators!$C$1,"DF","no"))),IF(ISNUMBER(BY1181),IF(ABS(BY1181-[1]QC_indicators!$B$1)&gt;3*[1]QC_indicators!$C$1,"DF","no")))</f>
        <v>0</v>
      </c>
      <c r="ER1181" s="296" t="s">
        <v>2173</v>
      </c>
      <c r="ET1181" s="266" t="s">
        <v>3409</v>
      </c>
    </row>
    <row r="1182" spans="1:150" ht="15" hidden="1" customHeight="1">
      <c r="A1182" s="1" t="s">
        <v>1362</v>
      </c>
      <c r="B1182" t="s">
        <v>2137</v>
      </c>
      <c r="C1182" t="s">
        <v>2138</v>
      </c>
      <c r="D1182" t="s">
        <v>2139</v>
      </c>
      <c r="E1182" t="s">
        <v>2140</v>
      </c>
      <c r="F1182" t="s">
        <v>2141</v>
      </c>
      <c r="G1182" t="s">
        <v>1368</v>
      </c>
      <c r="H1182" t="s">
        <v>255</v>
      </c>
      <c r="I1182">
        <v>2012</v>
      </c>
      <c r="J1182">
        <v>21</v>
      </c>
      <c r="K1182" t="s">
        <v>2142</v>
      </c>
      <c r="L1182" s="192"/>
      <c r="M1182" t="str">
        <f t="shared" si="362"/>
        <v>Pyorala_2012</v>
      </c>
      <c r="N1182" t="s">
        <v>223</v>
      </c>
      <c r="O1182" s="145" t="s">
        <v>342</v>
      </c>
      <c r="Q1182" s="266" t="s">
        <v>257</v>
      </c>
      <c r="R1182" s="271" t="s">
        <v>1156</v>
      </c>
      <c r="S1182" s="1" t="s">
        <v>2195</v>
      </c>
      <c r="T1182" t="s">
        <v>800</v>
      </c>
      <c r="U1182" t="s">
        <v>2170</v>
      </c>
      <c r="V1182">
        <v>0</v>
      </c>
      <c r="W1182">
        <v>0</v>
      </c>
      <c r="X1182">
        <v>0</v>
      </c>
      <c r="Y1182">
        <v>0</v>
      </c>
      <c r="Z1182">
        <v>0</v>
      </c>
      <c r="AA1182">
        <v>0</v>
      </c>
      <c r="AB1182">
        <v>0</v>
      </c>
      <c r="AC1182">
        <v>0</v>
      </c>
      <c r="AD1182">
        <v>0</v>
      </c>
      <c r="AE1182">
        <v>0</v>
      </c>
      <c r="AF1182">
        <v>0</v>
      </c>
      <c r="AG1182">
        <v>0</v>
      </c>
      <c r="AH1182">
        <v>0</v>
      </c>
      <c r="AI1182">
        <v>0</v>
      </c>
      <c r="AJ1182">
        <v>0</v>
      </c>
      <c r="AK1182">
        <v>1</v>
      </c>
      <c r="AL1182">
        <v>0</v>
      </c>
      <c r="AM1182">
        <v>0</v>
      </c>
      <c r="AN1182">
        <v>0</v>
      </c>
      <c r="AO1182">
        <v>0</v>
      </c>
      <c r="AP1182">
        <v>0</v>
      </c>
      <c r="AQ1182">
        <v>0</v>
      </c>
      <c r="AR1182">
        <v>0</v>
      </c>
      <c r="AS1182">
        <v>0</v>
      </c>
      <c r="AT1182">
        <v>0</v>
      </c>
      <c r="AU1182">
        <v>0</v>
      </c>
      <c r="AV1182">
        <v>0</v>
      </c>
      <c r="AW1182">
        <v>0</v>
      </c>
      <c r="AX1182" s="141">
        <f t="shared" si="379"/>
        <v>1</v>
      </c>
      <c r="AY1182" s="141">
        <f t="shared" si="399"/>
        <v>1</v>
      </c>
      <c r="AZ1182">
        <f t="shared" si="400"/>
        <v>0</v>
      </c>
      <c r="BA1182">
        <f t="shared" si="401"/>
        <v>0</v>
      </c>
      <c r="BB1182">
        <f t="shared" si="402"/>
        <v>1</v>
      </c>
      <c r="BC1182">
        <f t="shared" si="403"/>
        <v>0</v>
      </c>
      <c r="BD1182">
        <f t="shared" si="404"/>
        <v>0</v>
      </c>
      <c r="BE1182" t="str" cm="1">
        <f t="array" ref="BE1182">IF(AY1182=1,INDEX($V$7:$AL$7,MATCH(TRUE,INDEX($V1182:$AW1182&lt;&gt;0,),0)),IF(AY1182=0,INDEX($AM$7:$AW$7,MATCH(1,$AM1182:$AW1182,0)),IF(BF1182="Multiple strategies","mixed drivers",IF(BF1182="Supply chain","multiple supply","multiple silviculture"))))</f>
        <v>technologies/design switch</v>
      </c>
      <c r="BF1182" s="2" t="str" cm="1">
        <f t="array" ref="BF1182">IF(COUNTIF(AZ1182:BB1182,"&lt;&gt;0")=1,INDEX($V$4:$AW$4,MATCH(TRUE,INDEX($V1182:$AW1182&lt;&gt;0,),0)),IF(COUNTIF(AZ1182:BB1182,"&lt;&gt;0")=0,INDEX($AM$4:$AW$4,MATCH(1,$AM1182:$AW1182,0)),"Multiple strategies"))</f>
        <v>Technology</v>
      </c>
      <c r="BH1182" t="s">
        <v>2171</v>
      </c>
      <c r="BN1182" s="143"/>
      <c r="BP1182" s="266" t="s">
        <v>233</v>
      </c>
      <c r="BQ1182" s="266"/>
      <c r="BR1182" t="s">
        <v>2172</v>
      </c>
      <c r="BS1182">
        <v>-157</v>
      </c>
      <c r="BT1182">
        <v>-410</v>
      </c>
      <c r="BU1182" s="144">
        <v>1.2023460410557185</v>
      </c>
      <c r="BV1182">
        <v>-69</v>
      </c>
      <c r="BX1182">
        <f t="shared" si="405"/>
        <v>-6.9000000000000006E-2</v>
      </c>
      <c r="BY1182" t="str">
        <f t="shared" si="378"/>
        <v/>
      </c>
      <c r="BZ1182">
        <v>0</v>
      </c>
      <c r="CA1182">
        <v>0</v>
      </c>
      <c r="CB1182">
        <v>0</v>
      </c>
      <c r="CC1182">
        <v>0</v>
      </c>
      <c r="CD1182">
        <v>0</v>
      </c>
      <c r="CE1182">
        <v>0</v>
      </c>
      <c r="CF1182">
        <v>0</v>
      </c>
      <c r="CG1182">
        <v>0</v>
      </c>
      <c r="CH1182">
        <v>0</v>
      </c>
      <c r="CI1182">
        <v>0</v>
      </c>
      <c r="CJ1182">
        <v>0</v>
      </c>
      <c r="CK1182">
        <v>0</v>
      </c>
      <c r="CL1182">
        <v>0</v>
      </c>
      <c r="CM1182">
        <v>0</v>
      </c>
      <c r="CN1182" t="str">
        <f t="shared" si="406"/>
        <v>refOK</v>
      </c>
      <c r="CO1182"/>
      <c r="CP1182"/>
      <c r="CQ1182"/>
      <c r="CR1182">
        <f t="shared" si="395"/>
        <v>-157</v>
      </c>
      <c r="CS1182">
        <f t="shared" si="396"/>
        <v>-410</v>
      </c>
      <c r="CT1182">
        <f t="shared" si="397"/>
        <v>-6.9000000000000006E-2</v>
      </c>
      <c r="CU1182" t="str">
        <f t="shared" si="365"/>
        <v/>
      </c>
      <c r="CV1182" s="2">
        <f t="shared" si="398"/>
        <v>-1.6114649681528663</v>
      </c>
      <c r="CW1182" s="1" t="s">
        <v>1201</v>
      </c>
      <c r="CX1182" s="266" t="str">
        <f t="shared" si="407"/>
        <v>reg</v>
      </c>
      <c r="CY1182" t="s">
        <v>236</v>
      </c>
      <c r="DB1182">
        <v>30</v>
      </c>
      <c r="DC1182" t="str">
        <f t="shared" si="408"/>
        <v>1-30</v>
      </c>
      <c r="DD1182">
        <v>0</v>
      </c>
      <c r="DE1182">
        <v>1</v>
      </c>
      <c r="DF1182">
        <v>0</v>
      </c>
      <c r="DG1182">
        <v>0</v>
      </c>
      <c r="DI1182">
        <f t="shared" si="391"/>
        <v>1</v>
      </c>
      <c r="DJ1182" t="str">
        <f t="shared" si="363"/>
        <v>EnergyInput</v>
      </c>
      <c r="DK1182">
        <f t="shared" si="383"/>
        <v>0</v>
      </c>
      <c r="DL1182" t="str">
        <f t="shared" si="384"/>
        <v>Energy</v>
      </c>
      <c r="DM1182">
        <f t="shared" si="385"/>
        <v>0</v>
      </c>
      <c r="DN1182">
        <f t="shared" si="386"/>
        <v>0</v>
      </c>
      <c r="DO1182">
        <v>0</v>
      </c>
      <c r="DP1182">
        <v>1</v>
      </c>
      <c r="DQ1182" t="s">
        <v>2148</v>
      </c>
      <c r="DR1182">
        <v>0</v>
      </c>
      <c r="DS1182">
        <v>0</v>
      </c>
      <c r="DT1182">
        <f t="shared" si="371"/>
        <v>1</v>
      </c>
      <c r="DU1182" s="143" t="str">
        <f t="shared" si="410"/>
        <v>external DF used</v>
      </c>
      <c r="DV1182">
        <v>1</v>
      </c>
      <c r="DW1182">
        <v>1</v>
      </c>
      <c r="DX1182">
        <v>1</v>
      </c>
      <c r="DY1182">
        <v>1</v>
      </c>
      <c r="DZ1182">
        <v>1</v>
      </c>
      <c r="EA1182">
        <v>0</v>
      </c>
      <c r="EB1182">
        <v>1</v>
      </c>
      <c r="EC1182">
        <v>1</v>
      </c>
      <c r="ED1182">
        <v>0</v>
      </c>
      <c r="EE1182">
        <v>0</v>
      </c>
      <c r="EF1182">
        <v>1</v>
      </c>
      <c r="EG1182">
        <v>0</v>
      </c>
      <c r="EH1182">
        <v>0</v>
      </c>
      <c r="EI1182" s="2">
        <v>0</v>
      </c>
      <c r="EK1182" t="str">
        <f t="shared" si="387"/>
        <v>Whole sector</v>
      </c>
      <c r="EL1182" t="str">
        <f t="shared" si="388"/>
        <v/>
      </c>
      <c r="EM1182" s="2" t="str">
        <f t="shared" si="409"/>
        <v/>
      </c>
      <c r="EP1182" t="b">
        <f>IF(ISNUMBER(BU1182),IF(ABS(BU1182-[1]QC_indicators!$B$2)&gt;3*[1]QC_indicators!$C$2,"C ratio",IF(ISNUMBER(BY1182),IF(ABS(BY1182-[1]QC_indicators!$B$1)&gt;3*[1]QC_indicators!$C$1,"DF","no"))),IF(ISNUMBER(BY1182),IF(ABS(BY1182-[1]QC_indicators!$B$1)&gt;3*[1]QC_indicators!$C$1,"DF","no")))</f>
        <v>0</v>
      </c>
      <c r="ER1182" s="296" t="s">
        <v>2173</v>
      </c>
      <c r="ET1182" s="266" t="s">
        <v>3409</v>
      </c>
    </row>
    <row r="1183" spans="1:150" ht="15" hidden="1" customHeight="1">
      <c r="A1183" s="1" t="s">
        <v>1362</v>
      </c>
      <c r="B1183" t="s">
        <v>2137</v>
      </c>
      <c r="C1183" t="s">
        <v>2138</v>
      </c>
      <c r="D1183" t="s">
        <v>2139</v>
      </c>
      <c r="E1183" t="s">
        <v>2140</v>
      </c>
      <c r="F1183" t="s">
        <v>2141</v>
      </c>
      <c r="G1183" t="s">
        <v>1368</v>
      </c>
      <c r="H1183" t="s">
        <v>255</v>
      </c>
      <c r="I1183">
        <v>2012</v>
      </c>
      <c r="J1183">
        <v>21</v>
      </c>
      <c r="K1183" t="s">
        <v>2142</v>
      </c>
      <c r="L1183" s="192"/>
      <c r="M1183" t="str">
        <f t="shared" si="362"/>
        <v>Pyorala_2012</v>
      </c>
      <c r="N1183" t="s">
        <v>223</v>
      </c>
      <c r="O1183" s="145" t="s">
        <v>342</v>
      </c>
      <c r="Q1183" s="266" t="s">
        <v>257</v>
      </c>
      <c r="R1183" s="271" t="s">
        <v>1156</v>
      </c>
      <c r="S1183" s="1" t="s">
        <v>2196</v>
      </c>
      <c r="T1183" t="s">
        <v>800</v>
      </c>
      <c r="U1183" t="s">
        <v>2170</v>
      </c>
      <c r="V1183">
        <v>0</v>
      </c>
      <c r="W1183">
        <v>0</v>
      </c>
      <c r="X1183">
        <v>0</v>
      </c>
      <c r="Y1183">
        <v>0</v>
      </c>
      <c r="Z1183">
        <v>0</v>
      </c>
      <c r="AA1183">
        <v>0</v>
      </c>
      <c r="AB1183">
        <v>0</v>
      </c>
      <c r="AC1183">
        <v>0</v>
      </c>
      <c r="AD1183">
        <v>0</v>
      </c>
      <c r="AE1183">
        <v>0</v>
      </c>
      <c r="AF1183">
        <v>0</v>
      </c>
      <c r="AG1183">
        <v>0</v>
      </c>
      <c r="AH1183">
        <v>0</v>
      </c>
      <c r="AI1183">
        <v>0</v>
      </c>
      <c r="AJ1183">
        <v>0</v>
      </c>
      <c r="AK1183">
        <v>1</v>
      </c>
      <c r="AL1183">
        <v>0</v>
      </c>
      <c r="AM1183">
        <v>0</v>
      </c>
      <c r="AN1183">
        <v>0</v>
      </c>
      <c r="AO1183">
        <v>0</v>
      </c>
      <c r="AP1183">
        <v>0</v>
      </c>
      <c r="AQ1183">
        <v>0</v>
      </c>
      <c r="AR1183">
        <v>0</v>
      </c>
      <c r="AS1183">
        <v>0</v>
      </c>
      <c r="AT1183">
        <v>0</v>
      </c>
      <c r="AU1183">
        <v>0</v>
      </c>
      <c r="AV1183">
        <v>0</v>
      </c>
      <c r="AW1183">
        <v>0</v>
      </c>
      <c r="AX1183" s="141">
        <f t="shared" si="379"/>
        <v>1</v>
      </c>
      <c r="AY1183" s="141">
        <f t="shared" si="399"/>
        <v>1</v>
      </c>
      <c r="AZ1183">
        <f t="shared" si="400"/>
        <v>0</v>
      </c>
      <c r="BA1183">
        <f t="shared" si="401"/>
        <v>0</v>
      </c>
      <c r="BB1183">
        <f t="shared" si="402"/>
        <v>1</v>
      </c>
      <c r="BC1183">
        <f t="shared" si="403"/>
        <v>0</v>
      </c>
      <c r="BD1183">
        <f t="shared" si="404"/>
        <v>0</v>
      </c>
      <c r="BE1183" t="str" cm="1">
        <f t="array" ref="BE1183">IF(AY1183=1,INDEX($V$7:$AL$7,MATCH(TRUE,INDEX($V1183:$AW1183&lt;&gt;0,),0)),IF(AY1183=0,INDEX($AM$7:$AW$7,MATCH(1,$AM1183:$AW1183,0)),IF(BF1183="Multiple strategies","mixed drivers",IF(BF1183="Supply chain","multiple supply","multiple silviculture"))))</f>
        <v>technologies/design switch</v>
      </c>
      <c r="BF1183" s="2" t="str" cm="1">
        <f t="array" ref="BF1183">IF(COUNTIF(AZ1183:BB1183,"&lt;&gt;0")=1,INDEX($V$4:$AW$4,MATCH(TRUE,INDEX($V1183:$AW1183&lt;&gt;0,),0)),IF(COUNTIF(AZ1183:BB1183,"&lt;&gt;0")=0,INDEX($AM$4:$AW$4,MATCH(1,$AM1183:$AW1183,0)),"Multiple strategies"))</f>
        <v>Technology</v>
      </c>
      <c r="BH1183" t="s">
        <v>2171</v>
      </c>
      <c r="BN1183" s="143"/>
      <c r="BP1183" s="266" t="s">
        <v>233</v>
      </c>
      <c r="BQ1183" s="266"/>
      <c r="BR1183" t="s">
        <v>2172</v>
      </c>
      <c r="BS1183">
        <v>-157</v>
      </c>
      <c r="BT1183">
        <v>-411</v>
      </c>
      <c r="BU1183" s="144">
        <v>1.2052785923753666</v>
      </c>
      <c r="BV1183">
        <v>-70</v>
      </c>
      <c r="BX1183">
        <f t="shared" si="405"/>
        <v>-7.0000000000000007E-2</v>
      </c>
      <c r="BY1183" t="str">
        <f t="shared" si="378"/>
        <v/>
      </c>
      <c r="BZ1183">
        <v>0</v>
      </c>
      <c r="CA1183">
        <v>0</v>
      </c>
      <c r="CB1183">
        <v>0</v>
      </c>
      <c r="CC1183">
        <v>0</v>
      </c>
      <c r="CD1183">
        <v>0</v>
      </c>
      <c r="CE1183">
        <v>0</v>
      </c>
      <c r="CF1183">
        <v>0</v>
      </c>
      <c r="CG1183">
        <v>0</v>
      </c>
      <c r="CH1183">
        <v>0</v>
      </c>
      <c r="CI1183">
        <v>0</v>
      </c>
      <c r="CJ1183">
        <v>0</v>
      </c>
      <c r="CK1183">
        <v>0</v>
      </c>
      <c r="CL1183">
        <v>0</v>
      </c>
      <c r="CM1183">
        <v>0</v>
      </c>
      <c r="CN1183" t="str">
        <f t="shared" si="406"/>
        <v>refOK</v>
      </c>
      <c r="CO1183"/>
      <c r="CP1183"/>
      <c r="CQ1183"/>
      <c r="CR1183">
        <f t="shared" si="395"/>
        <v>-157</v>
      </c>
      <c r="CS1183">
        <f t="shared" si="396"/>
        <v>-411</v>
      </c>
      <c r="CT1183">
        <f t="shared" si="397"/>
        <v>-7.0000000000000007E-2</v>
      </c>
      <c r="CU1183" t="str">
        <f t="shared" si="365"/>
        <v/>
      </c>
      <c r="CV1183" s="2">
        <f t="shared" si="398"/>
        <v>-1.6178343949044587</v>
      </c>
      <c r="CW1183" s="1" t="s">
        <v>1201</v>
      </c>
      <c r="CX1183" s="266" t="str">
        <f t="shared" si="407"/>
        <v>reg</v>
      </c>
      <c r="CY1183" t="s">
        <v>236</v>
      </c>
      <c r="DB1183">
        <v>30</v>
      </c>
      <c r="DC1183" t="str">
        <f t="shared" si="408"/>
        <v>1-30</v>
      </c>
      <c r="DD1183">
        <v>0</v>
      </c>
      <c r="DE1183">
        <v>1</v>
      </c>
      <c r="DF1183">
        <v>0</v>
      </c>
      <c r="DG1183">
        <v>0</v>
      </c>
      <c r="DI1183">
        <f t="shared" si="391"/>
        <v>1</v>
      </c>
      <c r="DJ1183" t="str">
        <f t="shared" si="363"/>
        <v>EnergyInput</v>
      </c>
      <c r="DK1183">
        <f t="shared" si="383"/>
        <v>0</v>
      </c>
      <c r="DL1183" t="str">
        <f t="shared" si="384"/>
        <v>Energy</v>
      </c>
      <c r="DM1183">
        <f t="shared" si="385"/>
        <v>0</v>
      </c>
      <c r="DN1183">
        <f t="shared" si="386"/>
        <v>0</v>
      </c>
      <c r="DO1183">
        <v>0</v>
      </c>
      <c r="DP1183">
        <v>1</v>
      </c>
      <c r="DQ1183" t="s">
        <v>2148</v>
      </c>
      <c r="DR1183">
        <v>0</v>
      </c>
      <c r="DS1183">
        <v>0</v>
      </c>
      <c r="DT1183">
        <f t="shared" si="371"/>
        <v>1</v>
      </c>
      <c r="DU1183" s="143" t="str">
        <f t="shared" si="410"/>
        <v>external DF used</v>
      </c>
      <c r="DV1183">
        <v>1</v>
      </c>
      <c r="DW1183">
        <v>1</v>
      </c>
      <c r="DX1183">
        <v>1</v>
      </c>
      <c r="DY1183">
        <v>1</v>
      </c>
      <c r="DZ1183">
        <v>1</v>
      </c>
      <c r="EA1183">
        <v>0</v>
      </c>
      <c r="EB1183">
        <v>1</v>
      </c>
      <c r="EC1183">
        <v>1</v>
      </c>
      <c r="ED1183">
        <v>0</v>
      </c>
      <c r="EE1183">
        <v>0</v>
      </c>
      <c r="EF1183">
        <v>1</v>
      </c>
      <c r="EG1183">
        <v>0</v>
      </c>
      <c r="EH1183">
        <v>0</v>
      </c>
      <c r="EI1183" s="2">
        <v>0</v>
      </c>
      <c r="EK1183" t="str">
        <f t="shared" si="387"/>
        <v>Whole sector</v>
      </c>
      <c r="EL1183" t="str">
        <f t="shared" si="388"/>
        <v/>
      </c>
      <c r="EM1183" s="2" t="str">
        <f t="shared" si="409"/>
        <v/>
      </c>
      <c r="EP1183" t="b">
        <f>IF(ISNUMBER(BU1183),IF(ABS(BU1183-[1]QC_indicators!$B$2)&gt;3*[1]QC_indicators!$C$2,"C ratio",IF(ISNUMBER(BY1183),IF(ABS(BY1183-[1]QC_indicators!$B$1)&gt;3*[1]QC_indicators!$C$1,"DF","no"))),IF(ISNUMBER(BY1183),IF(ABS(BY1183-[1]QC_indicators!$B$1)&gt;3*[1]QC_indicators!$C$1,"DF","no")))</f>
        <v>0</v>
      </c>
      <c r="ER1183" s="296" t="s">
        <v>2173</v>
      </c>
      <c r="ET1183" s="266" t="s">
        <v>3409</v>
      </c>
    </row>
    <row r="1184" spans="1:150" ht="15" hidden="1" customHeight="1">
      <c r="A1184" s="1" t="s">
        <v>1362</v>
      </c>
      <c r="B1184" t="s">
        <v>2137</v>
      </c>
      <c r="C1184" t="s">
        <v>2138</v>
      </c>
      <c r="D1184" t="s">
        <v>2139</v>
      </c>
      <c r="E1184" t="s">
        <v>2140</v>
      </c>
      <c r="F1184" t="s">
        <v>2141</v>
      </c>
      <c r="G1184" t="s">
        <v>1368</v>
      </c>
      <c r="H1184" t="s">
        <v>255</v>
      </c>
      <c r="I1184">
        <v>2012</v>
      </c>
      <c r="J1184">
        <v>21</v>
      </c>
      <c r="K1184" t="s">
        <v>2142</v>
      </c>
      <c r="L1184" s="192"/>
      <c r="M1184" t="str">
        <f t="shared" si="362"/>
        <v>Pyorala_2012</v>
      </c>
      <c r="N1184" t="s">
        <v>223</v>
      </c>
      <c r="O1184" s="145" t="s">
        <v>342</v>
      </c>
      <c r="Q1184" s="266" t="s">
        <v>257</v>
      </c>
      <c r="R1184" s="271" t="s">
        <v>1156</v>
      </c>
      <c r="S1184" s="1" t="s">
        <v>2197</v>
      </c>
      <c r="T1184" t="s">
        <v>800</v>
      </c>
      <c r="U1184" t="s">
        <v>2170</v>
      </c>
      <c r="V1184">
        <v>0</v>
      </c>
      <c r="W1184">
        <v>0</v>
      </c>
      <c r="X1184">
        <v>0</v>
      </c>
      <c r="Y1184">
        <v>0</v>
      </c>
      <c r="Z1184">
        <v>0</v>
      </c>
      <c r="AA1184">
        <v>0</v>
      </c>
      <c r="AB1184">
        <v>0</v>
      </c>
      <c r="AC1184">
        <v>0</v>
      </c>
      <c r="AD1184">
        <v>0</v>
      </c>
      <c r="AE1184">
        <v>0</v>
      </c>
      <c r="AF1184">
        <v>0</v>
      </c>
      <c r="AG1184">
        <v>0</v>
      </c>
      <c r="AH1184">
        <v>0</v>
      </c>
      <c r="AI1184">
        <v>0</v>
      </c>
      <c r="AJ1184">
        <v>0</v>
      </c>
      <c r="AK1184">
        <v>1</v>
      </c>
      <c r="AL1184">
        <v>0</v>
      </c>
      <c r="AM1184">
        <v>0</v>
      </c>
      <c r="AN1184">
        <v>0</v>
      </c>
      <c r="AO1184">
        <v>0</v>
      </c>
      <c r="AP1184">
        <v>0</v>
      </c>
      <c r="AQ1184">
        <v>0</v>
      </c>
      <c r="AR1184">
        <v>0</v>
      </c>
      <c r="AS1184">
        <v>0</v>
      </c>
      <c r="AT1184">
        <v>0</v>
      </c>
      <c r="AU1184">
        <v>0</v>
      </c>
      <c r="AV1184">
        <v>0</v>
      </c>
      <c r="AW1184">
        <v>0</v>
      </c>
      <c r="AX1184" s="141">
        <f t="shared" si="379"/>
        <v>1</v>
      </c>
      <c r="AY1184" s="141">
        <f t="shared" si="399"/>
        <v>1</v>
      </c>
      <c r="AZ1184">
        <f t="shared" si="400"/>
        <v>0</v>
      </c>
      <c r="BA1184">
        <f t="shared" si="401"/>
        <v>0</v>
      </c>
      <c r="BB1184">
        <f t="shared" si="402"/>
        <v>1</v>
      </c>
      <c r="BC1184">
        <f t="shared" si="403"/>
        <v>0</v>
      </c>
      <c r="BD1184">
        <f t="shared" si="404"/>
        <v>0</v>
      </c>
      <c r="BE1184" t="str" cm="1">
        <f t="array" ref="BE1184">IF(AY1184=1,INDEX($V$7:$AL$7,MATCH(TRUE,INDEX($V1184:$AW1184&lt;&gt;0,),0)),IF(AY1184=0,INDEX($AM$7:$AW$7,MATCH(1,$AM1184:$AW1184,0)),IF(BF1184="Multiple strategies","mixed drivers",IF(BF1184="Supply chain","multiple supply","multiple silviculture"))))</f>
        <v>technologies/design switch</v>
      </c>
      <c r="BF1184" s="2" t="str" cm="1">
        <f t="array" ref="BF1184">IF(COUNTIF(AZ1184:BB1184,"&lt;&gt;0")=1,INDEX($V$4:$AW$4,MATCH(TRUE,INDEX($V1184:$AW1184&lt;&gt;0,),0)),IF(COUNTIF(AZ1184:BB1184,"&lt;&gt;0")=0,INDEX($AM$4:$AW$4,MATCH(1,$AM1184:$AW1184,0)),"Multiple strategies"))</f>
        <v>Technology</v>
      </c>
      <c r="BH1184" t="s">
        <v>2171</v>
      </c>
      <c r="BN1184" s="143"/>
      <c r="BP1184" s="266" t="s">
        <v>233</v>
      </c>
      <c r="BQ1184" s="266"/>
      <c r="BR1184" t="s">
        <v>2172</v>
      </c>
      <c r="BS1184">
        <v>-157</v>
      </c>
      <c r="BT1184">
        <v>-411</v>
      </c>
      <c r="BU1184" s="144">
        <v>1.2052785923753666</v>
      </c>
      <c r="BV1184">
        <v>-70</v>
      </c>
      <c r="BX1184">
        <f t="shared" si="405"/>
        <v>-7.0000000000000007E-2</v>
      </c>
      <c r="BY1184" t="str">
        <f t="shared" si="378"/>
        <v/>
      </c>
      <c r="BZ1184">
        <v>0</v>
      </c>
      <c r="CA1184">
        <v>0</v>
      </c>
      <c r="CB1184">
        <v>0</v>
      </c>
      <c r="CC1184">
        <v>0</v>
      </c>
      <c r="CD1184">
        <v>0</v>
      </c>
      <c r="CE1184">
        <v>0</v>
      </c>
      <c r="CF1184">
        <v>0</v>
      </c>
      <c r="CG1184">
        <v>0</v>
      </c>
      <c r="CH1184">
        <v>0</v>
      </c>
      <c r="CI1184">
        <v>0</v>
      </c>
      <c r="CJ1184">
        <v>0</v>
      </c>
      <c r="CK1184">
        <v>0</v>
      </c>
      <c r="CL1184">
        <v>0</v>
      </c>
      <c r="CM1184">
        <v>0</v>
      </c>
      <c r="CN1184" t="str">
        <f t="shared" si="406"/>
        <v>refOK</v>
      </c>
      <c r="CO1184"/>
      <c r="CP1184"/>
      <c r="CQ1184"/>
      <c r="CR1184">
        <f t="shared" si="395"/>
        <v>-157</v>
      </c>
      <c r="CS1184">
        <f t="shared" si="396"/>
        <v>-411</v>
      </c>
      <c r="CT1184">
        <f t="shared" si="397"/>
        <v>-7.0000000000000007E-2</v>
      </c>
      <c r="CU1184" t="str">
        <f t="shared" si="365"/>
        <v/>
      </c>
      <c r="CV1184" s="2">
        <f t="shared" si="398"/>
        <v>-1.6178343949044587</v>
      </c>
      <c r="CW1184" s="1" t="s">
        <v>1201</v>
      </c>
      <c r="CX1184" s="266" t="str">
        <f t="shared" si="407"/>
        <v>reg</v>
      </c>
      <c r="CY1184" t="s">
        <v>236</v>
      </c>
      <c r="DB1184">
        <v>30</v>
      </c>
      <c r="DC1184" t="str">
        <f t="shared" si="408"/>
        <v>1-30</v>
      </c>
      <c r="DD1184">
        <v>0</v>
      </c>
      <c r="DE1184">
        <v>1</v>
      </c>
      <c r="DF1184">
        <v>0</v>
      </c>
      <c r="DG1184">
        <v>0</v>
      </c>
      <c r="DI1184">
        <f t="shared" si="391"/>
        <v>1</v>
      </c>
      <c r="DJ1184" t="str">
        <f t="shared" si="363"/>
        <v>EnergyInput</v>
      </c>
      <c r="DK1184">
        <f t="shared" si="383"/>
        <v>0</v>
      </c>
      <c r="DL1184" t="str">
        <f t="shared" si="384"/>
        <v>Energy</v>
      </c>
      <c r="DM1184">
        <f t="shared" si="385"/>
        <v>0</v>
      </c>
      <c r="DN1184">
        <f t="shared" si="386"/>
        <v>0</v>
      </c>
      <c r="DO1184">
        <v>0</v>
      </c>
      <c r="DP1184">
        <v>1</v>
      </c>
      <c r="DQ1184" t="s">
        <v>2148</v>
      </c>
      <c r="DR1184">
        <v>0</v>
      </c>
      <c r="DS1184">
        <v>0</v>
      </c>
      <c r="DT1184">
        <f t="shared" si="371"/>
        <v>1</v>
      </c>
      <c r="DU1184" s="143" t="str">
        <f t="shared" si="410"/>
        <v>external DF used</v>
      </c>
      <c r="DV1184">
        <v>1</v>
      </c>
      <c r="DW1184">
        <v>1</v>
      </c>
      <c r="DX1184">
        <v>1</v>
      </c>
      <c r="DY1184">
        <v>1</v>
      </c>
      <c r="DZ1184">
        <v>1</v>
      </c>
      <c r="EA1184">
        <v>0</v>
      </c>
      <c r="EB1184">
        <v>1</v>
      </c>
      <c r="EC1184">
        <v>1</v>
      </c>
      <c r="ED1184">
        <v>0</v>
      </c>
      <c r="EE1184">
        <v>0</v>
      </c>
      <c r="EF1184">
        <v>1</v>
      </c>
      <c r="EG1184">
        <v>0</v>
      </c>
      <c r="EH1184">
        <v>0</v>
      </c>
      <c r="EI1184" s="2">
        <v>0</v>
      </c>
      <c r="EK1184" t="str">
        <f t="shared" si="387"/>
        <v>Whole sector</v>
      </c>
      <c r="EL1184" t="str">
        <f t="shared" si="388"/>
        <v/>
      </c>
      <c r="EM1184" s="2" t="str">
        <f t="shared" si="409"/>
        <v/>
      </c>
      <c r="EP1184" t="b">
        <f>IF(ISNUMBER(BU1184),IF(ABS(BU1184-[1]QC_indicators!$B$2)&gt;3*[1]QC_indicators!$C$2,"C ratio",IF(ISNUMBER(BY1184),IF(ABS(BY1184-[1]QC_indicators!$B$1)&gt;3*[1]QC_indicators!$C$1,"DF","no"))),IF(ISNUMBER(BY1184),IF(ABS(BY1184-[1]QC_indicators!$B$1)&gt;3*[1]QC_indicators!$C$1,"DF","no")))</f>
        <v>0</v>
      </c>
      <c r="ER1184" s="296" t="s">
        <v>2173</v>
      </c>
      <c r="ET1184" s="266" t="s">
        <v>3409</v>
      </c>
    </row>
    <row r="1185" spans="1:150" ht="15" hidden="1" customHeight="1">
      <c r="A1185" s="1" t="s">
        <v>1362</v>
      </c>
      <c r="B1185" t="s">
        <v>2137</v>
      </c>
      <c r="C1185" t="s">
        <v>2138</v>
      </c>
      <c r="D1185" t="s">
        <v>2139</v>
      </c>
      <c r="E1185" t="s">
        <v>2140</v>
      </c>
      <c r="F1185" t="s">
        <v>2141</v>
      </c>
      <c r="G1185" t="s">
        <v>1368</v>
      </c>
      <c r="H1185" t="s">
        <v>255</v>
      </c>
      <c r="I1185">
        <v>2012</v>
      </c>
      <c r="J1185">
        <v>21</v>
      </c>
      <c r="K1185" t="s">
        <v>2142</v>
      </c>
      <c r="L1185" s="192"/>
      <c r="M1185" t="str">
        <f t="shared" si="362"/>
        <v>Pyorala_2012</v>
      </c>
      <c r="N1185" t="s">
        <v>223</v>
      </c>
      <c r="O1185" s="145" t="s">
        <v>342</v>
      </c>
      <c r="Q1185" s="266" t="s">
        <v>257</v>
      </c>
      <c r="R1185" s="271" t="s">
        <v>1156</v>
      </c>
      <c r="S1185" s="1" t="s">
        <v>2198</v>
      </c>
      <c r="T1185" t="s">
        <v>800</v>
      </c>
      <c r="U1185" t="s">
        <v>2170</v>
      </c>
      <c r="V1185">
        <v>0</v>
      </c>
      <c r="W1185">
        <v>0</v>
      </c>
      <c r="X1185">
        <v>0</v>
      </c>
      <c r="Y1185">
        <v>0</v>
      </c>
      <c r="Z1185">
        <v>0</v>
      </c>
      <c r="AA1185">
        <v>0</v>
      </c>
      <c r="AB1185">
        <v>0</v>
      </c>
      <c r="AC1185">
        <v>0</v>
      </c>
      <c r="AD1185">
        <v>0</v>
      </c>
      <c r="AE1185">
        <v>0</v>
      </c>
      <c r="AF1185">
        <v>0</v>
      </c>
      <c r="AG1185">
        <v>0</v>
      </c>
      <c r="AH1185">
        <v>0</v>
      </c>
      <c r="AI1185">
        <v>0</v>
      </c>
      <c r="AJ1185">
        <v>0</v>
      </c>
      <c r="AK1185">
        <v>1</v>
      </c>
      <c r="AL1185">
        <v>0</v>
      </c>
      <c r="AM1185">
        <v>0</v>
      </c>
      <c r="AN1185">
        <v>0</v>
      </c>
      <c r="AO1185">
        <v>0</v>
      </c>
      <c r="AP1185">
        <v>0</v>
      </c>
      <c r="AQ1185">
        <v>0</v>
      </c>
      <c r="AR1185">
        <v>0</v>
      </c>
      <c r="AS1185">
        <v>0</v>
      </c>
      <c r="AT1185">
        <v>0</v>
      </c>
      <c r="AU1185">
        <v>0</v>
      </c>
      <c r="AV1185">
        <v>0</v>
      </c>
      <c r="AW1185">
        <v>0</v>
      </c>
      <c r="AX1185" s="141">
        <f t="shared" si="379"/>
        <v>1</v>
      </c>
      <c r="AY1185" s="141">
        <f t="shared" si="399"/>
        <v>1</v>
      </c>
      <c r="AZ1185">
        <f t="shared" si="400"/>
        <v>0</v>
      </c>
      <c r="BA1185">
        <f t="shared" si="401"/>
        <v>0</v>
      </c>
      <c r="BB1185">
        <f t="shared" si="402"/>
        <v>1</v>
      </c>
      <c r="BC1185">
        <f t="shared" si="403"/>
        <v>0</v>
      </c>
      <c r="BD1185">
        <f t="shared" si="404"/>
        <v>0</v>
      </c>
      <c r="BE1185" t="str" cm="1">
        <f t="array" ref="BE1185">IF(AY1185=1,INDEX($V$7:$AL$7,MATCH(TRUE,INDEX($V1185:$AW1185&lt;&gt;0,),0)),IF(AY1185=0,INDEX($AM$7:$AW$7,MATCH(1,$AM1185:$AW1185,0)),IF(BF1185="Multiple strategies","mixed drivers",IF(BF1185="Supply chain","multiple supply","multiple silviculture"))))</f>
        <v>technologies/design switch</v>
      </c>
      <c r="BF1185" s="2" t="str" cm="1">
        <f t="array" ref="BF1185">IF(COUNTIF(AZ1185:BB1185,"&lt;&gt;0")=1,INDEX($V$4:$AW$4,MATCH(TRUE,INDEX($V1185:$AW1185&lt;&gt;0,),0)),IF(COUNTIF(AZ1185:BB1185,"&lt;&gt;0")=0,INDEX($AM$4:$AW$4,MATCH(1,$AM1185:$AW1185,0)),"Multiple strategies"))</f>
        <v>Technology</v>
      </c>
      <c r="BH1185" t="s">
        <v>2171</v>
      </c>
      <c r="BN1185" s="143"/>
      <c r="BP1185" s="266" t="s">
        <v>233</v>
      </c>
      <c r="BQ1185" s="266"/>
      <c r="BR1185" t="s">
        <v>2172</v>
      </c>
      <c r="BS1185">
        <v>-157</v>
      </c>
      <c r="BT1185">
        <v>-414</v>
      </c>
      <c r="BU1185" s="144">
        <v>1.2140762463343109</v>
      </c>
      <c r="BV1185">
        <v>-73</v>
      </c>
      <c r="BX1185">
        <f t="shared" si="405"/>
        <v>-7.2999999999999995E-2</v>
      </c>
      <c r="BY1185" t="str">
        <f t="shared" si="378"/>
        <v/>
      </c>
      <c r="BZ1185">
        <v>0</v>
      </c>
      <c r="CA1185">
        <v>0</v>
      </c>
      <c r="CB1185">
        <v>0</v>
      </c>
      <c r="CC1185">
        <v>0</v>
      </c>
      <c r="CD1185">
        <v>0</v>
      </c>
      <c r="CE1185">
        <v>0</v>
      </c>
      <c r="CF1185">
        <v>0</v>
      </c>
      <c r="CG1185">
        <v>0</v>
      </c>
      <c r="CH1185">
        <v>0</v>
      </c>
      <c r="CI1185">
        <v>0</v>
      </c>
      <c r="CJ1185">
        <v>0</v>
      </c>
      <c r="CK1185">
        <v>0</v>
      </c>
      <c r="CL1185">
        <v>0</v>
      </c>
      <c r="CM1185">
        <v>0</v>
      </c>
      <c r="CN1185" t="str">
        <f t="shared" si="406"/>
        <v>refOK</v>
      </c>
      <c r="CO1185"/>
      <c r="CP1185"/>
      <c r="CQ1185"/>
      <c r="CR1185">
        <f t="shared" si="395"/>
        <v>-157</v>
      </c>
      <c r="CS1185">
        <f t="shared" si="396"/>
        <v>-414</v>
      </c>
      <c r="CT1185">
        <f t="shared" si="397"/>
        <v>-7.2999999999999995E-2</v>
      </c>
      <c r="CU1185" t="str">
        <f t="shared" si="365"/>
        <v/>
      </c>
      <c r="CV1185" s="2">
        <f t="shared" si="398"/>
        <v>-1.6369426751592357</v>
      </c>
      <c r="CW1185" s="1" t="s">
        <v>1201</v>
      </c>
      <c r="CX1185" s="266" t="str">
        <f t="shared" si="407"/>
        <v>reg</v>
      </c>
      <c r="CY1185" t="s">
        <v>236</v>
      </c>
      <c r="DB1185">
        <v>30</v>
      </c>
      <c r="DC1185" t="str">
        <f t="shared" si="408"/>
        <v>1-30</v>
      </c>
      <c r="DD1185">
        <v>0</v>
      </c>
      <c r="DE1185">
        <v>1</v>
      </c>
      <c r="DF1185">
        <v>0</v>
      </c>
      <c r="DG1185">
        <v>0</v>
      </c>
      <c r="DI1185">
        <f t="shared" si="391"/>
        <v>1</v>
      </c>
      <c r="DJ1185" t="str">
        <f t="shared" si="363"/>
        <v>EnergyInput</v>
      </c>
      <c r="DK1185">
        <f t="shared" si="383"/>
        <v>0</v>
      </c>
      <c r="DL1185" t="str">
        <f t="shared" si="384"/>
        <v>Energy</v>
      </c>
      <c r="DM1185">
        <f t="shared" si="385"/>
        <v>0</v>
      </c>
      <c r="DN1185">
        <f t="shared" si="386"/>
        <v>0</v>
      </c>
      <c r="DO1185">
        <v>0</v>
      </c>
      <c r="DP1185">
        <v>1</v>
      </c>
      <c r="DQ1185" t="s">
        <v>2148</v>
      </c>
      <c r="DR1185">
        <v>0</v>
      </c>
      <c r="DS1185">
        <v>0</v>
      </c>
      <c r="DT1185">
        <f t="shared" si="371"/>
        <v>1</v>
      </c>
      <c r="DU1185" s="143" t="str">
        <f t="shared" si="410"/>
        <v>external DF used</v>
      </c>
      <c r="DV1185">
        <v>1</v>
      </c>
      <c r="DW1185">
        <v>1</v>
      </c>
      <c r="DX1185">
        <v>1</v>
      </c>
      <c r="DY1185">
        <v>1</v>
      </c>
      <c r="DZ1185">
        <v>1</v>
      </c>
      <c r="EA1185">
        <v>0</v>
      </c>
      <c r="EB1185">
        <v>1</v>
      </c>
      <c r="EC1185">
        <v>1</v>
      </c>
      <c r="ED1185">
        <v>0</v>
      </c>
      <c r="EE1185">
        <v>0</v>
      </c>
      <c r="EF1185">
        <v>1</v>
      </c>
      <c r="EG1185">
        <v>0</v>
      </c>
      <c r="EH1185">
        <v>0</v>
      </c>
      <c r="EI1185" s="2">
        <v>0</v>
      </c>
      <c r="EK1185" t="str">
        <f t="shared" si="387"/>
        <v>Whole sector</v>
      </c>
      <c r="EL1185" t="str">
        <f t="shared" si="388"/>
        <v/>
      </c>
      <c r="EM1185" s="2" t="str">
        <f t="shared" si="409"/>
        <v/>
      </c>
      <c r="EP1185" t="b">
        <f>IF(ISNUMBER(BU1185),IF(ABS(BU1185-[1]QC_indicators!$B$2)&gt;3*[1]QC_indicators!$C$2,"C ratio",IF(ISNUMBER(BY1185),IF(ABS(BY1185-[1]QC_indicators!$B$1)&gt;3*[1]QC_indicators!$C$1,"DF","no"))),IF(ISNUMBER(BY1185),IF(ABS(BY1185-[1]QC_indicators!$B$1)&gt;3*[1]QC_indicators!$C$1,"DF","no")))</f>
        <v>0</v>
      </c>
      <c r="ER1185" s="296" t="s">
        <v>2173</v>
      </c>
      <c r="ET1185" s="266" t="s">
        <v>3409</v>
      </c>
    </row>
    <row r="1186" spans="1:150" ht="15" hidden="1" customHeight="1">
      <c r="A1186" s="1" t="s">
        <v>1362</v>
      </c>
      <c r="B1186" t="s">
        <v>2137</v>
      </c>
      <c r="C1186" t="s">
        <v>2138</v>
      </c>
      <c r="D1186" t="s">
        <v>2139</v>
      </c>
      <c r="E1186" t="s">
        <v>2140</v>
      </c>
      <c r="F1186" t="s">
        <v>2141</v>
      </c>
      <c r="G1186" t="s">
        <v>1368</v>
      </c>
      <c r="H1186" t="s">
        <v>255</v>
      </c>
      <c r="I1186">
        <v>2012</v>
      </c>
      <c r="J1186">
        <v>21</v>
      </c>
      <c r="K1186" t="s">
        <v>2142</v>
      </c>
      <c r="L1186" s="192"/>
      <c r="M1186" t="str">
        <f t="shared" si="362"/>
        <v>Pyorala_2012</v>
      </c>
      <c r="N1186" t="s">
        <v>223</v>
      </c>
      <c r="O1186" s="145" t="s">
        <v>342</v>
      </c>
      <c r="Q1186" s="266" t="s">
        <v>257</v>
      </c>
      <c r="R1186" s="271" t="s">
        <v>1156</v>
      </c>
      <c r="S1186" s="1" t="s">
        <v>2199</v>
      </c>
      <c r="T1186" t="s">
        <v>800</v>
      </c>
      <c r="U1186" t="s">
        <v>2170</v>
      </c>
      <c r="V1186">
        <v>0</v>
      </c>
      <c r="W1186">
        <v>0</v>
      </c>
      <c r="X1186">
        <v>0</v>
      </c>
      <c r="Y1186">
        <v>0</v>
      </c>
      <c r="Z1186">
        <v>0</v>
      </c>
      <c r="AA1186">
        <v>0</v>
      </c>
      <c r="AB1186">
        <v>0</v>
      </c>
      <c r="AC1186">
        <v>0</v>
      </c>
      <c r="AD1186">
        <v>0</v>
      </c>
      <c r="AE1186">
        <v>0</v>
      </c>
      <c r="AF1186">
        <v>0</v>
      </c>
      <c r="AG1186">
        <v>0</v>
      </c>
      <c r="AH1186">
        <v>0</v>
      </c>
      <c r="AI1186">
        <v>0</v>
      </c>
      <c r="AJ1186">
        <v>0</v>
      </c>
      <c r="AK1186">
        <v>1</v>
      </c>
      <c r="AL1186">
        <v>0</v>
      </c>
      <c r="AM1186">
        <v>0</v>
      </c>
      <c r="AN1186">
        <v>0</v>
      </c>
      <c r="AO1186">
        <v>0</v>
      </c>
      <c r="AP1186">
        <v>0</v>
      </c>
      <c r="AQ1186">
        <v>0</v>
      </c>
      <c r="AR1186">
        <v>0</v>
      </c>
      <c r="AS1186">
        <v>0</v>
      </c>
      <c r="AT1186">
        <v>0</v>
      </c>
      <c r="AU1186">
        <v>0</v>
      </c>
      <c r="AV1186">
        <v>0</v>
      </c>
      <c r="AW1186">
        <v>0</v>
      </c>
      <c r="AX1186" s="141">
        <f t="shared" si="379"/>
        <v>1</v>
      </c>
      <c r="AY1186" s="141">
        <f t="shared" si="399"/>
        <v>1</v>
      </c>
      <c r="AZ1186">
        <f t="shared" si="400"/>
        <v>0</v>
      </c>
      <c r="BA1186">
        <f t="shared" si="401"/>
        <v>0</v>
      </c>
      <c r="BB1186">
        <f t="shared" si="402"/>
        <v>1</v>
      </c>
      <c r="BC1186">
        <f t="shared" si="403"/>
        <v>0</v>
      </c>
      <c r="BD1186">
        <f t="shared" si="404"/>
        <v>0</v>
      </c>
      <c r="BE1186" t="str" cm="1">
        <f t="array" ref="BE1186">IF(AY1186=1,INDEX($V$7:$AL$7,MATCH(TRUE,INDEX($V1186:$AW1186&lt;&gt;0,),0)),IF(AY1186=0,INDEX($AM$7:$AW$7,MATCH(1,$AM1186:$AW1186,0)),IF(BF1186="Multiple strategies","mixed drivers",IF(BF1186="Supply chain","multiple supply","multiple silviculture"))))</f>
        <v>technologies/design switch</v>
      </c>
      <c r="BF1186" s="2" t="str" cm="1">
        <f t="array" ref="BF1186">IF(COUNTIF(AZ1186:BB1186,"&lt;&gt;0")=1,INDEX($V$4:$AW$4,MATCH(TRUE,INDEX($V1186:$AW1186&lt;&gt;0,),0)),IF(COUNTIF(AZ1186:BB1186,"&lt;&gt;0")=0,INDEX($AM$4:$AW$4,MATCH(1,$AM1186:$AW1186,0)),"Multiple strategies"))</f>
        <v>Technology</v>
      </c>
      <c r="BH1186" t="s">
        <v>2171</v>
      </c>
      <c r="BN1186" s="143"/>
      <c r="BP1186" s="266" t="s">
        <v>233</v>
      </c>
      <c r="BQ1186" s="266"/>
      <c r="BR1186" t="s">
        <v>2172</v>
      </c>
      <c r="BS1186">
        <v>-157</v>
      </c>
      <c r="BT1186">
        <v>-422</v>
      </c>
      <c r="BU1186" s="144">
        <v>1.2375366568914956</v>
      </c>
      <c r="BV1186">
        <v>-81</v>
      </c>
      <c r="BX1186">
        <f t="shared" si="405"/>
        <v>-8.1000000000000003E-2</v>
      </c>
      <c r="BY1186" t="str">
        <f t="shared" si="378"/>
        <v/>
      </c>
      <c r="BZ1186">
        <v>0</v>
      </c>
      <c r="CA1186">
        <v>0</v>
      </c>
      <c r="CB1186">
        <v>0</v>
      </c>
      <c r="CC1186">
        <v>0</v>
      </c>
      <c r="CD1186">
        <v>0</v>
      </c>
      <c r="CE1186">
        <v>0</v>
      </c>
      <c r="CF1186">
        <v>0</v>
      </c>
      <c r="CG1186">
        <v>0</v>
      </c>
      <c r="CH1186">
        <v>0</v>
      </c>
      <c r="CI1186">
        <v>0</v>
      </c>
      <c r="CJ1186">
        <v>0</v>
      </c>
      <c r="CK1186">
        <v>0</v>
      </c>
      <c r="CL1186">
        <v>0</v>
      </c>
      <c r="CM1186">
        <v>0</v>
      </c>
      <c r="CN1186" t="str">
        <f t="shared" si="406"/>
        <v>refOK</v>
      </c>
      <c r="CO1186"/>
      <c r="CP1186"/>
      <c r="CQ1186"/>
      <c r="CR1186">
        <f t="shared" si="395"/>
        <v>-157</v>
      </c>
      <c r="CS1186">
        <f t="shared" si="396"/>
        <v>-422</v>
      </c>
      <c r="CT1186">
        <f t="shared" si="397"/>
        <v>-8.1000000000000003E-2</v>
      </c>
      <c r="CU1186" t="str">
        <f t="shared" si="365"/>
        <v/>
      </c>
      <c r="CV1186" s="2">
        <f t="shared" si="398"/>
        <v>-1.6878980891719746</v>
      </c>
      <c r="CW1186" s="1" t="s">
        <v>1201</v>
      </c>
      <c r="CX1186" s="266" t="str">
        <f t="shared" si="407"/>
        <v>reg</v>
      </c>
      <c r="CY1186" t="s">
        <v>236</v>
      </c>
      <c r="DB1186">
        <v>30</v>
      </c>
      <c r="DC1186" t="str">
        <f t="shared" si="408"/>
        <v>1-30</v>
      </c>
      <c r="DD1186">
        <v>0</v>
      </c>
      <c r="DE1186">
        <v>1</v>
      </c>
      <c r="DF1186">
        <v>0</v>
      </c>
      <c r="DG1186">
        <v>0</v>
      </c>
      <c r="DI1186">
        <f t="shared" si="391"/>
        <v>1</v>
      </c>
      <c r="DJ1186" t="str">
        <f t="shared" si="363"/>
        <v>EnergyInput</v>
      </c>
      <c r="DK1186">
        <f t="shared" si="383"/>
        <v>0</v>
      </c>
      <c r="DL1186" t="str">
        <f t="shared" si="384"/>
        <v>Energy</v>
      </c>
      <c r="DM1186">
        <f t="shared" si="385"/>
        <v>0</v>
      </c>
      <c r="DN1186">
        <f t="shared" si="386"/>
        <v>0</v>
      </c>
      <c r="DO1186">
        <v>0</v>
      </c>
      <c r="DP1186">
        <v>1</v>
      </c>
      <c r="DQ1186" t="s">
        <v>2148</v>
      </c>
      <c r="DR1186">
        <v>0</v>
      </c>
      <c r="DS1186">
        <v>0</v>
      </c>
      <c r="DT1186">
        <f t="shared" si="371"/>
        <v>1</v>
      </c>
      <c r="DU1186" s="143" t="str">
        <f t="shared" si="410"/>
        <v>external DF used</v>
      </c>
      <c r="DV1186">
        <v>1</v>
      </c>
      <c r="DW1186">
        <v>1</v>
      </c>
      <c r="DX1186">
        <v>1</v>
      </c>
      <c r="DY1186">
        <v>1</v>
      </c>
      <c r="DZ1186">
        <v>1</v>
      </c>
      <c r="EA1186">
        <v>0</v>
      </c>
      <c r="EB1186">
        <v>1</v>
      </c>
      <c r="EC1186">
        <v>1</v>
      </c>
      <c r="ED1186">
        <v>0</v>
      </c>
      <c r="EE1186">
        <v>0</v>
      </c>
      <c r="EF1186">
        <v>1</v>
      </c>
      <c r="EG1186">
        <v>0</v>
      </c>
      <c r="EH1186">
        <v>0</v>
      </c>
      <c r="EI1186" s="2">
        <v>0</v>
      </c>
      <c r="EK1186" t="str">
        <f t="shared" si="387"/>
        <v>Whole sector</v>
      </c>
      <c r="EL1186" t="str">
        <f t="shared" si="388"/>
        <v/>
      </c>
      <c r="EM1186" s="2" t="str">
        <f t="shared" si="409"/>
        <v/>
      </c>
      <c r="EP1186" t="b">
        <f>IF(ISNUMBER(BU1186),IF(ABS(BU1186-[1]QC_indicators!$B$2)&gt;3*[1]QC_indicators!$C$2,"C ratio",IF(ISNUMBER(BY1186),IF(ABS(BY1186-[1]QC_indicators!$B$1)&gt;3*[1]QC_indicators!$C$1,"DF","no"))),IF(ISNUMBER(BY1186),IF(ABS(BY1186-[1]QC_indicators!$B$1)&gt;3*[1]QC_indicators!$C$1,"DF","no")))</f>
        <v>0</v>
      </c>
      <c r="ER1186" s="296" t="s">
        <v>2173</v>
      </c>
      <c r="ET1186" s="266" t="s">
        <v>3409</v>
      </c>
    </row>
    <row r="1187" spans="1:150" ht="15" hidden="1" customHeight="1">
      <c r="A1187" s="1" t="s">
        <v>1362</v>
      </c>
      <c r="B1187" t="s">
        <v>2137</v>
      </c>
      <c r="C1187" t="s">
        <v>2138</v>
      </c>
      <c r="D1187" t="s">
        <v>2139</v>
      </c>
      <c r="E1187" t="s">
        <v>2140</v>
      </c>
      <c r="F1187" t="s">
        <v>2141</v>
      </c>
      <c r="G1187" t="s">
        <v>1368</v>
      </c>
      <c r="H1187" t="s">
        <v>255</v>
      </c>
      <c r="I1187">
        <v>2012</v>
      </c>
      <c r="J1187">
        <v>21</v>
      </c>
      <c r="K1187" t="s">
        <v>2142</v>
      </c>
      <c r="L1187" s="192"/>
      <c r="M1187" t="str">
        <f t="shared" si="362"/>
        <v>Pyorala_2012</v>
      </c>
      <c r="N1187" t="s">
        <v>223</v>
      </c>
      <c r="O1187" s="145" t="s">
        <v>342</v>
      </c>
      <c r="Q1187" s="266" t="s">
        <v>257</v>
      </c>
      <c r="R1187" s="271" t="s">
        <v>1156</v>
      </c>
      <c r="S1187" s="1" t="s">
        <v>2200</v>
      </c>
      <c r="T1187" t="s">
        <v>800</v>
      </c>
      <c r="U1187" t="s">
        <v>2170</v>
      </c>
      <c r="V1187">
        <v>0</v>
      </c>
      <c r="W1187">
        <v>0</v>
      </c>
      <c r="X1187">
        <v>0</v>
      </c>
      <c r="Y1187">
        <v>0</v>
      </c>
      <c r="Z1187">
        <v>0</v>
      </c>
      <c r="AA1187">
        <v>0</v>
      </c>
      <c r="AB1187">
        <v>0</v>
      </c>
      <c r="AC1187">
        <v>0</v>
      </c>
      <c r="AD1187">
        <v>0</v>
      </c>
      <c r="AE1187">
        <v>0</v>
      </c>
      <c r="AF1187">
        <v>0</v>
      </c>
      <c r="AG1187">
        <v>0</v>
      </c>
      <c r="AH1187">
        <v>0</v>
      </c>
      <c r="AI1187">
        <v>0</v>
      </c>
      <c r="AJ1187">
        <v>0</v>
      </c>
      <c r="AK1187">
        <v>1</v>
      </c>
      <c r="AL1187">
        <v>0</v>
      </c>
      <c r="AM1187">
        <v>0</v>
      </c>
      <c r="AN1187">
        <v>0</v>
      </c>
      <c r="AO1187">
        <v>0</v>
      </c>
      <c r="AP1187">
        <v>0</v>
      </c>
      <c r="AQ1187">
        <v>0</v>
      </c>
      <c r="AR1187">
        <v>0</v>
      </c>
      <c r="AS1187">
        <v>0</v>
      </c>
      <c r="AT1187">
        <v>0</v>
      </c>
      <c r="AU1187">
        <v>0</v>
      </c>
      <c r="AV1187">
        <v>0</v>
      </c>
      <c r="AW1187">
        <v>0</v>
      </c>
      <c r="AX1187" s="141">
        <f t="shared" si="379"/>
        <v>1</v>
      </c>
      <c r="AY1187" s="141">
        <f t="shared" si="399"/>
        <v>1</v>
      </c>
      <c r="AZ1187">
        <f t="shared" si="400"/>
        <v>0</v>
      </c>
      <c r="BA1187">
        <f t="shared" si="401"/>
        <v>0</v>
      </c>
      <c r="BB1187">
        <f t="shared" si="402"/>
        <v>1</v>
      </c>
      <c r="BC1187">
        <f t="shared" si="403"/>
        <v>0</v>
      </c>
      <c r="BD1187">
        <f t="shared" si="404"/>
        <v>0</v>
      </c>
      <c r="BE1187" t="str" cm="1">
        <f t="array" ref="BE1187">IF(AY1187=1,INDEX($V$7:$AL$7,MATCH(TRUE,INDEX($V1187:$AW1187&lt;&gt;0,),0)),IF(AY1187=0,INDEX($AM$7:$AW$7,MATCH(1,$AM1187:$AW1187,0)),IF(BF1187="Multiple strategies","mixed drivers",IF(BF1187="Supply chain","multiple supply","multiple silviculture"))))</f>
        <v>technologies/design switch</v>
      </c>
      <c r="BF1187" s="2" t="str" cm="1">
        <f t="array" ref="BF1187">IF(COUNTIF(AZ1187:BB1187,"&lt;&gt;0")=1,INDEX($V$4:$AW$4,MATCH(TRUE,INDEX($V1187:$AW1187&lt;&gt;0,),0)),IF(COUNTIF(AZ1187:BB1187,"&lt;&gt;0")=0,INDEX($AM$4:$AW$4,MATCH(1,$AM1187:$AW1187,0)),"Multiple strategies"))</f>
        <v>Technology</v>
      </c>
      <c r="BH1187" t="s">
        <v>2171</v>
      </c>
      <c r="BN1187" s="143"/>
      <c r="BP1187" s="266" t="s">
        <v>233</v>
      </c>
      <c r="BQ1187" s="266"/>
      <c r="BR1187" t="s">
        <v>2172</v>
      </c>
      <c r="BS1187">
        <v>-157</v>
      </c>
      <c r="BT1187">
        <v>-477</v>
      </c>
      <c r="BU1187" s="144">
        <v>1.3988269794721409</v>
      </c>
      <c r="BV1187">
        <v>-136</v>
      </c>
      <c r="BX1187">
        <f t="shared" si="405"/>
        <v>-0.13600000000000001</v>
      </c>
      <c r="BY1187" t="str">
        <f t="shared" si="378"/>
        <v/>
      </c>
      <c r="BZ1187">
        <v>0</v>
      </c>
      <c r="CA1187">
        <v>0</v>
      </c>
      <c r="CB1187">
        <v>0</v>
      </c>
      <c r="CC1187">
        <v>0</v>
      </c>
      <c r="CD1187">
        <v>0</v>
      </c>
      <c r="CE1187">
        <v>0</v>
      </c>
      <c r="CF1187">
        <v>0</v>
      </c>
      <c r="CG1187">
        <v>0</v>
      </c>
      <c r="CH1187">
        <v>0</v>
      </c>
      <c r="CI1187">
        <v>0</v>
      </c>
      <c r="CJ1187">
        <v>0</v>
      </c>
      <c r="CK1187">
        <v>0</v>
      </c>
      <c r="CL1187">
        <v>0</v>
      </c>
      <c r="CM1187">
        <v>0</v>
      </c>
      <c r="CN1187" t="str">
        <f t="shared" si="406"/>
        <v>refOK</v>
      </c>
      <c r="CO1187"/>
      <c r="CP1187"/>
      <c r="CQ1187"/>
      <c r="CR1187">
        <f t="shared" si="395"/>
        <v>-157</v>
      </c>
      <c r="CS1187">
        <f t="shared" si="396"/>
        <v>-477</v>
      </c>
      <c r="CT1187">
        <f t="shared" si="397"/>
        <v>-0.13600000000000001</v>
      </c>
      <c r="CU1187" t="str">
        <f t="shared" si="365"/>
        <v/>
      </c>
      <c r="CV1187" s="2">
        <f t="shared" si="398"/>
        <v>-2.0382165605095541</v>
      </c>
      <c r="CW1187" s="1" t="s">
        <v>1201</v>
      </c>
      <c r="CX1187" s="266" t="str">
        <f t="shared" si="407"/>
        <v>reg</v>
      </c>
      <c r="CY1187" t="s">
        <v>236</v>
      </c>
      <c r="DB1187">
        <v>30</v>
      </c>
      <c r="DC1187" t="str">
        <f t="shared" si="408"/>
        <v>1-30</v>
      </c>
      <c r="DD1187">
        <v>0</v>
      </c>
      <c r="DE1187">
        <v>1</v>
      </c>
      <c r="DF1187">
        <v>0</v>
      </c>
      <c r="DG1187">
        <v>0</v>
      </c>
      <c r="DI1187">
        <f t="shared" si="391"/>
        <v>1</v>
      </c>
      <c r="DJ1187" t="str">
        <f t="shared" si="363"/>
        <v>EnergyInput</v>
      </c>
      <c r="DK1187">
        <f t="shared" si="383"/>
        <v>0</v>
      </c>
      <c r="DL1187" t="str">
        <f t="shared" si="384"/>
        <v>Energy</v>
      </c>
      <c r="DM1187">
        <f t="shared" si="385"/>
        <v>0</v>
      </c>
      <c r="DN1187">
        <f t="shared" si="386"/>
        <v>0</v>
      </c>
      <c r="DO1187">
        <v>0</v>
      </c>
      <c r="DP1187">
        <v>1</v>
      </c>
      <c r="DQ1187" t="s">
        <v>2148</v>
      </c>
      <c r="DR1187">
        <v>0</v>
      </c>
      <c r="DS1187">
        <v>0</v>
      </c>
      <c r="DT1187">
        <f t="shared" si="371"/>
        <v>1</v>
      </c>
      <c r="DU1187" s="143" t="str">
        <f t="shared" si="410"/>
        <v>external DF used</v>
      </c>
      <c r="DV1187">
        <v>1</v>
      </c>
      <c r="DW1187">
        <v>1</v>
      </c>
      <c r="DX1187">
        <v>1</v>
      </c>
      <c r="DY1187">
        <v>1</v>
      </c>
      <c r="DZ1187">
        <v>1</v>
      </c>
      <c r="EA1187">
        <v>0</v>
      </c>
      <c r="EB1187">
        <v>1</v>
      </c>
      <c r="EC1187">
        <v>1</v>
      </c>
      <c r="ED1187">
        <v>0</v>
      </c>
      <c r="EE1187">
        <v>0</v>
      </c>
      <c r="EF1187">
        <v>1</v>
      </c>
      <c r="EG1187">
        <v>0</v>
      </c>
      <c r="EH1187">
        <v>0</v>
      </c>
      <c r="EI1187" s="2">
        <v>0</v>
      </c>
      <c r="EK1187" t="str">
        <f t="shared" si="387"/>
        <v>Whole sector</v>
      </c>
      <c r="EL1187" t="str">
        <f t="shared" si="388"/>
        <v/>
      </c>
      <c r="EM1187" s="2" t="str">
        <f t="shared" si="409"/>
        <v/>
      </c>
      <c r="EP1187" t="b">
        <f>IF(ISNUMBER(BU1187),IF(ABS(BU1187-[1]QC_indicators!$B$2)&gt;3*[1]QC_indicators!$C$2,"C ratio",IF(ISNUMBER(BY1187),IF(ABS(BY1187-[1]QC_indicators!$B$1)&gt;3*[1]QC_indicators!$C$1,"DF","no"))),IF(ISNUMBER(BY1187),IF(ABS(BY1187-[1]QC_indicators!$B$1)&gt;3*[1]QC_indicators!$C$1,"DF","no")))</f>
        <v>0</v>
      </c>
      <c r="ER1187" s="296" t="s">
        <v>2173</v>
      </c>
      <c r="ET1187" s="266" t="s">
        <v>3409</v>
      </c>
    </row>
    <row r="1188" spans="1:150" ht="15" hidden="1" customHeight="1">
      <c r="A1188" s="1" t="s">
        <v>1362</v>
      </c>
      <c r="B1188" t="s">
        <v>2137</v>
      </c>
      <c r="C1188" t="s">
        <v>2138</v>
      </c>
      <c r="D1188" t="s">
        <v>2139</v>
      </c>
      <c r="E1188" t="s">
        <v>2140</v>
      </c>
      <c r="F1188" t="s">
        <v>2141</v>
      </c>
      <c r="G1188" t="s">
        <v>1368</v>
      </c>
      <c r="H1188" t="s">
        <v>255</v>
      </c>
      <c r="I1188">
        <v>2012</v>
      </c>
      <c r="J1188">
        <v>21</v>
      </c>
      <c r="K1188" t="s">
        <v>2142</v>
      </c>
      <c r="L1188" s="192"/>
      <c r="M1188" t="str">
        <f t="shared" si="362"/>
        <v>Pyorala_2012</v>
      </c>
      <c r="N1188" t="s">
        <v>223</v>
      </c>
      <c r="O1188" s="145" t="s">
        <v>342</v>
      </c>
      <c r="Q1188" s="266" t="s">
        <v>257</v>
      </c>
      <c r="R1188" s="271" t="s">
        <v>1156</v>
      </c>
      <c r="S1188" s="1" t="s">
        <v>2194</v>
      </c>
      <c r="T1188" t="s">
        <v>800</v>
      </c>
      <c r="U1188" t="s">
        <v>2170</v>
      </c>
      <c r="V1188">
        <v>0</v>
      </c>
      <c r="W1188">
        <v>0</v>
      </c>
      <c r="X1188">
        <v>0</v>
      </c>
      <c r="Y1188">
        <v>0</v>
      </c>
      <c r="Z1188">
        <v>0</v>
      </c>
      <c r="AA1188">
        <v>0</v>
      </c>
      <c r="AB1188">
        <v>0</v>
      </c>
      <c r="AC1188">
        <v>0</v>
      </c>
      <c r="AD1188">
        <v>0</v>
      </c>
      <c r="AE1188">
        <v>0</v>
      </c>
      <c r="AF1188">
        <v>0</v>
      </c>
      <c r="AG1188">
        <v>0</v>
      </c>
      <c r="AH1188">
        <v>0</v>
      </c>
      <c r="AI1188">
        <v>0</v>
      </c>
      <c r="AJ1188">
        <v>0</v>
      </c>
      <c r="AK1188">
        <v>1</v>
      </c>
      <c r="AL1188">
        <v>0</v>
      </c>
      <c r="AM1188">
        <v>0</v>
      </c>
      <c r="AN1188">
        <v>0</v>
      </c>
      <c r="AO1188">
        <v>0</v>
      </c>
      <c r="AP1188">
        <v>0</v>
      </c>
      <c r="AQ1188">
        <v>0</v>
      </c>
      <c r="AR1188">
        <v>0</v>
      </c>
      <c r="AS1188">
        <v>0</v>
      </c>
      <c r="AT1188">
        <v>0</v>
      </c>
      <c r="AU1188">
        <v>0</v>
      </c>
      <c r="AV1188">
        <v>0</v>
      </c>
      <c r="AW1188">
        <v>0</v>
      </c>
      <c r="AX1188" s="141">
        <f t="shared" si="379"/>
        <v>1</v>
      </c>
      <c r="AY1188" s="141">
        <f t="shared" si="399"/>
        <v>1</v>
      </c>
      <c r="AZ1188">
        <f t="shared" si="400"/>
        <v>0</v>
      </c>
      <c r="BA1188">
        <f t="shared" si="401"/>
        <v>0</v>
      </c>
      <c r="BB1188">
        <f t="shared" si="402"/>
        <v>1</v>
      </c>
      <c r="BC1188">
        <f t="shared" si="403"/>
        <v>0</v>
      </c>
      <c r="BD1188">
        <f t="shared" si="404"/>
        <v>0</v>
      </c>
      <c r="BE1188" t="str" cm="1">
        <f t="array" ref="BE1188">IF(AY1188=1,INDEX($V$7:$AL$7,MATCH(TRUE,INDEX($V1188:$AW1188&lt;&gt;0,),0)),IF(AY1188=0,INDEX($AM$7:$AW$7,MATCH(1,$AM1188:$AW1188,0)),IF(BF1188="Multiple strategies","mixed drivers",IF(BF1188="Supply chain","multiple supply","multiple silviculture"))))</f>
        <v>technologies/design switch</v>
      </c>
      <c r="BF1188" s="2" t="str" cm="1">
        <f t="array" ref="BF1188">IF(COUNTIF(AZ1188:BB1188,"&lt;&gt;0")=1,INDEX($V$4:$AW$4,MATCH(TRUE,INDEX($V1188:$AW1188&lt;&gt;0,),0)),IF(COUNTIF(AZ1188:BB1188,"&lt;&gt;0")=0,INDEX($AM$4:$AW$4,MATCH(1,$AM1188:$AW1188,0)),"Multiple strategies"))</f>
        <v>Technology</v>
      </c>
      <c r="BH1188" t="s">
        <v>2171</v>
      </c>
      <c r="BN1188" s="143"/>
      <c r="BP1188" s="266" t="s">
        <v>233</v>
      </c>
      <c r="BQ1188" s="266"/>
      <c r="BR1188" t="s">
        <v>2172</v>
      </c>
      <c r="BS1188">
        <v>-157</v>
      </c>
      <c r="BT1188">
        <v>-481</v>
      </c>
      <c r="BU1188" s="144">
        <v>1.4105571847507332</v>
      </c>
      <c r="BV1188">
        <v>-140</v>
      </c>
      <c r="BX1188">
        <f t="shared" si="405"/>
        <v>-0.14000000000000001</v>
      </c>
      <c r="BY1188" t="str">
        <f t="shared" si="378"/>
        <v/>
      </c>
      <c r="BZ1188">
        <v>0</v>
      </c>
      <c r="CA1188">
        <v>0</v>
      </c>
      <c r="CB1188">
        <v>0</v>
      </c>
      <c r="CC1188">
        <v>0</v>
      </c>
      <c r="CD1188">
        <v>0</v>
      </c>
      <c r="CE1188">
        <v>0</v>
      </c>
      <c r="CF1188">
        <v>0</v>
      </c>
      <c r="CG1188">
        <v>0</v>
      </c>
      <c r="CH1188">
        <v>0</v>
      </c>
      <c r="CI1188">
        <v>0</v>
      </c>
      <c r="CJ1188">
        <v>0</v>
      </c>
      <c r="CK1188">
        <v>0</v>
      </c>
      <c r="CL1188">
        <v>0</v>
      </c>
      <c r="CM1188">
        <v>0</v>
      </c>
      <c r="CN1188" t="str">
        <f t="shared" si="406"/>
        <v>refOK</v>
      </c>
      <c r="CO1188"/>
      <c r="CP1188"/>
      <c r="CQ1188"/>
      <c r="CR1188">
        <f t="shared" si="395"/>
        <v>-157</v>
      </c>
      <c r="CS1188">
        <f t="shared" si="396"/>
        <v>-481</v>
      </c>
      <c r="CT1188">
        <f t="shared" si="397"/>
        <v>-0.14000000000000001</v>
      </c>
      <c r="CU1188" t="str">
        <f t="shared" si="365"/>
        <v/>
      </c>
      <c r="CV1188" s="2">
        <f t="shared" si="398"/>
        <v>-2.0636942675159236</v>
      </c>
      <c r="CW1188" s="1" t="s">
        <v>1201</v>
      </c>
      <c r="CX1188" s="266" t="str">
        <f t="shared" si="407"/>
        <v>reg</v>
      </c>
      <c r="CY1188" t="s">
        <v>236</v>
      </c>
      <c r="DB1188">
        <v>30</v>
      </c>
      <c r="DC1188" t="str">
        <f t="shared" si="408"/>
        <v>1-30</v>
      </c>
      <c r="DD1188">
        <v>0</v>
      </c>
      <c r="DE1188">
        <v>1</v>
      </c>
      <c r="DF1188">
        <v>0</v>
      </c>
      <c r="DG1188">
        <v>0</v>
      </c>
      <c r="DI1188">
        <f t="shared" si="391"/>
        <v>1</v>
      </c>
      <c r="DJ1188" t="str">
        <f t="shared" si="363"/>
        <v>EnergyInput</v>
      </c>
      <c r="DK1188">
        <f t="shared" si="383"/>
        <v>0</v>
      </c>
      <c r="DL1188" t="str">
        <f t="shared" si="384"/>
        <v>Energy</v>
      </c>
      <c r="DM1188">
        <f t="shared" si="385"/>
        <v>0</v>
      </c>
      <c r="DN1188">
        <f t="shared" si="386"/>
        <v>0</v>
      </c>
      <c r="DO1188">
        <v>0</v>
      </c>
      <c r="DP1188">
        <v>1</v>
      </c>
      <c r="DQ1188" t="s">
        <v>2148</v>
      </c>
      <c r="DR1188">
        <v>0</v>
      </c>
      <c r="DS1188">
        <v>0</v>
      </c>
      <c r="DT1188">
        <f t="shared" si="371"/>
        <v>1</v>
      </c>
      <c r="DU1188" s="143" t="str">
        <f t="shared" si="410"/>
        <v>external DF used</v>
      </c>
      <c r="DV1188">
        <v>1</v>
      </c>
      <c r="DW1188">
        <v>1</v>
      </c>
      <c r="DX1188">
        <v>1</v>
      </c>
      <c r="DY1188">
        <v>1</v>
      </c>
      <c r="DZ1188">
        <v>1</v>
      </c>
      <c r="EA1188">
        <v>0</v>
      </c>
      <c r="EB1188">
        <v>1</v>
      </c>
      <c r="EC1188">
        <v>1</v>
      </c>
      <c r="ED1188">
        <v>0</v>
      </c>
      <c r="EE1188">
        <v>0</v>
      </c>
      <c r="EF1188">
        <v>1</v>
      </c>
      <c r="EG1188">
        <v>0</v>
      </c>
      <c r="EH1188">
        <v>0</v>
      </c>
      <c r="EI1188" s="2">
        <v>0</v>
      </c>
      <c r="EK1188" t="str">
        <f t="shared" si="387"/>
        <v>Whole sector</v>
      </c>
      <c r="EL1188" t="str">
        <f t="shared" si="388"/>
        <v/>
      </c>
      <c r="EM1188" s="2" t="str">
        <f t="shared" si="409"/>
        <v/>
      </c>
      <c r="EP1188" t="b">
        <f>IF(ISNUMBER(BU1188),IF(ABS(BU1188-[1]QC_indicators!$B$2)&gt;3*[1]QC_indicators!$C$2,"C ratio",IF(ISNUMBER(BY1188),IF(ABS(BY1188-[1]QC_indicators!$B$1)&gt;3*[1]QC_indicators!$C$1,"DF","no"))),IF(ISNUMBER(BY1188),IF(ABS(BY1188-[1]QC_indicators!$B$1)&gt;3*[1]QC_indicators!$C$1,"DF","no")))</f>
        <v>0</v>
      </c>
      <c r="ER1188" s="296" t="s">
        <v>2173</v>
      </c>
      <c r="ET1188" s="266" t="s">
        <v>3409</v>
      </c>
    </row>
    <row r="1189" spans="1:150" ht="15" hidden="1" customHeight="1">
      <c r="A1189" s="1" t="s">
        <v>1362</v>
      </c>
      <c r="B1189" t="s">
        <v>2137</v>
      </c>
      <c r="C1189" t="s">
        <v>2138</v>
      </c>
      <c r="D1189" t="s">
        <v>2139</v>
      </c>
      <c r="E1189" t="s">
        <v>2140</v>
      </c>
      <c r="F1189" t="s">
        <v>2141</v>
      </c>
      <c r="G1189" t="s">
        <v>1368</v>
      </c>
      <c r="H1189" t="s">
        <v>255</v>
      </c>
      <c r="I1189">
        <v>2012</v>
      </c>
      <c r="J1189">
        <v>21</v>
      </c>
      <c r="K1189" t="s">
        <v>2142</v>
      </c>
      <c r="L1189" s="192"/>
      <c r="M1189" t="str">
        <f t="shared" si="362"/>
        <v>Pyorala_2012</v>
      </c>
      <c r="N1189" t="s">
        <v>223</v>
      </c>
      <c r="O1189" s="145" t="s">
        <v>342</v>
      </c>
      <c r="Q1189" s="266" t="s">
        <v>257</v>
      </c>
      <c r="R1189" s="271" t="s">
        <v>1156</v>
      </c>
      <c r="S1189" s="1" t="s">
        <v>2201</v>
      </c>
      <c r="T1189" t="s">
        <v>800</v>
      </c>
      <c r="U1189" t="s">
        <v>2170</v>
      </c>
      <c r="V1189">
        <v>0</v>
      </c>
      <c r="W1189">
        <v>0</v>
      </c>
      <c r="X1189">
        <v>0</v>
      </c>
      <c r="Y1189">
        <v>0</v>
      </c>
      <c r="Z1189">
        <v>0</v>
      </c>
      <c r="AA1189">
        <v>0</v>
      </c>
      <c r="AB1189">
        <v>0</v>
      </c>
      <c r="AC1189">
        <v>0</v>
      </c>
      <c r="AD1189">
        <v>0</v>
      </c>
      <c r="AE1189">
        <v>0</v>
      </c>
      <c r="AF1189">
        <v>0</v>
      </c>
      <c r="AG1189">
        <v>0</v>
      </c>
      <c r="AH1189">
        <v>0</v>
      </c>
      <c r="AI1189">
        <v>0</v>
      </c>
      <c r="AJ1189">
        <v>0</v>
      </c>
      <c r="AK1189">
        <v>1</v>
      </c>
      <c r="AL1189">
        <v>0</v>
      </c>
      <c r="AM1189">
        <v>0</v>
      </c>
      <c r="AN1189">
        <v>0</v>
      </c>
      <c r="AO1189">
        <v>0</v>
      </c>
      <c r="AP1189">
        <v>0</v>
      </c>
      <c r="AQ1189">
        <v>0</v>
      </c>
      <c r="AR1189">
        <v>0</v>
      </c>
      <c r="AS1189">
        <v>0</v>
      </c>
      <c r="AT1189">
        <v>0</v>
      </c>
      <c r="AU1189">
        <v>0</v>
      </c>
      <c r="AV1189">
        <v>0</v>
      </c>
      <c r="AW1189">
        <v>0</v>
      </c>
      <c r="AX1189" s="141">
        <f t="shared" si="379"/>
        <v>1</v>
      </c>
      <c r="AY1189" s="141">
        <f t="shared" si="399"/>
        <v>1</v>
      </c>
      <c r="AZ1189">
        <f t="shared" si="400"/>
        <v>0</v>
      </c>
      <c r="BA1189">
        <f t="shared" si="401"/>
        <v>0</v>
      </c>
      <c r="BB1189">
        <f t="shared" si="402"/>
        <v>1</v>
      </c>
      <c r="BC1189">
        <f t="shared" si="403"/>
        <v>0</v>
      </c>
      <c r="BD1189">
        <f t="shared" si="404"/>
        <v>0</v>
      </c>
      <c r="BE1189" t="str" cm="1">
        <f t="array" ref="BE1189">IF(AY1189=1,INDEX($V$7:$AL$7,MATCH(TRUE,INDEX($V1189:$AW1189&lt;&gt;0,),0)),IF(AY1189=0,INDEX($AM$7:$AW$7,MATCH(1,$AM1189:$AW1189,0)),IF(BF1189="Multiple strategies","mixed drivers",IF(BF1189="Supply chain","multiple supply","multiple silviculture"))))</f>
        <v>technologies/design switch</v>
      </c>
      <c r="BF1189" s="2" t="str" cm="1">
        <f t="array" ref="BF1189">IF(COUNTIF(AZ1189:BB1189,"&lt;&gt;0")=1,INDEX($V$4:$AW$4,MATCH(TRUE,INDEX($V1189:$AW1189&lt;&gt;0,),0)),IF(COUNTIF(AZ1189:BB1189,"&lt;&gt;0")=0,INDEX($AM$4:$AW$4,MATCH(1,$AM1189:$AW1189,0)),"Multiple strategies"))</f>
        <v>Technology</v>
      </c>
      <c r="BH1189" t="s">
        <v>2171</v>
      </c>
      <c r="BN1189" s="143"/>
      <c r="BP1189" s="266" t="s">
        <v>233</v>
      </c>
      <c r="BQ1189" s="266"/>
      <c r="BR1189" t="s">
        <v>2172</v>
      </c>
      <c r="BS1189">
        <v>-157</v>
      </c>
      <c r="BT1189">
        <v>-483</v>
      </c>
      <c r="BU1189" s="144">
        <v>1.4164222873900294</v>
      </c>
      <c r="BV1189">
        <v>-142</v>
      </c>
      <c r="BX1189">
        <f t="shared" si="405"/>
        <v>-0.14199999999999999</v>
      </c>
      <c r="BY1189" t="str">
        <f t="shared" si="378"/>
        <v/>
      </c>
      <c r="BZ1189">
        <v>0</v>
      </c>
      <c r="CA1189">
        <v>0</v>
      </c>
      <c r="CB1189">
        <v>0</v>
      </c>
      <c r="CC1189">
        <v>0</v>
      </c>
      <c r="CD1189">
        <v>0</v>
      </c>
      <c r="CE1189">
        <v>0</v>
      </c>
      <c r="CF1189">
        <v>0</v>
      </c>
      <c r="CG1189">
        <v>0</v>
      </c>
      <c r="CH1189">
        <v>0</v>
      </c>
      <c r="CI1189">
        <v>0</v>
      </c>
      <c r="CJ1189">
        <v>0</v>
      </c>
      <c r="CK1189">
        <v>0</v>
      </c>
      <c r="CL1189">
        <v>0</v>
      </c>
      <c r="CM1189">
        <v>0</v>
      </c>
      <c r="CN1189" t="str">
        <f t="shared" si="406"/>
        <v>refOK</v>
      </c>
      <c r="CO1189"/>
      <c r="CP1189"/>
      <c r="CQ1189"/>
      <c r="CR1189">
        <f t="shared" si="395"/>
        <v>-157</v>
      </c>
      <c r="CS1189">
        <f t="shared" si="396"/>
        <v>-483</v>
      </c>
      <c r="CT1189">
        <f t="shared" si="397"/>
        <v>-0.14199999999999999</v>
      </c>
      <c r="CU1189" t="str">
        <f t="shared" si="365"/>
        <v/>
      </c>
      <c r="CV1189" s="2">
        <f t="shared" si="398"/>
        <v>-2.0764331210191083</v>
      </c>
      <c r="CW1189" s="1" t="s">
        <v>1201</v>
      </c>
      <c r="CX1189" s="266" t="str">
        <f t="shared" si="407"/>
        <v>reg</v>
      </c>
      <c r="CY1189" t="s">
        <v>236</v>
      </c>
      <c r="DB1189">
        <v>30</v>
      </c>
      <c r="DC1189" t="str">
        <f t="shared" si="408"/>
        <v>1-30</v>
      </c>
      <c r="DD1189">
        <v>0</v>
      </c>
      <c r="DE1189">
        <v>1</v>
      </c>
      <c r="DF1189">
        <v>0</v>
      </c>
      <c r="DG1189">
        <v>0</v>
      </c>
      <c r="DI1189">
        <f t="shared" si="391"/>
        <v>1</v>
      </c>
      <c r="DJ1189" t="str">
        <f t="shared" si="363"/>
        <v>EnergyInput</v>
      </c>
      <c r="DK1189">
        <f t="shared" si="383"/>
        <v>0</v>
      </c>
      <c r="DL1189" t="str">
        <f t="shared" si="384"/>
        <v>Energy</v>
      </c>
      <c r="DM1189">
        <f t="shared" si="385"/>
        <v>0</v>
      </c>
      <c r="DN1189">
        <f t="shared" si="386"/>
        <v>0</v>
      </c>
      <c r="DO1189">
        <v>0</v>
      </c>
      <c r="DP1189">
        <v>1</v>
      </c>
      <c r="DQ1189" t="s">
        <v>2148</v>
      </c>
      <c r="DR1189">
        <v>0</v>
      </c>
      <c r="DS1189">
        <v>0</v>
      </c>
      <c r="DT1189">
        <f t="shared" si="371"/>
        <v>1</v>
      </c>
      <c r="DU1189" s="143" t="str">
        <f t="shared" si="410"/>
        <v>external DF used</v>
      </c>
      <c r="DV1189">
        <v>1</v>
      </c>
      <c r="DW1189">
        <v>1</v>
      </c>
      <c r="DX1189">
        <v>1</v>
      </c>
      <c r="DY1189">
        <v>1</v>
      </c>
      <c r="DZ1189">
        <v>1</v>
      </c>
      <c r="EA1189">
        <v>0</v>
      </c>
      <c r="EB1189">
        <v>1</v>
      </c>
      <c r="EC1189">
        <v>1</v>
      </c>
      <c r="ED1189">
        <v>0</v>
      </c>
      <c r="EE1189">
        <v>0</v>
      </c>
      <c r="EF1189">
        <v>1</v>
      </c>
      <c r="EG1189">
        <v>0</v>
      </c>
      <c r="EH1189">
        <v>0</v>
      </c>
      <c r="EI1189" s="2">
        <v>0</v>
      </c>
      <c r="EK1189" t="str">
        <f t="shared" si="387"/>
        <v>Whole sector</v>
      </c>
      <c r="EL1189" t="str">
        <f t="shared" si="388"/>
        <v/>
      </c>
      <c r="EM1189" s="2" t="str">
        <f t="shared" si="409"/>
        <v/>
      </c>
      <c r="EP1189" t="b">
        <f>IF(ISNUMBER(BU1189),IF(ABS(BU1189-[1]QC_indicators!$B$2)&gt;3*[1]QC_indicators!$C$2,"C ratio",IF(ISNUMBER(BY1189),IF(ABS(BY1189-[1]QC_indicators!$B$1)&gt;3*[1]QC_indicators!$C$1,"DF","no"))),IF(ISNUMBER(BY1189),IF(ABS(BY1189-[1]QC_indicators!$B$1)&gt;3*[1]QC_indicators!$C$1,"DF","no")))</f>
        <v>0</v>
      </c>
      <c r="ER1189" s="296" t="s">
        <v>2173</v>
      </c>
      <c r="ET1189" s="266" t="s">
        <v>3409</v>
      </c>
    </row>
    <row r="1190" spans="1:150" ht="15" hidden="1" customHeight="1">
      <c r="A1190" s="1" t="s">
        <v>1362</v>
      </c>
      <c r="B1190" t="s">
        <v>2137</v>
      </c>
      <c r="C1190" t="s">
        <v>2138</v>
      </c>
      <c r="D1190" t="s">
        <v>2139</v>
      </c>
      <c r="E1190" t="s">
        <v>2140</v>
      </c>
      <c r="F1190" t="s">
        <v>2141</v>
      </c>
      <c r="G1190" t="s">
        <v>1368</v>
      </c>
      <c r="H1190" t="s">
        <v>255</v>
      </c>
      <c r="I1190">
        <v>2012</v>
      </c>
      <c r="J1190">
        <v>21</v>
      </c>
      <c r="K1190" t="s">
        <v>2142</v>
      </c>
      <c r="M1190" t="str">
        <f t="shared" si="362"/>
        <v>Pyorala_2012</v>
      </c>
      <c r="N1190" t="s">
        <v>223</v>
      </c>
      <c r="O1190" s="145" t="s">
        <v>342</v>
      </c>
      <c r="Q1190" s="266" t="s">
        <v>257</v>
      </c>
      <c r="R1190" s="271" t="s">
        <v>1156</v>
      </c>
      <c r="S1190" s="1" t="s">
        <v>2202</v>
      </c>
      <c r="T1190" t="s">
        <v>800</v>
      </c>
      <c r="U1190" t="s">
        <v>2170</v>
      </c>
      <c r="V1190">
        <v>0</v>
      </c>
      <c r="W1190">
        <v>0</v>
      </c>
      <c r="X1190">
        <v>0</v>
      </c>
      <c r="Y1190">
        <v>0</v>
      </c>
      <c r="Z1190">
        <v>0</v>
      </c>
      <c r="AA1190">
        <v>0</v>
      </c>
      <c r="AB1190">
        <v>0</v>
      </c>
      <c r="AC1190">
        <v>0</v>
      </c>
      <c r="AD1190">
        <v>0</v>
      </c>
      <c r="AE1190">
        <v>0</v>
      </c>
      <c r="AF1190">
        <v>0</v>
      </c>
      <c r="AG1190">
        <v>0</v>
      </c>
      <c r="AH1190">
        <v>0</v>
      </c>
      <c r="AI1190">
        <v>0</v>
      </c>
      <c r="AJ1190">
        <v>0</v>
      </c>
      <c r="AK1190">
        <v>1</v>
      </c>
      <c r="AL1190">
        <v>0</v>
      </c>
      <c r="AM1190">
        <v>0</v>
      </c>
      <c r="AN1190">
        <v>0</v>
      </c>
      <c r="AO1190">
        <v>0</v>
      </c>
      <c r="AP1190">
        <v>0</v>
      </c>
      <c r="AQ1190">
        <v>0</v>
      </c>
      <c r="AR1190">
        <v>0</v>
      </c>
      <c r="AS1190">
        <v>0</v>
      </c>
      <c r="AT1190">
        <v>0</v>
      </c>
      <c r="AU1190">
        <v>0</v>
      </c>
      <c r="AV1190">
        <v>0</v>
      </c>
      <c r="AW1190">
        <v>0</v>
      </c>
      <c r="AX1190" s="141">
        <f t="shared" si="379"/>
        <v>1</v>
      </c>
      <c r="AY1190" s="141">
        <f t="shared" si="399"/>
        <v>1</v>
      </c>
      <c r="AZ1190">
        <f t="shared" si="400"/>
        <v>0</v>
      </c>
      <c r="BA1190">
        <f t="shared" si="401"/>
        <v>0</v>
      </c>
      <c r="BB1190">
        <f t="shared" si="402"/>
        <v>1</v>
      </c>
      <c r="BC1190">
        <f t="shared" si="403"/>
        <v>0</v>
      </c>
      <c r="BD1190">
        <f t="shared" si="404"/>
        <v>0</v>
      </c>
      <c r="BE1190" t="str" cm="1">
        <f t="array" ref="BE1190">IF(AY1190=1,INDEX($V$7:$AL$7,MATCH(TRUE,INDEX($V1190:$AW1190&lt;&gt;0,),0)),IF(AY1190=0,INDEX($AM$7:$AW$7,MATCH(1,$AM1190:$AW1190,0)),IF(BF1190="Multiple strategies","mixed drivers",IF(BF1190="Supply chain","multiple supply","multiple silviculture"))))</f>
        <v>technologies/design switch</v>
      </c>
      <c r="BF1190" s="2" t="str" cm="1">
        <f t="array" ref="BF1190">IF(COUNTIF(AZ1190:BB1190,"&lt;&gt;0")=1,INDEX($V$4:$AW$4,MATCH(TRUE,INDEX($V1190:$AW1190&lt;&gt;0,),0)),IF(COUNTIF(AZ1190:BB1190,"&lt;&gt;0")=0,INDEX($AM$4:$AW$4,MATCH(1,$AM1190:$AW1190,0)),"Multiple strategies"))</f>
        <v>Technology</v>
      </c>
      <c r="BH1190" t="s">
        <v>2171</v>
      </c>
      <c r="BN1190" s="143"/>
      <c r="BP1190" s="266" t="s">
        <v>233</v>
      </c>
      <c r="BQ1190" s="266"/>
      <c r="BR1190" t="s">
        <v>2172</v>
      </c>
      <c r="BS1190">
        <v>-157</v>
      </c>
      <c r="BT1190">
        <v>-485</v>
      </c>
      <c r="BU1190" s="144">
        <v>1.4222873900293256</v>
      </c>
      <c r="BV1190">
        <v>-144</v>
      </c>
      <c r="BX1190">
        <f t="shared" si="405"/>
        <v>-0.14399999999999999</v>
      </c>
      <c r="BY1190" t="str">
        <f t="shared" si="378"/>
        <v/>
      </c>
      <c r="BZ1190">
        <v>0</v>
      </c>
      <c r="CA1190">
        <v>0</v>
      </c>
      <c r="CB1190">
        <v>0</v>
      </c>
      <c r="CC1190">
        <v>0</v>
      </c>
      <c r="CD1190">
        <v>0</v>
      </c>
      <c r="CE1190">
        <v>0</v>
      </c>
      <c r="CF1190">
        <v>0</v>
      </c>
      <c r="CG1190">
        <v>0</v>
      </c>
      <c r="CH1190">
        <v>0</v>
      </c>
      <c r="CI1190">
        <v>0</v>
      </c>
      <c r="CJ1190">
        <v>0</v>
      </c>
      <c r="CK1190">
        <v>0</v>
      </c>
      <c r="CL1190">
        <v>0</v>
      </c>
      <c r="CM1190">
        <v>0</v>
      </c>
      <c r="CN1190" t="str">
        <f t="shared" si="406"/>
        <v>refOK</v>
      </c>
      <c r="CO1190"/>
      <c r="CP1190"/>
      <c r="CQ1190"/>
      <c r="CR1190">
        <f t="shared" si="395"/>
        <v>-157</v>
      </c>
      <c r="CS1190">
        <f t="shared" si="396"/>
        <v>-485</v>
      </c>
      <c r="CT1190">
        <f t="shared" si="397"/>
        <v>-0.14399999999999999</v>
      </c>
      <c r="CU1190" t="str">
        <f t="shared" si="365"/>
        <v/>
      </c>
      <c r="CV1190" s="2">
        <f t="shared" si="398"/>
        <v>-2.089171974522293</v>
      </c>
      <c r="CW1190" s="1" t="s">
        <v>1201</v>
      </c>
      <c r="CX1190" s="266" t="str">
        <f t="shared" si="407"/>
        <v>reg</v>
      </c>
      <c r="CY1190" t="s">
        <v>236</v>
      </c>
      <c r="DB1190">
        <v>30</v>
      </c>
      <c r="DC1190" t="str">
        <f t="shared" si="408"/>
        <v>1-30</v>
      </c>
      <c r="DD1190">
        <v>0</v>
      </c>
      <c r="DE1190">
        <v>1</v>
      </c>
      <c r="DF1190">
        <v>0</v>
      </c>
      <c r="DG1190">
        <v>0</v>
      </c>
      <c r="DI1190">
        <f t="shared" si="391"/>
        <v>1</v>
      </c>
      <c r="DJ1190" t="str">
        <f t="shared" si="363"/>
        <v>EnergyInput</v>
      </c>
      <c r="DK1190">
        <f t="shared" si="383"/>
        <v>0</v>
      </c>
      <c r="DL1190" t="str">
        <f t="shared" si="384"/>
        <v>Energy</v>
      </c>
      <c r="DM1190">
        <f t="shared" si="385"/>
        <v>0</v>
      </c>
      <c r="DN1190">
        <f t="shared" si="386"/>
        <v>0</v>
      </c>
      <c r="DO1190">
        <v>0</v>
      </c>
      <c r="DP1190">
        <v>1</v>
      </c>
      <c r="DQ1190" t="s">
        <v>2148</v>
      </c>
      <c r="DR1190">
        <v>0</v>
      </c>
      <c r="DS1190">
        <v>0</v>
      </c>
      <c r="DT1190">
        <f t="shared" si="371"/>
        <v>1</v>
      </c>
      <c r="DU1190" s="143" t="str">
        <f t="shared" si="410"/>
        <v>external DF used</v>
      </c>
      <c r="DV1190">
        <v>1</v>
      </c>
      <c r="DW1190">
        <v>1</v>
      </c>
      <c r="DX1190">
        <v>1</v>
      </c>
      <c r="DY1190">
        <v>1</v>
      </c>
      <c r="DZ1190">
        <v>1</v>
      </c>
      <c r="EA1190">
        <v>0</v>
      </c>
      <c r="EB1190">
        <v>1</v>
      </c>
      <c r="EC1190">
        <v>1</v>
      </c>
      <c r="ED1190">
        <v>0</v>
      </c>
      <c r="EE1190">
        <v>0</v>
      </c>
      <c r="EF1190">
        <v>1</v>
      </c>
      <c r="EG1190">
        <v>0</v>
      </c>
      <c r="EH1190">
        <v>0</v>
      </c>
      <c r="EI1190" s="2">
        <v>0</v>
      </c>
      <c r="EK1190" t="str">
        <f t="shared" si="387"/>
        <v>Whole sector</v>
      </c>
      <c r="EL1190" t="str">
        <f t="shared" si="388"/>
        <v/>
      </c>
      <c r="EM1190" s="2" t="str">
        <f t="shared" si="409"/>
        <v/>
      </c>
      <c r="EP1190" t="b">
        <f>IF(ISNUMBER(BU1190),IF(ABS(BU1190-[1]QC_indicators!$B$2)&gt;3*[1]QC_indicators!$C$2,"C ratio",IF(ISNUMBER(BY1190),IF(ABS(BY1190-[1]QC_indicators!$B$1)&gt;3*[1]QC_indicators!$C$1,"DF","no"))),IF(ISNUMBER(BY1190),IF(ABS(BY1190-[1]QC_indicators!$B$1)&gt;3*[1]QC_indicators!$C$1,"DF","no")))</f>
        <v>0</v>
      </c>
      <c r="ER1190" s="296" t="s">
        <v>2173</v>
      </c>
      <c r="ET1190" s="266" t="s">
        <v>3409</v>
      </c>
    </row>
    <row r="1191" spans="1:150" ht="15" hidden="1" customHeight="1">
      <c r="A1191" s="1" t="s">
        <v>1362</v>
      </c>
      <c r="B1191" t="s">
        <v>2137</v>
      </c>
      <c r="C1191" t="s">
        <v>2138</v>
      </c>
      <c r="D1191" t="s">
        <v>2139</v>
      </c>
      <c r="E1191" t="s">
        <v>2140</v>
      </c>
      <c r="F1191" t="s">
        <v>2141</v>
      </c>
      <c r="G1191" t="s">
        <v>1368</v>
      </c>
      <c r="H1191" t="s">
        <v>255</v>
      </c>
      <c r="I1191">
        <v>2012</v>
      </c>
      <c r="J1191">
        <v>21</v>
      </c>
      <c r="K1191" t="s">
        <v>2142</v>
      </c>
      <c r="L1191" s="192"/>
      <c r="M1191" t="str">
        <f t="shared" si="362"/>
        <v>Pyorala_2012</v>
      </c>
      <c r="N1191" t="s">
        <v>223</v>
      </c>
      <c r="O1191" s="145" t="s">
        <v>342</v>
      </c>
      <c r="Q1191" s="266" t="s">
        <v>257</v>
      </c>
      <c r="R1191" s="271" t="s">
        <v>1156</v>
      </c>
      <c r="S1191" s="1" t="s">
        <v>2203</v>
      </c>
      <c r="T1191" t="s">
        <v>800</v>
      </c>
      <c r="U1191" t="s">
        <v>2170</v>
      </c>
      <c r="V1191">
        <v>0</v>
      </c>
      <c r="W1191">
        <v>0</v>
      </c>
      <c r="X1191">
        <v>0</v>
      </c>
      <c r="Y1191">
        <v>0</v>
      </c>
      <c r="Z1191">
        <v>0</v>
      </c>
      <c r="AA1191">
        <v>0</v>
      </c>
      <c r="AB1191">
        <v>0</v>
      </c>
      <c r="AC1191">
        <v>0</v>
      </c>
      <c r="AD1191">
        <v>0</v>
      </c>
      <c r="AE1191">
        <v>0</v>
      </c>
      <c r="AF1191">
        <v>0</v>
      </c>
      <c r="AG1191">
        <v>0</v>
      </c>
      <c r="AH1191">
        <v>0</v>
      </c>
      <c r="AI1191">
        <v>0</v>
      </c>
      <c r="AJ1191">
        <v>0</v>
      </c>
      <c r="AK1191">
        <v>1</v>
      </c>
      <c r="AL1191">
        <v>0</v>
      </c>
      <c r="AM1191">
        <v>0</v>
      </c>
      <c r="AN1191">
        <v>0</v>
      </c>
      <c r="AO1191">
        <v>0</v>
      </c>
      <c r="AP1191">
        <v>0</v>
      </c>
      <c r="AQ1191">
        <v>0</v>
      </c>
      <c r="AR1191">
        <v>0</v>
      </c>
      <c r="AS1191">
        <v>0</v>
      </c>
      <c r="AT1191">
        <v>0</v>
      </c>
      <c r="AU1191">
        <v>0</v>
      </c>
      <c r="AV1191">
        <v>0</v>
      </c>
      <c r="AW1191">
        <v>0</v>
      </c>
      <c r="AX1191" s="141">
        <f t="shared" si="379"/>
        <v>1</v>
      </c>
      <c r="AY1191" s="141">
        <f t="shared" si="399"/>
        <v>1</v>
      </c>
      <c r="AZ1191">
        <f t="shared" si="400"/>
        <v>0</v>
      </c>
      <c r="BA1191">
        <f t="shared" si="401"/>
        <v>0</v>
      </c>
      <c r="BB1191">
        <f t="shared" si="402"/>
        <v>1</v>
      </c>
      <c r="BC1191">
        <f t="shared" si="403"/>
        <v>0</v>
      </c>
      <c r="BD1191">
        <f t="shared" si="404"/>
        <v>0</v>
      </c>
      <c r="BE1191" t="str" cm="1">
        <f t="array" ref="BE1191">IF(AY1191=1,INDEX($V$7:$AL$7,MATCH(TRUE,INDEX($V1191:$AW1191&lt;&gt;0,),0)),IF(AY1191=0,INDEX($AM$7:$AW$7,MATCH(1,$AM1191:$AW1191,0)),IF(BF1191="Multiple strategies","mixed drivers",IF(BF1191="Supply chain","multiple supply","multiple silviculture"))))</f>
        <v>technologies/design switch</v>
      </c>
      <c r="BF1191" s="2" t="str" cm="1">
        <f t="array" ref="BF1191">IF(COUNTIF(AZ1191:BB1191,"&lt;&gt;0")=1,INDEX($V$4:$AW$4,MATCH(TRUE,INDEX($V1191:$AW1191&lt;&gt;0,),0)),IF(COUNTIF(AZ1191:BB1191,"&lt;&gt;0")=0,INDEX($AM$4:$AW$4,MATCH(1,$AM1191:$AW1191,0)),"Multiple strategies"))</f>
        <v>Technology</v>
      </c>
      <c r="BH1191" t="s">
        <v>2171</v>
      </c>
      <c r="BN1191" s="143"/>
      <c r="BP1191" s="266" t="s">
        <v>233</v>
      </c>
      <c r="BQ1191" s="266"/>
      <c r="BR1191" t="s">
        <v>2172</v>
      </c>
      <c r="BS1191">
        <v>-157</v>
      </c>
      <c r="BT1191">
        <v>-559</v>
      </c>
      <c r="BU1191" s="144">
        <v>1.6392961876832846</v>
      </c>
      <c r="BV1191">
        <v>-218</v>
      </c>
      <c r="BX1191">
        <f t="shared" si="405"/>
        <v>-0.218</v>
      </c>
      <c r="BY1191" t="str">
        <f t="shared" si="378"/>
        <v/>
      </c>
      <c r="BZ1191">
        <v>0</v>
      </c>
      <c r="CA1191">
        <v>0</v>
      </c>
      <c r="CB1191">
        <v>0</v>
      </c>
      <c r="CC1191">
        <v>0</v>
      </c>
      <c r="CD1191">
        <v>0</v>
      </c>
      <c r="CE1191">
        <v>0</v>
      </c>
      <c r="CF1191">
        <v>0</v>
      </c>
      <c r="CG1191">
        <v>0</v>
      </c>
      <c r="CH1191">
        <v>0</v>
      </c>
      <c r="CI1191">
        <v>0</v>
      </c>
      <c r="CJ1191">
        <v>0</v>
      </c>
      <c r="CK1191">
        <v>0</v>
      </c>
      <c r="CL1191">
        <v>0</v>
      </c>
      <c r="CM1191">
        <v>0</v>
      </c>
      <c r="CN1191" t="str">
        <f t="shared" si="406"/>
        <v>refOK</v>
      </c>
      <c r="CO1191"/>
      <c r="CP1191"/>
      <c r="CQ1191"/>
      <c r="CR1191">
        <f t="shared" si="395"/>
        <v>-157</v>
      </c>
      <c r="CS1191">
        <f t="shared" si="396"/>
        <v>-559</v>
      </c>
      <c r="CT1191">
        <f t="shared" si="397"/>
        <v>-0.218</v>
      </c>
      <c r="CU1191" t="str">
        <f t="shared" si="365"/>
        <v/>
      </c>
      <c r="CV1191" s="2">
        <f t="shared" si="398"/>
        <v>-2.5605095541401273</v>
      </c>
      <c r="CW1191" s="1" t="s">
        <v>1201</v>
      </c>
      <c r="CX1191" s="266" t="str">
        <f t="shared" si="407"/>
        <v>reg</v>
      </c>
      <c r="CY1191" t="s">
        <v>236</v>
      </c>
      <c r="DB1191">
        <v>30</v>
      </c>
      <c r="DC1191" t="str">
        <f t="shared" si="408"/>
        <v>1-30</v>
      </c>
      <c r="DD1191">
        <v>0</v>
      </c>
      <c r="DE1191">
        <v>1</v>
      </c>
      <c r="DF1191">
        <v>0</v>
      </c>
      <c r="DG1191">
        <v>0</v>
      </c>
      <c r="DI1191">
        <f t="shared" si="391"/>
        <v>1</v>
      </c>
      <c r="DJ1191" t="str">
        <f t="shared" si="363"/>
        <v>EnergyInput</v>
      </c>
      <c r="DK1191">
        <f t="shared" si="383"/>
        <v>0</v>
      </c>
      <c r="DL1191" t="str">
        <f t="shared" si="384"/>
        <v>Energy</v>
      </c>
      <c r="DM1191">
        <f t="shared" si="385"/>
        <v>0</v>
      </c>
      <c r="DN1191">
        <f t="shared" si="386"/>
        <v>0</v>
      </c>
      <c r="DO1191">
        <v>0</v>
      </c>
      <c r="DP1191">
        <v>1</v>
      </c>
      <c r="DQ1191" t="s">
        <v>2148</v>
      </c>
      <c r="DR1191">
        <v>0</v>
      </c>
      <c r="DS1191">
        <v>0</v>
      </c>
      <c r="DT1191">
        <f t="shared" si="371"/>
        <v>1</v>
      </c>
      <c r="DU1191" s="143" t="str">
        <f t="shared" si="410"/>
        <v>external DF used</v>
      </c>
      <c r="DV1191">
        <v>1</v>
      </c>
      <c r="DW1191">
        <v>1</v>
      </c>
      <c r="DX1191">
        <v>1</v>
      </c>
      <c r="DY1191">
        <v>1</v>
      </c>
      <c r="DZ1191">
        <v>1</v>
      </c>
      <c r="EA1191">
        <v>0</v>
      </c>
      <c r="EB1191">
        <v>1</v>
      </c>
      <c r="EC1191">
        <v>1</v>
      </c>
      <c r="ED1191">
        <v>0</v>
      </c>
      <c r="EE1191">
        <v>0</v>
      </c>
      <c r="EF1191">
        <v>1</v>
      </c>
      <c r="EG1191">
        <v>0</v>
      </c>
      <c r="EH1191">
        <v>0</v>
      </c>
      <c r="EI1191" s="2">
        <v>0</v>
      </c>
      <c r="EK1191" t="str">
        <f t="shared" si="387"/>
        <v>Whole sector</v>
      </c>
      <c r="EL1191" t="str">
        <f t="shared" si="388"/>
        <v/>
      </c>
      <c r="EM1191" s="2" t="str">
        <f t="shared" si="409"/>
        <v/>
      </c>
      <c r="EP1191" t="b">
        <f>IF(ISNUMBER(BU1191),IF(ABS(BU1191-[1]QC_indicators!$B$2)&gt;3*[1]QC_indicators!$C$2,"C ratio",IF(ISNUMBER(BY1191),IF(ABS(BY1191-[1]QC_indicators!$B$1)&gt;3*[1]QC_indicators!$C$1,"DF","no"))),IF(ISNUMBER(BY1191),IF(ABS(BY1191-[1]QC_indicators!$B$1)&gt;3*[1]QC_indicators!$C$1,"DF","no")))</f>
        <v>0</v>
      </c>
      <c r="ER1191" s="296" t="s">
        <v>2173</v>
      </c>
      <c r="ET1191" s="266" t="s">
        <v>3409</v>
      </c>
    </row>
    <row r="1192" spans="1:150" ht="15" hidden="1" customHeight="1">
      <c r="A1192" s="1" t="s">
        <v>1362</v>
      </c>
      <c r="B1192" t="s">
        <v>2137</v>
      </c>
      <c r="C1192" t="s">
        <v>2138</v>
      </c>
      <c r="D1192" t="s">
        <v>2139</v>
      </c>
      <c r="E1192" t="s">
        <v>2140</v>
      </c>
      <c r="F1192" t="s">
        <v>2141</v>
      </c>
      <c r="G1192" t="s">
        <v>1368</v>
      </c>
      <c r="H1192" t="s">
        <v>255</v>
      </c>
      <c r="I1192">
        <v>2012</v>
      </c>
      <c r="J1192">
        <v>21</v>
      </c>
      <c r="K1192" t="s">
        <v>2142</v>
      </c>
      <c r="M1192" t="str">
        <f t="shared" si="362"/>
        <v>Pyorala_2012</v>
      </c>
      <c r="N1192" t="s">
        <v>223</v>
      </c>
      <c r="O1192" s="145" t="s">
        <v>342</v>
      </c>
      <c r="Q1192" s="266" t="s">
        <v>257</v>
      </c>
      <c r="R1192" s="271" t="s">
        <v>1156</v>
      </c>
      <c r="S1192" s="1" t="s">
        <v>2204</v>
      </c>
      <c r="T1192" t="s">
        <v>800</v>
      </c>
      <c r="U1192" t="s">
        <v>2170</v>
      </c>
      <c r="V1192">
        <v>0</v>
      </c>
      <c r="W1192">
        <v>0</v>
      </c>
      <c r="X1192">
        <v>0</v>
      </c>
      <c r="Y1192">
        <v>0</v>
      </c>
      <c r="Z1192">
        <v>0</v>
      </c>
      <c r="AA1192">
        <v>0</v>
      </c>
      <c r="AB1192">
        <v>0</v>
      </c>
      <c r="AC1192">
        <v>0</v>
      </c>
      <c r="AD1192">
        <v>0</v>
      </c>
      <c r="AE1192">
        <v>0</v>
      </c>
      <c r="AF1192">
        <v>0</v>
      </c>
      <c r="AG1192">
        <v>0</v>
      </c>
      <c r="AH1192">
        <v>0</v>
      </c>
      <c r="AI1192">
        <v>0</v>
      </c>
      <c r="AJ1192">
        <v>0</v>
      </c>
      <c r="AK1192">
        <v>1</v>
      </c>
      <c r="AL1192">
        <v>0</v>
      </c>
      <c r="AM1192">
        <v>0</v>
      </c>
      <c r="AN1192">
        <v>0</v>
      </c>
      <c r="AO1192">
        <v>0</v>
      </c>
      <c r="AP1192">
        <v>0</v>
      </c>
      <c r="AQ1192">
        <v>0</v>
      </c>
      <c r="AR1192">
        <v>0</v>
      </c>
      <c r="AS1192">
        <v>0</v>
      </c>
      <c r="AT1192">
        <v>0</v>
      </c>
      <c r="AU1192">
        <v>0</v>
      </c>
      <c r="AV1192">
        <v>0</v>
      </c>
      <c r="AW1192">
        <v>0</v>
      </c>
      <c r="AX1192" s="141">
        <f t="shared" si="379"/>
        <v>1</v>
      </c>
      <c r="AY1192" s="141">
        <f t="shared" si="399"/>
        <v>1</v>
      </c>
      <c r="AZ1192">
        <f t="shared" si="400"/>
        <v>0</v>
      </c>
      <c r="BA1192">
        <f t="shared" si="401"/>
        <v>0</v>
      </c>
      <c r="BB1192">
        <f t="shared" si="402"/>
        <v>1</v>
      </c>
      <c r="BC1192">
        <f t="shared" si="403"/>
        <v>0</v>
      </c>
      <c r="BD1192">
        <f t="shared" si="404"/>
        <v>0</v>
      </c>
      <c r="BE1192" t="str" cm="1">
        <f t="array" ref="BE1192">IF(AY1192=1,INDEX($V$7:$AL$7,MATCH(TRUE,INDEX($V1192:$AW1192&lt;&gt;0,),0)),IF(AY1192=0,INDEX($AM$7:$AW$7,MATCH(1,$AM1192:$AW1192,0)),IF(BF1192="Multiple strategies","mixed drivers",IF(BF1192="Supply chain","multiple supply","multiple silviculture"))))</f>
        <v>technologies/design switch</v>
      </c>
      <c r="BF1192" s="2" t="str" cm="1">
        <f t="array" ref="BF1192">IF(COUNTIF(AZ1192:BB1192,"&lt;&gt;0")=1,INDEX($V$4:$AW$4,MATCH(TRUE,INDEX($V1192:$AW1192&lt;&gt;0,),0)),IF(COUNTIF(AZ1192:BB1192,"&lt;&gt;0")=0,INDEX($AM$4:$AW$4,MATCH(1,$AM1192:$AW1192,0)),"Multiple strategies"))</f>
        <v>Technology</v>
      </c>
      <c r="BH1192" t="s">
        <v>2171</v>
      </c>
      <c r="BN1192" s="143"/>
      <c r="BP1192" s="266" t="s">
        <v>233</v>
      </c>
      <c r="BQ1192" s="266"/>
      <c r="BR1192" t="s">
        <v>2172</v>
      </c>
      <c r="BS1192">
        <v>-157</v>
      </c>
      <c r="BT1192">
        <v>-560</v>
      </c>
      <c r="BU1192" s="144">
        <v>1.6422287390029326</v>
      </c>
      <c r="BV1192">
        <v>-219</v>
      </c>
      <c r="BX1192">
        <f t="shared" si="405"/>
        <v>-0.219</v>
      </c>
      <c r="BY1192" t="str">
        <f t="shared" si="378"/>
        <v/>
      </c>
      <c r="BZ1192">
        <v>0</v>
      </c>
      <c r="CA1192">
        <v>0</v>
      </c>
      <c r="CB1192">
        <v>0</v>
      </c>
      <c r="CC1192">
        <v>0</v>
      </c>
      <c r="CD1192">
        <v>0</v>
      </c>
      <c r="CE1192">
        <v>0</v>
      </c>
      <c r="CF1192">
        <v>0</v>
      </c>
      <c r="CG1192">
        <v>0</v>
      </c>
      <c r="CH1192">
        <v>0</v>
      </c>
      <c r="CI1192">
        <v>0</v>
      </c>
      <c r="CJ1192">
        <v>0</v>
      </c>
      <c r="CK1192">
        <v>0</v>
      </c>
      <c r="CL1192">
        <v>0</v>
      </c>
      <c r="CM1192">
        <v>0</v>
      </c>
      <c r="CN1192" t="str">
        <f t="shared" si="406"/>
        <v>refOK</v>
      </c>
      <c r="CO1192"/>
      <c r="CP1192"/>
      <c r="CQ1192"/>
      <c r="CR1192">
        <f t="shared" si="395"/>
        <v>-157</v>
      </c>
      <c r="CS1192">
        <f t="shared" si="396"/>
        <v>-560</v>
      </c>
      <c r="CT1192">
        <f t="shared" si="397"/>
        <v>-0.219</v>
      </c>
      <c r="CU1192" t="str">
        <f t="shared" si="365"/>
        <v/>
      </c>
      <c r="CV1192" s="2">
        <f t="shared" si="398"/>
        <v>-2.5668789808917198</v>
      </c>
      <c r="CW1192" s="1" t="s">
        <v>1201</v>
      </c>
      <c r="CX1192" s="266" t="str">
        <f t="shared" si="407"/>
        <v>reg</v>
      </c>
      <c r="CY1192" t="s">
        <v>236</v>
      </c>
      <c r="DB1192">
        <v>30</v>
      </c>
      <c r="DC1192" t="str">
        <f t="shared" si="408"/>
        <v>1-30</v>
      </c>
      <c r="DD1192">
        <v>0</v>
      </c>
      <c r="DE1192">
        <v>1</v>
      </c>
      <c r="DF1192">
        <v>0</v>
      </c>
      <c r="DG1192">
        <v>0</v>
      </c>
      <c r="DI1192">
        <f t="shared" si="391"/>
        <v>1</v>
      </c>
      <c r="DJ1192" t="str">
        <f t="shared" si="363"/>
        <v>EnergyInput</v>
      </c>
      <c r="DK1192">
        <f t="shared" si="383"/>
        <v>0</v>
      </c>
      <c r="DL1192" t="str">
        <f t="shared" si="384"/>
        <v>Energy</v>
      </c>
      <c r="DM1192">
        <f t="shared" si="385"/>
        <v>0</v>
      </c>
      <c r="DN1192">
        <f t="shared" si="386"/>
        <v>0</v>
      </c>
      <c r="DO1192">
        <v>0</v>
      </c>
      <c r="DP1192">
        <v>1</v>
      </c>
      <c r="DQ1192" t="s">
        <v>2148</v>
      </c>
      <c r="DR1192">
        <v>0</v>
      </c>
      <c r="DS1192">
        <v>0</v>
      </c>
      <c r="DT1192">
        <f t="shared" si="371"/>
        <v>1</v>
      </c>
      <c r="DU1192" s="143" t="str">
        <f t="shared" si="410"/>
        <v>external DF used</v>
      </c>
      <c r="DV1192">
        <v>1</v>
      </c>
      <c r="DW1192">
        <v>1</v>
      </c>
      <c r="DX1192">
        <v>1</v>
      </c>
      <c r="DY1192">
        <v>1</v>
      </c>
      <c r="DZ1192">
        <v>1</v>
      </c>
      <c r="EA1192">
        <v>0</v>
      </c>
      <c r="EB1192">
        <v>1</v>
      </c>
      <c r="EC1192">
        <v>1</v>
      </c>
      <c r="ED1192">
        <v>0</v>
      </c>
      <c r="EE1192">
        <v>0</v>
      </c>
      <c r="EF1192">
        <v>1</v>
      </c>
      <c r="EG1192">
        <v>0</v>
      </c>
      <c r="EH1192">
        <v>0</v>
      </c>
      <c r="EI1192" s="2">
        <v>0</v>
      </c>
      <c r="EK1192" t="str">
        <f t="shared" si="387"/>
        <v>Whole sector</v>
      </c>
      <c r="EL1192" t="str">
        <f t="shared" si="388"/>
        <v/>
      </c>
      <c r="EM1192" s="2" t="str">
        <f t="shared" si="409"/>
        <v/>
      </c>
      <c r="EP1192" t="b">
        <f>IF(ISNUMBER(BU1192),IF(ABS(BU1192-[1]QC_indicators!$B$2)&gt;3*[1]QC_indicators!$C$2,"C ratio",IF(ISNUMBER(BY1192),IF(ABS(BY1192-[1]QC_indicators!$B$1)&gt;3*[1]QC_indicators!$C$1,"DF","no"))),IF(ISNUMBER(BY1192),IF(ABS(BY1192-[1]QC_indicators!$B$1)&gt;3*[1]QC_indicators!$C$1,"DF","no")))</f>
        <v>0</v>
      </c>
      <c r="ER1192" s="296" t="s">
        <v>2173</v>
      </c>
      <c r="ET1192" s="266" t="s">
        <v>3409</v>
      </c>
    </row>
    <row r="1193" spans="1:150" ht="15" hidden="1" customHeight="1">
      <c r="A1193" s="1" t="s">
        <v>1362</v>
      </c>
      <c r="B1193" t="s">
        <v>2137</v>
      </c>
      <c r="C1193" t="s">
        <v>2138</v>
      </c>
      <c r="D1193" t="s">
        <v>2139</v>
      </c>
      <c r="E1193" t="s">
        <v>2140</v>
      </c>
      <c r="F1193" t="s">
        <v>2141</v>
      </c>
      <c r="G1193" t="s">
        <v>1368</v>
      </c>
      <c r="H1193" t="s">
        <v>255</v>
      </c>
      <c r="I1193">
        <v>2012</v>
      </c>
      <c r="J1193">
        <v>21</v>
      </c>
      <c r="K1193" t="s">
        <v>2142</v>
      </c>
      <c r="M1193" t="str">
        <f t="shared" si="362"/>
        <v>Pyorala_2012</v>
      </c>
      <c r="N1193" t="s">
        <v>223</v>
      </c>
      <c r="O1193" s="145" t="s">
        <v>342</v>
      </c>
      <c r="Q1193" s="266" t="s">
        <v>257</v>
      </c>
      <c r="R1193" s="271" t="s">
        <v>1156</v>
      </c>
      <c r="S1193" s="1" t="s">
        <v>2205</v>
      </c>
      <c r="T1193" t="s">
        <v>800</v>
      </c>
      <c r="U1193" t="s">
        <v>2170</v>
      </c>
      <c r="V1193">
        <v>0</v>
      </c>
      <c r="W1193">
        <v>0</v>
      </c>
      <c r="X1193">
        <v>0</v>
      </c>
      <c r="Y1193">
        <v>0</v>
      </c>
      <c r="Z1193">
        <v>0</v>
      </c>
      <c r="AA1193">
        <v>0</v>
      </c>
      <c r="AB1193">
        <v>0</v>
      </c>
      <c r="AC1193">
        <v>0</v>
      </c>
      <c r="AD1193">
        <v>0</v>
      </c>
      <c r="AE1193">
        <v>0</v>
      </c>
      <c r="AF1193">
        <v>0</v>
      </c>
      <c r="AG1193">
        <v>0</v>
      </c>
      <c r="AH1193">
        <v>0</v>
      </c>
      <c r="AI1193">
        <v>0</v>
      </c>
      <c r="AJ1193">
        <v>0</v>
      </c>
      <c r="AK1193">
        <v>1</v>
      </c>
      <c r="AL1193">
        <v>0</v>
      </c>
      <c r="AM1193">
        <v>0</v>
      </c>
      <c r="AN1193">
        <v>0</v>
      </c>
      <c r="AO1193">
        <v>0</v>
      </c>
      <c r="AP1193">
        <v>0</v>
      </c>
      <c r="AQ1193">
        <v>0</v>
      </c>
      <c r="AR1193">
        <v>0</v>
      </c>
      <c r="AS1193">
        <v>0</v>
      </c>
      <c r="AT1193">
        <v>0</v>
      </c>
      <c r="AU1193">
        <v>0</v>
      </c>
      <c r="AV1193">
        <v>0</v>
      </c>
      <c r="AW1193">
        <v>0</v>
      </c>
      <c r="AX1193" s="141">
        <f t="shared" si="379"/>
        <v>1</v>
      </c>
      <c r="AY1193" s="141">
        <f t="shared" si="399"/>
        <v>1</v>
      </c>
      <c r="AZ1193">
        <f t="shared" si="400"/>
        <v>0</v>
      </c>
      <c r="BA1193">
        <f t="shared" si="401"/>
        <v>0</v>
      </c>
      <c r="BB1193">
        <f t="shared" si="402"/>
        <v>1</v>
      </c>
      <c r="BC1193">
        <f t="shared" si="403"/>
        <v>0</v>
      </c>
      <c r="BD1193">
        <f t="shared" si="404"/>
        <v>0</v>
      </c>
      <c r="BE1193" t="str" cm="1">
        <f t="array" ref="BE1193">IF(AY1193=1,INDEX($V$7:$AL$7,MATCH(TRUE,INDEX($V1193:$AW1193&lt;&gt;0,),0)),IF(AY1193=0,INDEX($AM$7:$AW$7,MATCH(1,$AM1193:$AW1193,0)),IF(BF1193="Multiple strategies","mixed drivers",IF(BF1193="Supply chain","multiple supply","multiple silviculture"))))</f>
        <v>technologies/design switch</v>
      </c>
      <c r="BF1193" s="2" t="str" cm="1">
        <f t="array" ref="BF1193">IF(COUNTIF(AZ1193:BB1193,"&lt;&gt;0")=1,INDEX($V$4:$AW$4,MATCH(TRUE,INDEX($V1193:$AW1193&lt;&gt;0,),0)),IF(COUNTIF(AZ1193:BB1193,"&lt;&gt;0")=0,INDEX($AM$4:$AW$4,MATCH(1,$AM1193:$AW1193,0)),"Multiple strategies"))</f>
        <v>Technology</v>
      </c>
      <c r="BH1193" t="s">
        <v>2171</v>
      </c>
      <c r="BN1193" s="143"/>
      <c r="BP1193" s="266" t="s">
        <v>233</v>
      </c>
      <c r="BQ1193" s="266"/>
      <c r="BR1193" t="s">
        <v>2172</v>
      </c>
      <c r="BS1193">
        <v>-157</v>
      </c>
      <c r="BT1193">
        <v>-561</v>
      </c>
      <c r="BU1193" s="144">
        <v>1.6451612903225807</v>
      </c>
      <c r="BV1193">
        <v>-220</v>
      </c>
      <c r="BX1193">
        <f t="shared" si="405"/>
        <v>-0.22</v>
      </c>
      <c r="BY1193" t="str">
        <f t="shared" si="378"/>
        <v/>
      </c>
      <c r="BZ1193">
        <v>0</v>
      </c>
      <c r="CA1193">
        <v>0</v>
      </c>
      <c r="CB1193">
        <v>0</v>
      </c>
      <c r="CC1193">
        <v>0</v>
      </c>
      <c r="CD1193">
        <v>0</v>
      </c>
      <c r="CE1193">
        <v>0</v>
      </c>
      <c r="CF1193">
        <v>0</v>
      </c>
      <c r="CG1193">
        <v>0</v>
      </c>
      <c r="CH1193">
        <v>0</v>
      </c>
      <c r="CI1193">
        <v>0</v>
      </c>
      <c r="CJ1193">
        <v>0</v>
      </c>
      <c r="CK1193">
        <v>0</v>
      </c>
      <c r="CL1193">
        <v>0</v>
      </c>
      <c r="CM1193">
        <v>0</v>
      </c>
      <c r="CN1193" t="str">
        <f t="shared" si="406"/>
        <v>refOK</v>
      </c>
      <c r="CO1193"/>
      <c r="CP1193"/>
      <c r="CQ1193"/>
      <c r="CR1193">
        <f t="shared" si="395"/>
        <v>-157</v>
      </c>
      <c r="CS1193">
        <f t="shared" si="396"/>
        <v>-561</v>
      </c>
      <c r="CT1193">
        <f t="shared" si="397"/>
        <v>-0.22</v>
      </c>
      <c r="CU1193" t="str">
        <f t="shared" si="365"/>
        <v/>
      </c>
      <c r="CV1193" s="2">
        <f t="shared" si="398"/>
        <v>-2.573248407643312</v>
      </c>
      <c r="CW1193" s="1" t="s">
        <v>1201</v>
      </c>
      <c r="CX1193" s="266" t="str">
        <f t="shared" si="407"/>
        <v>reg</v>
      </c>
      <c r="CY1193" t="s">
        <v>236</v>
      </c>
      <c r="DB1193">
        <v>30</v>
      </c>
      <c r="DC1193" t="str">
        <f t="shared" si="408"/>
        <v>1-30</v>
      </c>
      <c r="DD1193">
        <v>0</v>
      </c>
      <c r="DE1193">
        <v>1</v>
      </c>
      <c r="DF1193">
        <v>0</v>
      </c>
      <c r="DG1193">
        <v>0</v>
      </c>
      <c r="DI1193">
        <f t="shared" si="391"/>
        <v>1</v>
      </c>
      <c r="DJ1193" t="str">
        <f t="shared" si="363"/>
        <v>EnergyInput</v>
      </c>
      <c r="DK1193">
        <f t="shared" si="383"/>
        <v>0</v>
      </c>
      <c r="DL1193" t="str">
        <f t="shared" si="384"/>
        <v>Energy</v>
      </c>
      <c r="DM1193">
        <f t="shared" si="385"/>
        <v>0</v>
      </c>
      <c r="DN1193">
        <f t="shared" si="386"/>
        <v>0</v>
      </c>
      <c r="DO1193">
        <v>0</v>
      </c>
      <c r="DP1193">
        <v>1</v>
      </c>
      <c r="DQ1193" t="s">
        <v>2148</v>
      </c>
      <c r="DR1193">
        <v>0</v>
      </c>
      <c r="DS1193">
        <v>0</v>
      </c>
      <c r="DT1193">
        <f t="shared" si="371"/>
        <v>1</v>
      </c>
      <c r="DU1193" s="143" t="str">
        <f t="shared" si="410"/>
        <v>external DF used</v>
      </c>
      <c r="DV1193">
        <v>1</v>
      </c>
      <c r="DW1193">
        <v>1</v>
      </c>
      <c r="DX1193">
        <v>1</v>
      </c>
      <c r="DY1193">
        <v>1</v>
      </c>
      <c r="DZ1193">
        <v>1</v>
      </c>
      <c r="EA1193">
        <v>0</v>
      </c>
      <c r="EB1193">
        <v>1</v>
      </c>
      <c r="EC1193">
        <v>1</v>
      </c>
      <c r="ED1193">
        <v>0</v>
      </c>
      <c r="EE1193">
        <v>0</v>
      </c>
      <c r="EF1193">
        <v>1</v>
      </c>
      <c r="EG1193">
        <v>0</v>
      </c>
      <c r="EH1193">
        <v>0</v>
      </c>
      <c r="EI1193" s="2">
        <v>0</v>
      </c>
      <c r="EK1193" t="str">
        <f t="shared" si="387"/>
        <v>Whole sector</v>
      </c>
      <c r="EL1193" t="str">
        <f t="shared" si="388"/>
        <v/>
      </c>
      <c r="EM1193" s="2" t="str">
        <f t="shared" si="409"/>
        <v/>
      </c>
      <c r="EP1193" t="b">
        <f>IF(ISNUMBER(BU1193),IF(ABS(BU1193-[1]QC_indicators!$B$2)&gt;3*[1]QC_indicators!$C$2,"C ratio",IF(ISNUMBER(BY1193),IF(ABS(BY1193-[1]QC_indicators!$B$1)&gt;3*[1]QC_indicators!$C$1,"DF","no"))),IF(ISNUMBER(BY1193),IF(ABS(BY1193-[1]QC_indicators!$B$1)&gt;3*[1]QC_indicators!$C$1,"DF","no")))</f>
        <v>0</v>
      </c>
      <c r="ER1193" s="296" t="s">
        <v>2173</v>
      </c>
      <c r="ET1193" s="266" t="s">
        <v>3409</v>
      </c>
    </row>
    <row r="1194" spans="1:150" ht="15" hidden="1" customHeight="1">
      <c r="A1194" s="1" t="s">
        <v>1362</v>
      </c>
      <c r="B1194" t="s">
        <v>2137</v>
      </c>
      <c r="C1194" t="s">
        <v>2138</v>
      </c>
      <c r="D1194" t="s">
        <v>2139</v>
      </c>
      <c r="E1194" t="s">
        <v>2140</v>
      </c>
      <c r="F1194" t="s">
        <v>2141</v>
      </c>
      <c r="G1194" t="s">
        <v>1368</v>
      </c>
      <c r="H1194" t="s">
        <v>255</v>
      </c>
      <c r="I1194">
        <v>2012</v>
      </c>
      <c r="J1194">
        <v>21</v>
      </c>
      <c r="K1194" t="s">
        <v>2142</v>
      </c>
      <c r="L1194" s="192"/>
      <c r="M1194" t="str">
        <f t="shared" si="362"/>
        <v>Pyorala_2012</v>
      </c>
      <c r="N1194" t="s">
        <v>223</v>
      </c>
      <c r="O1194" s="145" t="s">
        <v>342</v>
      </c>
      <c r="Q1194" s="266" t="s">
        <v>257</v>
      </c>
      <c r="R1194" s="271" t="s">
        <v>1156</v>
      </c>
      <c r="S1194" s="1" t="s">
        <v>2206</v>
      </c>
      <c r="T1194" t="s">
        <v>800</v>
      </c>
      <c r="U1194" t="s">
        <v>2170</v>
      </c>
      <c r="V1194">
        <v>0</v>
      </c>
      <c r="W1194">
        <v>0</v>
      </c>
      <c r="X1194">
        <v>0</v>
      </c>
      <c r="Y1194">
        <v>0</v>
      </c>
      <c r="Z1194">
        <v>0</v>
      </c>
      <c r="AA1194">
        <v>0</v>
      </c>
      <c r="AB1194">
        <v>0</v>
      </c>
      <c r="AC1194">
        <v>0</v>
      </c>
      <c r="AD1194">
        <v>0</v>
      </c>
      <c r="AE1194">
        <v>0</v>
      </c>
      <c r="AF1194">
        <v>0</v>
      </c>
      <c r="AG1194">
        <v>0</v>
      </c>
      <c r="AH1194">
        <v>0</v>
      </c>
      <c r="AI1194">
        <v>0</v>
      </c>
      <c r="AJ1194">
        <v>0</v>
      </c>
      <c r="AK1194">
        <v>1</v>
      </c>
      <c r="AL1194">
        <v>0</v>
      </c>
      <c r="AM1194">
        <v>0</v>
      </c>
      <c r="AN1194">
        <v>0</v>
      </c>
      <c r="AO1194">
        <v>0</v>
      </c>
      <c r="AP1194">
        <v>0</v>
      </c>
      <c r="AQ1194">
        <v>0</v>
      </c>
      <c r="AR1194">
        <v>0</v>
      </c>
      <c r="AS1194">
        <v>0</v>
      </c>
      <c r="AT1194">
        <v>0</v>
      </c>
      <c r="AU1194">
        <v>0</v>
      </c>
      <c r="AV1194">
        <v>0</v>
      </c>
      <c r="AW1194">
        <v>0</v>
      </c>
      <c r="AX1194" s="141">
        <f t="shared" si="379"/>
        <v>1</v>
      </c>
      <c r="AY1194" s="141">
        <f t="shared" si="399"/>
        <v>1</v>
      </c>
      <c r="AZ1194">
        <f t="shared" si="400"/>
        <v>0</v>
      </c>
      <c r="BA1194">
        <f t="shared" si="401"/>
        <v>0</v>
      </c>
      <c r="BB1194">
        <f t="shared" si="402"/>
        <v>1</v>
      </c>
      <c r="BC1194">
        <f t="shared" si="403"/>
        <v>0</v>
      </c>
      <c r="BD1194">
        <f t="shared" si="404"/>
        <v>0</v>
      </c>
      <c r="BE1194" t="str" cm="1">
        <f t="array" ref="BE1194">IF(AY1194=1,INDEX($V$7:$AL$7,MATCH(TRUE,INDEX($V1194:$AW1194&lt;&gt;0,),0)),IF(AY1194=0,INDEX($AM$7:$AW$7,MATCH(1,$AM1194:$AW1194,0)),IF(BF1194="Multiple strategies","mixed drivers",IF(BF1194="Supply chain","multiple supply","multiple silviculture"))))</f>
        <v>technologies/design switch</v>
      </c>
      <c r="BF1194" s="2" t="str" cm="1">
        <f t="array" ref="BF1194">IF(COUNTIF(AZ1194:BB1194,"&lt;&gt;0")=1,INDEX($V$4:$AW$4,MATCH(TRUE,INDEX($V1194:$AW1194&lt;&gt;0,),0)),IF(COUNTIF(AZ1194:BB1194,"&lt;&gt;0")=0,INDEX($AM$4:$AW$4,MATCH(1,$AM1194:$AW1194,0)),"Multiple strategies"))</f>
        <v>Technology</v>
      </c>
      <c r="BH1194" t="s">
        <v>2171</v>
      </c>
      <c r="BN1194" s="143"/>
      <c r="BP1194" s="266" t="s">
        <v>233</v>
      </c>
      <c r="BQ1194" s="266"/>
      <c r="BR1194" t="s">
        <v>2172</v>
      </c>
      <c r="BS1194">
        <v>-157</v>
      </c>
      <c r="BT1194">
        <v>-562</v>
      </c>
      <c r="BU1194" s="144">
        <v>1.6480938416422288</v>
      </c>
      <c r="BV1194">
        <v>-221</v>
      </c>
      <c r="BX1194">
        <f t="shared" si="405"/>
        <v>-0.221</v>
      </c>
      <c r="BY1194" t="str">
        <f t="shared" si="378"/>
        <v/>
      </c>
      <c r="BZ1194">
        <v>0</v>
      </c>
      <c r="CA1194">
        <v>0</v>
      </c>
      <c r="CB1194">
        <v>0</v>
      </c>
      <c r="CC1194">
        <v>0</v>
      </c>
      <c r="CD1194">
        <v>0</v>
      </c>
      <c r="CE1194">
        <v>0</v>
      </c>
      <c r="CF1194">
        <v>0</v>
      </c>
      <c r="CG1194">
        <v>0</v>
      </c>
      <c r="CH1194">
        <v>0</v>
      </c>
      <c r="CI1194">
        <v>0</v>
      </c>
      <c r="CJ1194">
        <v>0</v>
      </c>
      <c r="CK1194">
        <v>0</v>
      </c>
      <c r="CL1194">
        <v>0</v>
      </c>
      <c r="CM1194">
        <v>0</v>
      </c>
      <c r="CN1194" t="str">
        <f t="shared" si="406"/>
        <v>refOK</v>
      </c>
      <c r="CO1194"/>
      <c r="CP1194"/>
      <c r="CQ1194"/>
      <c r="CR1194">
        <f t="shared" si="395"/>
        <v>-157</v>
      </c>
      <c r="CS1194">
        <f t="shared" si="396"/>
        <v>-562</v>
      </c>
      <c r="CT1194">
        <f t="shared" si="397"/>
        <v>-0.221</v>
      </c>
      <c r="CU1194" t="str">
        <f t="shared" si="365"/>
        <v/>
      </c>
      <c r="CV1194" s="2">
        <f t="shared" si="398"/>
        <v>-2.5796178343949046</v>
      </c>
      <c r="CW1194" s="1" t="s">
        <v>1201</v>
      </c>
      <c r="CX1194" s="266" t="str">
        <f t="shared" si="407"/>
        <v>reg</v>
      </c>
      <c r="CY1194" t="s">
        <v>236</v>
      </c>
      <c r="DB1194">
        <v>30</v>
      </c>
      <c r="DC1194" t="str">
        <f t="shared" si="408"/>
        <v>1-30</v>
      </c>
      <c r="DD1194">
        <v>0</v>
      </c>
      <c r="DE1194">
        <v>1</v>
      </c>
      <c r="DF1194">
        <v>0</v>
      </c>
      <c r="DG1194">
        <v>0</v>
      </c>
      <c r="DI1194">
        <f t="shared" si="391"/>
        <v>1</v>
      </c>
      <c r="DJ1194" t="str">
        <f t="shared" si="363"/>
        <v>EnergyInput</v>
      </c>
      <c r="DK1194">
        <f t="shared" si="383"/>
        <v>0</v>
      </c>
      <c r="DL1194" t="str">
        <f t="shared" si="384"/>
        <v>Energy</v>
      </c>
      <c r="DM1194">
        <f t="shared" si="385"/>
        <v>0</v>
      </c>
      <c r="DN1194">
        <f t="shared" si="386"/>
        <v>0</v>
      </c>
      <c r="DO1194">
        <v>0</v>
      </c>
      <c r="DP1194">
        <v>1</v>
      </c>
      <c r="DQ1194" t="s">
        <v>2148</v>
      </c>
      <c r="DR1194">
        <v>0</v>
      </c>
      <c r="DS1194">
        <v>0</v>
      </c>
      <c r="DT1194">
        <f t="shared" si="371"/>
        <v>1</v>
      </c>
      <c r="DU1194" s="143" t="str">
        <f t="shared" si="410"/>
        <v>external DF used</v>
      </c>
      <c r="DV1194">
        <v>1</v>
      </c>
      <c r="DW1194">
        <v>1</v>
      </c>
      <c r="DX1194">
        <v>1</v>
      </c>
      <c r="DY1194">
        <v>1</v>
      </c>
      <c r="DZ1194">
        <v>1</v>
      </c>
      <c r="EA1194">
        <v>0</v>
      </c>
      <c r="EB1194">
        <v>1</v>
      </c>
      <c r="EC1194">
        <v>1</v>
      </c>
      <c r="ED1194">
        <v>0</v>
      </c>
      <c r="EE1194">
        <v>0</v>
      </c>
      <c r="EF1194">
        <v>1</v>
      </c>
      <c r="EG1194">
        <v>0</v>
      </c>
      <c r="EH1194">
        <v>0</v>
      </c>
      <c r="EI1194" s="2">
        <v>0</v>
      </c>
      <c r="EK1194" t="str">
        <f t="shared" si="387"/>
        <v>Whole sector</v>
      </c>
      <c r="EL1194" t="str">
        <f t="shared" si="388"/>
        <v/>
      </c>
      <c r="EM1194" s="2" t="str">
        <f t="shared" si="409"/>
        <v/>
      </c>
      <c r="EP1194" t="b">
        <f>IF(ISNUMBER(BU1194),IF(ABS(BU1194-[1]QC_indicators!$B$2)&gt;3*[1]QC_indicators!$C$2,"C ratio",IF(ISNUMBER(BY1194),IF(ABS(BY1194-[1]QC_indicators!$B$1)&gt;3*[1]QC_indicators!$C$1,"DF","no"))),IF(ISNUMBER(BY1194),IF(ABS(BY1194-[1]QC_indicators!$B$1)&gt;3*[1]QC_indicators!$C$1,"DF","no")))</f>
        <v>0</v>
      </c>
      <c r="ER1194" s="296" t="s">
        <v>2173</v>
      </c>
      <c r="ET1194" s="266" t="s">
        <v>3409</v>
      </c>
    </row>
    <row r="1195" spans="1:150" ht="15" hidden="1" customHeight="1">
      <c r="A1195" s="1" t="s">
        <v>1362</v>
      </c>
      <c r="B1195" t="s">
        <v>2137</v>
      </c>
      <c r="C1195" t="s">
        <v>2138</v>
      </c>
      <c r="D1195" t="s">
        <v>2139</v>
      </c>
      <c r="E1195" t="s">
        <v>2140</v>
      </c>
      <c r="F1195" t="s">
        <v>2141</v>
      </c>
      <c r="G1195" t="s">
        <v>1368</v>
      </c>
      <c r="H1195" t="s">
        <v>255</v>
      </c>
      <c r="I1195">
        <v>2012</v>
      </c>
      <c r="J1195">
        <v>21</v>
      </c>
      <c r="K1195" t="s">
        <v>2142</v>
      </c>
      <c r="L1195" s="192"/>
      <c r="M1195" t="str">
        <f t="shared" ref="M1195:M1258" si="411">LEFT($D1195,FIND(",",$D1195)-1)&amp;"_"&amp;I1195&amp;L1195</f>
        <v>Pyorala_2012</v>
      </c>
      <c r="N1195" t="s">
        <v>223</v>
      </c>
      <c r="O1195" s="145" t="s">
        <v>342</v>
      </c>
      <c r="Q1195" s="266" t="s">
        <v>257</v>
      </c>
      <c r="R1195" s="271" t="s">
        <v>1156</v>
      </c>
      <c r="S1195" s="1" t="s">
        <v>2207</v>
      </c>
      <c r="T1195" t="s">
        <v>800</v>
      </c>
      <c r="U1195" t="s">
        <v>2170</v>
      </c>
      <c r="V1195">
        <v>0</v>
      </c>
      <c r="W1195">
        <v>0</v>
      </c>
      <c r="X1195">
        <v>0</v>
      </c>
      <c r="Y1195">
        <v>0</v>
      </c>
      <c r="Z1195">
        <v>0</v>
      </c>
      <c r="AA1195">
        <v>0</v>
      </c>
      <c r="AB1195">
        <v>0</v>
      </c>
      <c r="AC1195">
        <v>0</v>
      </c>
      <c r="AD1195">
        <v>0</v>
      </c>
      <c r="AE1195">
        <v>0</v>
      </c>
      <c r="AF1195">
        <v>0</v>
      </c>
      <c r="AG1195">
        <v>0</v>
      </c>
      <c r="AH1195">
        <v>0</v>
      </c>
      <c r="AI1195">
        <v>0</v>
      </c>
      <c r="AJ1195">
        <v>0</v>
      </c>
      <c r="AK1195">
        <v>1</v>
      </c>
      <c r="AL1195">
        <v>0</v>
      </c>
      <c r="AM1195">
        <v>0</v>
      </c>
      <c r="AN1195">
        <v>0</v>
      </c>
      <c r="AO1195">
        <v>0</v>
      </c>
      <c r="AP1195">
        <v>0</v>
      </c>
      <c r="AQ1195">
        <v>0</v>
      </c>
      <c r="AR1195">
        <v>0</v>
      </c>
      <c r="AS1195">
        <v>0</v>
      </c>
      <c r="AT1195">
        <v>0</v>
      </c>
      <c r="AU1195">
        <v>0</v>
      </c>
      <c r="AV1195">
        <v>0</v>
      </c>
      <c r="AW1195">
        <v>0</v>
      </c>
      <c r="AX1195" s="141">
        <f t="shared" si="379"/>
        <v>1</v>
      </c>
      <c r="AY1195" s="141">
        <f t="shared" si="399"/>
        <v>1</v>
      </c>
      <c r="AZ1195">
        <f t="shared" si="400"/>
        <v>0</v>
      </c>
      <c r="BA1195">
        <f t="shared" si="401"/>
        <v>0</v>
      </c>
      <c r="BB1195">
        <f t="shared" si="402"/>
        <v>1</v>
      </c>
      <c r="BC1195">
        <f t="shared" si="403"/>
        <v>0</v>
      </c>
      <c r="BD1195">
        <f t="shared" si="404"/>
        <v>0</v>
      </c>
      <c r="BE1195" t="str" cm="1">
        <f t="array" ref="BE1195">IF(AY1195=1,INDEX($V$7:$AL$7,MATCH(TRUE,INDEX($V1195:$AW1195&lt;&gt;0,),0)),IF(AY1195=0,INDEX($AM$7:$AW$7,MATCH(1,$AM1195:$AW1195,0)),IF(BF1195="Multiple strategies","mixed drivers",IF(BF1195="Supply chain","multiple supply","multiple silviculture"))))</f>
        <v>technologies/design switch</v>
      </c>
      <c r="BF1195" s="2" t="str" cm="1">
        <f t="array" ref="BF1195">IF(COUNTIF(AZ1195:BB1195,"&lt;&gt;0")=1,INDEX($V$4:$AW$4,MATCH(TRUE,INDEX($V1195:$AW1195&lt;&gt;0,),0)),IF(COUNTIF(AZ1195:BB1195,"&lt;&gt;0")=0,INDEX($AM$4:$AW$4,MATCH(1,$AM1195:$AW1195,0)),"Multiple strategies"))</f>
        <v>Technology</v>
      </c>
      <c r="BH1195" t="s">
        <v>2171</v>
      </c>
      <c r="BN1195" s="143"/>
      <c r="BP1195" s="266" t="s">
        <v>233</v>
      </c>
      <c r="BQ1195" s="266"/>
      <c r="BR1195" t="s">
        <v>2172</v>
      </c>
      <c r="BS1195">
        <v>-157</v>
      </c>
      <c r="BT1195">
        <v>-564</v>
      </c>
      <c r="BU1195" s="144">
        <v>1.653958944281525</v>
      </c>
      <c r="BV1195">
        <v>-223</v>
      </c>
      <c r="BX1195">
        <f t="shared" si="405"/>
        <v>-0.223</v>
      </c>
      <c r="BY1195" t="str">
        <f t="shared" si="378"/>
        <v/>
      </c>
      <c r="BZ1195">
        <v>0</v>
      </c>
      <c r="CA1195">
        <v>0</v>
      </c>
      <c r="CB1195">
        <v>0</v>
      </c>
      <c r="CC1195">
        <v>0</v>
      </c>
      <c r="CD1195">
        <v>0</v>
      </c>
      <c r="CE1195">
        <v>0</v>
      </c>
      <c r="CF1195">
        <v>0</v>
      </c>
      <c r="CG1195">
        <v>0</v>
      </c>
      <c r="CH1195">
        <v>0</v>
      </c>
      <c r="CI1195">
        <v>0</v>
      </c>
      <c r="CJ1195">
        <v>0</v>
      </c>
      <c r="CK1195">
        <v>0</v>
      </c>
      <c r="CL1195">
        <v>0</v>
      </c>
      <c r="CM1195">
        <v>0</v>
      </c>
      <c r="CN1195" t="str">
        <f t="shared" si="406"/>
        <v>refOK</v>
      </c>
      <c r="CO1195"/>
      <c r="CP1195"/>
      <c r="CQ1195"/>
      <c r="CR1195">
        <f t="shared" si="395"/>
        <v>-157</v>
      </c>
      <c r="CS1195">
        <f t="shared" si="396"/>
        <v>-564</v>
      </c>
      <c r="CT1195">
        <f t="shared" si="397"/>
        <v>-0.223</v>
      </c>
      <c r="CU1195" t="str">
        <f t="shared" si="365"/>
        <v/>
      </c>
      <c r="CV1195" s="2">
        <f t="shared" si="398"/>
        <v>-2.5923566878980893</v>
      </c>
      <c r="CW1195" s="1" t="s">
        <v>1201</v>
      </c>
      <c r="CX1195" s="266" t="str">
        <f t="shared" si="407"/>
        <v>reg</v>
      </c>
      <c r="CY1195" t="s">
        <v>236</v>
      </c>
      <c r="DB1195">
        <v>30</v>
      </c>
      <c r="DC1195" t="str">
        <f t="shared" si="408"/>
        <v>1-30</v>
      </c>
      <c r="DD1195">
        <v>0</v>
      </c>
      <c r="DE1195">
        <v>1</v>
      </c>
      <c r="DF1195">
        <v>0</v>
      </c>
      <c r="DG1195">
        <v>0</v>
      </c>
      <c r="DI1195">
        <f t="shared" si="391"/>
        <v>1</v>
      </c>
      <c r="DJ1195" t="str">
        <f t="shared" ref="DJ1195:DJ1258" si="412">IF(DI1195=1,INDEX($DD$7:$DG$7,MATCH(1,$DD1195:$DG1195,0)),"mixedProduct")</f>
        <v>EnergyInput</v>
      </c>
      <c r="DK1195">
        <f t="shared" si="383"/>
        <v>0</v>
      </c>
      <c r="DL1195" t="str">
        <f t="shared" si="384"/>
        <v>Energy</v>
      </c>
      <c r="DM1195">
        <f t="shared" si="385"/>
        <v>0</v>
      </c>
      <c r="DN1195">
        <f t="shared" si="386"/>
        <v>0</v>
      </c>
      <c r="DO1195">
        <v>0</v>
      </c>
      <c r="DP1195">
        <v>1</v>
      </c>
      <c r="DQ1195" t="s">
        <v>2148</v>
      </c>
      <c r="DR1195">
        <v>0</v>
      </c>
      <c r="DS1195">
        <v>0</v>
      </c>
      <c r="DT1195">
        <f t="shared" si="371"/>
        <v>1</v>
      </c>
      <c r="DU1195" s="143" t="str">
        <f t="shared" si="410"/>
        <v>external DF used</v>
      </c>
      <c r="DV1195">
        <v>1</v>
      </c>
      <c r="DW1195">
        <v>1</v>
      </c>
      <c r="DX1195">
        <v>1</v>
      </c>
      <c r="DY1195">
        <v>1</v>
      </c>
      <c r="DZ1195">
        <v>1</v>
      </c>
      <c r="EA1195">
        <v>0</v>
      </c>
      <c r="EB1195">
        <v>1</v>
      </c>
      <c r="EC1195">
        <v>1</v>
      </c>
      <c r="ED1195">
        <v>0</v>
      </c>
      <c r="EE1195">
        <v>0</v>
      </c>
      <c r="EF1195">
        <v>1</v>
      </c>
      <c r="EG1195">
        <v>0</v>
      </c>
      <c r="EH1195">
        <v>0</v>
      </c>
      <c r="EI1195" s="2">
        <v>0</v>
      </c>
      <c r="EK1195" t="str">
        <f t="shared" si="387"/>
        <v>Whole sector</v>
      </c>
      <c r="EL1195" t="str">
        <f t="shared" si="388"/>
        <v/>
      </c>
      <c r="EM1195" s="2" t="str">
        <f t="shared" si="409"/>
        <v/>
      </c>
      <c r="EP1195" t="b">
        <f>IF(ISNUMBER(BU1195),IF(ABS(BU1195-[1]QC_indicators!$B$2)&gt;3*[1]QC_indicators!$C$2,"C ratio",IF(ISNUMBER(BY1195),IF(ABS(BY1195-[1]QC_indicators!$B$1)&gt;3*[1]QC_indicators!$C$1,"DF","no"))),IF(ISNUMBER(BY1195),IF(ABS(BY1195-[1]QC_indicators!$B$1)&gt;3*[1]QC_indicators!$C$1,"DF","no")))</f>
        <v>0</v>
      </c>
      <c r="ER1195" s="296" t="s">
        <v>2173</v>
      </c>
      <c r="ET1195" s="266" t="s">
        <v>3409</v>
      </c>
    </row>
    <row r="1196" spans="1:150" ht="15" hidden="1" customHeight="1">
      <c r="A1196" s="1" t="s">
        <v>588</v>
      </c>
      <c r="B1196" t="s">
        <v>589</v>
      </c>
      <c r="C1196" t="s">
        <v>590</v>
      </c>
      <c r="D1196" t="s">
        <v>591</v>
      </c>
      <c r="E1196" t="s">
        <v>592</v>
      </c>
      <c r="F1196" t="s">
        <v>593</v>
      </c>
      <c r="G1196" t="s">
        <v>594</v>
      </c>
      <c r="H1196" t="s">
        <v>255</v>
      </c>
      <c r="I1196">
        <v>2021</v>
      </c>
      <c r="J1196">
        <v>17</v>
      </c>
      <c r="K1196" t="s">
        <v>595</v>
      </c>
      <c r="M1196" t="str">
        <f t="shared" si="411"/>
        <v>D'Amico_2021</v>
      </c>
      <c r="N1196" t="s">
        <v>223</v>
      </c>
      <c r="O1196" s="145" t="s">
        <v>224</v>
      </c>
      <c r="Q1196" s="266" t="s">
        <v>257</v>
      </c>
      <c r="R1196" s="271" t="s">
        <v>1156</v>
      </c>
      <c r="S1196" s="1" t="s">
        <v>596</v>
      </c>
      <c r="T1196" t="s">
        <v>259</v>
      </c>
      <c r="U1196" t="s">
        <v>260</v>
      </c>
      <c r="V1196">
        <v>0</v>
      </c>
      <c r="W1196">
        <v>0</v>
      </c>
      <c r="X1196">
        <v>0</v>
      </c>
      <c r="Y1196">
        <v>0</v>
      </c>
      <c r="Z1196">
        <v>0</v>
      </c>
      <c r="AA1196">
        <v>0</v>
      </c>
      <c r="AB1196">
        <v>0</v>
      </c>
      <c r="AC1196">
        <v>0</v>
      </c>
      <c r="AD1196">
        <v>0</v>
      </c>
      <c r="AE1196">
        <v>0</v>
      </c>
      <c r="AF1196">
        <v>0</v>
      </c>
      <c r="AG1196">
        <v>0</v>
      </c>
      <c r="AH1196">
        <v>0</v>
      </c>
      <c r="AI1196">
        <v>0</v>
      </c>
      <c r="AJ1196">
        <v>0</v>
      </c>
      <c r="AK1196">
        <v>1</v>
      </c>
      <c r="AL1196">
        <v>0</v>
      </c>
      <c r="AM1196">
        <v>0</v>
      </c>
      <c r="AN1196">
        <v>0</v>
      </c>
      <c r="AO1196">
        <v>0</v>
      </c>
      <c r="AP1196">
        <v>0</v>
      </c>
      <c r="AQ1196">
        <v>0</v>
      </c>
      <c r="AR1196">
        <v>0</v>
      </c>
      <c r="AS1196">
        <v>0</v>
      </c>
      <c r="AT1196">
        <v>0</v>
      </c>
      <c r="AU1196">
        <v>0</v>
      </c>
      <c r="AV1196">
        <v>0</v>
      </c>
      <c r="AW1196">
        <v>0</v>
      </c>
      <c r="AX1196" s="141">
        <f t="shared" si="379"/>
        <v>1</v>
      </c>
      <c r="AY1196" s="141">
        <f t="shared" si="399"/>
        <v>1</v>
      </c>
      <c r="AZ1196">
        <f t="shared" si="400"/>
        <v>0</v>
      </c>
      <c r="BA1196">
        <f t="shared" si="401"/>
        <v>0</v>
      </c>
      <c r="BB1196">
        <f t="shared" si="402"/>
        <v>1</v>
      </c>
      <c r="BC1196">
        <f t="shared" si="403"/>
        <v>0</v>
      </c>
      <c r="BD1196">
        <f t="shared" si="404"/>
        <v>0</v>
      </c>
      <c r="BE1196" t="str" cm="1">
        <f t="array" ref="BE1196">IF(AY1196=1,INDEX($V$7:$AL$7,MATCH(TRUE,INDEX($V1196:$AW1196&lt;&gt;0,),0)),IF(AY1196=0,INDEX($AM$7:$AW$7,MATCH(1,$AM1196:$AW1196,0)),IF(BF1196="Multiple strategies","mixed drivers",IF(BF1196="Supply chain","multiple supply","multiple silviculture"))))</f>
        <v>technologies/design switch</v>
      </c>
      <c r="BF1196" s="2" t="str" cm="1">
        <f t="array" ref="BF1196">IF(COUNTIF(AZ1196:BB1196,"&lt;&gt;0")=1,INDEX($V$4:$AW$4,MATCH(TRUE,INDEX($V1196:$AW1196&lt;&gt;0,),0)),IF(COUNTIF(AZ1196:BB1196,"&lt;&gt;0")=0,INDEX($AM$4:$AW$4,MATCH(1,$AM1196:$AW1196,0)),"Multiple strategies"))</f>
        <v>Technology</v>
      </c>
      <c r="BG1196" s="1" t="s">
        <v>230</v>
      </c>
      <c r="BH1196" t="s">
        <v>597</v>
      </c>
      <c r="BJ1196" t="s">
        <v>598</v>
      </c>
      <c r="BK1196">
        <v>0</v>
      </c>
      <c r="BL1196">
        <v>33</v>
      </c>
      <c r="BN1196">
        <f t="shared" ref="BN1196:BN1241" si="413">BL1196-BK1196</f>
        <v>33</v>
      </c>
      <c r="BO1196">
        <f>BN1196*10^6*t_to_m3</f>
        <v>67346938.775510207</v>
      </c>
      <c r="BP1196" s="266" t="s">
        <v>233</v>
      </c>
      <c r="BQ1196" s="266"/>
      <c r="BR1196" t="s">
        <v>599</v>
      </c>
      <c r="BS1196">
        <v>-237</v>
      </c>
      <c r="BT1196">
        <v>-185.5</v>
      </c>
      <c r="BU1196" s="144">
        <v>0.78270042194092826</v>
      </c>
      <c r="BV1196">
        <v>51.5</v>
      </c>
      <c r="BX1196">
        <f>BV1196*10^6</f>
        <v>51500000</v>
      </c>
      <c r="BY1196">
        <f t="shared" si="378"/>
        <v>0.76469696969696965</v>
      </c>
      <c r="BZ1196">
        <v>0</v>
      </c>
      <c r="CA1196">
        <v>0</v>
      </c>
      <c r="CB1196">
        <v>0</v>
      </c>
      <c r="CC1196">
        <v>0</v>
      </c>
      <c r="CD1196">
        <v>0</v>
      </c>
      <c r="CE1196">
        <v>0</v>
      </c>
      <c r="CF1196">
        <v>0</v>
      </c>
      <c r="CG1196">
        <v>0</v>
      </c>
      <c r="CH1196">
        <v>0</v>
      </c>
      <c r="CI1196">
        <v>0</v>
      </c>
      <c r="CJ1196">
        <v>0</v>
      </c>
      <c r="CK1196">
        <v>0</v>
      </c>
      <c r="CL1196">
        <v>0</v>
      </c>
      <c r="CM1196">
        <v>0</v>
      </c>
      <c r="CN1196" t="str">
        <f t="shared" ref="CN1196:CN1203" si="414">IF($BL1196&lt;$BK1196,"refNeedCorrection","refOK")</f>
        <v>refOK</v>
      </c>
      <c r="CO1196">
        <f t="shared" ref="CO1196:CO1202" si="415">IF($CN1196="refOK",$BK1196,$BL1196)</f>
        <v>0</v>
      </c>
      <c r="CP1196">
        <f t="shared" ref="CP1196:CP1202" si="416">IF($CN1196="refOK",$BL1196,$BK1196)</f>
        <v>33</v>
      </c>
      <c r="CQ1196">
        <f t="shared" ref="CQ1196:CQ1241" si="417">IF($CN1196="refOK",$BO1196,-$BO1196)</f>
        <v>67346938.775510207</v>
      </c>
      <c r="CR1196">
        <f t="shared" si="395"/>
        <v>-237</v>
      </c>
      <c r="CS1196">
        <f t="shared" si="396"/>
        <v>-185.5</v>
      </c>
      <c r="CT1196">
        <f t="shared" si="397"/>
        <v>51500000</v>
      </c>
      <c r="CU1196">
        <f t="shared" si="365"/>
        <v>0.76469696969696965</v>
      </c>
      <c r="CV1196" s="2">
        <f t="shared" si="398"/>
        <v>0.21729957805907174</v>
      </c>
      <c r="CW1196" s="1" t="s">
        <v>264</v>
      </c>
      <c r="CX1196" s="266" t="str">
        <f t="shared" si="407"/>
        <v>loc</v>
      </c>
      <c r="CY1196" t="s">
        <v>600</v>
      </c>
      <c r="CZ1196">
        <v>2020</v>
      </c>
      <c r="DA1196">
        <v>2050</v>
      </c>
      <c r="DB1196">
        <f>DA1196-CZ1196</f>
        <v>30</v>
      </c>
      <c r="DC1196" t="str">
        <f t="shared" si="408"/>
        <v>1-30</v>
      </c>
      <c r="DD1196">
        <v>0</v>
      </c>
      <c r="DE1196">
        <v>0</v>
      </c>
      <c r="DF1196">
        <v>0</v>
      </c>
      <c r="DG1196">
        <v>1</v>
      </c>
      <c r="DI1196">
        <f t="shared" si="391"/>
        <v>1</v>
      </c>
      <c r="DJ1196" t="str">
        <f t="shared" si="412"/>
        <v>TimberInput</v>
      </c>
      <c r="DK1196">
        <f t="shared" si="383"/>
        <v>0</v>
      </c>
      <c r="DL1196">
        <f t="shared" si="384"/>
        <v>0</v>
      </c>
      <c r="DM1196">
        <f t="shared" si="385"/>
        <v>0</v>
      </c>
      <c r="DN1196" t="str">
        <f t="shared" si="386"/>
        <v>Timber</v>
      </c>
      <c r="DO1196">
        <v>0</v>
      </c>
      <c r="DP1196">
        <v>0</v>
      </c>
      <c r="DQ1196">
        <v>0</v>
      </c>
      <c r="DR1196">
        <v>0</v>
      </c>
      <c r="DS1196">
        <v>0</v>
      </c>
      <c r="DT1196">
        <f t="shared" si="371"/>
        <v>0</v>
      </c>
      <c r="DU1196" s="143" t="str">
        <f t="shared" si="410"/>
        <v>explicit C balance</v>
      </c>
      <c r="DV1196">
        <v>0</v>
      </c>
      <c r="DW1196">
        <v>0</v>
      </c>
      <c r="DX1196">
        <v>0</v>
      </c>
      <c r="DY1196">
        <v>0</v>
      </c>
      <c r="DZ1196">
        <v>0</v>
      </c>
      <c r="EA1196" s="143">
        <v>0</v>
      </c>
      <c r="EB1196">
        <v>1</v>
      </c>
      <c r="EC1196">
        <v>1</v>
      </c>
      <c r="ED1196">
        <v>0</v>
      </c>
      <c r="EE1196">
        <v>1</v>
      </c>
      <c r="EF1196">
        <v>0</v>
      </c>
      <c r="EG1196">
        <v>0</v>
      </c>
      <c r="EH1196">
        <v>0</v>
      </c>
      <c r="EI1196" s="2">
        <v>0</v>
      </c>
      <c r="EK1196" t="str">
        <f t="shared" si="387"/>
        <v/>
      </c>
      <c r="EL1196" t="str">
        <f t="shared" si="388"/>
        <v/>
      </c>
      <c r="EM1196" s="2" t="str">
        <f t="shared" si="409"/>
        <v>Technology approach</v>
      </c>
      <c r="EP1196" t="str">
        <f>IF(ISNUMBER(BU1196),IF(ABS(BU1196-[1]QC_indicators!$B$2)&gt;3*[1]QC_indicators!$C$2,"C ratio",IF(ISNUMBER(BY1196),IF(ABS(BY1196-[1]QC_indicators!$B$1)&gt;3*[1]QC_indicators!$C$1,"DF","no"))),IF(ISNUMBER(BY1196),IF(ABS(BY1196-[1]QC_indicators!$B$1)&gt;3*[1]QC_indicators!$C$1,"DF","no")))</f>
        <v>no</v>
      </c>
      <c r="ER1196" s="296" t="s">
        <v>350</v>
      </c>
      <c r="ET1196" s="266" t="s">
        <v>3409</v>
      </c>
    </row>
    <row r="1197" spans="1:150" ht="15" hidden="1" customHeight="1">
      <c r="A1197" s="1" t="s">
        <v>506</v>
      </c>
      <c r="B1197" t="s">
        <v>507</v>
      </c>
      <c r="C1197" t="s">
        <v>508</v>
      </c>
      <c r="D1197" t="s">
        <v>509</v>
      </c>
      <c r="E1197" t="s">
        <v>510</v>
      </c>
      <c r="F1197" t="s">
        <v>511</v>
      </c>
      <c r="G1197" t="s">
        <v>512</v>
      </c>
      <c r="H1197" t="s">
        <v>255</v>
      </c>
      <c r="I1197">
        <v>2021</v>
      </c>
      <c r="J1197">
        <v>7</v>
      </c>
      <c r="K1197" t="s">
        <v>513</v>
      </c>
      <c r="M1197" t="str">
        <f t="shared" si="411"/>
        <v>Caldas_2021</v>
      </c>
      <c r="N1197" t="s">
        <v>223</v>
      </c>
      <c r="O1197" s="145" t="s">
        <v>224</v>
      </c>
      <c r="P1197" t="s">
        <v>514</v>
      </c>
      <c r="Q1197" s="266" t="s">
        <v>257</v>
      </c>
      <c r="R1197" s="271" t="s">
        <v>1156</v>
      </c>
      <c r="S1197" s="1" t="s">
        <v>518</v>
      </c>
      <c r="T1197" t="s">
        <v>527</v>
      </c>
      <c r="U1197" t="s">
        <v>528</v>
      </c>
      <c r="V1197">
        <v>0</v>
      </c>
      <c r="W1197">
        <v>0</v>
      </c>
      <c r="X1197">
        <v>0</v>
      </c>
      <c r="Y1197">
        <v>0</v>
      </c>
      <c r="Z1197">
        <v>0</v>
      </c>
      <c r="AA1197">
        <v>0</v>
      </c>
      <c r="AB1197">
        <v>0</v>
      </c>
      <c r="AC1197">
        <v>0</v>
      </c>
      <c r="AD1197">
        <v>0</v>
      </c>
      <c r="AE1197">
        <v>0</v>
      </c>
      <c r="AF1197">
        <v>0</v>
      </c>
      <c r="AG1197">
        <v>0</v>
      </c>
      <c r="AH1197">
        <v>0</v>
      </c>
      <c r="AI1197">
        <v>0</v>
      </c>
      <c r="AJ1197">
        <v>0</v>
      </c>
      <c r="AK1197">
        <v>1</v>
      </c>
      <c r="AL1197">
        <v>0</v>
      </c>
      <c r="AM1197">
        <v>0</v>
      </c>
      <c r="AN1197">
        <v>0</v>
      </c>
      <c r="AO1197">
        <v>0</v>
      </c>
      <c r="AP1197">
        <v>0</v>
      </c>
      <c r="AQ1197">
        <v>0</v>
      </c>
      <c r="AR1197">
        <v>0</v>
      </c>
      <c r="AS1197">
        <v>0</v>
      </c>
      <c r="AT1197">
        <v>0</v>
      </c>
      <c r="AU1197">
        <v>0</v>
      </c>
      <c r="AV1197">
        <v>0</v>
      </c>
      <c r="AW1197">
        <v>0</v>
      </c>
      <c r="AX1197" s="141">
        <f t="shared" si="379"/>
        <v>1</v>
      </c>
      <c r="AY1197" s="141">
        <f t="shared" si="399"/>
        <v>1</v>
      </c>
      <c r="AZ1197">
        <f t="shared" si="400"/>
        <v>0</v>
      </c>
      <c r="BA1197">
        <f t="shared" si="401"/>
        <v>0</v>
      </c>
      <c r="BB1197">
        <f t="shared" si="402"/>
        <v>1</v>
      </c>
      <c r="BC1197">
        <f t="shared" si="403"/>
        <v>0</v>
      </c>
      <c r="BD1197">
        <f t="shared" si="404"/>
        <v>0</v>
      </c>
      <c r="BE1197" t="str" cm="1">
        <f t="array" ref="BE1197">IF(AY1197=1,INDEX($V$7:$AL$7,MATCH(TRUE,INDEX($V1197:$AW1197&lt;&gt;0,),0)),IF(AY1197=0,INDEX($AM$7:$AW$7,MATCH(1,$AM1197:$AW1197,0)),IF(BF1197="Multiple strategies","mixed drivers",IF(BF1197="Supply chain","multiple supply","multiple silviculture"))))</f>
        <v>technologies/design switch</v>
      </c>
      <c r="BF1197" s="2" t="str" cm="1">
        <f t="array" ref="BF1197">IF(COUNTIF(AZ1197:BB1197,"&lt;&gt;0")=1,INDEX($V$4:$AW$4,MATCH(TRUE,INDEX($V1197:$AW1197&lt;&gt;0,),0)),IF(COUNTIF(AZ1197:BB1197,"&lt;&gt;0")=0,INDEX($AM$4:$AW$4,MATCH(1,$AM1197:$AW1197,0)),"Multiple strategies"))</f>
        <v>Technology</v>
      </c>
      <c r="BG1197" s="1" t="s">
        <v>230</v>
      </c>
      <c r="BH1197" t="s">
        <v>518</v>
      </c>
      <c r="BJ1197" t="s">
        <v>519</v>
      </c>
      <c r="BK1197">
        <v>140</v>
      </c>
      <c r="BL1197">
        <v>247</v>
      </c>
      <c r="BN1197">
        <f t="shared" si="413"/>
        <v>107</v>
      </c>
      <c r="BO1197">
        <f>BN1197*kg_to_m3</f>
        <v>0.21836734693877552</v>
      </c>
      <c r="BP1197" s="266" t="s">
        <v>233</v>
      </c>
      <c r="BQ1197" s="266"/>
      <c r="BR1197" t="s">
        <v>520</v>
      </c>
      <c r="BS1197">
        <v>-298.96907216494799</v>
      </c>
      <c r="BT1197">
        <v>-103.092783505154</v>
      </c>
      <c r="BU1197" s="144">
        <v>0.34482758620689496</v>
      </c>
      <c r="BV1197">
        <v>195.876288659794</v>
      </c>
      <c r="BX1197">
        <f t="shared" ref="BX1197:BX1202" si="418">BV1197/1000</f>
        <v>0.19587628865979401</v>
      </c>
      <c r="BY1197">
        <f t="shared" si="378"/>
        <v>0.89700356489064537</v>
      </c>
      <c r="BZ1197" s="143">
        <v>0</v>
      </c>
      <c r="CA1197" s="143">
        <v>0</v>
      </c>
      <c r="CB1197" s="143">
        <v>0</v>
      </c>
      <c r="CC1197" s="143">
        <v>0</v>
      </c>
      <c r="CD1197" s="143">
        <v>0</v>
      </c>
      <c r="CE1197" s="143">
        <v>0</v>
      </c>
      <c r="CF1197" s="143">
        <v>0</v>
      </c>
      <c r="CG1197" s="143">
        <v>0</v>
      </c>
      <c r="CH1197" s="143">
        <v>0</v>
      </c>
      <c r="CI1197" s="143">
        <v>0</v>
      </c>
      <c r="CJ1197" s="143">
        <v>0</v>
      </c>
      <c r="CK1197" s="143">
        <v>0</v>
      </c>
      <c r="CL1197" s="143">
        <v>0</v>
      </c>
      <c r="CM1197">
        <v>0</v>
      </c>
      <c r="CN1197" t="str">
        <f t="shared" si="414"/>
        <v>refOK</v>
      </c>
      <c r="CO1197">
        <f t="shared" si="415"/>
        <v>140</v>
      </c>
      <c r="CP1197">
        <f t="shared" si="416"/>
        <v>247</v>
      </c>
      <c r="CQ1197">
        <f t="shared" si="417"/>
        <v>0.21836734693877552</v>
      </c>
      <c r="CR1197">
        <f t="shared" si="395"/>
        <v>-298.96907216494799</v>
      </c>
      <c r="CS1197">
        <f t="shared" si="396"/>
        <v>-103.092783505154</v>
      </c>
      <c r="CT1197">
        <f t="shared" si="397"/>
        <v>0.19587628865979401</v>
      </c>
      <c r="CU1197">
        <f t="shared" ref="CU1197:CU1260" si="419">IFERROR(CT1197/CQ1197,"")</f>
        <v>0.89700356489064537</v>
      </c>
      <c r="CV1197" s="2">
        <f t="shared" si="398"/>
        <v>0.65517241379310509</v>
      </c>
      <c r="CW1197" s="1" t="s">
        <v>264</v>
      </c>
      <c r="CX1197" s="266" t="str">
        <f t="shared" si="407"/>
        <v>loc</v>
      </c>
      <c r="CY1197" t="s">
        <v>521</v>
      </c>
      <c r="CZ1197">
        <v>2014</v>
      </c>
      <c r="DA1197">
        <v>2014</v>
      </c>
      <c r="DB1197">
        <f>DA1197-CZ1197</f>
        <v>0</v>
      </c>
      <c r="DC1197" t="str">
        <f t="shared" si="408"/>
        <v>0</v>
      </c>
      <c r="DD1197">
        <v>0</v>
      </c>
      <c r="DE1197">
        <v>0</v>
      </c>
      <c r="DF1197">
        <v>0</v>
      </c>
      <c r="DG1197">
        <v>1</v>
      </c>
      <c r="DI1197">
        <f t="shared" ref="DI1197:DI1202" si="420">SUM(DD1197:DG1197)</f>
        <v>1</v>
      </c>
      <c r="DJ1197" t="str">
        <f t="shared" si="412"/>
        <v>TimberInput</v>
      </c>
      <c r="DK1197">
        <f t="shared" si="383"/>
        <v>0</v>
      </c>
      <c r="DL1197">
        <f t="shared" si="384"/>
        <v>0</v>
      </c>
      <c r="DM1197">
        <f t="shared" si="385"/>
        <v>0</v>
      </c>
      <c r="DN1197" t="str">
        <f t="shared" si="386"/>
        <v>Timber</v>
      </c>
      <c r="DO1197">
        <v>0</v>
      </c>
      <c r="DP1197" s="143">
        <v>0</v>
      </c>
      <c r="DQ1197" s="143">
        <v>0</v>
      </c>
      <c r="DR1197" s="143">
        <v>0</v>
      </c>
      <c r="DS1197">
        <v>0</v>
      </c>
      <c r="DT1197">
        <f t="shared" si="371"/>
        <v>0</v>
      </c>
      <c r="DU1197" s="143" t="str">
        <f t="shared" si="410"/>
        <v>explicit C balance</v>
      </c>
      <c r="DV1197">
        <v>0</v>
      </c>
      <c r="DW1197" s="143">
        <v>0</v>
      </c>
      <c r="DX1197" s="143">
        <v>0</v>
      </c>
      <c r="DY1197" s="143">
        <v>0</v>
      </c>
      <c r="DZ1197">
        <v>1</v>
      </c>
      <c r="EA1197" s="143">
        <v>1</v>
      </c>
      <c r="EB1197">
        <v>0</v>
      </c>
      <c r="EC1197" s="143">
        <v>1</v>
      </c>
      <c r="ED1197" s="143">
        <v>0</v>
      </c>
      <c r="EE1197">
        <v>0</v>
      </c>
      <c r="EF1197">
        <v>0</v>
      </c>
      <c r="EG1197" s="143">
        <v>0</v>
      </c>
      <c r="EH1197" s="143">
        <v>0</v>
      </c>
      <c r="EI1197" s="2">
        <v>0</v>
      </c>
      <c r="EK1197" t="str">
        <f t="shared" si="387"/>
        <v/>
      </c>
      <c r="EL1197" t="str">
        <f t="shared" si="388"/>
        <v/>
      </c>
      <c r="EM1197" s="2" t="str">
        <f t="shared" si="409"/>
        <v/>
      </c>
      <c r="EP1197" t="str">
        <f>IF(ISNUMBER(BU1197),IF(ABS(BU1197-[1]QC_indicators!$B$2)&gt;3*[1]QC_indicators!$C$2,"C ratio",IF(ISNUMBER(BY1197),IF(ABS(BY1197-[1]QC_indicators!$B$1)&gt;3*[1]QC_indicators!$C$1,"DF","no"))),IF(ISNUMBER(BY1197),IF(ABS(BY1197-[1]QC_indicators!$B$1)&gt;3*[1]QC_indicators!$C$1,"DF","no")))</f>
        <v>no</v>
      </c>
      <c r="ER1197" s="296" t="s">
        <v>350</v>
      </c>
      <c r="ET1197" s="266" t="s">
        <v>3409</v>
      </c>
    </row>
    <row r="1198" spans="1:150" ht="15" hidden="1" customHeight="1">
      <c r="A1198" s="1" t="s">
        <v>399</v>
      </c>
      <c r="B1198" t="s">
        <v>899</v>
      </c>
      <c r="C1198" t="s">
        <v>900</v>
      </c>
      <c r="D1198" t="s">
        <v>901</v>
      </c>
      <c r="E1198" t="s">
        <v>902</v>
      </c>
      <c r="F1198" t="s">
        <v>903</v>
      </c>
      <c r="G1198" t="s">
        <v>405</v>
      </c>
      <c r="H1198" t="s">
        <v>255</v>
      </c>
      <c r="I1198">
        <v>2022</v>
      </c>
      <c r="J1198">
        <v>0</v>
      </c>
      <c r="K1198" t="s">
        <v>904</v>
      </c>
      <c r="M1198" t="str">
        <f t="shared" si="411"/>
        <v>Lei_2022</v>
      </c>
      <c r="N1198" t="s">
        <v>223</v>
      </c>
      <c r="O1198" s="161" t="s">
        <v>224</v>
      </c>
      <c r="Q1198" s="266" t="s">
        <v>390</v>
      </c>
      <c r="R1198" s="271" t="s">
        <v>1156</v>
      </c>
      <c r="S1198" s="154" t="s">
        <v>258</v>
      </c>
      <c r="T1198" s="296" t="s">
        <v>259</v>
      </c>
      <c r="U1198" s="266" t="s">
        <v>260</v>
      </c>
      <c r="V1198">
        <v>0</v>
      </c>
      <c r="W1198">
        <v>0</v>
      </c>
      <c r="X1198">
        <v>0</v>
      </c>
      <c r="Y1198">
        <v>0</v>
      </c>
      <c r="Z1198">
        <v>0</v>
      </c>
      <c r="AA1198">
        <v>0</v>
      </c>
      <c r="AB1198">
        <v>0</v>
      </c>
      <c r="AC1198">
        <v>0</v>
      </c>
      <c r="AD1198">
        <v>0</v>
      </c>
      <c r="AE1198">
        <v>0</v>
      </c>
      <c r="AF1198">
        <v>0</v>
      </c>
      <c r="AG1198">
        <v>0</v>
      </c>
      <c r="AH1198">
        <v>0</v>
      </c>
      <c r="AI1198">
        <v>0</v>
      </c>
      <c r="AJ1198">
        <v>0</v>
      </c>
      <c r="AK1198">
        <v>1</v>
      </c>
      <c r="AL1198">
        <v>0</v>
      </c>
      <c r="AM1198">
        <v>0</v>
      </c>
      <c r="AN1198">
        <v>0</v>
      </c>
      <c r="AO1198">
        <v>0</v>
      </c>
      <c r="AP1198">
        <v>0</v>
      </c>
      <c r="AQ1198">
        <v>0</v>
      </c>
      <c r="AR1198">
        <v>0</v>
      </c>
      <c r="AS1198">
        <v>0</v>
      </c>
      <c r="AT1198">
        <v>0</v>
      </c>
      <c r="AU1198">
        <v>0</v>
      </c>
      <c r="AV1198">
        <v>0</v>
      </c>
      <c r="AW1198">
        <v>0</v>
      </c>
      <c r="AX1198" s="141">
        <f t="shared" si="379"/>
        <v>1</v>
      </c>
      <c r="AY1198" s="141">
        <f t="shared" si="399"/>
        <v>1</v>
      </c>
      <c r="AZ1198">
        <f t="shared" si="400"/>
        <v>0</v>
      </c>
      <c r="BA1198">
        <f t="shared" si="401"/>
        <v>0</v>
      </c>
      <c r="BB1198">
        <f t="shared" si="402"/>
        <v>1</v>
      </c>
      <c r="BC1198">
        <f t="shared" si="403"/>
        <v>0</v>
      </c>
      <c r="BD1198">
        <f t="shared" si="404"/>
        <v>0</v>
      </c>
      <c r="BE1198" t="str" cm="1">
        <f t="array" ref="BE1198">IF(AY1198=1,INDEX($V$7:$AL$7,MATCH(TRUE,INDEX($V1198:$AW1198&lt;&gt;0,),0)),IF(AY1198=0,INDEX($AM$7:$AW$7,MATCH(1,$AM1198:$AW1198,0)),IF(BF1198="Multiple strategies","mixed drivers",IF(BF1198="Supply chain","multiple supply","multiple silviculture"))))</f>
        <v>technologies/design switch</v>
      </c>
      <c r="BF1198" s="2" t="str" cm="1">
        <f t="array" ref="BF1198">IF(COUNTIF(AZ1198:BB1198,"&lt;&gt;0")=1,INDEX($V$4:$AW$4,MATCH(TRUE,INDEX($V1198:$AW1198&lt;&gt;0,),0)),IF(COUNTIF(AZ1198:BB1198,"&lt;&gt;0")=0,INDEX($AM$4:$AW$4,MATCH(1,$AM1198:$AW1198,0)),"Multiple strategies"))</f>
        <v>Technology</v>
      </c>
      <c r="BG1198" s="1" t="s">
        <v>230</v>
      </c>
      <c r="BH1198" s="266" t="s">
        <v>905</v>
      </c>
      <c r="BI1198" s="266" t="s">
        <v>411</v>
      </c>
      <c r="BJ1198" s="266" t="s">
        <v>906</v>
      </c>
      <c r="BK1198">
        <v>0</v>
      </c>
      <c r="BL1198">
        <f>(119193+8552)/1248</f>
        <v>102.35977564102564</v>
      </c>
      <c r="BN1198">
        <f t="shared" si="413"/>
        <v>102.35977564102564</v>
      </c>
      <c r="BO1198">
        <f>BN1198</f>
        <v>102.35977564102564</v>
      </c>
      <c r="BP1198" t="s">
        <v>396</v>
      </c>
      <c r="BR1198" s="266" t="s">
        <v>263</v>
      </c>
      <c r="BS1198">
        <v>488</v>
      </c>
      <c r="BT1198">
        <v>280</v>
      </c>
      <c r="BV1198">
        <f>BT1198-BS1198</f>
        <v>-208</v>
      </c>
      <c r="BX1198">
        <f t="shared" si="418"/>
        <v>-0.20799999999999999</v>
      </c>
      <c r="BY1198">
        <f t="shared" si="378"/>
        <v>-2.0320482210654037E-3</v>
      </c>
      <c r="BZ1198">
        <v>0</v>
      </c>
      <c r="CA1198">
        <v>0</v>
      </c>
      <c r="CB1198">
        <v>0</v>
      </c>
      <c r="CC1198">
        <v>0</v>
      </c>
      <c r="CD1198">
        <v>0</v>
      </c>
      <c r="CE1198">
        <v>0</v>
      </c>
      <c r="CF1198">
        <v>0</v>
      </c>
      <c r="CG1198">
        <v>0</v>
      </c>
      <c r="CH1198">
        <v>0</v>
      </c>
      <c r="CI1198">
        <v>0</v>
      </c>
      <c r="CJ1198">
        <v>0</v>
      </c>
      <c r="CK1198">
        <v>0</v>
      </c>
      <c r="CL1198">
        <v>0</v>
      </c>
      <c r="CM1198">
        <v>0</v>
      </c>
      <c r="CN1198" t="str">
        <f t="shared" si="414"/>
        <v>refOK</v>
      </c>
      <c r="CO1198">
        <f t="shared" si="415"/>
        <v>0</v>
      </c>
      <c r="CP1198">
        <f t="shared" si="416"/>
        <v>102.35977564102564</v>
      </c>
      <c r="CQ1198">
        <f t="shared" si="417"/>
        <v>102.35977564102564</v>
      </c>
      <c r="CR1198">
        <f t="shared" si="395"/>
        <v>-488</v>
      </c>
      <c r="CS1198">
        <f t="shared" si="396"/>
        <v>-280</v>
      </c>
      <c r="CT1198">
        <f t="shared" si="397"/>
        <v>0.20799999999999999</v>
      </c>
      <c r="CU1198">
        <f t="shared" si="419"/>
        <v>2.0320482210654037E-3</v>
      </c>
      <c r="CV1198" s="2">
        <f t="shared" si="398"/>
        <v>0.42622950819672129</v>
      </c>
      <c r="CW1198" s="265" t="s">
        <v>264</v>
      </c>
      <c r="CX1198" s="266" t="str">
        <f t="shared" si="407"/>
        <v>loc</v>
      </c>
      <c r="CY1198" s="266" t="s">
        <v>575</v>
      </c>
      <c r="DB1198">
        <v>0</v>
      </c>
      <c r="DC1198" t="str">
        <f t="shared" si="408"/>
        <v>0</v>
      </c>
      <c r="DD1198">
        <v>0</v>
      </c>
      <c r="DE1198">
        <v>0</v>
      </c>
      <c r="DF1198">
        <v>0</v>
      </c>
      <c r="DG1198">
        <v>1</v>
      </c>
      <c r="DH1198">
        <v>0</v>
      </c>
      <c r="DI1198">
        <f t="shared" si="420"/>
        <v>1</v>
      </c>
      <c r="DJ1198" t="str">
        <f t="shared" si="412"/>
        <v>TimberInput</v>
      </c>
      <c r="DK1198">
        <f t="shared" si="383"/>
        <v>0</v>
      </c>
      <c r="DL1198">
        <f t="shared" si="384"/>
        <v>0</v>
      </c>
      <c r="DM1198">
        <f t="shared" si="385"/>
        <v>0</v>
      </c>
      <c r="DN1198" t="str">
        <f t="shared" si="386"/>
        <v>Timber</v>
      </c>
      <c r="DO1198">
        <v>0</v>
      </c>
      <c r="DP1198">
        <v>0</v>
      </c>
      <c r="DQ1198">
        <v>0</v>
      </c>
      <c r="DR1198">
        <v>0</v>
      </c>
      <c r="DS1198">
        <v>0</v>
      </c>
      <c r="DT1198">
        <f t="shared" si="371"/>
        <v>0</v>
      </c>
      <c r="DU1198" s="143" t="str">
        <f t="shared" si="410"/>
        <v>explicit C balance</v>
      </c>
      <c r="DV1198">
        <v>0</v>
      </c>
      <c r="DW1198">
        <v>0</v>
      </c>
      <c r="DX1198">
        <v>0</v>
      </c>
      <c r="DY1198">
        <v>0</v>
      </c>
      <c r="DZ1198">
        <v>1</v>
      </c>
      <c r="EA1198">
        <v>1</v>
      </c>
      <c r="EB1198">
        <v>1</v>
      </c>
      <c r="EC1198" s="266">
        <v>1</v>
      </c>
      <c r="ED1198" s="266">
        <v>1</v>
      </c>
      <c r="EE1198" s="266">
        <v>1</v>
      </c>
      <c r="EF1198" s="266">
        <v>0</v>
      </c>
      <c r="EG1198" s="266">
        <v>0</v>
      </c>
      <c r="EH1198" s="266">
        <v>0</v>
      </c>
      <c r="EI1198" s="271">
        <v>0</v>
      </c>
      <c r="EK1198" t="str">
        <f t="shared" si="387"/>
        <v/>
      </c>
      <c r="EL1198" t="str">
        <f t="shared" si="388"/>
        <v/>
      </c>
      <c r="EM1198" s="2" t="str">
        <f t="shared" si="409"/>
        <v>Technology approach</v>
      </c>
      <c r="EP1198" t="str">
        <f>IF(ISNUMBER(BU1198),IF(ABS(BU1198-[1]QC_indicators!$B$2)&gt;3*[1]QC_indicators!$C$2,"C ratio",IF(ISNUMBER(BY1198),IF(ABS(BY1198-[1]QC_indicators!$B$1)&gt;3*[1]QC_indicators!$C$1,"DF","no"))),IF(ISNUMBER(BY1198),IF(ABS(BY1198-[1]QC_indicators!$B$1)&gt;3*[1]QC_indicators!$C$1,"DF","no")))</f>
        <v>no</v>
      </c>
      <c r="ET1198" s="266" t="s">
        <v>3409</v>
      </c>
    </row>
    <row r="1199" spans="1:150" ht="15" hidden="1" customHeight="1">
      <c r="A1199" s="1" t="s">
        <v>334</v>
      </c>
      <c r="B1199" t="s">
        <v>1083</v>
      </c>
      <c r="C1199" t="s">
        <v>1084</v>
      </c>
      <c r="D1199" t="s">
        <v>1085</v>
      </c>
      <c r="E1199" t="s">
        <v>1086</v>
      </c>
      <c r="F1199" t="s">
        <v>1087</v>
      </c>
      <c r="G1199" t="s">
        <v>340</v>
      </c>
      <c r="H1199" t="s">
        <v>255</v>
      </c>
      <c r="I1199">
        <v>2022</v>
      </c>
      <c r="J1199">
        <v>3</v>
      </c>
      <c r="K1199" t="s">
        <v>1088</v>
      </c>
      <c r="M1199" t="str">
        <f t="shared" si="411"/>
        <v>Robati_2022</v>
      </c>
      <c r="N1199" t="s">
        <v>223</v>
      </c>
      <c r="O1199" s="266" t="s">
        <v>224</v>
      </c>
      <c r="Q1199" s="266" t="s">
        <v>390</v>
      </c>
      <c r="R1199" s="271" t="s">
        <v>1156</v>
      </c>
      <c r="S1199" s="265" t="s">
        <v>1100</v>
      </c>
      <c r="T1199" s="266" t="s">
        <v>1101</v>
      </c>
      <c r="U1199" s="266" t="s">
        <v>1091</v>
      </c>
      <c r="V1199">
        <v>0</v>
      </c>
      <c r="W1199">
        <v>0</v>
      </c>
      <c r="X1199">
        <v>0</v>
      </c>
      <c r="Y1199">
        <v>0</v>
      </c>
      <c r="Z1199">
        <v>0</v>
      </c>
      <c r="AA1199">
        <v>0</v>
      </c>
      <c r="AB1199">
        <v>0</v>
      </c>
      <c r="AC1199">
        <v>0</v>
      </c>
      <c r="AD1199">
        <v>0</v>
      </c>
      <c r="AE1199">
        <v>0</v>
      </c>
      <c r="AF1199">
        <v>0</v>
      </c>
      <c r="AG1199">
        <v>0</v>
      </c>
      <c r="AH1199">
        <v>0</v>
      </c>
      <c r="AI1199">
        <v>0</v>
      </c>
      <c r="AJ1199">
        <v>0</v>
      </c>
      <c r="AK1199">
        <v>1</v>
      </c>
      <c r="AL1199">
        <v>0</v>
      </c>
      <c r="AM1199">
        <v>0</v>
      </c>
      <c r="AN1199">
        <v>0</v>
      </c>
      <c r="AO1199">
        <v>0</v>
      </c>
      <c r="AP1199">
        <v>0</v>
      </c>
      <c r="AQ1199">
        <v>0</v>
      </c>
      <c r="AR1199">
        <v>0</v>
      </c>
      <c r="AS1199">
        <v>0</v>
      </c>
      <c r="AT1199">
        <v>0</v>
      </c>
      <c r="AU1199">
        <v>0</v>
      </c>
      <c r="AV1199">
        <v>0</v>
      </c>
      <c r="AW1199">
        <v>0</v>
      </c>
      <c r="AX1199" s="141">
        <f t="shared" si="379"/>
        <v>1</v>
      </c>
      <c r="AY1199" s="141">
        <f t="shared" si="399"/>
        <v>1</v>
      </c>
      <c r="AZ1199">
        <f t="shared" si="400"/>
        <v>0</v>
      </c>
      <c r="BA1199">
        <f t="shared" si="401"/>
        <v>0</v>
      </c>
      <c r="BB1199">
        <f t="shared" si="402"/>
        <v>1</v>
      </c>
      <c r="BC1199">
        <f t="shared" si="403"/>
        <v>0</v>
      </c>
      <c r="BD1199">
        <f t="shared" si="404"/>
        <v>0</v>
      </c>
      <c r="BE1199" t="str" cm="1">
        <f t="array" ref="BE1199">IF(AY1199=1,INDEX($V$7:$AL$7,MATCH(TRUE,INDEX($V1199:$AW1199&lt;&gt;0,),0)),IF(AY1199=0,INDEX($AM$7:$AW$7,MATCH(1,$AM1199:$AW1199,0)),IF(BF1199="Multiple strategies","mixed drivers",IF(BF1199="Supply chain","multiple supply","multiple silviculture"))))</f>
        <v>technologies/design switch</v>
      </c>
      <c r="BF1199" s="2" t="str" cm="1">
        <f t="array" ref="BF1199">IF(COUNTIF(AZ1199:BB1199,"&lt;&gt;0")=1,INDEX($V$4:$AW$4,MATCH(TRUE,INDEX($V1199:$AW1199&lt;&gt;0,),0)),IF(COUNTIF(AZ1199:BB1199,"&lt;&gt;0")=0,INDEX($AM$4:$AW$4,MATCH(1,$AM1199:$AW1199,0)),"Multiple strategies"))</f>
        <v>Technology</v>
      </c>
      <c r="BG1199" s="1" t="s">
        <v>230</v>
      </c>
      <c r="BH1199" s="266" t="s">
        <v>1092</v>
      </c>
      <c r="BI1199" s="266" t="s">
        <v>718</v>
      </c>
      <c r="BJ1199" s="266" t="s">
        <v>1093</v>
      </c>
      <c r="BK1199">
        <f>(6.17+4901.94+10375.04)/43229</f>
        <v>0.35353929075389212</v>
      </c>
      <c r="BL1199">
        <f>(6.17+4901.94+10375.04+8069.52+1195.9)/43229</f>
        <v>0.56787272432857583</v>
      </c>
      <c r="BN1199">
        <f t="shared" si="413"/>
        <v>0.21433343357468371</v>
      </c>
      <c r="BO1199">
        <f>BL1199-BK1199</f>
        <v>0.21433343357468371</v>
      </c>
      <c r="BP1199" s="266" t="s">
        <v>396</v>
      </c>
      <c r="BQ1199" s="266" t="s">
        <v>427</v>
      </c>
      <c r="BR1199" s="266" t="s">
        <v>1094</v>
      </c>
      <c r="BS1199">
        <v>751</v>
      </c>
      <c r="BT1199">
        <v>653</v>
      </c>
      <c r="BU1199" s="144">
        <f>IFERROR(BT1199/BS1199,"")</f>
        <v>0.86950732356857519</v>
      </c>
      <c r="BV1199">
        <f>BT1199-BS1199</f>
        <v>-98</v>
      </c>
      <c r="BX1199">
        <f t="shared" si="418"/>
        <v>-9.8000000000000004E-2</v>
      </c>
      <c r="BY1199">
        <f t="shared" si="378"/>
        <v>-0.45723151244088228</v>
      </c>
      <c r="BZ1199">
        <v>0</v>
      </c>
      <c r="CA1199">
        <v>0</v>
      </c>
      <c r="CB1199">
        <v>0</v>
      </c>
      <c r="CC1199">
        <v>0</v>
      </c>
      <c r="CD1199">
        <v>0</v>
      </c>
      <c r="CE1199">
        <v>0</v>
      </c>
      <c r="CF1199">
        <v>0</v>
      </c>
      <c r="CG1199">
        <v>0</v>
      </c>
      <c r="CH1199">
        <v>0</v>
      </c>
      <c r="CI1199">
        <v>0</v>
      </c>
      <c r="CJ1199">
        <v>0</v>
      </c>
      <c r="CK1199">
        <v>0</v>
      </c>
      <c r="CL1199">
        <v>0</v>
      </c>
      <c r="CM1199">
        <v>0</v>
      </c>
      <c r="CN1199" t="str">
        <f t="shared" si="414"/>
        <v>refOK</v>
      </c>
      <c r="CO1199">
        <f t="shared" si="415"/>
        <v>0.35353929075389212</v>
      </c>
      <c r="CP1199">
        <f t="shared" si="416"/>
        <v>0.56787272432857583</v>
      </c>
      <c r="CQ1199">
        <f t="shared" si="417"/>
        <v>0.21433343357468371</v>
      </c>
      <c r="CR1199">
        <f t="shared" si="395"/>
        <v>-751</v>
      </c>
      <c r="CS1199">
        <f t="shared" si="396"/>
        <v>-653</v>
      </c>
      <c r="CT1199">
        <f t="shared" si="397"/>
        <v>9.8000000000000004E-2</v>
      </c>
      <c r="CU1199">
        <f t="shared" si="419"/>
        <v>0.45723151244088228</v>
      </c>
      <c r="CV1199" s="2">
        <f t="shared" si="398"/>
        <v>0.13049267643142476</v>
      </c>
      <c r="CW1199" s="265" t="s">
        <v>264</v>
      </c>
      <c r="CX1199" s="266" t="str">
        <f t="shared" si="407"/>
        <v>loc</v>
      </c>
      <c r="CY1199" s="266" t="s">
        <v>575</v>
      </c>
      <c r="DB1199">
        <v>0</v>
      </c>
      <c r="DC1199" t="str">
        <f t="shared" si="408"/>
        <v>0</v>
      </c>
      <c r="DD1199">
        <v>0</v>
      </c>
      <c r="DE1199">
        <v>0</v>
      </c>
      <c r="DF1199">
        <v>0</v>
      </c>
      <c r="DG1199">
        <v>1</v>
      </c>
      <c r="DH1199">
        <v>0</v>
      </c>
      <c r="DI1199">
        <f t="shared" si="420"/>
        <v>1</v>
      </c>
      <c r="DJ1199" t="str">
        <f t="shared" si="412"/>
        <v>TimberInput</v>
      </c>
      <c r="DK1199">
        <f t="shared" si="383"/>
        <v>0</v>
      </c>
      <c r="DL1199">
        <f t="shared" si="384"/>
        <v>0</v>
      </c>
      <c r="DM1199">
        <f t="shared" si="385"/>
        <v>0</v>
      </c>
      <c r="DN1199" t="str">
        <f t="shared" si="386"/>
        <v>Timber</v>
      </c>
      <c r="DO1199">
        <v>0</v>
      </c>
      <c r="DP1199">
        <v>0</v>
      </c>
      <c r="DQ1199">
        <v>0</v>
      </c>
      <c r="DR1199">
        <v>0</v>
      </c>
      <c r="DS1199">
        <v>0</v>
      </c>
      <c r="DT1199">
        <f t="shared" si="371"/>
        <v>0</v>
      </c>
      <c r="DU1199" s="143" t="str">
        <f t="shared" si="410"/>
        <v>explicit C balance</v>
      </c>
      <c r="DV1199">
        <v>0</v>
      </c>
      <c r="DW1199">
        <v>1</v>
      </c>
      <c r="DX1199">
        <v>0</v>
      </c>
      <c r="DY1199">
        <v>1</v>
      </c>
      <c r="DZ1199">
        <v>1</v>
      </c>
      <c r="EA1199">
        <v>0</v>
      </c>
      <c r="EB1199">
        <v>1</v>
      </c>
      <c r="EC1199">
        <v>1</v>
      </c>
      <c r="ED1199">
        <v>1</v>
      </c>
      <c r="EE1199">
        <v>1</v>
      </c>
      <c r="EF1199">
        <v>0</v>
      </c>
      <c r="EG1199">
        <v>0</v>
      </c>
      <c r="EH1199">
        <v>0</v>
      </c>
      <c r="EI1199" s="2">
        <v>0</v>
      </c>
      <c r="EK1199" t="str">
        <f t="shared" si="387"/>
        <v/>
      </c>
      <c r="EL1199" t="str">
        <f t="shared" si="388"/>
        <v/>
      </c>
      <c r="EM1199" s="2" t="str">
        <f t="shared" si="409"/>
        <v/>
      </c>
      <c r="EP1199" t="str">
        <f>IF(ISNUMBER(BU1199),IF(ABS(BU1199-[1]QC_indicators!$B$2)&gt;3*[1]QC_indicators!$C$2,"C ratio",IF(ISNUMBER(BY1199),IF(ABS(BY1199-[1]QC_indicators!$B$1)&gt;3*[1]QC_indicators!$C$1,"DF","no"))),IF(ISNUMBER(BY1199),IF(ABS(BY1199-[1]QC_indicators!$B$1)&gt;3*[1]QC_indicators!$C$1,"DF","no")))</f>
        <v>no</v>
      </c>
      <c r="ET1199" s="266" t="s">
        <v>3409</v>
      </c>
    </row>
    <row r="1200" spans="1:150" ht="15" hidden="1" customHeight="1">
      <c r="A1200" s="1" t="s">
        <v>334</v>
      </c>
      <c r="B1200" t="s">
        <v>1083</v>
      </c>
      <c r="C1200" t="s">
        <v>1084</v>
      </c>
      <c r="D1200" t="s">
        <v>1085</v>
      </c>
      <c r="E1200" t="s">
        <v>1086</v>
      </c>
      <c r="F1200" t="s">
        <v>1087</v>
      </c>
      <c r="G1200" t="s">
        <v>340</v>
      </c>
      <c r="H1200" t="s">
        <v>255</v>
      </c>
      <c r="I1200">
        <v>2022</v>
      </c>
      <c r="J1200">
        <v>3</v>
      </c>
      <c r="K1200" t="s">
        <v>1088</v>
      </c>
      <c r="M1200" t="str">
        <f t="shared" si="411"/>
        <v>Robati_2022</v>
      </c>
      <c r="N1200" t="s">
        <v>223</v>
      </c>
      <c r="O1200" s="266" t="s">
        <v>224</v>
      </c>
      <c r="Q1200" s="266" t="s">
        <v>390</v>
      </c>
      <c r="R1200" s="271" t="s">
        <v>1156</v>
      </c>
      <c r="S1200" s="265" t="s">
        <v>1102</v>
      </c>
      <c r="T1200" s="266" t="s">
        <v>1098</v>
      </c>
      <c r="U1200" s="266" t="s">
        <v>1091</v>
      </c>
      <c r="V1200">
        <v>0</v>
      </c>
      <c r="W1200">
        <v>0</v>
      </c>
      <c r="X1200">
        <v>0</v>
      </c>
      <c r="Y1200">
        <v>0</v>
      </c>
      <c r="Z1200">
        <v>0</v>
      </c>
      <c r="AA1200">
        <v>0</v>
      </c>
      <c r="AB1200">
        <v>0</v>
      </c>
      <c r="AC1200">
        <v>0</v>
      </c>
      <c r="AD1200">
        <v>0</v>
      </c>
      <c r="AE1200">
        <v>0</v>
      </c>
      <c r="AF1200">
        <v>0</v>
      </c>
      <c r="AG1200">
        <v>0</v>
      </c>
      <c r="AH1200">
        <v>0</v>
      </c>
      <c r="AI1200">
        <v>0</v>
      </c>
      <c r="AJ1200">
        <v>0</v>
      </c>
      <c r="AK1200">
        <v>1</v>
      </c>
      <c r="AL1200">
        <v>0</v>
      </c>
      <c r="AM1200">
        <v>0</v>
      </c>
      <c r="AN1200">
        <v>0</v>
      </c>
      <c r="AO1200">
        <v>0</v>
      </c>
      <c r="AP1200">
        <v>0</v>
      </c>
      <c r="AQ1200">
        <v>0</v>
      </c>
      <c r="AR1200">
        <v>0</v>
      </c>
      <c r="AS1200">
        <v>0</v>
      </c>
      <c r="AT1200">
        <v>0</v>
      </c>
      <c r="AU1200">
        <v>0</v>
      </c>
      <c r="AV1200">
        <v>0</v>
      </c>
      <c r="AW1200">
        <v>0</v>
      </c>
      <c r="AX1200" s="141">
        <f t="shared" si="379"/>
        <v>1</v>
      </c>
      <c r="AY1200" s="141">
        <f t="shared" si="399"/>
        <v>1</v>
      </c>
      <c r="AZ1200">
        <f t="shared" si="400"/>
        <v>0</v>
      </c>
      <c r="BA1200">
        <f t="shared" si="401"/>
        <v>0</v>
      </c>
      <c r="BB1200">
        <f t="shared" si="402"/>
        <v>1</v>
      </c>
      <c r="BC1200">
        <f t="shared" si="403"/>
        <v>0</v>
      </c>
      <c r="BD1200">
        <f t="shared" si="404"/>
        <v>0</v>
      </c>
      <c r="BE1200" t="str" cm="1">
        <f t="array" ref="BE1200">IF(AY1200=1,INDEX($V$7:$AL$7,MATCH(TRUE,INDEX($V1200:$AW1200&lt;&gt;0,),0)),IF(AY1200=0,INDEX($AM$7:$AW$7,MATCH(1,$AM1200:$AW1200,0)),IF(BF1200="Multiple strategies","mixed drivers",IF(BF1200="Supply chain","multiple supply","multiple silviculture"))))</f>
        <v>technologies/design switch</v>
      </c>
      <c r="BF1200" s="2" t="str" cm="1">
        <f t="array" ref="BF1200">IF(COUNTIF(AZ1200:BB1200,"&lt;&gt;0")=1,INDEX($V$4:$AW$4,MATCH(TRUE,INDEX($V1200:$AW1200&lt;&gt;0,),0)),IF(COUNTIF(AZ1200:BB1200,"&lt;&gt;0")=0,INDEX($AM$4:$AW$4,MATCH(1,$AM1200:$AW1200,0)),"Multiple strategies"))</f>
        <v>Technology</v>
      </c>
      <c r="BG1200" s="1" t="s">
        <v>230</v>
      </c>
      <c r="BH1200" s="266" t="s">
        <v>1092</v>
      </c>
      <c r="BI1200" s="266" t="s">
        <v>718</v>
      </c>
      <c r="BJ1200" s="266" t="s">
        <v>1093</v>
      </c>
      <c r="BK1200">
        <f>(6.17+4901.94+10375.04)/43229</f>
        <v>0.35353929075389212</v>
      </c>
      <c r="BL1200">
        <f>(6.17+4901.94+10375.04+8069.52+1195.9)/43229</f>
        <v>0.56787272432857583</v>
      </c>
      <c r="BN1200">
        <f t="shared" si="413"/>
        <v>0.21433343357468371</v>
      </c>
      <c r="BO1200">
        <f>BL1200-BK1200</f>
        <v>0.21433343357468371</v>
      </c>
      <c r="BP1200" s="266" t="s">
        <v>396</v>
      </c>
      <c r="BQ1200" s="266" t="s">
        <v>427</v>
      </c>
      <c r="BR1200" s="266" t="s">
        <v>1094</v>
      </c>
      <c r="BS1200">
        <v>464.97</v>
      </c>
      <c r="BT1200">
        <v>417.21</v>
      </c>
      <c r="BU1200" s="144">
        <f>IFERROR(BT1200/BS1200,"")</f>
        <v>0.8972836957223046</v>
      </c>
      <c r="BV1200">
        <f>BT1200-BS1200</f>
        <v>-47.760000000000048</v>
      </c>
      <c r="BX1200">
        <f t="shared" si="418"/>
        <v>-4.7760000000000045E-2</v>
      </c>
      <c r="BY1200">
        <f t="shared" si="378"/>
        <v>-0.22283037789976079</v>
      </c>
      <c r="BZ1200">
        <v>0</v>
      </c>
      <c r="CA1200">
        <v>0</v>
      </c>
      <c r="CB1200">
        <v>0</v>
      </c>
      <c r="CC1200">
        <v>0</v>
      </c>
      <c r="CD1200">
        <v>0</v>
      </c>
      <c r="CE1200">
        <v>0</v>
      </c>
      <c r="CF1200">
        <v>0</v>
      </c>
      <c r="CG1200">
        <v>0</v>
      </c>
      <c r="CH1200">
        <v>0</v>
      </c>
      <c r="CI1200">
        <v>0</v>
      </c>
      <c r="CJ1200">
        <v>0</v>
      </c>
      <c r="CK1200">
        <v>0</v>
      </c>
      <c r="CL1200">
        <v>0</v>
      </c>
      <c r="CM1200">
        <v>0</v>
      </c>
      <c r="CN1200" t="str">
        <f t="shared" si="414"/>
        <v>refOK</v>
      </c>
      <c r="CO1200">
        <f t="shared" si="415"/>
        <v>0.35353929075389212</v>
      </c>
      <c r="CP1200">
        <f t="shared" si="416"/>
        <v>0.56787272432857583</v>
      </c>
      <c r="CQ1200">
        <f t="shared" si="417"/>
        <v>0.21433343357468371</v>
      </c>
      <c r="CR1200">
        <f t="shared" si="395"/>
        <v>-464.97</v>
      </c>
      <c r="CS1200">
        <f t="shared" si="396"/>
        <v>-417.21</v>
      </c>
      <c r="CT1200">
        <f t="shared" si="397"/>
        <v>4.7760000000000045E-2</v>
      </c>
      <c r="CU1200">
        <f t="shared" si="419"/>
        <v>0.22283037789976079</v>
      </c>
      <c r="CV1200" s="2">
        <f t="shared" si="398"/>
        <v>0.10271630427769543</v>
      </c>
      <c r="CW1200" s="265" t="s">
        <v>264</v>
      </c>
      <c r="CX1200" s="266" t="str">
        <f t="shared" si="407"/>
        <v>loc</v>
      </c>
      <c r="CY1200" s="266" t="s">
        <v>575</v>
      </c>
      <c r="DB1200">
        <v>0</v>
      </c>
      <c r="DC1200" t="str">
        <f t="shared" si="408"/>
        <v>0</v>
      </c>
      <c r="DD1200">
        <v>0</v>
      </c>
      <c r="DE1200">
        <v>0</v>
      </c>
      <c r="DF1200">
        <v>0</v>
      </c>
      <c r="DG1200">
        <v>1</v>
      </c>
      <c r="DH1200">
        <v>0</v>
      </c>
      <c r="DI1200">
        <f t="shared" si="420"/>
        <v>1</v>
      </c>
      <c r="DJ1200" t="str">
        <f t="shared" si="412"/>
        <v>TimberInput</v>
      </c>
      <c r="DK1200">
        <f t="shared" si="383"/>
        <v>0</v>
      </c>
      <c r="DL1200">
        <f t="shared" si="384"/>
        <v>0</v>
      </c>
      <c r="DM1200">
        <f t="shared" si="385"/>
        <v>0</v>
      </c>
      <c r="DN1200" t="str">
        <f t="shared" si="386"/>
        <v>Timber</v>
      </c>
      <c r="DO1200">
        <v>0</v>
      </c>
      <c r="DP1200">
        <v>0</v>
      </c>
      <c r="DQ1200">
        <v>0</v>
      </c>
      <c r="DR1200">
        <v>0</v>
      </c>
      <c r="DS1200">
        <v>0</v>
      </c>
      <c r="DT1200">
        <f t="shared" si="371"/>
        <v>0</v>
      </c>
      <c r="DU1200" s="143" t="str">
        <f t="shared" si="410"/>
        <v>explicit C balance</v>
      </c>
      <c r="DV1200">
        <v>0</v>
      </c>
      <c r="DW1200">
        <v>1</v>
      </c>
      <c r="DX1200">
        <v>0</v>
      </c>
      <c r="DY1200">
        <v>1</v>
      </c>
      <c r="DZ1200">
        <v>1</v>
      </c>
      <c r="EA1200">
        <v>0</v>
      </c>
      <c r="EB1200">
        <v>1</v>
      </c>
      <c r="EC1200">
        <v>1</v>
      </c>
      <c r="ED1200">
        <v>1</v>
      </c>
      <c r="EE1200">
        <v>1</v>
      </c>
      <c r="EF1200">
        <v>0</v>
      </c>
      <c r="EG1200">
        <v>0</v>
      </c>
      <c r="EH1200">
        <v>0</v>
      </c>
      <c r="EI1200" s="2">
        <v>0</v>
      </c>
      <c r="EK1200" t="str">
        <f t="shared" si="387"/>
        <v/>
      </c>
      <c r="EL1200" t="str">
        <f t="shared" si="388"/>
        <v/>
      </c>
      <c r="EM1200" s="2" t="str">
        <f t="shared" si="409"/>
        <v/>
      </c>
      <c r="EP1200" t="str">
        <f>IF(ISNUMBER(BU1200),IF(ABS(BU1200-[1]QC_indicators!$B$2)&gt;3*[1]QC_indicators!$C$2,"C ratio",IF(ISNUMBER(BY1200),IF(ABS(BY1200-[1]QC_indicators!$B$1)&gt;3*[1]QC_indicators!$C$1,"DF","no"))),IF(ISNUMBER(BY1200),IF(ABS(BY1200-[1]QC_indicators!$B$1)&gt;3*[1]QC_indicators!$C$1,"DF","no")))</f>
        <v>no</v>
      </c>
      <c r="ET1200" s="266" t="s">
        <v>3409</v>
      </c>
    </row>
    <row r="1201" spans="1:150" ht="15" hidden="1" customHeight="1">
      <c r="A1201" s="1" t="s">
        <v>334</v>
      </c>
      <c r="B1201" t="s">
        <v>1083</v>
      </c>
      <c r="C1201" t="s">
        <v>1084</v>
      </c>
      <c r="D1201" t="s">
        <v>1085</v>
      </c>
      <c r="E1201" t="s">
        <v>1086</v>
      </c>
      <c r="F1201" t="s">
        <v>1087</v>
      </c>
      <c r="G1201" t="s">
        <v>340</v>
      </c>
      <c r="H1201" t="s">
        <v>255</v>
      </c>
      <c r="I1201">
        <v>2022</v>
      </c>
      <c r="J1201">
        <v>3</v>
      </c>
      <c r="K1201" t="s">
        <v>1088</v>
      </c>
      <c r="M1201" t="str">
        <f t="shared" si="411"/>
        <v>Robati_2022</v>
      </c>
      <c r="N1201" t="s">
        <v>223</v>
      </c>
      <c r="O1201" s="266" t="s">
        <v>224</v>
      </c>
      <c r="Q1201" s="266" t="s">
        <v>390</v>
      </c>
      <c r="R1201" s="271" t="s">
        <v>1156</v>
      </c>
      <c r="S1201" s="265" t="s">
        <v>1103</v>
      </c>
      <c r="T1201" s="266" t="s">
        <v>1098</v>
      </c>
      <c r="U1201" s="266" t="s">
        <v>1091</v>
      </c>
      <c r="V1201">
        <v>0</v>
      </c>
      <c r="W1201">
        <v>0</v>
      </c>
      <c r="X1201">
        <v>0</v>
      </c>
      <c r="Y1201">
        <v>0</v>
      </c>
      <c r="Z1201">
        <v>0</v>
      </c>
      <c r="AA1201">
        <v>0</v>
      </c>
      <c r="AB1201">
        <v>0</v>
      </c>
      <c r="AC1201">
        <v>0</v>
      </c>
      <c r="AD1201">
        <v>0</v>
      </c>
      <c r="AE1201">
        <v>0</v>
      </c>
      <c r="AF1201">
        <v>0</v>
      </c>
      <c r="AG1201">
        <v>0</v>
      </c>
      <c r="AH1201">
        <v>0</v>
      </c>
      <c r="AI1201">
        <v>0</v>
      </c>
      <c r="AJ1201">
        <v>0</v>
      </c>
      <c r="AK1201">
        <v>1</v>
      </c>
      <c r="AL1201">
        <v>0</v>
      </c>
      <c r="AM1201">
        <v>0</v>
      </c>
      <c r="AN1201">
        <v>0</v>
      </c>
      <c r="AO1201">
        <v>0</v>
      </c>
      <c r="AP1201">
        <v>0</v>
      </c>
      <c r="AQ1201">
        <v>0</v>
      </c>
      <c r="AR1201">
        <v>0</v>
      </c>
      <c r="AS1201">
        <v>0</v>
      </c>
      <c r="AT1201">
        <v>0</v>
      </c>
      <c r="AU1201">
        <v>0</v>
      </c>
      <c r="AV1201">
        <v>0</v>
      </c>
      <c r="AW1201">
        <v>0</v>
      </c>
      <c r="AX1201" s="141">
        <f t="shared" si="379"/>
        <v>1</v>
      </c>
      <c r="AY1201" s="141">
        <f t="shared" si="399"/>
        <v>1</v>
      </c>
      <c r="AZ1201">
        <f t="shared" si="400"/>
        <v>0</v>
      </c>
      <c r="BA1201">
        <f t="shared" si="401"/>
        <v>0</v>
      </c>
      <c r="BB1201">
        <f t="shared" si="402"/>
        <v>1</v>
      </c>
      <c r="BC1201">
        <f t="shared" si="403"/>
        <v>0</v>
      </c>
      <c r="BD1201">
        <f t="shared" si="404"/>
        <v>0</v>
      </c>
      <c r="BE1201" t="str" cm="1">
        <f t="array" ref="BE1201">IF(AY1201=1,INDEX($V$7:$AL$7,MATCH(TRUE,INDEX($V1201:$AW1201&lt;&gt;0,),0)),IF(AY1201=0,INDEX($AM$7:$AW$7,MATCH(1,$AM1201:$AW1201,0)),IF(BF1201="Multiple strategies","mixed drivers",IF(BF1201="Supply chain","multiple supply","multiple silviculture"))))</f>
        <v>technologies/design switch</v>
      </c>
      <c r="BF1201" s="2" t="str" cm="1">
        <f t="array" ref="BF1201">IF(COUNTIF(AZ1201:BB1201,"&lt;&gt;0")=1,INDEX($V$4:$AW$4,MATCH(TRUE,INDEX($V1201:$AW1201&lt;&gt;0,),0)),IF(COUNTIF(AZ1201:BB1201,"&lt;&gt;0")=0,INDEX($AM$4:$AW$4,MATCH(1,$AM1201:$AW1201,0)),"Multiple strategies"))</f>
        <v>Technology</v>
      </c>
      <c r="BG1201" s="1" t="s">
        <v>230</v>
      </c>
      <c r="BH1201" s="266" t="s">
        <v>1092</v>
      </c>
      <c r="BI1201" s="266" t="s">
        <v>718</v>
      </c>
      <c r="BJ1201" s="266" t="s">
        <v>1093</v>
      </c>
      <c r="BK1201">
        <f>(6.17+4901.94+10375.04)/43229</f>
        <v>0.35353929075389212</v>
      </c>
      <c r="BL1201">
        <f>(6.17+4901.94+10375.04+8069.52+1195.9)/43229</f>
        <v>0.56787272432857583</v>
      </c>
      <c r="BN1201">
        <f t="shared" si="413"/>
        <v>0.21433343357468371</v>
      </c>
      <c r="BO1201">
        <f>BL1201-BK1201</f>
        <v>0.21433343357468371</v>
      </c>
      <c r="BP1201" s="266" t="s">
        <v>396</v>
      </c>
      <c r="BQ1201" s="266" t="s">
        <v>787</v>
      </c>
      <c r="BR1201" s="266" t="s">
        <v>1094</v>
      </c>
      <c r="BS1201">
        <v>-5.6</v>
      </c>
      <c r="BT1201">
        <v>97.6</v>
      </c>
      <c r="BU1201" s="144">
        <f>IFERROR(BT1201/BS1201,"")</f>
        <v>-17.428571428571427</v>
      </c>
      <c r="BV1201">
        <f>BT1201-BS1201</f>
        <v>103.19999999999999</v>
      </c>
      <c r="BX1201">
        <f t="shared" si="418"/>
        <v>0.10319999999999999</v>
      </c>
      <c r="BY1201">
        <f t="shared" si="378"/>
        <v>0.48149277636631677</v>
      </c>
      <c r="BZ1201">
        <v>0</v>
      </c>
      <c r="CA1201">
        <v>0</v>
      </c>
      <c r="CB1201">
        <v>0</v>
      </c>
      <c r="CC1201">
        <v>0</v>
      </c>
      <c r="CD1201">
        <v>0</v>
      </c>
      <c r="CE1201">
        <v>0</v>
      </c>
      <c r="CF1201">
        <v>0</v>
      </c>
      <c r="CG1201">
        <v>0</v>
      </c>
      <c r="CH1201">
        <v>0</v>
      </c>
      <c r="CI1201">
        <v>0</v>
      </c>
      <c r="CJ1201">
        <v>0</v>
      </c>
      <c r="CK1201">
        <v>0</v>
      </c>
      <c r="CL1201">
        <v>0</v>
      </c>
      <c r="CM1201">
        <v>0</v>
      </c>
      <c r="CN1201" t="str">
        <f t="shared" si="414"/>
        <v>refOK</v>
      </c>
      <c r="CO1201">
        <f t="shared" si="415"/>
        <v>0.35353929075389212</v>
      </c>
      <c r="CP1201">
        <f t="shared" si="416"/>
        <v>0.56787272432857583</v>
      </c>
      <c r="CQ1201">
        <f t="shared" si="417"/>
        <v>0.21433343357468371</v>
      </c>
      <c r="CR1201">
        <f t="shared" si="395"/>
        <v>5.6</v>
      </c>
      <c r="CS1201">
        <f t="shared" si="396"/>
        <v>-97.6</v>
      </c>
      <c r="CT1201">
        <f t="shared" si="397"/>
        <v>-0.10319999999999999</v>
      </c>
      <c r="CU1201">
        <f t="shared" si="419"/>
        <v>-0.48149277636631677</v>
      </c>
      <c r="CV1201" s="2">
        <f t="shared" si="398"/>
        <v>-18.428571428571427</v>
      </c>
      <c r="CW1201" s="265" t="s">
        <v>264</v>
      </c>
      <c r="CX1201" s="266" t="str">
        <f t="shared" si="407"/>
        <v>loc</v>
      </c>
      <c r="CY1201" s="266" t="s">
        <v>575</v>
      </c>
      <c r="DB1201">
        <v>0</v>
      </c>
      <c r="DC1201" t="str">
        <f t="shared" si="408"/>
        <v>0</v>
      </c>
      <c r="DD1201">
        <v>0</v>
      </c>
      <c r="DE1201">
        <v>0</v>
      </c>
      <c r="DF1201">
        <v>0</v>
      </c>
      <c r="DG1201">
        <v>1</v>
      </c>
      <c r="DH1201">
        <v>0</v>
      </c>
      <c r="DI1201">
        <f t="shared" si="420"/>
        <v>1</v>
      </c>
      <c r="DJ1201" t="str">
        <f t="shared" si="412"/>
        <v>TimberInput</v>
      </c>
      <c r="DK1201">
        <f t="shared" si="383"/>
        <v>0</v>
      </c>
      <c r="DL1201">
        <f t="shared" si="384"/>
        <v>0</v>
      </c>
      <c r="DM1201">
        <f t="shared" si="385"/>
        <v>0</v>
      </c>
      <c r="DN1201" t="str">
        <f t="shared" si="386"/>
        <v>Timber</v>
      </c>
      <c r="DO1201">
        <v>0</v>
      </c>
      <c r="DP1201">
        <v>0</v>
      </c>
      <c r="DQ1201">
        <v>0</v>
      </c>
      <c r="DR1201">
        <v>0</v>
      </c>
      <c r="DS1201">
        <v>0</v>
      </c>
      <c r="DT1201">
        <f t="shared" ref="DT1201:DT1241" si="421">SUM(DO1201:DP1201)</f>
        <v>0</v>
      </c>
      <c r="DU1201" s="143" t="str">
        <f t="shared" si="410"/>
        <v>explicit C balance</v>
      </c>
      <c r="DV1201">
        <v>0</v>
      </c>
      <c r="DW1201">
        <v>0</v>
      </c>
      <c r="DX1201">
        <v>0</v>
      </c>
      <c r="DY1201">
        <v>0</v>
      </c>
      <c r="DZ1201">
        <v>1</v>
      </c>
      <c r="EA1201">
        <v>0</v>
      </c>
      <c r="EB1201">
        <v>0</v>
      </c>
      <c r="EC1201">
        <v>0</v>
      </c>
      <c r="ED1201">
        <v>0</v>
      </c>
      <c r="EE1201">
        <v>1</v>
      </c>
      <c r="EF1201">
        <v>0</v>
      </c>
      <c r="EG1201">
        <v>0</v>
      </c>
      <c r="EH1201">
        <v>0</v>
      </c>
      <c r="EI1201" s="2">
        <v>0</v>
      </c>
      <c r="EK1201" t="str">
        <f t="shared" si="387"/>
        <v/>
      </c>
      <c r="EL1201" t="str">
        <f t="shared" si="388"/>
        <v/>
      </c>
      <c r="EM1201" s="2" t="str">
        <f t="shared" si="409"/>
        <v/>
      </c>
      <c r="EP1201" t="str">
        <f>IF(ISNUMBER(BU1201),IF(ABS(BU1201-[1]QC_indicators!$B$2)&gt;3*[1]QC_indicators!$C$2,"C ratio",IF(ISNUMBER(BY1201),IF(ABS(BY1201-[1]QC_indicators!$B$1)&gt;3*[1]QC_indicators!$C$1,"DF","no"))),IF(ISNUMBER(BY1201),IF(ABS(BY1201-[1]QC_indicators!$B$1)&gt;3*[1]QC_indicators!$C$1,"DF","no")))</f>
        <v>no</v>
      </c>
      <c r="ET1201" s="266" t="s">
        <v>3409</v>
      </c>
    </row>
    <row r="1202" spans="1:150" ht="15" hidden="1" customHeight="1">
      <c r="A1202" s="1" t="s">
        <v>506</v>
      </c>
      <c r="B1202" t="s">
        <v>507</v>
      </c>
      <c r="C1202" t="s">
        <v>508</v>
      </c>
      <c r="D1202" t="s">
        <v>509</v>
      </c>
      <c r="E1202" t="s">
        <v>510</v>
      </c>
      <c r="F1202" t="s">
        <v>511</v>
      </c>
      <c r="G1202" t="s">
        <v>512</v>
      </c>
      <c r="H1202" t="s">
        <v>255</v>
      </c>
      <c r="I1202">
        <v>2021</v>
      </c>
      <c r="J1202">
        <v>7</v>
      </c>
      <c r="K1202" t="s">
        <v>513</v>
      </c>
      <c r="M1202" t="str">
        <f t="shared" si="411"/>
        <v>Caldas_2021</v>
      </c>
      <c r="N1202" t="s">
        <v>223</v>
      </c>
      <c r="O1202" s="145" t="s">
        <v>224</v>
      </c>
      <c r="P1202" t="s">
        <v>514</v>
      </c>
      <c r="Q1202" s="266" t="s">
        <v>257</v>
      </c>
      <c r="R1202" s="271" t="s">
        <v>1156</v>
      </c>
      <c r="S1202" s="1" t="s">
        <v>518</v>
      </c>
      <c r="T1202" t="s">
        <v>527</v>
      </c>
      <c r="U1202" t="s">
        <v>528</v>
      </c>
      <c r="V1202">
        <v>0</v>
      </c>
      <c r="W1202">
        <v>0</v>
      </c>
      <c r="X1202">
        <v>0</v>
      </c>
      <c r="Y1202">
        <v>0</v>
      </c>
      <c r="Z1202">
        <v>0</v>
      </c>
      <c r="AA1202">
        <v>0</v>
      </c>
      <c r="AB1202">
        <v>0</v>
      </c>
      <c r="AC1202">
        <v>0</v>
      </c>
      <c r="AD1202">
        <v>0</v>
      </c>
      <c r="AE1202">
        <v>0</v>
      </c>
      <c r="AF1202">
        <v>0</v>
      </c>
      <c r="AG1202">
        <v>0</v>
      </c>
      <c r="AH1202">
        <v>0</v>
      </c>
      <c r="AI1202">
        <v>0</v>
      </c>
      <c r="AJ1202">
        <v>0</v>
      </c>
      <c r="AK1202">
        <v>1</v>
      </c>
      <c r="AL1202">
        <v>0</v>
      </c>
      <c r="AM1202">
        <v>0</v>
      </c>
      <c r="AN1202">
        <v>0</v>
      </c>
      <c r="AO1202">
        <v>0</v>
      </c>
      <c r="AP1202">
        <v>0</v>
      </c>
      <c r="AQ1202">
        <v>0</v>
      </c>
      <c r="AR1202">
        <v>0</v>
      </c>
      <c r="AS1202">
        <v>0</v>
      </c>
      <c r="AT1202">
        <v>0</v>
      </c>
      <c r="AU1202">
        <v>0</v>
      </c>
      <c r="AV1202">
        <v>0</v>
      </c>
      <c r="AW1202">
        <v>0</v>
      </c>
      <c r="AX1202" s="141">
        <f t="shared" si="379"/>
        <v>1</v>
      </c>
      <c r="AY1202" s="141">
        <f t="shared" si="399"/>
        <v>1</v>
      </c>
      <c r="AZ1202">
        <f t="shared" si="400"/>
        <v>0</v>
      </c>
      <c r="BA1202">
        <f t="shared" si="401"/>
        <v>0</v>
      </c>
      <c r="BB1202">
        <f t="shared" si="402"/>
        <v>1</v>
      </c>
      <c r="BC1202">
        <f t="shared" si="403"/>
        <v>0</v>
      </c>
      <c r="BD1202">
        <f t="shared" si="404"/>
        <v>0</v>
      </c>
      <c r="BE1202" t="str" cm="1">
        <f t="array" ref="BE1202">IF(AY1202=1,INDEX($V$7:$AL$7,MATCH(TRUE,INDEX($V1202:$AW1202&lt;&gt;0,),0)),IF(AY1202=0,INDEX($AM$7:$AW$7,MATCH(1,$AM1202:$AW1202,0)),IF(BF1202="Multiple strategies","mixed drivers",IF(BF1202="Supply chain","multiple supply","multiple silviculture"))))</f>
        <v>technologies/design switch</v>
      </c>
      <c r="BF1202" s="2" t="str" cm="1">
        <f t="array" ref="BF1202">IF(COUNTIF(AZ1202:BB1202,"&lt;&gt;0")=1,INDEX($V$4:$AW$4,MATCH(TRUE,INDEX($V1202:$AW1202&lt;&gt;0,),0)),IF(COUNTIF(AZ1202:BB1202,"&lt;&gt;0")=0,INDEX($AM$4:$AW$4,MATCH(1,$AM1202:$AW1202,0)),"Multiple strategies"))</f>
        <v>Technology</v>
      </c>
      <c r="BG1202" s="1" t="s">
        <v>230</v>
      </c>
      <c r="BH1202" t="s">
        <v>518</v>
      </c>
      <c r="BJ1202" t="s">
        <v>519</v>
      </c>
      <c r="BK1202">
        <v>140</v>
      </c>
      <c r="BL1202">
        <v>247</v>
      </c>
      <c r="BN1202">
        <f t="shared" si="413"/>
        <v>107</v>
      </c>
      <c r="BO1202">
        <f>BN1202*kg_to_m3</f>
        <v>0.21836734693877552</v>
      </c>
      <c r="BP1202" s="266" t="s">
        <v>233</v>
      </c>
      <c r="BQ1202" s="266"/>
      <c r="BR1202" t="s">
        <v>520</v>
      </c>
      <c r="BS1202">
        <v>-544.67353951890004</v>
      </c>
      <c r="BT1202">
        <v>-536.08247422680404</v>
      </c>
      <c r="BU1202" s="144">
        <v>0.98422712933753986</v>
      </c>
      <c r="BV1202">
        <v>8.5910652920960047</v>
      </c>
      <c r="BX1202">
        <f t="shared" si="418"/>
        <v>8.5910652920960055E-3</v>
      </c>
      <c r="BY1202">
        <f t="shared" si="378"/>
        <v>3.9342261618009744E-2</v>
      </c>
      <c r="BZ1202" s="143">
        <v>0</v>
      </c>
      <c r="CA1202" s="143">
        <v>0</v>
      </c>
      <c r="CB1202" s="143">
        <v>0</v>
      </c>
      <c r="CC1202" s="143">
        <v>0</v>
      </c>
      <c r="CD1202" s="143">
        <v>0</v>
      </c>
      <c r="CE1202" s="143">
        <v>0</v>
      </c>
      <c r="CF1202" s="143">
        <v>0</v>
      </c>
      <c r="CG1202" s="143">
        <v>0</v>
      </c>
      <c r="CH1202" s="143">
        <v>0</v>
      </c>
      <c r="CI1202" s="143">
        <v>0</v>
      </c>
      <c r="CJ1202" s="143">
        <v>0</v>
      </c>
      <c r="CK1202" s="143">
        <v>0</v>
      </c>
      <c r="CL1202" s="143">
        <v>0</v>
      </c>
      <c r="CM1202">
        <v>0</v>
      </c>
      <c r="CN1202" t="str">
        <f t="shared" si="414"/>
        <v>refOK</v>
      </c>
      <c r="CO1202">
        <f t="shared" si="415"/>
        <v>140</v>
      </c>
      <c r="CP1202">
        <f t="shared" si="416"/>
        <v>247</v>
      </c>
      <c r="CQ1202">
        <f t="shared" si="417"/>
        <v>0.21836734693877552</v>
      </c>
      <c r="CR1202">
        <f t="shared" si="395"/>
        <v>-544.67353951890004</v>
      </c>
      <c r="CS1202">
        <f t="shared" si="396"/>
        <v>-536.08247422680404</v>
      </c>
      <c r="CT1202">
        <f t="shared" si="397"/>
        <v>8.5910652920960055E-3</v>
      </c>
      <c r="CU1202">
        <f t="shared" si="419"/>
        <v>3.9342261618009744E-2</v>
      </c>
      <c r="CV1202" s="2">
        <f t="shared" si="398"/>
        <v>1.5772870662460182E-2</v>
      </c>
      <c r="CW1202" s="1" t="s">
        <v>264</v>
      </c>
      <c r="CX1202" s="266" t="str">
        <f t="shared" si="407"/>
        <v>loc</v>
      </c>
      <c r="CY1202" t="s">
        <v>521</v>
      </c>
      <c r="CZ1202">
        <v>2014</v>
      </c>
      <c r="DA1202">
        <v>2014</v>
      </c>
      <c r="DB1202">
        <f>DA1202-CZ1202</f>
        <v>0</v>
      </c>
      <c r="DC1202" t="str">
        <f t="shared" si="408"/>
        <v>0</v>
      </c>
      <c r="DD1202">
        <v>0</v>
      </c>
      <c r="DE1202">
        <v>0</v>
      </c>
      <c r="DF1202">
        <v>0</v>
      </c>
      <c r="DG1202">
        <v>1</v>
      </c>
      <c r="DI1202">
        <f t="shared" si="420"/>
        <v>1</v>
      </c>
      <c r="DJ1202" t="str">
        <f t="shared" si="412"/>
        <v>TimberInput</v>
      </c>
      <c r="DK1202">
        <f t="shared" si="383"/>
        <v>0</v>
      </c>
      <c r="DL1202">
        <f t="shared" si="384"/>
        <v>0</v>
      </c>
      <c r="DM1202">
        <f t="shared" si="385"/>
        <v>0</v>
      </c>
      <c r="DN1202" t="str">
        <f t="shared" si="386"/>
        <v>Timber</v>
      </c>
      <c r="DO1202">
        <v>0</v>
      </c>
      <c r="DP1202" s="143">
        <v>0</v>
      </c>
      <c r="DQ1202" s="143">
        <v>0</v>
      </c>
      <c r="DR1202" s="143">
        <v>0</v>
      </c>
      <c r="DS1202">
        <v>0</v>
      </c>
      <c r="DT1202">
        <f t="shared" si="421"/>
        <v>0</v>
      </c>
      <c r="DU1202" s="143" t="str">
        <f t="shared" si="410"/>
        <v>explicit C balance</v>
      </c>
      <c r="DV1202">
        <v>0</v>
      </c>
      <c r="DW1202" s="143">
        <v>0</v>
      </c>
      <c r="DX1202" s="143">
        <v>0</v>
      </c>
      <c r="DY1202" s="143">
        <v>0</v>
      </c>
      <c r="DZ1202">
        <v>0</v>
      </c>
      <c r="EA1202" s="143">
        <v>1</v>
      </c>
      <c r="EB1202">
        <v>0</v>
      </c>
      <c r="EC1202" s="143">
        <v>1</v>
      </c>
      <c r="ED1202" s="143">
        <v>0</v>
      </c>
      <c r="EE1202">
        <v>0</v>
      </c>
      <c r="EF1202">
        <v>0</v>
      </c>
      <c r="EG1202" s="143">
        <v>0</v>
      </c>
      <c r="EH1202" s="143">
        <v>0</v>
      </c>
      <c r="EI1202" s="2">
        <v>0</v>
      </c>
      <c r="EK1202" t="str">
        <f t="shared" si="387"/>
        <v/>
      </c>
      <c r="EL1202" t="str">
        <f t="shared" si="388"/>
        <v/>
      </c>
      <c r="EM1202" s="2" t="str">
        <f t="shared" si="409"/>
        <v/>
      </c>
      <c r="EP1202" t="str">
        <f>IF(ISNUMBER(BU1202),IF(ABS(BU1202-[1]QC_indicators!$B$2)&gt;3*[1]QC_indicators!$C$2,"C ratio",IF(ISNUMBER(BY1202),IF(ABS(BY1202-[1]QC_indicators!$B$1)&gt;3*[1]QC_indicators!$C$1,"DF","no"))),IF(ISNUMBER(BY1202),IF(ABS(BY1202-[1]QC_indicators!$B$1)&gt;3*[1]QC_indicators!$C$1,"DF","no")))</f>
        <v>no</v>
      </c>
      <c r="ER1202" s="296" t="s">
        <v>350</v>
      </c>
      <c r="ET1202" s="266" t="s">
        <v>3409</v>
      </c>
    </row>
    <row r="1203" spans="1:150" ht="15" hidden="1" customHeight="1">
      <c r="A1203" s="1" t="s">
        <v>658</v>
      </c>
      <c r="B1203" t="s">
        <v>709</v>
      </c>
      <c r="C1203" t="s">
        <v>545</v>
      </c>
      <c r="D1203" t="s">
        <v>710</v>
      </c>
      <c r="E1203" t="s">
        <v>711</v>
      </c>
      <c r="F1203" t="s">
        <v>712</v>
      </c>
      <c r="G1203" t="s">
        <v>664</v>
      </c>
      <c r="H1203" t="s">
        <v>255</v>
      </c>
      <c r="I1203">
        <v>2022</v>
      </c>
      <c r="J1203">
        <v>4</v>
      </c>
      <c r="K1203" t="s">
        <v>713</v>
      </c>
      <c r="M1203" t="str">
        <f t="shared" si="411"/>
        <v>Felmer_2022</v>
      </c>
      <c r="N1203" t="s">
        <v>223</v>
      </c>
      <c r="O1203" s="145" t="s">
        <v>224</v>
      </c>
      <c r="Q1203" s="266" t="s">
        <v>390</v>
      </c>
      <c r="R1203" s="271" t="s">
        <v>1156</v>
      </c>
      <c r="S1203" s="265" t="s">
        <v>714</v>
      </c>
      <c r="T1203" s="266" t="s">
        <v>715</v>
      </c>
      <c r="U1203" s="266" t="s">
        <v>716</v>
      </c>
      <c r="V1203">
        <v>0</v>
      </c>
      <c r="W1203">
        <v>0</v>
      </c>
      <c r="X1203">
        <v>0</v>
      </c>
      <c r="Y1203">
        <v>0</v>
      </c>
      <c r="Z1203">
        <v>0</v>
      </c>
      <c r="AA1203">
        <v>0</v>
      </c>
      <c r="AB1203">
        <v>0</v>
      </c>
      <c r="AC1203">
        <v>0</v>
      </c>
      <c r="AD1203">
        <v>0</v>
      </c>
      <c r="AE1203">
        <v>0</v>
      </c>
      <c r="AF1203">
        <v>0</v>
      </c>
      <c r="AG1203">
        <v>0</v>
      </c>
      <c r="AH1203">
        <v>0</v>
      </c>
      <c r="AI1203">
        <v>0</v>
      </c>
      <c r="AJ1203">
        <v>0</v>
      </c>
      <c r="AK1203">
        <v>1</v>
      </c>
      <c r="AL1203">
        <v>0</v>
      </c>
      <c r="AM1203">
        <v>0</v>
      </c>
      <c r="AN1203">
        <v>0</v>
      </c>
      <c r="AO1203">
        <v>0</v>
      </c>
      <c r="AP1203">
        <v>0</v>
      </c>
      <c r="AQ1203">
        <v>0</v>
      </c>
      <c r="AR1203">
        <v>0</v>
      </c>
      <c r="AS1203">
        <v>0</v>
      </c>
      <c r="AT1203">
        <v>0</v>
      </c>
      <c r="AU1203">
        <v>0</v>
      </c>
      <c r="AV1203">
        <v>0</v>
      </c>
      <c r="AW1203">
        <v>0</v>
      </c>
      <c r="AX1203" s="141">
        <f t="shared" si="379"/>
        <v>1</v>
      </c>
      <c r="AY1203" s="141">
        <f t="shared" si="399"/>
        <v>1</v>
      </c>
      <c r="AZ1203">
        <f t="shared" si="400"/>
        <v>0</v>
      </c>
      <c r="BA1203">
        <f t="shared" si="401"/>
        <v>0</v>
      </c>
      <c r="BB1203">
        <f t="shared" si="402"/>
        <v>1</v>
      </c>
      <c r="BC1203">
        <f t="shared" si="403"/>
        <v>0</v>
      </c>
      <c r="BD1203">
        <f t="shared" si="404"/>
        <v>0</v>
      </c>
      <c r="BE1203" t="str" cm="1">
        <f t="array" ref="BE1203">IF(AY1203=1,INDEX($V$7:$AL$7,MATCH(TRUE,INDEX($V1203:$AW1203&lt;&gt;0,),0)),IF(AY1203=0,INDEX($AM$7:$AW$7,MATCH(1,$AM1203:$AW1203,0)),IF(BF1203="Multiple strategies","mixed drivers",IF(BF1203="Supply chain","multiple supply","multiple silviculture"))))</f>
        <v>technologies/design switch</v>
      </c>
      <c r="BF1203" s="2" t="str" cm="1">
        <f t="array" ref="BF1203">IF(COUNTIF(AZ1203:BB1203,"&lt;&gt;0")=1,INDEX($V$4:$AW$4,MATCH(TRUE,INDEX($V1203:$AW1203&lt;&gt;0,),0)),IF(COUNTIF(AZ1203:BB1203,"&lt;&gt;0")=0,INDEX($AM$4:$AW$4,MATCH(1,$AM1203:$AW1203,0)),"Multiple strategies"))</f>
        <v>Technology</v>
      </c>
      <c r="BG1203" s="1" t="s">
        <v>230</v>
      </c>
      <c r="BH1203" s="266" t="s">
        <v>717</v>
      </c>
      <c r="BI1203" s="266" t="s">
        <v>718</v>
      </c>
      <c r="BK1203">
        <v>0</v>
      </c>
      <c r="BL1203">
        <f>45+153.9+97+212.6+18.2</f>
        <v>526.70000000000005</v>
      </c>
      <c r="BN1203">
        <f t="shared" si="413"/>
        <v>526.70000000000005</v>
      </c>
      <c r="BO1203">
        <f>BN1203*t_to_m3</f>
        <v>1074.8979591836735</v>
      </c>
      <c r="BP1203" s="266" t="s">
        <v>396</v>
      </c>
      <c r="BQ1203" s="266" t="s">
        <v>691</v>
      </c>
      <c r="BR1203" s="266" t="s">
        <v>719</v>
      </c>
      <c r="BS1203">
        <f>234.2+262</f>
        <v>496.2</v>
      </c>
      <c r="BT1203">
        <f>42.9+141.2</f>
        <v>184.1</v>
      </c>
      <c r="BU1203" s="144">
        <f t="shared" ref="BU1203:BU1219" si="422">IFERROR(BT1203/BS1203,"")</f>
        <v>0.37101975010076582</v>
      </c>
      <c r="BV1203">
        <f>BT1203-BS1203</f>
        <v>-312.10000000000002</v>
      </c>
      <c r="BX1203">
        <f>BV1203</f>
        <v>-312.10000000000002</v>
      </c>
      <c r="BY1203">
        <f t="shared" si="378"/>
        <v>-0.29035314220618952</v>
      </c>
      <c r="BZ1203">
        <v>0</v>
      </c>
      <c r="CA1203">
        <v>0</v>
      </c>
      <c r="CB1203">
        <v>0</v>
      </c>
      <c r="CC1203">
        <v>0</v>
      </c>
      <c r="CD1203">
        <v>0</v>
      </c>
      <c r="CE1203">
        <v>0</v>
      </c>
      <c r="CF1203">
        <v>0</v>
      </c>
      <c r="CG1203">
        <v>0</v>
      </c>
      <c r="CH1203">
        <v>0</v>
      </c>
      <c r="CI1203">
        <v>0</v>
      </c>
      <c r="CJ1203">
        <v>0</v>
      </c>
      <c r="CK1203">
        <v>0</v>
      </c>
      <c r="CL1203">
        <v>0</v>
      </c>
      <c r="CM1203">
        <v>0</v>
      </c>
      <c r="CN1203" t="str">
        <f t="shared" si="414"/>
        <v>refOK</v>
      </c>
      <c r="CO1203"/>
      <c r="CP1203"/>
      <c r="CQ1203">
        <f t="shared" si="417"/>
        <v>1074.8979591836735</v>
      </c>
      <c r="CR1203">
        <f t="shared" si="395"/>
        <v>-496.2</v>
      </c>
      <c r="CS1203">
        <f t="shared" si="396"/>
        <v>-184.1</v>
      </c>
      <c r="CT1203">
        <f t="shared" si="397"/>
        <v>312.10000000000002</v>
      </c>
      <c r="CU1203">
        <f t="shared" si="419"/>
        <v>0.29035314220618952</v>
      </c>
      <c r="CV1203" s="2">
        <f t="shared" si="398"/>
        <v>0.62898024989923429</v>
      </c>
      <c r="CW1203" s="265" t="s">
        <v>264</v>
      </c>
      <c r="CX1203" s="266" t="str">
        <f t="shared" si="407"/>
        <v>loc</v>
      </c>
      <c r="CY1203" s="266" t="s">
        <v>720</v>
      </c>
      <c r="DB1203">
        <v>0</v>
      </c>
      <c r="DC1203" t="str">
        <f t="shared" si="408"/>
        <v>0</v>
      </c>
      <c r="DD1203">
        <v>0</v>
      </c>
      <c r="DE1203">
        <v>0</v>
      </c>
      <c r="DF1203">
        <v>0</v>
      </c>
      <c r="DG1203">
        <v>1</v>
      </c>
      <c r="DH1203">
        <v>0</v>
      </c>
      <c r="DI1203">
        <f>SUM(DD1203:DH1203)</f>
        <v>1</v>
      </c>
      <c r="DJ1203" t="str">
        <f t="shared" si="412"/>
        <v>TimberInput</v>
      </c>
      <c r="DK1203">
        <f t="shared" si="383"/>
        <v>0</v>
      </c>
      <c r="DL1203">
        <f t="shared" si="384"/>
        <v>0</v>
      </c>
      <c r="DM1203">
        <f t="shared" si="385"/>
        <v>0</v>
      </c>
      <c r="DN1203" t="str">
        <f t="shared" si="386"/>
        <v>Timber</v>
      </c>
      <c r="DO1203">
        <v>0</v>
      </c>
      <c r="DP1203">
        <v>0</v>
      </c>
      <c r="DQ1203">
        <v>0</v>
      </c>
      <c r="DR1203">
        <v>0</v>
      </c>
      <c r="DS1203">
        <v>0</v>
      </c>
      <c r="DT1203">
        <f t="shared" si="421"/>
        <v>0</v>
      </c>
      <c r="DU1203" t="str">
        <f t="shared" si="410"/>
        <v>explicit C balance</v>
      </c>
      <c r="DV1203">
        <v>0</v>
      </c>
      <c r="DW1203">
        <v>0</v>
      </c>
      <c r="DX1203">
        <v>0</v>
      </c>
      <c r="DY1203">
        <v>0</v>
      </c>
      <c r="DZ1203">
        <v>0</v>
      </c>
      <c r="EA1203" s="143">
        <v>0</v>
      </c>
      <c r="EB1203">
        <v>1</v>
      </c>
      <c r="EC1203">
        <v>1</v>
      </c>
      <c r="ED1203">
        <v>1</v>
      </c>
      <c r="EE1203">
        <v>0</v>
      </c>
      <c r="EF1203">
        <v>0</v>
      </c>
      <c r="EG1203">
        <v>0</v>
      </c>
      <c r="EH1203">
        <v>0</v>
      </c>
      <c r="EI1203" s="2">
        <v>0</v>
      </c>
      <c r="EK1203" t="str">
        <f t="shared" si="387"/>
        <v/>
      </c>
      <c r="EL1203" t="str">
        <f t="shared" si="388"/>
        <v/>
      </c>
      <c r="EM1203" s="2" t="str">
        <f t="shared" si="409"/>
        <v>Technology approach</v>
      </c>
      <c r="EP1203" t="str">
        <f>IF(ISNUMBER(BU1203),IF(ABS(BU1203-[1]QC_indicators!$B$2)&gt;3*[1]QC_indicators!$C$2,"C ratio",IF(ISNUMBER(BY1203),IF(ABS(BY1203-[1]QC_indicators!$B$1)&gt;3*[1]QC_indicators!$C$1,"DF","no"))),IF(ISNUMBER(BY1203),IF(ABS(BY1203-[1]QC_indicators!$B$1)&gt;3*[1]QC_indicators!$C$1,"DF","no")))</f>
        <v>no</v>
      </c>
      <c r="ET1203" s="266" t="s">
        <v>3409</v>
      </c>
    </row>
    <row r="1204" spans="1:150" ht="15" hidden="1" customHeight="1">
      <c r="A1204" s="1" t="s">
        <v>563</v>
      </c>
      <c r="B1204" t="s">
        <v>545</v>
      </c>
      <c r="C1204" t="s">
        <v>1595</v>
      </c>
      <c r="D1204" t="s">
        <v>1596</v>
      </c>
      <c r="E1204" t="s">
        <v>1597</v>
      </c>
      <c r="F1204" t="s">
        <v>1598</v>
      </c>
      <c r="G1204" t="s">
        <v>568</v>
      </c>
      <c r="H1204" t="s">
        <v>255</v>
      </c>
      <c r="I1204">
        <v>2019</v>
      </c>
      <c r="J1204">
        <v>15</v>
      </c>
      <c r="K1204" t="s">
        <v>1599</v>
      </c>
      <c r="M1204" t="str">
        <f t="shared" si="411"/>
        <v>Geng_2019</v>
      </c>
      <c r="N1204" t="s">
        <v>223</v>
      </c>
      <c r="O1204" s="181" t="s">
        <v>226</v>
      </c>
      <c r="Q1204" s="266" t="s">
        <v>257</v>
      </c>
      <c r="R1204" s="271" t="s">
        <v>1156</v>
      </c>
      <c r="S1204" s="1" t="s">
        <v>1600</v>
      </c>
      <c r="T1204" t="s">
        <v>1601</v>
      </c>
      <c r="V1204">
        <v>0</v>
      </c>
      <c r="W1204">
        <v>0</v>
      </c>
      <c r="X1204">
        <v>0</v>
      </c>
      <c r="Y1204">
        <v>0</v>
      </c>
      <c r="Z1204">
        <v>0</v>
      </c>
      <c r="AA1204">
        <v>0</v>
      </c>
      <c r="AB1204">
        <v>0</v>
      </c>
      <c r="AC1204">
        <v>0</v>
      </c>
      <c r="AD1204">
        <v>0</v>
      </c>
      <c r="AE1204">
        <v>0</v>
      </c>
      <c r="AF1204">
        <v>0</v>
      </c>
      <c r="AG1204">
        <v>0</v>
      </c>
      <c r="AH1204">
        <v>0</v>
      </c>
      <c r="AI1204">
        <v>0</v>
      </c>
      <c r="AJ1204">
        <v>0</v>
      </c>
      <c r="AK1204">
        <v>1</v>
      </c>
      <c r="AL1204">
        <v>0</v>
      </c>
      <c r="AM1204">
        <v>0</v>
      </c>
      <c r="AN1204">
        <v>0</v>
      </c>
      <c r="AO1204">
        <v>0</v>
      </c>
      <c r="AP1204">
        <v>0</v>
      </c>
      <c r="AQ1204">
        <v>0</v>
      </c>
      <c r="AR1204">
        <v>0</v>
      </c>
      <c r="AS1204">
        <v>0</v>
      </c>
      <c r="AT1204">
        <v>0</v>
      </c>
      <c r="AU1204">
        <v>0</v>
      </c>
      <c r="AV1204">
        <v>0</v>
      </c>
      <c r="AW1204">
        <v>0</v>
      </c>
      <c r="AX1204" s="141">
        <f t="shared" si="379"/>
        <v>1</v>
      </c>
      <c r="AY1204" s="141">
        <f t="shared" si="399"/>
        <v>1</v>
      </c>
      <c r="AZ1204">
        <f t="shared" si="400"/>
        <v>0</v>
      </c>
      <c r="BA1204">
        <f t="shared" si="401"/>
        <v>0</v>
      </c>
      <c r="BB1204">
        <f t="shared" si="402"/>
        <v>1</v>
      </c>
      <c r="BC1204">
        <f t="shared" si="403"/>
        <v>0</v>
      </c>
      <c r="BD1204">
        <f t="shared" si="404"/>
        <v>0</v>
      </c>
      <c r="BE1204" t="str" cm="1">
        <f t="array" ref="BE1204">IF(AY1204=1,INDEX($V$7:$AL$7,MATCH(TRUE,INDEX($V1204:$AW1204&lt;&gt;0,),0)),IF(AY1204=0,INDEX($AM$7:$AW$7,MATCH(1,$AM1204:$AW1204,0)),IF(BF1204="Multiple strategies","mixed drivers",IF(BF1204="Supply chain","multiple supply","multiple silviculture"))))</f>
        <v>technologies/design switch</v>
      </c>
      <c r="BF1204" s="2" t="str" cm="1">
        <f t="array" ref="BF1204">IF(COUNTIF(AZ1204:BB1204,"&lt;&gt;0")=1,INDEX($V$4:$AW$4,MATCH(TRUE,INDEX($V1204:$AW1204&lt;&gt;0,),0)),IF(COUNTIF(AZ1204:BB1204,"&lt;&gt;0")=0,INDEX($AM$4:$AW$4,MATCH(1,$AM1204:$AW1204,0)),"Multiple strategies"))</f>
        <v>Technology</v>
      </c>
      <c r="BG1204" s="1" t="s">
        <v>230</v>
      </c>
      <c r="BH1204" t="s">
        <v>1602</v>
      </c>
      <c r="BJ1204" t="s">
        <v>1603</v>
      </c>
      <c r="BK1204">
        <v>0</v>
      </c>
      <c r="BL1204">
        <v>2.6</v>
      </c>
      <c r="BN1204">
        <f t="shared" si="413"/>
        <v>2.6</v>
      </c>
      <c r="BO1204">
        <f t="shared" ref="BO1204:BO1219" si="423">BN1204*kg_to_m3</f>
        <v>5.3061224489795921E-3</v>
      </c>
      <c r="BP1204" t="s">
        <v>233</v>
      </c>
      <c r="BR1204" t="s">
        <v>1604</v>
      </c>
      <c r="BU1204" s="144" t="str">
        <f t="shared" si="422"/>
        <v/>
      </c>
      <c r="BV1204">
        <v>-0.26</v>
      </c>
      <c r="BX1204">
        <f>BV1204/1000</f>
        <v>-2.6000000000000003E-4</v>
      </c>
      <c r="BY1204">
        <f t="shared" si="378"/>
        <v>-4.9000000000000002E-2</v>
      </c>
      <c r="BZ1204">
        <v>0</v>
      </c>
      <c r="CA1204">
        <v>0</v>
      </c>
      <c r="CB1204">
        <v>0</v>
      </c>
      <c r="CC1204">
        <v>0</v>
      </c>
      <c r="CD1204">
        <v>0</v>
      </c>
      <c r="CE1204">
        <v>0</v>
      </c>
      <c r="CF1204">
        <v>0</v>
      </c>
      <c r="CG1204">
        <v>0</v>
      </c>
      <c r="CH1204">
        <v>0</v>
      </c>
      <c r="CI1204">
        <v>0</v>
      </c>
      <c r="CJ1204">
        <v>0</v>
      </c>
      <c r="CK1204">
        <v>0</v>
      </c>
      <c r="CL1204">
        <v>0</v>
      </c>
      <c r="CM1204">
        <v>0</v>
      </c>
      <c r="CN1204" t="str">
        <f t="shared" ref="CN1204:CN1219" si="424">IF(BL1204&lt;BK1204,"refNeedCorrection","refOK")</f>
        <v>refOK</v>
      </c>
      <c r="CO1204">
        <f t="shared" ref="CO1204:CO1235" si="425">IF($CN1204="refOK",$BK1204,$BL1204)</f>
        <v>0</v>
      </c>
      <c r="CP1204">
        <f t="shared" ref="CP1204:CP1235" si="426">IF($CN1204="refOK",$BL1204,$BK1204)</f>
        <v>2.6</v>
      </c>
      <c r="CQ1204">
        <f t="shared" si="417"/>
        <v>5.3061224489795921E-3</v>
      </c>
      <c r="CR1204">
        <f t="shared" si="395"/>
        <v>0</v>
      </c>
      <c r="CS1204">
        <f t="shared" si="396"/>
        <v>0</v>
      </c>
      <c r="CT1204">
        <f t="shared" si="397"/>
        <v>-2.6000000000000003E-4</v>
      </c>
      <c r="CU1204">
        <f t="shared" si="419"/>
        <v>-4.9000000000000002E-2</v>
      </c>
      <c r="CV1204" s="2" t="str">
        <f t="shared" si="398"/>
        <v/>
      </c>
      <c r="CW1204" s="1" t="s">
        <v>1205</v>
      </c>
      <c r="CX1204" s="266" t="str">
        <f t="shared" si="407"/>
        <v>reg</v>
      </c>
      <c r="CY1204" t="s">
        <v>692</v>
      </c>
      <c r="CZ1204">
        <v>2019</v>
      </c>
      <c r="DB1204">
        <v>0</v>
      </c>
      <c r="DC1204" t="str">
        <f t="shared" si="408"/>
        <v>0</v>
      </c>
      <c r="DD1204">
        <v>0</v>
      </c>
      <c r="DE1204">
        <v>0</v>
      </c>
      <c r="DF1204">
        <v>0</v>
      </c>
      <c r="DG1204">
        <v>1</v>
      </c>
      <c r="DI1204">
        <f t="shared" ref="DI1204:DI1225" si="427">SUM(DD1204:DG1204)</f>
        <v>1</v>
      </c>
      <c r="DJ1204" t="str">
        <f t="shared" si="412"/>
        <v>TimberInput</v>
      </c>
      <c r="DK1204">
        <f t="shared" si="383"/>
        <v>0</v>
      </c>
      <c r="DL1204">
        <f t="shared" si="384"/>
        <v>0</v>
      </c>
      <c r="DM1204">
        <f t="shared" si="385"/>
        <v>0</v>
      </c>
      <c r="DN1204" t="str">
        <f t="shared" si="386"/>
        <v>Timber</v>
      </c>
      <c r="DO1204">
        <v>1</v>
      </c>
      <c r="DP1204">
        <v>0</v>
      </c>
      <c r="DQ1204">
        <v>0</v>
      </c>
      <c r="DR1204">
        <v>0</v>
      </c>
      <c r="DS1204">
        <v>0</v>
      </c>
      <c r="DT1204">
        <f t="shared" si="421"/>
        <v>1</v>
      </c>
      <c r="DU1204" s="143" t="str">
        <f t="shared" si="410"/>
        <v>self-calculated DF</v>
      </c>
      <c r="DV1204">
        <v>0</v>
      </c>
      <c r="DW1204">
        <v>0</v>
      </c>
      <c r="DX1204">
        <v>0</v>
      </c>
      <c r="DY1204">
        <v>0</v>
      </c>
      <c r="DZ1204">
        <v>0</v>
      </c>
      <c r="EA1204" s="143">
        <v>1</v>
      </c>
      <c r="EB1204">
        <v>0</v>
      </c>
      <c r="EC1204">
        <v>1</v>
      </c>
      <c r="ED1204">
        <v>0</v>
      </c>
      <c r="EE1204">
        <v>0</v>
      </c>
      <c r="EF1204">
        <v>0</v>
      </c>
      <c r="EG1204">
        <v>0</v>
      </c>
      <c r="EH1204">
        <v>0</v>
      </c>
      <c r="EI1204" s="2">
        <v>0</v>
      </c>
      <c r="EK1204" t="str">
        <f t="shared" si="387"/>
        <v/>
      </c>
      <c r="EL1204" t="str">
        <f t="shared" si="388"/>
        <v/>
      </c>
      <c r="EM1204" s="2" t="str">
        <f t="shared" si="409"/>
        <v/>
      </c>
      <c r="EN1204" t="s">
        <v>1605</v>
      </c>
      <c r="EP1204" t="str">
        <f>IF(ISNUMBER(BU1204),IF(ABS(BU1204-[1]QC_indicators!$B$2)&gt;3*[1]QC_indicators!$C$2,"C ratio",IF(ISNUMBER(BY1204),IF(ABS(BY1204-[1]QC_indicators!$B$1)&gt;3*[1]QC_indicators!$C$1,"DF","no"))),IF(ISNUMBER(BY1204),IF(ABS(BY1204-[1]QC_indicators!$B$1)&gt;3*[1]QC_indicators!$C$1,"DF","no")))</f>
        <v>no</v>
      </c>
      <c r="ER1204" t="s">
        <v>1606</v>
      </c>
      <c r="ET1204" s="266" t="s">
        <v>3409</v>
      </c>
    </row>
    <row r="1205" spans="1:150" ht="15" hidden="1" customHeight="1">
      <c r="A1205" s="1" t="s">
        <v>563</v>
      </c>
      <c r="B1205" t="s">
        <v>545</v>
      </c>
      <c r="C1205" t="s">
        <v>1595</v>
      </c>
      <c r="D1205" t="s">
        <v>1596</v>
      </c>
      <c r="E1205" t="s">
        <v>1597</v>
      </c>
      <c r="F1205" t="s">
        <v>1598</v>
      </c>
      <c r="G1205" t="s">
        <v>568</v>
      </c>
      <c r="H1205" t="s">
        <v>255</v>
      </c>
      <c r="I1205">
        <v>2019</v>
      </c>
      <c r="J1205">
        <v>15</v>
      </c>
      <c r="K1205" t="s">
        <v>1599</v>
      </c>
      <c r="M1205" t="str">
        <f t="shared" si="411"/>
        <v>Geng_2019</v>
      </c>
      <c r="N1205" t="s">
        <v>223</v>
      </c>
      <c r="O1205" s="181" t="s">
        <v>226</v>
      </c>
      <c r="Q1205" s="266" t="s">
        <v>257</v>
      </c>
      <c r="R1205" s="271" t="s">
        <v>1156</v>
      </c>
      <c r="S1205" s="1" t="s">
        <v>1600</v>
      </c>
      <c r="T1205" t="s">
        <v>1607</v>
      </c>
      <c r="V1205">
        <v>0</v>
      </c>
      <c r="W1205">
        <v>0</v>
      </c>
      <c r="X1205">
        <v>0</v>
      </c>
      <c r="Y1205">
        <v>0</v>
      </c>
      <c r="Z1205">
        <v>0</v>
      </c>
      <c r="AA1205">
        <v>0</v>
      </c>
      <c r="AB1205">
        <v>0</v>
      </c>
      <c r="AC1205">
        <v>0</v>
      </c>
      <c r="AD1205">
        <v>0</v>
      </c>
      <c r="AE1205">
        <v>0</v>
      </c>
      <c r="AF1205">
        <v>0</v>
      </c>
      <c r="AG1205">
        <v>0</v>
      </c>
      <c r="AH1205">
        <v>0</v>
      </c>
      <c r="AI1205">
        <v>0</v>
      </c>
      <c r="AJ1205">
        <v>0</v>
      </c>
      <c r="AK1205">
        <v>1</v>
      </c>
      <c r="AL1205">
        <v>0</v>
      </c>
      <c r="AM1205">
        <v>0</v>
      </c>
      <c r="AN1205">
        <v>0</v>
      </c>
      <c r="AO1205">
        <v>0</v>
      </c>
      <c r="AP1205">
        <v>0</v>
      </c>
      <c r="AQ1205">
        <v>0</v>
      </c>
      <c r="AR1205">
        <v>0</v>
      </c>
      <c r="AS1205">
        <v>0</v>
      </c>
      <c r="AT1205">
        <v>0</v>
      </c>
      <c r="AU1205">
        <v>0</v>
      </c>
      <c r="AV1205">
        <v>0</v>
      </c>
      <c r="AW1205">
        <v>0</v>
      </c>
      <c r="AX1205" s="141">
        <f t="shared" si="379"/>
        <v>1</v>
      </c>
      <c r="AY1205" s="141">
        <f t="shared" si="399"/>
        <v>1</v>
      </c>
      <c r="AZ1205">
        <f t="shared" si="400"/>
        <v>0</v>
      </c>
      <c r="BA1205">
        <f t="shared" si="401"/>
        <v>0</v>
      </c>
      <c r="BB1205">
        <f t="shared" si="402"/>
        <v>1</v>
      </c>
      <c r="BC1205">
        <f t="shared" si="403"/>
        <v>0</v>
      </c>
      <c r="BD1205">
        <f t="shared" si="404"/>
        <v>0</v>
      </c>
      <c r="BE1205" t="str" cm="1">
        <f t="array" ref="BE1205">IF(AY1205=1,INDEX($V$7:$AL$7,MATCH(TRUE,INDEX($V1205:$AW1205&lt;&gt;0,),0)),IF(AY1205=0,INDEX($AM$7:$AW$7,MATCH(1,$AM1205:$AW1205,0)),IF(BF1205="Multiple strategies","mixed drivers",IF(BF1205="Supply chain","multiple supply","multiple silviculture"))))</f>
        <v>technologies/design switch</v>
      </c>
      <c r="BF1205" s="2" t="str" cm="1">
        <f t="array" ref="BF1205">IF(COUNTIF(AZ1205:BB1205,"&lt;&gt;0")=1,INDEX($V$4:$AW$4,MATCH(TRUE,INDEX($V1205:$AW1205&lt;&gt;0,),0)),IF(COUNTIF(AZ1205:BB1205,"&lt;&gt;0")=0,INDEX($AM$4:$AW$4,MATCH(1,$AM1205:$AW1205,0)),"Multiple strategies"))</f>
        <v>Technology</v>
      </c>
      <c r="BG1205" s="1" t="s">
        <v>230</v>
      </c>
      <c r="BH1205" t="s">
        <v>1602</v>
      </c>
      <c r="BJ1205" t="s">
        <v>1603</v>
      </c>
      <c r="BK1205">
        <v>30.52</v>
      </c>
      <c r="BL1205">
        <v>81.7</v>
      </c>
      <c r="BM1205">
        <f t="shared" ref="BM1205:BM1219" si="428">BL1205/BK1205</f>
        <v>2.6769331585845348</v>
      </c>
      <c r="BN1205">
        <f t="shared" si="413"/>
        <v>51.180000000000007</v>
      </c>
      <c r="BO1205">
        <f t="shared" si="423"/>
        <v>0.10444897959183676</v>
      </c>
      <c r="BP1205" t="s">
        <v>233</v>
      </c>
      <c r="BR1205" t="s">
        <v>1604</v>
      </c>
      <c r="BU1205" s="144" t="str">
        <f t="shared" si="422"/>
        <v/>
      </c>
      <c r="BV1205">
        <v>10.02</v>
      </c>
      <c r="BX1205">
        <f>BV1205/1000</f>
        <v>1.0019999999999999E-2</v>
      </c>
      <c r="BY1205">
        <f t="shared" si="378"/>
        <v>9.5932004689331746E-2</v>
      </c>
      <c r="BZ1205">
        <v>0</v>
      </c>
      <c r="CA1205">
        <v>0</v>
      </c>
      <c r="CB1205">
        <v>0</v>
      </c>
      <c r="CC1205">
        <v>0</v>
      </c>
      <c r="CD1205">
        <v>0</v>
      </c>
      <c r="CE1205">
        <v>0</v>
      </c>
      <c r="CF1205">
        <v>0</v>
      </c>
      <c r="CG1205">
        <v>0</v>
      </c>
      <c r="CH1205">
        <v>0</v>
      </c>
      <c r="CI1205">
        <v>0</v>
      </c>
      <c r="CJ1205">
        <v>0</v>
      </c>
      <c r="CK1205">
        <v>0</v>
      </c>
      <c r="CL1205">
        <v>0</v>
      </c>
      <c r="CM1205">
        <v>0</v>
      </c>
      <c r="CN1205" t="str">
        <f t="shared" si="424"/>
        <v>refOK</v>
      </c>
      <c r="CO1205">
        <f t="shared" si="425"/>
        <v>30.52</v>
      </c>
      <c r="CP1205">
        <f t="shared" si="426"/>
        <v>81.7</v>
      </c>
      <c r="CQ1205">
        <f t="shared" si="417"/>
        <v>0.10444897959183676</v>
      </c>
      <c r="CR1205">
        <f t="shared" si="395"/>
        <v>0</v>
      </c>
      <c r="CS1205">
        <f t="shared" si="396"/>
        <v>0</v>
      </c>
      <c r="CT1205">
        <f t="shared" si="397"/>
        <v>1.0019999999999999E-2</v>
      </c>
      <c r="CU1205">
        <f t="shared" si="419"/>
        <v>9.5932004689331746E-2</v>
      </c>
      <c r="CV1205" s="2" t="str">
        <f t="shared" si="398"/>
        <v/>
      </c>
      <c r="CW1205" s="1" t="s">
        <v>1205</v>
      </c>
      <c r="CX1205" s="266" t="str">
        <f t="shared" si="407"/>
        <v>reg</v>
      </c>
      <c r="CY1205" t="s">
        <v>692</v>
      </c>
      <c r="CZ1205">
        <v>2019</v>
      </c>
      <c r="DB1205">
        <v>0</v>
      </c>
      <c r="DC1205" t="str">
        <f t="shared" si="408"/>
        <v>0</v>
      </c>
      <c r="DD1205">
        <v>0</v>
      </c>
      <c r="DE1205">
        <v>0</v>
      </c>
      <c r="DF1205">
        <v>0</v>
      </c>
      <c r="DG1205">
        <v>1</v>
      </c>
      <c r="DI1205">
        <f t="shared" si="427"/>
        <v>1</v>
      </c>
      <c r="DJ1205" t="str">
        <f t="shared" si="412"/>
        <v>TimberInput</v>
      </c>
      <c r="DK1205">
        <f t="shared" si="383"/>
        <v>0</v>
      </c>
      <c r="DL1205">
        <f t="shared" si="384"/>
        <v>0</v>
      </c>
      <c r="DM1205">
        <f t="shared" si="385"/>
        <v>0</v>
      </c>
      <c r="DN1205" t="str">
        <f t="shared" si="386"/>
        <v>Timber</v>
      </c>
      <c r="DO1205">
        <v>1</v>
      </c>
      <c r="DP1205">
        <v>0</v>
      </c>
      <c r="DQ1205">
        <v>0</v>
      </c>
      <c r="DR1205">
        <v>0</v>
      </c>
      <c r="DS1205">
        <v>0</v>
      </c>
      <c r="DT1205">
        <f t="shared" si="421"/>
        <v>1</v>
      </c>
      <c r="DU1205" s="143" t="str">
        <f t="shared" si="410"/>
        <v>self-calculated DF</v>
      </c>
      <c r="DV1205">
        <v>0</v>
      </c>
      <c r="DW1205">
        <v>0</v>
      </c>
      <c r="DX1205">
        <v>0</v>
      </c>
      <c r="DY1205">
        <v>0</v>
      </c>
      <c r="DZ1205">
        <v>0</v>
      </c>
      <c r="EA1205" s="143">
        <v>1</v>
      </c>
      <c r="EB1205">
        <v>0</v>
      </c>
      <c r="EC1205">
        <v>1</v>
      </c>
      <c r="ED1205">
        <v>0</v>
      </c>
      <c r="EE1205">
        <v>0</v>
      </c>
      <c r="EF1205">
        <v>0</v>
      </c>
      <c r="EG1205">
        <v>0</v>
      </c>
      <c r="EH1205">
        <v>0</v>
      </c>
      <c r="EI1205" s="2">
        <v>0</v>
      </c>
      <c r="EK1205" t="str">
        <f t="shared" si="387"/>
        <v/>
      </c>
      <c r="EL1205" t="str">
        <f t="shared" si="388"/>
        <v/>
      </c>
      <c r="EM1205" s="2" t="str">
        <f t="shared" si="409"/>
        <v/>
      </c>
      <c r="EN1205" t="s">
        <v>1605</v>
      </c>
      <c r="EP1205" t="str">
        <f>IF(ISNUMBER(BU1205),IF(ABS(BU1205-[1]QC_indicators!$B$2)&gt;3*[1]QC_indicators!$C$2,"C ratio",IF(ISNUMBER(BY1205),IF(ABS(BY1205-[1]QC_indicators!$B$1)&gt;3*[1]QC_indicators!$C$1,"DF","no"))),IF(ISNUMBER(BY1205),IF(ABS(BY1205-[1]QC_indicators!$B$1)&gt;3*[1]QC_indicators!$C$1,"DF","no")))</f>
        <v>no</v>
      </c>
      <c r="ER1205" t="s">
        <v>1606</v>
      </c>
      <c r="ET1205" s="266" t="s">
        <v>3409</v>
      </c>
    </row>
    <row r="1206" spans="1:150" ht="15" hidden="1" customHeight="1">
      <c r="A1206" s="1" t="s">
        <v>563</v>
      </c>
      <c r="B1206" t="s">
        <v>545</v>
      </c>
      <c r="C1206" t="s">
        <v>1595</v>
      </c>
      <c r="D1206" t="s">
        <v>1596</v>
      </c>
      <c r="E1206" t="s">
        <v>1597</v>
      </c>
      <c r="F1206" t="s">
        <v>1598</v>
      </c>
      <c r="G1206" t="s">
        <v>568</v>
      </c>
      <c r="H1206" t="s">
        <v>255</v>
      </c>
      <c r="I1206">
        <v>2019</v>
      </c>
      <c r="J1206">
        <v>15</v>
      </c>
      <c r="K1206" t="s">
        <v>1599</v>
      </c>
      <c r="M1206" t="str">
        <f t="shared" si="411"/>
        <v>Geng_2019</v>
      </c>
      <c r="N1206" t="s">
        <v>223</v>
      </c>
      <c r="O1206" s="181" t="s">
        <v>226</v>
      </c>
      <c r="Q1206" s="266" t="s">
        <v>257</v>
      </c>
      <c r="R1206" s="271" t="s">
        <v>1156</v>
      </c>
      <c r="S1206" s="1" t="s">
        <v>1600</v>
      </c>
      <c r="T1206" t="s">
        <v>1608</v>
      </c>
      <c r="V1206">
        <v>0</v>
      </c>
      <c r="W1206">
        <v>0</v>
      </c>
      <c r="X1206">
        <v>0</v>
      </c>
      <c r="Y1206">
        <v>0</v>
      </c>
      <c r="Z1206">
        <v>0</v>
      </c>
      <c r="AA1206">
        <v>0</v>
      </c>
      <c r="AB1206">
        <v>0</v>
      </c>
      <c r="AC1206">
        <v>0</v>
      </c>
      <c r="AD1206">
        <v>0</v>
      </c>
      <c r="AE1206">
        <v>0</v>
      </c>
      <c r="AF1206">
        <v>0</v>
      </c>
      <c r="AG1206">
        <v>0</v>
      </c>
      <c r="AH1206">
        <v>0</v>
      </c>
      <c r="AI1206">
        <v>0</v>
      </c>
      <c r="AJ1206">
        <v>0</v>
      </c>
      <c r="AK1206">
        <v>1</v>
      </c>
      <c r="AL1206">
        <v>0</v>
      </c>
      <c r="AM1206">
        <v>0</v>
      </c>
      <c r="AN1206">
        <v>0</v>
      </c>
      <c r="AO1206">
        <v>0</v>
      </c>
      <c r="AP1206">
        <v>0</v>
      </c>
      <c r="AQ1206">
        <v>0</v>
      </c>
      <c r="AR1206">
        <v>0</v>
      </c>
      <c r="AS1206">
        <v>0</v>
      </c>
      <c r="AT1206">
        <v>0</v>
      </c>
      <c r="AU1206">
        <v>0</v>
      </c>
      <c r="AV1206">
        <v>0</v>
      </c>
      <c r="AW1206">
        <v>0</v>
      </c>
      <c r="AX1206" s="141">
        <f t="shared" si="379"/>
        <v>1</v>
      </c>
      <c r="AY1206" s="141">
        <f t="shared" si="399"/>
        <v>1</v>
      </c>
      <c r="AZ1206">
        <f t="shared" si="400"/>
        <v>0</v>
      </c>
      <c r="BA1206">
        <f t="shared" si="401"/>
        <v>0</v>
      </c>
      <c r="BB1206">
        <f t="shared" si="402"/>
        <v>1</v>
      </c>
      <c r="BC1206">
        <f t="shared" si="403"/>
        <v>0</v>
      </c>
      <c r="BD1206">
        <f t="shared" si="404"/>
        <v>0</v>
      </c>
      <c r="BE1206" t="str" cm="1">
        <f t="array" ref="BE1206">IF(AY1206=1,INDEX($V$7:$AL$7,MATCH(TRUE,INDEX($V1206:$AW1206&lt;&gt;0,),0)),IF(AY1206=0,INDEX($AM$7:$AW$7,MATCH(1,$AM1206:$AW1206,0)),IF(BF1206="Multiple strategies","mixed drivers",IF(BF1206="Supply chain","multiple supply","multiple silviculture"))))</f>
        <v>technologies/design switch</v>
      </c>
      <c r="BF1206" s="2" t="str" cm="1">
        <f t="array" ref="BF1206">IF(COUNTIF(AZ1206:BB1206,"&lt;&gt;0")=1,INDEX($V$4:$AW$4,MATCH(TRUE,INDEX($V1206:$AW1206&lt;&gt;0,),0)),IF(COUNTIF(AZ1206:BB1206,"&lt;&gt;0")=0,INDEX($AM$4:$AW$4,MATCH(1,$AM1206:$AW1206,0)),"Multiple strategies"))</f>
        <v>Technology</v>
      </c>
      <c r="BG1206" s="1" t="s">
        <v>230</v>
      </c>
      <c r="BH1206" t="s">
        <v>1602</v>
      </c>
      <c r="BJ1206" t="s">
        <v>1603</v>
      </c>
      <c r="BK1206">
        <v>259.45</v>
      </c>
      <c r="BL1206">
        <v>286.64999999999998</v>
      </c>
      <c r="BM1206">
        <f t="shared" si="428"/>
        <v>1.104837155521295</v>
      </c>
      <c r="BN1206">
        <f t="shared" si="413"/>
        <v>27.199999999999989</v>
      </c>
      <c r="BO1206">
        <f t="shared" si="423"/>
        <v>5.5510204081632632E-2</v>
      </c>
      <c r="BP1206" t="s">
        <v>233</v>
      </c>
      <c r="BR1206" t="s">
        <v>1604</v>
      </c>
      <c r="BU1206" s="144" t="str">
        <f t="shared" si="422"/>
        <v/>
      </c>
      <c r="BV1206">
        <v>12.97</v>
      </c>
      <c r="BX1206">
        <f>BV1206/1000</f>
        <v>1.2970000000000001E-2</v>
      </c>
      <c r="BY1206">
        <f t="shared" si="378"/>
        <v>0.23365073529411776</v>
      </c>
      <c r="BZ1206">
        <v>0</v>
      </c>
      <c r="CA1206">
        <v>0</v>
      </c>
      <c r="CB1206">
        <v>0</v>
      </c>
      <c r="CC1206">
        <v>0</v>
      </c>
      <c r="CD1206">
        <v>0</v>
      </c>
      <c r="CE1206">
        <v>0</v>
      </c>
      <c r="CF1206">
        <v>0</v>
      </c>
      <c r="CG1206">
        <v>0</v>
      </c>
      <c r="CH1206">
        <v>0</v>
      </c>
      <c r="CI1206">
        <v>0</v>
      </c>
      <c r="CJ1206">
        <v>0</v>
      </c>
      <c r="CK1206">
        <v>0</v>
      </c>
      <c r="CL1206">
        <v>0</v>
      </c>
      <c r="CM1206">
        <v>0</v>
      </c>
      <c r="CN1206" t="str">
        <f t="shared" si="424"/>
        <v>refOK</v>
      </c>
      <c r="CO1206">
        <f t="shared" si="425"/>
        <v>259.45</v>
      </c>
      <c r="CP1206">
        <f t="shared" si="426"/>
        <v>286.64999999999998</v>
      </c>
      <c r="CQ1206">
        <f t="shared" si="417"/>
        <v>5.5510204081632632E-2</v>
      </c>
      <c r="CR1206">
        <f t="shared" ref="CR1206:CR1235" si="429">IF($CN1206="refOK",$BS1206,$BT1206)*IF($BP1206="Emissions positive",-1,1)</f>
        <v>0</v>
      </c>
      <c r="CS1206">
        <f t="shared" ref="CS1206:CS1235" si="430">IF($CN1206="refOK",$BT1206,$BS1206)*IF($BP1206="Emissions positive",-1,1)</f>
        <v>0</v>
      </c>
      <c r="CT1206">
        <f t="shared" ref="CT1206:CT1241" si="431">IF($CN1206="refNeedCorrection",-BX1206,BX1206)*IF($BP1206="Emissions positive",-1,1)</f>
        <v>1.2970000000000001E-2</v>
      </c>
      <c r="CU1206">
        <f t="shared" si="419"/>
        <v>0.23365073529411776</v>
      </c>
      <c r="CV1206" s="2" t="str">
        <f t="shared" ref="CV1206:CV1241" si="432">IFERROR((CS1206-CR1206)/ABS(CR1206),"")</f>
        <v/>
      </c>
      <c r="CW1206" s="1" t="s">
        <v>1205</v>
      </c>
      <c r="CX1206" s="266" t="str">
        <f t="shared" si="407"/>
        <v>reg</v>
      </c>
      <c r="CY1206" t="s">
        <v>692</v>
      </c>
      <c r="CZ1206">
        <v>2019</v>
      </c>
      <c r="DB1206">
        <v>0</v>
      </c>
      <c r="DC1206" t="str">
        <f t="shared" si="408"/>
        <v>0</v>
      </c>
      <c r="DD1206">
        <v>0</v>
      </c>
      <c r="DE1206">
        <v>0</v>
      </c>
      <c r="DF1206">
        <v>0</v>
      </c>
      <c r="DG1206">
        <v>1</v>
      </c>
      <c r="DI1206">
        <f t="shared" si="427"/>
        <v>1</v>
      </c>
      <c r="DJ1206" t="str">
        <f t="shared" si="412"/>
        <v>TimberInput</v>
      </c>
      <c r="DK1206">
        <f t="shared" si="383"/>
        <v>0</v>
      </c>
      <c r="DL1206">
        <f t="shared" si="384"/>
        <v>0</v>
      </c>
      <c r="DM1206">
        <f t="shared" si="385"/>
        <v>0</v>
      </c>
      <c r="DN1206" t="str">
        <f t="shared" si="386"/>
        <v>Timber</v>
      </c>
      <c r="DO1206">
        <v>1</v>
      </c>
      <c r="DP1206">
        <v>0</v>
      </c>
      <c r="DQ1206">
        <v>0</v>
      </c>
      <c r="DR1206">
        <v>0</v>
      </c>
      <c r="DS1206">
        <v>0</v>
      </c>
      <c r="DT1206">
        <f t="shared" si="421"/>
        <v>1</v>
      </c>
      <c r="DU1206" s="143" t="str">
        <f t="shared" si="410"/>
        <v>self-calculated DF</v>
      </c>
      <c r="DV1206">
        <v>0</v>
      </c>
      <c r="DW1206">
        <v>0</v>
      </c>
      <c r="DX1206">
        <v>0</v>
      </c>
      <c r="DY1206">
        <v>0</v>
      </c>
      <c r="DZ1206">
        <v>0</v>
      </c>
      <c r="EA1206" s="143">
        <v>1</v>
      </c>
      <c r="EB1206">
        <v>0</v>
      </c>
      <c r="EC1206">
        <v>1</v>
      </c>
      <c r="ED1206">
        <v>0</v>
      </c>
      <c r="EE1206">
        <v>0</v>
      </c>
      <c r="EF1206">
        <v>0</v>
      </c>
      <c r="EG1206">
        <v>0</v>
      </c>
      <c r="EH1206">
        <v>0</v>
      </c>
      <c r="EI1206" s="2">
        <v>0</v>
      </c>
      <c r="EK1206" t="str">
        <f t="shared" si="387"/>
        <v/>
      </c>
      <c r="EL1206" t="str">
        <f t="shared" si="388"/>
        <v/>
      </c>
      <c r="EM1206" s="2" t="str">
        <f t="shared" si="409"/>
        <v/>
      </c>
      <c r="EN1206" t="s">
        <v>1605</v>
      </c>
      <c r="EP1206" t="str">
        <f>IF(ISNUMBER(BU1206),IF(ABS(BU1206-[1]QC_indicators!$B$2)&gt;3*[1]QC_indicators!$C$2,"C ratio",IF(ISNUMBER(BY1206),IF(ABS(BY1206-[1]QC_indicators!$B$1)&gt;3*[1]QC_indicators!$C$1,"DF","no"))),IF(ISNUMBER(BY1206),IF(ABS(BY1206-[1]QC_indicators!$B$1)&gt;3*[1]QC_indicators!$C$1,"DF","no")))</f>
        <v>no</v>
      </c>
      <c r="ER1206" t="s">
        <v>1606</v>
      </c>
      <c r="ET1206" s="266" t="s">
        <v>3409</v>
      </c>
    </row>
    <row r="1207" spans="1:150" ht="15" hidden="1" customHeight="1">
      <c r="A1207" s="1" t="s">
        <v>563</v>
      </c>
      <c r="B1207" t="s">
        <v>545</v>
      </c>
      <c r="C1207" t="s">
        <v>1595</v>
      </c>
      <c r="D1207" t="s">
        <v>1596</v>
      </c>
      <c r="E1207" t="s">
        <v>1597</v>
      </c>
      <c r="F1207" t="s">
        <v>1598</v>
      </c>
      <c r="G1207" t="s">
        <v>568</v>
      </c>
      <c r="H1207" t="s">
        <v>255</v>
      </c>
      <c r="I1207">
        <v>2019</v>
      </c>
      <c r="J1207">
        <v>15</v>
      </c>
      <c r="K1207" t="s">
        <v>1599</v>
      </c>
      <c r="M1207" t="str">
        <f t="shared" si="411"/>
        <v>Geng_2019</v>
      </c>
      <c r="N1207" t="s">
        <v>223</v>
      </c>
      <c r="O1207" s="181" t="s">
        <v>226</v>
      </c>
      <c r="Q1207" s="266" t="s">
        <v>257</v>
      </c>
      <c r="R1207" s="271" t="s">
        <v>1156</v>
      </c>
      <c r="S1207" s="1" t="s">
        <v>1600</v>
      </c>
      <c r="T1207" t="s">
        <v>1609</v>
      </c>
      <c r="V1207">
        <v>0</v>
      </c>
      <c r="W1207">
        <v>0</v>
      </c>
      <c r="X1207">
        <v>0</v>
      </c>
      <c r="Y1207">
        <v>0</v>
      </c>
      <c r="Z1207">
        <v>0</v>
      </c>
      <c r="AA1207">
        <v>0</v>
      </c>
      <c r="AB1207">
        <v>0</v>
      </c>
      <c r="AC1207">
        <v>0</v>
      </c>
      <c r="AD1207">
        <v>0</v>
      </c>
      <c r="AE1207">
        <v>0</v>
      </c>
      <c r="AF1207">
        <v>0</v>
      </c>
      <c r="AG1207">
        <v>0</v>
      </c>
      <c r="AH1207">
        <v>0</v>
      </c>
      <c r="AI1207">
        <v>0</v>
      </c>
      <c r="AJ1207">
        <v>0</v>
      </c>
      <c r="AK1207">
        <v>1</v>
      </c>
      <c r="AL1207">
        <v>0</v>
      </c>
      <c r="AM1207">
        <v>0</v>
      </c>
      <c r="AN1207">
        <v>0</v>
      </c>
      <c r="AO1207">
        <v>0</v>
      </c>
      <c r="AP1207">
        <v>0</v>
      </c>
      <c r="AQ1207">
        <v>0</v>
      </c>
      <c r="AR1207">
        <v>0</v>
      </c>
      <c r="AS1207">
        <v>0</v>
      </c>
      <c r="AT1207">
        <v>0</v>
      </c>
      <c r="AU1207">
        <v>0</v>
      </c>
      <c r="AV1207">
        <v>0</v>
      </c>
      <c r="AW1207">
        <v>0</v>
      </c>
      <c r="AX1207" s="141">
        <f t="shared" si="379"/>
        <v>1</v>
      </c>
      <c r="AY1207" s="141">
        <f t="shared" si="399"/>
        <v>1</v>
      </c>
      <c r="AZ1207">
        <f t="shared" si="400"/>
        <v>0</v>
      </c>
      <c r="BA1207">
        <f t="shared" si="401"/>
        <v>0</v>
      </c>
      <c r="BB1207">
        <f t="shared" si="402"/>
        <v>1</v>
      </c>
      <c r="BC1207">
        <f t="shared" si="403"/>
        <v>0</v>
      </c>
      <c r="BD1207">
        <f t="shared" si="404"/>
        <v>0</v>
      </c>
      <c r="BE1207" t="str" cm="1">
        <f t="array" ref="BE1207">IF(AY1207=1,INDEX($V$7:$AL$7,MATCH(TRUE,INDEX($V1207:$AW1207&lt;&gt;0,),0)),IF(AY1207=0,INDEX($AM$7:$AW$7,MATCH(1,$AM1207:$AW1207,0)),IF(BF1207="Multiple strategies","mixed drivers",IF(BF1207="Supply chain","multiple supply","multiple silviculture"))))</f>
        <v>technologies/design switch</v>
      </c>
      <c r="BF1207" s="2" t="str" cm="1">
        <f t="array" ref="BF1207">IF(COUNTIF(AZ1207:BB1207,"&lt;&gt;0")=1,INDEX($V$4:$AW$4,MATCH(TRUE,INDEX($V1207:$AW1207&lt;&gt;0,),0)),IF(COUNTIF(AZ1207:BB1207,"&lt;&gt;0")=0,INDEX($AM$4:$AW$4,MATCH(1,$AM1207:$AW1207,0)),"Multiple strategies"))</f>
        <v>Technology</v>
      </c>
      <c r="BG1207" s="1" t="s">
        <v>230</v>
      </c>
      <c r="BH1207" t="s">
        <v>1602</v>
      </c>
      <c r="BJ1207" t="s">
        <v>1603</v>
      </c>
      <c r="BK1207">
        <v>34.049999999999997</v>
      </c>
      <c r="BL1207">
        <v>64.510000000000005</v>
      </c>
      <c r="BM1207">
        <f t="shared" si="428"/>
        <v>1.894566813509545</v>
      </c>
      <c r="BN1207">
        <f t="shared" si="413"/>
        <v>30.460000000000008</v>
      </c>
      <c r="BO1207">
        <f t="shared" si="423"/>
        <v>6.216326530612247E-2</v>
      </c>
      <c r="BP1207" t="s">
        <v>233</v>
      </c>
      <c r="BR1207" t="s">
        <v>1604</v>
      </c>
      <c r="BU1207" s="144" t="str">
        <f t="shared" si="422"/>
        <v/>
      </c>
      <c r="BV1207">
        <v>47.38</v>
      </c>
      <c r="BX1207">
        <f>BV1207/1000</f>
        <v>4.7380000000000005E-2</v>
      </c>
      <c r="BY1207">
        <f t="shared" si="378"/>
        <v>0.76218647406434648</v>
      </c>
      <c r="BZ1207">
        <v>0</v>
      </c>
      <c r="CA1207">
        <v>0</v>
      </c>
      <c r="CB1207">
        <v>0</v>
      </c>
      <c r="CC1207">
        <v>0</v>
      </c>
      <c r="CD1207">
        <v>0</v>
      </c>
      <c r="CE1207">
        <v>0</v>
      </c>
      <c r="CF1207">
        <v>0</v>
      </c>
      <c r="CG1207">
        <v>0</v>
      </c>
      <c r="CH1207">
        <v>0</v>
      </c>
      <c r="CI1207">
        <v>0</v>
      </c>
      <c r="CJ1207">
        <v>0</v>
      </c>
      <c r="CK1207">
        <v>0</v>
      </c>
      <c r="CL1207">
        <v>0</v>
      </c>
      <c r="CM1207">
        <v>0</v>
      </c>
      <c r="CN1207" t="str">
        <f t="shared" si="424"/>
        <v>refOK</v>
      </c>
      <c r="CO1207">
        <f t="shared" si="425"/>
        <v>34.049999999999997</v>
      </c>
      <c r="CP1207">
        <f t="shared" si="426"/>
        <v>64.510000000000005</v>
      </c>
      <c r="CQ1207">
        <f t="shared" si="417"/>
        <v>6.216326530612247E-2</v>
      </c>
      <c r="CR1207">
        <f t="shared" si="429"/>
        <v>0</v>
      </c>
      <c r="CS1207">
        <f t="shared" si="430"/>
        <v>0</v>
      </c>
      <c r="CT1207">
        <f t="shared" si="431"/>
        <v>4.7380000000000005E-2</v>
      </c>
      <c r="CU1207">
        <f t="shared" si="419"/>
        <v>0.76218647406434648</v>
      </c>
      <c r="CV1207" s="2" t="str">
        <f t="shared" si="432"/>
        <v/>
      </c>
      <c r="CW1207" s="1" t="s">
        <v>1205</v>
      </c>
      <c r="CX1207" s="266" t="str">
        <f t="shared" si="407"/>
        <v>reg</v>
      </c>
      <c r="CY1207" t="s">
        <v>692</v>
      </c>
      <c r="CZ1207">
        <v>2019</v>
      </c>
      <c r="DB1207">
        <v>0</v>
      </c>
      <c r="DC1207" t="str">
        <f t="shared" si="408"/>
        <v>0</v>
      </c>
      <c r="DD1207">
        <v>0</v>
      </c>
      <c r="DE1207">
        <v>0</v>
      </c>
      <c r="DF1207">
        <v>0</v>
      </c>
      <c r="DG1207">
        <v>1</v>
      </c>
      <c r="DI1207">
        <f t="shared" si="427"/>
        <v>1</v>
      </c>
      <c r="DJ1207" t="str">
        <f t="shared" si="412"/>
        <v>TimberInput</v>
      </c>
      <c r="DK1207">
        <f t="shared" si="383"/>
        <v>0</v>
      </c>
      <c r="DL1207">
        <f t="shared" si="384"/>
        <v>0</v>
      </c>
      <c r="DM1207">
        <f t="shared" si="385"/>
        <v>0</v>
      </c>
      <c r="DN1207" t="str">
        <f t="shared" si="386"/>
        <v>Timber</v>
      </c>
      <c r="DO1207">
        <v>1</v>
      </c>
      <c r="DP1207">
        <v>0</v>
      </c>
      <c r="DQ1207">
        <v>0</v>
      </c>
      <c r="DR1207">
        <v>0</v>
      </c>
      <c r="DS1207">
        <v>0</v>
      </c>
      <c r="DT1207">
        <f t="shared" si="421"/>
        <v>1</v>
      </c>
      <c r="DU1207" s="143" t="str">
        <f t="shared" si="410"/>
        <v>self-calculated DF</v>
      </c>
      <c r="DV1207">
        <v>0</v>
      </c>
      <c r="DW1207">
        <v>0</v>
      </c>
      <c r="DX1207">
        <v>0</v>
      </c>
      <c r="DY1207">
        <v>0</v>
      </c>
      <c r="DZ1207">
        <v>0</v>
      </c>
      <c r="EA1207" s="143">
        <v>1</v>
      </c>
      <c r="EB1207">
        <v>0</v>
      </c>
      <c r="EC1207">
        <v>1</v>
      </c>
      <c r="ED1207">
        <v>0</v>
      </c>
      <c r="EE1207">
        <v>0</v>
      </c>
      <c r="EF1207">
        <v>0</v>
      </c>
      <c r="EG1207">
        <v>0</v>
      </c>
      <c r="EH1207">
        <v>0</v>
      </c>
      <c r="EI1207" s="2">
        <v>0</v>
      </c>
      <c r="EK1207" t="str">
        <f t="shared" si="387"/>
        <v/>
      </c>
      <c r="EL1207" t="str">
        <f t="shared" si="388"/>
        <v/>
      </c>
      <c r="EM1207" s="2" t="str">
        <f t="shared" si="409"/>
        <v/>
      </c>
      <c r="EN1207" t="s">
        <v>1605</v>
      </c>
      <c r="EP1207" t="str">
        <f>IF(ISNUMBER(BU1207),IF(ABS(BU1207-[1]QC_indicators!$B$2)&gt;3*[1]QC_indicators!$C$2,"C ratio",IF(ISNUMBER(BY1207),IF(ABS(BY1207-[1]QC_indicators!$B$1)&gt;3*[1]QC_indicators!$C$1,"DF","no"))),IF(ISNUMBER(BY1207),IF(ABS(BY1207-[1]QC_indicators!$B$1)&gt;3*[1]QC_indicators!$C$1,"DF","no")))</f>
        <v>no</v>
      </c>
      <c r="ER1207" t="s">
        <v>1606</v>
      </c>
      <c r="ET1207" s="266" t="s">
        <v>3409</v>
      </c>
    </row>
    <row r="1208" spans="1:150" ht="15" hidden="1" customHeight="1">
      <c r="A1208" s="1" t="s">
        <v>563</v>
      </c>
      <c r="B1208" t="s">
        <v>545</v>
      </c>
      <c r="C1208" t="s">
        <v>1595</v>
      </c>
      <c r="D1208" t="s">
        <v>1596</v>
      </c>
      <c r="E1208" t="s">
        <v>1597</v>
      </c>
      <c r="F1208" t="s">
        <v>1598</v>
      </c>
      <c r="G1208" t="s">
        <v>568</v>
      </c>
      <c r="H1208" t="s">
        <v>255</v>
      </c>
      <c r="I1208">
        <v>2019</v>
      </c>
      <c r="J1208">
        <v>15</v>
      </c>
      <c r="K1208" t="s">
        <v>1599</v>
      </c>
      <c r="M1208" t="str">
        <f t="shared" si="411"/>
        <v>Geng_2019</v>
      </c>
      <c r="N1208" t="s">
        <v>223</v>
      </c>
      <c r="O1208" s="181" t="s">
        <v>226</v>
      </c>
      <c r="Q1208" s="266" t="s">
        <v>257</v>
      </c>
      <c r="R1208" s="271" t="s">
        <v>1156</v>
      </c>
      <c r="S1208" s="1" t="s">
        <v>1600</v>
      </c>
      <c r="T1208" t="s">
        <v>1610</v>
      </c>
      <c r="V1208">
        <v>0</v>
      </c>
      <c r="W1208">
        <v>0</v>
      </c>
      <c r="X1208">
        <v>0</v>
      </c>
      <c r="Y1208">
        <v>0</v>
      </c>
      <c r="Z1208">
        <v>0</v>
      </c>
      <c r="AA1208">
        <v>0</v>
      </c>
      <c r="AB1208">
        <v>0</v>
      </c>
      <c r="AC1208">
        <v>0</v>
      </c>
      <c r="AD1208">
        <v>0</v>
      </c>
      <c r="AE1208">
        <v>0</v>
      </c>
      <c r="AF1208">
        <v>0</v>
      </c>
      <c r="AG1208">
        <v>0</v>
      </c>
      <c r="AH1208">
        <v>0</v>
      </c>
      <c r="AI1208">
        <v>0</v>
      </c>
      <c r="AJ1208">
        <v>0</v>
      </c>
      <c r="AK1208">
        <v>1</v>
      </c>
      <c r="AL1208">
        <v>0</v>
      </c>
      <c r="AM1208">
        <v>0</v>
      </c>
      <c r="AN1208">
        <v>0</v>
      </c>
      <c r="AO1208">
        <v>0</v>
      </c>
      <c r="AP1208">
        <v>0</v>
      </c>
      <c r="AQ1208">
        <v>0</v>
      </c>
      <c r="AR1208">
        <v>0</v>
      </c>
      <c r="AS1208">
        <v>0</v>
      </c>
      <c r="AT1208">
        <v>0</v>
      </c>
      <c r="AU1208">
        <v>0</v>
      </c>
      <c r="AV1208">
        <v>0</v>
      </c>
      <c r="AW1208">
        <v>0</v>
      </c>
      <c r="AX1208" s="141">
        <f t="shared" si="379"/>
        <v>1</v>
      </c>
      <c r="AY1208" s="141">
        <f t="shared" si="399"/>
        <v>1</v>
      </c>
      <c r="AZ1208">
        <f t="shared" si="400"/>
        <v>0</v>
      </c>
      <c r="BA1208">
        <f t="shared" si="401"/>
        <v>0</v>
      </c>
      <c r="BB1208">
        <f t="shared" si="402"/>
        <v>1</v>
      </c>
      <c r="BC1208">
        <f t="shared" si="403"/>
        <v>0</v>
      </c>
      <c r="BD1208">
        <f t="shared" si="404"/>
        <v>0</v>
      </c>
      <c r="BE1208" t="str" cm="1">
        <f t="array" ref="BE1208">IF(AY1208=1,INDEX($V$7:$AL$7,MATCH(TRUE,INDEX($V1208:$AW1208&lt;&gt;0,),0)),IF(AY1208=0,INDEX($AM$7:$AW$7,MATCH(1,$AM1208:$AW1208,0)),IF(BF1208="Multiple strategies","mixed drivers",IF(BF1208="Supply chain","multiple supply","multiple silviculture"))))</f>
        <v>technologies/design switch</v>
      </c>
      <c r="BF1208" s="2" t="str" cm="1">
        <f t="array" ref="BF1208">IF(COUNTIF(AZ1208:BB1208,"&lt;&gt;0")=1,INDEX($V$4:$AW$4,MATCH(TRUE,INDEX($V1208:$AW1208&lt;&gt;0,),0)),IF(COUNTIF(AZ1208:BB1208,"&lt;&gt;0")=0,INDEX($AM$4:$AW$4,MATCH(1,$AM1208:$AW1208,0)),"Multiple strategies"))</f>
        <v>Technology</v>
      </c>
      <c r="BG1208" s="1" t="s">
        <v>230</v>
      </c>
      <c r="BH1208" t="s">
        <v>1602</v>
      </c>
      <c r="BJ1208" t="s">
        <v>262</v>
      </c>
      <c r="BK1208">
        <v>24</v>
      </c>
      <c r="BL1208">
        <v>85.25</v>
      </c>
      <c r="BM1208">
        <f t="shared" si="428"/>
        <v>3.5520833333333335</v>
      </c>
      <c r="BN1208">
        <f t="shared" si="413"/>
        <v>61.25</v>
      </c>
      <c r="BO1208">
        <f t="shared" si="423"/>
        <v>0.125</v>
      </c>
      <c r="BP1208" t="s">
        <v>233</v>
      </c>
      <c r="BR1208" t="s">
        <v>1611</v>
      </c>
      <c r="BU1208" s="144" t="str">
        <f t="shared" si="422"/>
        <v/>
      </c>
      <c r="BV1208">
        <v>0.17</v>
      </c>
      <c r="BX1208">
        <f t="shared" ref="BX1208:BX1213" si="433">BV1208</f>
        <v>0.17</v>
      </c>
      <c r="BY1208">
        <f t="shared" ref="BY1208:BY1271" si="434">IFERROR(BX1208/BO1208,"")</f>
        <v>1.36</v>
      </c>
      <c r="BZ1208">
        <v>0</v>
      </c>
      <c r="CA1208">
        <v>0</v>
      </c>
      <c r="CB1208">
        <v>0</v>
      </c>
      <c r="CC1208">
        <v>0</v>
      </c>
      <c r="CD1208">
        <v>0</v>
      </c>
      <c r="CE1208">
        <v>0</v>
      </c>
      <c r="CF1208">
        <v>0</v>
      </c>
      <c r="CG1208">
        <v>0</v>
      </c>
      <c r="CH1208">
        <v>0</v>
      </c>
      <c r="CI1208">
        <v>0</v>
      </c>
      <c r="CJ1208">
        <v>0</v>
      </c>
      <c r="CK1208">
        <v>0</v>
      </c>
      <c r="CL1208">
        <v>0</v>
      </c>
      <c r="CM1208">
        <v>0</v>
      </c>
      <c r="CN1208" t="str">
        <f t="shared" si="424"/>
        <v>refOK</v>
      </c>
      <c r="CO1208">
        <f t="shared" si="425"/>
        <v>24</v>
      </c>
      <c r="CP1208">
        <f t="shared" si="426"/>
        <v>85.25</v>
      </c>
      <c r="CQ1208">
        <f t="shared" si="417"/>
        <v>0.125</v>
      </c>
      <c r="CR1208">
        <f t="shared" si="429"/>
        <v>0</v>
      </c>
      <c r="CS1208">
        <f t="shared" si="430"/>
        <v>0</v>
      </c>
      <c r="CT1208">
        <f t="shared" si="431"/>
        <v>0.17</v>
      </c>
      <c r="CU1208">
        <f t="shared" si="419"/>
        <v>1.36</v>
      </c>
      <c r="CV1208" s="2" t="str">
        <f t="shared" si="432"/>
        <v/>
      </c>
      <c r="CW1208" s="1" t="s">
        <v>1205</v>
      </c>
      <c r="CX1208" s="266" t="str">
        <f t="shared" si="407"/>
        <v>reg</v>
      </c>
      <c r="CY1208" t="s">
        <v>692</v>
      </c>
      <c r="CZ1208">
        <v>2019</v>
      </c>
      <c r="DB1208">
        <v>0</v>
      </c>
      <c r="DC1208" t="str">
        <f t="shared" si="408"/>
        <v>0</v>
      </c>
      <c r="DD1208">
        <v>0</v>
      </c>
      <c r="DE1208">
        <v>0</v>
      </c>
      <c r="DF1208">
        <v>0</v>
      </c>
      <c r="DG1208">
        <v>1</v>
      </c>
      <c r="DI1208">
        <f t="shared" si="427"/>
        <v>1</v>
      </c>
      <c r="DJ1208" t="str">
        <f t="shared" si="412"/>
        <v>TimberInput</v>
      </c>
      <c r="DK1208">
        <f t="shared" si="383"/>
        <v>0</v>
      </c>
      <c r="DL1208">
        <f t="shared" si="384"/>
        <v>0</v>
      </c>
      <c r="DM1208">
        <f t="shared" si="385"/>
        <v>0</v>
      </c>
      <c r="DN1208" t="str">
        <f t="shared" si="386"/>
        <v>Timber</v>
      </c>
      <c r="DO1208">
        <v>1</v>
      </c>
      <c r="DP1208">
        <v>0</v>
      </c>
      <c r="DQ1208">
        <v>0</v>
      </c>
      <c r="DR1208">
        <v>0</v>
      </c>
      <c r="DS1208">
        <v>0</v>
      </c>
      <c r="DT1208">
        <f t="shared" si="421"/>
        <v>1</v>
      </c>
      <c r="DU1208" s="143" t="str">
        <f t="shared" si="410"/>
        <v>self-calculated DF</v>
      </c>
      <c r="DV1208">
        <v>0</v>
      </c>
      <c r="DW1208">
        <v>0</v>
      </c>
      <c r="DX1208">
        <v>0</v>
      </c>
      <c r="DY1208">
        <v>0</v>
      </c>
      <c r="DZ1208">
        <v>0</v>
      </c>
      <c r="EA1208" s="143">
        <v>1</v>
      </c>
      <c r="EB1208">
        <v>0</v>
      </c>
      <c r="EC1208">
        <v>1</v>
      </c>
      <c r="ED1208">
        <v>0</v>
      </c>
      <c r="EE1208">
        <v>0</v>
      </c>
      <c r="EF1208">
        <v>0</v>
      </c>
      <c r="EG1208">
        <v>0</v>
      </c>
      <c r="EH1208">
        <v>0</v>
      </c>
      <c r="EI1208" s="2">
        <v>0</v>
      </c>
      <c r="EK1208" t="str">
        <f t="shared" si="387"/>
        <v/>
      </c>
      <c r="EL1208" t="str">
        <f t="shared" si="388"/>
        <v/>
      </c>
      <c r="EM1208" s="2" t="str">
        <f t="shared" si="409"/>
        <v/>
      </c>
      <c r="EN1208" t="s">
        <v>1605</v>
      </c>
      <c r="EP1208" t="str">
        <f>IF(ISNUMBER(BU1208),IF(ABS(BU1208-[1]QC_indicators!$B$2)&gt;3*[1]QC_indicators!$C$2,"C ratio",IF(ISNUMBER(BY1208),IF(ABS(BY1208-[1]QC_indicators!$B$1)&gt;3*[1]QC_indicators!$C$1,"DF","no"))),IF(ISNUMBER(BY1208),IF(ABS(BY1208-[1]QC_indicators!$B$1)&gt;3*[1]QC_indicators!$C$1,"DF","no")))</f>
        <v>no</v>
      </c>
      <c r="ER1208" t="s">
        <v>1606</v>
      </c>
      <c r="ET1208" s="266" t="s">
        <v>3409</v>
      </c>
    </row>
    <row r="1209" spans="1:150" ht="15" hidden="1" customHeight="1">
      <c r="A1209" s="1" t="s">
        <v>563</v>
      </c>
      <c r="B1209" t="s">
        <v>545</v>
      </c>
      <c r="C1209" t="s">
        <v>1595</v>
      </c>
      <c r="D1209" t="s">
        <v>1596</v>
      </c>
      <c r="E1209" t="s">
        <v>1597</v>
      </c>
      <c r="F1209" t="s">
        <v>1598</v>
      </c>
      <c r="G1209" t="s">
        <v>568</v>
      </c>
      <c r="H1209" t="s">
        <v>255</v>
      </c>
      <c r="I1209">
        <v>2019</v>
      </c>
      <c r="J1209">
        <v>15</v>
      </c>
      <c r="K1209" t="s">
        <v>1599</v>
      </c>
      <c r="M1209" t="str">
        <f t="shared" si="411"/>
        <v>Geng_2019</v>
      </c>
      <c r="N1209" t="s">
        <v>223</v>
      </c>
      <c r="O1209" s="181" t="s">
        <v>226</v>
      </c>
      <c r="Q1209" s="266" t="s">
        <v>257</v>
      </c>
      <c r="R1209" s="271" t="s">
        <v>1156</v>
      </c>
      <c r="S1209" s="1" t="s">
        <v>1600</v>
      </c>
      <c r="T1209" t="s">
        <v>1612</v>
      </c>
      <c r="V1209">
        <v>0</v>
      </c>
      <c r="W1209">
        <v>0</v>
      </c>
      <c r="X1209">
        <v>0</v>
      </c>
      <c r="Y1209">
        <v>0</v>
      </c>
      <c r="Z1209">
        <v>0</v>
      </c>
      <c r="AA1209">
        <v>0</v>
      </c>
      <c r="AB1209">
        <v>0</v>
      </c>
      <c r="AC1209">
        <v>0</v>
      </c>
      <c r="AD1209">
        <v>0</v>
      </c>
      <c r="AE1209">
        <v>0</v>
      </c>
      <c r="AF1209">
        <v>0</v>
      </c>
      <c r="AG1209">
        <v>0</v>
      </c>
      <c r="AH1209">
        <v>0</v>
      </c>
      <c r="AI1209">
        <v>0</v>
      </c>
      <c r="AJ1209">
        <v>0</v>
      </c>
      <c r="AK1209">
        <v>1</v>
      </c>
      <c r="AL1209">
        <v>0</v>
      </c>
      <c r="AM1209">
        <v>0</v>
      </c>
      <c r="AN1209">
        <v>0</v>
      </c>
      <c r="AO1209">
        <v>0</v>
      </c>
      <c r="AP1209">
        <v>0</v>
      </c>
      <c r="AQ1209">
        <v>0</v>
      </c>
      <c r="AR1209">
        <v>0</v>
      </c>
      <c r="AS1209">
        <v>0</v>
      </c>
      <c r="AT1209">
        <v>0</v>
      </c>
      <c r="AU1209">
        <v>0</v>
      </c>
      <c r="AV1209">
        <v>0</v>
      </c>
      <c r="AW1209">
        <v>0</v>
      </c>
      <c r="AX1209" s="141">
        <f t="shared" si="379"/>
        <v>1</v>
      </c>
      <c r="AY1209" s="141">
        <f t="shared" si="399"/>
        <v>1</v>
      </c>
      <c r="AZ1209">
        <f t="shared" si="400"/>
        <v>0</v>
      </c>
      <c r="BA1209">
        <f t="shared" si="401"/>
        <v>0</v>
      </c>
      <c r="BB1209">
        <f t="shared" si="402"/>
        <v>1</v>
      </c>
      <c r="BC1209">
        <f t="shared" si="403"/>
        <v>0</v>
      </c>
      <c r="BD1209">
        <f t="shared" si="404"/>
        <v>0</v>
      </c>
      <c r="BE1209" t="str" cm="1">
        <f t="array" ref="BE1209">IF(AY1209=1,INDEX($V$7:$AL$7,MATCH(TRUE,INDEX($V1209:$AW1209&lt;&gt;0,),0)),IF(AY1209=0,INDEX($AM$7:$AW$7,MATCH(1,$AM1209:$AW1209,0)),IF(BF1209="Multiple strategies","mixed drivers",IF(BF1209="Supply chain","multiple supply","multiple silviculture"))))</f>
        <v>technologies/design switch</v>
      </c>
      <c r="BF1209" s="2" t="str" cm="1">
        <f t="array" ref="BF1209">IF(COUNTIF(AZ1209:BB1209,"&lt;&gt;0")=1,INDEX($V$4:$AW$4,MATCH(TRUE,INDEX($V1209:$AW1209&lt;&gt;0,),0)),IF(COUNTIF(AZ1209:BB1209,"&lt;&gt;0")=0,INDEX($AM$4:$AW$4,MATCH(1,$AM1209:$AW1209,0)),"Multiple strategies"))</f>
        <v>Technology</v>
      </c>
      <c r="BG1209" s="1" t="s">
        <v>230</v>
      </c>
      <c r="BH1209" t="s">
        <v>1602</v>
      </c>
      <c r="BJ1209" t="s">
        <v>262</v>
      </c>
      <c r="BK1209">
        <v>24</v>
      </c>
      <c r="BL1209">
        <v>85.25</v>
      </c>
      <c r="BM1209">
        <f t="shared" si="428"/>
        <v>3.5520833333333335</v>
      </c>
      <c r="BN1209">
        <f t="shared" si="413"/>
        <v>61.25</v>
      </c>
      <c r="BO1209">
        <f t="shared" si="423"/>
        <v>0.125</v>
      </c>
      <c r="BP1209" t="s">
        <v>233</v>
      </c>
      <c r="BR1209" t="s">
        <v>1611</v>
      </c>
      <c r="BU1209" s="144" t="str">
        <f t="shared" si="422"/>
        <v/>
      </c>
      <c r="BV1209">
        <v>0.17</v>
      </c>
      <c r="BX1209">
        <f t="shared" si="433"/>
        <v>0.17</v>
      </c>
      <c r="BY1209">
        <f t="shared" si="434"/>
        <v>1.36</v>
      </c>
      <c r="BZ1209">
        <v>0</v>
      </c>
      <c r="CA1209">
        <v>0</v>
      </c>
      <c r="CB1209">
        <v>0</v>
      </c>
      <c r="CC1209">
        <v>0</v>
      </c>
      <c r="CD1209">
        <v>0</v>
      </c>
      <c r="CE1209">
        <v>0</v>
      </c>
      <c r="CF1209">
        <v>0</v>
      </c>
      <c r="CG1209">
        <v>0</v>
      </c>
      <c r="CH1209">
        <v>0</v>
      </c>
      <c r="CI1209">
        <v>0</v>
      </c>
      <c r="CJ1209">
        <v>0</v>
      </c>
      <c r="CK1209">
        <v>0</v>
      </c>
      <c r="CL1209">
        <v>0</v>
      </c>
      <c r="CM1209">
        <v>0</v>
      </c>
      <c r="CN1209" t="str">
        <f t="shared" si="424"/>
        <v>refOK</v>
      </c>
      <c r="CO1209">
        <f t="shared" si="425"/>
        <v>24</v>
      </c>
      <c r="CP1209">
        <f t="shared" si="426"/>
        <v>85.25</v>
      </c>
      <c r="CQ1209">
        <f t="shared" si="417"/>
        <v>0.125</v>
      </c>
      <c r="CR1209">
        <f t="shared" si="429"/>
        <v>0</v>
      </c>
      <c r="CS1209">
        <f t="shared" si="430"/>
        <v>0</v>
      </c>
      <c r="CT1209">
        <f t="shared" si="431"/>
        <v>0.17</v>
      </c>
      <c r="CU1209">
        <f t="shared" si="419"/>
        <v>1.36</v>
      </c>
      <c r="CV1209" s="2" t="str">
        <f t="shared" si="432"/>
        <v/>
      </c>
      <c r="CW1209" s="1" t="s">
        <v>1205</v>
      </c>
      <c r="CX1209" s="266" t="str">
        <f t="shared" si="407"/>
        <v>reg</v>
      </c>
      <c r="CY1209" t="s">
        <v>692</v>
      </c>
      <c r="CZ1209">
        <v>2019</v>
      </c>
      <c r="DB1209">
        <v>0</v>
      </c>
      <c r="DC1209" t="str">
        <f t="shared" si="408"/>
        <v>0</v>
      </c>
      <c r="DD1209">
        <v>0</v>
      </c>
      <c r="DE1209">
        <v>0</v>
      </c>
      <c r="DF1209">
        <v>0</v>
      </c>
      <c r="DG1209">
        <v>1</v>
      </c>
      <c r="DI1209">
        <f t="shared" si="427"/>
        <v>1</v>
      </c>
      <c r="DJ1209" t="str">
        <f t="shared" si="412"/>
        <v>TimberInput</v>
      </c>
      <c r="DK1209">
        <f t="shared" si="383"/>
        <v>0</v>
      </c>
      <c r="DL1209">
        <f t="shared" si="384"/>
        <v>0</v>
      </c>
      <c r="DM1209">
        <f t="shared" si="385"/>
        <v>0</v>
      </c>
      <c r="DN1209" t="str">
        <f t="shared" si="386"/>
        <v>Timber</v>
      </c>
      <c r="DO1209">
        <v>1</v>
      </c>
      <c r="DP1209">
        <v>0</v>
      </c>
      <c r="DQ1209">
        <v>0</v>
      </c>
      <c r="DR1209">
        <v>0</v>
      </c>
      <c r="DS1209">
        <v>0</v>
      </c>
      <c r="DT1209">
        <f t="shared" si="421"/>
        <v>1</v>
      </c>
      <c r="DU1209" s="143" t="str">
        <f t="shared" si="410"/>
        <v>self-calculated DF</v>
      </c>
      <c r="DV1209">
        <v>0</v>
      </c>
      <c r="DW1209">
        <v>0</v>
      </c>
      <c r="DX1209">
        <v>0</v>
      </c>
      <c r="DY1209">
        <v>0</v>
      </c>
      <c r="DZ1209">
        <v>0</v>
      </c>
      <c r="EA1209" s="143">
        <v>1</v>
      </c>
      <c r="EB1209">
        <v>0</v>
      </c>
      <c r="EC1209">
        <v>1</v>
      </c>
      <c r="ED1209">
        <v>0</v>
      </c>
      <c r="EE1209">
        <v>0</v>
      </c>
      <c r="EF1209">
        <v>0</v>
      </c>
      <c r="EG1209">
        <v>0</v>
      </c>
      <c r="EH1209">
        <v>0</v>
      </c>
      <c r="EI1209" s="2">
        <v>0</v>
      </c>
      <c r="EK1209" t="str">
        <f t="shared" si="387"/>
        <v/>
      </c>
      <c r="EL1209" t="str">
        <f t="shared" si="388"/>
        <v/>
      </c>
      <c r="EM1209" s="2" t="str">
        <f t="shared" si="409"/>
        <v/>
      </c>
      <c r="EN1209" t="s">
        <v>1605</v>
      </c>
      <c r="EP1209" t="str">
        <f>IF(ISNUMBER(BU1209),IF(ABS(BU1209-[1]QC_indicators!$B$2)&gt;3*[1]QC_indicators!$C$2,"C ratio",IF(ISNUMBER(BY1209),IF(ABS(BY1209-[1]QC_indicators!$B$1)&gt;3*[1]QC_indicators!$C$1,"DF","no"))),IF(ISNUMBER(BY1209),IF(ABS(BY1209-[1]QC_indicators!$B$1)&gt;3*[1]QC_indicators!$C$1,"DF","no")))</f>
        <v>no</v>
      </c>
      <c r="ER1209" t="s">
        <v>1606</v>
      </c>
      <c r="ET1209" s="266" t="s">
        <v>3409</v>
      </c>
    </row>
    <row r="1210" spans="1:150" ht="15" hidden="1" customHeight="1">
      <c r="A1210" s="1" t="s">
        <v>563</v>
      </c>
      <c r="B1210" t="s">
        <v>545</v>
      </c>
      <c r="C1210" t="s">
        <v>1595</v>
      </c>
      <c r="D1210" t="s">
        <v>1596</v>
      </c>
      <c r="E1210" t="s">
        <v>1597</v>
      </c>
      <c r="F1210" t="s">
        <v>1598</v>
      </c>
      <c r="G1210" t="s">
        <v>568</v>
      </c>
      <c r="H1210" t="s">
        <v>255</v>
      </c>
      <c r="I1210">
        <v>2019</v>
      </c>
      <c r="J1210">
        <v>15</v>
      </c>
      <c r="K1210" t="s">
        <v>1599</v>
      </c>
      <c r="M1210" t="str">
        <f t="shared" si="411"/>
        <v>Geng_2019</v>
      </c>
      <c r="N1210" t="s">
        <v>223</v>
      </c>
      <c r="O1210" s="181" t="s">
        <v>226</v>
      </c>
      <c r="Q1210" s="266" t="s">
        <v>257</v>
      </c>
      <c r="R1210" s="271" t="s">
        <v>1156</v>
      </c>
      <c r="S1210" s="1" t="s">
        <v>1600</v>
      </c>
      <c r="T1210" t="s">
        <v>1613</v>
      </c>
      <c r="V1210">
        <v>0</v>
      </c>
      <c r="W1210">
        <v>0</v>
      </c>
      <c r="X1210">
        <v>0</v>
      </c>
      <c r="Y1210">
        <v>0</v>
      </c>
      <c r="Z1210">
        <v>0</v>
      </c>
      <c r="AA1210">
        <v>0</v>
      </c>
      <c r="AB1210">
        <v>0</v>
      </c>
      <c r="AC1210">
        <v>0</v>
      </c>
      <c r="AD1210">
        <v>0</v>
      </c>
      <c r="AE1210">
        <v>0</v>
      </c>
      <c r="AF1210">
        <v>0</v>
      </c>
      <c r="AG1210">
        <v>0</v>
      </c>
      <c r="AH1210">
        <v>0</v>
      </c>
      <c r="AI1210">
        <v>0</v>
      </c>
      <c r="AJ1210">
        <v>0</v>
      </c>
      <c r="AK1210">
        <v>1</v>
      </c>
      <c r="AL1210">
        <v>0</v>
      </c>
      <c r="AM1210">
        <v>0</v>
      </c>
      <c r="AN1210">
        <v>0</v>
      </c>
      <c r="AO1210">
        <v>0</v>
      </c>
      <c r="AP1210">
        <v>0</v>
      </c>
      <c r="AQ1210">
        <v>0</v>
      </c>
      <c r="AR1210">
        <v>0</v>
      </c>
      <c r="AS1210">
        <v>0</v>
      </c>
      <c r="AT1210">
        <v>0</v>
      </c>
      <c r="AU1210">
        <v>0</v>
      </c>
      <c r="AV1210">
        <v>0</v>
      </c>
      <c r="AW1210">
        <v>0</v>
      </c>
      <c r="AX1210" s="141">
        <f t="shared" si="379"/>
        <v>1</v>
      </c>
      <c r="AY1210" s="141">
        <f t="shared" si="399"/>
        <v>1</v>
      </c>
      <c r="AZ1210">
        <f t="shared" si="400"/>
        <v>0</v>
      </c>
      <c r="BA1210">
        <f t="shared" si="401"/>
        <v>0</v>
      </c>
      <c r="BB1210">
        <f t="shared" si="402"/>
        <v>1</v>
      </c>
      <c r="BC1210">
        <f t="shared" si="403"/>
        <v>0</v>
      </c>
      <c r="BD1210">
        <f t="shared" si="404"/>
        <v>0</v>
      </c>
      <c r="BE1210" t="str" cm="1">
        <f t="array" ref="BE1210">IF(AY1210=1,INDEX($V$7:$AL$7,MATCH(TRUE,INDEX($V1210:$AW1210&lt;&gt;0,),0)),IF(AY1210=0,INDEX($AM$7:$AW$7,MATCH(1,$AM1210:$AW1210,0)),IF(BF1210="Multiple strategies","mixed drivers",IF(BF1210="Supply chain","multiple supply","multiple silviculture"))))</f>
        <v>technologies/design switch</v>
      </c>
      <c r="BF1210" s="2" t="str" cm="1">
        <f t="array" ref="BF1210">IF(COUNTIF(AZ1210:BB1210,"&lt;&gt;0")=1,INDEX($V$4:$AW$4,MATCH(TRUE,INDEX($V1210:$AW1210&lt;&gt;0,),0)),IF(COUNTIF(AZ1210:BB1210,"&lt;&gt;0")=0,INDEX($AM$4:$AW$4,MATCH(1,$AM1210:$AW1210,0)),"Multiple strategies"))</f>
        <v>Technology</v>
      </c>
      <c r="BG1210" s="1" t="s">
        <v>230</v>
      </c>
      <c r="BH1210" t="s">
        <v>1602</v>
      </c>
      <c r="BJ1210" t="s">
        <v>262</v>
      </c>
      <c r="BK1210">
        <v>24</v>
      </c>
      <c r="BL1210">
        <v>82.35</v>
      </c>
      <c r="BM1210">
        <f t="shared" si="428"/>
        <v>3.4312499999999999</v>
      </c>
      <c r="BN1210">
        <f t="shared" si="413"/>
        <v>58.349999999999994</v>
      </c>
      <c r="BO1210">
        <f t="shared" si="423"/>
        <v>0.11908163265306122</v>
      </c>
      <c r="BP1210" t="s">
        <v>233</v>
      </c>
      <c r="BR1210" t="s">
        <v>1611</v>
      </c>
      <c r="BU1210" s="144" t="str">
        <f t="shared" si="422"/>
        <v/>
      </c>
      <c r="BV1210">
        <v>0.20399999999999999</v>
      </c>
      <c r="BX1210">
        <f t="shared" si="433"/>
        <v>0.20399999999999999</v>
      </c>
      <c r="BY1210">
        <f t="shared" si="434"/>
        <v>1.7131105398457582</v>
      </c>
      <c r="BZ1210">
        <v>0</v>
      </c>
      <c r="CA1210">
        <v>0</v>
      </c>
      <c r="CB1210">
        <v>0</v>
      </c>
      <c r="CC1210">
        <v>0</v>
      </c>
      <c r="CD1210">
        <v>0</v>
      </c>
      <c r="CE1210">
        <v>0</v>
      </c>
      <c r="CF1210">
        <v>0</v>
      </c>
      <c r="CG1210">
        <v>0</v>
      </c>
      <c r="CH1210">
        <v>0</v>
      </c>
      <c r="CI1210">
        <v>0</v>
      </c>
      <c r="CJ1210">
        <v>0</v>
      </c>
      <c r="CK1210">
        <v>0</v>
      </c>
      <c r="CL1210">
        <v>0</v>
      </c>
      <c r="CM1210">
        <v>0</v>
      </c>
      <c r="CN1210" t="str">
        <f t="shared" si="424"/>
        <v>refOK</v>
      </c>
      <c r="CO1210">
        <f t="shared" si="425"/>
        <v>24</v>
      </c>
      <c r="CP1210">
        <f t="shared" si="426"/>
        <v>82.35</v>
      </c>
      <c r="CQ1210">
        <f t="shared" si="417"/>
        <v>0.11908163265306122</v>
      </c>
      <c r="CR1210">
        <f t="shared" si="429"/>
        <v>0</v>
      </c>
      <c r="CS1210">
        <f t="shared" si="430"/>
        <v>0</v>
      </c>
      <c r="CT1210">
        <f t="shared" si="431"/>
        <v>0.20399999999999999</v>
      </c>
      <c r="CU1210">
        <f t="shared" si="419"/>
        <v>1.7131105398457582</v>
      </c>
      <c r="CV1210" s="2" t="str">
        <f t="shared" si="432"/>
        <v/>
      </c>
      <c r="CW1210" s="1" t="s">
        <v>1205</v>
      </c>
      <c r="CX1210" s="266" t="str">
        <f t="shared" si="407"/>
        <v>reg</v>
      </c>
      <c r="CY1210" t="s">
        <v>692</v>
      </c>
      <c r="CZ1210">
        <v>2019</v>
      </c>
      <c r="DB1210">
        <v>0</v>
      </c>
      <c r="DC1210" t="str">
        <f t="shared" si="408"/>
        <v>0</v>
      </c>
      <c r="DD1210">
        <v>0</v>
      </c>
      <c r="DE1210">
        <v>0</v>
      </c>
      <c r="DF1210">
        <v>0</v>
      </c>
      <c r="DG1210">
        <v>1</v>
      </c>
      <c r="DI1210">
        <f t="shared" si="427"/>
        <v>1</v>
      </c>
      <c r="DJ1210" t="str">
        <f t="shared" si="412"/>
        <v>TimberInput</v>
      </c>
      <c r="DK1210">
        <f t="shared" si="383"/>
        <v>0</v>
      </c>
      <c r="DL1210">
        <f t="shared" si="384"/>
        <v>0</v>
      </c>
      <c r="DM1210">
        <f t="shared" si="385"/>
        <v>0</v>
      </c>
      <c r="DN1210" t="str">
        <f t="shared" si="386"/>
        <v>Timber</v>
      </c>
      <c r="DO1210">
        <v>1</v>
      </c>
      <c r="DP1210">
        <v>0</v>
      </c>
      <c r="DQ1210">
        <v>0</v>
      </c>
      <c r="DR1210">
        <v>0</v>
      </c>
      <c r="DS1210">
        <v>0</v>
      </c>
      <c r="DT1210">
        <f t="shared" si="421"/>
        <v>1</v>
      </c>
      <c r="DU1210" s="143" t="str">
        <f t="shared" si="410"/>
        <v>self-calculated DF</v>
      </c>
      <c r="DV1210">
        <v>0</v>
      </c>
      <c r="DW1210">
        <v>0</v>
      </c>
      <c r="DX1210">
        <v>0</v>
      </c>
      <c r="DY1210">
        <v>0</v>
      </c>
      <c r="DZ1210">
        <v>0</v>
      </c>
      <c r="EA1210" s="143">
        <v>1</v>
      </c>
      <c r="EB1210">
        <v>0</v>
      </c>
      <c r="EC1210">
        <v>1</v>
      </c>
      <c r="ED1210">
        <v>0</v>
      </c>
      <c r="EE1210">
        <v>0</v>
      </c>
      <c r="EF1210">
        <v>0</v>
      </c>
      <c r="EG1210">
        <v>0</v>
      </c>
      <c r="EH1210">
        <v>0</v>
      </c>
      <c r="EI1210" s="2">
        <v>0</v>
      </c>
      <c r="EK1210" t="str">
        <f t="shared" si="387"/>
        <v/>
      </c>
      <c r="EL1210" t="str">
        <f t="shared" si="388"/>
        <v/>
      </c>
      <c r="EM1210" s="2" t="str">
        <f t="shared" si="409"/>
        <v/>
      </c>
      <c r="EN1210" t="s">
        <v>1605</v>
      </c>
      <c r="EP1210" t="str">
        <f>IF(ISNUMBER(BU1210),IF(ABS(BU1210-[1]QC_indicators!$B$2)&gt;3*[1]QC_indicators!$C$2,"C ratio",IF(ISNUMBER(BY1210),IF(ABS(BY1210-[1]QC_indicators!$B$1)&gt;3*[1]QC_indicators!$C$1,"DF","no"))),IF(ISNUMBER(BY1210),IF(ABS(BY1210-[1]QC_indicators!$B$1)&gt;3*[1]QC_indicators!$C$1,"DF","no")))</f>
        <v>no</v>
      </c>
      <c r="ER1210" t="s">
        <v>1606</v>
      </c>
      <c r="ET1210" s="266" t="s">
        <v>3409</v>
      </c>
    </row>
    <row r="1211" spans="1:150" ht="15" hidden="1" customHeight="1">
      <c r="A1211" s="1" t="s">
        <v>563</v>
      </c>
      <c r="B1211" t="s">
        <v>545</v>
      </c>
      <c r="C1211" t="s">
        <v>1595</v>
      </c>
      <c r="D1211" t="s">
        <v>1596</v>
      </c>
      <c r="E1211" t="s">
        <v>1597</v>
      </c>
      <c r="F1211" t="s">
        <v>1598</v>
      </c>
      <c r="G1211" t="s">
        <v>568</v>
      </c>
      <c r="H1211" t="s">
        <v>255</v>
      </c>
      <c r="I1211">
        <v>2019</v>
      </c>
      <c r="J1211">
        <v>15</v>
      </c>
      <c r="K1211" t="s">
        <v>1599</v>
      </c>
      <c r="M1211" t="str">
        <f t="shared" si="411"/>
        <v>Geng_2019</v>
      </c>
      <c r="N1211" t="s">
        <v>223</v>
      </c>
      <c r="O1211" s="181" t="s">
        <v>226</v>
      </c>
      <c r="Q1211" s="266" t="s">
        <v>257</v>
      </c>
      <c r="R1211" s="271" t="s">
        <v>1156</v>
      </c>
      <c r="S1211" s="1" t="s">
        <v>1600</v>
      </c>
      <c r="T1211" t="s">
        <v>1614</v>
      </c>
      <c r="V1211">
        <v>0</v>
      </c>
      <c r="W1211">
        <v>0</v>
      </c>
      <c r="X1211">
        <v>0</v>
      </c>
      <c r="Y1211">
        <v>0</v>
      </c>
      <c r="Z1211">
        <v>0</v>
      </c>
      <c r="AA1211">
        <v>0</v>
      </c>
      <c r="AB1211">
        <v>0</v>
      </c>
      <c r="AC1211">
        <v>0</v>
      </c>
      <c r="AD1211">
        <v>0</v>
      </c>
      <c r="AE1211">
        <v>0</v>
      </c>
      <c r="AF1211">
        <v>0</v>
      </c>
      <c r="AG1211">
        <v>0</v>
      </c>
      <c r="AH1211">
        <v>0</v>
      </c>
      <c r="AI1211">
        <v>0</v>
      </c>
      <c r="AJ1211">
        <v>0</v>
      </c>
      <c r="AK1211">
        <v>1</v>
      </c>
      <c r="AL1211">
        <v>0</v>
      </c>
      <c r="AM1211">
        <v>0</v>
      </c>
      <c r="AN1211">
        <v>0</v>
      </c>
      <c r="AO1211">
        <v>0</v>
      </c>
      <c r="AP1211">
        <v>0</v>
      </c>
      <c r="AQ1211">
        <v>0</v>
      </c>
      <c r="AR1211">
        <v>0</v>
      </c>
      <c r="AS1211">
        <v>0</v>
      </c>
      <c r="AT1211">
        <v>0</v>
      </c>
      <c r="AU1211">
        <v>0</v>
      </c>
      <c r="AV1211">
        <v>0</v>
      </c>
      <c r="AW1211">
        <v>0</v>
      </c>
      <c r="AX1211" s="141">
        <f t="shared" ref="AX1211:AX1274" si="435">COUNTIF(V1211:AW1211,"&lt;&gt;0")</f>
        <v>1</v>
      </c>
      <c r="AY1211" s="141">
        <f t="shared" si="399"/>
        <v>1</v>
      </c>
      <c r="AZ1211">
        <f t="shared" si="400"/>
        <v>0</v>
      </c>
      <c r="BA1211">
        <f t="shared" si="401"/>
        <v>0</v>
      </c>
      <c r="BB1211">
        <f t="shared" si="402"/>
        <v>1</v>
      </c>
      <c r="BC1211">
        <f t="shared" si="403"/>
        <v>0</v>
      </c>
      <c r="BD1211">
        <f t="shared" si="404"/>
        <v>0</v>
      </c>
      <c r="BE1211" t="str" cm="1">
        <f t="array" ref="BE1211">IF(AY1211=1,INDEX($V$7:$AL$7,MATCH(TRUE,INDEX($V1211:$AW1211&lt;&gt;0,),0)),IF(AY1211=0,INDEX($AM$7:$AW$7,MATCH(1,$AM1211:$AW1211,0)),IF(BF1211="Multiple strategies","mixed drivers",IF(BF1211="Supply chain","multiple supply","multiple silviculture"))))</f>
        <v>technologies/design switch</v>
      </c>
      <c r="BF1211" s="2" t="str" cm="1">
        <f t="array" ref="BF1211">IF(COUNTIF(AZ1211:BB1211,"&lt;&gt;0")=1,INDEX($V$4:$AW$4,MATCH(TRUE,INDEX($V1211:$AW1211&lt;&gt;0,),0)),IF(COUNTIF(AZ1211:BB1211,"&lt;&gt;0")=0,INDEX($AM$4:$AW$4,MATCH(1,$AM1211:$AW1211,0)),"Multiple strategies"))</f>
        <v>Technology</v>
      </c>
      <c r="BG1211" s="1" t="s">
        <v>230</v>
      </c>
      <c r="BH1211" t="s">
        <v>1602</v>
      </c>
      <c r="BJ1211" t="s">
        <v>262</v>
      </c>
      <c r="BK1211">
        <v>24</v>
      </c>
      <c r="BL1211">
        <v>71.62</v>
      </c>
      <c r="BM1211">
        <f t="shared" si="428"/>
        <v>2.9841666666666669</v>
      </c>
      <c r="BN1211">
        <f t="shared" si="413"/>
        <v>47.620000000000005</v>
      </c>
      <c r="BO1211">
        <f t="shared" si="423"/>
        <v>9.7183673469387777E-2</v>
      </c>
      <c r="BP1211" t="s">
        <v>233</v>
      </c>
      <c r="BR1211" t="s">
        <v>1611</v>
      </c>
      <c r="BU1211" s="144" t="str">
        <f t="shared" si="422"/>
        <v/>
      </c>
      <c r="BV1211">
        <v>0.189</v>
      </c>
      <c r="BX1211">
        <f t="shared" si="433"/>
        <v>0.189</v>
      </c>
      <c r="BY1211">
        <f t="shared" si="434"/>
        <v>1.9447711045779079</v>
      </c>
      <c r="BZ1211">
        <v>0</v>
      </c>
      <c r="CA1211">
        <v>0</v>
      </c>
      <c r="CB1211">
        <v>0</v>
      </c>
      <c r="CC1211">
        <v>0</v>
      </c>
      <c r="CD1211">
        <v>0</v>
      </c>
      <c r="CE1211">
        <v>0</v>
      </c>
      <c r="CF1211">
        <v>0</v>
      </c>
      <c r="CG1211">
        <v>0</v>
      </c>
      <c r="CH1211">
        <v>0</v>
      </c>
      <c r="CI1211">
        <v>0</v>
      </c>
      <c r="CJ1211">
        <v>0</v>
      </c>
      <c r="CK1211">
        <v>0</v>
      </c>
      <c r="CL1211">
        <v>0</v>
      </c>
      <c r="CM1211">
        <v>0</v>
      </c>
      <c r="CN1211" t="str">
        <f t="shared" si="424"/>
        <v>refOK</v>
      </c>
      <c r="CO1211">
        <f t="shared" si="425"/>
        <v>24</v>
      </c>
      <c r="CP1211">
        <f t="shared" si="426"/>
        <v>71.62</v>
      </c>
      <c r="CQ1211">
        <f t="shared" si="417"/>
        <v>9.7183673469387777E-2</v>
      </c>
      <c r="CR1211">
        <f t="shared" si="429"/>
        <v>0</v>
      </c>
      <c r="CS1211">
        <f t="shared" si="430"/>
        <v>0</v>
      </c>
      <c r="CT1211">
        <f t="shared" si="431"/>
        <v>0.189</v>
      </c>
      <c r="CU1211">
        <f t="shared" si="419"/>
        <v>1.9447711045779079</v>
      </c>
      <c r="CV1211" s="2" t="str">
        <f t="shared" si="432"/>
        <v/>
      </c>
      <c r="CW1211" s="1" t="s">
        <v>1205</v>
      </c>
      <c r="CX1211" s="266" t="str">
        <f t="shared" si="407"/>
        <v>reg</v>
      </c>
      <c r="CY1211" t="s">
        <v>692</v>
      </c>
      <c r="CZ1211">
        <v>2019</v>
      </c>
      <c r="DB1211">
        <v>0</v>
      </c>
      <c r="DC1211" t="str">
        <f t="shared" si="408"/>
        <v>0</v>
      </c>
      <c r="DD1211">
        <v>0</v>
      </c>
      <c r="DE1211">
        <v>0</v>
      </c>
      <c r="DF1211">
        <v>0</v>
      </c>
      <c r="DG1211">
        <v>1</v>
      </c>
      <c r="DI1211">
        <f t="shared" si="427"/>
        <v>1</v>
      </c>
      <c r="DJ1211" t="str">
        <f t="shared" si="412"/>
        <v>TimberInput</v>
      </c>
      <c r="DK1211">
        <f t="shared" si="383"/>
        <v>0</v>
      </c>
      <c r="DL1211">
        <f t="shared" si="384"/>
        <v>0</v>
      </c>
      <c r="DM1211">
        <f t="shared" si="385"/>
        <v>0</v>
      </c>
      <c r="DN1211" t="str">
        <f t="shared" si="386"/>
        <v>Timber</v>
      </c>
      <c r="DO1211">
        <v>1</v>
      </c>
      <c r="DP1211">
        <v>0</v>
      </c>
      <c r="DQ1211">
        <v>0</v>
      </c>
      <c r="DR1211">
        <v>0</v>
      </c>
      <c r="DS1211">
        <v>0</v>
      </c>
      <c r="DT1211">
        <f t="shared" si="421"/>
        <v>1</v>
      </c>
      <c r="DU1211" s="143" t="str">
        <f t="shared" si="410"/>
        <v>self-calculated DF</v>
      </c>
      <c r="DV1211">
        <v>0</v>
      </c>
      <c r="DW1211">
        <v>0</v>
      </c>
      <c r="DX1211">
        <v>0</v>
      </c>
      <c r="DY1211">
        <v>0</v>
      </c>
      <c r="DZ1211">
        <v>0</v>
      </c>
      <c r="EA1211" s="143">
        <v>1</v>
      </c>
      <c r="EB1211">
        <v>0</v>
      </c>
      <c r="EC1211">
        <v>1</v>
      </c>
      <c r="ED1211">
        <v>0</v>
      </c>
      <c r="EE1211">
        <v>0</v>
      </c>
      <c r="EF1211">
        <v>0</v>
      </c>
      <c r="EG1211">
        <v>0</v>
      </c>
      <c r="EH1211">
        <v>0</v>
      </c>
      <c r="EI1211" s="2">
        <v>0</v>
      </c>
      <c r="EK1211" t="str">
        <f t="shared" si="387"/>
        <v/>
      </c>
      <c r="EL1211" t="str">
        <f t="shared" si="388"/>
        <v/>
      </c>
      <c r="EM1211" s="2" t="str">
        <f t="shared" si="409"/>
        <v/>
      </c>
      <c r="EN1211" t="s">
        <v>1605</v>
      </c>
      <c r="EP1211" t="str">
        <f>IF(ISNUMBER(BU1211),IF(ABS(BU1211-[1]QC_indicators!$B$2)&gt;3*[1]QC_indicators!$C$2,"C ratio",IF(ISNUMBER(BY1211),IF(ABS(BY1211-[1]QC_indicators!$B$1)&gt;3*[1]QC_indicators!$C$1,"DF","no"))),IF(ISNUMBER(BY1211),IF(ABS(BY1211-[1]QC_indicators!$B$1)&gt;3*[1]QC_indicators!$C$1,"DF","no")))</f>
        <v>no</v>
      </c>
      <c r="ER1211" t="s">
        <v>1606</v>
      </c>
      <c r="ET1211" s="266" t="s">
        <v>3409</v>
      </c>
    </row>
    <row r="1212" spans="1:150" ht="15" hidden="1" customHeight="1">
      <c r="A1212" s="1" t="s">
        <v>563</v>
      </c>
      <c r="B1212" t="s">
        <v>545</v>
      </c>
      <c r="C1212" t="s">
        <v>1595</v>
      </c>
      <c r="D1212" t="s">
        <v>1596</v>
      </c>
      <c r="E1212" t="s">
        <v>1597</v>
      </c>
      <c r="F1212" t="s">
        <v>1598</v>
      </c>
      <c r="G1212" t="s">
        <v>568</v>
      </c>
      <c r="H1212" t="s">
        <v>255</v>
      </c>
      <c r="I1212">
        <v>2019</v>
      </c>
      <c r="J1212">
        <v>15</v>
      </c>
      <c r="K1212" t="s">
        <v>1599</v>
      </c>
      <c r="M1212" t="str">
        <f t="shared" si="411"/>
        <v>Geng_2019</v>
      </c>
      <c r="N1212" t="s">
        <v>223</v>
      </c>
      <c r="O1212" s="181" t="s">
        <v>226</v>
      </c>
      <c r="Q1212" s="266" t="s">
        <v>257</v>
      </c>
      <c r="R1212" s="271" t="s">
        <v>1156</v>
      </c>
      <c r="S1212" s="1" t="s">
        <v>1600</v>
      </c>
      <c r="T1212" t="s">
        <v>1615</v>
      </c>
      <c r="V1212">
        <v>0</v>
      </c>
      <c r="W1212">
        <v>0</v>
      </c>
      <c r="X1212">
        <v>0</v>
      </c>
      <c r="Y1212">
        <v>0</v>
      </c>
      <c r="Z1212">
        <v>0</v>
      </c>
      <c r="AA1212">
        <v>0</v>
      </c>
      <c r="AB1212">
        <v>0</v>
      </c>
      <c r="AC1212">
        <v>0</v>
      </c>
      <c r="AD1212">
        <v>0</v>
      </c>
      <c r="AE1212">
        <v>0</v>
      </c>
      <c r="AF1212">
        <v>0</v>
      </c>
      <c r="AG1212">
        <v>0</v>
      </c>
      <c r="AH1212">
        <v>0</v>
      </c>
      <c r="AI1212">
        <v>0</v>
      </c>
      <c r="AJ1212">
        <v>0</v>
      </c>
      <c r="AK1212">
        <v>1</v>
      </c>
      <c r="AL1212">
        <v>0</v>
      </c>
      <c r="AM1212">
        <v>0</v>
      </c>
      <c r="AN1212">
        <v>0</v>
      </c>
      <c r="AO1212">
        <v>0</v>
      </c>
      <c r="AP1212">
        <v>0</v>
      </c>
      <c r="AQ1212">
        <v>0</v>
      </c>
      <c r="AR1212">
        <v>0</v>
      </c>
      <c r="AS1212">
        <v>0</v>
      </c>
      <c r="AT1212">
        <v>0</v>
      </c>
      <c r="AU1212">
        <v>0</v>
      </c>
      <c r="AV1212">
        <v>0</v>
      </c>
      <c r="AW1212">
        <v>0</v>
      </c>
      <c r="AX1212" s="141">
        <f t="shared" si="435"/>
        <v>1</v>
      </c>
      <c r="AY1212" s="141">
        <f t="shared" si="399"/>
        <v>1</v>
      </c>
      <c r="AZ1212">
        <f t="shared" si="400"/>
        <v>0</v>
      </c>
      <c r="BA1212">
        <f t="shared" si="401"/>
        <v>0</v>
      </c>
      <c r="BB1212">
        <f t="shared" si="402"/>
        <v>1</v>
      </c>
      <c r="BC1212">
        <f t="shared" si="403"/>
        <v>0</v>
      </c>
      <c r="BD1212">
        <f t="shared" si="404"/>
        <v>0</v>
      </c>
      <c r="BE1212" t="str" cm="1">
        <f t="array" ref="BE1212">IF(AY1212=1,INDEX($V$7:$AL$7,MATCH(TRUE,INDEX($V1212:$AW1212&lt;&gt;0,),0)),IF(AY1212=0,INDEX($AM$7:$AW$7,MATCH(1,$AM1212:$AW1212,0)),IF(BF1212="Multiple strategies","mixed drivers",IF(BF1212="Supply chain","multiple supply","multiple silviculture"))))</f>
        <v>technologies/design switch</v>
      </c>
      <c r="BF1212" s="2" t="str" cm="1">
        <f t="array" ref="BF1212">IF(COUNTIF(AZ1212:BB1212,"&lt;&gt;0")=1,INDEX($V$4:$AW$4,MATCH(TRUE,INDEX($V1212:$AW1212&lt;&gt;0,),0)),IF(COUNTIF(AZ1212:BB1212,"&lt;&gt;0")=0,INDEX($AM$4:$AW$4,MATCH(1,$AM1212:$AW1212,0)),"Multiple strategies"))</f>
        <v>Technology</v>
      </c>
      <c r="BG1212" s="1" t="s">
        <v>230</v>
      </c>
      <c r="BH1212" t="s">
        <v>1602</v>
      </c>
      <c r="BJ1212" t="s">
        <v>262</v>
      </c>
      <c r="BK1212">
        <v>24</v>
      </c>
      <c r="BL1212">
        <v>71.62</v>
      </c>
      <c r="BM1212">
        <f t="shared" si="428"/>
        <v>2.9841666666666669</v>
      </c>
      <c r="BN1212">
        <f t="shared" si="413"/>
        <v>47.620000000000005</v>
      </c>
      <c r="BO1212">
        <f t="shared" si="423"/>
        <v>9.7183673469387777E-2</v>
      </c>
      <c r="BP1212" t="s">
        <v>233</v>
      </c>
      <c r="BR1212" t="s">
        <v>1611</v>
      </c>
      <c r="BU1212" s="144" t="str">
        <f t="shared" si="422"/>
        <v/>
      </c>
      <c r="BV1212">
        <v>0.189</v>
      </c>
      <c r="BX1212">
        <f t="shared" si="433"/>
        <v>0.189</v>
      </c>
      <c r="BY1212">
        <f t="shared" si="434"/>
        <v>1.9447711045779079</v>
      </c>
      <c r="BZ1212">
        <v>0</v>
      </c>
      <c r="CA1212">
        <v>0</v>
      </c>
      <c r="CB1212">
        <v>0</v>
      </c>
      <c r="CC1212">
        <v>0</v>
      </c>
      <c r="CD1212">
        <v>0</v>
      </c>
      <c r="CE1212">
        <v>0</v>
      </c>
      <c r="CF1212">
        <v>0</v>
      </c>
      <c r="CG1212">
        <v>0</v>
      </c>
      <c r="CH1212">
        <v>0</v>
      </c>
      <c r="CI1212">
        <v>0</v>
      </c>
      <c r="CJ1212">
        <v>0</v>
      </c>
      <c r="CK1212">
        <v>0</v>
      </c>
      <c r="CL1212">
        <v>0</v>
      </c>
      <c r="CM1212">
        <v>0</v>
      </c>
      <c r="CN1212" t="str">
        <f t="shared" si="424"/>
        <v>refOK</v>
      </c>
      <c r="CO1212">
        <f t="shared" si="425"/>
        <v>24</v>
      </c>
      <c r="CP1212">
        <f t="shared" si="426"/>
        <v>71.62</v>
      </c>
      <c r="CQ1212">
        <f t="shared" si="417"/>
        <v>9.7183673469387777E-2</v>
      </c>
      <c r="CR1212">
        <f t="shared" si="429"/>
        <v>0</v>
      </c>
      <c r="CS1212">
        <f t="shared" si="430"/>
        <v>0</v>
      </c>
      <c r="CT1212">
        <f t="shared" si="431"/>
        <v>0.189</v>
      </c>
      <c r="CU1212">
        <f t="shared" si="419"/>
        <v>1.9447711045779079</v>
      </c>
      <c r="CV1212" s="2" t="str">
        <f t="shared" si="432"/>
        <v/>
      </c>
      <c r="CW1212" s="1" t="s">
        <v>1205</v>
      </c>
      <c r="CX1212" s="266" t="str">
        <f t="shared" si="407"/>
        <v>reg</v>
      </c>
      <c r="CY1212" t="s">
        <v>692</v>
      </c>
      <c r="CZ1212">
        <v>2019</v>
      </c>
      <c r="DB1212">
        <v>0</v>
      </c>
      <c r="DC1212" t="str">
        <f t="shared" si="408"/>
        <v>0</v>
      </c>
      <c r="DD1212">
        <v>0</v>
      </c>
      <c r="DE1212">
        <v>0</v>
      </c>
      <c r="DF1212">
        <v>0</v>
      </c>
      <c r="DG1212">
        <v>1</v>
      </c>
      <c r="DI1212">
        <f t="shared" si="427"/>
        <v>1</v>
      </c>
      <c r="DJ1212" t="str">
        <f t="shared" si="412"/>
        <v>TimberInput</v>
      </c>
      <c r="DK1212">
        <f t="shared" si="383"/>
        <v>0</v>
      </c>
      <c r="DL1212">
        <f t="shared" si="384"/>
        <v>0</v>
      </c>
      <c r="DM1212">
        <f t="shared" si="385"/>
        <v>0</v>
      </c>
      <c r="DN1212" t="str">
        <f t="shared" si="386"/>
        <v>Timber</v>
      </c>
      <c r="DO1212">
        <v>1</v>
      </c>
      <c r="DP1212">
        <v>0</v>
      </c>
      <c r="DQ1212">
        <v>0</v>
      </c>
      <c r="DR1212">
        <v>0</v>
      </c>
      <c r="DS1212">
        <v>0</v>
      </c>
      <c r="DT1212">
        <f t="shared" si="421"/>
        <v>1</v>
      </c>
      <c r="DU1212" s="143" t="str">
        <f t="shared" si="410"/>
        <v>self-calculated DF</v>
      </c>
      <c r="DV1212">
        <v>0</v>
      </c>
      <c r="DW1212">
        <v>0</v>
      </c>
      <c r="DX1212">
        <v>0</v>
      </c>
      <c r="DY1212">
        <v>0</v>
      </c>
      <c r="DZ1212">
        <v>0</v>
      </c>
      <c r="EA1212" s="143">
        <v>1</v>
      </c>
      <c r="EB1212">
        <v>0</v>
      </c>
      <c r="EC1212">
        <v>1</v>
      </c>
      <c r="ED1212">
        <v>0</v>
      </c>
      <c r="EE1212">
        <v>0</v>
      </c>
      <c r="EF1212">
        <v>0</v>
      </c>
      <c r="EG1212">
        <v>0</v>
      </c>
      <c r="EH1212">
        <v>0</v>
      </c>
      <c r="EI1212" s="2">
        <v>0</v>
      </c>
      <c r="EK1212" t="str">
        <f t="shared" si="387"/>
        <v/>
      </c>
      <c r="EL1212" t="str">
        <f t="shared" si="388"/>
        <v/>
      </c>
      <c r="EM1212" s="2" t="str">
        <f t="shared" si="409"/>
        <v/>
      </c>
      <c r="EN1212" t="s">
        <v>1605</v>
      </c>
      <c r="EP1212" t="str">
        <f>IF(ISNUMBER(BU1212),IF(ABS(BU1212-[1]QC_indicators!$B$2)&gt;3*[1]QC_indicators!$C$2,"C ratio",IF(ISNUMBER(BY1212),IF(ABS(BY1212-[1]QC_indicators!$B$1)&gt;3*[1]QC_indicators!$C$1,"DF","no"))),IF(ISNUMBER(BY1212),IF(ABS(BY1212-[1]QC_indicators!$B$1)&gt;3*[1]QC_indicators!$C$1,"DF","no")))</f>
        <v>no</v>
      </c>
      <c r="ER1212" t="s">
        <v>1606</v>
      </c>
      <c r="ET1212" s="266" t="s">
        <v>3409</v>
      </c>
    </row>
    <row r="1213" spans="1:150" ht="15" hidden="1" customHeight="1">
      <c r="A1213" s="1" t="s">
        <v>563</v>
      </c>
      <c r="B1213" t="s">
        <v>545</v>
      </c>
      <c r="C1213" t="s">
        <v>1595</v>
      </c>
      <c r="D1213" t="s">
        <v>1596</v>
      </c>
      <c r="E1213" t="s">
        <v>1597</v>
      </c>
      <c r="F1213" t="s">
        <v>1598</v>
      </c>
      <c r="G1213" t="s">
        <v>568</v>
      </c>
      <c r="H1213" t="s">
        <v>255</v>
      </c>
      <c r="I1213">
        <v>2019</v>
      </c>
      <c r="J1213">
        <v>15</v>
      </c>
      <c r="K1213" t="s">
        <v>1599</v>
      </c>
      <c r="M1213" t="str">
        <f t="shared" si="411"/>
        <v>Geng_2019</v>
      </c>
      <c r="N1213" t="s">
        <v>223</v>
      </c>
      <c r="O1213" s="181" t="s">
        <v>226</v>
      </c>
      <c r="Q1213" s="266" t="s">
        <v>257</v>
      </c>
      <c r="R1213" s="271" t="s">
        <v>1156</v>
      </c>
      <c r="S1213" s="1" t="s">
        <v>1600</v>
      </c>
      <c r="T1213" t="s">
        <v>1616</v>
      </c>
      <c r="V1213">
        <v>0</v>
      </c>
      <c r="W1213">
        <v>0</v>
      </c>
      <c r="X1213">
        <v>0</v>
      </c>
      <c r="Y1213">
        <v>0</v>
      </c>
      <c r="Z1213">
        <v>0</v>
      </c>
      <c r="AA1213">
        <v>0</v>
      </c>
      <c r="AB1213">
        <v>0</v>
      </c>
      <c r="AC1213">
        <v>0</v>
      </c>
      <c r="AD1213">
        <v>0</v>
      </c>
      <c r="AE1213">
        <v>0</v>
      </c>
      <c r="AF1213">
        <v>0</v>
      </c>
      <c r="AG1213">
        <v>0</v>
      </c>
      <c r="AH1213">
        <v>0</v>
      </c>
      <c r="AI1213">
        <v>0</v>
      </c>
      <c r="AJ1213">
        <v>0</v>
      </c>
      <c r="AK1213">
        <v>1</v>
      </c>
      <c r="AL1213">
        <v>0</v>
      </c>
      <c r="AM1213">
        <v>0</v>
      </c>
      <c r="AN1213">
        <v>0</v>
      </c>
      <c r="AO1213">
        <v>0</v>
      </c>
      <c r="AP1213">
        <v>0</v>
      </c>
      <c r="AQ1213">
        <v>0</v>
      </c>
      <c r="AR1213">
        <v>0</v>
      </c>
      <c r="AS1213">
        <v>0</v>
      </c>
      <c r="AT1213">
        <v>0</v>
      </c>
      <c r="AU1213">
        <v>0</v>
      </c>
      <c r="AV1213">
        <v>0</v>
      </c>
      <c r="AW1213">
        <v>0</v>
      </c>
      <c r="AX1213" s="141">
        <f t="shared" si="435"/>
        <v>1</v>
      </c>
      <c r="AY1213" s="141">
        <f t="shared" si="399"/>
        <v>1</v>
      </c>
      <c r="AZ1213">
        <f t="shared" si="400"/>
        <v>0</v>
      </c>
      <c r="BA1213">
        <f t="shared" si="401"/>
        <v>0</v>
      </c>
      <c r="BB1213">
        <f t="shared" si="402"/>
        <v>1</v>
      </c>
      <c r="BC1213">
        <f t="shared" si="403"/>
        <v>0</v>
      </c>
      <c r="BD1213">
        <f t="shared" si="404"/>
        <v>0</v>
      </c>
      <c r="BE1213" t="str" cm="1">
        <f t="array" ref="BE1213">IF(AY1213=1,INDEX($V$7:$AL$7,MATCH(TRUE,INDEX($V1213:$AW1213&lt;&gt;0,),0)),IF(AY1213=0,INDEX($AM$7:$AW$7,MATCH(1,$AM1213:$AW1213,0)),IF(BF1213="Multiple strategies","mixed drivers",IF(BF1213="Supply chain","multiple supply","multiple silviculture"))))</f>
        <v>technologies/design switch</v>
      </c>
      <c r="BF1213" s="2" t="str" cm="1">
        <f t="array" ref="BF1213">IF(COUNTIF(AZ1213:BB1213,"&lt;&gt;0")=1,INDEX($V$4:$AW$4,MATCH(TRUE,INDEX($V1213:$AW1213&lt;&gt;0,),0)),IF(COUNTIF(AZ1213:BB1213,"&lt;&gt;0")=0,INDEX($AM$4:$AW$4,MATCH(1,$AM1213:$AW1213,0)),"Multiple strategies"))</f>
        <v>Technology</v>
      </c>
      <c r="BG1213" s="1" t="s">
        <v>230</v>
      </c>
      <c r="BH1213" t="s">
        <v>1602</v>
      </c>
      <c r="BJ1213" t="s">
        <v>262</v>
      </c>
      <c r="BK1213">
        <v>26</v>
      </c>
      <c r="BL1213">
        <v>85.25</v>
      </c>
      <c r="BM1213">
        <f t="shared" si="428"/>
        <v>3.2788461538461537</v>
      </c>
      <c r="BN1213">
        <f t="shared" si="413"/>
        <v>59.25</v>
      </c>
      <c r="BO1213">
        <f t="shared" si="423"/>
        <v>0.12091836734693878</v>
      </c>
      <c r="BP1213" t="s">
        <v>233</v>
      </c>
      <c r="BR1213" t="s">
        <v>1611</v>
      </c>
      <c r="BU1213" s="144" t="str">
        <f t="shared" si="422"/>
        <v/>
      </c>
      <c r="BV1213">
        <v>0.28000000000000003</v>
      </c>
      <c r="BX1213">
        <f t="shared" si="433"/>
        <v>0.28000000000000003</v>
      </c>
      <c r="BY1213">
        <f t="shared" si="434"/>
        <v>2.3156118143459916</v>
      </c>
      <c r="BZ1213">
        <v>0</v>
      </c>
      <c r="CA1213">
        <v>0</v>
      </c>
      <c r="CB1213">
        <v>0</v>
      </c>
      <c r="CC1213">
        <v>0</v>
      </c>
      <c r="CD1213">
        <v>0</v>
      </c>
      <c r="CE1213">
        <v>0</v>
      </c>
      <c r="CF1213">
        <v>0</v>
      </c>
      <c r="CG1213">
        <v>0</v>
      </c>
      <c r="CH1213">
        <v>0</v>
      </c>
      <c r="CI1213">
        <v>0</v>
      </c>
      <c r="CJ1213">
        <v>0</v>
      </c>
      <c r="CK1213">
        <v>0</v>
      </c>
      <c r="CL1213">
        <v>0</v>
      </c>
      <c r="CM1213">
        <v>0</v>
      </c>
      <c r="CN1213" t="str">
        <f t="shared" si="424"/>
        <v>refOK</v>
      </c>
      <c r="CO1213">
        <f t="shared" si="425"/>
        <v>26</v>
      </c>
      <c r="CP1213">
        <f t="shared" si="426"/>
        <v>85.25</v>
      </c>
      <c r="CQ1213">
        <f t="shared" si="417"/>
        <v>0.12091836734693878</v>
      </c>
      <c r="CR1213">
        <f t="shared" si="429"/>
        <v>0</v>
      </c>
      <c r="CS1213">
        <f t="shared" si="430"/>
        <v>0</v>
      </c>
      <c r="CT1213">
        <f t="shared" si="431"/>
        <v>0.28000000000000003</v>
      </c>
      <c r="CU1213">
        <f t="shared" si="419"/>
        <v>2.3156118143459916</v>
      </c>
      <c r="CV1213" s="2" t="str">
        <f t="shared" si="432"/>
        <v/>
      </c>
      <c r="CW1213" s="1" t="s">
        <v>1205</v>
      </c>
      <c r="CX1213" s="266" t="str">
        <f t="shared" si="407"/>
        <v>reg</v>
      </c>
      <c r="CY1213" t="s">
        <v>692</v>
      </c>
      <c r="CZ1213">
        <v>2019</v>
      </c>
      <c r="DB1213">
        <v>0</v>
      </c>
      <c r="DC1213" t="str">
        <f t="shared" si="408"/>
        <v>0</v>
      </c>
      <c r="DD1213">
        <v>0</v>
      </c>
      <c r="DE1213">
        <v>0</v>
      </c>
      <c r="DF1213">
        <v>0</v>
      </c>
      <c r="DG1213">
        <v>1</v>
      </c>
      <c r="DI1213">
        <f t="shared" si="427"/>
        <v>1</v>
      </c>
      <c r="DJ1213" t="str">
        <f t="shared" si="412"/>
        <v>TimberInput</v>
      </c>
      <c r="DK1213">
        <f t="shared" si="383"/>
        <v>0</v>
      </c>
      <c r="DL1213">
        <f t="shared" si="384"/>
        <v>0</v>
      </c>
      <c r="DM1213">
        <f t="shared" si="385"/>
        <v>0</v>
      </c>
      <c r="DN1213" t="str">
        <f t="shared" si="386"/>
        <v>Timber</v>
      </c>
      <c r="DO1213">
        <v>1</v>
      </c>
      <c r="DP1213">
        <v>0</v>
      </c>
      <c r="DQ1213">
        <v>0</v>
      </c>
      <c r="DR1213">
        <v>0</v>
      </c>
      <c r="DS1213">
        <v>0</v>
      </c>
      <c r="DT1213">
        <f t="shared" si="421"/>
        <v>1</v>
      </c>
      <c r="DU1213" s="143" t="str">
        <f t="shared" si="410"/>
        <v>self-calculated DF</v>
      </c>
      <c r="DV1213">
        <v>0</v>
      </c>
      <c r="DW1213">
        <v>0</v>
      </c>
      <c r="DX1213">
        <v>0</v>
      </c>
      <c r="DY1213">
        <v>0</v>
      </c>
      <c r="DZ1213">
        <v>0</v>
      </c>
      <c r="EA1213" s="143">
        <v>1</v>
      </c>
      <c r="EB1213">
        <v>0</v>
      </c>
      <c r="EC1213">
        <v>1</v>
      </c>
      <c r="ED1213">
        <v>0</v>
      </c>
      <c r="EE1213">
        <v>0</v>
      </c>
      <c r="EF1213">
        <v>0</v>
      </c>
      <c r="EG1213">
        <v>0</v>
      </c>
      <c r="EH1213">
        <v>0</v>
      </c>
      <c r="EI1213" s="2">
        <v>0</v>
      </c>
      <c r="EK1213" t="str">
        <f t="shared" si="387"/>
        <v/>
      </c>
      <c r="EL1213" t="str">
        <f t="shared" si="388"/>
        <v/>
      </c>
      <c r="EM1213" s="2" t="str">
        <f t="shared" si="409"/>
        <v/>
      </c>
      <c r="EN1213" t="s">
        <v>1605</v>
      </c>
      <c r="EP1213" t="str">
        <f>IF(ISNUMBER(BU1213),IF(ABS(BU1213-[1]QC_indicators!$B$2)&gt;3*[1]QC_indicators!$C$2,"C ratio",IF(ISNUMBER(BY1213),IF(ABS(BY1213-[1]QC_indicators!$B$1)&gt;3*[1]QC_indicators!$C$1,"DF","no"))),IF(ISNUMBER(BY1213),IF(ABS(BY1213-[1]QC_indicators!$B$1)&gt;3*[1]QC_indicators!$C$1,"DF","no")))</f>
        <v>no</v>
      </c>
      <c r="ER1213" t="s">
        <v>1606</v>
      </c>
      <c r="ET1213" s="266" t="s">
        <v>3409</v>
      </c>
    </row>
    <row r="1214" spans="1:150" ht="15" hidden="1" customHeight="1">
      <c r="A1214" s="1" t="s">
        <v>563</v>
      </c>
      <c r="B1214" t="s">
        <v>545</v>
      </c>
      <c r="C1214" t="s">
        <v>1595</v>
      </c>
      <c r="D1214" t="s">
        <v>1596</v>
      </c>
      <c r="E1214" t="s">
        <v>1597</v>
      </c>
      <c r="F1214" t="s">
        <v>1598</v>
      </c>
      <c r="G1214" t="s">
        <v>568</v>
      </c>
      <c r="H1214" t="s">
        <v>255</v>
      </c>
      <c r="I1214">
        <v>2019</v>
      </c>
      <c r="J1214">
        <v>15</v>
      </c>
      <c r="K1214" t="s">
        <v>1599</v>
      </c>
      <c r="M1214" t="str">
        <f t="shared" si="411"/>
        <v>Geng_2019</v>
      </c>
      <c r="N1214" t="s">
        <v>223</v>
      </c>
      <c r="O1214" s="181" t="s">
        <v>226</v>
      </c>
      <c r="Q1214" s="266" t="s">
        <v>257</v>
      </c>
      <c r="R1214" s="271" t="s">
        <v>1156</v>
      </c>
      <c r="S1214" s="1" t="s">
        <v>1600</v>
      </c>
      <c r="T1214" t="s">
        <v>1617</v>
      </c>
      <c r="V1214">
        <v>0</v>
      </c>
      <c r="W1214">
        <v>0</v>
      </c>
      <c r="X1214">
        <v>0</v>
      </c>
      <c r="Y1214">
        <v>0</v>
      </c>
      <c r="Z1214">
        <v>0</v>
      </c>
      <c r="AA1214">
        <v>0</v>
      </c>
      <c r="AB1214">
        <v>0</v>
      </c>
      <c r="AC1214">
        <v>0</v>
      </c>
      <c r="AD1214">
        <v>0</v>
      </c>
      <c r="AE1214">
        <v>0</v>
      </c>
      <c r="AF1214">
        <v>0</v>
      </c>
      <c r="AG1214">
        <v>0</v>
      </c>
      <c r="AH1214">
        <v>0</v>
      </c>
      <c r="AI1214">
        <v>0</v>
      </c>
      <c r="AJ1214">
        <v>0</v>
      </c>
      <c r="AK1214">
        <v>1</v>
      </c>
      <c r="AL1214">
        <v>0</v>
      </c>
      <c r="AM1214">
        <v>0</v>
      </c>
      <c r="AN1214">
        <v>0</v>
      </c>
      <c r="AO1214">
        <v>0</v>
      </c>
      <c r="AP1214">
        <v>0</v>
      </c>
      <c r="AQ1214">
        <v>0</v>
      </c>
      <c r="AR1214">
        <v>0</v>
      </c>
      <c r="AS1214">
        <v>0</v>
      </c>
      <c r="AT1214">
        <v>0</v>
      </c>
      <c r="AU1214">
        <v>0</v>
      </c>
      <c r="AV1214">
        <v>0</v>
      </c>
      <c r="AW1214">
        <v>0</v>
      </c>
      <c r="AX1214" s="141">
        <f t="shared" si="435"/>
        <v>1</v>
      </c>
      <c r="AY1214" s="141">
        <f t="shared" si="399"/>
        <v>1</v>
      </c>
      <c r="AZ1214">
        <f t="shared" si="400"/>
        <v>0</v>
      </c>
      <c r="BA1214">
        <f t="shared" si="401"/>
        <v>0</v>
      </c>
      <c r="BB1214">
        <f t="shared" si="402"/>
        <v>1</v>
      </c>
      <c r="BC1214">
        <f t="shared" si="403"/>
        <v>0</v>
      </c>
      <c r="BD1214">
        <f t="shared" si="404"/>
        <v>0</v>
      </c>
      <c r="BE1214" t="str" cm="1">
        <f t="array" ref="BE1214">IF(AY1214=1,INDEX($V$7:$AL$7,MATCH(TRUE,INDEX($V1214:$AW1214&lt;&gt;0,),0)),IF(AY1214=0,INDEX($AM$7:$AW$7,MATCH(1,$AM1214:$AW1214,0)),IF(BF1214="Multiple strategies","mixed drivers",IF(BF1214="Supply chain","multiple supply","multiple silviculture"))))</f>
        <v>technologies/design switch</v>
      </c>
      <c r="BF1214" s="2" t="str" cm="1">
        <f t="array" ref="BF1214">IF(COUNTIF(AZ1214:BB1214,"&lt;&gt;0")=1,INDEX($V$4:$AW$4,MATCH(TRUE,INDEX($V1214:$AW1214&lt;&gt;0,),0)),IF(COUNTIF(AZ1214:BB1214,"&lt;&gt;0")=0,INDEX($AM$4:$AW$4,MATCH(1,$AM1214:$AW1214,0)),"Multiple strategies"))</f>
        <v>Technology</v>
      </c>
      <c r="BG1214" s="1" t="s">
        <v>230</v>
      </c>
      <c r="BH1214" t="s">
        <v>1602</v>
      </c>
      <c r="BJ1214" t="s">
        <v>1603</v>
      </c>
      <c r="BK1214">
        <v>5.61</v>
      </c>
      <c r="BL1214">
        <v>6.38</v>
      </c>
      <c r="BM1214">
        <f t="shared" si="428"/>
        <v>1.1372549019607843</v>
      </c>
      <c r="BN1214">
        <f t="shared" si="413"/>
        <v>0.76999999999999957</v>
      </c>
      <c r="BO1214">
        <f t="shared" si="423"/>
        <v>1.5714285714285706E-3</v>
      </c>
      <c r="BP1214" t="s">
        <v>233</v>
      </c>
      <c r="BR1214" t="s">
        <v>1604</v>
      </c>
      <c r="BU1214" s="144" t="str">
        <f t="shared" si="422"/>
        <v/>
      </c>
      <c r="BV1214">
        <v>3.9980000000000002</v>
      </c>
      <c r="BX1214">
        <f>BV1214/1000</f>
        <v>3.9979999999999998E-3</v>
      </c>
      <c r="BY1214">
        <f t="shared" si="434"/>
        <v>2.5441818181818192</v>
      </c>
      <c r="BZ1214">
        <v>0</v>
      </c>
      <c r="CA1214">
        <v>0</v>
      </c>
      <c r="CB1214">
        <v>0</v>
      </c>
      <c r="CC1214">
        <v>0</v>
      </c>
      <c r="CD1214">
        <v>0</v>
      </c>
      <c r="CE1214">
        <v>0</v>
      </c>
      <c r="CF1214">
        <v>0</v>
      </c>
      <c r="CG1214">
        <v>0</v>
      </c>
      <c r="CH1214">
        <v>0</v>
      </c>
      <c r="CI1214">
        <v>0</v>
      </c>
      <c r="CJ1214">
        <v>0</v>
      </c>
      <c r="CK1214">
        <v>0</v>
      </c>
      <c r="CL1214">
        <v>0</v>
      </c>
      <c r="CM1214">
        <v>0</v>
      </c>
      <c r="CN1214" t="str">
        <f t="shared" si="424"/>
        <v>refOK</v>
      </c>
      <c r="CO1214">
        <f t="shared" si="425"/>
        <v>5.61</v>
      </c>
      <c r="CP1214">
        <f t="shared" si="426"/>
        <v>6.38</v>
      </c>
      <c r="CQ1214">
        <f t="shared" si="417"/>
        <v>1.5714285714285706E-3</v>
      </c>
      <c r="CR1214">
        <f t="shared" si="429"/>
        <v>0</v>
      </c>
      <c r="CS1214">
        <f t="shared" si="430"/>
        <v>0</v>
      </c>
      <c r="CT1214">
        <f t="shared" si="431"/>
        <v>3.9979999999999998E-3</v>
      </c>
      <c r="CU1214">
        <f t="shared" si="419"/>
        <v>2.5441818181818192</v>
      </c>
      <c r="CV1214" s="2" t="str">
        <f t="shared" si="432"/>
        <v/>
      </c>
      <c r="CW1214" s="1" t="s">
        <v>1205</v>
      </c>
      <c r="CX1214" s="266" t="str">
        <f t="shared" si="407"/>
        <v>reg</v>
      </c>
      <c r="CY1214" t="s">
        <v>692</v>
      </c>
      <c r="CZ1214">
        <v>2019</v>
      </c>
      <c r="DB1214">
        <v>0</v>
      </c>
      <c r="DC1214" t="str">
        <f t="shared" si="408"/>
        <v>0</v>
      </c>
      <c r="DD1214">
        <v>0</v>
      </c>
      <c r="DE1214">
        <v>0</v>
      </c>
      <c r="DF1214">
        <v>0</v>
      </c>
      <c r="DG1214">
        <v>1</v>
      </c>
      <c r="DI1214">
        <f t="shared" si="427"/>
        <v>1</v>
      </c>
      <c r="DJ1214" t="str">
        <f t="shared" si="412"/>
        <v>TimberInput</v>
      </c>
      <c r="DK1214">
        <f t="shared" si="383"/>
        <v>0</v>
      </c>
      <c r="DL1214">
        <f t="shared" si="384"/>
        <v>0</v>
      </c>
      <c r="DM1214">
        <f t="shared" si="385"/>
        <v>0</v>
      </c>
      <c r="DN1214" t="str">
        <f t="shared" si="386"/>
        <v>Timber</v>
      </c>
      <c r="DO1214">
        <v>1</v>
      </c>
      <c r="DP1214">
        <v>0</v>
      </c>
      <c r="DQ1214">
        <v>0</v>
      </c>
      <c r="DR1214">
        <v>0</v>
      </c>
      <c r="DS1214">
        <v>0</v>
      </c>
      <c r="DT1214">
        <f t="shared" si="421"/>
        <v>1</v>
      </c>
      <c r="DU1214" s="143" t="str">
        <f t="shared" si="410"/>
        <v>self-calculated DF</v>
      </c>
      <c r="DV1214">
        <v>0</v>
      </c>
      <c r="DW1214">
        <v>0</v>
      </c>
      <c r="DX1214">
        <v>0</v>
      </c>
      <c r="DY1214">
        <v>0</v>
      </c>
      <c r="DZ1214">
        <v>0</v>
      </c>
      <c r="EA1214" s="143">
        <v>1</v>
      </c>
      <c r="EB1214">
        <v>0</v>
      </c>
      <c r="EC1214">
        <v>1</v>
      </c>
      <c r="ED1214">
        <v>0</v>
      </c>
      <c r="EE1214">
        <v>0</v>
      </c>
      <c r="EF1214">
        <v>0</v>
      </c>
      <c r="EG1214">
        <v>0</v>
      </c>
      <c r="EH1214">
        <v>0</v>
      </c>
      <c r="EI1214" s="2">
        <v>0</v>
      </c>
      <c r="EK1214" t="str">
        <f t="shared" si="387"/>
        <v/>
      </c>
      <c r="EL1214" t="str">
        <f t="shared" si="388"/>
        <v/>
      </c>
      <c r="EM1214" s="2" t="str">
        <f t="shared" si="409"/>
        <v/>
      </c>
      <c r="EN1214" t="s">
        <v>1605</v>
      </c>
      <c r="EP1214" t="str">
        <f>IF(ISNUMBER(BU1214),IF(ABS(BU1214-[1]QC_indicators!$B$2)&gt;3*[1]QC_indicators!$C$2,"C ratio",IF(ISNUMBER(BY1214),IF(ABS(BY1214-[1]QC_indicators!$B$1)&gt;3*[1]QC_indicators!$C$1,"DF","no"))),IF(ISNUMBER(BY1214),IF(ABS(BY1214-[1]QC_indicators!$B$1)&gt;3*[1]QC_indicators!$C$1,"DF","no")))</f>
        <v>no</v>
      </c>
      <c r="ER1214" t="s">
        <v>1606</v>
      </c>
      <c r="ET1214" s="266" t="s">
        <v>3409</v>
      </c>
    </row>
    <row r="1215" spans="1:150" ht="15" hidden="1" customHeight="1">
      <c r="A1215" s="1" t="s">
        <v>563</v>
      </c>
      <c r="B1215" t="s">
        <v>545</v>
      </c>
      <c r="C1215" t="s">
        <v>1595</v>
      </c>
      <c r="D1215" t="s">
        <v>1596</v>
      </c>
      <c r="E1215" t="s">
        <v>1597</v>
      </c>
      <c r="F1215" t="s">
        <v>1598</v>
      </c>
      <c r="G1215" t="s">
        <v>568</v>
      </c>
      <c r="H1215" t="s">
        <v>255</v>
      </c>
      <c r="I1215">
        <v>2019</v>
      </c>
      <c r="J1215">
        <v>15</v>
      </c>
      <c r="K1215" t="s">
        <v>1599</v>
      </c>
      <c r="M1215" t="str">
        <f t="shared" si="411"/>
        <v>Geng_2019</v>
      </c>
      <c r="N1215" t="s">
        <v>223</v>
      </c>
      <c r="O1215" s="181" t="s">
        <v>226</v>
      </c>
      <c r="Q1215" s="266" t="s">
        <v>257</v>
      </c>
      <c r="R1215" s="271" t="s">
        <v>1156</v>
      </c>
      <c r="S1215" s="1" t="s">
        <v>1600</v>
      </c>
      <c r="T1215" t="s">
        <v>1618</v>
      </c>
      <c r="V1215">
        <v>0</v>
      </c>
      <c r="W1215">
        <v>0</v>
      </c>
      <c r="X1215">
        <v>0</v>
      </c>
      <c r="Y1215">
        <v>0</v>
      </c>
      <c r="Z1215">
        <v>0</v>
      </c>
      <c r="AA1215">
        <v>0</v>
      </c>
      <c r="AB1215">
        <v>0</v>
      </c>
      <c r="AC1215">
        <v>0</v>
      </c>
      <c r="AD1215">
        <v>0</v>
      </c>
      <c r="AE1215">
        <v>0</v>
      </c>
      <c r="AF1215">
        <v>0</v>
      </c>
      <c r="AG1215">
        <v>0</v>
      </c>
      <c r="AH1215">
        <v>0</v>
      </c>
      <c r="AI1215">
        <v>0</v>
      </c>
      <c r="AJ1215">
        <v>0</v>
      </c>
      <c r="AK1215">
        <v>1</v>
      </c>
      <c r="AL1215">
        <v>0</v>
      </c>
      <c r="AM1215">
        <v>0</v>
      </c>
      <c r="AN1215">
        <v>0</v>
      </c>
      <c r="AO1215">
        <v>0</v>
      </c>
      <c r="AP1215">
        <v>0</v>
      </c>
      <c r="AQ1215">
        <v>0</v>
      </c>
      <c r="AR1215">
        <v>0</v>
      </c>
      <c r="AS1215">
        <v>0</v>
      </c>
      <c r="AT1215">
        <v>0</v>
      </c>
      <c r="AU1215">
        <v>0</v>
      </c>
      <c r="AV1215">
        <v>0</v>
      </c>
      <c r="AW1215">
        <v>0</v>
      </c>
      <c r="AX1215" s="141">
        <f t="shared" si="435"/>
        <v>1</v>
      </c>
      <c r="AY1215" s="141">
        <f t="shared" si="399"/>
        <v>1</v>
      </c>
      <c r="AZ1215">
        <f t="shared" si="400"/>
        <v>0</v>
      </c>
      <c r="BA1215">
        <f t="shared" si="401"/>
        <v>0</v>
      </c>
      <c r="BB1215">
        <f t="shared" si="402"/>
        <v>1</v>
      </c>
      <c r="BC1215">
        <f t="shared" si="403"/>
        <v>0</v>
      </c>
      <c r="BD1215">
        <f t="shared" si="404"/>
        <v>0</v>
      </c>
      <c r="BE1215" t="str" cm="1">
        <f t="array" ref="BE1215">IF(AY1215=1,INDEX($V$7:$AL$7,MATCH(TRUE,INDEX($V1215:$AW1215&lt;&gt;0,),0)),IF(AY1215=0,INDEX($AM$7:$AW$7,MATCH(1,$AM1215:$AW1215,0)),IF(BF1215="Multiple strategies","mixed drivers",IF(BF1215="Supply chain","multiple supply","multiple silviculture"))))</f>
        <v>technologies/design switch</v>
      </c>
      <c r="BF1215" s="2" t="str" cm="1">
        <f t="array" ref="BF1215">IF(COUNTIF(AZ1215:BB1215,"&lt;&gt;0")=1,INDEX($V$4:$AW$4,MATCH(TRUE,INDEX($V1215:$AW1215&lt;&gt;0,),0)),IF(COUNTIF(AZ1215:BB1215,"&lt;&gt;0")=0,INDEX($AM$4:$AW$4,MATCH(1,$AM1215:$AW1215,0)),"Multiple strategies"))</f>
        <v>Technology</v>
      </c>
      <c r="BG1215" s="1" t="s">
        <v>230</v>
      </c>
      <c r="BH1215" t="s">
        <v>1602</v>
      </c>
      <c r="BJ1215" t="s">
        <v>262</v>
      </c>
      <c r="BK1215">
        <v>34</v>
      </c>
      <c r="BL1215">
        <v>66</v>
      </c>
      <c r="BM1215">
        <f t="shared" si="428"/>
        <v>1.9411764705882353</v>
      </c>
      <c r="BN1215">
        <f t="shared" si="413"/>
        <v>32</v>
      </c>
      <c r="BO1215">
        <f t="shared" si="423"/>
        <v>6.5306122448979598E-2</v>
      </c>
      <c r="BP1215" t="s">
        <v>233</v>
      </c>
      <c r="BR1215" t="s">
        <v>1611</v>
      </c>
      <c r="BU1215" s="144" t="str">
        <f t="shared" si="422"/>
        <v/>
      </c>
      <c r="BV1215">
        <v>0.17599999999999999</v>
      </c>
      <c r="BX1215">
        <f>BV1215</f>
        <v>0.17599999999999999</v>
      </c>
      <c r="BY1215">
        <f t="shared" si="434"/>
        <v>2.6949999999999994</v>
      </c>
      <c r="BZ1215">
        <v>0</v>
      </c>
      <c r="CA1215">
        <v>0</v>
      </c>
      <c r="CB1215">
        <v>0</v>
      </c>
      <c r="CC1215">
        <v>0</v>
      </c>
      <c r="CD1215">
        <v>0</v>
      </c>
      <c r="CE1215">
        <v>0</v>
      </c>
      <c r="CF1215">
        <v>0</v>
      </c>
      <c r="CG1215">
        <v>0</v>
      </c>
      <c r="CH1215">
        <v>0</v>
      </c>
      <c r="CI1215">
        <v>0</v>
      </c>
      <c r="CJ1215">
        <v>0</v>
      </c>
      <c r="CK1215">
        <v>0</v>
      </c>
      <c r="CL1215">
        <v>0</v>
      </c>
      <c r="CM1215">
        <v>0</v>
      </c>
      <c r="CN1215" t="str">
        <f t="shared" si="424"/>
        <v>refOK</v>
      </c>
      <c r="CO1215">
        <f t="shared" si="425"/>
        <v>34</v>
      </c>
      <c r="CP1215">
        <f t="shared" si="426"/>
        <v>66</v>
      </c>
      <c r="CQ1215">
        <f t="shared" si="417"/>
        <v>6.5306122448979598E-2</v>
      </c>
      <c r="CR1215">
        <f t="shared" si="429"/>
        <v>0</v>
      </c>
      <c r="CS1215">
        <f t="shared" si="430"/>
        <v>0</v>
      </c>
      <c r="CT1215">
        <f t="shared" si="431"/>
        <v>0.17599999999999999</v>
      </c>
      <c r="CU1215">
        <f t="shared" si="419"/>
        <v>2.6949999999999994</v>
      </c>
      <c r="CV1215" s="2" t="str">
        <f t="shared" si="432"/>
        <v/>
      </c>
      <c r="CW1215" s="1" t="s">
        <v>1205</v>
      </c>
      <c r="CX1215" s="266" t="str">
        <f t="shared" si="407"/>
        <v>reg</v>
      </c>
      <c r="CY1215" t="s">
        <v>692</v>
      </c>
      <c r="CZ1215">
        <v>2019</v>
      </c>
      <c r="DB1215">
        <v>0</v>
      </c>
      <c r="DC1215" t="str">
        <f t="shared" si="408"/>
        <v>0</v>
      </c>
      <c r="DD1215">
        <v>0</v>
      </c>
      <c r="DE1215">
        <v>0</v>
      </c>
      <c r="DF1215">
        <v>0</v>
      </c>
      <c r="DG1215">
        <v>1</v>
      </c>
      <c r="DI1215">
        <f t="shared" si="427"/>
        <v>1</v>
      </c>
      <c r="DJ1215" t="str">
        <f t="shared" si="412"/>
        <v>TimberInput</v>
      </c>
      <c r="DK1215">
        <f t="shared" si="383"/>
        <v>0</v>
      </c>
      <c r="DL1215">
        <f t="shared" si="384"/>
        <v>0</v>
      </c>
      <c r="DM1215">
        <f t="shared" si="385"/>
        <v>0</v>
      </c>
      <c r="DN1215" t="str">
        <f t="shared" si="386"/>
        <v>Timber</v>
      </c>
      <c r="DO1215">
        <v>1</v>
      </c>
      <c r="DP1215">
        <v>0</v>
      </c>
      <c r="DQ1215">
        <v>0</v>
      </c>
      <c r="DR1215">
        <v>0</v>
      </c>
      <c r="DS1215">
        <v>0</v>
      </c>
      <c r="DT1215">
        <f t="shared" si="421"/>
        <v>1</v>
      </c>
      <c r="DU1215" s="143" t="str">
        <f t="shared" si="410"/>
        <v>self-calculated DF</v>
      </c>
      <c r="DV1215">
        <v>0</v>
      </c>
      <c r="DW1215">
        <v>0</v>
      </c>
      <c r="DX1215">
        <v>0</v>
      </c>
      <c r="DY1215">
        <v>0</v>
      </c>
      <c r="DZ1215">
        <v>0</v>
      </c>
      <c r="EA1215" s="143">
        <v>1</v>
      </c>
      <c r="EB1215">
        <v>0</v>
      </c>
      <c r="EC1215">
        <v>1</v>
      </c>
      <c r="ED1215">
        <v>0</v>
      </c>
      <c r="EE1215">
        <v>0</v>
      </c>
      <c r="EF1215">
        <v>0</v>
      </c>
      <c r="EG1215">
        <v>0</v>
      </c>
      <c r="EH1215">
        <v>0</v>
      </c>
      <c r="EI1215" s="2">
        <v>0</v>
      </c>
      <c r="EK1215" t="str">
        <f t="shared" si="387"/>
        <v/>
      </c>
      <c r="EL1215" t="str">
        <f t="shared" si="388"/>
        <v/>
      </c>
      <c r="EM1215" s="2" t="str">
        <f t="shared" si="409"/>
        <v/>
      </c>
      <c r="EN1215" t="s">
        <v>1605</v>
      </c>
      <c r="EP1215" t="str">
        <f>IF(ISNUMBER(BU1215),IF(ABS(BU1215-[1]QC_indicators!$B$2)&gt;3*[1]QC_indicators!$C$2,"C ratio",IF(ISNUMBER(BY1215),IF(ABS(BY1215-[1]QC_indicators!$B$1)&gt;3*[1]QC_indicators!$C$1,"DF","no"))),IF(ISNUMBER(BY1215),IF(ABS(BY1215-[1]QC_indicators!$B$1)&gt;3*[1]QC_indicators!$C$1,"DF","no")))</f>
        <v>no</v>
      </c>
      <c r="ER1215" t="s">
        <v>1606</v>
      </c>
      <c r="ET1215" s="266" t="s">
        <v>3409</v>
      </c>
    </row>
    <row r="1216" spans="1:150" ht="15" hidden="1" customHeight="1">
      <c r="A1216" s="1" t="s">
        <v>563</v>
      </c>
      <c r="B1216" t="s">
        <v>545</v>
      </c>
      <c r="C1216" t="s">
        <v>1595</v>
      </c>
      <c r="D1216" t="s">
        <v>1596</v>
      </c>
      <c r="E1216" t="s">
        <v>1597</v>
      </c>
      <c r="F1216" t="s">
        <v>1598</v>
      </c>
      <c r="G1216" t="s">
        <v>568</v>
      </c>
      <c r="H1216" t="s">
        <v>255</v>
      </c>
      <c r="I1216">
        <v>2019</v>
      </c>
      <c r="J1216">
        <v>15</v>
      </c>
      <c r="K1216" t="s">
        <v>1599</v>
      </c>
      <c r="M1216" t="str">
        <f t="shared" si="411"/>
        <v>Geng_2019</v>
      </c>
      <c r="N1216" t="s">
        <v>223</v>
      </c>
      <c r="O1216" s="181" t="s">
        <v>226</v>
      </c>
      <c r="Q1216" s="266" t="s">
        <v>257</v>
      </c>
      <c r="R1216" s="271" t="s">
        <v>1156</v>
      </c>
      <c r="S1216" s="1" t="s">
        <v>1600</v>
      </c>
      <c r="T1216" t="s">
        <v>1619</v>
      </c>
      <c r="V1216">
        <v>0</v>
      </c>
      <c r="W1216">
        <v>0</v>
      </c>
      <c r="X1216">
        <v>0</v>
      </c>
      <c r="Y1216">
        <v>0</v>
      </c>
      <c r="Z1216">
        <v>0</v>
      </c>
      <c r="AA1216">
        <v>0</v>
      </c>
      <c r="AB1216">
        <v>0</v>
      </c>
      <c r="AC1216">
        <v>0</v>
      </c>
      <c r="AD1216">
        <v>0</v>
      </c>
      <c r="AE1216">
        <v>0</v>
      </c>
      <c r="AF1216">
        <v>0</v>
      </c>
      <c r="AG1216">
        <v>0</v>
      </c>
      <c r="AH1216">
        <v>0</v>
      </c>
      <c r="AI1216">
        <v>0</v>
      </c>
      <c r="AJ1216">
        <v>0</v>
      </c>
      <c r="AK1216">
        <v>1</v>
      </c>
      <c r="AL1216">
        <v>0</v>
      </c>
      <c r="AM1216">
        <v>0</v>
      </c>
      <c r="AN1216">
        <v>0</v>
      </c>
      <c r="AO1216">
        <v>0</v>
      </c>
      <c r="AP1216">
        <v>0</v>
      </c>
      <c r="AQ1216">
        <v>0</v>
      </c>
      <c r="AR1216">
        <v>0</v>
      </c>
      <c r="AS1216">
        <v>0</v>
      </c>
      <c r="AT1216">
        <v>0</v>
      </c>
      <c r="AU1216">
        <v>0</v>
      </c>
      <c r="AV1216">
        <v>0</v>
      </c>
      <c r="AW1216">
        <v>0</v>
      </c>
      <c r="AX1216" s="141">
        <f t="shared" si="435"/>
        <v>1</v>
      </c>
      <c r="AY1216" s="141">
        <f t="shared" si="399"/>
        <v>1</v>
      </c>
      <c r="AZ1216">
        <f t="shared" si="400"/>
        <v>0</v>
      </c>
      <c r="BA1216">
        <f t="shared" si="401"/>
        <v>0</v>
      </c>
      <c r="BB1216">
        <f t="shared" si="402"/>
        <v>1</v>
      </c>
      <c r="BC1216">
        <f t="shared" si="403"/>
        <v>0</v>
      </c>
      <c r="BD1216">
        <f t="shared" si="404"/>
        <v>0</v>
      </c>
      <c r="BE1216" t="str" cm="1">
        <f t="array" ref="BE1216">IF(AY1216=1,INDEX($V$7:$AL$7,MATCH(TRUE,INDEX($V1216:$AW1216&lt;&gt;0,),0)),IF(AY1216=0,INDEX($AM$7:$AW$7,MATCH(1,$AM1216:$AW1216,0)),IF(BF1216="Multiple strategies","mixed drivers",IF(BF1216="Supply chain","multiple supply","multiple silviculture"))))</f>
        <v>technologies/design switch</v>
      </c>
      <c r="BF1216" s="2" t="str" cm="1">
        <f t="array" ref="BF1216">IF(COUNTIF(AZ1216:BB1216,"&lt;&gt;0")=1,INDEX($V$4:$AW$4,MATCH(TRUE,INDEX($V1216:$AW1216&lt;&gt;0,),0)),IF(COUNTIF(AZ1216:BB1216,"&lt;&gt;0")=0,INDEX($AM$4:$AW$4,MATCH(1,$AM1216:$AW1216,0)),"Multiple strategies"))</f>
        <v>Technology</v>
      </c>
      <c r="BG1216" s="1" t="s">
        <v>230</v>
      </c>
      <c r="BH1216" t="s">
        <v>1602</v>
      </c>
      <c r="BJ1216" t="s">
        <v>262</v>
      </c>
      <c r="BK1216">
        <v>26</v>
      </c>
      <c r="BL1216">
        <v>82.35</v>
      </c>
      <c r="BM1216">
        <f t="shared" si="428"/>
        <v>3.1673076923076922</v>
      </c>
      <c r="BN1216">
        <f t="shared" si="413"/>
        <v>56.349999999999994</v>
      </c>
      <c r="BO1216">
        <f t="shared" si="423"/>
        <v>0.115</v>
      </c>
      <c r="BP1216" t="s">
        <v>233</v>
      </c>
      <c r="BR1216" t="s">
        <v>1611</v>
      </c>
      <c r="BU1216" s="144" t="str">
        <f t="shared" si="422"/>
        <v/>
      </c>
      <c r="BV1216">
        <v>0.314</v>
      </c>
      <c r="BX1216">
        <f>BV1216</f>
        <v>0.314</v>
      </c>
      <c r="BY1216">
        <f t="shared" si="434"/>
        <v>2.7304347826086954</v>
      </c>
      <c r="BZ1216">
        <v>0</v>
      </c>
      <c r="CA1216">
        <v>0</v>
      </c>
      <c r="CB1216">
        <v>0</v>
      </c>
      <c r="CC1216">
        <v>0</v>
      </c>
      <c r="CD1216">
        <v>0</v>
      </c>
      <c r="CE1216">
        <v>0</v>
      </c>
      <c r="CF1216">
        <v>0</v>
      </c>
      <c r="CG1216">
        <v>0</v>
      </c>
      <c r="CH1216">
        <v>0</v>
      </c>
      <c r="CI1216">
        <v>0</v>
      </c>
      <c r="CJ1216">
        <v>0</v>
      </c>
      <c r="CK1216">
        <v>0</v>
      </c>
      <c r="CL1216">
        <v>0</v>
      </c>
      <c r="CM1216">
        <v>0</v>
      </c>
      <c r="CN1216" t="str">
        <f t="shared" si="424"/>
        <v>refOK</v>
      </c>
      <c r="CO1216">
        <f t="shared" si="425"/>
        <v>26</v>
      </c>
      <c r="CP1216">
        <f t="shared" si="426"/>
        <v>82.35</v>
      </c>
      <c r="CQ1216">
        <f t="shared" si="417"/>
        <v>0.115</v>
      </c>
      <c r="CR1216">
        <f t="shared" si="429"/>
        <v>0</v>
      </c>
      <c r="CS1216">
        <f t="shared" si="430"/>
        <v>0</v>
      </c>
      <c r="CT1216">
        <f t="shared" si="431"/>
        <v>0.314</v>
      </c>
      <c r="CU1216">
        <f t="shared" si="419"/>
        <v>2.7304347826086954</v>
      </c>
      <c r="CV1216" s="2" t="str">
        <f t="shared" si="432"/>
        <v/>
      </c>
      <c r="CW1216" s="1" t="s">
        <v>1205</v>
      </c>
      <c r="CX1216" s="266" t="str">
        <f t="shared" si="407"/>
        <v>reg</v>
      </c>
      <c r="CY1216" t="s">
        <v>692</v>
      </c>
      <c r="CZ1216">
        <v>2019</v>
      </c>
      <c r="DB1216">
        <v>0</v>
      </c>
      <c r="DC1216" t="str">
        <f t="shared" si="408"/>
        <v>0</v>
      </c>
      <c r="DD1216">
        <v>0</v>
      </c>
      <c r="DE1216">
        <v>0</v>
      </c>
      <c r="DF1216">
        <v>0</v>
      </c>
      <c r="DG1216">
        <v>1</v>
      </c>
      <c r="DI1216">
        <f t="shared" si="427"/>
        <v>1</v>
      </c>
      <c r="DJ1216" t="str">
        <f t="shared" si="412"/>
        <v>TimberInput</v>
      </c>
      <c r="DK1216">
        <f t="shared" si="383"/>
        <v>0</v>
      </c>
      <c r="DL1216">
        <f t="shared" si="384"/>
        <v>0</v>
      </c>
      <c r="DM1216">
        <f t="shared" si="385"/>
        <v>0</v>
      </c>
      <c r="DN1216" t="str">
        <f t="shared" si="386"/>
        <v>Timber</v>
      </c>
      <c r="DO1216">
        <v>1</v>
      </c>
      <c r="DP1216">
        <v>0</v>
      </c>
      <c r="DQ1216">
        <v>0</v>
      </c>
      <c r="DR1216">
        <v>0</v>
      </c>
      <c r="DS1216">
        <v>0</v>
      </c>
      <c r="DT1216">
        <f t="shared" si="421"/>
        <v>1</v>
      </c>
      <c r="DU1216" s="143" t="str">
        <f t="shared" si="410"/>
        <v>self-calculated DF</v>
      </c>
      <c r="DV1216">
        <v>0</v>
      </c>
      <c r="DW1216">
        <v>0</v>
      </c>
      <c r="DX1216">
        <v>0</v>
      </c>
      <c r="DY1216">
        <v>0</v>
      </c>
      <c r="DZ1216">
        <v>0</v>
      </c>
      <c r="EA1216" s="143">
        <v>1</v>
      </c>
      <c r="EB1216">
        <v>0</v>
      </c>
      <c r="EC1216">
        <v>1</v>
      </c>
      <c r="ED1216">
        <v>0</v>
      </c>
      <c r="EE1216">
        <v>0</v>
      </c>
      <c r="EF1216">
        <v>0</v>
      </c>
      <c r="EG1216">
        <v>0</v>
      </c>
      <c r="EH1216">
        <v>0</v>
      </c>
      <c r="EI1216" s="2">
        <v>0</v>
      </c>
      <c r="EK1216" t="str">
        <f t="shared" si="387"/>
        <v/>
      </c>
      <c r="EL1216" t="str">
        <f t="shared" si="388"/>
        <v/>
      </c>
      <c r="EM1216" s="2" t="str">
        <f t="shared" si="409"/>
        <v/>
      </c>
      <c r="EN1216" t="s">
        <v>1605</v>
      </c>
      <c r="EP1216" t="str">
        <f>IF(ISNUMBER(BU1216),IF(ABS(BU1216-[1]QC_indicators!$B$2)&gt;3*[1]QC_indicators!$C$2,"C ratio",IF(ISNUMBER(BY1216),IF(ABS(BY1216-[1]QC_indicators!$B$1)&gt;3*[1]QC_indicators!$C$1,"DF","no"))),IF(ISNUMBER(BY1216),IF(ABS(BY1216-[1]QC_indicators!$B$1)&gt;3*[1]QC_indicators!$C$1,"DF","no")))</f>
        <v>no</v>
      </c>
      <c r="ER1216" t="s">
        <v>1606</v>
      </c>
      <c r="ET1216" s="266" t="s">
        <v>3409</v>
      </c>
    </row>
    <row r="1217" spans="1:150" ht="15" hidden="1" customHeight="1">
      <c r="A1217" s="1" t="s">
        <v>563</v>
      </c>
      <c r="B1217" t="s">
        <v>545</v>
      </c>
      <c r="C1217" t="s">
        <v>1595</v>
      </c>
      <c r="D1217" t="s">
        <v>1596</v>
      </c>
      <c r="E1217" t="s">
        <v>1597</v>
      </c>
      <c r="F1217" t="s">
        <v>1598</v>
      </c>
      <c r="G1217" t="s">
        <v>568</v>
      </c>
      <c r="H1217" t="s">
        <v>255</v>
      </c>
      <c r="I1217">
        <v>2019</v>
      </c>
      <c r="J1217">
        <v>15</v>
      </c>
      <c r="K1217" t="s">
        <v>1599</v>
      </c>
      <c r="M1217" t="str">
        <f t="shared" si="411"/>
        <v>Geng_2019</v>
      </c>
      <c r="N1217" t="s">
        <v>223</v>
      </c>
      <c r="O1217" s="181" t="s">
        <v>226</v>
      </c>
      <c r="Q1217" s="266" t="s">
        <v>257</v>
      </c>
      <c r="R1217" s="271" t="s">
        <v>1156</v>
      </c>
      <c r="S1217" s="1" t="s">
        <v>1600</v>
      </c>
      <c r="T1217" t="s">
        <v>1620</v>
      </c>
      <c r="V1217">
        <v>0</v>
      </c>
      <c r="W1217">
        <v>0</v>
      </c>
      <c r="X1217">
        <v>0</v>
      </c>
      <c r="Y1217">
        <v>0</v>
      </c>
      <c r="Z1217">
        <v>0</v>
      </c>
      <c r="AA1217">
        <v>0</v>
      </c>
      <c r="AB1217">
        <v>0</v>
      </c>
      <c r="AC1217">
        <v>0</v>
      </c>
      <c r="AD1217">
        <v>0</v>
      </c>
      <c r="AE1217">
        <v>0</v>
      </c>
      <c r="AF1217">
        <v>0</v>
      </c>
      <c r="AG1217">
        <v>0</v>
      </c>
      <c r="AH1217">
        <v>0</v>
      </c>
      <c r="AI1217">
        <v>0</v>
      </c>
      <c r="AJ1217">
        <v>0</v>
      </c>
      <c r="AK1217">
        <v>1</v>
      </c>
      <c r="AL1217">
        <v>0</v>
      </c>
      <c r="AM1217">
        <v>0</v>
      </c>
      <c r="AN1217">
        <v>0</v>
      </c>
      <c r="AO1217">
        <v>0</v>
      </c>
      <c r="AP1217">
        <v>0</v>
      </c>
      <c r="AQ1217">
        <v>0</v>
      </c>
      <c r="AR1217">
        <v>0</v>
      </c>
      <c r="AS1217">
        <v>0</v>
      </c>
      <c r="AT1217">
        <v>0</v>
      </c>
      <c r="AU1217">
        <v>0</v>
      </c>
      <c r="AV1217">
        <v>0</v>
      </c>
      <c r="AW1217">
        <v>0</v>
      </c>
      <c r="AX1217" s="141">
        <f t="shared" si="435"/>
        <v>1</v>
      </c>
      <c r="AY1217" s="141">
        <f t="shared" si="399"/>
        <v>1</v>
      </c>
      <c r="AZ1217">
        <f t="shared" si="400"/>
        <v>0</v>
      </c>
      <c r="BA1217">
        <f t="shared" si="401"/>
        <v>0</v>
      </c>
      <c r="BB1217">
        <f t="shared" si="402"/>
        <v>1</v>
      </c>
      <c r="BC1217">
        <f t="shared" si="403"/>
        <v>0</v>
      </c>
      <c r="BD1217">
        <f t="shared" si="404"/>
        <v>0</v>
      </c>
      <c r="BE1217" t="str" cm="1">
        <f t="array" ref="BE1217">IF(AY1217=1,INDEX($V$7:$AL$7,MATCH(TRUE,INDEX($V1217:$AW1217&lt;&gt;0,),0)),IF(AY1217=0,INDEX($AM$7:$AW$7,MATCH(1,$AM1217:$AW1217,0)),IF(BF1217="Multiple strategies","mixed drivers",IF(BF1217="Supply chain","multiple supply","multiple silviculture"))))</f>
        <v>technologies/design switch</v>
      </c>
      <c r="BF1217" s="2" t="str" cm="1">
        <f t="array" ref="BF1217">IF(COUNTIF(AZ1217:BB1217,"&lt;&gt;0")=1,INDEX($V$4:$AW$4,MATCH(TRUE,INDEX($V1217:$AW1217&lt;&gt;0,),0)),IF(COUNTIF(AZ1217:BB1217,"&lt;&gt;0")=0,INDEX($AM$4:$AW$4,MATCH(1,$AM1217:$AW1217,0)),"Multiple strategies"))</f>
        <v>Technology</v>
      </c>
      <c r="BG1217" s="1" t="s">
        <v>230</v>
      </c>
      <c r="BH1217" t="s">
        <v>1602</v>
      </c>
      <c r="BJ1217" t="s">
        <v>262</v>
      </c>
      <c r="BK1217">
        <v>26</v>
      </c>
      <c r="BL1217">
        <v>71.62</v>
      </c>
      <c r="BM1217">
        <f t="shared" si="428"/>
        <v>2.7546153846153847</v>
      </c>
      <c r="BN1217">
        <f t="shared" si="413"/>
        <v>45.620000000000005</v>
      </c>
      <c r="BO1217">
        <f t="shared" si="423"/>
        <v>9.3102040816326545E-2</v>
      </c>
      <c r="BP1217" t="s">
        <v>233</v>
      </c>
      <c r="BR1217" t="s">
        <v>1611</v>
      </c>
      <c r="BU1217" s="144" t="str">
        <f t="shared" si="422"/>
        <v/>
      </c>
      <c r="BV1217">
        <v>0.29899999999999999</v>
      </c>
      <c r="BX1217">
        <f>BV1217</f>
        <v>0.29899999999999999</v>
      </c>
      <c r="BY1217">
        <f t="shared" si="434"/>
        <v>3.2115300306882939</v>
      </c>
      <c r="BZ1217">
        <v>0</v>
      </c>
      <c r="CA1217">
        <v>0</v>
      </c>
      <c r="CB1217">
        <v>0</v>
      </c>
      <c r="CC1217">
        <v>0</v>
      </c>
      <c r="CD1217">
        <v>0</v>
      </c>
      <c r="CE1217">
        <v>0</v>
      </c>
      <c r="CF1217">
        <v>0</v>
      </c>
      <c r="CG1217">
        <v>0</v>
      </c>
      <c r="CH1217">
        <v>0</v>
      </c>
      <c r="CI1217">
        <v>0</v>
      </c>
      <c r="CJ1217">
        <v>0</v>
      </c>
      <c r="CK1217">
        <v>0</v>
      </c>
      <c r="CL1217">
        <v>0</v>
      </c>
      <c r="CM1217">
        <v>0</v>
      </c>
      <c r="CN1217" t="str">
        <f t="shared" si="424"/>
        <v>refOK</v>
      </c>
      <c r="CO1217">
        <f t="shared" si="425"/>
        <v>26</v>
      </c>
      <c r="CP1217">
        <f t="shared" si="426"/>
        <v>71.62</v>
      </c>
      <c r="CQ1217">
        <f t="shared" si="417"/>
        <v>9.3102040816326545E-2</v>
      </c>
      <c r="CR1217">
        <f t="shared" si="429"/>
        <v>0</v>
      </c>
      <c r="CS1217">
        <f t="shared" si="430"/>
        <v>0</v>
      </c>
      <c r="CT1217">
        <f t="shared" si="431"/>
        <v>0.29899999999999999</v>
      </c>
      <c r="CU1217">
        <f t="shared" si="419"/>
        <v>3.2115300306882939</v>
      </c>
      <c r="CV1217" s="2" t="str">
        <f t="shared" si="432"/>
        <v/>
      </c>
      <c r="CW1217" s="1" t="s">
        <v>1205</v>
      </c>
      <c r="CX1217" s="266" t="str">
        <f t="shared" si="407"/>
        <v>reg</v>
      </c>
      <c r="CY1217" t="s">
        <v>692</v>
      </c>
      <c r="CZ1217">
        <v>2019</v>
      </c>
      <c r="DB1217">
        <v>0</v>
      </c>
      <c r="DC1217" t="str">
        <f t="shared" si="408"/>
        <v>0</v>
      </c>
      <c r="DD1217">
        <v>0</v>
      </c>
      <c r="DE1217">
        <v>0</v>
      </c>
      <c r="DF1217">
        <v>0</v>
      </c>
      <c r="DG1217">
        <v>1</v>
      </c>
      <c r="DI1217">
        <f t="shared" si="427"/>
        <v>1</v>
      </c>
      <c r="DJ1217" t="str">
        <f t="shared" si="412"/>
        <v>TimberInput</v>
      </c>
      <c r="DK1217">
        <f t="shared" si="383"/>
        <v>0</v>
      </c>
      <c r="DL1217">
        <f t="shared" si="384"/>
        <v>0</v>
      </c>
      <c r="DM1217">
        <f t="shared" si="385"/>
        <v>0</v>
      </c>
      <c r="DN1217" t="str">
        <f t="shared" si="386"/>
        <v>Timber</v>
      </c>
      <c r="DO1217">
        <v>1</v>
      </c>
      <c r="DP1217">
        <v>0</v>
      </c>
      <c r="DQ1217">
        <v>0</v>
      </c>
      <c r="DR1217">
        <v>0</v>
      </c>
      <c r="DS1217">
        <v>0</v>
      </c>
      <c r="DT1217">
        <f t="shared" si="421"/>
        <v>1</v>
      </c>
      <c r="DU1217" s="143" t="str">
        <f t="shared" si="410"/>
        <v>self-calculated DF</v>
      </c>
      <c r="DV1217">
        <v>0</v>
      </c>
      <c r="DW1217">
        <v>0</v>
      </c>
      <c r="DX1217">
        <v>0</v>
      </c>
      <c r="DY1217">
        <v>0</v>
      </c>
      <c r="DZ1217">
        <v>0</v>
      </c>
      <c r="EA1217" s="143">
        <v>1</v>
      </c>
      <c r="EB1217">
        <v>0</v>
      </c>
      <c r="EC1217">
        <v>1</v>
      </c>
      <c r="ED1217">
        <v>0</v>
      </c>
      <c r="EE1217">
        <v>0</v>
      </c>
      <c r="EF1217">
        <v>0</v>
      </c>
      <c r="EG1217">
        <v>0</v>
      </c>
      <c r="EH1217">
        <v>0</v>
      </c>
      <c r="EI1217" s="2">
        <v>0</v>
      </c>
      <c r="EK1217" t="str">
        <f t="shared" si="387"/>
        <v/>
      </c>
      <c r="EL1217" t="str">
        <f t="shared" si="388"/>
        <v/>
      </c>
      <c r="EM1217" s="2" t="str">
        <f t="shared" si="409"/>
        <v/>
      </c>
      <c r="EN1217" t="s">
        <v>1605</v>
      </c>
      <c r="EP1217" t="str">
        <f>IF(ISNUMBER(BU1217),IF(ABS(BU1217-[1]QC_indicators!$B$2)&gt;3*[1]QC_indicators!$C$2,"C ratio",IF(ISNUMBER(BY1217),IF(ABS(BY1217-[1]QC_indicators!$B$1)&gt;3*[1]QC_indicators!$C$1,"DF","no"))),IF(ISNUMBER(BY1217),IF(ABS(BY1217-[1]QC_indicators!$B$1)&gt;3*[1]QC_indicators!$C$1,"DF","no")))</f>
        <v>no</v>
      </c>
      <c r="ER1217" t="s">
        <v>1606</v>
      </c>
      <c r="ET1217" s="266" t="s">
        <v>3409</v>
      </c>
    </row>
    <row r="1218" spans="1:150" ht="15" hidden="1" customHeight="1">
      <c r="A1218" s="1" t="s">
        <v>563</v>
      </c>
      <c r="B1218" t="s">
        <v>545</v>
      </c>
      <c r="C1218" t="s">
        <v>1595</v>
      </c>
      <c r="D1218" t="s">
        <v>1596</v>
      </c>
      <c r="E1218" t="s">
        <v>1597</v>
      </c>
      <c r="F1218" t="s">
        <v>1598</v>
      </c>
      <c r="G1218" t="s">
        <v>568</v>
      </c>
      <c r="H1218" t="s">
        <v>255</v>
      </c>
      <c r="I1218">
        <v>2019</v>
      </c>
      <c r="J1218">
        <v>15</v>
      </c>
      <c r="K1218" t="s">
        <v>1599</v>
      </c>
      <c r="M1218" t="str">
        <f t="shared" si="411"/>
        <v>Geng_2019</v>
      </c>
      <c r="N1218" t="s">
        <v>223</v>
      </c>
      <c r="O1218" s="181" t="s">
        <v>226</v>
      </c>
      <c r="Q1218" s="266" t="s">
        <v>257</v>
      </c>
      <c r="R1218" s="271" t="s">
        <v>1156</v>
      </c>
      <c r="S1218" s="1" t="s">
        <v>1600</v>
      </c>
      <c r="T1218" t="s">
        <v>1621</v>
      </c>
      <c r="V1218">
        <v>0</v>
      </c>
      <c r="W1218">
        <v>0</v>
      </c>
      <c r="X1218">
        <v>0</v>
      </c>
      <c r="Y1218">
        <v>0</v>
      </c>
      <c r="Z1218">
        <v>0</v>
      </c>
      <c r="AA1218">
        <v>0</v>
      </c>
      <c r="AB1218">
        <v>0</v>
      </c>
      <c r="AC1218">
        <v>0</v>
      </c>
      <c r="AD1218">
        <v>0</v>
      </c>
      <c r="AE1218">
        <v>0</v>
      </c>
      <c r="AF1218">
        <v>0</v>
      </c>
      <c r="AG1218">
        <v>0</v>
      </c>
      <c r="AH1218">
        <v>0</v>
      </c>
      <c r="AI1218">
        <v>0</v>
      </c>
      <c r="AJ1218">
        <v>0</v>
      </c>
      <c r="AK1218">
        <v>1</v>
      </c>
      <c r="AL1218">
        <v>0</v>
      </c>
      <c r="AM1218">
        <v>0</v>
      </c>
      <c r="AN1218">
        <v>0</v>
      </c>
      <c r="AO1218">
        <v>0</v>
      </c>
      <c r="AP1218">
        <v>0</v>
      </c>
      <c r="AQ1218">
        <v>0</v>
      </c>
      <c r="AR1218">
        <v>0</v>
      </c>
      <c r="AS1218">
        <v>0</v>
      </c>
      <c r="AT1218">
        <v>0</v>
      </c>
      <c r="AU1218">
        <v>0</v>
      </c>
      <c r="AV1218">
        <v>0</v>
      </c>
      <c r="AW1218">
        <v>0</v>
      </c>
      <c r="AX1218" s="141">
        <f t="shared" si="435"/>
        <v>1</v>
      </c>
      <c r="AY1218" s="141">
        <f t="shared" si="399"/>
        <v>1</v>
      </c>
      <c r="AZ1218">
        <f t="shared" si="400"/>
        <v>0</v>
      </c>
      <c r="BA1218">
        <f t="shared" si="401"/>
        <v>0</v>
      </c>
      <c r="BB1218">
        <f t="shared" si="402"/>
        <v>1</v>
      </c>
      <c r="BC1218">
        <f t="shared" si="403"/>
        <v>0</v>
      </c>
      <c r="BD1218">
        <f t="shared" si="404"/>
        <v>0</v>
      </c>
      <c r="BE1218" t="str" cm="1">
        <f t="array" ref="BE1218">IF(AY1218=1,INDEX($V$7:$AL$7,MATCH(TRUE,INDEX($V1218:$AW1218&lt;&gt;0,),0)),IF(AY1218=0,INDEX($AM$7:$AW$7,MATCH(1,$AM1218:$AW1218,0)),IF(BF1218="Multiple strategies","mixed drivers",IF(BF1218="Supply chain","multiple supply","multiple silviculture"))))</f>
        <v>technologies/design switch</v>
      </c>
      <c r="BF1218" s="2" t="str" cm="1">
        <f t="array" ref="BF1218">IF(COUNTIF(AZ1218:BB1218,"&lt;&gt;0")=1,INDEX($V$4:$AW$4,MATCH(TRUE,INDEX($V1218:$AW1218&lt;&gt;0,),0)),IF(COUNTIF(AZ1218:BB1218,"&lt;&gt;0")=0,INDEX($AM$4:$AW$4,MATCH(1,$AM1218:$AW1218,0)),"Multiple strategies"))</f>
        <v>Technology</v>
      </c>
      <c r="BG1218" s="1" t="s">
        <v>230</v>
      </c>
      <c r="BH1218" t="s">
        <v>1602</v>
      </c>
      <c r="BJ1218" t="s">
        <v>1603</v>
      </c>
      <c r="BK1218">
        <v>16.46</v>
      </c>
      <c r="BL1218">
        <v>74.150000000000006</v>
      </c>
      <c r="BM1218">
        <f t="shared" si="428"/>
        <v>4.5048602673147027</v>
      </c>
      <c r="BN1218">
        <f t="shared" si="413"/>
        <v>57.690000000000005</v>
      </c>
      <c r="BO1218">
        <f t="shared" si="423"/>
        <v>0.11773469387755105</v>
      </c>
      <c r="BP1218" t="s">
        <v>233</v>
      </c>
      <c r="BR1218" t="s">
        <v>1604</v>
      </c>
      <c r="BU1218" s="144" t="str">
        <f t="shared" si="422"/>
        <v/>
      </c>
      <c r="BV1218">
        <v>655.01</v>
      </c>
      <c r="BX1218">
        <f>BV1218/1000</f>
        <v>0.65500999999999998</v>
      </c>
      <c r="BY1218">
        <f t="shared" si="434"/>
        <v>5.5634408042988373</v>
      </c>
      <c r="BZ1218">
        <v>0</v>
      </c>
      <c r="CA1218">
        <v>0</v>
      </c>
      <c r="CB1218">
        <v>0</v>
      </c>
      <c r="CC1218">
        <v>0</v>
      </c>
      <c r="CD1218">
        <v>0</v>
      </c>
      <c r="CE1218">
        <v>0</v>
      </c>
      <c r="CF1218">
        <v>0</v>
      </c>
      <c r="CG1218">
        <v>0</v>
      </c>
      <c r="CH1218">
        <v>0</v>
      </c>
      <c r="CI1218">
        <v>0</v>
      </c>
      <c r="CJ1218">
        <v>0</v>
      </c>
      <c r="CK1218">
        <v>0</v>
      </c>
      <c r="CL1218">
        <v>0</v>
      </c>
      <c r="CM1218">
        <v>0</v>
      </c>
      <c r="CN1218" t="str">
        <f t="shared" si="424"/>
        <v>refOK</v>
      </c>
      <c r="CO1218">
        <f t="shared" si="425"/>
        <v>16.46</v>
      </c>
      <c r="CP1218">
        <f t="shared" si="426"/>
        <v>74.150000000000006</v>
      </c>
      <c r="CQ1218">
        <f t="shared" si="417"/>
        <v>0.11773469387755105</v>
      </c>
      <c r="CR1218">
        <f t="shared" si="429"/>
        <v>0</v>
      </c>
      <c r="CS1218">
        <f t="shared" si="430"/>
        <v>0</v>
      </c>
      <c r="CT1218">
        <f t="shared" si="431"/>
        <v>0.65500999999999998</v>
      </c>
      <c r="CU1218">
        <f t="shared" si="419"/>
        <v>5.5634408042988373</v>
      </c>
      <c r="CV1218" s="2" t="str">
        <f t="shared" si="432"/>
        <v/>
      </c>
      <c r="CW1218" s="1" t="s">
        <v>1205</v>
      </c>
      <c r="CX1218" s="266" t="str">
        <f t="shared" si="407"/>
        <v>reg</v>
      </c>
      <c r="CY1218" t="s">
        <v>692</v>
      </c>
      <c r="CZ1218">
        <v>2019</v>
      </c>
      <c r="DB1218">
        <v>0</v>
      </c>
      <c r="DC1218" t="str">
        <f t="shared" si="408"/>
        <v>0</v>
      </c>
      <c r="DD1218">
        <v>0</v>
      </c>
      <c r="DE1218">
        <v>0</v>
      </c>
      <c r="DF1218">
        <v>0</v>
      </c>
      <c r="DG1218">
        <v>1</v>
      </c>
      <c r="DI1218">
        <f t="shared" si="427"/>
        <v>1</v>
      </c>
      <c r="DJ1218" t="str">
        <f t="shared" si="412"/>
        <v>TimberInput</v>
      </c>
      <c r="DK1218">
        <f t="shared" si="383"/>
        <v>0</v>
      </c>
      <c r="DL1218">
        <f t="shared" si="384"/>
        <v>0</v>
      </c>
      <c r="DM1218">
        <f t="shared" si="385"/>
        <v>0</v>
      </c>
      <c r="DN1218" t="str">
        <f t="shared" si="386"/>
        <v>Timber</v>
      </c>
      <c r="DO1218">
        <v>1</v>
      </c>
      <c r="DP1218">
        <v>0</v>
      </c>
      <c r="DQ1218">
        <v>0</v>
      </c>
      <c r="DR1218">
        <v>0</v>
      </c>
      <c r="DS1218">
        <v>0</v>
      </c>
      <c r="DT1218">
        <f t="shared" si="421"/>
        <v>1</v>
      </c>
      <c r="DU1218" s="143" t="str">
        <f t="shared" si="410"/>
        <v>self-calculated DF</v>
      </c>
      <c r="DV1218">
        <v>0</v>
      </c>
      <c r="DW1218">
        <v>0</v>
      </c>
      <c r="DX1218">
        <v>0</v>
      </c>
      <c r="DY1218">
        <v>0</v>
      </c>
      <c r="DZ1218">
        <v>0</v>
      </c>
      <c r="EA1218" s="143">
        <v>1</v>
      </c>
      <c r="EB1218">
        <v>0</v>
      </c>
      <c r="EC1218">
        <v>1</v>
      </c>
      <c r="ED1218">
        <v>0</v>
      </c>
      <c r="EE1218">
        <v>0</v>
      </c>
      <c r="EF1218">
        <v>0</v>
      </c>
      <c r="EG1218">
        <v>0</v>
      </c>
      <c r="EH1218">
        <v>0</v>
      </c>
      <c r="EI1218" s="2">
        <v>0</v>
      </c>
      <c r="EK1218" t="str">
        <f t="shared" si="387"/>
        <v/>
      </c>
      <c r="EL1218" t="str">
        <f t="shared" si="388"/>
        <v/>
      </c>
      <c r="EM1218" s="2" t="str">
        <f t="shared" si="409"/>
        <v/>
      </c>
      <c r="EN1218" t="s">
        <v>1605</v>
      </c>
      <c r="EP1218" t="str">
        <f>IF(ISNUMBER(BU1218),IF(ABS(BU1218-[1]QC_indicators!$B$2)&gt;3*[1]QC_indicators!$C$2,"C ratio",IF(ISNUMBER(BY1218),IF(ABS(BY1218-[1]QC_indicators!$B$1)&gt;3*[1]QC_indicators!$C$1,"DF","no"))),IF(ISNUMBER(BY1218),IF(ABS(BY1218-[1]QC_indicators!$B$1)&gt;3*[1]QC_indicators!$C$1,"DF","no")))</f>
        <v>no</v>
      </c>
      <c r="ER1218" t="s">
        <v>1606</v>
      </c>
      <c r="ET1218" s="266" t="s">
        <v>3409</v>
      </c>
    </row>
    <row r="1219" spans="1:150" ht="15" hidden="1" customHeight="1">
      <c r="A1219" s="1" t="s">
        <v>563</v>
      </c>
      <c r="B1219" t="s">
        <v>545</v>
      </c>
      <c r="C1219" t="s">
        <v>1595</v>
      </c>
      <c r="D1219" t="s">
        <v>1596</v>
      </c>
      <c r="E1219" t="s">
        <v>1597</v>
      </c>
      <c r="F1219" t="s">
        <v>1598</v>
      </c>
      <c r="G1219" t="s">
        <v>568</v>
      </c>
      <c r="H1219" t="s">
        <v>255</v>
      </c>
      <c r="I1219">
        <v>2019</v>
      </c>
      <c r="J1219">
        <v>15</v>
      </c>
      <c r="K1219" t="s">
        <v>1599</v>
      </c>
      <c r="M1219" t="str">
        <f t="shared" si="411"/>
        <v>Geng_2019</v>
      </c>
      <c r="N1219" t="s">
        <v>223</v>
      </c>
      <c r="O1219" s="181" t="s">
        <v>226</v>
      </c>
      <c r="Q1219" s="266" t="s">
        <v>257</v>
      </c>
      <c r="R1219" s="271" t="s">
        <v>1156</v>
      </c>
      <c r="S1219" s="1" t="s">
        <v>1600</v>
      </c>
      <c r="T1219" t="s">
        <v>1622</v>
      </c>
      <c r="V1219">
        <v>0</v>
      </c>
      <c r="W1219">
        <v>0</v>
      </c>
      <c r="X1219">
        <v>0</v>
      </c>
      <c r="Y1219">
        <v>0</v>
      </c>
      <c r="Z1219">
        <v>0</v>
      </c>
      <c r="AA1219">
        <v>0</v>
      </c>
      <c r="AB1219">
        <v>0</v>
      </c>
      <c r="AC1219">
        <v>0</v>
      </c>
      <c r="AD1219">
        <v>0</v>
      </c>
      <c r="AE1219">
        <v>0</v>
      </c>
      <c r="AF1219">
        <v>0</v>
      </c>
      <c r="AG1219">
        <v>0</v>
      </c>
      <c r="AH1219">
        <v>0</v>
      </c>
      <c r="AI1219">
        <v>0</v>
      </c>
      <c r="AJ1219">
        <v>0</v>
      </c>
      <c r="AK1219">
        <v>1</v>
      </c>
      <c r="AL1219">
        <v>0</v>
      </c>
      <c r="AM1219">
        <v>0</v>
      </c>
      <c r="AN1219">
        <v>0</v>
      </c>
      <c r="AO1219">
        <v>0</v>
      </c>
      <c r="AP1219">
        <v>0</v>
      </c>
      <c r="AQ1219">
        <v>0</v>
      </c>
      <c r="AR1219">
        <v>0</v>
      </c>
      <c r="AS1219">
        <v>0</v>
      </c>
      <c r="AT1219">
        <v>0</v>
      </c>
      <c r="AU1219">
        <v>0</v>
      </c>
      <c r="AV1219">
        <v>0</v>
      </c>
      <c r="AW1219">
        <v>0</v>
      </c>
      <c r="AX1219" s="141">
        <f t="shared" si="435"/>
        <v>1</v>
      </c>
      <c r="AY1219" s="141">
        <f t="shared" si="399"/>
        <v>1</v>
      </c>
      <c r="AZ1219">
        <f t="shared" si="400"/>
        <v>0</v>
      </c>
      <c r="BA1219">
        <f t="shared" si="401"/>
        <v>0</v>
      </c>
      <c r="BB1219">
        <f t="shared" si="402"/>
        <v>1</v>
      </c>
      <c r="BC1219">
        <f t="shared" si="403"/>
        <v>0</v>
      </c>
      <c r="BD1219">
        <f t="shared" si="404"/>
        <v>0</v>
      </c>
      <c r="BE1219" t="str" cm="1">
        <f t="array" ref="BE1219">IF(AY1219=1,INDEX($V$7:$AL$7,MATCH(TRUE,INDEX($V1219:$AW1219&lt;&gt;0,),0)),IF(AY1219=0,INDEX($AM$7:$AW$7,MATCH(1,$AM1219:$AW1219,0)),IF(BF1219="Multiple strategies","mixed drivers",IF(BF1219="Supply chain","multiple supply","multiple silviculture"))))</f>
        <v>technologies/design switch</v>
      </c>
      <c r="BF1219" s="2" t="str" cm="1">
        <f t="array" ref="BF1219">IF(COUNTIF(AZ1219:BB1219,"&lt;&gt;0")=1,INDEX($V$4:$AW$4,MATCH(TRUE,INDEX($V1219:$AW1219&lt;&gt;0,),0)),IF(COUNTIF(AZ1219:BB1219,"&lt;&gt;0")=0,INDEX($AM$4:$AW$4,MATCH(1,$AM1219:$AW1219,0)),"Multiple strategies"))</f>
        <v>Technology</v>
      </c>
      <c r="BG1219" s="1" t="s">
        <v>230</v>
      </c>
      <c r="BH1219" t="s">
        <v>1602</v>
      </c>
      <c r="BJ1219" t="s">
        <v>262</v>
      </c>
      <c r="BK1219">
        <v>27</v>
      </c>
      <c r="BL1219">
        <v>66</v>
      </c>
      <c r="BM1219">
        <f t="shared" si="428"/>
        <v>2.4444444444444446</v>
      </c>
      <c r="BN1219">
        <f t="shared" si="413"/>
        <v>39</v>
      </c>
      <c r="BO1219">
        <f t="shared" si="423"/>
        <v>7.9591836734693888E-2</v>
      </c>
      <c r="BP1219" t="s">
        <v>233</v>
      </c>
      <c r="BR1219" t="s">
        <v>1611</v>
      </c>
      <c r="BU1219" s="144" t="str">
        <f t="shared" si="422"/>
        <v/>
      </c>
      <c r="BV1219">
        <v>0.48699999999999999</v>
      </c>
      <c r="BX1219">
        <f>BV1219</f>
        <v>0.48699999999999999</v>
      </c>
      <c r="BY1219">
        <f t="shared" si="434"/>
        <v>6.1187179487179479</v>
      </c>
      <c r="BZ1219">
        <v>0</v>
      </c>
      <c r="CA1219">
        <v>0</v>
      </c>
      <c r="CB1219">
        <v>0</v>
      </c>
      <c r="CC1219">
        <v>0</v>
      </c>
      <c r="CD1219">
        <v>0</v>
      </c>
      <c r="CE1219">
        <v>0</v>
      </c>
      <c r="CF1219">
        <v>0</v>
      </c>
      <c r="CG1219">
        <v>0</v>
      </c>
      <c r="CH1219">
        <v>0</v>
      </c>
      <c r="CI1219">
        <v>0</v>
      </c>
      <c r="CJ1219">
        <v>0</v>
      </c>
      <c r="CK1219">
        <v>0</v>
      </c>
      <c r="CL1219">
        <v>0</v>
      </c>
      <c r="CM1219">
        <v>0</v>
      </c>
      <c r="CN1219" t="str">
        <f t="shared" si="424"/>
        <v>refOK</v>
      </c>
      <c r="CO1219">
        <f t="shared" si="425"/>
        <v>27</v>
      </c>
      <c r="CP1219">
        <f t="shared" si="426"/>
        <v>66</v>
      </c>
      <c r="CQ1219">
        <f t="shared" si="417"/>
        <v>7.9591836734693888E-2</v>
      </c>
      <c r="CR1219">
        <f t="shared" si="429"/>
        <v>0</v>
      </c>
      <c r="CS1219">
        <f t="shared" si="430"/>
        <v>0</v>
      </c>
      <c r="CT1219">
        <f t="shared" si="431"/>
        <v>0.48699999999999999</v>
      </c>
      <c r="CU1219">
        <f t="shared" si="419"/>
        <v>6.1187179487179479</v>
      </c>
      <c r="CV1219" s="2" t="str">
        <f t="shared" si="432"/>
        <v/>
      </c>
      <c r="CW1219" s="1" t="s">
        <v>1205</v>
      </c>
      <c r="CX1219" s="266" t="str">
        <f t="shared" si="407"/>
        <v>reg</v>
      </c>
      <c r="CY1219" t="s">
        <v>692</v>
      </c>
      <c r="CZ1219">
        <v>2019</v>
      </c>
      <c r="DB1219">
        <v>0</v>
      </c>
      <c r="DC1219" t="str">
        <f t="shared" si="408"/>
        <v>0</v>
      </c>
      <c r="DD1219">
        <v>0</v>
      </c>
      <c r="DE1219">
        <v>0</v>
      </c>
      <c r="DF1219">
        <v>0</v>
      </c>
      <c r="DG1219">
        <v>1</v>
      </c>
      <c r="DI1219">
        <f t="shared" si="427"/>
        <v>1</v>
      </c>
      <c r="DJ1219" t="str">
        <f t="shared" si="412"/>
        <v>TimberInput</v>
      </c>
      <c r="DK1219">
        <f t="shared" si="383"/>
        <v>0</v>
      </c>
      <c r="DL1219">
        <f t="shared" si="384"/>
        <v>0</v>
      </c>
      <c r="DM1219">
        <f t="shared" si="385"/>
        <v>0</v>
      </c>
      <c r="DN1219" t="str">
        <f t="shared" si="386"/>
        <v>Timber</v>
      </c>
      <c r="DO1219">
        <v>1</v>
      </c>
      <c r="DP1219">
        <v>0</v>
      </c>
      <c r="DQ1219">
        <v>0</v>
      </c>
      <c r="DR1219">
        <v>0</v>
      </c>
      <c r="DS1219">
        <v>0</v>
      </c>
      <c r="DT1219">
        <f t="shared" si="421"/>
        <v>1</v>
      </c>
      <c r="DU1219" s="143" t="str">
        <f t="shared" si="410"/>
        <v>self-calculated DF</v>
      </c>
      <c r="DV1219">
        <v>0</v>
      </c>
      <c r="DW1219">
        <v>0</v>
      </c>
      <c r="DX1219">
        <v>0</v>
      </c>
      <c r="DY1219">
        <v>0</v>
      </c>
      <c r="DZ1219">
        <v>0</v>
      </c>
      <c r="EA1219" s="143">
        <v>1</v>
      </c>
      <c r="EB1219">
        <v>0</v>
      </c>
      <c r="EC1219">
        <v>1</v>
      </c>
      <c r="ED1219">
        <v>0</v>
      </c>
      <c r="EE1219">
        <v>0</v>
      </c>
      <c r="EF1219">
        <v>0</v>
      </c>
      <c r="EG1219">
        <v>0</v>
      </c>
      <c r="EH1219">
        <v>0</v>
      </c>
      <c r="EI1219" s="2">
        <v>0</v>
      </c>
      <c r="EK1219" t="str">
        <f t="shared" si="387"/>
        <v/>
      </c>
      <c r="EL1219" t="str">
        <f t="shared" si="388"/>
        <v/>
      </c>
      <c r="EM1219" s="2" t="str">
        <f t="shared" si="409"/>
        <v/>
      </c>
      <c r="EN1219" t="s">
        <v>1605</v>
      </c>
      <c r="EP1219" t="str">
        <f>IF(ISNUMBER(BU1219),IF(ABS(BU1219-[1]QC_indicators!$B$2)&gt;3*[1]QC_indicators!$C$2,"C ratio",IF(ISNUMBER(BY1219),IF(ABS(BY1219-[1]QC_indicators!$B$1)&gt;3*[1]QC_indicators!$C$1,"DF","no"))),IF(ISNUMBER(BY1219),IF(ABS(BY1219-[1]QC_indicators!$B$1)&gt;3*[1]QC_indicators!$C$1,"DF","no")))</f>
        <v>DF</v>
      </c>
      <c r="ER1219" t="s">
        <v>1606</v>
      </c>
      <c r="ET1219" s="266" t="s">
        <v>3409</v>
      </c>
    </row>
    <row r="1220" spans="1:150" ht="15" hidden="1" customHeight="1">
      <c r="D1220" t="s">
        <v>759</v>
      </c>
      <c r="E1220" t="s">
        <v>760</v>
      </c>
      <c r="G1220" t="s">
        <v>761</v>
      </c>
      <c r="I1220">
        <v>2006</v>
      </c>
      <c r="K1220" s="298" t="s">
        <v>762</v>
      </c>
      <c r="M1220" t="str">
        <f t="shared" si="411"/>
        <v>Gustavsson_2006</v>
      </c>
      <c r="N1220" t="s">
        <v>223</v>
      </c>
      <c r="O1220" t="s">
        <v>224</v>
      </c>
      <c r="Q1220" s="266" t="s">
        <v>257</v>
      </c>
      <c r="R1220" s="271" t="s">
        <v>1156</v>
      </c>
      <c r="S1220" s="265" t="s">
        <v>768</v>
      </c>
      <c r="T1220" t="s">
        <v>755</v>
      </c>
      <c r="U1220" s="143" t="s">
        <v>756</v>
      </c>
      <c r="V1220">
        <v>0</v>
      </c>
      <c r="W1220">
        <v>0</v>
      </c>
      <c r="X1220">
        <v>0</v>
      </c>
      <c r="Y1220">
        <v>0</v>
      </c>
      <c r="Z1220">
        <v>0</v>
      </c>
      <c r="AA1220">
        <v>0</v>
      </c>
      <c r="AB1220">
        <v>0</v>
      </c>
      <c r="AC1220">
        <v>0</v>
      </c>
      <c r="AD1220">
        <v>0</v>
      </c>
      <c r="AE1220">
        <v>0</v>
      </c>
      <c r="AF1220">
        <v>0</v>
      </c>
      <c r="AG1220">
        <v>0</v>
      </c>
      <c r="AH1220">
        <v>0</v>
      </c>
      <c r="AI1220">
        <v>0</v>
      </c>
      <c r="AJ1220">
        <v>0</v>
      </c>
      <c r="AK1220">
        <v>1</v>
      </c>
      <c r="AL1220">
        <v>0</v>
      </c>
      <c r="AM1220">
        <v>0</v>
      </c>
      <c r="AN1220">
        <v>0</v>
      </c>
      <c r="AO1220">
        <v>0</v>
      </c>
      <c r="AP1220">
        <v>0</v>
      </c>
      <c r="AQ1220">
        <v>0</v>
      </c>
      <c r="AR1220">
        <v>0</v>
      </c>
      <c r="AS1220">
        <v>0</v>
      </c>
      <c r="AT1220">
        <v>0</v>
      </c>
      <c r="AU1220">
        <v>0</v>
      </c>
      <c r="AV1220">
        <v>0</v>
      </c>
      <c r="AW1220">
        <v>0</v>
      </c>
      <c r="AX1220" s="141">
        <f t="shared" si="435"/>
        <v>1</v>
      </c>
      <c r="AY1220" s="141">
        <f t="shared" si="399"/>
        <v>1</v>
      </c>
      <c r="AZ1220">
        <f t="shared" si="400"/>
        <v>0</v>
      </c>
      <c r="BA1220">
        <f t="shared" si="401"/>
        <v>0</v>
      </c>
      <c r="BB1220">
        <f t="shared" si="402"/>
        <v>1</v>
      </c>
      <c r="BC1220">
        <f t="shared" si="403"/>
        <v>0</v>
      </c>
      <c r="BD1220">
        <f t="shared" si="404"/>
        <v>0</v>
      </c>
      <c r="BE1220" t="str" cm="1">
        <f t="array" ref="BE1220">IF(AY1220=1,INDEX($V$7:$AL$7,MATCH(TRUE,INDEX($V1220:$AW1220&lt;&gt;0,),0)),IF(AY1220=0,INDEX($AM$7:$AW$7,MATCH(1,$AM1220:$AW1220,0)),IF(BF1220="Multiple strategies","mixed drivers",IF(BF1220="Supply chain","multiple supply","multiple silviculture"))))</f>
        <v>technologies/design switch</v>
      </c>
      <c r="BF1220" s="2" t="str" cm="1">
        <f t="array" ref="BF1220">IF(COUNTIF(AZ1220:BB1220,"&lt;&gt;0")=1,INDEX($V$4:$AW$4,MATCH(TRUE,INDEX($V1220:$AW1220&lt;&gt;0,),0)),IF(COUNTIF(AZ1220:BB1220,"&lt;&gt;0")=0,INDEX($AM$4:$AW$4,MATCH(1,$AM1220:$AW1220,0)),"Multiple strategies"))</f>
        <v>Technology</v>
      </c>
      <c r="BG1220" s="142" t="s">
        <v>230</v>
      </c>
      <c r="BH1220" t="s">
        <v>394</v>
      </c>
      <c r="BI1220" s="266" t="s">
        <v>764</v>
      </c>
      <c r="BJ1220" s="143" t="s">
        <v>765</v>
      </c>
      <c r="BK1220">
        <v>32</v>
      </c>
      <c r="BL1220" s="143">
        <v>145</v>
      </c>
      <c r="BM1220" s="143"/>
      <c r="BN1220">
        <f t="shared" si="413"/>
        <v>113</v>
      </c>
      <c r="BO1220" s="143">
        <f t="shared" ref="BO1220:BO1225" si="436">BN1220*t_to_m3</f>
        <v>230.61224489795919</v>
      </c>
      <c r="BP1220" s="266" t="s">
        <v>233</v>
      </c>
      <c r="BQ1220" s="155" t="s">
        <v>766</v>
      </c>
      <c r="BR1220" t="s">
        <v>443</v>
      </c>
      <c r="BS1220" s="143">
        <f>-180.2+125.1</f>
        <v>-55.099999999999994</v>
      </c>
      <c r="BT1220" s="151">
        <f>-136.7+82.5</f>
        <v>-54.199999999999989</v>
      </c>
      <c r="BV1220">
        <f t="shared" ref="BV1220:BV1241" si="437">BT1220-BS1220</f>
        <v>0.90000000000000568</v>
      </c>
      <c r="BX1220">
        <f t="shared" ref="BX1220:BX1225" si="438">BV1220*C_to_CO2</f>
        <v>3.3030000000000208</v>
      </c>
      <c r="BY1220">
        <f t="shared" si="434"/>
        <v>1.4322743362831949E-2</v>
      </c>
      <c r="BZ1220" s="143">
        <v>0</v>
      </c>
      <c r="CA1220" s="143">
        <v>0</v>
      </c>
      <c r="CB1220" s="143">
        <v>0</v>
      </c>
      <c r="CC1220" s="143">
        <v>0</v>
      </c>
      <c r="CD1220" s="143">
        <v>0</v>
      </c>
      <c r="CE1220" s="143">
        <v>0</v>
      </c>
      <c r="CF1220" s="143">
        <v>0</v>
      </c>
      <c r="CG1220" s="143">
        <v>0</v>
      </c>
      <c r="CH1220" s="143">
        <v>0</v>
      </c>
      <c r="CI1220" s="143">
        <v>0</v>
      </c>
      <c r="CJ1220" s="143">
        <v>0</v>
      </c>
      <c r="CK1220" s="143">
        <v>0</v>
      </c>
      <c r="CL1220" s="143">
        <v>0</v>
      </c>
      <c r="CM1220">
        <v>0</v>
      </c>
      <c r="CN1220" t="str">
        <f t="shared" ref="CN1220:CN1241" si="439">IF($BL1220&lt;$BK1220,"refNeedCorrection","refOK")</f>
        <v>refOK</v>
      </c>
      <c r="CO1220">
        <f t="shared" si="425"/>
        <v>32</v>
      </c>
      <c r="CP1220">
        <f t="shared" si="426"/>
        <v>145</v>
      </c>
      <c r="CQ1220">
        <f t="shared" si="417"/>
        <v>230.61224489795919</v>
      </c>
      <c r="CR1220">
        <f t="shared" si="429"/>
        <v>-55.099999999999994</v>
      </c>
      <c r="CS1220">
        <f t="shared" si="430"/>
        <v>-54.199999999999989</v>
      </c>
      <c r="CT1220">
        <f t="shared" si="431"/>
        <v>3.3030000000000208</v>
      </c>
      <c r="CU1220">
        <f t="shared" si="419"/>
        <v>1.4322743362831949E-2</v>
      </c>
      <c r="CV1220" s="2">
        <f t="shared" si="432"/>
        <v>1.6333938294010995E-2</v>
      </c>
      <c r="CW1220" s="1" t="s">
        <v>264</v>
      </c>
      <c r="CX1220" s="266" t="str">
        <f t="shared" si="407"/>
        <v>loc</v>
      </c>
      <c r="CY1220" t="s">
        <v>236</v>
      </c>
      <c r="DA1220" s="143"/>
      <c r="DB1220" s="143">
        <v>0</v>
      </c>
      <c r="DC1220" t="str">
        <f t="shared" si="408"/>
        <v>0</v>
      </c>
      <c r="DD1220">
        <v>0</v>
      </c>
      <c r="DE1220">
        <v>0</v>
      </c>
      <c r="DF1220">
        <v>0</v>
      </c>
      <c r="DG1220">
        <v>1</v>
      </c>
      <c r="DI1220">
        <f t="shared" si="427"/>
        <v>1</v>
      </c>
      <c r="DJ1220" t="str">
        <f t="shared" si="412"/>
        <v>TimberInput</v>
      </c>
      <c r="DK1220">
        <f t="shared" si="383"/>
        <v>0</v>
      </c>
      <c r="DL1220">
        <f t="shared" si="384"/>
        <v>0</v>
      </c>
      <c r="DM1220">
        <f t="shared" si="385"/>
        <v>0</v>
      </c>
      <c r="DN1220" t="str">
        <f t="shared" si="386"/>
        <v>Timber</v>
      </c>
      <c r="DO1220">
        <v>1</v>
      </c>
      <c r="DP1220" s="143">
        <v>0</v>
      </c>
      <c r="DQ1220" s="143">
        <v>0</v>
      </c>
      <c r="DR1220">
        <v>0</v>
      </c>
      <c r="DS1220" s="143">
        <v>0</v>
      </c>
      <c r="DT1220">
        <f t="shared" si="421"/>
        <v>1</v>
      </c>
      <c r="DU1220" s="143" t="str">
        <f t="shared" si="410"/>
        <v>self-calculated DF</v>
      </c>
      <c r="DV1220" s="143">
        <v>0</v>
      </c>
      <c r="DW1220" s="143">
        <v>0</v>
      </c>
      <c r="DX1220" s="143">
        <v>0</v>
      </c>
      <c r="DY1220" s="143">
        <v>1</v>
      </c>
      <c r="DZ1220">
        <v>0</v>
      </c>
      <c r="EA1220" s="143">
        <v>1</v>
      </c>
      <c r="EB1220" s="143">
        <v>1</v>
      </c>
      <c r="EC1220" s="143">
        <v>1</v>
      </c>
      <c r="ED1220" s="143">
        <v>0</v>
      </c>
      <c r="EE1220">
        <v>0</v>
      </c>
      <c r="EF1220">
        <v>0</v>
      </c>
      <c r="EG1220" s="143">
        <v>0</v>
      </c>
      <c r="EH1220" s="143">
        <v>0</v>
      </c>
      <c r="EI1220" s="2">
        <v>0</v>
      </c>
      <c r="EK1220" t="str">
        <f t="shared" si="387"/>
        <v/>
      </c>
      <c r="EL1220" t="str">
        <f t="shared" si="388"/>
        <v/>
      </c>
      <c r="EM1220" s="2" t="str">
        <f t="shared" si="409"/>
        <v>Technology approach</v>
      </c>
      <c r="EP1220" t="str">
        <f>IF(ISNUMBER(BU1220),IF(ABS(BU1220-[1]QC_indicators!$B$2)&gt;3*[1]QC_indicators!$C$2,"C ratio",IF(ISNUMBER(BY1220),IF(ABS(BY1220-[1]QC_indicators!$B$1)&gt;3*[1]QC_indicators!$C$1,"DF","no"))),IF(ISNUMBER(BY1220),IF(ABS(BY1220-[1]QC_indicators!$B$1)&gt;3*[1]QC_indicators!$C$1,"DF","no")))</f>
        <v>no</v>
      </c>
      <c r="ER1220" s="296" t="s">
        <v>350</v>
      </c>
      <c r="ET1220" s="266" t="s">
        <v>3409</v>
      </c>
    </row>
    <row r="1221" spans="1:150" ht="15" hidden="1" customHeight="1">
      <c r="D1221" t="s">
        <v>759</v>
      </c>
      <c r="E1221" t="s">
        <v>760</v>
      </c>
      <c r="G1221" t="s">
        <v>761</v>
      </c>
      <c r="I1221">
        <v>2006</v>
      </c>
      <c r="K1221" s="298" t="s">
        <v>762</v>
      </c>
      <c r="M1221" t="str">
        <f t="shared" si="411"/>
        <v>Gustavsson_2006</v>
      </c>
      <c r="N1221" t="s">
        <v>223</v>
      </c>
      <c r="O1221" t="s">
        <v>224</v>
      </c>
      <c r="Q1221" s="266" t="s">
        <v>257</v>
      </c>
      <c r="R1221" s="271" t="s">
        <v>1156</v>
      </c>
      <c r="S1221" s="265" t="s">
        <v>769</v>
      </c>
      <c r="T1221" t="s">
        <v>755</v>
      </c>
      <c r="U1221" s="143" t="s">
        <v>756</v>
      </c>
      <c r="V1221">
        <v>0</v>
      </c>
      <c r="W1221">
        <v>0</v>
      </c>
      <c r="X1221">
        <v>0</v>
      </c>
      <c r="Y1221">
        <v>0</v>
      </c>
      <c r="Z1221">
        <v>0</v>
      </c>
      <c r="AA1221">
        <v>0</v>
      </c>
      <c r="AB1221">
        <v>0</v>
      </c>
      <c r="AC1221">
        <v>0</v>
      </c>
      <c r="AD1221">
        <v>0</v>
      </c>
      <c r="AE1221">
        <v>0</v>
      </c>
      <c r="AF1221">
        <v>0</v>
      </c>
      <c r="AG1221">
        <v>0</v>
      </c>
      <c r="AH1221">
        <v>0</v>
      </c>
      <c r="AI1221">
        <v>0</v>
      </c>
      <c r="AJ1221">
        <v>0</v>
      </c>
      <c r="AK1221">
        <v>1</v>
      </c>
      <c r="AL1221">
        <v>0</v>
      </c>
      <c r="AM1221">
        <v>0</v>
      </c>
      <c r="AN1221">
        <v>0</v>
      </c>
      <c r="AO1221">
        <v>0</v>
      </c>
      <c r="AP1221">
        <v>0</v>
      </c>
      <c r="AQ1221">
        <v>0</v>
      </c>
      <c r="AR1221">
        <v>0</v>
      </c>
      <c r="AS1221">
        <v>0</v>
      </c>
      <c r="AT1221">
        <v>0</v>
      </c>
      <c r="AU1221">
        <v>0</v>
      </c>
      <c r="AV1221">
        <v>0</v>
      </c>
      <c r="AW1221">
        <v>0</v>
      </c>
      <c r="AX1221" s="141">
        <f t="shared" si="435"/>
        <v>1</v>
      </c>
      <c r="AY1221" s="141">
        <f t="shared" si="399"/>
        <v>1</v>
      </c>
      <c r="AZ1221">
        <f t="shared" si="400"/>
        <v>0</v>
      </c>
      <c r="BA1221">
        <f t="shared" si="401"/>
        <v>0</v>
      </c>
      <c r="BB1221">
        <f t="shared" si="402"/>
        <v>1</v>
      </c>
      <c r="BC1221">
        <f t="shared" si="403"/>
        <v>0</v>
      </c>
      <c r="BD1221">
        <f t="shared" si="404"/>
        <v>0</v>
      </c>
      <c r="BE1221" t="str" cm="1">
        <f t="array" ref="BE1221">IF(AY1221=1,INDEX($V$7:$AL$7,MATCH(TRUE,INDEX($V1221:$AW1221&lt;&gt;0,),0)),IF(AY1221=0,INDEX($AM$7:$AW$7,MATCH(1,$AM1221:$AW1221,0)),IF(BF1221="Multiple strategies","mixed drivers",IF(BF1221="Supply chain","multiple supply","multiple silviculture"))))</f>
        <v>technologies/design switch</v>
      </c>
      <c r="BF1221" s="2" t="str" cm="1">
        <f t="array" ref="BF1221">IF(COUNTIF(AZ1221:BB1221,"&lt;&gt;0")=1,INDEX($V$4:$AW$4,MATCH(TRUE,INDEX($V1221:$AW1221&lt;&gt;0,),0)),IF(COUNTIF(AZ1221:BB1221,"&lt;&gt;0")=0,INDEX($AM$4:$AW$4,MATCH(1,$AM1221:$AW1221,0)),"Multiple strategies"))</f>
        <v>Technology</v>
      </c>
      <c r="BG1221" s="142" t="s">
        <v>230</v>
      </c>
      <c r="BH1221" t="s">
        <v>394</v>
      </c>
      <c r="BI1221" s="266" t="s">
        <v>764</v>
      </c>
      <c r="BJ1221" s="143" t="s">
        <v>765</v>
      </c>
      <c r="BK1221">
        <v>32</v>
      </c>
      <c r="BL1221" s="143">
        <v>145</v>
      </c>
      <c r="BM1221" s="143"/>
      <c r="BN1221">
        <f t="shared" si="413"/>
        <v>113</v>
      </c>
      <c r="BO1221" s="143">
        <f t="shared" si="436"/>
        <v>230.61224489795919</v>
      </c>
      <c r="BP1221" s="266" t="s">
        <v>233</v>
      </c>
      <c r="BQ1221" s="155" t="s">
        <v>766</v>
      </c>
      <c r="BR1221" t="s">
        <v>443</v>
      </c>
      <c r="BS1221" s="143">
        <v>-67.7</v>
      </c>
      <c r="BT1221" s="151">
        <v>-51.3</v>
      </c>
      <c r="BV1221">
        <f t="shared" si="437"/>
        <v>16.400000000000006</v>
      </c>
      <c r="BX1221">
        <f t="shared" si="438"/>
        <v>60.188000000000017</v>
      </c>
      <c r="BY1221">
        <f t="shared" si="434"/>
        <v>0.26099221238938058</v>
      </c>
      <c r="BZ1221" s="143">
        <v>0</v>
      </c>
      <c r="CA1221" s="143">
        <v>0</v>
      </c>
      <c r="CB1221" s="143">
        <v>0</v>
      </c>
      <c r="CC1221" s="143">
        <v>0</v>
      </c>
      <c r="CD1221" s="143">
        <v>0</v>
      </c>
      <c r="CE1221" s="143">
        <v>0</v>
      </c>
      <c r="CF1221" s="143">
        <v>0</v>
      </c>
      <c r="CG1221" s="143">
        <v>0</v>
      </c>
      <c r="CH1221" s="143">
        <v>0</v>
      </c>
      <c r="CI1221" s="143">
        <v>0</v>
      </c>
      <c r="CJ1221" s="143">
        <v>0</v>
      </c>
      <c r="CK1221" s="143">
        <v>0</v>
      </c>
      <c r="CL1221" s="143">
        <v>0</v>
      </c>
      <c r="CM1221">
        <v>0</v>
      </c>
      <c r="CN1221" t="str">
        <f t="shared" si="439"/>
        <v>refOK</v>
      </c>
      <c r="CO1221">
        <f t="shared" si="425"/>
        <v>32</v>
      </c>
      <c r="CP1221">
        <f t="shared" si="426"/>
        <v>145</v>
      </c>
      <c r="CQ1221">
        <f t="shared" si="417"/>
        <v>230.61224489795919</v>
      </c>
      <c r="CR1221">
        <f t="shared" si="429"/>
        <v>-67.7</v>
      </c>
      <c r="CS1221">
        <f t="shared" si="430"/>
        <v>-51.3</v>
      </c>
      <c r="CT1221">
        <f t="shared" si="431"/>
        <v>60.188000000000017</v>
      </c>
      <c r="CU1221">
        <f t="shared" si="419"/>
        <v>0.26099221238938058</v>
      </c>
      <c r="CV1221" s="2">
        <f t="shared" si="432"/>
        <v>0.24224519940915812</v>
      </c>
      <c r="CW1221" s="1" t="s">
        <v>264</v>
      </c>
      <c r="CX1221" s="266" t="str">
        <f t="shared" si="407"/>
        <v>loc</v>
      </c>
      <c r="CY1221" t="s">
        <v>236</v>
      </c>
      <c r="DA1221" s="143"/>
      <c r="DB1221" s="143">
        <v>0</v>
      </c>
      <c r="DC1221" t="str">
        <f t="shared" si="408"/>
        <v>0</v>
      </c>
      <c r="DD1221">
        <v>0</v>
      </c>
      <c r="DE1221">
        <v>0</v>
      </c>
      <c r="DF1221">
        <v>0</v>
      </c>
      <c r="DG1221">
        <v>1</v>
      </c>
      <c r="DI1221">
        <f t="shared" si="427"/>
        <v>1</v>
      </c>
      <c r="DJ1221" t="str">
        <f t="shared" si="412"/>
        <v>TimberInput</v>
      </c>
      <c r="DK1221">
        <f t="shared" si="383"/>
        <v>0</v>
      </c>
      <c r="DL1221">
        <f t="shared" si="384"/>
        <v>0</v>
      </c>
      <c r="DM1221">
        <f t="shared" si="385"/>
        <v>0</v>
      </c>
      <c r="DN1221" t="str">
        <f t="shared" si="386"/>
        <v>Timber</v>
      </c>
      <c r="DO1221">
        <v>1</v>
      </c>
      <c r="DP1221" s="143">
        <v>0</v>
      </c>
      <c r="DQ1221" s="143">
        <v>0</v>
      </c>
      <c r="DR1221">
        <v>0</v>
      </c>
      <c r="DS1221" s="143">
        <v>0</v>
      </c>
      <c r="DT1221">
        <f t="shared" si="421"/>
        <v>1</v>
      </c>
      <c r="DU1221" s="143" t="str">
        <f t="shared" si="410"/>
        <v>self-calculated DF</v>
      </c>
      <c r="DV1221" s="143">
        <v>0</v>
      </c>
      <c r="DW1221" s="143">
        <v>0</v>
      </c>
      <c r="DX1221" s="143">
        <v>0</v>
      </c>
      <c r="DY1221" s="143">
        <v>0</v>
      </c>
      <c r="DZ1221">
        <v>0</v>
      </c>
      <c r="EA1221" s="143">
        <v>1</v>
      </c>
      <c r="EB1221" s="143">
        <v>1</v>
      </c>
      <c r="EC1221" s="143">
        <v>1</v>
      </c>
      <c r="ED1221" s="143">
        <v>0</v>
      </c>
      <c r="EE1221">
        <v>0</v>
      </c>
      <c r="EF1221">
        <v>0</v>
      </c>
      <c r="EG1221" s="143">
        <v>0</v>
      </c>
      <c r="EH1221" s="143">
        <v>0</v>
      </c>
      <c r="EI1221" s="2">
        <v>0</v>
      </c>
      <c r="EK1221" t="str">
        <f t="shared" si="387"/>
        <v/>
      </c>
      <c r="EL1221" t="str">
        <f t="shared" si="388"/>
        <v/>
      </c>
      <c r="EM1221" s="2" t="str">
        <f t="shared" si="409"/>
        <v>Technology approach</v>
      </c>
      <c r="EP1221" t="str">
        <f>IF(ISNUMBER(BU1221),IF(ABS(BU1221-[1]QC_indicators!$B$2)&gt;3*[1]QC_indicators!$C$2,"C ratio",IF(ISNUMBER(BY1221),IF(ABS(BY1221-[1]QC_indicators!$B$1)&gt;3*[1]QC_indicators!$C$1,"DF","no"))),IF(ISNUMBER(BY1221),IF(ABS(BY1221-[1]QC_indicators!$B$1)&gt;3*[1]QC_indicators!$C$1,"DF","no")))</f>
        <v>no</v>
      </c>
      <c r="ER1221" s="296" t="s">
        <v>350</v>
      </c>
      <c r="ET1221" s="266" t="s">
        <v>3409</v>
      </c>
    </row>
    <row r="1222" spans="1:150" ht="15" hidden="1" customHeight="1">
      <c r="D1222" t="s">
        <v>759</v>
      </c>
      <c r="E1222" t="s">
        <v>760</v>
      </c>
      <c r="G1222" t="s">
        <v>761</v>
      </c>
      <c r="I1222">
        <v>2006</v>
      </c>
      <c r="K1222" s="298" t="s">
        <v>762</v>
      </c>
      <c r="M1222" t="str">
        <f t="shared" si="411"/>
        <v>Gustavsson_2006</v>
      </c>
      <c r="N1222" t="s">
        <v>223</v>
      </c>
      <c r="O1222" t="s">
        <v>224</v>
      </c>
      <c r="Q1222" s="266" t="s">
        <v>257</v>
      </c>
      <c r="R1222" s="271" t="s">
        <v>1156</v>
      </c>
      <c r="S1222" s="265" t="s">
        <v>767</v>
      </c>
      <c r="T1222" t="s">
        <v>755</v>
      </c>
      <c r="U1222" s="143" t="s">
        <v>756</v>
      </c>
      <c r="V1222">
        <v>0</v>
      </c>
      <c r="W1222">
        <v>0</v>
      </c>
      <c r="X1222">
        <v>0</v>
      </c>
      <c r="Y1222">
        <v>0</v>
      </c>
      <c r="Z1222">
        <v>0</v>
      </c>
      <c r="AA1222">
        <v>0</v>
      </c>
      <c r="AB1222">
        <v>0</v>
      </c>
      <c r="AC1222">
        <v>0</v>
      </c>
      <c r="AD1222">
        <v>0</v>
      </c>
      <c r="AE1222">
        <v>0</v>
      </c>
      <c r="AF1222">
        <v>0</v>
      </c>
      <c r="AG1222">
        <v>0</v>
      </c>
      <c r="AH1222">
        <v>0</v>
      </c>
      <c r="AI1222">
        <v>0</v>
      </c>
      <c r="AJ1222">
        <v>0</v>
      </c>
      <c r="AK1222">
        <v>1</v>
      </c>
      <c r="AL1222">
        <v>0</v>
      </c>
      <c r="AM1222">
        <v>0</v>
      </c>
      <c r="AN1222">
        <v>0</v>
      </c>
      <c r="AO1222">
        <v>0</v>
      </c>
      <c r="AP1222">
        <v>0</v>
      </c>
      <c r="AQ1222">
        <v>0</v>
      </c>
      <c r="AR1222">
        <v>0</v>
      </c>
      <c r="AS1222">
        <v>0</v>
      </c>
      <c r="AT1222">
        <v>0</v>
      </c>
      <c r="AU1222">
        <v>0</v>
      </c>
      <c r="AV1222">
        <v>0</v>
      </c>
      <c r="AW1222">
        <v>0</v>
      </c>
      <c r="AX1222" s="141">
        <f t="shared" si="435"/>
        <v>1</v>
      </c>
      <c r="AY1222" s="141">
        <f t="shared" si="399"/>
        <v>1</v>
      </c>
      <c r="AZ1222">
        <f t="shared" si="400"/>
        <v>0</v>
      </c>
      <c r="BA1222">
        <f t="shared" si="401"/>
        <v>0</v>
      </c>
      <c r="BB1222">
        <f t="shared" si="402"/>
        <v>1</v>
      </c>
      <c r="BC1222">
        <f t="shared" si="403"/>
        <v>0</v>
      </c>
      <c r="BD1222">
        <f t="shared" si="404"/>
        <v>0</v>
      </c>
      <c r="BE1222" t="str" cm="1">
        <f t="array" ref="BE1222">IF(AY1222=1,INDEX($V$7:$AL$7,MATCH(TRUE,INDEX($V1222:$AW1222&lt;&gt;0,),0)),IF(AY1222=0,INDEX($AM$7:$AW$7,MATCH(1,$AM1222:$AW1222,0)),IF(BF1222="Multiple strategies","mixed drivers",IF(BF1222="Supply chain","multiple supply","multiple silviculture"))))</f>
        <v>technologies/design switch</v>
      </c>
      <c r="BF1222" s="2" t="str" cm="1">
        <f t="array" ref="BF1222">IF(COUNTIF(AZ1222:BB1222,"&lt;&gt;0")=1,INDEX($V$4:$AW$4,MATCH(TRUE,INDEX($V1222:$AW1222&lt;&gt;0,),0)),IF(COUNTIF(AZ1222:BB1222,"&lt;&gt;0")=0,INDEX($AM$4:$AW$4,MATCH(1,$AM1222:$AW1222,0)),"Multiple strategies"))</f>
        <v>Technology</v>
      </c>
      <c r="BG1222" s="142" t="s">
        <v>230</v>
      </c>
      <c r="BH1222" t="s">
        <v>394</v>
      </c>
      <c r="BI1222" s="266" t="s">
        <v>764</v>
      </c>
      <c r="BJ1222" s="143" t="s">
        <v>765</v>
      </c>
      <c r="BK1222">
        <v>70</v>
      </c>
      <c r="BL1222" s="143">
        <v>98</v>
      </c>
      <c r="BM1222" s="143"/>
      <c r="BN1222">
        <f t="shared" si="413"/>
        <v>28</v>
      </c>
      <c r="BO1222" s="143">
        <f t="shared" si="436"/>
        <v>57.142857142857146</v>
      </c>
      <c r="BP1222" s="266" t="s">
        <v>233</v>
      </c>
      <c r="BQ1222" s="155" t="s">
        <v>766</v>
      </c>
      <c r="BR1222" t="s">
        <v>443</v>
      </c>
      <c r="BS1222" s="143">
        <v>-72.400000000000006</v>
      </c>
      <c r="BT1222" s="151">
        <v>-62.6</v>
      </c>
      <c r="BV1222">
        <f t="shared" si="437"/>
        <v>9.8000000000000043</v>
      </c>
      <c r="BX1222">
        <f t="shared" si="438"/>
        <v>35.966000000000015</v>
      </c>
      <c r="BY1222">
        <f t="shared" si="434"/>
        <v>0.62940500000000021</v>
      </c>
      <c r="BZ1222" s="143">
        <v>0</v>
      </c>
      <c r="CA1222" s="143">
        <v>0</v>
      </c>
      <c r="CB1222" s="143">
        <v>0</v>
      </c>
      <c r="CC1222" s="143">
        <v>0</v>
      </c>
      <c r="CD1222" s="143">
        <v>0</v>
      </c>
      <c r="CE1222" s="143">
        <v>0</v>
      </c>
      <c r="CF1222" s="143">
        <v>0</v>
      </c>
      <c r="CG1222" s="143">
        <v>0</v>
      </c>
      <c r="CH1222" s="143">
        <v>0</v>
      </c>
      <c r="CI1222" s="143">
        <v>0</v>
      </c>
      <c r="CJ1222" s="143">
        <v>0</v>
      </c>
      <c r="CK1222" s="143">
        <v>0</v>
      </c>
      <c r="CL1222" s="143">
        <v>0</v>
      </c>
      <c r="CM1222">
        <v>0</v>
      </c>
      <c r="CN1222" t="str">
        <f t="shared" si="439"/>
        <v>refOK</v>
      </c>
      <c r="CO1222">
        <f t="shared" si="425"/>
        <v>70</v>
      </c>
      <c r="CP1222">
        <f t="shared" si="426"/>
        <v>98</v>
      </c>
      <c r="CQ1222">
        <f t="shared" si="417"/>
        <v>57.142857142857146</v>
      </c>
      <c r="CR1222">
        <f t="shared" si="429"/>
        <v>-72.400000000000006</v>
      </c>
      <c r="CS1222">
        <f t="shared" si="430"/>
        <v>-62.6</v>
      </c>
      <c r="CT1222">
        <f t="shared" si="431"/>
        <v>35.966000000000015</v>
      </c>
      <c r="CU1222">
        <f t="shared" si="419"/>
        <v>0.62940500000000021</v>
      </c>
      <c r="CV1222" s="2">
        <f t="shared" si="432"/>
        <v>0.13535911602209949</v>
      </c>
      <c r="CW1222" s="1" t="s">
        <v>264</v>
      </c>
      <c r="CX1222" s="266" t="str">
        <f t="shared" si="407"/>
        <v>loc</v>
      </c>
      <c r="CY1222" t="s">
        <v>236</v>
      </c>
      <c r="DA1222" s="143"/>
      <c r="DB1222" s="143">
        <v>0</v>
      </c>
      <c r="DC1222" t="str">
        <f t="shared" si="408"/>
        <v>0</v>
      </c>
      <c r="DD1222">
        <v>0</v>
      </c>
      <c r="DE1222">
        <v>0</v>
      </c>
      <c r="DF1222">
        <v>0</v>
      </c>
      <c r="DG1222">
        <v>1</v>
      </c>
      <c r="DI1222">
        <f t="shared" si="427"/>
        <v>1</v>
      </c>
      <c r="DJ1222" t="str">
        <f t="shared" si="412"/>
        <v>TimberInput</v>
      </c>
      <c r="DK1222">
        <f t="shared" si="383"/>
        <v>0</v>
      </c>
      <c r="DL1222">
        <f t="shared" si="384"/>
        <v>0</v>
      </c>
      <c r="DM1222">
        <f t="shared" si="385"/>
        <v>0</v>
      </c>
      <c r="DN1222" t="str">
        <f t="shared" si="386"/>
        <v>Timber</v>
      </c>
      <c r="DO1222">
        <v>1</v>
      </c>
      <c r="DP1222" s="143">
        <v>0</v>
      </c>
      <c r="DQ1222" s="143">
        <v>0</v>
      </c>
      <c r="DR1222">
        <v>0</v>
      </c>
      <c r="DS1222" s="143">
        <v>0</v>
      </c>
      <c r="DT1222">
        <f t="shared" si="421"/>
        <v>1</v>
      </c>
      <c r="DU1222" s="143" t="str">
        <f t="shared" si="410"/>
        <v>self-calculated DF</v>
      </c>
      <c r="DV1222" s="143">
        <v>0</v>
      </c>
      <c r="DW1222" s="143">
        <v>0</v>
      </c>
      <c r="DX1222" s="143">
        <v>0</v>
      </c>
      <c r="DY1222" s="143">
        <v>0</v>
      </c>
      <c r="DZ1222">
        <v>0</v>
      </c>
      <c r="EA1222" s="143">
        <v>1</v>
      </c>
      <c r="EB1222" s="143">
        <v>1</v>
      </c>
      <c r="EC1222" s="143">
        <v>1</v>
      </c>
      <c r="ED1222" s="143">
        <v>0</v>
      </c>
      <c r="EE1222">
        <v>0</v>
      </c>
      <c r="EF1222">
        <v>0</v>
      </c>
      <c r="EG1222" s="143">
        <v>0</v>
      </c>
      <c r="EH1222" s="143">
        <v>0</v>
      </c>
      <c r="EI1222" s="2">
        <v>0</v>
      </c>
      <c r="EK1222" t="str">
        <f t="shared" si="387"/>
        <v/>
      </c>
      <c r="EL1222" t="str">
        <f t="shared" si="388"/>
        <v/>
      </c>
      <c r="EM1222" s="2" t="str">
        <f t="shared" si="409"/>
        <v>Technology approach</v>
      </c>
      <c r="EP1222" t="str">
        <f>IF(ISNUMBER(BU1222),IF(ABS(BU1222-[1]QC_indicators!$B$2)&gt;3*[1]QC_indicators!$C$2,"C ratio",IF(ISNUMBER(BY1222),IF(ABS(BY1222-[1]QC_indicators!$B$1)&gt;3*[1]QC_indicators!$C$1,"DF","no"))),IF(ISNUMBER(BY1222),IF(ABS(BY1222-[1]QC_indicators!$B$1)&gt;3*[1]QC_indicators!$C$1,"DF","no")))</f>
        <v>no</v>
      </c>
      <c r="ER1222" s="296" t="s">
        <v>350</v>
      </c>
      <c r="ET1222" s="266" t="s">
        <v>3409</v>
      </c>
    </row>
    <row r="1223" spans="1:150" ht="15" hidden="1" customHeight="1">
      <c r="D1223" t="s">
        <v>759</v>
      </c>
      <c r="E1223" t="s">
        <v>760</v>
      </c>
      <c r="G1223" t="s">
        <v>761</v>
      </c>
      <c r="I1223">
        <v>2006</v>
      </c>
      <c r="K1223" s="298" t="s">
        <v>762</v>
      </c>
      <c r="M1223" t="str">
        <f t="shared" si="411"/>
        <v>Gustavsson_2006</v>
      </c>
      <c r="N1223" t="s">
        <v>223</v>
      </c>
      <c r="O1223" t="s">
        <v>224</v>
      </c>
      <c r="Q1223" s="266" t="s">
        <v>257</v>
      </c>
      <c r="R1223" s="271" t="s">
        <v>1156</v>
      </c>
      <c r="S1223" s="265" t="s">
        <v>768</v>
      </c>
      <c r="T1223" t="s">
        <v>755</v>
      </c>
      <c r="U1223" s="143" t="s">
        <v>756</v>
      </c>
      <c r="V1223">
        <v>0</v>
      </c>
      <c r="W1223">
        <v>0</v>
      </c>
      <c r="X1223">
        <v>0</v>
      </c>
      <c r="Y1223">
        <v>0</v>
      </c>
      <c r="Z1223">
        <v>0</v>
      </c>
      <c r="AA1223">
        <v>0</v>
      </c>
      <c r="AB1223">
        <v>0</v>
      </c>
      <c r="AC1223">
        <v>0</v>
      </c>
      <c r="AD1223">
        <v>0</v>
      </c>
      <c r="AE1223">
        <v>0</v>
      </c>
      <c r="AF1223">
        <v>0</v>
      </c>
      <c r="AG1223">
        <v>0</v>
      </c>
      <c r="AH1223">
        <v>0</v>
      </c>
      <c r="AI1223">
        <v>0</v>
      </c>
      <c r="AJ1223">
        <v>0</v>
      </c>
      <c r="AK1223">
        <v>1</v>
      </c>
      <c r="AL1223">
        <v>0</v>
      </c>
      <c r="AM1223">
        <v>0</v>
      </c>
      <c r="AN1223">
        <v>0</v>
      </c>
      <c r="AO1223">
        <v>0</v>
      </c>
      <c r="AP1223">
        <v>0</v>
      </c>
      <c r="AQ1223">
        <v>0</v>
      </c>
      <c r="AR1223">
        <v>0</v>
      </c>
      <c r="AS1223">
        <v>0</v>
      </c>
      <c r="AT1223">
        <v>0</v>
      </c>
      <c r="AU1223">
        <v>0</v>
      </c>
      <c r="AV1223">
        <v>0</v>
      </c>
      <c r="AW1223">
        <v>0</v>
      </c>
      <c r="AX1223" s="141">
        <f t="shared" si="435"/>
        <v>1</v>
      </c>
      <c r="AY1223" s="141">
        <f t="shared" si="399"/>
        <v>1</v>
      </c>
      <c r="AZ1223">
        <f t="shared" si="400"/>
        <v>0</v>
      </c>
      <c r="BA1223">
        <f t="shared" si="401"/>
        <v>0</v>
      </c>
      <c r="BB1223">
        <f t="shared" si="402"/>
        <v>1</v>
      </c>
      <c r="BC1223">
        <f t="shared" si="403"/>
        <v>0</v>
      </c>
      <c r="BD1223">
        <f t="shared" si="404"/>
        <v>0</v>
      </c>
      <c r="BE1223" t="str" cm="1">
        <f t="array" ref="BE1223">IF(AY1223=1,INDEX($V$7:$AL$7,MATCH(TRUE,INDEX($V1223:$AW1223&lt;&gt;0,),0)),IF(AY1223=0,INDEX($AM$7:$AW$7,MATCH(1,$AM1223:$AW1223,0)),IF(BF1223="Multiple strategies","mixed drivers",IF(BF1223="Supply chain","multiple supply","multiple silviculture"))))</f>
        <v>technologies/design switch</v>
      </c>
      <c r="BF1223" s="2" t="str" cm="1">
        <f t="array" ref="BF1223">IF(COUNTIF(AZ1223:BB1223,"&lt;&gt;0")=1,INDEX($V$4:$AW$4,MATCH(TRUE,INDEX($V1223:$AW1223&lt;&gt;0,),0)),IF(COUNTIF(AZ1223:BB1223,"&lt;&gt;0")=0,INDEX($AM$4:$AW$4,MATCH(1,$AM1223:$AW1223,0)),"Multiple strategies"))</f>
        <v>Technology</v>
      </c>
      <c r="BG1223" s="142" t="s">
        <v>230</v>
      </c>
      <c r="BH1223" t="s">
        <v>394</v>
      </c>
      <c r="BI1223" s="266" t="s">
        <v>764</v>
      </c>
      <c r="BJ1223" s="143" t="s">
        <v>765</v>
      </c>
      <c r="BK1223">
        <v>325</v>
      </c>
      <c r="BL1223" s="143">
        <v>428</v>
      </c>
      <c r="BM1223" s="143"/>
      <c r="BN1223">
        <f t="shared" si="413"/>
        <v>103</v>
      </c>
      <c r="BO1223" s="143">
        <f t="shared" si="436"/>
        <v>210.20408163265307</v>
      </c>
      <c r="BP1223" s="266" t="s">
        <v>233</v>
      </c>
      <c r="BQ1223" s="155" t="s">
        <v>766</v>
      </c>
      <c r="BR1223" t="s">
        <v>443</v>
      </c>
      <c r="BS1223" s="143">
        <v>-180.2</v>
      </c>
      <c r="BT1223" s="151">
        <v>-136.69999999999999</v>
      </c>
      <c r="BV1223">
        <f t="shared" si="437"/>
        <v>43.5</v>
      </c>
      <c r="BX1223">
        <f t="shared" si="438"/>
        <v>159.64500000000001</v>
      </c>
      <c r="BY1223">
        <f t="shared" si="434"/>
        <v>0.75947621359223305</v>
      </c>
      <c r="BZ1223" s="143">
        <v>0</v>
      </c>
      <c r="CA1223" s="143">
        <v>0</v>
      </c>
      <c r="CB1223" s="143">
        <v>0</v>
      </c>
      <c r="CC1223" s="143">
        <v>0</v>
      </c>
      <c r="CD1223" s="143">
        <v>0</v>
      </c>
      <c r="CE1223" s="143">
        <v>0</v>
      </c>
      <c r="CF1223" s="143">
        <v>0</v>
      </c>
      <c r="CG1223" s="143">
        <v>0</v>
      </c>
      <c r="CH1223" s="143">
        <v>0</v>
      </c>
      <c r="CI1223" s="143">
        <v>0</v>
      </c>
      <c r="CJ1223" s="143">
        <v>0</v>
      </c>
      <c r="CK1223" s="143">
        <v>0</v>
      </c>
      <c r="CL1223" s="143">
        <v>0</v>
      </c>
      <c r="CM1223">
        <v>0</v>
      </c>
      <c r="CN1223" t="str">
        <f t="shared" si="439"/>
        <v>refOK</v>
      </c>
      <c r="CO1223">
        <f t="shared" si="425"/>
        <v>325</v>
      </c>
      <c r="CP1223">
        <f t="shared" si="426"/>
        <v>428</v>
      </c>
      <c r="CQ1223">
        <f t="shared" si="417"/>
        <v>210.20408163265307</v>
      </c>
      <c r="CR1223">
        <f t="shared" si="429"/>
        <v>-180.2</v>
      </c>
      <c r="CS1223">
        <f t="shared" si="430"/>
        <v>-136.69999999999999</v>
      </c>
      <c r="CT1223">
        <f t="shared" si="431"/>
        <v>159.64500000000001</v>
      </c>
      <c r="CU1223">
        <f t="shared" si="419"/>
        <v>0.75947621359223305</v>
      </c>
      <c r="CV1223" s="2">
        <f t="shared" si="432"/>
        <v>0.24139844617092121</v>
      </c>
      <c r="CW1223" s="1" t="s">
        <v>264</v>
      </c>
      <c r="CX1223" s="266" t="str">
        <f t="shared" si="407"/>
        <v>loc</v>
      </c>
      <c r="CY1223" t="s">
        <v>236</v>
      </c>
      <c r="DA1223" s="143"/>
      <c r="DB1223" s="143">
        <v>0</v>
      </c>
      <c r="DC1223" t="str">
        <f t="shared" si="408"/>
        <v>0</v>
      </c>
      <c r="DD1223">
        <v>0</v>
      </c>
      <c r="DE1223">
        <v>0</v>
      </c>
      <c r="DF1223">
        <v>0</v>
      </c>
      <c r="DG1223">
        <v>1</v>
      </c>
      <c r="DI1223">
        <f t="shared" si="427"/>
        <v>1</v>
      </c>
      <c r="DJ1223" t="str">
        <f t="shared" si="412"/>
        <v>TimberInput</v>
      </c>
      <c r="DK1223">
        <f t="shared" si="383"/>
        <v>0</v>
      </c>
      <c r="DL1223">
        <f t="shared" si="384"/>
        <v>0</v>
      </c>
      <c r="DM1223">
        <f t="shared" si="385"/>
        <v>0</v>
      </c>
      <c r="DN1223" t="str">
        <f t="shared" si="386"/>
        <v>Timber</v>
      </c>
      <c r="DO1223">
        <v>1</v>
      </c>
      <c r="DP1223" s="143">
        <v>0</v>
      </c>
      <c r="DQ1223" s="143">
        <v>0</v>
      </c>
      <c r="DR1223">
        <v>0</v>
      </c>
      <c r="DS1223" s="143">
        <v>0</v>
      </c>
      <c r="DT1223">
        <f t="shared" si="421"/>
        <v>1</v>
      </c>
      <c r="DU1223" s="143" t="str">
        <f t="shared" si="410"/>
        <v>self-calculated DF</v>
      </c>
      <c r="DV1223" s="143">
        <v>0</v>
      </c>
      <c r="DW1223" s="143">
        <v>1</v>
      </c>
      <c r="DX1223" s="143">
        <v>0</v>
      </c>
      <c r="DY1223" s="143">
        <v>1</v>
      </c>
      <c r="DZ1223">
        <v>0</v>
      </c>
      <c r="EA1223" s="143">
        <v>1</v>
      </c>
      <c r="EB1223" s="143">
        <v>1</v>
      </c>
      <c r="EC1223" s="143">
        <v>1</v>
      </c>
      <c r="ED1223" s="143">
        <v>0</v>
      </c>
      <c r="EE1223">
        <v>0</v>
      </c>
      <c r="EF1223">
        <v>0</v>
      </c>
      <c r="EG1223" s="143">
        <v>0</v>
      </c>
      <c r="EH1223" s="143">
        <v>0</v>
      </c>
      <c r="EI1223" s="2">
        <v>0</v>
      </c>
      <c r="EK1223" t="str">
        <f t="shared" si="387"/>
        <v/>
      </c>
      <c r="EL1223" t="str">
        <f t="shared" si="388"/>
        <v/>
      </c>
      <c r="EM1223" s="2" t="str">
        <f t="shared" si="409"/>
        <v/>
      </c>
      <c r="EP1223" t="str">
        <f>IF(ISNUMBER(BU1223),IF(ABS(BU1223-[1]QC_indicators!$B$2)&gt;3*[1]QC_indicators!$C$2,"C ratio",IF(ISNUMBER(BY1223),IF(ABS(BY1223-[1]QC_indicators!$B$1)&gt;3*[1]QC_indicators!$C$1,"DF","no"))),IF(ISNUMBER(BY1223),IF(ABS(BY1223-[1]QC_indicators!$B$1)&gt;3*[1]QC_indicators!$C$1,"DF","no")))</f>
        <v>no</v>
      </c>
      <c r="ER1223" s="296" t="s">
        <v>350</v>
      </c>
      <c r="ET1223" s="266" t="s">
        <v>3409</v>
      </c>
    </row>
    <row r="1224" spans="1:150" ht="15" hidden="1" customHeight="1">
      <c r="D1224" t="s">
        <v>759</v>
      </c>
      <c r="E1224" t="s">
        <v>760</v>
      </c>
      <c r="G1224" t="s">
        <v>761</v>
      </c>
      <c r="I1224">
        <v>2006</v>
      </c>
      <c r="K1224" s="298" t="s">
        <v>762</v>
      </c>
      <c r="M1224" t="str">
        <f t="shared" si="411"/>
        <v>Gustavsson_2006</v>
      </c>
      <c r="N1224" t="s">
        <v>223</v>
      </c>
      <c r="O1224" t="s">
        <v>224</v>
      </c>
      <c r="Q1224" s="266" t="s">
        <v>257</v>
      </c>
      <c r="R1224" s="271" t="s">
        <v>1156</v>
      </c>
      <c r="S1224" s="265" t="s">
        <v>774</v>
      </c>
      <c r="T1224" t="s">
        <v>755</v>
      </c>
      <c r="U1224" s="143" t="s">
        <v>756</v>
      </c>
      <c r="V1224">
        <v>0</v>
      </c>
      <c r="W1224">
        <v>0</v>
      </c>
      <c r="X1224">
        <v>0</v>
      </c>
      <c r="Y1224">
        <v>0</v>
      </c>
      <c r="Z1224">
        <v>0</v>
      </c>
      <c r="AA1224">
        <v>0</v>
      </c>
      <c r="AB1224">
        <v>0</v>
      </c>
      <c r="AC1224">
        <v>0</v>
      </c>
      <c r="AD1224">
        <v>0</v>
      </c>
      <c r="AE1224">
        <v>0</v>
      </c>
      <c r="AF1224">
        <v>0</v>
      </c>
      <c r="AG1224">
        <v>0</v>
      </c>
      <c r="AH1224">
        <v>0</v>
      </c>
      <c r="AI1224">
        <v>0</v>
      </c>
      <c r="AJ1224">
        <v>0</v>
      </c>
      <c r="AK1224">
        <v>1</v>
      </c>
      <c r="AL1224">
        <v>0</v>
      </c>
      <c r="AM1224">
        <v>0</v>
      </c>
      <c r="AN1224">
        <v>0</v>
      </c>
      <c r="AO1224">
        <v>0</v>
      </c>
      <c r="AP1224">
        <v>0</v>
      </c>
      <c r="AQ1224">
        <v>0</v>
      </c>
      <c r="AR1224">
        <v>0</v>
      </c>
      <c r="AS1224">
        <v>0</v>
      </c>
      <c r="AT1224">
        <v>0</v>
      </c>
      <c r="AU1224">
        <v>0</v>
      </c>
      <c r="AV1224">
        <v>0</v>
      </c>
      <c r="AW1224">
        <v>0</v>
      </c>
      <c r="AX1224" s="141">
        <f t="shared" si="435"/>
        <v>1</v>
      </c>
      <c r="AY1224" s="141">
        <f t="shared" si="399"/>
        <v>1</v>
      </c>
      <c r="AZ1224">
        <f t="shared" si="400"/>
        <v>0</v>
      </c>
      <c r="BA1224">
        <f t="shared" si="401"/>
        <v>0</v>
      </c>
      <c r="BB1224">
        <f t="shared" si="402"/>
        <v>1</v>
      </c>
      <c r="BC1224">
        <f t="shared" si="403"/>
        <v>0</v>
      </c>
      <c r="BD1224">
        <f t="shared" si="404"/>
        <v>0</v>
      </c>
      <c r="BE1224" t="str" cm="1">
        <f t="array" ref="BE1224">IF(AY1224=1,INDEX($V$7:$AL$7,MATCH(TRUE,INDEX($V1224:$AW1224&lt;&gt;0,),0)),IF(AY1224=0,INDEX($AM$7:$AW$7,MATCH(1,$AM1224:$AW1224,0)),IF(BF1224="Multiple strategies","mixed drivers",IF(BF1224="Supply chain","multiple supply","multiple silviculture"))))</f>
        <v>technologies/design switch</v>
      </c>
      <c r="BF1224" s="2" t="str" cm="1">
        <f t="array" ref="BF1224">IF(COUNTIF(AZ1224:BB1224,"&lt;&gt;0")=1,INDEX($V$4:$AW$4,MATCH(TRUE,INDEX($V1224:$AW1224&lt;&gt;0,),0)),IF(COUNTIF(AZ1224:BB1224,"&lt;&gt;0")=0,INDEX($AM$4:$AW$4,MATCH(1,$AM1224:$AW1224,0)),"Multiple strategies"))</f>
        <v>Technology</v>
      </c>
      <c r="BG1224" s="142" t="s">
        <v>230</v>
      </c>
      <c r="BH1224" t="s">
        <v>394</v>
      </c>
      <c r="BI1224" s="266" t="s">
        <v>764</v>
      </c>
      <c r="BJ1224" s="143" t="s">
        <v>765</v>
      </c>
      <c r="BK1224">
        <v>70</v>
      </c>
      <c r="BL1224" s="143">
        <v>98</v>
      </c>
      <c r="BM1224" s="143"/>
      <c r="BN1224">
        <f t="shared" si="413"/>
        <v>28</v>
      </c>
      <c r="BO1224" s="143">
        <f t="shared" si="436"/>
        <v>57.142857142857146</v>
      </c>
      <c r="BP1224" s="266" t="s">
        <v>233</v>
      </c>
      <c r="BQ1224" s="155" t="s">
        <v>766</v>
      </c>
      <c r="BR1224" t="s">
        <v>443</v>
      </c>
      <c r="BS1224" s="143">
        <f>-138.7+67.9</f>
        <v>-70.799999999999983</v>
      </c>
      <c r="BT1224" s="151">
        <f>-103+56.7</f>
        <v>-46.3</v>
      </c>
      <c r="BV1224">
        <f t="shared" si="437"/>
        <v>24.499999999999986</v>
      </c>
      <c r="BX1224">
        <f t="shared" si="438"/>
        <v>89.914999999999949</v>
      </c>
      <c r="BY1224">
        <f t="shared" si="434"/>
        <v>1.573512499999999</v>
      </c>
      <c r="BZ1224" s="143">
        <v>0</v>
      </c>
      <c r="CA1224" s="143">
        <v>0</v>
      </c>
      <c r="CB1224" s="143">
        <v>0</v>
      </c>
      <c r="CC1224" s="143">
        <v>0</v>
      </c>
      <c r="CD1224" s="143">
        <v>0</v>
      </c>
      <c r="CE1224" s="143">
        <v>0</v>
      </c>
      <c r="CF1224" s="143">
        <v>0</v>
      </c>
      <c r="CG1224" s="143">
        <v>0</v>
      </c>
      <c r="CH1224" s="143">
        <v>0</v>
      </c>
      <c r="CI1224" s="143">
        <v>0</v>
      </c>
      <c r="CJ1224" s="143">
        <v>0</v>
      </c>
      <c r="CK1224" s="143">
        <v>0</v>
      </c>
      <c r="CL1224" s="143">
        <v>0</v>
      </c>
      <c r="CM1224">
        <v>0</v>
      </c>
      <c r="CN1224" t="str">
        <f t="shared" si="439"/>
        <v>refOK</v>
      </c>
      <c r="CO1224">
        <f t="shared" si="425"/>
        <v>70</v>
      </c>
      <c r="CP1224">
        <f t="shared" si="426"/>
        <v>98</v>
      </c>
      <c r="CQ1224">
        <f t="shared" si="417"/>
        <v>57.142857142857146</v>
      </c>
      <c r="CR1224">
        <f t="shared" si="429"/>
        <v>-70.799999999999983</v>
      </c>
      <c r="CS1224">
        <f t="shared" si="430"/>
        <v>-46.3</v>
      </c>
      <c r="CT1224">
        <f t="shared" si="431"/>
        <v>89.914999999999949</v>
      </c>
      <c r="CU1224">
        <f t="shared" si="419"/>
        <v>1.573512499999999</v>
      </c>
      <c r="CV1224" s="2">
        <f t="shared" si="432"/>
        <v>0.34604519774011289</v>
      </c>
      <c r="CW1224" s="1" t="s">
        <v>264</v>
      </c>
      <c r="CX1224" s="266" t="str">
        <f t="shared" si="407"/>
        <v>loc</v>
      </c>
      <c r="CY1224" t="s">
        <v>445</v>
      </c>
      <c r="DA1224" s="143"/>
      <c r="DB1224" s="143">
        <v>0</v>
      </c>
      <c r="DC1224" t="str">
        <f t="shared" si="408"/>
        <v>0</v>
      </c>
      <c r="DD1224">
        <v>0</v>
      </c>
      <c r="DE1224">
        <v>0</v>
      </c>
      <c r="DF1224">
        <v>0</v>
      </c>
      <c r="DG1224">
        <v>1</v>
      </c>
      <c r="DI1224">
        <f t="shared" si="427"/>
        <v>1</v>
      </c>
      <c r="DJ1224" t="str">
        <f t="shared" si="412"/>
        <v>TimberInput</v>
      </c>
      <c r="DK1224">
        <f t="shared" ref="DK1224:DK1241" si="440">IF(DD1224=1,DK$7,0)</f>
        <v>0</v>
      </c>
      <c r="DL1224">
        <f t="shared" ref="DL1224:DL1241" si="441">IF(DE1224=1,DL$7,0)</f>
        <v>0</v>
      </c>
      <c r="DM1224">
        <f t="shared" ref="DM1224:DM1241" si="442">IF(DF1224=1,DM$7,0)</f>
        <v>0</v>
      </c>
      <c r="DN1224" t="str">
        <f t="shared" ref="DN1224:DN1241" si="443">IF(DG1224=1,DN$7,0)</f>
        <v>Timber</v>
      </c>
      <c r="DO1224">
        <v>1</v>
      </c>
      <c r="DP1224" s="143">
        <v>0</v>
      </c>
      <c r="DQ1224" s="143">
        <v>0</v>
      </c>
      <c r="DR1224">
        <v>0</v>
      </c>
      <c r="DS1224" s="143">
        <v>0</v>
      </c>
      <c r="DT1224">
        <f t="shared" si="421"/>
        <v>1</v>
      </c>
      <c r="DU1224" s="143" t="str">
        <f t="shared" si="410"/>
        <v>self-calculated DF</v>
      </c>
      <c r="DV1224" s="143">
        <v>0</v>
      </c>
      <c r="DW1224" s="143">
        <v>0</v>
      </c>
      <c r="DX1224" s="143">
        <v>0</v>
      </c>
      <c r="DY1224" s="143">
        <v>1</v>
      </c>
      <c r="DZ1224">
        <v>0</v>
      </c>
      <c r="EA1224" s="143">
        <v>1</v>
      </c>
      <c r="EB1224" s="143">
        <v>1</v>
      </c>
      <c r="EC1224" s="143">
        <v>1</v>
      </c>
      <c r="ED1224" s="143">
        <v>0</v>
      </c>
      <c r="EE1224">
        <v>0</v>
      </c>
      <c r="EF1224">
        <v>0</v>
      </c>
      <c r="EG1224" s="143">
        <v>0</v>
      </c>
      <c r="EH1224" s="143">
        <v>0</v>
      </c>
      <c r="EI1224" s="2">
        <v>0</v>
      </c>
      <c r="EK1224" t="str">
        <f t="shared" ref="EK1224:EK1241" si="444">IF(AND(AND(AND(OR($DX1224=1,$DW1224=1),OR($EC1224=1,$EA1224=1)),SUM($DV1224:$DZ1224,$EF1224)&gt;=4),SUM($EA1224:$EE1224)&gt;=2),"Whole sector","")</f>
        <v/>
      </c>
      <c r="EL1224" t="str">
        <f t="shared" ref="EL1224:EL1241" si="445">IF(AND(AND(OR($DX1224=1,$DW1224=1),AND($EC1224=0,$EA1224=0)),SUM($DV1224:$DZ1224,$EF1224)&gt;=4),"Ecosystem approach","")</f>
        <v/>
      </c>
      <c r="EM1224" s="2" t="str">
        <f t="shared" si="409"/>
        <v>Technology approach</v>
      </c>
      <c r="EP1224" t="str">
        <f>IF(ISNUMBER(BU1224),IF(ABS(BU1224-[1]QC_indicators!$B$2)&gt;3*[1]QC_indicators!$C$2,"C ratio",IF(ISNUMBER(BY1224),IF(ABS(BY1224-[1]QC_indicators!$B$1)&gt;3*[1]QC_indicators!$C$1,"DF","no"))),IF(ISNUMBER(BY1224),IF(ABS(BY1224-[1]QC_indicators!$B$1)&gt;3*[1]QC_indicators!$C$1,"DF","no")))</f>
        <v>no</v>
      </c>
      <c r="ER1224" s="296" t="s">
        <v>350</v>
      </c>
      <c r="ET1224" s="266" t="s">
        <v>3409</v>
      </c>
    </row>
    <row r="1225" spans="1:150" ht="15" hidden="1" customHeight="1">
      <c r="D1225" t="s">
        <v>759</v>
      </c>
      <c r="E1225" t="s">
        <v>760</v>
      </c>
      <c r="G1225" t="s">
        <v>761</v>
      </c>
      <c r="I1225">
        <v>2006</v>
      </c>
      <c r="K1225" s="298" t="s">
        <v>762</v>
      </c>
      <c r="M1225" t="str">
        <f t="shared" si="411"/>
        <v>Gustavsson_2006</v>
      </c>
      <c r="N1225" t="s">
        <v>223</v>
      </c>
      <c r="O1225" t="s">
        <v>224</v>
      </c>
      <c r="Q1225" s="266" t="s">
        <v>257</v>
      </c>
      <c r="R1225" s="271" t="s">
        <v>1156</v>
      </c>
      <c r="S1225" s="265" t="s">
        <v>774</v>
      </c>
      <c r="T1225" t="s">
        <v>755</v>
      </c>
      <c r="U1225" s="143" t="s">
        <v>756</v>
      </c>
      <c r="V1225">
        <v>0</v>
      </c>
      <c r="W1225">
        <v>0</v>
      </c>
      <c r="X1225">
        <v>0</v>
      </c>
      <c r="Y1225">
        <v>0</v>
      </c>
      <c r="Z1225">
        <v>0</v>
      </c>
      <c r="AA1225">
        <v>0</v>
      </c>
      <c r="AB1225">
        <v>0</v>
      </c>
      <c r="AC1225">
        <v>0</v>
      </c>
      <c r="AD1225">
        <v>0</v>
      </c>
      <c r="AE1225">
        <v>0</v>
      </c>
      <c r="AF1225">
        <v>0</v>
      </c>
      <c r="AG1225">
        <v>0</v>
      </c>
      <c r="AH1225">
        <v>0</v>
      </c>
      <c r="AI1225">
        <v>0</v>
      </c>
      <c r="AJ1225">
        <v>0</v>
      </c>
      <c r="AK1225">
        <v>1</v>
      </c>
      <c r="AL1225">
        <v>0</v>
      </c>
      <c r="AM1225">
        <v>0</v>
      </c>
      <c r="AN1225">
        <v>0</v>
      </c>
      <c r="AO1225">
        <v>0</v>
      </c>
      <c r="AP1225">
        <v>0</v>
      </c>
      <c r="AQ1225">
        <v>0</v>
      </c>
      <c r="AR1225">
        <v>0</v>
      </c>
      <c r="AS1225">
        <v>0</v>
      </c>
      <c r="AT1225">
        <v>0</v>
      </c>
      <c r="AU1225">
        <v>0</v>
      </c>
      <c r="AV1225">
        <v>0</v>
      </c>
      <c r="AW1225">
        <v>0</v>
      </c>
      <c r="AX1225" s="141">
        <f t="shared" si="435"/>
        <v>1</v>
      </c>
      <c r="AY1225" s="141">
        <f t="shared" si="399"/>
        <v>1</v>
      </c>
      <c r="AZ1225">
        <f t="shared" si="400"/>
        <v>0</v>
      </c>
      <c r="BA1225">
        <f t="shared" si="401"/>
        <v>0</v>
      </c>
      <c r="BB1225">
        <f t="shared" si="402"/>
        <v>1</v>
      </c>
      <c r="BC1225">
        <f t="shared" si="403"/>
        <v>0</v>
      </c>
      <c r="BD1225">
        <f t="shared" si="404"/>
        <v>0</v>
      </c>
      <c r="BE1225" t="str" cm="1">
        <f t="array" ref="BE1225">IF(AY1225=1,INDEX($V$7:$AL$7,MATCH(TRUE,INDEX($V1225:$AW1225&lt;&gt;0,),0)),IF(AY1225=0,INDEX($AM$7:$AW$7,MATCH(1,$AM1225:$AW1225,0)),IF(BF1225="Multiple strategies","mixed drivers",IF(BF1225="Supply chain","multiple supply","multiple silviculture"))))</f>
        <v>technologies/design switch</v>
      </c>
      <c r="BF1225" s="2" t="str" cm="1">
        <f t="array" ref="BF1225">IF(COUNTIF(AZ1225:BB1225,"&lt;&gt;0")=1,INDEX($V$4:$AW$4,MATCH(TRUE,INDEX($V1225:$AW1225&lt;&gt;0,),0)),IF(COUNTIF(AZ1225:BB1225,"&lt;&gt;0")=0,INDEX($AM$4:$AW$4,MATCH(1,$AM1225:$AW1225,0)),"Multiple strategies"))</f>
        <v>Technology</v>
      </c>
      <c r="BG1225" s="142" t="s">
        <v>230</v>
      </c>
      <c r="BH1225" t="s">
        <v>394</v>
      </c>
      <c r="BI1225" s="266" t="s">
        <v>764</v>
      </c>
      <c r="BJ1225" s="143" t="s">
        <v>765</v>
      </c>
      <c r="BK1225">
        <v>266.3</v>
      </c>
      <c r="BL1225" s="143">
        <v>291.39999999999998</v>
      </c>
      <c r="BM1225" s="143"/>
      <c r="BN1225">
        <f t="shared" si="413"/>
        <v>25.099999999999966</v>
      </c>
      <c r="BO1225" s="143">
        <f t="shared" si="436"/>
        <v>51.224489795918302</v>
      </c>
      <c r="BP1225" s="266" t="s">
        <v>233</v>
      </c>
      <c r="BQ1225" s="155" t="s">
        <v>766</v>
      </c>
      <c r="BR1225" t="s">
        <v>443</v>
      </c>
      <c r="BS1225" s="143">
        <v>-138.69999999999999</v>
      </c>
      <c r="BT1225" s="151">
        <v>-103</v>
      </c>
      <c r="BV1225">
        <f t="shared" si="437"/>
        <v>35.699999999999989</v>
      </c>
      <c r="BX1225">
        <f t="shared" si="438"/>
        <v>131.01899999999995</v>
      </c>
      <c r="BY1225">
        <f t="shared" si="434"/>
        <v>2.5577414342629505</v>
      </c>
      <c r="BZ1225" s="143">
        <v>0</v>
      </c>
      <c r="CA1225" s="143">
        <v>0</v>
      </c>
      <c r="CB1225" s="143">
        <v>0</v>
      </c>
      <c r="CC1225" s="143">
        <v>0</v>
      </c>
      <c r="CD1225" s="143">
        <v>0</v>
      </c>
      <c r="CE1225" s="143">
        <v>0</v>
      </c>
      <c r="CF1225" s="143">
        <v>0</v>
      </c>
      <c r="CG1225" s="143">
        <v>0</v>
      </c>
      <c r="CH1225" s="143">
        <v>0</v>
      </c>
      <c r="CI1225" s="143">
        <v>0</v>
      </c>
      <c r="CJ1225" s="143">
        <v>0</v>
      </c>
      <c r="CK1225" s="143">
        <v>0</v>
      </c>
      <c r="CL1225" s="143">
        <v>0</v>
      </c>
      <c r="CM1225">
        <v>0</v>
      </c>
      <c r="CN1225" t="str">
        <f t="shared" si="439"/>
        <v>refOK</v>
      </c>
      <c r="CO1225">
        <f t="shared" si="425"/>
        <v>266.3</v>
      </c>
      <c r="CP1225">
        <f t="shared" si="426"/>
        <v>291.39999999999998</v>
      </c>
      <c r="CQ1225">
        <f t="shared" si="417"/>
        <v>51.224489795918302</v>
      </c>
      <c r="CR1225">
        <f t="shared" si="429"/>
        <v>-138.69999999999999</v>
      </c>
      <c r="CS1225">
        <f t="shared" si="430"/>
        <v>-103</v>
      </c>
      <c r="CT1225">
        <f t="shared" si="431"/>
        <v>131.01899999999995</v>
      </c>
      <c r="CU1225">
        <f t="shared" si="419"/>
        <v>2.5577414342629505</v>
      </c>
      <c r="CV1225" s="2">
        <f t="shared" si="432"/>
        <v>0.25739005046863728</v>
      </c>
      <c r="CW1225" s="1" t="s">
        <v>264</v>
      </c>
      <c r="CX1225" s="266" t="str">
        <f t="shared" si="407"/>
        <v>loc</v>
      </c>
      <c r="CY1225" t="s">
        <v>445</v>
      </c>
      <c r="DA1225" s="143"/>
      <c r="DB1225" s="143">
        <v>0</v>
      </c>
      <c r="DC1225" t="str">
        <f t="shared" si="408"/>
        <v>0</v>
      </c>
      <c r="DD1225">
        <v>0</v>
      </c>
      <c r="DE1225">
        <v>0</v>
      </c>
      <c r="DF1225">
        <v>0</v>
      </c>
      <c r="DG1225">
        <v>1</v>
      </c>
      <c r="DI1225">
        <f t="shared" si="427"/>
        <v>1</v>
      </c>
      <c r="DJ1225" t="str">
        <f t="shared" si="412"/>
        <v>TimberInput</v>
      </c>
      <c r="DK1225">
        <f t="shared" si="440"/>
        <v>0</v>
      </c>
      <c r="DL1225">
        <f t="shared" si="441"/>
        <v>0</v>
      </c>
      <c r="DM1225">
        <f t="shared" si="442"/>
        <v>0</v>
      </c>
      <c r="DN1225" t="str">
        <f t="shared" si="443"/>
        <v>Timber</v>
      </c>
      <c r="DO1225">
        <v>1</v>
      </c>
      <c r="DP1225" s="143">
        <v>0</v>
      </c>
      <c r="DQ1225" s="143">
        <v>0</v>
      </c>
      <c r="DR1225">
        <v>0</v>
      </c>
      <c r="DS1225" s="143">
        <v>0</v>
      </c>
      <c r="DT1225">
        <f t="shared" si="421"/>
        <v>1</v>
      </c>
      <c r="DU1225" s="143" t="str">
        <f t="shared" si="410"/>
        <v>self-calculated DF</v>
      </c>
      <c r="DV1225" s="143">
        <v>0</v>
      </c>
      <c r="DW1225" s="143">
        <v>1</v>
      </c>
      <c r="DX1225" s="143">
        <v>0</v>
      </c>
      <c r="DY1225" s="143">
        <v>1</v>
      </c>
      <c r="DZ1225">
        <v>0</v>
      </c>
      <c r="EA1225" s="143">
        <v>1</v>
      </c>
      <c r="EB1225" s="143">
        <v>1</v>
      </c>
      <c r="EC1225" s="143">
        <v>1</v>
      </c>
      <c r="ED1225" s="143">
        <v>0</v>
      </c>
      <c r="EE1225">
        <v>0</v>
      </c>
      <c r="EF1225">
        <v>0</v>
      </c>
      <c r="EG1225" s="143">
        <v>0</v>
      </c>
      <c r="EH1225" s="143">
        <v>0</v>
      </c>
      <c r="EI1225" s="2">
        <v>0</v>
      </c>
      <c r="EK1225" t="str">
        <f t="shared" si="444"/>
        <v/>
      </c>
      <c r="EL1225" t="str">
        <f t="shared" si="445"/>
        <v/>
      </c>
      <c r="EM1225" s="2" t="str">
        <f t="shared" si="409"/>
        <v/>
      </c>
      <c r="EP1225" t="str">
        <f>IF(ISNUMBER(BU1225),IF(ABS(BU1225-[1]QC_indicators!$B$2)&gt;3*[1]QC_indicators!$C$2,"C ratio",IF(ISNUMBER(BY1225),IF(ABS(BY1225-[1]QC_indicators!$B$1)&gt;3*[1]QC_indicators!$C$1,"DF","no"))),IF(ISNUMBER(BY1225),IF(ABS(BY1225-[1]QC_indicators!$B$1)&gt;3*[1]QC_indicators!$C$1,"DF","no")))</f>
        <v>no</v>
      </c>
      <c r="ER1225" s="296" t="s">
        <v>350</v>
      </c>
      <c r="ET1225" s="266" t="s">
        <v>3409</v>
      </c>
    </row>
    <row r="1226" spans="1:150" ht="15" hidden="1" customHeight="1">
      <c r="A1226" s="1" t="s">
        <v>880</v>
      </c>
      <c r="B1226" t="s">
        <v>1707</v>
      </c>
      <c r="C1226" t="s">
        <v>545</v>
      </c>
      <c r="D1226" t="s">
        <v>1708</v>
      </c>
      <c r="E1226" t="s">
        <v>1709</v>
      </c>
      <c r="F1226" t="s">
        <v>1710</v>
      </c>
      <c r="G1226" t="s">
        <v>1186</v>
      </c>
      <c r="H1226" t="s">
        <v>255</v>
      </c>
      <c r="I1226">
        <v>2021</v>
      </c>
      <c r="J1226">
        <v>8</v>
      </c>
      <c r="K1226" t="s">
        <v>1711</v>
      </c>
      <c r="M1226" t="str">
        <f t="shared" si="411"/>
        <v>Hart_2021</v>
      </c>
      <c r="N1226" s="266" t="s">
        <v>223</v>
      </c>
      <c r="O1226" s="171" t="s">
        <v>226</v>
      </c>
      <c r="P1226" t="s">
        <v>962</v>
      </c>
      <c r="Q1226" s="266" t="s">
        <v>390</v>
      </c>
      <c r="R1226" s="271" t="s">
        <v>1156</v>
      </c>
      <c r="S1226" s="299" t="s">
        <v>1712</v>
      </c>
      <c r="T1226" t="s">
        <v>1713</v>
      </c>
      <c r="U1226" t="s">
        <v>1714</v>
      </c>
      <c r="V1226">
        <v>0</v>
      </c>
      <c r="W1226">
        <v>0</v>
      </c>
      <c r="X1226">
        <v>0</v>
      </c>
      <c r="Y1226">
        <v>0</v>
      </c>
      <c r="Z1226">
        <v>0</v>
      </c>
      <c r="AA1226">
        <v>0</v>
      </c>
      <c r="AB1226">
        <v>0</v>
      </c>
      <c r="AC1226">
        <v>0</v>
      </c>
      <c r="AD1226">
        <v>0</v>
      </c>
      <c r="AE1226">
        <v>0</v>
      </c>
      <c r="AF1226">
        <v>0</v>
      </c>
      <c r="AG1226">
        <v>0</v>
      </c>
      <c r="AH1226">
        <v>0</v>
      </c>
      <c r="AI1226">
        <v>0</v>
      </c>
      <c r="AJ1226">
        <v>0</v>
      </c>
      <c r="AK1226">
        <v>1</v>
      </c>
      <c r="AL1226">
        <v>0</v>
      </c>
      <c r="AM1226">
        <v>0</v>
      </c>
      <c r="AN1226">
        <v>0</v>
      </c>
      <c r="AO1226">
        <v>0</v>
      </c>
      <c r="AP1226">
        <v>0</v>
      </c>
      <c r="AQ1226">
        <v>0</v>
      </c>
      <c r="AR1226">
        <v>0</v>
      </c>
      <c r="AS1226">
        <v>0</v>
      </c>
      <c r="AT1226">
        <v>0</v>
      </c>
      <c r="AU1226">
        <v>0</v>
      </c>
      <c r="AV1226">
        <v>0</v>
      </c>
      <c r="AW1226">
        <v>0</v>
      </c>
      <c r="AX1226" s="141">
        <f t="shared" si="435"/>
        <v>1</v>
      </c>
      <c r="AY1226" s="141">
        <f t="shared" si="399"/>
        <v>1</v>
      </c>
      <c r="AZ1226">
        <f t="shared" si="400"/>
        <v>0</v>
      </c>
      <c r="BA1226">
        <f t="shared" si="401"/>
        <v>0</v>
      </c>
      <c r="BB1226">
        <f t="shared" si="402"/>
        <v>1</v>
      </c>
      <c r="BC1226">
        <f t="shared" si="403"/>
        <v>0</v>
      </c>
      <c r="BD1226">
        <f t="shared" si="404"/>
        <v>0</v>
      </c>
      <c r="BE1226" t="str" cm="1">
        <f t="array" ref="BE1226">IF(AY1226=1,INDEX($V$7:$AL$7,MATCH(TRUE,INDEX($V1226:$AW1226&lt;&gt;0,),0)),IF(AY1226=0,INDEX($AM$7:$AW$7,MATCH(1,$AM1226:$AW1226,0)),IF(BF1226="Multiple strategies","mixed drivers",IF(BF1226="Supply chain","multiple supply","multiple silviculture"))))</f>
        <v>technologies/design switch</v>
      </c>
      <c r="BF1226" s="2" t="str" cm="1">
        <f t="array" ref="BF1226">IF(COUNTIF(AZ1226:BB1226,"&lt;&gt;0")=1,INDEX($V$4:$AW$4,MATCH(TRUE,INDEX($V1226:$AW1226&lt;&gt;0,),0)),IF(COUNTIF(AZ1226:BB1226,"&lt;&gt;0")=0,INDEX($AM$4:$AW$4,MATCH(1,$AM1226:$AW1226,0)),"Multiple strategies"))</f>
        <v>Technology</v>
      </c>
      <c r="BG1226" s="300" t="s">
        <v>230</v>
      </c>
      <c r="BH1226" s="272" t="s">
        <v>1715</v>
      </c>
      <c r="BI1226" s="272" t="s">
        <v>1716</v>
      </c>
      <c r="BJ1226" s="272" t="s">
        <v>1717</v>
      </c>
      <c r="BK1226">
        <v>0</v>
      </c>
      <c r="BL1226">
        <v>0.35042108887694512</v>
      </c>
      <c r="BM1226" t="s">
        <v>545</v>
      </c>
      <c r="BN1226">
        <f t="shared" si="413"/>
        <v>0.35042108887694512</v>
      </c>
      <c r="BO1226" s="266">
        <f t="shared" ref="BO1226:BO1231" si="446">BN1226*tC_to_m3</f>
        <v>1.5215852751929879</v>
      </c>
      <c r="BP1226" s="155" t="s">
        <v>396</v>
      </c>
      <c r="BQ1226" s="155" t="s">
        <v>1718</v>
      </c>
      <c r="BR1226" s="266" t="s">
        <v>1719</v>
      </c>
      <c r="BS1226">
        <v>226.40900983112437</v>
      </c>
      <c r="BT1226">
        <v>80.733700144141935</v>
      </c>
      <c r="BU1226" s="144">
        <v>0.35658342485734196</v>
      </c>
      <c r="BV1226" s="152">
        <f t="shared" si="437"/>
        <v>-145.67530968698242</v>
      </c>
      <c r="BX1226">
        <f t="shared" ref="BX1226:BX1236" si="447">BV1226/1000</f>
        <v>-0.14567530968698242</v>
      </c>
      <c r="BY1226">
        <f t="shared" si="434"/>
        <v>-9.5739168919406051E-2</v>
      </c>
      <c r="BZ1226">
        <v>0</v>
      </c>
      <c r="CA1226">
        <v>0</v>
      </c>
      <c r="CB1226">
        <v>0</v>
      </c>
      <c r="CC1226">
        <v>0</v>
      </c>
      <c r="CD1226">
        <v>0</v>
      </c>
      <c r="CE1226">
        <v>0</v>
      </c>
      <c r="CF1226">
        <v>0</v>
      </c>
      <c r="CG1226">
        <v>0</v>
      </c>
      <c r="CH1226">
        <v>0</v>
      </c>
      <c r="CI1226">
        <v>0</v>
      </c>
      <c r="CJ1226">
        <v>0</v>
      </c>
      <c r="CK1226">
        <v>0</v>
      </c>
      <c r="CL1226">
        <v>0</v>
      </c>
      <c r="CM1226">
        <v>0</v>
      </c>
      <c r="CN1226" t="str">
        <f t="shared" si="439"/>
        <v>refOK</v>
      </c>
      <c r="CO1226">
        <f t="shared" si="425"/>
        <v>0</v>
      </c>
      <c r="CP1226">
        <f t="shared" si="426"/>
        <v>0.35042108887694512</v>
      </c>
      <c r="CQ1226">
        <f t="shared" si="417"/>
        <v>1.5215852751929879</v>
      </c>
      <c r="CR1226">
        <f t="shared" si="429"/>
        <v>-226.40900983112437</v>
      </c>
      <c r="CS1226">
        <f t="shared" si="430"/>
        <v>-80.733700144141935</v>
      </c>
      <c r="CT1226">
        <f t="shared" si="431"/>
        <v>0.14567530968698242</v>
      </c>
      <c r="CU1226">
        <f t="shared" si="419"/>
        <v>9.5739168919406051E-2</v>
      </c>
      <c r="CV1226" s="2">
        <f t="shared" si="432"/>
        <v>0.64341657514265793</v>
      </c>
      <c r="CW1226" s="265" t="s">
        <v>1205</v>
      </c>
      <c r="CX1226" s="266" t="str">
        <f t="shared" si="407"/>
        <v>reg</v>
      </c>
      <c r="CY1226" s="155" t="s">
        <v>600</v>
      </c>
      <c r="CZ1226">
        <v>0</v>
      </c>
      <c r="DA1226">
        <v>0</v>
      </c>
      <c r="DB1226">
        <v>0</v>
      </c>
      <c r="DC1226" t="str">
        <f t="shared" si="408"/>
        <v>0</v>
      </c>
      <c r="DD1226">
        <v>0</v>
      </c>
      <c r="DE1226">
        <v>0</v>
      </c>
      <c r="DF1226">
        <v>0</v>
      </c>
      <c r="DG1226">
        <v>1</v>
      </c>
      <c r="DH1226">
        <v>0</v>
      </c>
      <c r="DI1226">
        <v>1</v>
      </c>
      <c r="DJ1226" t="str">
        <f t="shared" si="412"/>
        <v>TimberInput</v>
      </c>
      <c r="DK1226">
        <f t="shared" si="440"/>
        <v>0</v>
      </c>
      <c r="DL1226">
        <f t="shared" si="441"/>
        <v>0</v>
      </c>
      <c r="DM1226">
        <f t="shared" si="442"/>
        <v>0</v>
      </c>
      <c r="DN1226" t="str">
        <f t="shared" si="443"/>
        <v>Timber</v>
      </c>
      <c r="DO1226">
        <v>0</v>
      </c>
      <c r="DP1226">
        <v>0</v>
      </c>
      <c r="DQ1226">
        <v>0</v>
      </c>
      <c r="DR1226">
        <v>0</v>
      </c>
      <c r="DS1226">
        <v>0</v>
      </c>
      <c r="DT1226">
        <f t="shared" si="421"/>
        <v>0</v>
      </c>
      <c r="DU1226" s="143" t="s">
        <v>964</v>
      </c>
      <c r="DV1226">
        <v>0</v>
      </c>
      <c r="DW1226">
        <v>0</v>
      </c>
      <c r="DX1226">
        <v>0</v>
      </c>
      <c r="DY1226">
        <v>0</v>
      </c>
      <c r="DZ1226">
        <v>0</v>
      </c>
      <c r="EA1226" s="143">
        <v>0</v>
      </c>
      <c r="EB1226">
        <v>0</v>
      </c>
      <c r="EC1226">
        <v>1</v>
      </c>
      <c r="ED1226">
        <v>0</v>
      </c>
      <c r="EE1226">
        <v>0</v>
      </c>
      <c r="EF1226">
        <v>0</v>
      </c>
      <c r="EG1226">
        <v>0</v>
      </c>
      <c r="EH1226">
        <v>0</v>
      </c>
      <c r="EI1226" s="2">
        <v>0</v>
      </c>
      <c r="EK1226" t="str">
        <f t="shared" si="444"/>
        <v/>
      </c>
      <c r="EL1226" t="str">
        <f t="shared" si="445"/>
        <v/>
      </c>
      <c r="EM1226" s="2" t="str">
        <f t="shared" si="409"/>
        <v/>
      </c>
      <c r="EP1226" t="str">
        <f>IF(ISNUMBER(BU1226),IF(ABS(BU1226-[1]QC_indicators!$B$2)&gt;3*[1]QC_indicators!$C$2,"C ratio",IF(ISNUMBER(BY1226),IF(ABS(BY1226-[1]QC_indicators!$B$1)&gt;3*[1]QC_indicators!$C$1,"DF","no"))),IF(ISNUMBER(BY1226),IF(ABS(BY1226-[1]QC_indicators!$B$1)&gt;3*[1]QC_indicators!$C$1,"DF","no")))</f>
        <v>no</v>
      </c>
      <c r="ET1226" s="266" t="s">
        <v>3409</v>
      </c>
    </row>
    <row r="1227" spans="1:150" ht="15" hidden="1" customHeight="1">
      <c r="A1227" s="1" t="s">
        <v>880</v>
      </c>
      <c r="B1227" t="s">
        <v>1707</v>
      </c>
      <c r="C1227" t="s">
        <v>545</v>
      </c>
      <c r="D1227" t="s">
        <v>1708</v>
      </c>
      <c r="E1227" t="s">
        <v>1709</v>
      </c>
      <c r="F1227" t="s">
        <v>1710</v>
      </c>
      <c r="G1227" t="s">
        <v>1186</v>
      </c>
      <c r="H1227" t="s">
        <v>255</v>
      </c>
      <c r="I1227">
        <v>2021</v>
      </c>
      <c r="J1227">
        <v>8</v>
      </c>
      <c r="K1227" t="s">
        <v>1711</v>
      </c>
      <c r="M1227" t="str">
        <f t="shared" si="411"/>
        <v>Hart_2021</v>
      </c>
      <c r="N1227" s="266" t="s">
        <v>223</v>
      </c>
      <c r="O1227" s="171" t="s">
        <v>226</v>
      </c>
      <c r="P1227" t="s">
        <v>962</v>
      </c>
      <c r="Q1227" s="266" t="s">
        <v>390</v>
      </c>
      <c r="R1227" s="271" t="s">
        <v>1156</v>
      </c>
      <c r="S1227" s="299" t="s">
        <v>1712</v>
      </c>
      <c r="T1227" t="s">
        <v>1713</v>
      </c>
      <c r="U1227" t="s">
        <v>1714</v>
      </c>
      <c r="V1227">
        <v>0</v>
      </c>
      <c r="W1227">
        <v>0</v>
      </c>
      <c r="X1227">
        <v>0</v>
      </c>
      <c r="Y1227">
        <v>0</v>
      </c>
      <c r="Z1227">
        <v>0</v>
      </c>
      <c r="AA1227">
        <v>0</v>
      </c>
      <c r="AB1227">
        <v>0</v>
      </c>
      <c r="AC1227">
        <v>0</v>
      </c>
      <c r="AD1227">
        <v>0</v>
      </c>
      <c r="AE1227">
        <v>0</v>
      </c>
      <c r="AF1227">
        <v>0</v>
      </c>
      <c r="AG1227">
        <v>0</v>
      </c>
      <c r="AH1227">
        <v>0</v>
      </c>
      <c r="AI1227">
        <v>0</v>
      </c>
      <c r="AJ1227">
        <v>0</v>
      </c>
      <c r="AK1227">
        <v>1</v>
      </c>
      <c r="AL1227">
        <v>0</v>
      </c>
      <c r="AM1227">
        <v>0</v>
      </c>
      <c r="AN1227">
        <v>0</v>
      </c>
      <c r="AO1227">
        <v>0</v>
      </c>
      <c r="AP1227">
        <v>0</v>
      </c>
      <c r="AQ1227">
        <v>0</v>
      </c>
      <c r="AR1227">
        <v>0</v>
      </c>
      <c r="AS1227">
        <v>0</v>
      </c>
      <c r="AT1227">
        <v>0</v>
      </c>
      <c r="AU1227">
        <v>0</v>
      </c>
      <c r="AV1227">
        <v>0</v>
      </c>
      <c r="AW1227">
        <v>0</v>
      </c>
      <c r="AX1227" s="141">
        <f t="shared" si="435"/>
        <v>1</v>
      </c>
      <c r="AY1227" s="141">
        <f t="shared" si="399"/>
        <v>1</v>
      </c>
      <c r="AZ1227">
        <f t="shared" si="400"/>
        <v>0</v>
      </c>
      <c r="BA1227">
        <f t="shared" si="401"/>
        <v>0</v>
      </c>
      <c r="BB1227">
        <f t="shared" si="402"/>
        <v>1</v>
      </c>
      <c r="BC1227">
        <f t="shared" si="403"/>
        <v>0</v>
      </c>
      <c r="BD1227">
        <f t="shared" si="404"/>
        <v>0</v>
      </c>
      <c r="BE1227" t="str" cm="1">
        <f t="array" ref="BE1227">IF(AY1227=1,INDEX($V$7:$AL$7,MATCH(TRUE,INDEX($V1227:$AW1227&lt;&gt;0,),0)),IF(AY1227=0,INDEX($AM$7:$AW$7,MATCH(1,$AM1227:$AW1227,0)),IF(BF1227="Multiple strategies","mixed drivers",IF(BF1227="Supply chain","multiple supply","multiple silviculture"))))</f>
        <v>technologies/design switch</v>
      </c>
      <c r="BF1227" s="2" t="str" cm="1">
        <f t="array" ref="BF1227">IF(COUNTIF(AZ1227:BB1227,"&lt;&gt;0")=1,INDEX($V$4:$AW$4,MATCH(TRUE,INDEX($V1227:$AW1227&lt;&gt;0,),0)),IF(COUNTIF(AZ1227:BB1227,"&lt;&gt;0")=0,INDEX($AM$4:$AW$4,MATCH(1,$AM1227:$AW1227,0)),"Multiple strategies"))</f>
        <v>Technology</v>
      </c>
      <c r="BG1227" s="300" t="s">
        <v>230</v>
      </c>
      <c r="BH1227" s="272" t="s">
        <v>1715</v>
      </c>
      <c r="BI1227" s="272" t="s">
        <v>1716</v>
      </c>
      <c r="BJ1227" s="272" t="s">
        <v>1717</v>
      </c>
      <c r="BK1227">
        <v>0</v>
      </c>
      <c r="BL1227">
        <v>0.35042108887694512</v>
      </c>
      <c r="BM1227" t="s">
        <v>545</v>
      </c>
      <c r="BN1227">
        <f t="shared" si="413"/>
        <v>0.35042108887694512</v>
      </c>
      <c r="BO1227" s="266">
        <f t="shared" si="446"/>
        <v>1.5215852751929879</v>
      </c>
      <c r="BP1227" s="155" t="s">
        <v>396</v>
      </c>
      <c r="BQ1227" s="155" t="s">
        <v>1718</v>
      </c>
      <c r="BR1227" s="266" t="s">
        <v>1719</v>
      </c>
      <c r="BS1227">
        <v>222.9409446307707</v>
      </c>
      <c r="BT1227">
        <v>80.733700144141935</v>
      </c>
      <c r="BU1227" s="144">
        <v>0.36213043000177064</v>
      </c>
      <c r="BV1227" s="152">
        <f t="shared" si="437"/>
        <v>-142.20724448662878</v>
      </c>
      <c r="BX1227">
        <f t="shared" si="447"/>
        <v>-0.14220724448662878</v>
      </c>
      <c r="BY1227">
        <f t="shared" si="434"/>
        <v>-9.345992420213986E-2</v>
      </c>
      <c r="BZ1227">
        <v>0</v>
      </c>
      <c r="CA1227">
        <v>0</v>
      </c>
      <c r="CB1227">
        <v>0</v>
      </c>
      <c r="CC1227">
        <v>0</v>
      </c>
      <c r="CD1227">
        <v>0</v>
      </c>
      <c r="CE1227">
        <v>0</v>
      </c>
      <c r="CF1227">
        <v>0</v>
      </c>
      <c r="CG1227">
        <v>0</v>
      </c>
      <c r="CH1227">
        <v>0</v>
      </c>
      <c r="CI1227">
        <v>0</v>
      </c>
      <c r="CJ1227">
        <v>0</v>
      </c>
      <c r="CK1227">
        <v>0</v>
      </c>
      <c r="CL1227">
        <v>0</v>
      </c>
      <c r="CM1227">
        <v>0</v>
      </c>
      <c r="CN1227" t="str">
        <f t="shared" si="439"/>
        <v>refOK</v>
      </c>
      <c r="CO1227">
        <f t="shared" si="425"/>
        <v>0</v>
      </c>
      <c r="CP1227">
        <f t="shared" si="426"/>
        <v>0.35042108887694512</v>
      </c>
      <c r="CQ1227">
        <f t="shared" si="417"/>
        <v>1.5215852751929879</v>
      </c>
      <c r="CR1227">
        <f t="shared" si="429"/>
        <v>-222.9409446307707</v>
      </c>
      <c r="CS1227">
        <f t="shared" si="430"/>
        <v>-80.733700144141935</v>
      </c>
      <c r="CT1227">
        <f t="shared" si="431"/>
        <v>0.14220724448662878</v>
      </c>
      <c r="CU1227">
        <f t="shared" si="419"/>
        <v>9.345992420213986E-2</v>
      </c>
      <c r="CV1227" s="2">
        <f t="shared" si="432"/>
        <v>0.63786956999822941</v>
      </c>
      <c r="CW1227" s="265" t="s">
        <v>1205</v>
      </c>
      <c r="CX1227" s="266" t="str">
        <f t="shared" si="407"/>
        <v>reg</v>
      </c>
      <c r="CY1227" s="155" t="s">
        <v>600</v>
      </c>
      <c r="CZ1227">
        <v>0</v>
      </c>
      <c r="DA1227">
        <v>0</v>
      </c>
      <c r="DB1227">
        <v>0</v>
      </c>
      <c r="DC1227" t="str">
        <f t="shared" si="408"/>
        <v>0</v>
      </c>
      <c r="DD1227">
        <v>0</v>
      </c>
      <c r="DE1227">
        <v>0</v>
      </c>
      <c r="DF1227">
        <v>0</v>
      </c>
      <c r="DG1227">
        <v>1</v>
      </c>
      <c r="DH1227">
        <v>0</v>
      </c>
      <c r="DI1227">
        <v>1</v>
      </c>
      <c r="DJ1227" t="str">
        <f t="shared" si="412"/>
        <v>TimberInput</v>
      </c>
      <c r="DK1227">
        <f t="shared" si="440"/>
        <v>0</v>
      </c>
      <c r="DL1227">
        <f t="shared" si="441"/>
        <v>0</v>
      </c>
      <c r="DM1227">
        <f t="shared" si="442"/>
        <v>0</v>
      </c>
      <c r="DN1227" t="str">
        <f t="shared" si="443"/>
        <v>Timber</v>
      </c>
      <c r="DO1227">
        <v>0</v>
      </c>
      <c r="DP1227">
        <v>0</v>
      </c>
      <c r="DQ1227">
        <v>0</v>
      </c>
      <c r="DR1227">
        <v>0</v>
      </c>
      <c r="DS1227">
        <v>0</v>
      </c>
      <c r="DT1227">
        <f t="shared" si="421"/>
        <v>0</v>
      </c>
      <c r="DU1227" s="143" t="s">
        <v>964</v>
      </c>
      <c r="DV1227">
        <v>0</v>
      </c>
      <c r="DW1227">
        <v>0</v>
      </c>
      <c r="DX1227">
        <v>0</v>
      </c>
      <c r="DY1227">
        <v>0</v>
      </c>
      <c r="DZ1227">
        <v>0</v>
      </c>
      <c r="EA1227" s="143">
        <v>0</v>
      </c>
      <c r="EB1227">
        <v>0</v>
      </c>
      <c r="EC1227">
        <v>1</v>
      </c>
      <c r="ED1227">
        <v>1</v>
      </c>
      <c r="EE1227">
        <v>0</v>
      </c>
      <c r="EF1227">
        <v>0</v>
      </c>
      <c r="EG1227">
        <v>0</v>
      </c>
      <c r="EH1227">
        <v>0</v>
      </c>
      <c r="EI1227" s="2">
        <v>0</v>
      </c>
      <c r="EK1227" t="str">
        <f t="shared" si="444"/>
        <v/>
      </c>
      <c r="EL1227" t="str">
        <f t="shared" si="445"/>
        <v/>
      </c>
      <c r="EM1227" s="2" t="str">
        <f t="shared" si="409"/>
        <v>Technology approach</v>
      </c>
      <c r="EP1227" t="str">
        <f>IF(ISNUMBER(BU1227),IF(ABS(BU1227-[1]QC_indicators!$B$2)&gt;3*[1]QC_indicators!$C$2,"C ratio",IF(ISNUMBER(BY1227),IF(ABS(BY1227-[1]QC_indicators!$B$1)&gt;3*[1]QC_indicators!$C$1,"DF","no"))),IF(ISNUMBER(BY1227),IF(ABS(BY1227-[1]QC_indicators!$B$1)&gt;3*[1]QC_indicators!$C$1,"DF","no")))</f>
        <v>no</v>
      </c>
      <c r="ET1227" s="266" t="s">
        <v>3409</v>
      </c>
    </row>
    <row r="1228" spans="1:150" ht="15" hidden="1" customHeight="1">
      <c r="A1228" s="1" t="s">
        <v>880</v>
      </c>
      <c r="B1228" t="s">
        <v>1707</v>
      </c>
      <c r="C1228" t="s">
        <v>545</v>
      </c>
      <c r="D1228" t="s">
        <v>1708</v>
      </c>
      <c r="E1228" t="s">
        <v>1709</v>
      </c>
      <c r="F1228" t="s">
        <v>1710</v>
      </c>
      <c r="G1228" t="s">
        <v>1186</v>
      </c>
      <c r="H1228" t="s">
        <v>255</v>
      </c>
      <c r="I1228">
        <v>2021</v>
      </c>
      <c r="J1228">
        <v>8</v>
      </c>
      <c r="K1228" t="s">
        <v>1711</v>
      </c>
      <c r="M1228" t="str">
        <f t="shared" si="411"/>
        <v>Hart_2021</v>
      </c>
      <c r="N1228" s="266" t="s">
        <v>223</v>
      </c>
      <c r="O1228" s="171" t="s">
        <v>226</v>
      </c>
      <c r="P1228" t="s">
        <v>962</v>
      </c>
      <c r="Q1228" s="266" t="s">
        <v>390</v>
      </c>
      <c r="R1228" s="271" t="s">
        <v>1156</v>
      </c>
      <c r="S1228" s="299" t="s">
        <v>1712</v>
      </c>
      <c r="T1228" t="s">
        <v>1713</v>
      </c>
      <c r="U1228" t="s">
        <v>1714</v>
      </c>
      <c r="V1228">
        <v>0</v>
      </c>
      <c r="W1228">
        <v>0</v>
      </c>
      <c r="X1228">
        <v>0</v>
      </c>
      <c r="Y1228">
        <v>0</v>
      </c>
      <c r="Z1228">
        <v>0</v>
      </c>
      <c r="AA1228">
        <v>0</v>
      </c>
      <c r="AB1228">
        <v>0</v>
      </c>
      <c r="AC1228">
        <v>0</v>
      </c>
      <c r="AD1228">
        <v>0</v>
      </c>
      <c r="AE1228">
        <v>0</v>
      </c>
      <c r="AF1228">
        <v>0</v>
      </c>
      <c r="AG1228">
        <v>0</v>
      </c>
      <c r="AH1228">
        <v>0</v>
      </c>
      <c r="AI1228">
        <v>0</v>
      </c>
      <c r="AJ1228">
        <v>0</v>
      </c>
      <c r="AK1228">
        <v>1</v>
      </c>
      <c r="AL1228">
        <v>0</v>
      </c>
      <c r="AM1228">
        <v>0</v>
      </c>
      <c r="AN1228">
        <v>0</v>
      </c>
      <c r="AO1228">
        <v>0</v>
      </c>
      <c r="AP1228">
        <v>0</v>
      </c>
      <c r="AQ1228">
        <v>0</v>
      </c>
      <c r="AR1228">
        <v>0</v>
      </c>
      <c r="AS1228">
        <v>0</v>
      </c>
      <c r="AT1228">
        <v>0</v>
      </c>
      <c r="AU1228">
        <v>0</v>
      </c>
      <c r="AV1228">
        <v>0</v>
      </c>
      <c r="AW1228">
        <v>0</v>
      </c>
      <c r="AX1228" s="141">
        <f t="shared" si="435"/>
        <v>1</v>
      </c>
      <c r="AY1228" s="141">
        <f t="shared" si="399"/>
        <v>1</v>
      </c>
      <c r="AZ1228">
        <f t="shared" si="400"/>
        <v>0</v>
      </c>
      <c r="BA1228">
        <f t="shared" si="401"/>
        <v>0</v>
      </c>
      <c r="BB1228">
        <f t="shared" si="402"/>
        <v>1</v>
      </c>
      <c r="BC1228">
        <f t="shared" si="403"/>
        <v>0</v>
      </c>
      <c r="BD1228">
        <f t="shared" si="404"/>
        <v>0</v>
      </c>
      <c r="BE1228" t="str" cm="1">
        <f t="array" ref="BE1228">IF(AY1228=1,INDEX($V$7:$AL$7,MATCH(TRUE,INDEX($V1228:$AW1228&lt;&gt;0,),0)),IF(AY1228=0,INDEX($AM$7:$AW$7,MATCH(1,$AM1228:$AW1228,0)),IF(BF1228="Multiple strategies","mixed drivers",IF(BF1228="Supply chain","multiple supply","multiple silviculture"))))</f>
        <v>technologies/design switch</v>
      </c>
      <c r="BF1228" s="2" t="str" cm="1">
        <f t="array" ref="BF1228">IF(COUNTIF(AZ1228:BB1228,"&lt;&gt;0")=1,INDEX($V$4:$AW$4,MATCH(TRUE,INDEX($V1228:$AW1228&lt;&gt;0,),0)),IF(COUNTIF(AZ1228:BB1228,"&lt;&gt;0")=0,INDEX($AM$4:$AW$4,MATCH(1,$AM1228:$AW1228,0)),"Multiple strategies"))</f>
        <v>Technology</v>
      </c>
      <c r="BG1228" s="300" t="s">
        <v>230</v>
      </c>
      <c r="BH1228" s="272" t="s">
        <v>1715</v>
      </c>
      <c r="BI1228" s="272" t="s">
        <v>1716</v>
      </c>
      <c r="BJ1228" s="272" t="s">
        <v>1717</v>
      </c>
      <c r="BK1228">
        <v>0</v>
      </c>
      <c r="BL1228">
        <v>0.35042108887694512</v>
      </c>
      <c r="BM1228" t="s">
        <v>545</v>
      </c>
      <c r="BN1228">
        <f t="shared" si="413"/>
        <v>0.35042108887694512</v>
      </c>
      <c r="BO1228" s="266">
        <f t="shared" si="446"/>
        <v>1.5215852751929879</v>
      </c>
      <c r="BP1228" s="155" t="s">
        <v>396</v>
      </c>
      <c r="BQ1228" s="155" t="s">
        <v>1718</v>
      </c>
      <c r="BR1228" s="266" t="s">
        <v>1719</v>
      </c>
      <c r="BS1228">
        <v>234.55431683971065</v>
      </c>
      <c r="BT1228">
        <v>119.35798727672741</v>
      </c>
      <c r="BU1228" s="144">
        <v>0.50887141573392602</v>
      </c>
      <c r="BV1228" s="152">
        <f t="shared" si="437"/>
        <v>-115.19632956298324</v>
      </c>
      <c r="BX1228">
        <f t="shared" si="447"/>
        <v>-0.11519632956298324</v>
      </c>
      <c r="BY1228">
        <f t="shared" si="434"/>
        <v>-7.5708099599197623E-2</v>
      </c>
      <c r="BZ1228">
        <v>0</v>
      </c>
      <c r="CA1228">
        <v>0</v>
      </c>
      <c r="CB1228">
        <v>0</v>
      </c>
      <c r="CC1228">
        <v>0</v>
      </c>
      <c r="CD1228">
        <v>0</v>
      </c>
      <c r="CE1228">
        <v>0</v>
      </c>
      <c r="CF1228">
        <v>0</v>
      </c>
      <c r="CG1228">
        <v>0</v>
      </c>
      <c r="CH1228">
        <v>0</v>
      </c>
      <c r="CI1228">
        <v>0</v>
      </c>
      <c r="CJ1228">
        <v>0</v>
      </c>
      <c r="CK1228">
        <v>0</v>
      </c>
      <c r="CL1228">
        <v>0</v>
      </c>
      <c r="CM1228">
        <v>0</v>
      </c>
      <c r="CN1228" t="str">
        <f t="shared" si="439"/>
        <v>refOK</v>
      </c>
      <c r="CO1228">
        <f t="shared" si="425"/>
        <v>0</v>
      </c>
      <c r="CP1228">
        <f t="shared" si="426"/>
        <v>0.35042108887694512</v>
      </c>
      <c r="CQ1228">
        <f t="shared" si="417"/>
        <v>1.5215852751929879</v>
      </c>
      <c r="CR1228">
        <f t="shared" si="429"/>
        <v>-234.55431683971065</v>
      </c>
      <c r="CS1228">
        <f t="shared" si="430"/>
        <v>-119.35798727672741</v>
      </c>
      <c r="CT1228">
        <f t="shared" si="431"/>
        <v>0.11519632956298324</v>
      </c>
      <c r="CU1228">
        <f t="shared" si="419"/>
        <v>7.5708099599197623E-2</v>
      </c>
      <c r="CV1228" s="2">
        <f t="shared" si="432"/>
        <v>0.49112858426607392</v>
      </c>
      <c r="CW1228" s="265" t="s">
        <v>1205</v>
      </c>
      <c r="CX1228" s="266" t="str">
        <f t="shared" si="407"/>
        <v>reg</v>
      </c>
      <c r="CY1228" s="155" t="s">
        <v>600</v>
      </c>
      <c r="CZ1228">
        <v>0</v>
      </c>
      <c r="DA1228">
        <v>0</v>
      </c>
      <c r="DB1228">
        <v>0</v>
      </c>
      <c r="DC1228" t="str">
        <f t="shared" si="408"/>
        <v>0</v>
      </c>
      <c r="DD1228">
        <v>0</v>
      </c>
      <c r="DE1228">
        <v>0</v>
      </c>
      <c r="DF1228">
        <v>0</v>
      </c>
      <c r="DG1228">
        <v>1</v>
      </c>
      <c r="DH1228">
        <v>0</v>
      </c>
      <c r="DI1228">
        <v>1</v>
      </c>
      <c r="DJ1228" t="str">
        <f t="shared" si="412"/>
        <v>TimberInput</v>
      </c>
      <c r="DK1228">
        <f t="shared" si="440"/>
        <v>0</v>
      </c>
      <c r="DL1228">
        <f t="shared" si="441"/>
        <v>0</v>
      </c>
      <c r="DM1228">
        <f t="shared" si="442"/>
        <v>0</v>
      </c>
      <c r="DN1228" t="str">
        <f t="shared" si="443"/>
        <v>Timber</v>
      </c>
      <c r="DO1228">
        <v>0</v>
      </c>
      <c r="DP1228">
        <v>0</v>
      </c>
      <c r="DQ1228">
        <v>0</v>
      </c>
      <c r="DR1228">
        <v>0</v>
      </c>
      <c r="DS1228">
        <v>0</v>
      </c>
      <c r="DT1228">
        <f t="shared" si="421"/>
        <v>0</v>
      </c>
      <c r="DU1228" s="143" t="s">
        <v>964</v>
      </c>
      <c r="DV1228">
        <v>0</v>
      </c>
      <c r="DW1228">
        <v>0</v>
      </c>
      <c r="DX1228">
        <v>0</v>
      </c>
      <c r="DY1228">
        <v>0</v>
      </c>
      <c r="DZ1228">
        <v>0</v>
      </c>
      <c r="EA1228" s="143">
        <v>0</v>
      </c>
      <c r="EB1228">
        <v>0</v>
      </c>
      <c r="EC1228">
        <v>1</v>
      </c>
      <c r="ED1228">
        <v>1</v>
      </c>
      <c r="EE1228">
        <v>1</v>
      </c>
      <c r="EF1228">
        <v>0</v>
      </c>
      <c r="EG1228">
        <v>0</v>
      </c>
      <c r="EH1228">
        <v>0</v>
      </c>
      <c r="EI1228" s="2">
        <v>0</v>
      </c>
      <c r="EK1228" t="str">
        <f t="shared" si="444"/>
        <v/>
      </c>
      <c r="EL1228" t="str">
        <f t="shared" si="445"/>
        <v/>
      </c>
      <c r="EM1228" s="2" t="str">
        <f t="shared" si="409"/>
        <v>Technology approach</v>
      </c>
      <c r="EP1228" t="str">
        <f>IF(ISNUMBER(BU1228),IF(ABS(BU1228-[1]QC_indicators!$B$2)&gt;3*[1]QC_indicators!$C$2,"C ratio",IF(ISNUMBER(BY1228),IF(ABS(BY1228-[1]QC_indicators!$B$1)&gt;3*[1]QC_indicators!$C$1,"DF","no"))),IF(ISNUMBER(BY1228),IF(ABS(BY1228-[1]QC_indicators!$B$1)&gt;3*[1]QC_indicators!$C$1,"DF","no")))</f>
        <v>no</v>
      </c>
      <c r="ET1228" s="266" t="s">
        <v>3409</v>
      </c>
    </row>
    <row r="1229" spans="1:150" ht="15" hidden="1" customHeight="1">
      <c r="A1229" s="1" t="s">
        <v>880</v>
      </c>
      <c r="B1229" t="s">
        <v>1707</v>
      </c>
      <c r="C1229" t="s">
        <v>545</v>
      </c>
      <c r="D1229" t="s">
        <v>1708</v>
      </c>
      <c r="E1229" t="s">
        <v>1709</v>
      </c>
      <c r="F1229" t="s">
        <v>1710</v>
      </c>
      <c r="G1229" t="s">
        <v>1186</v>
      </c>
      <c r="H1229" t="s">
        <v>255</v>
      </c>
      <c r="I1229">
        <v>2021</v>
      </c>
      <c r="J1229">
        <v>8</v>
      </c>
      <c r="K1229" t="s">
        <v>1711</v>
      </c>
      <c r="M1229" t="str">
        <f t="shared" si="411"/>
        <v>Hart_2021</v>
      </c>
      <c r="N1229" s="266" t="s">
        <v>223</v>
      </c>
      <c r="O1229" s="171" t="s">
        <v>226</v>
      </c>
      <c r="P1229" t="s">
        <v>962</v>
      </c>
      <c r="Q1229" s="266" t="s">
        <v>390</v>
      </c>
      <c r="R1229" s="271" t="s">
        <v>1156</v>
      </c>
      <c r="S1229" s="299" t="s">
        <v>1712</v>
      </c>
      <c r="T1229" s="266" t="s">
        <v>1720</v>
      </c>
      <c r="U1229" t="s">
        <v>1714</v>
      </c>
      <c r="V1229">
        <v>0</v>
      </c>
      <c r="W1229">
        <v>0</v>
      </c>
      <c r="X1229">
        <v>0</v>
      </c>
      <c r="Y1229">
        <v>0</v>
      </c>
      <c r="Z1229">
        <v>0</v>
      </c>
      <c r="AA1229">
        <v>0</v>
      </c>
      <c r="AB1229">
        <v>0</v>
      </c>
      <c r="AC1229">
        <v>0</v>
      </c>
      <c r="AD1229">
        <v>0</v>
      </c>
      <c r="AE1229">
        <v>0</v>
      </c>
      <c r="AF1229">
        <v>0</v>
      </c>
      <c r="AG1229">
        <v>0</v>
      </c>
      <c r="AH1229">
        <v>0</v>
      </c>
      <c r="AI1229">
        <v>0</v>
      </c>
      <c r="AJ1229">
        <v>0</v>
      </c>
      <c r="AK1229">
        <v>1</v>
      </c>
      <c r="AL1229">
        <v>0</v>
      </c>
      <c r="AM1229">
        <v>0</v>
      </c>
      <c r="AN1229">
        <v>0</v>
      </c>
      <c r="AO1229">
        <v>0</v>
      </c>
      <c r="AP1229">
        <v>0</v>
      </c>
      <c r="AQ1229">
        <v>0</v>
      </c>
      <c r="AR1229">
        <v>0</v>
      </c>
      <c r="AS1229">
        <v>0</v>
      </c>
      <c r="AT1229">
        <v>0</v>
      </c>
      <c r="AU1229">
        <v>0</v>
      </c>
      <c r="AV1229">
        <v>0</v>
      </c>
      <c r="AW1229">
        <v>0</v>
      </c>
      <c r="AX1229" s="141">
        <f t="shared" si="435"/>
        <v>1</v>
      </c>
      <c r="AY1229" s="141">
        <f t="shared" si="399"/>
        <v>1</v>
      </c>
      <c r="AZ1229">
        <f t="shared" si="400"/>
        <v>0</v>
      </c>
      <c r="BA1229">
        <f t="shared" si="401"/>
        <v>0</v>
      </c>
      <c r="BB1229">
        <f t="shared" si="402"/>
        <v>1</v>
      </c>
      <c r="BC1229">
        <f t="shared" si="403"/>
        <v>0</v>
      </c>
      <c r="BD1229">
        <f t="shared" si="404"/>
        <v>0</v>
      </c>
      <c r="BE1229" t="str" cm="1">
        <f t="array" ref="BE1229">IF(AY1229=1,INDEX($V$7:$AL$7,MATCH(TRUE,INDEX($V1229:$AW1229&lt;&gt;0,),0)),IF(AY1229=0,INDEX($AM$7:$AW$7,MATCH(1,$AM1229:$AW1229,0)),IF(BF1229="Multiple strategies","mixed drivers",IF(BF1229="Supply chain","multiple supply","multiple silviculture"))))</f>
        <v>technologies/design switch</v>
      </c>
      <c r="BF1229" s="2" t="str" cm="1">
        <f t="array" ref="BF1229">IF(COUNTIF(AZ1229:BB1229,"&lt;&gt;0")=1,INDEX($V$4:$AW$4,MATCH(TRUE,INDEX($V1229:$AW1229&lt;&gt;0,),0)),IF(COUNTIF(AZ1229:BB1229,"&lt;&gt;0")=0,INDEX($AM$4:$AW$4,MATCH(1,$AM1229:$AW1229,0)),"Multiple strategies"))</f>
        <v>Technology</v>
      </c>
      <c r="BG1229" s="300" t="s">
        <v>230</v>
      </c>
      <c r="BH1229" s="272" t="s">
        <v>1715</v>
      </c>
      <c r="BI1229" s="272" t="s">
        <v>1716</v>
      </c>
      <c r="BJ1229" s="272" t="s">
        <v>1717</v>
      </c>
      <c r="BK1229">
        <v>0</v>
      </c>
      <c r="BL1229">
        <v>0.35042108887694512</v>
      </c>
      <c r="BM1229" t="s">
        <v>545</v>
      </c>
      <c r="BN1229">
        <f t="shared" si="413"/>
        <v>0.35042108887694512</v>
      </c>
      <c r="BO1229" s="266">
        <f t="shared" si="446"/>
        <v>1.5215852751929879</v>
      </c>
      <c r="BP1229" s="155" t="s">
        <v>396</v>
      </c>
      <c r="BQ1229" s="155" t="s">
        <v>1718</v>
      </c>
      <c r="BR1229" s="266" t="s">
        <v>1719</v>
      </c>
      <c r="BS1229">
        <v>174.41509659927408</v>
      </c>
      <c r="BT1229">
        <v>80.733700144141935</v>
      </c>
      <c r="BU1229" s="144">
        <v>0.46288252403764657</v>
      </c>
      <c r="BV1229" s="152">
        <f t="shared" si="437"/>
        <v>-93.681396455132145</v>
      </c>
      <c r="BX1229">
        <f t="shared" si="447"/>
        <v>-9.368139645513214E-2</v>
      </c>
      <c r="BY1229">
        <f t="shared" si="434"/>
        <v>-6.1568285381343617E-2</v>
      </c>
      <c r="BZ1229">
        <v>0</v>
      </c>
      <c r="CA1229">
        <v>0</v>
      </c>
      <c r="CB1229">
        <v>0</v>
      </c>
      <c r="CC1229">
        <v>0</v>
      </c>
      <c r="CD1229">
        <v>0</v>
      </c>
      <c r="CE1229">
        <v>0</v>
      </c>
      <c r="CF1229">
        <v>0</v>
      </c>
      <c r="CG1229">
        <v>0</v>
      </c>
      <c r="CH1229">
        <v>0</v>
      </c>
      <c r="CI1229">
        <v>0</v>
      </c>
      <c r="CJ1229">
        <v>0</v>
      </c>
      <c r="CK1229">
        <v>0</v>
      </c>
      <c r="CL1229">
        <v>0</v>
      </c>
      <c r="CM1229">
        <v>0</v>
      </c>
      <c r="CN1229" t="str">
        <f t="shared" si="439"/>
        <v>refOK</v>
      </c>
      <c r="CO1229">
        <f t="shared" si="425"/>
        <v>0</v>
      </c>
      <c r="CP1229">
        <f t="shared" si="426"/>
        <v>0.35042108887694512</v>
      </c>
      <c r="CQ1229">
        <f t="shared" si="417"/>
        <v>1.5215852751929879</v>
      </c>
      <c r="CR1229">
        <f t="shared" si="429"/>
        <v>-174.41509659927408</v>
      </c>
      <c r="CS1229">
        <f t="shared" si="430"/>
        <v>-80.733700144141935</v>
      </c>
      <c r="CT1229">
        <f t="shared" si="431"/>
        <v>9.368139645513214E-2</v>
      </c>
      <c r="CU1229">
        <f t="shared" si="419"/>
        <v>6.1568285381343617E-2</v>
      </c>
      <c r="CV1229" s="2">
        <f t="shared" si="432"/>
        <v>0.53711747596235337</v>
      </c>
      <c r="CW1229" s="265" t="s">
        <v>1205</v>
      </c>
      <c r="CX1229" s="266" t="str">
        <f t="shared" si="407"/>
        <v>reg</v>
      </c>
      <c r="CY1229" s="155" t="s">
        <v>600</v>
      </c>
      <c r="CZ1229">
        <v>0</v>
      </c>
      <c r="DA1229">
        <v>0</v>
      </c>
      <c r="DB1229">
        <v>0</v>
      </c>
      <c r="DC1229" t="str">
        <f t="shared" si="408"/>
        <v>0</v>
      </c>
      <c r="DD1229">
        <v>0</v>
      </c>
      <c r="DE1229">
        <v>0</v>
      </c>
      <c r="DF1229">
        <v>0</v>
      </c>
      <c r="DG1229">
        <v>1</v>
      </c>
      <c r="DH1229">
        <v>0</v>
      </c>
      <c r="DI1229">
        <v>1</v>
      </c>
      <c r="DJ1229" t="str">
        <f t="shared" si="412"/>
        <v>TimberInput</v>
      </c>
      <c r="DK1229">
        <f t="shared" si="440"/>
        <v>0</v>
      </c>
      <c r="DL1229">
        <f t="shared" si="441"/>
        <v>0</v>
      </c>
      <c r="DM1229">
        <f t="shared" si="442"/>
        <v>0</v>
      </c>
      <c r="DN1229" t="str">
        <f t="shared" si="443"/>
        <v>Timber</v>
      </c>
      <c r="DO1229">
        <v>0</v>
      </c>
      <c r="DP1229">
        <v>0</v>
      </c>
      <c r="DQ1229">
        <v>0</v>
      </c>
      <c r="DR1229">
        <v>0</v>
      </c>
      <c r="DS1229">
        <v>0</v>
      </c>
      <c r="DT1229">
        <f t="shared" si="421"/>
        <v>0</v>
      </c>
      <c r="DU1229" s="143" t="s">
        <v>964</v>
      </c>
      <c r="DV1229">
        <v>0</v>
      </c>
      <c r="DW1229">
        <v>0</v>
      </c>
      <c r="DX1229">
        <v>0</v>
      </c>
      <c r="DY1229">
        <v>0</v>
      </c>
      <c r="DZ1229">
        <v>0</v>
      </c>
      <c r="EA1229" s="143">
        <v>0</v>
      </c>
      <c r="EB1229">
        <v>0</v>
      </c>
      <c r="EC1229">
        <v>1</v>
      </c>
      <c r="ED1229">
        <v>0</v>
      </c>
      <c r="EE1229">
        <v>0</v>
      </c>
      <c r="EF1229">
        <v>0</v>
      </c>
      <c r="EG1229">
        <v>0</v>
      </c>
      <c r="EH1229">
        <v>0</v>
      </c>
      <c r="EI1229" s="2">
        <v>0</v>
      </c>
      <c r="EK1229" t="str">
        <f t="shared" si="444"/>
        <v/>
      </c>
      <c r="EL1229" t="str">
        <f t="shared" si="445"/>
        <v/>
      </c>
      <c r="EM1229" s="2" t="str">
        <f t="shared" si="409"/>
        <v/>
      </c>
      <c r="EP1229" t="str">
        <f>IF(ISNUMBER(BU1229),IF(ABS(BU1229-[1]QC_indicators!$B$2)&gt;3*[1]QC_indicators!$C$2,"C ratio",IF(ISNUMBER(BY1229),IF(ABS(BY1229-[1]QC_indicators!$B$1)&gt;3*[1]QC_indicators!$C$1,"DF","no"))),IF(ISNUMBER(BY1229),IF(ABS(BY1229-[1]QC_indicators!$B$1)&gt;3*[1]QC_indicators!$C$1,"DF","no")))</f>
        <v>no</v>
      </c>
      <c r="ET1229" s="266" t="s">
        <v>3409</v>
      </c>
    </row>
    <row r="1230" spans="1:150" ht="15" hidden="1" customHeight="1">
      <c r="A1230" s="1" t="s">
        <v>880</v>
      </c>
      <c r="B1230" t="s">
        <v>1707</v>
      </c>
      <c r="C1230" t="s">
        <v>545</v>
      </c>
      <c r="D1230" t="s">
        <v>1708</v>
      </c>
      <c r="E1230" s="266" t="s">
        <v>1709</v>
      </c>
      <c r="F1230" t="s">
        <v>1710</v>
      </c>
      <c r="G1230" t="s">
        <v>1186</v>
      </c>
      <c r="H1230" t="s">
        <v>255</v>
      </c>
      <c r="I1230">
        <v>2021</v>
      </c>
      <c r="J1230">
        <v>8</v>
      </c>
      <c r="K1230" t="s">
        <v>1711</v>
      </c>
      <c r="M1230" t="str">
        <f t="shared" si="411"/>
        <v>Hart_2021</v>
      </c>
      <c r="N1230" s="266" t="s">
        <v>223</v>
      </c>
      <c r="O1230" s="171" t="s">
        <v>226</v>
      </c>
      <c r="P1230" t="s">
        <v>962</v>
      </c>
      <c r="Q1230" s="266" t="s">
        <v>390</v>
      </c>
      <c r="R1230" s="271" t="s">
        <v>1156</v>
      </c>
      <c r="S1230" s="299" t="s">
        <v>1712</v>
      </c>
      <c r="T1230" s="266" t="s">
        <v>1720</v>
      </c>
      <c r="U1230" t="s">
        <v>1714</v>
      </c>
      <c r="V1230">
        <v>0</v>
      </c>
      <c r="W1230">
        <v>0</v>
      </c>
      <c r="X1230">
        <v>0</v>
      </c>
      <c r="Y1230">
        <v>0</v>
      </c>
      <c r="Z1230">
        <v>0</v>
      </c>
      <c r="AA1230">
        <v>0</v>
      </c>
      <c r="AB1230">
        <v>0</v>
      </c>
      <c r="AC1230">
        <v>0</v>
      </c>
      <c r="AD1230">
        <v>0</v>
      </c>
      <c r="AE1230">
        <v>0</v>
      </c>
      <c r="AF1230">
        <v>0</v>
      </c>
      <c r="AG1230">
        <v>0</v>
      </c>
      <c r="AH1230">
        <v>0</v>
      </c>
      <c r="AI1230">
        <v>0</v>
      </c>
      <c r="AJ1230">
        <v>0</v>
      </c>
      <c r="AK1230">
        <v>1</v>
      </c>
      <c r="AL1230">
        <v>0</v>
      </c>
      <c r="AM1230">
        <v>0</v>
      </c>
      <c r="AN1230">
        <v>0</v>
      </c>
      <c r="AO1230">
        <v>0</v>
      </c>
      <c r="AP1230">
        <v>0</v>
      </c>
      <c r="AQ1230">
        <v>0</v>
      </c>
      <c r="AR1230">
        <v>0</v>
      </c>
      <c r="AS1230">
        <v>0</v>
      </c>
      <c r="AT1230">
        <v>0</v>
      </c>
      <c r="AU1230">
        <v>0</v>
      </c>
      <c r="AV1230">
        <v>0</v>
      </c>
      <c r="AW1230">
        <v>0</v>
      </c>
      <c r="AX1230" s="141">
        <f t="shared" si="435"/>
        <v>1</v>
      </c>
      <c r="AY1230" s="141">
        <f t="shared" si="399"/>
        <v>1</v>
      </c>
      <c r="AZ1230">
        <f t="shared" si="400"/>
        <v>0</v>
      </c>
      <c r="BA1230">
        <f t="shared" si="401"/>
        <v>0</v>
      </c>
      <c r="BB1230">
        <f t="shared" si="402"/>
        <v>1</v>
      </c>
      <c r="BC1230">
        <f t="shared" si="403"/>
        <v>0</v>
      </c>
      <c r="BD1230">
        <f t="shared" si="404"/>
        <v>0</v>
      </c>
      <c r="BE1230" t="str" cm="1">
        <f t="array" ref="BE1230">IF(AY1230=1,INDEX($V$7:$AL$7,MATCH(TRUE,INDEX($V1230:$AW1230&lt;&gt;0,),0)),IF(AY1230=0,INDEX($AM$7:$AW$7,MATCH(1,$AM1230:$AW1230,0)),IF(BF1230="Multiple strategies","mixed drivers",IF(BF1230="Supply chain","multiple supply","multiple silviculture"))))</f>
        <v>technologies/design switch</v>
      </c>
      <c r="BF1230" s="2" t="str" cm="1">
        <f t="array" ref="BF1230">IF(COUNTIF(AZ1230:BB1230,"&lt;&gt;0")=1,INDEX($V$4:$AW$4,MATCH(TRUE,INDEX($V1230:$AW1230&lt;&gt;0,),0)),IF(COUNTIF(AZ1230:BB1230,"&lt;&gt;0")=0,INDEX($AM$4:$AW$4,MATCH(1,$AM1230:$AW1230,0)),"Multiple strategies"))</f>
        <v>Technology</v>
      </c>
      <c r="BG1230" s="300" t="s">
        <v>230</v>
      </c>
      <c r="BH1230" s="272" t="s">
        <v>1715</v>
      </c>
      <c r="BI1230" s="272" t="s">
        <v>1716</v>
      </c>
      <c r="BJ1230" s="272" t="s">
        <v>1717</v>
      </c>
      <c r="BK1230">
        <v>0</v>
      </c>
      <c r="BL1230">
        <v>0.35042108887694512</v>
      </c>
      <c r="BM1230" t="s">
        <v>545</v>
      </c>
      <c r="BN1230">
        <f t="shared" si="413"/>
        <v>0.35042108887694512</v>
      </c>
      <c r="BO1230" s="266">
        <f t="shared" si="446"/>
        <v>1.5215852751929879</v>
      </c>
      <c r="BP1230" s="155" t="s">
        <v>396</v>
      </c>
      <c r="BQ1230" s="155" t="s">
        <v>1718</v>
      </c>
      <c r="BR1230" s="266" t="s">
        <v>1719</v>
      </c>
      <c r="BS1230">
        <v>163.80603424463476</v>
      </c>
      <c r="BT1230">
        <v>80.733700144141935</v>
      </c>
      <c r="BU1230" s="144">
        <v>0.4928615756826813</v>
      </c>
      <c r="BV1230" s="152">
        <f t="shared" si="437"/>
        <v>-83.072334100492824</v>
      </c>
      <c r="BX1230">
        <f t="shared" si="447"/>
        <v>-8.307233410049282E-2</v>
      </c>
      <c r="BY1230">
        <f t="shared" si="434"/>
        <v>-5.4595910892970799E-2</v>
      </c>
      <c r="BZ1230">
        <v>0</v>
      </c>
      <c r="CA1230">
        <v>0</v>
      </c>
      <c r="CB1230">
        <v>0</v>
      </c>
      <c r="CC1230">
        <v>0</v>
      </c>
      <c r="CD1230">
        <v>0</v>
      </c>
      <c r="CE1230">
        <v>0</v>
      </c>
      <c r="CF1230">
        <v>0</v>
      </c>
      <c r="CG1230">
        <v>0</v>
      </c>
      <c r="CH1230">
        <v>0</v>
      </c>
      <c r="CI1230">
        <v>0</v>
      </c>
      <c r="CJ1230">
        <v>0</v>
      </c>
      <c r="CK1230">
        <v>0</v>
      </c>
      <c r="CL1230">
        <v>0</v>
      </c>
      <c r="CM1230">
        <v>0</v>
      </c>
      <c r="CN1230" t="str">
        <f t="shared" si="439"/>
        <v>refOK</v>
      </c>
      <c r="CO1230">
        <f t="shared" si="425"/>
        <v>0</v>
      </c>
      <c r="CP1230">
        <f t="shared" si="426"/>
        <v>0.35042108887694512</v>
      </c>
      <c r="CQ1230">
        <f t="shared" si="417"/>
        <v>1.5215852751929879</v>
      </c>
      <c r="CR1230">
        <f t="shared" si="429"/>
        <v>-163.80603424463476</v>
      </c>
      <c r="CS1230">
        <f t="shared" si="430"/>
        <v>-80.733700144141935</v>
      </c>
      <c r="CT1230">
        <f t="shared" si="431"/>
        <v>8.307233410049282E-2</v>
      </c>
      <c r="CU1230">
        <f t="shared" si="419"/>
        <v>5.4595910892970799E-2</v>
      </c>
      <c r="CV1230" s="2">
        <f t="shared" si="432"/>
        <v>0.5071384243173187</v>
      </c>
      <c r="CW1230" s="265" t="s">
        <v>1205</v>
      </c>
      <c r="CX1230" s="266" t="str">
        <f t="shared" si="407"/>
        <v>reg</v>
      </c>
      <c r="CY1230" s="155" t="s">
        <v>600</v>
      </c>
      <c r="CZ1230">
        <v>0</v>
      </c>
      <c r="DA1230">
        <v>0</v>
      </c>
      <c r="DB1230">
        <v>0</v>
      </c>
      <c r="DC1230" t="str">
        <f t="shared" si="408"/>
        <v>0</v>
      </c>
      <c r="DD1230">
        <v>0</v>
      </c>
      <c r="DE1230">
        <v>0</v>
      </c>
      <c r="DF1230">
        <v>0</v>
      </c>
      <c r="DG1230">
        <v>1</v>
      </c>
      <c r="DH1230">
        <v>0</v>
      </c>
      <c r="DI1230">
        <v>1</v>
      </c>
      <c r="DJ1230" t="str">
        <f t="shared" si="412"/>
        <v>TimberInput</v>
      </c>
      <c r="DK1230">
        <f t="shared" si="440"/>
        <v>0</v>
      </c>
      <c r="DL1230">
        <f t="shared" si="441"/>
        <v>0</v>
      </c>
      <c r="DM1230">
        <f t="shared" si="442"/>
        <v>0</v>
      </c>
      <c r="DN1230" t="str">
        <f t="shared" si="443"/>
        <v>Timber</v>
      </c>
      <c r="DO1230">
        <v>0</v>
      </c>
      <c r="DP1230">
        <v>0</v>
      </c>
      <c r="DQ1230">
        <v>0</v>
      </c>
      <c r="DR1230">
        <v>0</v>
      </c>
      <c r="DS1230">
        <v>0</v>
      </c>
      <c r="DT1230">
        <f t="shared" si="421"/>
        <v>0</v>
      </c>
      <c r="DU1230" s="143" t="s">
        <v>964</v>
      </c>
      <c r="DV1230">
        <v>0</v>
      </c>
      <c r="DW1230">
        <v>0</v>
      </c>
      <c r="DX1230">
        <v>0</v>
      </c>
      <c r="DY1230">
        <v>0</v>
      </c>
      <c r="DZ1230">
        <v>0</v>
      </c>
      <c r="EA1230" s="143">
        <v>0</v>
      </c>
      <c r="EB1230">
        <v>0</v>
      </c>
      <c r="EC1230">
        <v>1</v>
      </c>
      <c r="ED1230">
        <v>1</v>
      </c>
      <c r="EE1230">
        <v>0</v>
      </c>
      <c r="EF1230">
        <v>0</v>
      </c>
      <c r="EG1230">
        <v>0</v>
      </c>
      <c r="EH1230">
        <v>0</v>
      </c>
      <c r="EI1230" s="2">
        <v>0</v>
      </c>
      <c r="EK1230" t="str">
        <f t="shared" si="444"/>
        <v/>
      </c>
      <c r="EL1230" t="str">
        <f t="shared" si="445"/>
        <v/>
      </c>
      <c r="EM1230" s="2" t="str">
        <f t="shared" si="409"/>
        <v>Technology approach</v>
      </c>
      <c r="EP1230" t="str">
        <f>IF(ISNUMBER(BU1230),IF(ABS(BU1230-[1]QC_indicators!$B$2)&gt;3*[1]QC_indicators!$C$2,"C ratio",IF(ISNUMBER(BY1230),IF(ABS(BY1230-[1]QC_indicators!$B$1)&gt;3*[1]QC_indicators!$C$1,"DF","no"))),IF(ISNUMBER(BY1230),IF(ABS(BY1230-[1]QC_indicators!$B$1)&gt;3*[1]QC_indicators!$C$1,"DF","no")))</f>
        <v>no</v>
      </c>
      <c r="ET1230" s="266" t="s">
        <v>3409</v>
      </c>
    </row>
    <row r="1231" spans="1:150" ht="15" hidden="1" customHeight="1">
      <c r="A1231" s="1" t="s">
        <v>880</v>
      </c>
      <c r="B1231" t="s">
        <v>1707</v>
      </c>
      <c r="C1231" t="s">
        <v>545</v>
      </c>
      <c r="D1231" t="s">
        <v>1708</v>
      </c>
      <c r="E1231" t="s">
        <v>1709</v>
      </c>
      <c r="F1231" t="s">
        <v>1710</v>
      </c>
      <c r="G1231" t="s">
        <v>1186</v>
      </c>
      <c r="H1231" t="s">
        <v>255</v>
      </c>
      <c r="I1231">
        <v>2021</v>
      </c>
      <c r="J1231">
        <v>8</v>
      </c>
      <c r="K1231" t="s">
        <v>1711</v>
      </c>
      <c r="M1231" t="str">
        <f t="shared" si="411"/>
        <v>Hart_2021</v>
      </c>
      <c r="N1231" s="266" t="s">
        <v>223</v>
      </c>
      <c r="O1231" s="171" t="s">
        <v>226</v>
      </c>
      <c r="P1231" t="s">
        <v>962</v>
      </c>
      <c r="Q1231" s="266" t="s">
        <v>390</v>
      </c>
      <c r="R1231" s="271" t="s">
        <v>1156</v>
      </c>
      <c r="S1231" s="299" t="s">
        <v>1712</v>
      </c>
      <c r="T1231" s="266" t="s">
        <v>1720</v>
      </c>
      <c r="U1231" t="s">
        <v>1714</v>
      </c>
      <c r="V1231">
        <v>0</v>
      </c>
      <c r="W1231">
        <v>0</v>
      </c>
      <c r="X1231">
        <v>0</v>
      </c>
      <c r="Y1231">
        <v>0</v>
      </c>
      <c r="Z1231">
        <v>0</v>
      </c>
      <c r="AA1231">
        <v>0</v>
      </c>
      <c r="AB1231">
        <v>0</v>
      </c>
      <c r="AC1231">
        <v>0</v>
      </c>
      <c r="AD1231">
        <v>0</v>
      </c>
      <c r="AE1231">
        <v>0</v>
      </c>
      <c r="AF1231">
        <v>0</v>
      </c>
      <c r="AG1231">
        <v>0</v>
      </c>
      <c r="AH1231">
        <v>0</v>
      </c>
      <c r="AI1231">
        <v>0</v>
      </c>
      <c r="AJ1231">
        <v>0</v>
      </c>
      <c r="AK1231">
        <v>1</v>
      </c>
      <c r="AL1231">
        <v>0</v>
      </c>
      <c r="AM1231">
        <v>0</v>
      </c>
      <c r="AN1231">
        <v>0</v>
      </c>
      <c r="AO1231">
        <v>0</v>
      </c>
      <c r="AP1231">
        <v>0</v>
      </c>
      <c r="AQ1231">
        <v>0</v>
      </c>
      <c r="AR1231">
        <v>0</v>
      </c>
      <c r="AS1231">
        <v>0</v>
      </c>
      <c r="AT1231">
        <v>0</v>
      </c>
      <c r="AU1231">
        <v>0</v>
      </c>
      <c r="AV1231">
        <v>0</v>
      </c>
      <c r="AW1231">
        <v>0</v>
      </c>
      <c r="AX1231" s="141">
        <f t="shared" si="435"/>
        <v>1</v>
      </c>
      <c r="AY1231" s="141">
        <f t="shared" si="399"/>
        <v>1</v>
      </c>
      <c r="AZ1231">
        <f t="shared" si="400"/>
        <v>0</v>
      </c>
      <c r="BA1231">
        <f t="shared" si="401"/>
        <v>0</v>
      </c>
      <c r="BB1231">
        <f t="shared" si="402"/>
        <v>1</v>
      </c>
      <c r="BC1231">
        <f t="shared" si="403"/>
        <v>0</v>
      </c>
      <c r="BD1231">
        <f t="shared" si="404"/>
        <v>0</v>
      </c>
      <c r="BE1231" t="str" cm="1">
        <f t="array" ref="BE1231">IF(AY1231=1,INDEX($V$7:$AL$7,MATCH(TRUE,INDEX($V1231:$AW1231&lt;&gt;0,),0)),IF(AY1231=0,INDEX($AM$7:$AW$7,MATCH(1,$AM1231:$AW1231,0)),IF(BF1231="Multiple strategies","mixed drivers",IF(BF1231="Supply chain","multiple supply","multiple silviculture"))))</f>
        <v>technologies/design switch</v>
      </c>
      <c r="BF1231" s="2" t="str" cm="1">
        <f t="array" ref="BF1231">IF(COUNTIF(AZ1231:BB1231,"&lt;&gt;0")=1,INDEX($V$4:$AW$4,MATCH(TRUE,INDEX($V1231:$AW1231&lt;&gt;0,),0)),IF(COUNTIF(AZ1231:BB1231,"&lt;&gt;0")=0,INDEX($AM$4:$AW$4,MATCH(1,$AM1231:$AW1231,0)),"Multiple strategies"))</f>
        <v>Technology</v>
      </c>
      <c r="BG1231" s="300" t="s">
        <v>230</v>
      </c>
      <c r="BH1231" s="272" t="s">
        <v>1715</v>
      </c>
      <c r="BI1231" s="272" t="s">
        <v>1716</v>
      </c>
      <c r="BJ1231" s="272" t="s">
        <v>1717</v>
      </c>
      <c r="BK1231">
        <v>0</v>
      </c>
      <c r="BL1231">
        <v>0.35042108887694512</v>
      </c>
      <c r="BM1231" t="s">
        <v>545</v>
      </c>
      <c r="BN1231">
        <f t="shared" si="413"/>
        <v>0.35042108887694512</v>
      </c>
      <c r="BO1231" s="266">
        <f t="shared" si="446"/>
        <v>1.5215852751929879</v>
      </c>
      <c r="BP1231" s="155" t="s">
        <v>396</v>
      </c>
      <c r="BQ1231" s="155" t="s">
        <v>1718</v>
      </c>
      <c r="BR1231" s="266" t="s">
        <v>1719</v>
      </c>
      <c r="BS1231">
        <v>187.41169182586319</v>
      </c>
      <c r="BT1231">
        <v>119.35798727672741</v>
      </c>
      <c r="BU1231" s="144">
        <v>0.6368758859913124</v>
      </c>
      <c r="BV1231" s="152">
        <f t="shared" si="437"/>
        <v>-68.053704549135773</v>
      </c>
      <c r="BX1231">
        <f t="shared" si="447"/>
        <v>-6.8053704549135771E-2</v>
      </c>
      <c r="BY1231">
        <f t="shared" si="434"/>
        <v>-4.4725527815392588E-2</v>
      </c>
      <c r="BZ1231">
        <v>0</v>
      </c>
      <c r="CA1231">
        <v>0</v>
      </c>
      <c r="CB1231">
        <v>0</v>
      </c>
      <c r="CC1231">
        <v>0</v>
      </c>
      <c r="CD1231">
        <v>0</v>
      </c>
      <c r="CE1231">
        <v>0</v>
      </c>
      <c r="CF1231">
        <v>0</v>
      </c>
      <c r="CG1231">
        <v>0</v>
      </c>
      <c r="CH1231">
        <v>0</v>
      </c>
      <c r="CI1231">
        <v>0</v>
      </c>
      <c r="CJ1231">
        <v>0</v>
      </c>
      <c r="CK1231">
        <v>0</v>
      </c>
      <c r="CL1231">
        <v>0</v>
      </c>
      <c r="CM1231">
        <v>0</v>
      </c>
      <c r="CN1231" t="str">
        <f t="shared" si="439"/>
        <v>refOK</v>
      </c>
      <c r="CO1231">
        <f t="shared" si="425"/>
        <v>0</v>
      </c>
      <c r="CP1231">
        <f t="shared" si="426"/>
        <v>0.35042108887694512</v>
      </c>
      <c r="CQ1231">
        <f t="shared" si="417"/>
        <v>1.5215852751929879</v>
      </c>
      <c r="CR1231">
        <f t="shared" si="429"/>
        <v>-187.41169182586319</v>
      </c>
      <c r="CS1231">
        <f t="shared" si="430"/>
        <v>-119.35798727672741</v>
      </c>
      <c r="CT1231">
        <f t="shared" si="431"/>
        <v>6.8053704549135771E-2</v>
      </c>
      <c r="CU1231">
        <f t="shared" si="419"/>
        <v>4.4725527815392588E-2</v>
      </c>
      <c r="CV1231" s="2">
        <f t="shared" si="432"/>
        <v>0.3631241140086876</v>
      </c>
      <c r="CW1231" s="265" t="s">
        <v>1205</v>
      </c>
      <c r="CX1231" s="266" t="str">
        <f t="shared" si="407"/>
        <v>reg</v>
      </c>
      <c r="CY1231" s="155" t="s">
        <v>600</v>
      </c>
      <c r="CZ1231">
        <v>0</v>
      </c>
      <c r="DA1231">
        <v>0</v>
      </c>
      <c r="DB1231">
        <v>0</v>
      </c>
      <c r="DC1231" t="str">
        <f t="shared" si="408"/>
        <v>0</v>
      </c>
      <c r="DD1231">
        <v>0</v>
      </c>
      <c r="DE1231">
        <v>0</v>
      </c>
      <c r="DF1231">
        <v>0</v>
      </c>
      <c r="DG1231">
        <v>1</v>
      </c>
      <c r="DH1231">
        <v>0</v>
      </c>
      <c r="DI1231">
        <v>1</v>
      </c>
      <c r="DJ1231" t="str">
        <f t="shared" si="412"/>
        <v>TimberInput</v>
      </c>
      <c r="DK1231">
        <f t="shared" si="440"/>
        <v>0</v>
      </c>
      <c r="DL1231">
        <f t="shared" si="441"/>
        <v>0</v>
      </c>
      <c r="DM1231">
        <f t="shared" si="442"/>
        <v>0</v>
      </c>
      <c r="DN1231" t="str">
        <f t="shared" si="443"/>
        <v>Timber</v>
      </c>
      <c r="DO1231">
        <v>0</v>
      </c>
      <c r="DP1231">
        <v>0</v>
      </c>
      <c r="DQ1231">
        <v>0</v>
      </c>
      <c r="DR1231">
        <v>0</v>
      </c>
      <c r="DS1231">
        <v>0</v>
      </c>
      <c r="DT1231">
        <f t="shared" si="421"/>
        <v>0</v>
      </c>
      <c r="DU1231" s="143" t="s">
        <v>964</v>
      </c>
      <c r="DV1231">
        <v>0</v>
      </c>
      <c r="DW1231">
        <v>0</v>
      </c>
      <c r="DX1231">
        <v>0</v>
      </c>
      <c r="DY1231">
        <v>0</v>
      </c>
      <c r="DZ1231">
        <v>0</v>
      </c>
      <c r="EA1231" s="143">
        <v>0</v>
      </c>
      <c r="EB1231">
        <v>0</v>
      </c>
      <c r="EC1231">
        <v>1</v>
      </c>
      <c r="ED1231">
        <v>1</v>
      </c>
      <c r="EE1231">
        <v>1</v>
      </c>
      <c r="EF1231">
        <v>0</v>
      </c>
      <c r="EG1231">
        <v>0</v>
      </c>
      <c r="EH1231">
        <v>0</v>
      </c>
      <c r="EI1231" s="2">
        <v>0</v>
      </c>
      <c r="EK1231" t="str">
        <f t="shared" si="444"/>
        <v/>
      </c>
      <c r="EL1231" t="str">
        <f t="shared" si="445"/>
        <v/>
      </c>
      <c r="EM1231" s="2" t="str">
        <f t="shared" si="409"/>
        <v>Technology approach</v>
      </c>
      <c r="EP1231" t="str">
        <f>IF(ISNUMBER(BU1231),IF(ABS(BU1231-[1]QC_indicators!$B$2)&gt;3*[1]QC_indicators!$C$2,"C ratio",IF(ISNUMBER(BY1231),IF(ABS(BY1231-[1]QC_indicators!$B$1)&gt;3*[1]QC_indicators!$C$1,"DF","no"))),IF(ISNUMBER(BY1231),IF(ABS(BY1231-[1]QC_indicators!$B$1)&gt;3*[1]QC_indicators!$C$1,"DF","no")))</f>
        <v>no</v>
      </c>
      <c r="ET1231" s="266" t="s">
        <v>3409</v>
      </c>
    </row>
    <row r="1232" spans="1:150" ht="15" hidden="1" customHeight="1">
      <c r="A1232" s="1" t="s">
        <v>334</v>
      </c>
      <c r="B1232" t="s">
        <v>1083</v>
      </c>
      <c r="C1232" t="s">
        <v>1084</v>
      </c>
      <c r="D1232" t="s">
        <v>1085</v>
      </c>
      <c r="E1232" t="s">
        <v>1086</v>
      </c>
      <c r="F1232" t="s">
        <v>1087</v>
      </c>
      <c r="G1232" t="s">
        <v>340</v>
      </c>
      <c r="H1232" t="s">
        <v>255</v>
      </c>
      <c r="I1232">
        <v>2022</v>
      </c>
      <c r="J1232">
        <v>3</v>
      </c>
      <c r="K1232" t="s">
        <v>1088</v>
      </c>
      <c r="M1232" t="str">
        <f t="shared" si="411"/>
        <v>Robati_2022</v>
      </c>
      <c r="N1232" t="s">
        <v>223</v>
      </c>
      <c r="O1232" s="266" t="s">
        <v>224</v>
      </c>
      <c r="Q1232" s="266" t="s">
        <v>390</v>
      </c>
      <c r="R1232" s="271" t="s">
        <v>1156</v>
      </c>
      <c r="S1232" s="265" t="s">
        <v>1097</v>
      </c>
      <c r="T1232" s="266" t="s">
        <v>1098</v>
      </c>
      <c r="U1232" s="266" t="s">
        <v>1091</v>
      </c>
      <c r="V1232">
        <v>0</v>
      </c>
      <c r="W1232">
        <v>0</v>
      </c>
      <c r="X1232">
        <v>0</v>
      </c>
      <c r="Y1232">
        <v>0</v>
      </c>
      <c r="Z1232">
        <v>0</v>
      </c>
      <c r="AA1232">
        <v>0</v>
      </c>
      <c r="AB1232">
        <v>0</v>
      </c>
      <c r="AC1232">
        <v>0</v>
      </c>
      <c r="AD1232">
        <v>0</v>
      </c>
      <c r="AE1232">
        <v>0</v>
      </c>
      <c r="AF1232">
        <v>0</v>
      </c>
      <c r="AG1232">
        <v>0</v>
      </c>
      <c r="AH1232">
        <v>0</v>
      </c>
      <c r="AI1232">
        <v>0</v>
      </c>
      <c r="AJ1232">
        <v>0</v>
      </c>
      <c r="AK1232">
        <v>1</v>
      </c>
      <c r="AL1232">
        <v>0</v>
      </c>
      <c r="AM1232">
        <v>0</v>
      </c>
      <c r="AN1232">
        <v>0</v>
      </c>
      <c r="AO1232">
        <v>0</v>
      </c>
      <c r="AP1232">
        <v>0</v>
      </c>
      <c r="AQ1232">
        <v>0</v>
      </c>
      <c r="AR1232">
        <v>0</v>
      </c>
      <c r="AS1232">
        <v>0</v>
      </c>
      <c r="AT1232">
        <v>0</v>
      </c>
      <c r="AU1232">
        <v>0</v>
      </c>
      <c r="AV1232">
        <v>0</v>
      </c>
      <c r="AW1232">
        <v>0</v>
      </c>
      <c r="AX1232" s="141">
        <f t="shared" si="435"/>
        <v>1</v>
      </c>
      <c r="AY1232" s="141">
        <f t="shared" si="399"/>
        <v>1</v>
      </c>
      <c r="AZ1232">
        <f t="shared" si="400"/>
        <v>0</v>
      </c>
      <c r="BA1232">
        <f t="shared" si="401"/>
        <v>0</v>
      </c>
      <c r="BB1232">
        <f t="shared" si="402"/>
        <v>1</v>
      </c>
      <c r="BC1232">
        <f t="shared" si="403"/>
        <v>0</v>
      </c>
      <c r="BD1232">
        <f t="shared" si="404"/>
        <v>0</v>
      </c>
      <c r="BE1232" t="str" cm="1">
        <f t="array" ref="BE1232">IF(AY1232=1,INDEX($V$7:$AL$7,MATCH(TRUE,INDEX($V1232:$AW1232&lt;&gt;0,),0)),IF(AY1232=0,INDEX($AM$7:$AW$7,MATCH(1,$AM1232:$AW1232,0)),IF(BF1232="Multiple strategies","mixed drivers",IF(BF1232="Supply chain","multiple supply","multiple silviculture"))))</f>
        <v>technologies/design switch</v>
      </c>
      <c r="BF1232" s="2" t="str" cm="1">
        <f t="array" ref="BF1232">IF(COUNTIF(AZ1232:BB1232,"&lt;&gt;0")=1,INDEX($V$4:$AW$4,MATCH(TRUE,INDEX($V1232:$AW1232&lt;&gt;0,),0)),IF(COUNTIF(AZ1232:BB1232,"&lt;&gt;0")=0,INDEX($AM$4:$AW$4,MATCH(1,$AM1232:$AW1232,0)),"Multiple strategies"))</f>
        <v>Technology</v>
      </c>
      <c r="BG1232" s="1" t="s">
        <v>230</v>
      </c>
      <c r="BH1232" s="266" t="s">
        <v>1092</v>
      </c>
      <c r="BI1232" s="266" t="s">
        <v>718</v>
      </c>
      <c r="BJ1232" s="266" t="s">
        <v>1093</v>
      </c>
      <c r="BK1232">
        <f>(6.17+4901.94+10375.04)/43229</f>
        <v>0.35353929075389212</v>
      </c>
      <c r="BL1232">
        <f>(6.17+4901.94+10375.04+8069.52+1195.9)/43229</f>
        <v>0.56787272432857583</v>
      </c>
      <c r="BN1232">
        <f t="shared" si="413"/>
        <v>0.21433343357468371</v>
      </c>
      <c r="BO1232">
        <f>BL1232-BK1232</f>
        <v>0.21433343357468371</v>
      </c>
      <c r="BP1232" s="266" t="s">
        <v>396</v>
      </c>
      <c r="BQ1232" s="266" t="s">
        <v>787</v>
      </c>
      <c r="BR1232" s="266" t="s">
        <v>1094</v>
      </c>
      <c r="BS1232">
        <f>379+0.18</f>
        <v>379.18</v>
      </c>
      <c r="BT1232">
        <f>350.8-104.9</f>
        <v>245.9</v>
      </c>
      <c r="BU1232" s="144">
        <f>IFERROR(BT1232/BS1232,"")</f>
        <v>0.64850466796771977</v>
      </c>
      <c r="BV1232">
        <f t="shared" si="437"/>
        <v>-133.28</v>
      </c>
      <c r="BX1232">
        <f t="shared" si="447"/>
        <v>-0.13328000000000001</v>
      </c>
      <c r="BY1232">
        <f t="shared" si="434"/>
        <v>-0.62183485691959983</v>
      </c>
      <c r="BZ1232">
        <v>0</v>
      </c>
      <c r="CA1232">
        <v>0</v>
      </c>
      <c r="CB1232">
        <v>0</v>
      </c>
      <c r="CC1232">
        <v>0</v>
      </c>
      <c r="CD1232">
        <v>0</v>
      </c>
      <c r="CE1232">
        <v>0</v>
      </c>
      <c r="CF1232">
        <v>0</v>
      </c>
      <c r="CG1232">
        <v>0</v>
      </c>
      <c r="CH1232">
        <v>0</v>
      </c>
      <c r="CI1232">
        <v>0</v>
      </c>
      <c r="CJ1232">
        <v>0</v>
      </c>
      <c r="CK1232">
        <v>0</v>
      </c>
      <c r="CL1232">
        <v>0</v>
      </c>
      <c r="CM1232">
        <v>0</v>
      </c>
      <c r="CN1232" t="str">
        <f t="shared" si="439"/>
        <v>refOK</v>
      </c>
      <c r="CO1232">
        <f t="shared" si="425"/>
        <v>0.35353929075389212</v>
      </c>
      <c r="CP1232">
        <f t="shared" si="426"/>
        <v>0.56787272432857583</v>
      </c>
      <c r="CQ1232">
        <f t="shared" si="417"/>
        <v>0.21433343357468371</v>
      </c>
      <c r="CR1232">
        <f t="shared" si="429"/>
        <v>-379.18</v>
      </c>
      <c r="CS1232">
        <f t="shared" si="430"/>
        <v>-245.9</v>
      </c>
      <c r="CT1232">
        <f t="shared" si="431"/>
        <v>0.13328000000000001</v>
      </c>
      <c r="CU1232">
        <f t="shared" si="419"/>
        <v>0.62183485691959983</v>
      </c>
      <c r="CV1232" s="2">
        <f t="shared" si="432"/>
        <v>0.35149533203228017</v>
      </c>
      <c r="CW1232" s="265" t="s">
        <v>264</v>
      </c>
      <c r="CX1232" s="266" t="str">
        <f t="shared" si="407"/>
        <v>loc</v>
      </c>
      <c r="CY1232" s="266" t="s">
        <v>575</v>
      </c>
      <c r="DB1232">
        <v>0</v>
      </c>
      <c r="DC1232" t="str">
        <f t="shared" si="408"/>
        <v>0</v>
      </c>
      <c r="DD1232">
        <v>0</v>
      </c>
      <c r="DE1232">
        <v>0</v>
      </c>
      <c r="DF1232">
        <v>0</v>
      </c>
      <c r="DG1232">
        <v>1</v>
      </c>
      <c r="DH1232">
        <v>0</v>
      </c>
      <c r="DI1232">
        <f t="shared" ref="DI1232:DI1241" si="448">SUM(DD1232:DG1232)</f>
        <v>1</v>
      </c>
      <c r="DJ1232" t="str">
        <f t="shared" si="412"/>
        <v>TimberInput</v>
      </c>
      <c r="DK1232">
        <f t="shared" si="440"/>
        <v>0</v>
      </c>
      <c r="DL1232">
        <f t="shared" si="441"/>
        <v>0</v>
      </c>
      <c r="DM1232">
        <f t="shared" si="442"/>
        <v>0</v>
      </c>
      <c r="DN1232" t="str">
        <f t="shared" si="443"/>
        <v>Timber</v>
      </c>
      <c r="DO1232">
        <v>0</v>
      </c>
      <c r="DP1232">
        <v>0</v>
      </c>
      <c r="DQ1232">
        <v>0</v>
      </c>
      <c r="DR1232">
        <v>0</v>
      </c>
      <c r="DS1232">
        <v>0</v>
      </c>
      <c r="DT1232">
        <f t="shared" si="421"/>
        <v>0</v>
      </c>
      <c r="DU1232" s="143" t="str">
        <f t="shared" ref="DU1232:DU1241" si="449">IF(DO1232=1,"self-calculated DF",IF(DP1232=1,"external DF used","explicit C balance"))</f>
        <v>explicit C balance</v>
      </c>
      <c r="DV1232">
        <v>0</v>
      </c>
      <c r="DW1232">
        <v>1</v>
      </c>
      <c r="DX1232">
        <v>0</v>
      </c>
      <c r="DY1232">
        <v>1</v>
      </c>
      <c r="DZ1232">
        <v>0</v>
      </c>
      <c r="EA1232">
        <v>0</v>
      </c>
      <c r="EB1232">
        <v>1</v>
      </c>
      <c r="EC1232">
        <v>1</v>
      </c>
      <c r="ED1232">
        <v>0</v>
      </c>
      <c r="EE1232">
        <v>0</v>
      </c>
      <c r="EF1232">
        <v>0</v>
      </c>
      <c r="EG1232">
        <v>0</v>
      </c>
      <c r="EH1232">
        <v>0</v>
      </c>
      <c r="EI1232" s="2">
        <v>0</v>
      </c>
      <c r="EK1232" t="str">
        <f t="shared" si="444"/>
        <v/>
      </c>
      <c r="EL1232" t="str">
        <f t="shared" si="445"/>
        <v/>
      </c>
      <c r="EM1232" s="2" t="str">
        <f t="shared" si="409"/>
        <v/>
      </c>
      <c r="EP1232" t="str">
        <f>IF(ISNUMBER(BU1232),IF(ABS(BU1232-[1]QC_indicators!$B$2)&gt;3*[1]QC_indicators!$C$2,"C ratio",IF(ISNUMBER(BY1232),IF(ABS(BY1232-[1]QC_indicators!$B$1)&gt;3*[1]QC_indicators!$C$1,"DF","no"))),IF(ISNUMBER(BY1232),IF(ABS(BY1232-[1]QC_indicators!$B$1)&gt;3*[1]QC_indicators!$C$1,"DF","no")))</f>
        <v>no</v>
      </c>
      <c r="ET1232" s="266" t="s">
        <v>3409</v>
      </c>
    </row>
    <row r="1233" spans="1:150" ht="15" hidden="1" customHeight="1">
      <c r="A1233" s="1" t="s">
        <v>334</v>
      </c>
      <c r="B1233" t="s">
        <v>1083</v>
      </c>
      <c r="C1233" t="s">
        <v>1084</v>
      </c>
      <c r="D1233" t="s">
        <v>1085</v>
      </c>
      <c r="E1233" t="s">
        <v>1086</v>
      </c>
      <c r="F1233" t="s">
        <v>1087</v>
      </c>
      <c r="G1233" t="s">
        <v>340</v>
      </c>
      <c r="H1233" t="s">
        <v>255</v>
      </c>
      <c r="I1233">
        <v>2022</v>
      </c>
      <c r="J1233">
        <v>3</v>
      </c>
      <c r="K1233" t="s">
        <v>1088</v>
      </c>
      <c r="M1233" t="str">
        <f t="shared" si="411"/>
        <v>Robati_2022</v>
      </c>
      <c r="N1233" t="s">
        <v>223</v>
      </c>
      <c r="O1233" s="266" t="s">
        <v>224</v>
      </c>
      <c r="Q1233" s="266" t="s">
        <v>390</v>
      </c>
      <c r="R1233" s="271" t="s">
        <v>1156</v>
      </c>
      <c r="S1233" s="265" t="s">
        <v>1099</v>
      </c>
      <c r="T1233" s="266" t="s">
        <v>1098</v>
      </c>
      <c r="U1233" s="266" t="s">
        <v>1091</v>
      </c>
      <c r="V1233">
        <v>0</v>
      </c>
      <c r="W1233">
        <v>0</v>
      </c>
      <c r="X1233">
        <v>0</v>
      </c>
      <c r="Y1233">
        <v>0</v>
      </c>
      <c r="Z1233">
        <v>0</v>
      </c>
      <c r="AA1233">
        <v>0</v>
      </c>
      <c r="AB1233">
        <v>0</v>
      </c>
      <c r="AC1233">
        <v>0</v>
      </c>
      <c r="AD1233">
        <v>0</v>
      </c>
      <c r="AE1233">
        <v>0</v>
      </c>
      <c r="AF1233">
        <v>0</v>
      </c>
      <c r="AG1233">
        <v>0</v>
      </c>
      <c r="AH1233">
        <v>0</v>
      </c>
      <c r="AI1233">
        <v>0</v>
      </c>
      <c r="AJ1233">
        <v>0</v>
      </c>
      <c r="AK1233">
        <v>1</v>
      </c>
      <c r="AL1233">
        <v>0</v>
      </c>
      <c r="AM1233">
        <v>0</v>
      </c>
      <c r="AN1233">
        <v>0</v>
      </c>
      <c r="AO1233">
        <v>0</v>
      </c>
      <c r="AP1233">
        <v>0</v>
      </c>
      <c r="AQ1233">
        <v>0</v>
      </c>
      <c r="AR1233">
        <v>0</v>
      </c>
      <c r="AS1233">
        <v>0</v>
      </c>
      <c r="AT1233">
        <v>0</v>
      </c>
      <c r="AU1233">
        <v>0</v>
      </c>
      <c r="AV1233">
        <v>0</v>
      </c>
      <c r="AW1233">
        <v>0</v>
      </c>
      <c r="AX1233" s="141">
        <f t="shared" si="435"/>
        <v>1</v>
      </c>
      <c r="AY1233" s="141">
        <f t="shared" si="399"/>
        <v>1</v>
      </c>
      <c r="AZ1233">
        <f t="shared" si="400"/>
        <v>0</v>
      </c>
      <c r="BA1233">
        <f t="shared" si="401"/>
        <v>0</v>
      </c>
      <c r="BB1233">
        <f t="shared" si="402"/>
        <v>1</v>
      </c>
      <c r="BC1233">
        <f t="shared" si="403"/>
        <v>0</v>
      </c>
      <c r="BD1233">
        <f t="shared" si="404"/>
        <v>0</v>
      </c>
      <c r="BE1233" t="str" cm="1">
        <f t="array" ref="BE1233">IF(AY1233=1,INDEX($V$7:$AL$7,MATCH(TRUE,INDEX($V1233:$AW1233&lt;&gt;0,),0)),IF(AY1233=0,INDEX($AM$7:$AW$7,MATCH(1,$AM1233:$AW1233,0)),IF(BF1233="Multiple strategies","mixed drivers",IF(BF1233="Supply chain","multiple supply","multiple silviculture"))))</f>
        <v>technologies/design switch</v>
      </c>
      <c r="BF1233" s="2" t="str" cm="1">
        <f t="array" ref="BF1233">IF(COUNTIF(AZ1233:BB1233,"&lt;&gt;0")=1,INDEX($V$4:$AW$4,MATCH(TRUE,INDEX($V1233:$AW1233&lt;&gt;0,),0)),IF(COUNTIF(AZ1233:BB1233,"&lt;&gt;0")=0,INDEX($AM$4:$AW$4,MATCH(1,$AM1233:$AW1233,0)),"Multiple strategies"))</f>
        <v>Technology</v>
      </c>
      <c r="BG1233" s="1" t="s">
        <v>230</v>
      </c>
      <c r="BH1233" s="266" t="s">
        <v>1092</v>
      </c>
      <c r="BI1233" s="266" t="s">
        <v>718</v>
      </c>
      <c r="BJ1233" s="266" t="s">
        <v>1093</v>
      </c>
      <c r="BK1233">
        <f>(6.17+4901.94+10375.04)/43229</f>
        <v>0.35353929075389212</v>
      </c>
      <c r="BL1233">
        <f>(6.17+4901.94+10375.04+8069.52+1195.9)/43229</f>
        <v>0.56787272432857583</v>
      </c>
      <c r="BN1233">
        <f t="shared" si="413"/>
        <v>0.21433343357468371</v>
      </c>
      <c r="BO1233">
        <f>BL1233-BK1233</f>
        <v>0.21433343357468371</v>
      </c>
      <c r="BP1233" s="266" t="s">
        <v>396</v>
      </c>
      <c r="BQ1233" s="266" t="s">
        <v>787</v>
      </c>
      <c r="BR1233" s="266" t="s">
        <v>1094</v>
      </c>
      <c r="BS1233">
        <v>0.19</v>
      </c>
      <c r="BT1233">
        <v>-104.9</v>
      </c>
      <c r="BU1233" s="144">
        <f>IFERROR(BT1233/BS1233,"")</f>
        <v>-552.1052631578948</v>
      </c>
      <c r="BV1233">
        <f t="shared" si="437"/>
        <v>-105.09</v>
      </c>
      <c r="BX1233">
        <f t="shared" si="447"/>
        <v>-0.10509</v>
      </c>
      <c r="BY1233">
        <f t="shared" si="434"/>
        <v>-0.49031081267767668</v>
      </c>
      <c r="BZ1233">
        <v>0</v>
      </c>
      <c r="CA1233">
        <v>0</v>
      </c>
      <c r="CB1233">
        <v>0</v>
      </c>
      <c r="CC1233">
        <v>0</v>
      </c>
      <c r="CD1233">
        <v>0</v>
      </c>
      <c r="CE1233">
        <v>0</v>
      </c>
      <c r="CF1233">
        <v>0</v>
      </c>
      <c r="CG1233">
        <v>0</v>
      </c>
      <c r="CH1233">
        <v>0</v>
      </c>
      <c r="CI1233">
        <v>0</v>
      </c>
      <c r="CJ1233">
        <v>0</v>
      </c>
      <c r="CK1233">
        <v>0</v>
      </c>
      <c r="CL1233">
        <v>0</v>
      </c>
      <c r="CM1233">
        <v>0</v>
      </c>
      <c r="CN1233" t="str">
        <f t="shared" si="439"/>
        <v>refOK</v>
      </c>
      <c r="CO1233">
        <f t="shared" si="425"/>
        <v>0.35353929075389212</v>
      </c>
      <c r="CP1233">
        <f t="shared" si="426"/>
        <v>0.56787272432857583</v>
      </c>
      <c r="CQ1233">
        <f t="shared" si="417"/>
        <v>0.21433343357468371</v>
      </c>
      <c r="CR1233">
        <f t="shared" si="429"/>
        <v>-0.19</v>
      </c>
      <c r="CS1233">
        <f t="shared" si="430"/>
        <v>104.9</v>
      </c>
      <c r="CT1233">
        <f t="shared" si="431"/>
        <v>0.10509</v>
      </c>
      <c r="CU1233">
        <f t="shared" si="419"/>
        <v>0.49031081267767668</v>
      </c>
      <c r="CV1233" s="2">
        <f t="shared" si="432"/>
        <v>553.1052631578948</v>
      </c>
      <c r="CW1233" s="265" t="s">
        <v>264</v>
      </c>
      <c r="CX1233" s="266" t="str">
        <f t="shared" si="407"/>
        <v>loc</v>
      </c>
      <c r="CY1233" s="266" t="s">
        <v>575</v>
      </c>
      <c r="DB1233">
        <v>0</v>
      </c>
      <c r="DC1233" t="str">
        <f t="shared" si="408"/>
        <v>0</v>
      </c>
      <c r="DD1233">
        <v>0</v>
      </c>
      <c r="DE1233">
        <v>0</v>
      </c>
      <c r="DF1233">
        <v>0</v>
      </c>
      <c r="DG1233">
        <v>1</v>
      </c>
      <c r="DH1233">
        <v>0</v>
      </c>
      <c r="DI1233">
        <f t="shared" si="448"/>
        <v>1</v>
      </c>
      <c r="DJ1233" t="str">
        <f t="shared" si="412"/>
        <v>TimberInput</v>
      </c>
      <c r="DK1233">
        <f t="shared" si="440"/>
        <v>0</v>
      </c>
      <c r="DL1233">
        <f t="shared" si="441"/>
        <v>0</v>
      </c>
      <c r="DM1233">
        <f t="shared" si="442"/>
        <v>0</v>
      </c>
      <c r="DN1233" t="str">
        <f t="shared" si="443"/>
        <v>Timber</v>
      </c>
      <c r="DO1233">
        <v>0</v>
      </c>
      <c r="DP1233">
        <v>0</v>
      </c>
      <c r="DQ1233">
        <v>0</v>
      </c>
      <c r="DR1233">
        <v>0</v>
      </c>
      <c r="DS1233">
        <v>0</v>
      </c>
      <c r="DT1233">
        <f t="shared" si="421"/>
        <v>0</v>
      </c>
      <c r="DU1233" s="143" t="str">
        <f t="shared" si="449"/>
        <v>explicit C balance</v>
      </c>
      <c r="DV1233">
        <v>0</v>
      </c>
      <c r="DW1233">
        <v>1</v>
      </c>
      <c r="DX1233">
        <v>0</v>
      </c>
      <c r="DY1233">
        <v>1</v>
      </c>
      <c r="DZ1233">
        <v>0</v>
      </c>
      <c r="EA1233">
        <v>0</v>
      </c>
      <c r="EB1233">
        <v>1</v>
      </c>
      <c r="EC1233">
        <v>0</v>
      </c>
      <c r="ED1233">
        <v>0</v>
      </c>
      <c r="EE1233">
        <v>0</v>
      </c>
      <c r="EF1233">
        <v>0</v>
      </c>
      <c r="EG1233">
        <v>0</v>
      </c>
      <c r="EH1233">
        <v>0</v>
      </c>
      <c r="EI1233" s="2">
        <v>0</v>
      </c>
      <c r="EK1233" t="str">
        <f t="shared" si="444"/>
        <v/>
      </c>
      <c r="EL1233" t="str">
        <f t="shared" si="445"/>
        <v/>
      </c>
      <c r="EM1233" s="2" t="str">
        <f t="shared" si="409"/>
        <v/>
      </c>
      <c r="EP1233" t="str">
        <f>IF(ISNUMBER(BU1233),IF(ABS(BU1233-[1]QC_indicators!$B$2)&gt;3*[1]QC_indicators!$C$2,"C ratio",IF(ISNUMBER(BY1233),IF(ABS(BY1233-[1]QC_indicators!$B$1)&gt;3*[1]QC_indicators!$C$1,"DF","no"))),IF(ISNUMBER(BY1233),IF(ABS(BY1233-[1]QC_indicators!$B$1)&gt;3*[1]QC_indicators!$C$1,"DF","no")))</f>
        <v>C ratio</v>
      </c>
      <c r="ET1233" s="266" t="s">
        <v>3409</v>
      </c>
    </row>
    <row r="1234" spans="1:150" ht="15" hidden="1" customHeight="1">
      <c r="A1234" s="1" t="s">
        <v>334</v>
      </c>
      <c r="B1234" t="s">
        <v>1083</v>
      </c>
      <c r="C1234" t="s">
        <v>1084</v>
      </c>
      <c r="D1234" t="s">
        <v>1085</v>
      </c>
      <c r="E1234" t="s">
        <v>1086</v>
      </c>
      <c r="F1234" t="s">
        <v>1087</v>
      </c>
      <c r="G1234" t="s">
        <v>340</v>
      </c>
      <c r="H1234" t="s">
        <v>255</v>
      </c>
      <c r="I1234">
        <v>2022</v>
      </c>
      <c r="J1234">
        <v>3</v>
      </c>
      <c r="K1234" t="s">
        <v>1088</v>
      </c>
      <c r="M1234" t="str">
        <f t="shared" si="411"/>
        <v>Robati_2022</v>
      </c>
      <c r="N1234" t="s">
        <v>223</v>
      </c>
      <c r="O1234" s="266" t="s">
        <v>224</v>
      </c>
      <c r="Q1234" s="266" t="s">
        <v>390</v>
      </c>
      <c r="R1234" s="271" t="s">
        <v>1156</v>
      </c>
      <c r="S1234" s="265" t="s">
        <v>1099</v>
      </c>
      <c r="T1234" s="266" t="s">
        <v>1098</v>
      </c>
      <c r="U1234" s="266" t="s">
        <v>1091</v>
      </c>
      <c r="V1234">
        <v>0</v>
      </c>
      <c r="W1234">
        <v>0</v>
      </c>
      <c r="X1234">
        <v>0</v>
      </c>
      <c r="Y1234">
        <v>0</v>
      </c>
      <c r="Z1234">
        <v>0</v>
      </c>
      <c r="AA1234">
        <v>0</v>
      </c>
      <c r="AB1234">
        <v>0</v>
      </c>
      <c r="AC1234">
        <v>0</v>
      </c>
      <c r="AD1234">
        <v>0</v>
      </c>
      <c r="AE1234">
        <v>0</v>
      </c>
      <c r="AF1234">
        <v>0</v>
      </c>
      <c r="AG1234">
        <v>0</v>
      </c>
      <c r="AH1234">
        <v>0</v>
      </c>
      <c r="AI1234">
        <v>0</v>
      </c>
      <c r="AJ1234">
        <v>0</v>
      </c>
      <c r="AK1234">
        <v>1</v>
      </c>
      <c r="AL1234">
        <v>0</v>
      </c>
      <c r="AM1234">
        <v>0</v>
      </c>
      <c r="AN1234">
        <v>0</v>
      </c>
      <c r="AO1234">
        <v>0</v>
      </c>
      <c r="AP1234">
        <v>0</v>
      </c>
      <c r="AQ1234">
        <v>0</v>
      </c>
      <c r="AR1234">
        <v>0</v>
      </c>
      <c r="AS1234">
        <v>0</v>
      </c>
      <c r="AT1234">
        <v>0</v>
      </c>
      <c r="AU1234">
        <v>0</v>
      </c>
      <c r="AV1234">
        <v>0</v>
      </c>
      <c r="AW1234">
        <v>0</v>
      </c>
      <c r="AX1234" s="141">
        <f t="shared" si="435"/>
        <v>1</v>
      </c>
      <c r="AY1234" s="141">
        <f t="shared" si="399"/>
        <v>1</v>
      </c>
      <c r="AZ1234">
        <f t="shared" si="400"/>
        <v>0</v>
      </c>
      <c r="BA1234">
        <f t="shared" si="401"/>
        <v>0</v>
      </c>
      <c r="BB1234">
        <f t="shared" si="402"/>
        <v>1</v>
      </c>
      <c r="BC1234">
        <f t="shared" si="403"/>
        <v>0</v>
      </c>
      <c r="BD1234">
        <f t="shared" si="404"/>
        <v>0</v>
      </c>
      <c r="BE1234" t="str" cm="1">
        <f t="array" ref="BE1234">IF(AY1234=1,INDEX($V$7:$AL$7,MATCH(TRUE,INDEX($V1234:$AW1234&lt;&gt;0,),0)),IF(AY1234=0,INDEX($AM$7:$AW$7,MATCH(1,$AM1234:$AW1234,0)),IF(BF1234="Multiple strategies","mixed drivers",IF(BF1234="Supply chain","multiple supply","multiple silviculture"))))</f>
        <v>technologies/design switch</v>
      </c>
      <c r="BF1234" s="2" t="str" cm="1">
        <f t="array" ref="BF1234">IF(COUNTIF(AZ1234:BB1234,"&lt;&gt;0")=1,INDEX($V$4:$AW$4,MATCH(TRUE,INDEX($V1234:$AW1234&lt;&gt;0,),0)),IF(COUNTIF(AZ1234:BB1234,"&lt;&gt;0")=0,INDEX($AM$4:$AW$4,MATCH(1,$AM1234:$AW1234,0)),"Multiple strategies"))</f>
        <v>Technology</v>
      </c>
      <c r="BG1234" s="1" t="s">
        <v>230</v>
      </c>
      <c r="BH1234" s="266" t="s">
        <v>1092</v>
      </c>
      <c r="BI1234" s="266" t="s">
        <v>718</v>
      </c>
      <c r="BJ1234" s="266" t="s">
        <v>1093</v>
      </c>
      <c r="BK1234">
        <f>(6.17+4901.94+10375.04)/43229</f>
        <v>0.35353929075389212</v>
      </c>
      <c r="BL1234">
        <f>(6.17+4901.94+10375.04+8069.52+1195.9)/43229</f>
        <v>0.56787272432857583</v>
      </c>
      <c r="BN1234">
        <f t="shared" si="413"/>
        <v>0.21433343357468371</v>
      </c>
      <c r="BO1234">
        <f>BL1234-BK1234</f>
        <v>0.21433343357468371</v>
      </c>
      <c r="BP1234" s="266" t="s">
        <v>396</v>
      </c>
      <c r="BQ1234" s="266" t="s">
        <v>787</v>
      </c>
      <c r="BR1234" s="266" t="s">
        <v>1094</v>
      </c>
      <c r="BS1234">
        <f>379</f>
        <v>379</v>
      </c>
      <c r="BT1234">
        <f>350.8</f>
        <v>350.8</v>
      </c>
      <c r="BU1234" s="144">
        <f>IFERROR(BT1234/BS1234,"")</f>
        <v>0.92559366754617423</v>
      </c>
      <c r="BV1234">
        <f t="shared" si="437"/>
        <v>-28.199999999999989</v>
      </c>
      <c r="BX1234">
        <f t="shared" si="447"/>
        <v>-2.8199999999999989E-2</v>
      </c>
      <c r="BY1234">
        <f t="shared" si="434"/>
        <v>-0.13157070051870279</v>
      </c>
      <c r="BZ1234">
        <v>0</v>
      </c>
      <c r="CA1234">
        <v>0</v>
      </c>
      <c r="CB1234">
        <v>0</v>
      </c>
      <c r="CC1234">
        <v>0</v>
      </c>
      <c r="CD1234">
        <v>0</v>
      </c>
      <c r="CE1234">
        <v>0</v>
      </c>
      <c r="CF1234">
        <v>0</v>
      </c>
      <c r="CG1234">
        <v>0</v>
      </c>
      <c r="CH1234">
        <v>0</v>
      </c>
      <c r="CI1234">
        <v>0</v>
      </c>
      <c r="CJ1234">
        <v>0</v>
      </c>
      <c r="CK1234">
        <v>0</v>
      </c>
      <c r="CL1234">
        <v>0</v>
      </c>
      <c r="CM1234">
        <v>0</v>
      </c>
      <c r="CN1234" t="str">
        <f t="shared" si="439"/>
        <v>refOK</v>
      </c>
      <c r="CO1234">
        <f t="shared" si="425"/>
        <v>0.35353929075389212</v>
      </c>
      <c r="CP1234">
        <f t="shared" si="426"/>
        <v>0.56787272432857583</v>
      </c>
      <c r="CQ1234">
        <f t="shared" si="417"/>
        <v>0.21433343357468371</v>
      </c>
      <c r="CR1234">
        <f t="shared" si="429"/>
        <v>-379</v>
      </c>
      <c r="CS1234">
        <f t="shared" si="430"/>
        <v>-350.8</v>
      </c>
      <c r="CT1234">
        <f t="shared" si="431"/>
        <v>2.8199999999999989E-2</v>
      </c>
      <c r="CU1234">
        <f t="shared" si="419"/>
        <v>0.13157070051870279</v>
      </c>
      <c r="CV1234" s="2">
        <f t="shared" si="432"/>
        <v>7.440633245382583E-2</v>
      </c>
      <c r="CW1234" s="265" t="s">
        <v>264</v>
      </c>
      <c r="CX1234" s="266" t="str">
        <f t="shared" si="407"/>
        <v>loc</v>
      </c>
      <c r="CY1234" s="266" t="s">
        <v>575</v>
      </c>
      <c r="DB1234">
        <v>0</v>
      </c>
      <c r="DC1234" t="str">
        <f t="shared" si="408"/>
        <v>0</v>
      </c>
      <c r="DD1234">
        <v>0</v>
      </c>
      <c r="DE1234">
        <v>0</v>
      </c>
      <c r="DF1234">
        <v>0</v>
      </c>
      <c r="DG1234">
        <v>1</v>
      </c>
      <c r="DH1234">
        <v>0</v>
      </c>
      <c r="DI1234">
        <f t="shared" si="448"/>
        <v>1</v>
      </c>
      <c r="DJ1234" t="str">
        <f t="shared" si="412"/>
        <v>TimberInput</v>
      </c>
      <c r="DK1234">
        <f t="shared" si="440"/>
        <v>0</v>
      </c>
      <c r="DL1234">
        <f t="shared" si="441"/>
        <v>0</v>
      </c>
      <c r="DM1234">
        <f t="shared" si="442"/>
        <v>0</v>
      </c>
      <c r="DN1234" t="str">
        <f t="shared" si="443"/>
        <v>Timber</v>
      </c>
      <c r="DO1234">
        <v>0</v>
      </c>
      <c r="DP1234">
        <v>0</v>
      </c>
      <c r="DQ1234">
        <v>0</v>
      </c>
      <c r="DR1234">
        <v>0</v>
      </c>
      <c r="DS1234">
        <v>0</v>
      </c>
      <c r="DT1234">
        <f t="shared" si="421"/>
        <v>0</v>
      </c>
      <c r="DU1234" s="143" t="str">
        <f t="shared" si="449"/>
        <v>explicit C balance</v>
      </c>
      <c r="DV1234">
        <v>0</v>
      </c>
      <c r="DW1234">
        <v>0</v>
      </c>
      <c r="DX1234">
        <v>0</v>
      </c>
      <c r="DY1234">
        <v>0</v>
      </c>
      <c r="DZ1234">
        <v>0</v>
      </c>
      <c r="EA1234">
        <v>0</v>
      </c>
      <c r="EB1234">
        <v>0</v>
      </c>
      <c r="EC1234">
        <v>1</v>
      </c>
      <c r="ED1234">
        <v>0</v>
      </c>
      <c r="EE1234">
        <v>0</v>
      </c>
      <c r="EF1234">
        <v>0</v>
      </c>
      <c r="EG1234">
        <v>0</v>
      </c>
      <c r="EH1234">
        <v>0</v>
      </c>
      <c r="EI1234" s="2">
        <v>0</v>
      </c>
      <c r="EK1234" t="str">
        <f t="shared" si="444"/>
        <v/>
      </c>
      <c r="EL1234" t="str">
        <f t="shared" si="445"/>
        <v/>
      </c>
      <c r="EM1234" s="2" t="str">
        <f t="shared" si="409"/>
        <v/>
      </c>
      <c r="EP1234" t="str">
        <f>IF(ISNUMBER(BU1234),IF(ABS(BU1234-[1]QC_indicators!$B$2)&gt;3*[1]QC_indicators!$C$2,"C ratio",IF(ISNUMBER(BY1234),IF(ABS(BY1234-[1]QC_indicators!$B$1)&gt;3*[1]QC_indicators!$C$1,"DF","no"))),IF(ISNUMBER(BY1234),IF(ABS(BY1234-[1]QC_indicators!$B$1)&gt;3*[1]QC_indicators!$C$1,"DF","no")))</f>
        <v>no</v>
      </c>
      <c r="ET1234" s="266" t="s">
        <v>3409</v>
      </c>
    </row>
    <row r="1235" spans="1:150" ht="15" hidden="1" customHeight="1">
      <c r="A1235" s="1" t="s">
        <v>658</v>
      </c>
      <c r="B1235" t="s">
        <v>1143</v>
      </c>
      <c r="C1235" t="s">
        <v>1144</v>
      </c>
      <c r="D1235" t="s">
        <v>1145</v>
      </c>
      <c r="E1235" t="s">
        <v>1146</v>
      </c>
      <c r="F1235" t="s">
        <v>1147</v>
      </c>
      <c r="G1235" t="s">
        <v>664</v>
      </c>
      <c r="H1235" t="s">
        <v>255</v>
      </c>
      <c r="I1235">
        <v>2022</v>
      </c>
      <c r="J1235">
        <v>1</v>
      </c>
      <c r="K1235" t="s">
        <v>1148</v>
      </c>
      <c r="M1235" t="str">
        <f t="shared" si="411"/>
        <v>Su_2022</v>
      </c>
      <c r="N1235" t="s">
        <v>223</v>
      </c>
      <c r="O1235" s="266" t="s">
        <v>224</v>
      </c>
      <c r="Q1235" s="266" t="s">
        <v>390</v>
      </c>
      <c r="R1235" s="271" t="s">
        <v>1156</v>
      </c>
      <c r="S1235" s="265" t="s">
        <v>258</v>
      </c>
      <c r="T1235" s="266" t="s">
        <v>812</v>
      </c>
      <c r="U1235" s="266" t="s">
        <v>260</v>
      </c>
      <c r="V1235">
        <v>0</v>
      </c>
      <c r="W1235">
        <v>0</v>
      </c>
      <c r="X1235">
        <v>0</v>
      </c>
      <c r="Y1235">
        <v>0</v>
      </c>
      <c r="Z1235">
        <v>0</v>
      </c>
      <c r="AA1235">
        <v>0</v>
      </c>
      <c r="AB1235">
        <v>0</v>
      </c>
      <c r="AC1235">
        <v>0</v>
      </c>
      <c r="AD1235">
        <v>0</v>
      </c>
      <c r="AE1235">
        <v>0</v>
      </c>
      <c r="AF1235">
        <v>0</v>
      </c>
      <c r="AG1235">
        <v>0</v>
      </c>
      <c r="AH1235">
        <v>0</v>
      </c>
      <c r="AI1235">
        <v>0</v>
      </c>
      <c r="AJ1235">
        <v>0</v>
      </c>
      <c r="AK1235">
        <v>1</v>
      </c>
      <c r="AL1235">
        <v>0</v>
      </c>
      <c r="AM1235">
        <v>0</v>
      </c>
      <c r="AN1235">
        <v>0</v>
      </c>
      <c r="AO1235">
        <v>0</v>
      </c>
      <c r="AP1235">
        <v>0</v>
      </c>
      <c r="AQ1235">
        <v>0</v>
      </c>
      <c r="AR1235">
        <v>0</v>
      </c>
      <c r="AS1235">
        <v>0</v>
      </c>
      <c r="AT1235">
        <v>0</v>
      </c>
      <c r="AU1235">
        <v>0</v>
      </c>
      <c r="AV1235">
        <v>0</v>
      </c>
      <c r="AW1235">
        <v>0</v>
      </c>
      <c r="AX1235" s="141">
        <f t="shared" si="435"/>
        <v>1</v>
      </c>
      <c r="AY1235" s="141">
        <f t="shared" si="399"/>
        <v>1</v>
      </c>
      <c r="AZ1235">
        <f t="shared" si="400"/>
        <v>0</v>
      </c>
      <c r="BA1235">
        <f t="shared" si="401"/>
        <v>0</v>
      </c>
      <c r="BB1235">
        <f t="shared" si="402"/>
        <v>1</v>
      </c>
      <c r="BC1235">
        <f t="shared" si="403"/>
        <v>0</v>
      </c>
      <c r="BD1235">
        <f t="shared" si="404"/>
        <v>0</v>
      </c>
      <c r="BE1235" t="str" cm="1">
        <f t="array" ref="BE1235">IF(AY1235=1,INDEX($V$7:$AL$7,MATCH(TRUE,INDEX($V1235:$AW1235&lt;&gt;0,),0)),IF(AY1235=0,INDEX($AM$7:$AW$7,MATCH(1,$AM1235:$AW1235,0)),IF(BF1235="Multiple strategies","mixed drivers",IF(BF1235="Supply chain","multiple supply","multiple silviculture"))))</f>
        <v>technologies/design switch</v>
      </c>
      <c r="BF1235" s="2" t="str" cm="1">
        <f t="array" ref="BF1235">IF(COUNTIF(AZ1235:BB1235,"&lt;&gt;0")=1,INDEX($V$4:$AW$4,MATCH(TRUE,INDEX($V1235:$AW1235&lt;&gt;0,),0)),IF(COUNTIF(AZ1235:BB1235,"&lt;&gt;0")=0,INDEX($AM$4:$AW$4,MATCH(1,$AM1235:$AW1235,0)),"Multiple strategies"))</f>
        <v>Technology</v>
      </c>
      <c r="BG1235" s="1" t="s">
        <v>230</v>
      </c>
      <c r="BH1235" t="s">
        <v>1149</v>
      </c>
      <c r="BI1235" s="266" t="s">
        <v>1150</v>
      </c>
      <c r="BJ1235" s="266" t="s">
        <v>1151</v>
      </c>
      <c r="BK1235">
        <f>2332/3000</f>
        <v>0.77733333333333332</v>
      </c>
      <c r="BL1235">
        <f>(565731+64622+51138+7369)/3000</f>
        <v>229.62</v>
      </c>
      <c r="BN1235">
        <f t="shared" si="413"/>
        <v>228.84266666666667</v>
      </c>
      <c r="BO1235">
        <f>BN1235*kg_to_m3</f>
        <v>0.46702585034013611</v>
      </c>
      <c r="BP1235" s="266" t="s">
        <v>396</v>
      </c>
      <c r="BQ1235" s="266" t="s">
        <v>1152</v>
      </c>
      <c r="BR1235" s="266" t="s">
        <v>1153</v>
      </c>
      <c r="BS1235">
        <v>221</v>
      </c>
      <c r="BT1235">
        <v>-174</v>
      </c>
      <c r="BV1235">
        <f t="shared" si="437"/>
        <v>-395</v>
      </c>
      <c r="BX1235">
        <f t="shared" si="447"/>
        <v>-0.39500000000000002</v>
      </c>
      <c r="BY1235">
        <f t="shared" si="434"/>
        <v>-0.84577759392187934</v>
      </c>
      <c r="BZ1235">
        <v>0</v>
      </c>
      <c r="CA1235">
        <v>0</v>
      </c>
      <c r="CB1235">
        <v>0</v>
      </c>
      <c r="CC1235">
        <v>0</v>
      </c>
      <c r="CD1235">
        <v>0</v>
      </c>
      <c r="CE1235">
        <v>0</v>
      </c>
      <c r="CF1235">
        <v>0</v>
      </c>
      <c r="CG1235">
        <v>0</v>
      </c>
      <c r="CH1235">
        <v>0</v>
      </c>
      <c r="CI1235">
        <v>0</v>
      </c>
      <c r="CJ1235">
        <v>0</v>
      </c>
      <c r="CK1235">
        <v>0</v>
      </c>
      <c r="CL1235">
        <v>0</v>
      </c>
      <c r="CM1235">
        <v>0</v>
      </c>
      <c r="CN1235" t="str">
        <f t="shared" si="439"/>
        <v>refOK</v>
      </c>
      <c r="CO1235">
        <f t="shared" si="425"/>
        <v>0.77733333333333332</v>
      </c>
      <c r="CP1235">
        <f t="shared" si="426"/>
        <v>229.62</v>
      </c>
      <c r="CQ1235">
        <f t="shared" si="417"/>
        <v>0.46702585034013611</v>
      </c>
      <c r="CR1235">
        <f t="shared" si="429"/>
        <v>-221</v>
      </c>
      <c r="CS1235">
        <f t="shared" si="430"/>
        <v>174</v>
      </c>
      <c r="CT1235">
        <f t="shared" si="431"/>
        <v>0.39500000000000002</v>
      </c>
      <c r="CU1235">
        <f t="shared" si="419"/>
        <v>0.84577759392187934</v>
      </c>
      <c r="CV1235" s="2">
        <f t="shared" si="432"/>
        <v>1.7873303167420815</v>
      </c>
      <c r="CW1235" s="265" t="s">
        <v>264</v>
      </c>
      <c r="CX1235" s="266" t="str">
        <f t="shared" si="407"/>
        <v>loc</v>
      </c>
      <c r="CY1235" s="266" t="s">
        <v>692</v>
      </c>
      <c r="DB1235">
        <v>0</v>
      </c>
      <c r="DC1235" t="str">
        <f t="shared" si="408"/>
        <v>0</v>
      </c>
      <c r="DD1235">
        <v>0</v>
      </c>
      <c r="DE1235">
        <v>0</v>
      </c>
      <c r="DF1235">
        <v>0</v>
      </c>
      <c r="DG1235">
        <v>1</v>
      </c>
      <c r="DH1235">
        <v>0</v>
      </c>
      <c r="DI1235">
        <f t="shared" si="448"/>
        <v>1</v>
      </c>
      <c r="DJ1235" t="str">
        <f t="shared" si="412"/>
        <v>TimberInput</v>
      </c>
      <c r="DK1235">
        <f t="shared" si="440"/>
        <v>0</v>
      </c>
      <c r="DL1235">
        <f t="shared" si="441"/>
        <v>0</v>
      </c>
      <c r="DM1235">
        <f t="shared" si="442"/>
        <v>0</v>
      </c>
      <c r="DN1235" t="str">
        <f t="shared" si="443"/>
        <v>Timber</v>
      </c>
      <c r="DO1235">
        <v>0</v>
      </c>
      <c r="DP1235">
        <v>0</v>
      </c>
      <c r="DQ1235">
        <v>0</v>
      </c>
      <c r="DR1235">
        <v>0</v>
      </c>
      <c r="DS1235">
        <v>0</v>
      </c>
      <c r="DT1235">
        <f t="shared" si="421"/>
        <v>0</v>
      </c>
      <c r="DU1235" s="143" t="str">
        <f t="shared" si="449"/>
        <v>explicit C balance</v>
      </c>
      <c r="DV1235">
        <v>0</v>
      </c>
      <c r="DW1235">
        <v>0</v>
      </c>
      <c r="DX1235">
        <v>0</v>
      </c>
      <c r="DY1235">
        <v>1</v>
      </c>
      <c r="DZ1235">
        <v>0</v>
      </c>
      <c r="EA1235">
        <v>1</v>
      </c>
      <c r="EB1235">
        <v>1</v>
      </c>
      <c r="EC1235">
        <v>1</v>
      </c>
      <c r="ED1235">
        <v>1</v>
      </c>
      <c r="EE1235">
        <v>1</v>
      </c>
      <c r="EF1235">
        <v>0</v>
      </c>
      <c r="EG1235">
        <v>0</v>
      </c>
      <c r="EH1235">
        <v>0</v>
      </c>
      <c r="EI1235" s="2">
        <v>0</v>
      </c>
      <c r="EK1235" t="str">
        <f t="shared" si="444"/>
        <v/>
      </c>
      <c r="EL1235" t="str">
        <f t="shared" si="445"/>
        <v/>
      </c>
      <c r="EM1235" s="2" t="str">
        <f t="shared" si="409"/>
        <v>Technology approach</v>
      </c>
      <c r="EP1235" t="str">
        <f>IF(ISNUMBER(BU1235),IF(ABS(BU1235-[1]QC_indicators!$B$2)&gt;3*[1]QC_indicators!$C$2,"C ratio",IF(ISNUMBER(BY1235),IF(ABS(BY1235-[1]QC_indicators!$B$1)&gt;3*[1]QC_indicators!$C$1,"DF","no"))),IF(ISNUMBER(BY1235),IF(ABS(BY1235-[1]QC_indicators!$B$1)&gt;3*[1]QC_indicators!$C$1,"DF","no")))</f>
        <v>no</v>
      </c>
      <c r="ET1235" s="266" t="s">
        <v>3409</v>
      </c>
    </row>
    <row r="1236" spans="1:150" ht="15" hidden="1" customHeight="1">
      <c r="A1236" s="1" t="s">
        <v>658</v>
      </c>
      <c r="B1236" t="s">
        <v>1143</v>
      </c>
      <c r="C1236" t="s">
        <v>1144</v>
      </c>
      <c r="D1236" t="s">
        <v>1145</v>
      </c>
      <c r="E1236" t="s">
        <v>1146</v>
      </c>
      <c r="F1236" t="s">
        <v>1147</v>
      </c>
      <c r="G1236" t="s">
        <v>664</v>
      </c>
      <c r="H1236" t="s">
        <v>255</v>
      </c>
      <c r="I1236">
        <v>2022</v>
      </c>
      <c r="J1236">
        <v>1</v>
      </c>
      <c r="K1236" t="s">
        <v>1148</v>
      </c>
      <c r="M1236" t="str">
        <f t="shared" si="411"/>
        <v>Su_2022</v>
      </c>
      <c r="N1236" t="s">
        <v>223</v>
      </c>
      <c r="O1236" s="266" t="s">
        <v>224</v>
      </c>
      <c r="Q1236" s="266" t="s">
        <v>390</v>
      </c>
      <c r="R1236" s="271" t="s">
        <v>1156</v>
      </c>
      <c r="S1236" s="265" t="s">
        <v>258</v>
      </c>
      <c r="T1236" s="266" t="s">
        <v>1154</v>
      </c>
      <c r="U1236" s="266" t="s">
        <v>1155</v>
      </c>
      <c r="V1236">
        <v>0</v>
      </c>
      <c r="W1236">
        <v>0</v>
      </c>
      <c r="X1236">
        <v>0</v>
      </c>
      <c r="Y1236">
        <v>0</v>
      </c>
      <c r="Z1236">
        <v>0</v>
      </c>
      <c r="AA1236">
        <v>0</v>
      </c>
      <c r="AB1236">
        <v>0</v>
      </c>
      <c r="AC1236">
        <v>0</v>
      </c>
      <c r="AD1236">
        <v>0</v>
      </c>
      <c r="AE1236">
        <v>0</v>
      </c>
      <c r="AF1236">
        <v>0</v>
      </c>
      <c r="AG1236">
        <v>0</v>
      </c>
      <c r="AH1236">
        <v>0</v>
      </c>
      <c r="AI1236">
        <v>0</v>
      </c>
      <c r="AJ1236">
        <v>0</v>
      </c>
      <c r="AK1236">
        <v>1</v>
      </c>
      <c r="AL1236">
        <v>0</v>
      </c>
      <c r="AM1236">
        <v>0</v>
      </c>
      <c r="AN1236">
        <v>0</v>
      </c>
      <c r="AO1236">
        <v>0</v>
      </c>
      <c r="AP1236">
        <v>0</v>
      </c>
      <c r="AQ1236">
        <v>0</v>
      </c>
      <c r="AR1236">
        <v>0</v>
      </c>
      <c r="AS1236">
        <v>0</v>
      </c>
      <c r="AT1236">
        <v>0</v>
      </c>
      <c r="AU1236">
        <v>0</v>
      </c>
      <c r="AV1236">
        <v>0</v>
      </c>
      <c r="AW1236">
        <v>0</v>
      </c>
      <c r="AX1236" s="141">
        <f t="shared" si="435"/>
        <v>1</v>
      </c>
      <c r="AY1236" s="141">
        <f t="shared" si="399"/>
        <v>1</v>
      </c>
      <c r="AZ1236">
        <f t="shared" si="400"/>
        <v>0</v>
      </c>
      <c r="BA1236">
        <f t="shared" si="401"/>
        <v>0</v>
      </c>
      <c r="BB1236">
        <f t="shared" si="402"/>
        <v>1</v>
      </c>
      <c r="BC1236">
        <f t="shared" si="403"/>
        <v>0</v>
      </c>
      <c r="BD1236">
        <f t="shared" si="404"/>
        <v>0</v>
      </c>
      <c r="BE1236" t="str" cm="1">
        <f t="array" ref="BE1236">IF(AY1236=1,INDEX($V$7:$AL$7,MATCH(TRUE,INDEX($V1236:$AW1236&lt;&gt;0,),0)),IF(AY1236=0,INDEX($AM$7:$AW$7,MATCH(1,$AM1236:$AW1236,0)),IF(BF1236="Multiple strategies","mixed drivers",IF(BF1236="Supply chain","multiple supply","multiple silviculture"))))</f>
        <v>technologies/design switch</v>
      </c>
      <c r="BF1236" s="2" t="str" cm="1">
        <f t="array" ref="BF1236">IF(COUNTIF(AZ1236:BB1236,"&lt;&gt;0")=1,INDEX($V$4:$AW$4,MATCH(TRUE,INDEX($V1236:$AW1236&lt;&gt;0,),0)),IF(COUNTIF(AZ1236:BB1236,"&lt;&gt;0")=0,INDEX($AM$4:$AW$4,MATCH(1,$AM1236:$AW1236,0)),"Multiple strategies"))</f>
        <v>Technology</v>
      </c>
      <c r="BG1236" s="1" t="s">
        <v>230</v>
      </c>
      <c r="BH1236" t="s">
        <v>1149</v>
      </c>
      <c r="BI1236" s="266" t="s">
        <v>1150</v>
      </c>
      <c r="BJ1236" s="266" t="s">
        <v>1151</v>
      </c>
      <c r="BK1236">
        <f>(565731+64622+51138+7369)/2/3000</f>
        <v>114.81</v>
      </c>
      <c r="BL1236">
        <f>(565731+64622+51138+7369)*1.5/3000</f>
        <v>344.43</v>
      </c>
      <c r="BN1236">
        <f t="shared" si="413"/>
        <v>229.62</v>
      </c>
      <c r="BO1236">
        <f>BN1236*kg_to_m3</f>
        <v>0.46861224489795922</v>
      </c>
      <c r="BP1236" s="266" t="s">
        <v>396</v>
      </c>
      <c r="BQ1236" s="266" t="s">
        <v>1152</v>
      </c>
      <c r="BR1236" s="266" t="s">
        <v>1153</v>
      </c>
      <c r="BS1236">
        <v>-212</v>
      </c>
      <c r="BT1236">
        <v>-54.6</v>
      </c>
      <c r="BV1236">
        <f t="shared" si="437"/>
        <v>157.4</v>
      </c>
      <c r="BX1236">
        <f t="shared" si="447"/>
        <v>0.15740000000000001</v>
      </c>
      <c r="BY1236">
        <f t="shared" si="434"/>
        <v>0.3358853758383416</v>
      </c>
      <c r="BZ1236">
        <v>0</v>
      </c>
      <c r="CA1236">
        <v>0</v>
      </c>
      <c r="CB1236">
        <v>0</v>
      </c>
      <c r="CC1236">
        <v>0</v>
      </c>
      <c r="CD1236">
        <v>0</v>
      </c>
      <c r="CE1236">
        <v>0</v>
      </c>
      <c r="CF1236">
        <v>0</v>
      </c>
      <c r="CG1236">
        <v>0</v>
      </c>
      <c r="CH1236">
        <v>0</v>
      </c>
      <c r="CI1236">
        <v>0</v>
      </c>
      <c r="CJ1236">
        <v>0</v>
      </c>
      <c r="CK1236">
        <v>0</v>
      </c>
      <c r="CL1236">
        <v>0</v>
      </c>
      <c r="CM1236">
        <v>0</v>
      </c>
      <c r="CN1236" t="str">
        <f t="shared" si="439"/>
        <v>refOK</v>
      </c>
      <c r="CO1236">
        <f>IF($CN1236="refOK",$BL1236,$BK1236)</f>
        <v>344.43</v>
      </c>
      <c r="CP1236">
        <f>IF($CN1236="refOK",$BK1236,$BL1236)</f>
        <v>114.81</v>
      </c>
      <c r="CQ1236">
        <f t="shared" si="417"/>
        <v>0.46861224489795922</v>
      </c>
      <c r="CR1236">
        <f>IF($CN1236="refOK",$BT1236,$BS1236)*IF($BP1236="Emissions positive",-1,1)</f>
        <v>54.6</v>
      </c>
      <c r="CS1236">
        <f>IF($CN1236="refOK",$BS1236,$BT1236)*IF($BP1236="Emissions positive",-1,1)</f>
        <v>212</v>
      </c>
      <c r="CT1236">
        <f t="shared" si="431"/>
        <v>-0.15740000000000001</v>
      </c>
      <c r="CU1236">
        <f t="shared" si="419"/>
        <v>-0.3358853758383416</v>
      </c>
      <c r="CV1236" s="2">
        <f t="shared" si="432"/>
        <v>2.8827838827838828</v>
      </c>
      <c r="CW1236" s="265" t="s">
        <v>264</v>
      </c>
      <c r="CX1236" s="266" t="str">
        <f t="shared" si="407"/>
        <v>loc</v>
      </c>
      <c r="CY1236" s="266" t="s">
        <v>692</v>
      </c>
      <c r="DB1236">
        <v>0</v>
      </c>
      <c r="DC1236" t="str">
        <f t="shared" si="408"/>
        <v>0</v>
      </c>
      <c r="DD1236">
        <v>0</v>
      </c>
      <c r="DE1236">
        <v>0</v>
      </c>
      <c r="DF1236">
        <v>0</v>
      </c>
      <c r="DG1236">
        <v>1</v>
      </c>
      <c r="DH1236">
        <v>0</v>
      </c>
      <c r="DI1236">
        <f t="shared" si="448"/>
        <v>1</v>
      </c>
      <c r="DJ1236" t="str">
        <f t="shared" si="412"/>
        <v>TimberInput</v>
      </c>
      <c r="DK1236">
        <f t="shared" si="440"/>
        <v>0</v>
      </c>
      <c r="DL1236">
        <f t="shared" si="441"/>
        <v>0</v>
      </c>
      <c r="DM1236">
        <f t="shared" si="442"/>
        <v>0</v>
      </c>
      <c r="DN1236" t="str">
        <f t="shared" si="443"/>
        <v>Timber</v>
      </c>
      <c r="DO1236">
        <v>0</v>
      </c>
      <c r="DP1236">
        <v>0</v>
      </c>
      <c r="DQ1236">
        <v>0</v>
      </c>
      <c r="DR1236">
        <v>0</v>
      </c>
      <c r="DS1236">
        <v>0</v>
      </c>
      <c r="DT1236">
        <f t="shared" si="421"/>
        <v>0</v>
      </c>
      <c r="DU1236" s="143" t="str">
        <f t="shared" si="449"/>
        <v>explicit C balance</v>
      </c>
      <c r="DV1236">
        <v>0</v>
      </c>
      <c r="DW1236">
        <v>0</v>
      </c>
      <c r="DX1236">
        <v>0</v>
      </c>
      <c r="DY1236">
        <v>1</v>
      </c>
      <c r="DZ1236">
        <v>0</v>
      </c>
      <c r="EA1236">
        <v>1</v>
      </c>
      <c r="EB1236">
        <v>1</v>
      </c>
      <c r="EC1236">
        <v>1</v>
      </c>
      <c r="ED1236">
        <v>1</v>
      </c>
      <c r="EE1236">
        <v>1</v>
      </c>
      <c r="EF1236">
        <v>0</v>
      </c>
      <c r="EG1236">
        <v>0</v>
      </c>
      <c r="EH1236">
        <v>0</v>
      </c>
      <c r="EI1236" s="2">
        <v>0</v>
      </c>
      <c r="EK1236" t="str">
        <f t="shared" si="444"/>
        <v/>
      </c>
      <c r="EL1236" t="str">
        <f t="shared" si="445"/>
        <v/>
      </c>
      <c r="EM1236" s="2" t="str">
        <f t="shared" si="409"/>
        <v>Technology approach</v>
      </c>
      <c r="EP1236" t="str">
        <f>IF(ISNUMBER(BU1236),IF(ABS(BU1236-[1]QC_indicators!$B$2)&gt;3*[1]QC_indicators!$C$2,"C ratio",IF(ISNUMBER(BY1236),IF(ABS(BY1236-[1]QC_indicators!$B$1)&gt;3*[1]QC_indicators!$C$1,"DF","no"))),IF(ISNUMBER(BY1236),IF(ABS(BY1236-[1]QC_indicators!$B$1)&gt;3*[1]QC_indicators!$C$1,"DF","no")))</f>
        <v>no</v>
      </c>
      <c r="ET1236" s="266" t="s">
        <v>3409</v>
      </c>
    </row>
    <row r="1237" spans="1:150" ht="15" hidden="1" customHeight="1">
      <c r="D1237" t="s">
        <v>759</v>
      </c>
      <c r="E1237" t="s">
        <v>760</v>
      </c>
      <c r="G1237" t="s">
        <v>761</v>
      </c>
      <c r="I1237">
        <v>2006</v>
      </c>
      <c r="K1237" s="298" t="s">
        <v>762</v>
      </c>
      <c r="M1237" t="str">
        <f t="shared" si="411"/>
        <v>Gustavsson_2006</v>
      </c>
      <c r="N1237" t="s">
        <v>223</v>
      </c>
      <c r="O1237" t="s">
        <v>224</v>
      </c>
      <c r="Q1237" s="266" t="s">
        <v>257</v>
      </c>
      <c r="R1237" s="271" t="s">
        <v>1156</v>
      </c>
      <c r="S1237" s="265" t="s">
        <v>763</v>
      </c>
      <c r="T1237" t="s">
        <v>755</v>
      </c>
      <c r="U1237" s="143" t="s">
        <v>756</v>
      </c>
      <c r="V1237">
        <v>0</v>
      </c>
      <c r="W1237">
        <v>0</v>
      </c>
      <c r="X1237">
        <v>0</v>
      </c>
      <c r="Y1237">
        <v>0</v>
      </c>
      <c r="Z1237">
        <v>0</v>
      </c>
      <c r="AA1237">
        <v>0</v>
      </c>
      <c r="AB1237">
        <v>0</v>
      </c>
      <c r="AC1237">
        <v>0</v>
      </c>
      <c r="AD1237">
        <v>0</v>
      </c>
      <c r="AE1237">
        <v>0</v>
      </c>
      <c r="AF1237">
        <v>0</v>
      </c>
      <c r="AG1237">
        <v>0</v>
      </c>
      <c r="AH1237">
        <v>0</v>
      </c>
      <c r="AI1237">
        <v>0</v>
      </c>
      <c r="AJ1237">
        <v>0</v>
      </c>
      <c r="AK1237">
        <v>1</v>
      </c>
      <c r="AL1237">
        <v>0</v>
      </c>
      <c r="AM1237">
        <v>0</v>
      </c>
      <c r="AN1237">
        <v>0</v>
      </c>
      <c r="AO1237">
        <v>0</v>
      </c>
      <c r="AP1237">
        <v>0</v>
      </c>
      <c r="AQ1237">
        <v>0</v>
      </c>
      <c r="AR1237">
        <v>0</v>
      </c>
      <c r="AS1237">
        <v>0</v>
      </c>
      <c r="AT1237">
        <v>0</v>
      </c>
      <c r="AU1237">
        <v>0</v>
      </c>
      <c r="AV1237">
        <v>0</v>
      </c>
      <c r="AW1237">
        <v>0</v>
      </c>
      <c r="AX1237" s="141">
        <f t="shared" si="435"/>
        <v>1</v>
      </c>
      <c r="AY1237" s="141">
        <f t="shared" si="399"/>
        <v>1</v>
      </c>
      <c r="AZ1237">
        <f t="shared" si="400"/>
        <v>0</v>
      </c>
      <c r="BA1237">
        <f t="shared" si="401"/>
        <v>0</v>
      </c>
      <c r="BB1237">
        <f t="shared" si="402"/>
        <v>1</v>
      </c>
      <c r="BC1237">
        <f t="shared" si="403"/>
        <v>0</v>
      </c>
      <c r="BD1237">
        <f t="shared" si="404"/>
        <v>0</v>
      </c>
      <c r="BE1237" t="str" cm="1">
        <f t="array" ref="BE1237">IF(AY1237=1,INDEX($V$7:$AL$7,MATCH(TRUE,INDEX($V1237:$AW1237&lt;&gt;0,),0)),IF(AY1237=0,INDEX($AM$7:$AW$7,MATCH(1,$AM1237:$AW1237,0)),IF(BF1237="Multiple strategies","mixed drivers",IF(BF1237="Supply chain","multiple supply","multiple silviculture"))))</f>
        <v>technologies/design switch</v>
      </c>
      <c r="BF1237" s="2" t="str" cm="1">
        <f t="array" ref="BF1237">IF(COUNTIF(AZ1237:BB1237,"&lt;&gt;0")=1,INDEX($V$4:$AW$4,MATCH(TRUE,INDEX($V1237:$AW1237&lt;&gt;0,),0)),IF(COUNTIF(AZ1237:BB1237,"&lt;&gt;0")=0,INDEX($AM$4:$AW$4,MATCH(1,$AM1237:$AW1237,0)),"Multiple strategies"))</f>
        <v>Technology</v>
      </c>
      <c r="BG1237" s="142" t="s">
        <v>230</v>
      </c>
      <c r="BH1237" t="s">
        <v>394</v>
      </c>
      <c r="BI1237" s="266" t="s">
        <v>764</v>
      </c>
      <c r="BJ1237" s="143" t="s">
        <v>765</v>
      </c>
      <c r="BK1237">
        <v>32</v>
      </c>
      <c r="BL1237" s="143">
        <v>145</v>
      </c>
      <c r="BM1237" s="143"/>
      <c r="BN1237">
        <f t="shared" si="413"/>
        <v>113</v>
      </c>
      <c r="BO1237" s="143">
        <f>BN1237*t_to_m3</f>
        <v>230.61224489795919</v>
      </c>
      <c r="BP1237" s="266" t="s">
        <v>233</v>
      </c>
      <c r="BQ1237" s="155" t="s">
        <v>766</v>
      </c>
      <c r="BR1237" t="s">
        <v>443</v>
      </c>
      <c r="BS1237" s="143">
        <v>-119.4</v>
      </c>
      <c r="BT1237" s="151">
        <v>-136.69999999999999</v>
      </c>
      <c r="BV1237">
        <f t="shared" si="437"/>
        <v>-17.299999999999983</v>
      </c>
      <c r="BX1237">
        <f>BV1237*C_to_CO2</f>
        <v>-63.490999999999936</v>
      </c>
      <c r="BY1237">
        <f t="shared" si="434"/>
        <v>-0.2753149557522121</v>
      </c>
      <c r="BZ1237" s="143">
        <v>0</v>
      </c>
      <c r="CA1237" s="143">
        <v>0</v>
      </c>
      <c r="CB1237" s="143">
        <v>0</v>
      </c>
      <c r="CC1237" s="143">
        <v>0</v>
      </c>
      <c r="CD1237" s="143">
        <v>0</v>
      </c>
      <c r="CE1237" s="143">
        <v>0</v>
      </c>
      <c r="CF1237" s="143">
        <v>0</v>
      </c>
      <c r="CG1237" s="143">
        <v>0</v>
      </c>
      <c r="CH1237" s="143">
        <v>0</v>
      </c>
      <c r="CI1237" s="143">
        <v>0</v>
      </c>
      <c r="CJ1237" s="143">
        <v>0</v>
      </c>
      <c r="CK1237" s="143">
        <v>0</v>
      </c>
      <c r="CL1237" s="143">
        <v>0</v>
      </c>
      <c r="CM1237">
        <v>0</v>
      </c>
      <c r="CN1237" t="str">
        <f t="shared" si="439"/>
        <v>refOK</v>
      </c>
      <c r="CO1237">
        <f>IF($CN1237="refOK",$BK1237,$BL1237)</f>
        <v>32</v>
      </c>
      <c r="CP1237">
        <f>IF($CN1237="refOK",$BL1237,$BK1237)</f>
        <v>145</v>
      </c>
      <c r="CQ1237">
        <f t="shared" si="417"/>
        <v>230.61224489795919</v>
      </c>
      <c r="CR1237">
        <f>IF($CN1237="refOK",$BS1237,$BT1237)*IF($BP1237="Emissions positive",-1,1)</f>
        <v>-119.4</v>
      </c>
      <c r="CS1237">
        <f>IF($CN1237="refOK",$BT1237,$BS1237)*IF($BP1237="Emissions positive",-1,1)</f>
        <v>-136.69999999999999</v>
      </c>
      <c r="CT1237">
        <f t="shared" si="431"/>
        <v>-63.490999999999936</v>
      </c>
      <c r="CU1237">
        <f t="shared" si="419"/>
        <v>-0.2753149557522121</v>
      </c>
      <c r="CV1237" s="2">
        <f t="shared" si="432"/>
        <v>-0.14489112227805681</v>
      </c>
      <c r="CW1237" s="1" t="s">
        <v>264</v>
      </c>
      <c r="CX1237" s="266" t="str">
        <f t="shared" si="407"/>
        <v>loc</v>
      </c>
      <c r="CY1237" t="s">
        <v>236</v>
      </c>
      <c r="DA1237" s="143"/>
      <c r="DB1237" s="143">
        <v>0</v>
      </c>
      <c r="DC1237" t="str">
        <f t="shared" si="408"/>
        <v>0</v>
      </c>
      <c r="DD1237">
        <v>0</v>
      </c>
      <c r="DE1237">
        <v>0</v>
      </c>
      <c r="DF1237">
        <v>0</v>
      </c>
      <c r="DG1237">
        <v>1</v>
      </c>
      <c r="DI1237">
        <f t="shared" si="448"/>
        <v>1</v>
      </c>
      <c r="DJ1237" t="str">
        <f t="shared" si="412"/>
        <v>TimberInput</v>
      </c>
      <c r="DK1237">
        <f t="shared" si="440"/>
        <v>0</v>
      </c>
      <c r="DL1237">
        <f t="shared" si="441"/>
        <v>0</v>
      </c>
      <c r="DM1237">
        <f t="shared" si="442"/>
        <v>0</v>
      </c>
      <c r="DN1237" t="str">
        <f t="shared" si="443"/>
        <v>Timber</v>
      </c>
      <c r="DO1237">
        <v>1</v>
      </c>
      <c r="DP1237" s="143">
        <v>0</v>
      </c>
      <c r="DQ1237" s="143">
        <v>0</v>
      </c>
      <c r="DR1237">
        <v>0</v>
      </c>
      <c r="DS1237" s="143">
        <v>0</v>
      </c>
      <c r="DT1237">
        <f t="shared" si="421"/>
        <v>1</v>
      </c>
      <c r="DU1237" s="143" t="str">
        <f t="shared" si="449"/>
        <v>self-calculated DF</v>
      </c>
      <c r="DV1237" s="143">
        <v>0</v>
      </c>
      <c r="DW1237" s="143">
        <v>0</v>
      </c>
      <c r="DX1237" s="143">
        <v>1</v>
      </c>
      <c r="DY1237" s="143">
        <v>1</v>
      </c>
      <c r="DZ1237">
        <v>0</v>
      </c>
      <c r="EA1237" s="143">
        <v>1</v>
      </c>
      <c r="EB1237" s="143">
        <v>1</v>
      </c>
      <c r="EC1237" s="143">
        <v>1</v>
      </c>
      <c r="ED1237" s="143">
        <v>0</v>
      </c>
      <c r="EE1237">
        <v>0</v>
      </c>
      <c r="EF1237">
        <v>1</v>
      </c>
      <c r="EG1237" s="143">
        <v>0</v>
      </c>
      <c r="EH1237" s="143">
        <v>0</v>
      </c>
      <c r="EI1237" s="2">
        <v>0</v>
      </c>
      <c r="EK1237" t="str">
        <f t="shared" si="444"/>
        <v/>
      </c>
      <c r="EL1237" t="str">
        <f t="shared" si="445"/>
        <v/>
      </c>
      <c r="EM1237" s="2" t="str">
        <f t="shared" si="409"/>
        <v/>
      </c>
      <c r="EP1237" t="str">
        <f>IF(ISNUMBER(BU1237),IF(ABS(BU1237-[1]QC_indicators!$B$2)&gt;3*[1]QC_indicators!$C$2,"C ratio",IF(ISNUMBER(BY1237),IF(ABS(BY1237-[1]QC_indicators!$B$1)&gt;3*[1]QC_indicators!$C$1,"DF","no"))),IF(ISNUMBER(BY1237),IF(ABS(BY1237-[1]QC_indicators!$B$1)&gt;3*[1]QC_indicators!$C$1,"DF","no")))</f>
        <v>no</v>
      </c>
      <c r="ER1237" s="296" t="s">
        <v>350</v>
      </c>
      <c r="ET1237" s="266" t="s">
        <v>3409</v>
      </c>
    </row>
    <row r="1238" spans="1:150" ht="15" hidden="1" customHeight="1">
      <c r="D1238" t="s">
        <v>759</v>
      </c>
      <c r="E1238" t="s">
        <v>760</v>
      </c>
      <c r="G1238" t="s">
        <v>761</v>
      </c>
      <c r="I1238">
        <v>2006</v>
      </c>
      <c r="K1238" s="298" t="s">
        <v>762</v>
      </c>
      <c r="M1238" t="str">
        <f t="shared" si="411"/>
        <v>Gustavsson_2006</v>
      </c>
      <c r="N1238" t="s">
        <v>223</v>
      </c>
      <c r="O1238" t="s">
        <v>224</v>
      </c>
      <c r="Q1238" s="266" t="s">
        <v>257</v>
      </c>
      <c r="R1238" s="271" t="s">
        <v>1156</v>
      </c>
      <c r="S1238" s="265" t="s">
        <v>767</v>
      </c>
      <c r="T1238" t="s">
        <v>755</v>
      </c>
      <c r="U1238" s="143" t="s">
        <v>756</v>
      </c>
      <c r="V1238">
        <v>0</v>
      </c>
      <c r="W1238">
        <v>0</v>
      </c>
      <c r="X1238">
        <v>0</v>
      </c>
      <c r="Y1238">
        <v>0</v>
      </c>
      <c r="Z1238">
        <v>0</v>
      </c>
      <c r="AA1238">
        <v>0</v>
      </c>
      <c r="AB1238">
        <v>0</v>
      </c>
      <c r="AC1238">
        <v>0</v>
      </c>
      <c r="AD1238">
        <v>0</v>
      </c>
      <c r="AE1238">
        <v>0</v>
      </c>
      <c r="AF1238">
        <v>0</v>
      </c>
      <c r="AG1238">
        <v>0</v>
      </c>
      <c r="AH1238">
        <v>0</v>
      </c>
      <c r="AI1238">
        <v>0</v>
      </c>
      <c r="AJ1238">
        <v>0</v>
      </c>
      <c r="AK1238">
        <v>1</v>
      </c>
      <c r="AL1238">
        <v>0</v>
      </c>
      <c r="AM1238">
        <v>0</v>
      </c>
      <c r="AN1238">
        <v>0</v>
      </c>
      <c r="AO1238">
        <v>0</v>
      </c>
      <c r="AP1238">
        <v>0</v>
      </c>
      <c r="AQ1238">
        <v>0</v>
      </c>
      <c r="AR1238">
        <v>0</v>
      </c>
      <c r="AS1238">
        <v>0</v>
      </c>
      <c r="AT1238">
        <v>0</v>
      </c>
      <c r="AU1238">
        <v>0</v>
      </c>
      <c r="AV1238">
        <v>0</v>
      </c>
      <c r="AW1238">
        <v>0</v>
      </c>
      <c r="AX1238" s="141">
        <f t="shared" si="435"/>
        <v>1</v>
      </c>
      <c r="AY1238" s="141">
        <f t="shared" si="399"/>
        <v>1</v>
      </c>
      <c r="AZ1238">
        <f t="shared" si="400"/>
        <v>0</v>
      </c>
      <c r="BA1238">
        <f t="shared" si="401"/>
        <v>0</v>
      </c>
      <c r="BB1238">
        <f t="shared" si="402"/>
        <v>1</v>
      </c>
      <c r="BC1238">
        <f t="shared" si="403"/>
        <v>0</v>
      </c>
      <c r="BD1238">
        <f t="shared" si="404"/>
        <v>0</v>
      </c>
      <c r="BE1238" t="str" cm="1">
        <f t="array" ref="BE1238">IF(AY1238=1,INDEX($V$7:$AL$7,MATCH(TRUE,INDEX($V1238:$AW1238&lt;&gt;0,),0)),IF(AY1238=0,INDEX($AM$7:$AW$7,MATCH(1,$AM1238:$AW1238,0)),IF(BF1238="Multiple strategies","mixed drivers",IF(BF1238="Supply chain","multiple supply","multiple silviculture"))))</f>
        <v>technologies/design switch</v>
      </c>
      <c r="BF1238" s="2" t="str" cm="1">
        <f t="array" ref="BF1238">IF(COUNTIF(AZ1238:BB1238,"&lt;&gt;0")=1,INDEX($V$4:$AW$4,MATCH(TRUE,INDEX($V1238:$AW1238&lt;&gt;0,),0)),IF(COUNTIF(AZ1238:BB1238,"&lt;&gt;0")=0,INDEX($AM$4:$AW$4,MATCH(1,$AM1238:$AW1238,0)),"Multiple strategies"))</f>
        <v>Technology</v>
      </c>
      <c r="BG1238" s="142" t="s">
        <v>230</v>
      </c>
      <c r="BH1238" t="s">
        <v>394</v>
      </c>
      <c r="BI1238" s="266" t="s">
        <v>764</v>
      </c>
      <c r="BJ1238" s="143" t="s">
        <v>765</v>
      </c>
      <c r="BK1238">
        <v>86.6</v>
      </c>
      <c r="BL1238" s="143">
        <v>428</v>
      </c>
      <c r="BM1238" s="143"/>
      <c r="BN1238">
        <f t="shared" si="413"/>
        <v>341.4</v>
      </c>
      <c r="BO1238" s="143">
        <f>BN1238*t_to_m3</f>
        <v>696.73469387755097</v>
      </c>
      <c r="BP1238" s="266" t="s">
        <v>233</v>
      </c>
      <c r="BQ1238" s="155" t="s">
        <v>766</v>
      </c>
      <c r="BR1238" t="s">
        <v>443</v>
      </c>
      <c r="BS1238" s="143">
        <v>-119.4</v>
      </c>
      <c r="BT1238" s="151">
        <v>-136.69999999999999</v>
      </c>
      <c r="BV1238">
        <f t="shared" si="437"/>
        <v>-17.299999999999983</v>
      </c>
      <c r="BX1238">
        <f>BV1238*C_to_CO2</f>
        <v>-63.490999999999936</v>
      </c>
      <c r="BY1238">
        <f t="shared" si="434"/>
        <v>-9.1126508494434599E-2</v>
      </c>
      <c r="BZ1238" s="143">
        <v>0</v>
      </c>
      <c r="CA1238" s="143">
        <v>0</v>
      </c>
      <c r="CB1238" s="143">
        <v>0</v>
      </c>
      <c r="CC1238" s="143">
        <v>0</v>
      </c>
      <c r="CD1238" s="143">
        <v>0</v>
      </c>
      <c r="CE1238" s="143">
        <v>0</v>
      </c>
      <c r="CF1238" s="143">
        <v>0</v>
      </c>
      <c r="CG1238" s="143">
        <v>0</v>
      </c>
      <c r="CH1238" s="143">
        <v>0</v>
      </c>
      <c r="CI1238" s="143">
        <v>0</v>
      </c>
      <c r="CJ1238" s="143">
        <v>0</v>
      </c>
      <c r="CK1238" s="143">
        <v>0</v>
      </c>
      <c r="CL1238" s="143">
        <v>0</v>
      </c>
      <c r="CM1238">
        <v>0</v>
      </c>
      <c r="CN1238" t="str">
        <f t="shared" si="439"/>
        <v>refOK</v>
      </c>
      <c r="CO1238">
        <f>IF($CN1238="refOK",$BK1238,$BL1238)</f>
        <v>86.6</v>
      </c>
      <c r="CP1238">
        <f>IF($CN1238="refOK",$BL1238,$BK1238)</f>
        <v>428</v>
      </c>
      <c r="CQ1238">
        <f t="shared" si="417"/>
        <v>696.73469387755097</v>
      </c>
      <c r="CR1238">
        <f>IF($CN1238="refOK",$BS1238,$BT1238)*IF($BP1238="Emissions positive",-1,1)</f>
        <v>-119.4</v>
      </c>
      <c r="CS1238">
        <f>IF($CN1238="refOK",$BT1238,$BS1238)*IF($BP1238="Emissions positive",-1,1)</f>
        <v>-136.69999999999999</v>
      </c>
      <c r="CT1238">
        <f t="shared" si="431"/>
        <v>-63.490999999999936</v>
      </c>
      <c r="CU1238">
        <f t="shared" si="419"/>
        <v>-9.1126508494434599E-2</v>
      </c>
      <c r="CV1238" s="2">
        <f t="shared" si="432"/>
        <v>-0.14489112227805681</v>
      </c>
      <c r="CW1238" s="1" t="s">
        <v>264</v>
      </c>
      <c r="CX1238" s="266" t="str">
        <f t="shared" si="407"/>
        <v>loc</v>
      </c>
      <c r="CY1238" t="s">
        <v>236</v>
      </c>
      <c r="DA1238" s="143"/>
      <c r="DB1238" s="143">
        <v>0</v>
      </c>
      <c r="DC1238" t="str">
        <f t="shared" si="408"/>
        <v>0</v>
      </c>
      <c r="DD1238">
        <v>0</v>
      </c>
      <c r="DE1238">
        <v>0</v>
      </c>
      <c r="DF1238">
        <v>0</v>
      </c>
      <c r="DG1238">
        <v>1</v>
      </c>
      <c r="DI1238">
        <f t="shared" si="448"/>
        <v>1</v>
      </c>
      <c r="DJ1238" t="str">
        <f t="shared" si="412"/>
        <v>TimberInput</v>
      </c>
      <c r="DK1238">
        <f t="shared" si="440"/>
        <v>0</v>
      </c>
      <c r="DL1238">
        <f t="shared" si="441"/>
        <v>0</v>
      </c>
      <c r="DM1238">
        <f t="shared" si="442"/>
        <v>0</v>
      </c>
      <c r="DN1238" t="str">
        <f t="shared" si="443"/>
        <v>Timber</v>
      </c>
      <c r="DO1238">
        <v>1</v>
      </c>
      <c r="DP1238" s="143">
        <v>0</v>
      </c>
      <c r="DQ1238" s="143">
        <v>0</v>
      </c>
      <c r="DR1238">
        <v>0</v>
      </c>
      <c r="DS1238" s="143">
        <v>0</v>
      </c>
      <c r="DT1238">
        <f t="shared" si="421"/>
        <v>1</v>
      </c>
      <c r="DU1238" s="143" t="str">
        <f t="shared" si="449"/>
        <v>self-calculated DF</v>
      </c>
      <c r="DV1238" s="143">
        <v>0</v>
      </c>
      <c r="DW1238" s="143">
        <v>1</v>
      </c>
      <c r="DX1238" s="143">
        <v>1</v>
      </c>
      <c r="DY1238" s="143">
        <v>1</v>
      </c>
      <c r="DZ1238">
        <v>0</v>
      </c>
      <c r="EA1238" s="143">
        <v>1</v>
      </c>
      <c r="EB1238" s="143">
        <v>1</v>
      </c>
      <c r="EC1238" s="143">
        <v>1</v>
      </c>
      <c r="ED1238" s="143">
        <v>0</v>
      </c>
      <c r="EE1238">
        <v>0</v>
      </c>
      <c r="EF1238">
        <v>1</v>
      </c>
      <c r="EG1238" s="143">
        <v>0</v>
      </c>
      <c r="EH1238" s="143">
        <v>0</v>
      </c>
      <c r="EI1238" s="2">
        <v>0</v>
      </c>
      <c r="EK1238" t="str">
        <f t="shared" si="444"/>
        <v>Whole sector</v>
      </c>
      <c r="EL1238" t="str">
        <f t="shared" si="445"/>
        <v/>
      </c>
      <c r="EM1238" s="2" t="str">
        <f t="shared" si="409"/>
        <v/>
      </c>
      <c r="EP1238" t="str">
        <f>IF(ISNUMBER(BU1238),IF(ABS(BU1238-[1]QC_indicators!$B$2)&gt;3*[1]QC_indicators!$C$2,"C ratio",IF(ISNUMBER(BY1238),IF(ABS(BY1238-[1]QC_indicators!$B$1)&gt;3*[1]QC_indicators!$C$1,"DF","no"))),IF(ISNUMBER(BY1238),IF(ABS(BY1238-[1]QC_indicators!$B$1)&gt;3*[1]QC_indicators!$C$1,"DF","no")))</f>
        <v>no</v>
      </c>
      <c r="ER1238" s="296" t="s">
        <v>350</v>
      </c>
      <c r="ET1238" s="266" t="s">
        <v>3409</v>
      </c>
    </row>
    <row r="1239" spans="1:150" ht="15" hidden="1" customHeight="1">
      <c r="D1239" t="s">
        <v>759</v>
      </c>
      <c r="E1239" t="s">
        <v>760</v>
      </c>
      <c r="G1239" t="s">
        <v>761</v>
      </c>
      <c r="I1239">
        <v>2006</v>
      </c>
      <c r="K1239" s="298" t="s">
        <v>762</v>
      </c>
      <c r="M1239" t="str">
        <f t="shared" si="411"/>
        <v>Gustavsson_2006</v>
      </c>
      <c r="N1239" t="s">
        <v>223</v>
      </c>
      <c r="O1239" t="s">
        <v>224</v>
      </c>
      <c r="Q1239" s="266" t="s">
        <v>257</v>
      </c>
      <c r="R1239" s="271" t="s">
        <v>1156</v>
      </c>
      <c r="S1239" s="265" t="s">
        <v>770</v>
      </c>
      <c r="T1239" t="s">
        <v>755</v>
      </c>
      <c r="U1239" s="143" t="s">
        <v>756</v>
      </c>
      <c r="V1239">
        <v>0</v>
      </c>
      <c r="W1239">
        <v>0</v>
      </c>
      <c r="X1239">
        <v>0</v>
      </c>
      <c r="Y1239">
        <v>0</v>
      </c>
      <c r="Z1239">
        <v>0</v>
      </c>
      <c r="AA1239">
        <v>0</v>
      </c>
      <c r="AB1239">
        <v>0</v>
      </c>
      <c r="AC1239">
        <v>0</v>
      </c>
      <c r="AD1239">
        <v>0</v>
      </c>
      <c r="AE1239">
        <v>0</v>
      </c>
      <c r="AF1239">
        <v>0</v>
      </c>
      <c r="AG1239">
        <v>0</v>
      </c>
      <c r="AH1239">
        <v>0</v>
      </c>
      <c r="AI1239">
        <v>0</v>
      </c>
      <c r="AJ1239">
        <v>0</v>
      </c>
      <c r="AK1239">
        <v>1</v>
      </c>
      <c r="AL1239">
        <v>0</v>
      </c>
      <c r="AM1239">
        <v>0</v>
      </c>
      <c r="AN1239">
        <v>0</v>
      </c>
      <c r="AO1239">
        <v>0</v>
      </c>
      <c r="AP1239">
        <v>0</v>
      </c>
      <c r="AQ1239">
        <v>0</v>
      </c>
      <c r="AR1239">
        <v>0</v>
      </c>
      <c r="AS1239">
        <v>0</v>
      </c>
      <c r="AT1239">
        <v>0</v>
      </c>
      <c r="AU1239">
        <v>0</v>
      </c>
      <c r="AV1239">
        <v>0</v>
      </c>
      <c r="AW1239">
        <v>0</v>
      </c>
      <c r="AX1239" s="141">
        <f t="shared" si="435"/>
        <v>1</v>
      </c>
      <c r="AY1239" s="141">
        <f t="shared" si="399"/>
        <v>1</v>
      </c>
      <c r="AZ1239">
        <f t="shared" si="400"/>
        <v>0</v>
      </c>
      <c r="BA1239">
        <f t="shared" si="401"/>
        <v>0</v>
      </c>
      <c r="BB1239">
        <f t="shared" si="402"/>
        <v>1</v>
      </c>
      <c r="BC1239">
        <f t="shared" si="403"/>
        <v>0</v>
      </c>
      <c r="BD1239">
        <f t="shared" si="404"/>
        <v>0</v>
      </c>
      <c r="BE1239" t="str" cm="1">
        <f t="array" ref="BE1239">IF(AY1239=1,INDEX($V$7:$AL$7,MATCH(TRUE,INDEX($V1239:$AW1239&lt;&gt;0,),0)),IF(AY1239=0,INDEX($AM$7:$AW$7,MATCH(1,$AM1239:$AW1239,0)),IF(BF1239="Multiple strategies","mixed drivers",IF(BF1239="Supply chain","multiple supply","multiple silviculture"))))</f>
        <v>technologies/design switch</v>
      </c>
      <c r="BF1239" s="2" t="str" cm="1">
        <f t="array" ref="BF1239">IF(COUNTIF(AZ1239:BB1239,"&lt;&gt;0")=1,INDEX($V$4:$AW$4,MATCH(TRUE,INDEX($V1239:$AW1239&lt;&gt;0,),0)),IF(COUNTIF(AZ1239:BB1239,"&lt;&gt;0")=0,INDEX($AM$4:$AW$4,MATCH(1,$AM1239:$AW1239,0)),"Multiple strategies"))</f>
        <v>Technology</v>
      </c>
      <c r="BG1239" s="142" t="s">
        <v>230</v>
      </c>
      <c r="BH1239" t="s">
        <v>394</v>
      </c>
      <c r="BI1239" s="266" t="s">
        <v>764</v>
      </c>
      <c r="BJ1239" s="143" t="s">
        <v>765</v>
      </c>
      <c r="BK1239">
        <v>195</v>
      </c>
      <c r="BL1239" s="143">
        <v>291</v>
      </c>
      <c r="BM1239" s="143"/>
      <c r="BN1239">
        <f t="shared" si="413"/>
        <v>96</v>
      </c>
      <c r="BO1239" s="143">
        <f>BN1239*t_to_m3</f>
        <v>195.91836734693879</v>
      </c>
      <c r="BP1239" s="266" t="s">
        <v>233</v>
      </c>
      <c r="BQ1239" s="155" t="s">
        <v>766</v>
      </c>
      <c r="BR1239" t="s">
        <v>443</v>
      </c>
      <c r="BS1239" s="143">
        <v>-120.5</v>
      </c>
      <c r="BT1239" s="151">
        <v>-103</v>
      </c>
      <c r="BV1239">
        <f t="shared" si="437"/>
        <v>17.5</v>
      </c>
      <c r="BX1239">
        <f>BV1239*C_to_CO2</f>
        <v>64.224999999999994</v>
      </c>
      <c r="BY1239">
        <f t="shared" si="434"/>
        <v>0.32781510416666659</v>
      </c>
      <c r="BZ1239" s="143">
        <v>0</v>
      </c>
      <c r="CA1239" s="143">
        <v>0</v>
      </c>
      <c r="CB1239" s="143">
        <v>0</v>
      </c>
      <c r="CC1239" s="143">
        <v>0</v>
      </c>
      <c r="CD1239" s="143">
        <v>0</v>
      </c>
      <c r="CE1239" s="143">
        <v>0</v>
      </c>
      <c r="CF1239" s="143">
        <v>0</v>
      </c>
      <c r="CG1239" s="143">
        <v>0</v>
      </c>
      <c r="CH1239" s="143">
        <v>0</v>
      </c>
      <c r="CI1239" s="143">
        <v>0</v>
      </c>
      <c r="CJ1239" s="143">
        <v>0</v>
      </c>
      <c r="CK1239" s="143">
        <v>0</v>
      </c>
      <c r="CL1239" s="143">
        <v>0</v>
      </c>
      <c r="CM1239">
        <v>0</v>
      </c>
      <c r="CN1239" t="str">
        <f t="shared" si="439"/>
        <v>refOK</v>
      </c>
      <c r="CO1239">
        <f>IF($CN1239="refOK",$BK1239,$BL1239)</f>
        <v>195</v>
      </c>
      <c r="CP1239">
        <f>IF($CN1239="refOK",$BL1239,$BK1239)</f>
        <v>291</v>
      </c>
      <c r="CQ1239">
        <f t="shared" si="417"/>
        <v>195.91836734693879</v>
      </c>
      <c r="CR1239">
        <f>IF($CN1239="refOK",$BS1239,$BT1239)*IF($BP1239="Emissions positive",-1,1)</f>
        <v>-120.5</v>
      </c>
      <c r="CS1239">
        <f>IF($CN1239="refOK",$BT1239,$BS1239)*IF($BP1239="Emissions positive",-1,1)</f>
        <v>-103</v>
      </c>
      <c r="CT1239">
        <f t="shared" si="431"/>
        <v>64.224999999999994</v>
      </c>
      <c r="CU1239">
        <f t="shared" si="419"/>
        <v>0.32781510416666659</v>
      </c>
      <c r="CV1239" s="2">
        <f t="shared" si="432"/>
        <v>0.14522821576763487</v>
      </c>
      <c r="CW1239" s="1" t="s">
        <v>264</v>
      </c>
      <c r="CX1239" s="266" t="str">
        <f t="shared" si="407"/>
        <v>loc</v>
      </c>
      <c r="CY1239" t="s">
        <v>445</v>
      </c>
      <c r="DA1239" s="143"/>
      <c r="DB1239" s="143">
        <v>0</v>
      </c>
      <c r="DC1239" t="str">
        <f t="shared" si="408"/>
        <v>0</v>
      </c>
      <c r="DD1239">
        <v>0</v>
      </c>
      <c r="DE1239">
        <v>0</v>
      </c>
      <c r="DF1239">
        <v>0</v>
      </c>
      <c r="DG1239">
        <v>1</v>
      </c>
      <c r="DI1239">
        <f t="shared" si="448"/>
        <v>1</v>
      </c>
      <c r="DJ1239" t="str">
        <f t="shared" si="412"/>
        <v>TimberInput</v>
      </c>
      <c r="DK1239">
        <f t="shared" si="440"/>
        <v>0</v>
      </c>
      <c r="DL1239">
        <f t="shared" si="441"/>
        <v>0</v>
      </c>
      <c r="DM1239">
        <f t="shared" si="442"/>
        <v>0</v>
      </c>
      <c r="DN1239" t="str">
        <f t="shared" si="443"/>
        <v>Timber</v>
      </c>
      <c r="DO1239">
        <v>1</v>
      </c>
      <c r="DP1239" s="143">
        <v>0</v>
      </c>
      <c r="DQ1239" s="143">
        <v>0</v>
      </c>
      <c r="DR1239">
        <v>0</v>
      </c>
      <c r="DS1239" s="143">
        <v>0</v>
      </c>
      <c r="DT1239">
        <f t="shared" si="421"/>
        <v>1</v>
      </c>
      <c r="DU1239" s="143" t="str">
        <f t="shared" si="449"/>
        <v>self-calculated DF</v>
      </c>
      <c r="DV1239" s="143">
        <v>0</v>
      </c>
      <c r="DW1239" s="143">
        <v>1</v>
      </c>
      <c r="DX1239" s="143">
        <v>1</v>
      </c>
      <c r="DY1239" s="143">
        <v>1</v>
      </c>
      <c r="DZ1239">
        <v>0</v>
      </c>
      <c r="EA1239" s="143">
        <v>1</v>
      </c>
      <c r="EB1239" s="143">
        <v>1</v>
      </c>
      <c r="EC1239" s="143">
        <v>1</v>
      </c>
      <c r="ED1239" s="143">
        <v>0</v>
      </c>
      <c r="EE1239">
        <v>0</v>
      </c>
      <c r="EF1239">
        <v>1</v>
      </c>
      <c r="EG1239" s="143">
        <v>0</v>
      </c>
      <c r="EH1239" s="143">
        <v>0</v>
      </c>
      <c r="EI1239" s="2">
        <v>0</v>
      </c>
      <c r="EK1239" t="str">
        <f t="shared" si="444"/>
        <v>Whole sector</v>
      </c>
      <c r="EL1239" t="str">
        <f t="shared" si="445"/>
        <v/>
      </c>
      <c r="EM1239" s="2" t="str">
        <f t="shared" si="409"/>
        <v/>
      </c>
      <c r="EP1239" t="str">
        <f>IF(ISNUMBER(BU1239),IF(ABS(BU1239-[1]QC_indicators!$B$2)&gt;3*[1]QC_indicators!$C$2,"C ratio",IF(ISNUMBER(BY1239),IF(ABS(BY1239-[1]QC_indicators!$B$1)&gt;3*[1]QC_indicators!$C$1,"DF","no"))),IF(ISNUMBER(BY1239),IF(ABS(BY1239-[1]QC_indicators!$B$1)&gt;3*[1]QC_indicators!$C$1,"DF","no")))</f>
        <v>no</v>
      </c>
      <c r="ER1239" s="296" t="s">
        <v>350</v>
      </c>
      <c r="ET1239" s="266" t="s">
        <v>3409</v>
      </c>
    </row>
    <row r="1240" spans="1:150" ht="15" hidden="1" customHeight="1">
      <c r="D1240" t="s">
        <v>759</v>
      </c>
      <c r="E1240" t="s">
        <v>760</v>
      </c>
      <c r="G1240" t="s">
        <v>761</v>
      </c>
      <c r="I1240">
        <v>2006</v>
      </c>
      <c r="K1240" s="298" t="s">
        <v>762</v>
      </c>
      <c r="M1240" t="str">
        <f t="shared" si="411"/>
        <v>Gustavsson_2006</v>
      </c>
      <c r="N1240" t="s">
        <v>223</v>
      </c>
      <c r="O1240" t="s">
        <v>224</v>
      </c>
      <c r="Q1240" s="266" t="s">
        <v>257</v>
      </c>
      <c r="R1240" s="271" t="s">
        <v>1156</v>
      </c>
      <c r="S1240" s="265" t="s">
        <v>767</v>
      </c>
      <c r="T1240" t="s">
        <v>755</v>
      </c>
      <c r="U1240" s="143" t="s">
        <v>756</v>
      </c>
      <c r="V1240">
        <v>0</v>
      </c>
      <c r="W1240">
        <v>0</v>
      </c>
      <c r="X1240">
        <v>0</v>
      </c>
      <c r="Y1240">
        <v>0</v>
      </c>
      <c r="Z1240">
        <v>0</v>
      </c>
      <c r="AA1240">
        <v>0</v>
      </c>
      <c r="AB1240">
        <v>0</v>
      </c>
      <c r="AC1240">
        <v>0</v>
      </c>
      <c r="AD1240">
        <v>0</v>
      </c>
      <c r="AE1240">
        <v>0</v>
      </c>
      <c r="AF1240">
        <v>0</v>
      </c>
      <c r="AG1240">
        <v>0</v>
      </c>
      <c r="AH1240">
        <v>0</v>
      </c>
      <c r="AI1240">
        <v>0</v>
      </c>
      <c r="AJ1240">
        <v>0</v>
      </c>
      <c r="AK1240">
        <v>1</v>
      </c>
      <c r="AL1240">
        <v>0</v>
      </c>
      <c r="AM1240">
        <v>0</v>
      </c>
      <c r="AN1240">
        <v>0</v>
      </c>
      <c r="AO1240">
        <v>0</v>
      </c>
      <c r="AP1240">
        <v>0</v>
      </c>
      <c r="AQ1240">
        <v>0</v>
      </c>
      <c r="AR1240">
        <v>0</v>
      </c>
      <c r="AS1240">
        <v>0</v>
      </c>
      <c r="AT1240">
        <v>0</v>
      </c>
      <c r="AU1240">
        <v>0</v>
      </c>
      <c r="AV1240">
        <v>0</v>
      </c>
      <c r="AW1240">
        <v>0</v>
      </c>
      <c r="AX1240" s="141">
        <f t="shared" si="435"/>
        <v>1</v>
      </c>
      <c r="AY1240" s="141">
        <f t="shared" si="399"/>
        <v>1</v>
      </c>
      <c r="AZ1240">
        <f t="shared" si="400"/>
        <v>0</v>
      </c>
      <c r="BA1240">
        <f t="shared" si="401"/>
        <v>0</v>
      </c>
      <c r="BB1240">
        <f t="shared" si="402"/>
        <v>1</v>
      </c>
      <c r="BC1240">
        <f t="shared" si="403"/>
        <v>0</v>
      </c>
      <c r="BD1240">
        <f t="shared" si="404"/>
        <v>0</v>
      </c>
      <c r="BE1240" t="str" cm="1">
        <f t="array" ref="BE1240">IF(AY1240=1,INDEX($V$7:$AL$7,MATCH(TRUE,INDEX($V1240:$AW1240&lt;&gt;0,),0)),IF(AY1240=0,INDEX($AM$7:$AW$7,MATCH(1,$AM1240:$AW1240,0)),IF(BF1240="Multiple strategies","mixed drivers",IF(BF1240="Supply chain","multiple supply","multiple silviculture"))))</f>
        <v>technologies/design switch</v>
      </c>
      <c r="BF1240" s="2" t="str" cm="1">
        <f t="array" ref="BF1240">IF(COUNTIF(AZ1240:BB1240,"&lt;&gt;0")=1,INDEX($V$4:$AW$4,MATCH(TRUE,INDEX($V1240:$AW1240&lt;&gt;0,),0)),IF(COUNTIF(AZ1240:BB1240,"&lt;&gt;0")=0,INDEX($AM$4:$AW$4,MATCH(1,$AM1240:$AW1240,0)),"Multiple strategies"))</f>
        <v>Technology</v>
      </c>
      <c r="BG1240" s="142" t="s">
        <v>230</v>
      </c>
      <c r="BH1240" t="s">
        <v>394</v>
      </c>
      <c r="BI1240" s="266" t="s">
        <v>764</v>
      </c>
      <c r="BJ1240" s="143" t="s">
        <v>765</v>
      </c>
      <c r="BK1240">
        <v>32</v>
      </c>
      <c r="BL1240" s="143">
        <v>145</v>
      </c>
      <c r="BM1240" s="143"/>
      <c r="BN1240">
        <f t="shared" si="413"/>
        <v>113</v>
      </c>
      <c r="BO1240" s="143">
        <f>BN1240*t_to_m3</f>
        <v>230.61224489795919</v>
      </c>
      <c r="BP1240" s="266" t="s">
        <v>233</v>
      </c>
      <c r="BQ1240" s="155" t="s">
        <v>766</v>
      </c>
      <c r="BR1240" t="s">
        <v>443</v>
      </c>
      <c r="BS1240" s="143">
        <f>-119.4+14.5</f>
        <v>-104.9</v>
      </c>
      <c r="BT1240" s="151">
        <f>-136.7+82.5</f>
        <v>-54.199999999999989</v>
      </c>
      <c r="BV1240">
        <f t="shared" si="437"/>
        <v>50.700000000000017</v>
      </c>
      <c r="BX1240">
        <f>BV1240*C_to_CO2</f>
        <v>186.06900000000005</v>
      </c>
      <c r="BY1240">
        <f t="shared" si="434"/>
        <v>0.80684787610619491</v>
      </c>
      <c r="BZ1240" s="143">
        <v>0</v>
      </c>
      <c r="CA1240" s="143">
        <v>0</v>
      </c>
      <c r="CB1240" s="143">
        <v>0</v>
      </c>
      <c r="CC1240" s="143">
        <v>0</v>
      </c>
      <c r="CD1240" s="143">
        <v>0</v>
      </c>
      <c r="CE1240" s="143">
        <v>0</v>
      </c>
      <c r="CF1240" s="143">
        <v>0</v>
      </c>
      <c r="CG1240" s="143">
        <v>0</v>
      </c>
      <c r="CH1240" s="143">
        <v>0</v>
      </c>
      <c r="CI1240" s="143">
        <v>0</v>
      </c>
      <c r="CJ1240" s="143">
        <v>0</v>
      </c>
      <c r="CK1240" s="143">
        <v>0</v>
      </c>
      <c r="CL1240" s="143">
        <v>0</v>
      </c>
      <c r="CM1240">
        <v>0</v>
      </c>
      <c r="CN1240" t="str">
        <f t="shared" si="439"/>
        <v>refOK</v>
      </c>
      <c r="CO1240">
        <f>IF($CN1240="refOK",$BK1240,$BL1240)</f>
        <v>32</v>
      </c>
      <c r="CP1240">
        <f>IF($CN1240="refOK",$BL1240,$BK1240)</f>
        <v>145</v>
      </c>
      <c r="CQ1240">
        <f t="shared" si="417"/>
        <v>230.61224489795919</v>
      </c>
      <c r="CR1240">
        <f>IF($CN1240="refOK",$BS1240,$BT1240)*IF($BP1240="Emissions positive",-1,1)</f>
        <v>-104.9</v>
      </c>
      <c r="CS1240">
        <f>IF($CN1240="refOK",$BT1240,$BS1240)*IF($BP1240="Emissions positive",-1,1)</f>
        <v>-54.199999999999989</v>
      </c>
      <c r="CT1240">
        <f t="shared" si="431"/>
        <v>186.06900000000005</v>
      </c>
      <c r="CU1240">
        <f t="shared" si="419"/>
        <v>0.80684787610619491</v>
      </c>
      <c r="CV1240" s="2">
        <f t="shared" si="432"/>
        <v>0.48331744518589148</v>
      </c>
      <c r="CW1240" s="1" t="s">
        <v>264</v>
      </c>
      <c r="CX1240" s="266" t="str">
        <f t="shared" si="407"/>
        <v>loc</v>
      </c>
      <c r="CY1240" t="s">
        <v>236</v>
      </c>
      <c r="DA1240" s="143"/>
      <c r="DB1240" s="143">
        <v>0</v>
      </c>
      <c r="DC1240" t="str">
        <f t="shared" si="408"/>
        <v>0</v>
      </c>
      <c r="DD1240">
        <v>0</v>
      </c>
      <c r="DE1240">
        <v>0</v>
      </c>
      <c r="DF1240">
        <v>0</v>
      </c>
      <c r="DG1240">
        <v>1</v>
      </c>
      <c r="DI1240">
        <f t="shared" si="448"/>
        <v>1</v>
      </c>
      <c r="DJ1240" t="str">
        <f t="shared" si="412"/>
        <v>TimberInput</v>
      </c>
      <c r="DK1240">
        <f t="shared" si="440"/>
        <v>0</v>
      </c>
      <c r="DL1240">
        <f t="shared" si="441"/>
        <v>0</v>
      </c>
      <c r="DM1240">
        <f t="shared" si="442"/>
        <v>0</v>
      </c>
      <c r="DN1240" t="str">
        <f t="shared" si="443"/>
        <v>Timber</v>
      </c>
      <c r="DO1240">
        <v>1</v>
      </c>
      <c r="DP1240" s="143">
        <v>0</v>
      </c>
      <c r="DQ1240" s="143">
        <v>0</v>
      </c>
      <c r="DR1240">
        <v>0</v>
      </c>
      <c r="DS1240" s="143">
        <v>0</v>
      </c>
      <c r="DT1240">
        <f t="shared" si="421"/>
        <v>1</v>
      </c>
      <c r="DU1240" s="143" t="str">
        <f t="shared" si="449"/>
        <v>self-calculated DF</v>
      </c>
      <c r="DV1240" s="143">
        <v>0</v>
      </c>
      <c r="DW1240" s="143">
        <v>0</v>
      </c>
      <c r="DX1240" s="143">
        <v>1</v>
      </c>
      <c r="DY1240" s="143">
        <v>1</v>
      </c>
      <c r="DZ1240">
        <v>0</v>
      </c>
      <c r="EA1240" s="143">
        <v>1</v>
      </c>
      <c r="EB1240" s="143">
        <v>1</v>
      </c>
      <c r="EC1240" s="143">
        <v>1</v>
      </c>
      <c r="ED1240" s="143">
        <v>0</v>
      </c>
      <c r="EE1240">
        <v>0</v>
      </c>
      <c r="EF1240">
        <v>1</v>
      </c>
      <c r="EG1240" s="143">
        <v>0</v>
      </c>
      <c r="EH1240" s="143">
        <v>0</v>
      </c>
      <c r="EI1240" s="2">
        <v>0</v>
      </c>
      <c r="EK1240" t="str">
        <f t="shared" si="444"/>
        <v/>
      </c>
      <c r="EL1240" t="str">
        <f t="shared" si="445"/>
        <v/>
      </c>
      <c r="EM1240" s="2" t="str">
        <f t="shared" si="409"/>
        <v/>
      </c>
      <c r="EP1240" t="str">
        <f>IF(ISNUMBER(BU1240),IF(ABS(BU1240-[1]QC_indicators!$B$2)&gt;3*[1]QC_indicators!$C$2,"C ratio",IF(ISNUMBER(BY1240),IF(ABS(BY1240-[1]QC_indicators!$B$1)&gt;3*[1]QC_indicators!$C$1,"DF","no"))),IF(ISNUMBER(BY1240),IF(ABS(BY1240-[1]QC_indicators!$B$1)&gt;3*[1]QC_indicators!$C$1,"DF","no")))</f>
        <v>no</v>
      </c>
      <c r="ER1240" s="296" t="s">
        <v>350</v>
      </c>
      <c r="ET1240" s="266" t="s">
        <v>3409</v>
      </c>
    </row>
    <row r="1241" spans="1:150" ht="15" hidden="1" customHeight="1">
      <c r="D1241" t="s">
        <v>759</v>
      </c>
      <c r="E1241" t="s">
        <v>760</v>
      </c>
      <c r="G1241" t="s">
        <v>761</v>
      </c>
      <c r="I1241">
        <v>2006</v>
      </c>
      <c r="K1241" s="298" t="s">
        <v>762</v>
      </c>
      <c r="M1241" t="str">
        <f t="shared" si="411"/>
        <v>Gustavsson_2006</v>
      </c>
      <c r="N1241" t="s">
        <v>223</v>
      </c>
      <c r="O1241" t="s">
        <v>224</v>
      </c>
      <c r="Q1241" s="266" t="s">
        <v>257</v>
      </c>
      <c r="R1241" s="271" t="s">
        <v>1156</v>
      </c>
      <c r="S1241" s="265" t="s">
        <v>770</v>
      </c>
      <c r="T1241" t="s">
        <v>755</v>
      </c>
      <c r="U1241" s="143" t="s">
        <v>756</v>
      </c>
      <c r="V1241">
        <v>0</v>
      </c>
      <c r="W1241">
        <v>0</v>
      </c>
      <c r="X1241">
        <v>0</v>
      </c>
      <c r="Y1241">
        <v>0</v>
      </c>
      <c r="Z1241">
        <v>0</v>
      </c>
      <c r="AA1241">
        <v>0</v>
      </c>
      <c r="AB1241">
        <v>0</v>
      </c>
      <c r="AC1241">
        <v>0</v>
      </c>
      <c r="AD1241">
        <v>0</v>
      </c>
      <c r="AE1241">
        <v>0</v>
      </c>
      <c r="AF1241">
        <v>0</v>
      </c>
      <c r="AG1241">
        <v>0</v>
      </c>
      <c r="AH1241">
        <v>0</v>
      </c>
      <c r="AI1241">
        <v>0</v>
      </c>
      <c r="AJ1241">
        <v>0</v>
      </c>
      <c r="AK1241">
        <v>1</v>
      </c>
      <c r="AL1241">
        <v>0</v>
      </c>
      <c r="AM1241">
        <v>0</v>
      </c>
      <c r="AN1241">
        <v>0</v>
      </c>
      <c r="AO1241">
        <v>0</v>
      </c>
      <c r="AP1241">
        <v>0</v>
      </c>
      <c r="AQ1241">
        <v>0</v>
      </c>
      <c r="AR1241">
        <v>0</v>
      </c>
      <c r="AS1241">
        <v>0</v>
      </c>
      <c r="AT1241">
        <v>0</v>
      </c>
      <c r="AU1241">
        <v>0</v>
      </c>
      <c r="AV1241">
        <v>0</v>
      </c>
      <c r="AW1241">
        <v>0</v>
      </c>
      <c r="AX1241" s="141">
        <f t="shared" si="435"/>
        <v>1</v>
      </c>
      <c r="AY1241" s="141">
        <f t="shared" si="399"/>
        <v>1</v>
      </c>
      <c r="AZ1241">
        <f t="shared" si="400"/>
        <v>0</v>
      </c>
      <c r="BA1241">
        <f t="shared" si="401"/>
        <v>0</v>
      </c>
      <c r="BB1241">
        <f t="shared" si="402"/>
        <v>1</v>
      </c>
      <c r="BC1241">
        <f t="shared" si="403"/>
        <v>0</v>
      </c>
      <c r="BD1241">
        <f t="shared" si="404"/>
        <v>0</v>
      </c>
      <c r="BE1241" t="str" cm="1">
        <f t="array" ref="BE1241">IF(AY1241=1,INDEX($V$7:$AL$7,MATCH(TRUE,INDEX($V1241:$AW1241&lt;&gt;0,),0)),IF(AY1241=0,INDEX($AM$7:$AW$7,MATCH(1,$AM1241:$AW1241,0)),IF(BF1241="Multiple strategies","mixed drivers",IF(BF1241="Supply chain","multiple supply","multiple silviculture"))))</f>
        <v>technologies/design switch</v>
      </c>
      <c r="BF1241" s="2" t="str" cm="1">
        <f t="array" ref="BF1241">IF(COUNTIF(AZ1241:BB1241,"&lt;&gt;0")=1,INDEX($V$4:$AW$4,MATCH(TRUE,INDEX($V1241:$AW1241&lt;&gt;0,),0)),IF(COUNTIF(AZ1241:BB1241,"&lt;&gt;0")=0,INDEX($AM$4:$AW$4,MATCH(1,$AM1241:$AW1241,0)),"Multiple strategies"))</f>
        <v>Technology</v>
      </c>
      <c r="BG1241" s="142" t="s">
        <v>230</v>
      </c>
      <c r="BH1241" t="s">
        <v>394</v>
      </c>
      <c r="BI1241" s="266" t="s">
        <v>764</v>
      </c>
      <c r="BJ1241" s="143" t="s">
        <v>765</v>
      </c>
      <c r="BK1241">
        <v>70</v>
      </c>
      <c r="BL1241" s="143">
        <v>98</v>
      </c>
      <c r="BM1241" s="143"/>
      <c r="BN1241">
        <f t="shared" si="413"/>
        <v>28</v>
      </c>
      <c r="BO1241" s="143">
        <f>BN1241*t_to_m3</f>
        <v>57.142857142857146</v>
      </c>
      <c r="BP1241" s="266" t="s">
        <v>233</v>
      </c>
      <c r="BQ1241" s="155" t="s">
        <v>766</v>
      </c>
      <c r="BR1241" t="s">
        <v>443</v>
      </c>
      <c r="BS1241" s="143">
        <f>-120.5+34.8</f>
        <v>-85.7</v>
      </c>
      <c r="BT1241" s="151">
        <f>-103+56.7</f>
        <v>-46.3</v>
      </c>
      <c r="BV1241">
        <f t="shared" si="437"/>
        <v>39.400000000000006</v>
      </c>
      <c r="BX1241">
        <f>BV1241*C_to_CO2</f>
        <v>144.59800000000001</v>
      </c>
      <c r="BY1241">
        <f t="shared" si="434"/>
        <v>2.530465</v>
      </c>
      <c r="BZ1241" s="143">
        <v>0</v>
      </c>
      <c r="CA1241" s="143">
        <v>0</v>
      </c>
      <c r="CB1241" s="143">
        <v>0</v>
      </c>
      <c r="CC1241" s="143">
        <v>0</v>
      </c>
      <c r="CD1241" s="143">
        <v>0</v>
      </c>
      <c r="CE1241" s="143">
        <v>0</v>
      </c>
      <c r="CF1241" s="143">
        <v>0</v>
      </c>
      <c r="CG1241" s="143">
        <v>0</v>
      </c>
      <c r="CH1241" s="143">
        <v>0</v>
      </c>
      <c r="CI1241" s="143">
        <v>0</v>
      </c>
      <c r="CJ1241" s="143">
        <v>0</v>
      </c>
      <c r="CK1241" s="143">
        <v>0</v>
      </c>
      <c r="CL1241" s="143">
        <v>0</v>
      </c>
      <c r="CM1241">
        <v>0</v>
      </c>
      <c r="CN1241" t="str">
        <f t="shared" si="439"/>
        <v>refOK</v>
      </c>
      <c r="CO1241">
        <f>IF($CN1241="refOK",$BK1241,$BL1241)</f>
        <v>70</v>
      </c>
      <c r="CP1241">
        <f>IF($CN1241="refOK",$BL1241,$BK1241)</f>
        <v>98</v>
      </c>
      <c r="CQ1241">
        <f t="shared" si="417"/>
        <v>57.142857142857146</v>
      </c>
      <c r="CR1241">
        <f>IF($CN1241="refOK",$BS1241,$BT1241)*IF($BP1241="Emissions positive",-1,1)</f>
        <v>-85.7</v>
      </c>
      <c r="CS1241">
        <f>IF($CN1241="refOK",$BT1241,$BS1241)*IF($BP1241="Emissions positive",-1,1)</f>
        <v>-46.3</v>
      </c>
      <c r="CT1241">
        <f t="shared" si="431"/>
        <v>144.59800000000001</v>
      </c>
      <c r="CU1241">
        <f t="shared" si="419"/>
        <v>2.530465</v>
      </c>
      <c r="CV1241" s="2">
        <f t="shared" si="432"/>
        <v>0.45974329054842478</v>
      </c>
      <c r="CW1241" s="1" t="s">
        <v>264</v>
      </c>
      <c r="CX1241" s="266" t="str">
        <f t="shared" si="407"/>
        <v>loc</v>
      </c>
      <c r="CY1241" t="s">
        <v>445</v>
      </c>
      <c r="DA1241" s="143"/>
      <c r="DB1241" s="143">
        <v>0</v>
      </c>
      <c r="DC1241" t="str">
        <f t="shared" si="408"/>
        <v>0</v>
      </c>
      <c r="DD1241">
        <v>0</v>
      </c>
      <c r="DE1241">
        <v>0</v>
      </c>
      <c r="DF1241">
        <v>0</v>
      </c>
      <c r="DG1241">
        <v>1</v>
      </c>
      <c r="DI1241">
        <f t="shared" si="448"/>
        <v>1</v>
      </c>
      <c r="DJ1241" t="str">
        <f t="shared" si="412"/>
        <v>TimberInput</v>
      </c>
      <c r="DK1241">
        <f t="shared" si="440"/>
        <v>0</v>
      </c>
      <c r="DL1241">
        <f t="shared" si="441"/>
        <v>0</v>
      </c>
      <c r="DM1241">
        <f t="shared" si="442"/>
        <v>0</v>
      </c>
      <c r="DN1241" t="str">
        <f t="shared" si="443"/>
        <v>Timber</v>
      </c>
      <c r="DO1241">
        <v>1</v>
      </c>
      <c r="DP1241" s="143">
        <v>0</v>
      </c>
      <c r="DQ1241" s="143">
        <v>0</v>
      </c>
      <c r="DR1241">
        <v>0</v>
      </c>
      <c r="DS1241" s="143">
        <v>0</v>
      </c>
      <c r="DT1241">
        <f t="shared" si="421"/>
        <v>1</v>
      </c>
      <c r="DU1241" s="143" t="str">
        <f t="shared" si="449"/>
        <v>self-calculated DF</v>
      </c>
      <c r="DV1241" s="143">
        <v>0</v>
      </c>
      <c r="DW1241" s="143">
        <v>0</v>
      </c>
      <c r="DX1241" s="143">
        <v>1</v>
      </c>
      <c r="DY1241" s="143">
        <v>1</v>
      </c>
      <c r="DZ1241">
        <v>0</v>
      </c>
      <c r="EA1241" s="143">
        <v>1</v>
      </c>
      <c r="EB1241" s="143">
        <v>1</v>
      </c>
      <c r="EC1241" s="143">
        <v>1</v>
      </c>
      <c r="ED1241" s="143">
        <v>0</v>
      </c>
      <c r="EE1241">
        <v>0</v>
      </c>
      <c r="EF1241">
        <v>1</v>
      </c>
      <c r="EG1241" s="143">
        <v>0</v>
      </c>
      <c r="EH1241" s="143">
        <v>0</v>
      </c>
      <c r="EI1241" s="2">
        <v>0</v>
      </c>
      <c r="EK1241" t="str">
        <f t="shared" si="444"/>
        <v/>
      </c>
      <c r="EL1241" t="str">
        <f t="shared" si="445"/>
        <v/>
      </c>
      <c r="EM1241" s="2" t="str">
        <f t="shared" si="409"/>
        <v/>
      </c>
      <c r="EP1241" t="str">
        <f>IF(ISNUMBER(BU1241),IF(ABS(BU1241-[1]QC_indicators!$B$2)&gt;3*[1]QC_indicators!$C$2,"C ratio",IF(ISNUMBER(BY1241),IF(ABS(BY1241-[1]QC_indicators!$B$1)&gt;3*[1]QC_indicators!$C$1,"DF","no"))),IF(ISNUMBER(BY1241),IF(ABS(BY1241-[1]QC_indicators!$B$1)&gt;3*[1]QC_indicators!$C$1,"DF","no")))</f>
        <v>no</v>
      </c>
      <c r="ER1241" s="296" t="s">
        <v>350</v>
      </c>
      <c r="ET1241" s="266" t="s">
        <v>3409</v>
      </c>
    </row>
    <row r="1242" spans="1:150" ht="15" hidden="1" customHeight="1">
      <c r="A1242" s="186"/>
      <c r="B1242" s="185"/>
      <c r="C1242" s="185"/>
      <c r="D1242" s="185"/>
      <c r="E1242" s="185"/>
      <c r="F1242" s="185"/>
      <c r="G1242" s="185"/>
      <c r="H1242" s="185"/>
      <c r="I1242" s="185"/>
      <c r="J1242" s="185"/>
      <c r="K1242" s="185"/>
      <c r="L1242" s="185"/>
      <c r="O1242" s="187"/>
      <c r="P1242" s="185"/>
      <c r="Q1242" s="185"/>
      <c r="R1242" s="188"/>
      <c r="S1242" s="186"/>
      <c r="T1242" s="185"/>
      <c r="U1242" s="185"/>
      <c r="V1242" s="185"/>
      <c r="W1242" s="185"/>
      <c r="X1242" s="185"/>
      <c r="Y1242" s="185"/>
      <c r="Z1242" s="185"/>
      <c r="AA1242" s="185"/>
      <c r="AB1242" s="185"/>
      <c r="AC1242" s="185"/>
      <c r="AD1242" s="185"/>
      <c r="AE1242" s="185"/>
      <c r="AF1242" s="185"/>
      <c r="AG1242" s="185"/>
      <c r="AH1242" s="185"/>
      <c r="AI1242" s="185"/>
      <c r="AJ1242" s="185"/>
      <c r="AK1242" s="185"/>
      <c r="AL1242" s="185"/>
      <c r="AM1242" s="185"/>
      <c r="AN1242" s="185"/>
      <c r="AO1242" s="185"/>
      <c r="AP1242" s="185"/>
      <c r="AQ1242" s="185"/>
      <c r="AR1242" s="185"/>
      <c r="AS1242" s="185"/>
      <c r="AT1242" s="185"/>
      <c r="AU1242" s="185"/>
      <c r="AV1242" s="185"/>
      <c r="AW1242" s="185"/>
      <c r="AX1242" s="141"/>
      <c r="AY1242" s="141"/>
      <c r="BE1242"/>
      <c r="BF1242" s="2"/>
      <c r="BG1242" s="186"/>
      <c r="BH1242" s="185"/>
      <c r="BI1242" s="185"/>
      <c r="BJ1242" s="185"/>
      <c r="BK1242" s="185"/>
      <c r="BL1242" s="185"/>
      <c r="BM1242" s="185"/>
      <c r="BN1242" s="185"/>
      <c r="BO1242" s="185"/>
      <c r="BP1242" s="185"/>
      <c r="BQ1242" s="185"/>
      <c r="BR1242" s="185"/>
      <c r="BS1242" s="185"/>
      <c r="BT1242" s="185"/>
      <c r="BU1242" s="189"/>
      <c r="BV1242" s="185"/>
      <c r="BW1242" s="185"/>
      <c r="BX1242" s="185"/>
      <c r="BZ1242" s="185"/>
      <c r="CA1242" s="185"/>
      <c r="CB1242" s="185"/>
      <c r="CC1242" s="185"/>
      <c r="CD1242" s="185"/>
      <c r="CE1242" s="185"/>
      <c r="CF1242" s="185"/>
      <c r="CG1242" s="185"/>
      <c r="CH1242" s="185"/>
      <c r="CI1242" s="185"/>
      <c r="CJ1242" s="185"/>
      <c r="CK1242" s="185"/>
      <c r="CL1242" s="185"/>
      <c r="CM1242" s="185"/>
      <c r="CN1242" s="185"/>
      <c r="CO1242" s="185"/>
      <c r="CP1242" s="185"/>
      <c r="CQ1242" s="185"/>
      <c r="CR1242" s="185"/>
      <c r="CS1242" s="185"/>
      <c r="CT1242" s="185"/>
      <c r="CU1242"/>
      <c r="CV1242" s="188"/>
      <c r="CW1242" s="186"/>
      <c r="CX1242"/>
      <c r="CY1242" s="185"/>
      <c r="CZ1242" s="185"/>
      <c r="DA1242" s="185"/>
      <c r="DB1242" s="185"/>
      <c r="DC1242"/>
      <c r="DH1242" s="185"/>
      <c r="DI1242"/>
      <c r="DJ1242"/>
      <c r="DK1242"/>
      <c r="DL1242"/>
      <c r="DM1242"/>
      <c r="DN1242"/>
      <c r="DO1242" s="185"/>
      <c r="DP1242" s="185"/>
      <c r="DQ1242" s="190"/>
      <c r="DR1242" s="190"/>
      <c r="DS1242" s="190"/>
      <c r="DT1242" s="185"/>
      <c r="DU1242" s="191"/>
      <c r="DV1242" s="185"/>
      <c r="DW1242" s="185"/>
      <c r="DX1242" s="185"/>
      <c r="DY1242" s="185"/>
      <c r="DZ1242" s="185"/>
      <c r="EA1242" s="185"/>
      <c r="EB1242" s="185"/>
      <c r="EC1242" s="185"/>
      <c r="ED1242" s="185"/>
      <c r="EE1242" s="185"/>
      <c r="EF1242" s="185"/>
      <c r="EG1242" s="185"/>
      <c r="EH1242" s="185"/>
      <c r="EI1242" s="188"/>
      <c r="EN1242" s="185"/>
      <c r="EO1242" s="185"/>
      <c r="EQ1242" s="185"/>
      <c r="ER1242" s="185"/>
      <c r="ES1242" s="185"/>
    </row>
    <row r="1243" spans="1:150" ht="15" hidden="1" customHeight="1">
      <c r="O1243" s="171"/>
      <c r="AX1243" s="141"/>
      <c r="AY1243" s="141"/>
      <c r="BE1243"/>
      <c r="BF1243" s="2"/>
      <c r="BU1243" s="144"/>
      <c r="CN1243"/>
      <c r="CO1243"/>
      <c r="CP1243"/>
      <c r="CQ1243"/>
      <c r="CR1243"/>
      <c r="CS1243"/>
      <c r="CT1243"/>
      <c r="CU1243"/>
      <c r="CV1243" s="2"/>
      <c r="CX1243"/>
      <c r="DC1243"/>
      <c r="DI1243"/>
      <c r="DJ1243"/>
      <c r="DK1243"/>
      <c r="DL1243"/>
      <c r="DM1243"/>
      <c r="DN1243"/>
      <c r="DQ1243" s="184"/>
      <c r="DR1243" s="184"/>
      <c r="DS1243" s="184"/>
      <c r="DT1243"/>
      <c r="DU1243" s="143"/>
      <c r="EA1243" s="185"/>
    </row>
    <row r="1244" spans="1:150" ht="15" hidden="1" customHeight="1">
      <c r="O1244" s="171"/>
      <c r="AX1244" s="141"/>
      <c r="AY1244" s="141"/>
      <c r="BE1244"/>
      <c r="BF1244" s="2"/>
      <c r="BU1244" s="144"/>
      <c r="CN1244"/>
      <c r="CO1244"/>
      <c r="CP1244"/>
      <c r="CQ1244"/>
      <c r="CR1244"/>
      <c r="CS1244"/>
      <c r="CT1244"/>
      <c r="CU1244"/>
      <c r="CV1244" s="2"/>
      <c r="CX1244"/>
      <c r="DC1244"/>
      <c r="DI1244"/>
      <c r="DJ1244"/>
      <c r="DK1244"/>
      <c r="DL1244"/>
      <c r="DM1244"/>
      <c r="DN1244"/>
      <c r="DQ1244" s="184"/>
      <c r="DR1244" s="184"/>
      <c r="DS1244" s="184"/>
      <c r="DT1244"/>
      <c r="DU1244" s="143"/>
    </row>
    <row r="1245" spans="1:150" ht="15" hidden="1" customHeight="1">
      <c r="A1245" s="186"/>
      <c r="B1245" s="185"/>
      <c r="C1245" s="185"/>
      <c r="D1245" s="185"/>
      <c r="E1245" s="185"/>
      <c r="F1245" s="185"/>
      <c r="G1245" s="185"/>
      <c r="H1245" s="185"/>
      <c r="I1245" s="185"/>
      <c r="J1245" s="185"/>
      <c r="K1245" s="185"/>
      <c r="L1245" s="185"/>
      <c r="O1245" s="187"/>
      <c r="P1245" s="185"/>
      <c r="Q1245" s="185"/>
      <c r="R1245" s="188"/>
      <c r="S1245" s="186"/>
      <c r="T1245" s="185"/>
      <c r="U1245" s="185"/>
      <c r="V1245" s="185"/>
      <c r="W1245" s="185"/>
      <c r="X1245" s="185"/>
      <c r="Y1245" s="185"/>
      <c r="Z1245" s="185"/>
      <c r="AA1245" s="185"/>
      <c r="AB1245" s="185"/>
      <c r="AC1245" s="185"/>
      <c r="AD1245" s="185"/>
      <c r="AE1245" s="185"/>
      <c r="AF1245" s="185"/>
      <c r="AG1245" s="185"/>
      <c r="AH1245" s="185"/>
      <c r="AI1245" s="185"/>
      <c r="AJ1245" s="185"/>
      <c r="AK1245" s="185"/>
      <c r="AL1245" s="185"/>
      <c r="AM1245" s="185"/>
      <c r="AN1245" s="185"/>
      <c r="AO1245" s="185"/>
      <c r="AP1245" s="185"/>
      <c r="AQ1245" s="185"/>
      <c r="AR1245" s="185"/>
      <c r="AS1245" s="185"/>
      <c r="AT1245" s="185"/>
      <c r="AU1245" s="185"/>
      <c r="AV1245" s="185"/>
      <c r="AW1245" s="185"/>
      <c r="AX1245" s="141"/>
      <c r="AY1245" s="141"/>
      <c r="BE1245"/>
      <c r="BF1245" s="2"/>
      <c r="BG1245" s="186"/>
      <c r="BH1245" s="185"/>
      <c r="BI1245" s="185"/>
      <c r="BJ1245" s="185"/>
      <c r="BK1245" s="185"/>
      <c r="BL1245" s="185"/>
      <c r="BM1245" s="185"/>
      <c r="BN1245" s="185"/>
      <c r="BO1245" s="185"/>
      <c r="BP1245" s="185"/>
      <c r="BQ1245" s="185"/>
      <c r="BR1245" s="185"/>
      <c r="BS1245" s="185"/>
      <c r="BT1245" s="185"/>
      <c r="BU1245" s="189"/>
      <c r="BV1245" s="185"/>
      <c r="BW1245" s="185"/>
      <c r="BX1245" s="185"/>
      <c r="BZ1245" s="185"/>
      <c r="CA1245" s="185"/>
      <c r="CB1245" s="185"/>
      <c r="CC1245" s="185"/>
      <c r="CD1245" s="185"/>
      <c r="CE1245" s="185"/>
      <c r="CF1245" s="185"/>
      <c r="CG1245" s="185"/>
      <c r="CH1245" s="185"/>
      <c r="CI1245" s="185"/>
      <c r="CJ1245" s="185"/>
      <c r="CK1245" s="185"/>
      <c r="CL1245" s="185"/>
      <c r="CM1245" s="185"/>
      <c r="CN1245" s="185"/>
      <c r="CO1245" s="185"/>
      <c r="CP1245" s="185"/>
      <c r="CQ1245" s="185"/>
      <c r="CR1245" s="185"/>
      <c r="CS1245" s="185"/>
      <c r="CT1245" s="185"/>
      <c r="CU1245"/>
      <c r="CV1245" s="188"/>
      <c r="CW1245" s="186"/>
      <c r="CX1245"/>
      <c r="CY1245" s="185"/>
      <c r="CZ1245" s="185"/>
      <c r="DA1245" s="185"/>
      <c r="DB1245" s="185"/>
      <c r="DC1245"/>
      <c r="DH1245" s="185"/>
      <c r="DI1245"/>
      <c r="DJ1245"/>
      <c r="DK1245"/>
      <c r="DL1245"/>
      <c r="DM1245"/>
      <c r="DN1245"/>
      <c r="DO1245" s="185"/>
      <c r="DP1245" s="185"/>
      <c r="DQ1245" s="190"/>
      <c r="DR1245" s="190"/>
      <c r="DS1245" s="190"/>
      <c r="DT1245" s="185"/>
      <c r="DU1245" s="191"/>
      <c r="DV1245" s="185"/>
      <c r="DW1245" s="185"/>
      <c r="DX1245" s="185"/>
      <c r="DY1245" s="185"/>
      <c r="DZ1245" s="185"/>
      <c r="EA1245" s="185"/>
      <c r="EB1245" s="185"/>
      <c r="EC1245" s="185"/>
      <c r="ED1245" s="185"/>
      <c r="EE1245" s="185"/>
      <c r="EF1245" s="185"/>
      <c r="EG1245" s="185"/>
      <c r="EH1245" s="185"/>
      <c r="EI1245" s="188"/>
      <c r="EN1245" s="185"/>
      <c r="EO1245" s="185"/>
      <c r="EQ1245" s="185"/>
      <c r="ER1245" s="185"/>
      <c r="ES1245" s="185"/>
    </row>
    <row r="1246" spans="1:150" ht="15" hidden="1" customHeight="1">
      <c r="L1246" s="192"/>
      <c r="O1246" s="145"/>
      <c r="P1246" s="180"/>
      <c r="AX1246" s="141"/>
      <c r="AY1246" s="141"/>
      <c r="BE1246"/>
      <c r="BF1246" s="2"/>
      <c r="BG1246" s="178"/>
      <c r="BJ1246" s="160"/>
      <c r="BP1246" s="155"/>
      <c r="BR1246" s="155"/>
      <c r="BU1246" s="144"/>
      <c r="CN1246"/>
      <c r="CO1246"/>
      <c r="CP1246"/>
      <c r="CQ1246"/>
      <c r="CR1246"/>
      <c r="CS1246"/>
      <c r="CT1246"/>
      <c r="CU1246"/>
      <c r="CV1246" s="2"/>
      <c r="CX1246"/>
      <c r="DC1246"/>
      <c r="DI1246"/>
      <c r="DJ1246"/>
      <c r="DK1246"/>
      <c r="DL1246"/>
      <c r="DM1246"/>
      <c r="DN1246"/>
      <c r="DT1246"/>
      <c r="DU1246" s="143"/>
      <c r="EA1246" s="143"/>
    </row>
    <row r="1247" spans="1:150" ht="15" hidden="1" customHeight="1">
      <c r="L1247" s="192"/>
      <c r="O1247" s="145"/>
      <c r="P1247" s="180"/>
      <c r="AX1247" s="141"/>
      <c r="AY1247" s="141"/>
      <c r="BE1247"/>
      <c r="BF1247" s="2"/>
      <c r="BG1247" s="178"/>
      <c r="BJ1247" s="160"/>
      <c r="BP1247" s="155"/>
      <c r="BR1247" s="155"/>
      <c r="BU1247" s="144"/>
      <c r="CN1247"/>
      <c r="CO1247"/>
      <c r="CP1247"/>
      <c r="CQ1247"/>
      <c r="CR1247"/>
      <c r="CS1247"/>
      <c r="CT1247"/>
      <c r="CU1247"/>
      <c r="CV1247" s="2"/>
      <c r="CX1247"/>
      <c r="DC1247"/>
      <c r="DI1247"/>
      <c r="DJ1247"/>
      <c r="DK1247"/>
      <c r="DL1247"/>
      <c r="DM1247"/>
      <c r="DN1247"/>
      <c r="DT1247"/>
      <c r="DU1247" s="143"/>
      <c r="EA1247" s="143"/>
    </row>
    <row r="1248" spans="1:150" ht="15" hidden="1" customHeight="1">
      <c r="L1248" s="192"/>
      <c r="O1248" s="145"/>
      <c r="P1248" s="180"/>
      <c r="AX1248" s="141"/>
      <c r="AY1248" s="141"/>
      <c r="BE1248"/>
      <c r="BF1248" s="2"/>
      <c r="BG1248" s="178"/>
      <c r="BJ1248" s="160"/>
      <c r="BP1248" s="155"/>
      <c r="BR1248" s="155"/>
      <c r="BU1248" s="144"/>
      <c r="CN1248"/>
      <c r="CO1248"/>
      <c r="CP1248"/>
      <c r="CQ1248"/>
      <c r="CR1248"/>
      <c r="CS1248"/>
      <c r="CT1248"/>
      <c r="CU1248"/>
      <c r="CV1248" s="2"/>
      <c r="CX1248"/>
      <c r="DC1248"/>
      <c r="DI1248"/>
      <c r="DJ1248"/>
      <c r="DK1248"/>
      <c r="DL1248"/>
      <c r="DM1248"/>
      <c r="DN1248"/>
      <c r="DT1248"/>
      <c r="DU1248" s="143"/>
      <c r="EA1248" s="143"/>
    </row>
    <row r="1249" spans="12:131" ht="15" hidden="1" customHeight="1">
      <c r="L1249" s="192"/>
      <c r="O1249" s="145"/>
      <c r="P1249" s="180"/>
      <c r="AX1249" s="141"/>
      <c r="AY1249" s="141"/>
      <c r="BE1249"/>
      <c r="BF1249" s="2"/>
      <c r="BG1249" s="178"/>
      <c r="BJ1249" s="160"/>
      <c r="BP1249" s="155"/>
      <c r="BR1249" s="155"/>
      <c r="BU1249" s="144"/>
      <c r="CN1249"/>
      <c r="CO1249"/>
      <c r="CP1249"/>
      <c r="CQ1249"/>
      <c r="CR1249"/>
      <c r="CS1249"/>
      <c r="CT1249"/>
      <c r="CU1249"/>
      <c r="CV1249" s="2"/>
      <c r="CX1249"/>
      <c r="DC1249"/>
      <c r="DI1249"/>
      <c r="DJ1249"/>
      <c r="DK1249"/>
      <c r="DL1249"/>
      <c r="DM1249"/>
      <c r="DN1249"/>
      <c r="DT1249"/>
      <c r="DU1249" s="143"/>
    </row>
    <row r="1250" spans="12:131" ht="15" hidden="1" customHeight="1">
      <c r="L1250" s="192"/>
      <c r="O1250" s="145"/>
      <c r="P1250" s="193"/>
      <c r="AX1250" s="141"/>
      <c r="AY1250" s="141"/>
      <c r="BE1250"/>
      <c r="BF1250" s="2"/>
      <c r="BG1250" s="194"/>
      <c r="BJ1250" s="195"/>
      <c r="BP1250" s="149"/>
      <c r="BR1250" s="149"/>
      <c r="BU1250" s="144"/>
      <c r="CN1250"/>
      <c r="CO1250"/>
      <c r="CP1250"/>
      <c r="CQ1250"/>
      <c r="CR1250"/>
      <c r="CS1250"/>
      <c r="CT1250"/>
      <c r="CU1250"/>
      <c r="CV1250" s="2"/>
      <c r="CX1250"/>
      <c r="DC1250"/>
      <c r="DI1250"/>
      <c r="DJ1250"/>
      <c r="DK1250"/>
      <c r="DL1250"/>
      <c r="DM1250"/>
      <c r="DN1250"/>
      <c r="DT1250"/>
      <c r="DU1250" s="143"/>
    </row>
    <row r="1251" spans="12:131" ht="15" hidden="1" customHeight="1">
      <c r="L1251" s="192"/>
      <c r="O1251" s="145"/>
      <c r="P1251" s="180"/>
      <c r="AX1251" s="141"/>
      <c r="AY1251" s="141"/>
      <c r="BE1251"/>
      <c r="BF1251" s="2"/>
      <c r="BG1251" s="178"/>
      <c r="BJ1251" s="160"/>
      <c r="BP1251" s="155"/>
      <c r="BR1251" s="155"/>
      <c r="BU1251" s="144"/>
      <c r="CN1251"/>
      <c r="CO1251"/>
      <c r="CP1251"/>
      <c r="CQ1251"/>
      <c r="CR1251"/>
      <c r="CS1251"/>
      <c r="CT1251"/>
      <c r="CU1251"/>
      <c r="CV1251" s="2"/>
      <c r="CX1251"/>
      <c r="DC1251"/>
      <c r="DI1251"/>
      <c r="DJ1251"/>
      <c r="DK1251"/>
      <c r="DL1251"/>
      <c r="DM1251"/>
      <c r="DN1251"/>
      <c r="DT1251"/>
      <c r="DU1251" s="143"/>
      <c r="EA1251" s="143"/>
    </row>
    <row r="1252" spans="12:131" ht="15" hidden="1" customHeight="1">
      <c r="L1252" s="192"/>
      <c r="O1252" s="145"/>
      <c r="P1252" s="180"/>
      <c r="AX1252" s="141"/>
      <c r="AY1252" s="141"/>
      <c r="BE1252"/>
      <c r="BF1252" s="2"/>
      <c r="BG1252" s="178"/>
      <c r="BJ1252" s="160"/>
      <c r="BP1252" s="155"/>
      <c r="BR1252" s="155"/>
      <c r="BU1252" s="144"/>
      <c r="CN1252"/>
      <c r="CO1252"/>
      <c r="CP1252"/>
      <c r="CQ1252"/>
      <c r="CR1252"/>
      <c r="CS1252"/>
      <c r="CT1252"/>
      <c r="CU1252"/>
      <c r="CV1252" s="2"/>
      <c r="CX1252"/>
      <c r="DC1252"/>
      <c r="DI1252"/>
      <c r="DJ1252"/>
      <c r="DK1252"/>
      <c r="DL1252"/>
      <c r="DM1252"/>
      <c r="DN1252"/>
      <c r="DT1252"/>
      <c r="DU1252" s="143"/>
      <c r="EA1252" s="143"/>
    </row>
    <row r="1253" spans="12:131" ht="15" hidden="1" customHeight="1">
      <c r="L1253" s="192"/>
      <c r="O1253" s="145"/>
      <c r="P1253" s="180"/>
      <c r="AX1253" s="141"/>
      <c r="AY1253" s="141"/>
      <c r="BE1253"/>
      <c r="BF1253" s="2"/>
      <c r="BG1253" s="178"/>
      <c r="BJ1253" s="160"/>
      <c r="BP1253" s="155"/>
      <c r="BR1253" s="155"/>
      <c r="BU1253" s="144"/>
      <c r="CN1253"/>
      <c r="CO1253"/>
      <c r="CP1253"/>
      <c r="CQ1253"/>
      <c r="CR1253"/>
      <c r="CS1253"/>
      <c r="CT1253"/>
      <c r="CU1253"/>
      <c r="CV1253" s="2"/>
      <c r="CX1253"/>
      <c r="DC1253"/>
      <c r="DI1253"/>
      <c r="DJ1253"/>
      <c r="DK1253"/>
      <c r="DL1253"/>
      <c r="DM1253"/>
      <c r="DN1253"/>
      <c r="DT1253"/>
      <c r="DU1253" s="143"/>
      <c r="EA1253" s="143"/>
    </row>
    <row r="1254" spans="12:131" ht="15" hidden="1" customHeight="1">
      <c r="L1254" s="192"/>
      <c r="O1254" s="145"/>
      <c r="P1254" s="180"/>
      <c r="AX1254" s="141"/>
      <c r="AY1254" s="141"/>
      <c r="BE1254"/>
      <c r="BF1254" s="2"/>
      <c r="BG1254" s="178"/>
      <c r="BJ1254" s="160"/>
      <c r="BP1254" s="155"/>
      <c r="BR1254" s="155"/>
      <c r="BU1254" s="144"/>
      <c r="CN1254"/>
      <c r="CO1254"/>
      <c r="CP1254"/>
      <c r="CQ1254"/>
      <c r="CR1254"/>
      <c r="CS1254"/>
      <c r="CT1254"/>
      <c r="CU1254"/>
      <c r="CV1254" s="2"/>
      <c r="CX1254"/>
      <c r="DC1254"/>
      <c r="DI1254"/>
      <c r="DJ1254"/>
      <c r="DK1254"/>
      <c r="DL1254"/>
      <c r="DM1254"/>
      <c r="DN1254"/>
      <c r="DT1254"/>
      <c r="DU1254" s="143"/>
      <c r="EA1254" s="143"/>
    </row>
    <row r="1255" spans="12:131" ht="15" hidden="1" customHeight="1">
      <c r="L1255" s="192"/>
      <c r="O1255" s="145"/>
      <c r="P1255" s="180"/>
      <c r="AX1255" s="141"/>
      <c r="AY1255" s="141"/>
      <c r="BE1255"/>
      <c r="BF1255" s="2"/>
      <c r="BG1255" s="178"/>
      <c r="BJ1255" s="160"/>
      <c r="BP1255" s="155"/>
      <c r="BR1255" s="155"/>
      <c r="BU1255" s="144"/>
      <c r="CN1255"/>
      <c r="CO1255"/>
      <c r="CP1255"/>
      <c r="CQ1255"/>
      <c r="CR1255"/>
      <c r="CS1255"/>
      <c r="CT1255"/>
      <c r="CU1255"/>
      <c r="CV1255" s="2"/>
      <c r="CX1255"/>
      <c r="DC1255"/>
      <c r="DI1255"/>
      <c r="DJ1255"/>
      <c r="DK1255"/>
      <c r="DL1255"/>
      <c r="DM1255"/>
      <c r="DN1255"/>
      <c r="DT1255"/>
      <c r="DU1255" s="143"/>
      <c r="EA1255" s="143"/>
    </row>
    <row r="1256" spans="12:131" ht="15" hidden="1" customHeight="1">
      <c r="L1256" s="192"/>
      <c r="O1256" s="145"/>
      <c r="P1256" s="180"/>
      <c r="AX1256" s="141"/>
      <c r="AY1256" s="141"/>
      <c r="BE1256"/>
      <c r="BF1256" s="2"/>
      <c r="BG1256" s="178"/>
      <c r="BJ1256" s="160"/>
      <c r="BP1256" s="155"/>
      <c r="BR1256" s="155"/>
      <c r="BU1256" s="144"/>
      <c r="CN1256"/>
      <c r="CO1256"/>
      <c r="CP1256"/>
      <c r="CQ1256"/>
      <c r="CR1256"/>
      <c r="CS1256"/>
      <c r="CT1256"/>
      <c r="CU1256"/>
      <c r="CV1256" s="2"/>
      <c r="CX1256"/>
      <c r="DC1256"/>
      <c r="DI1256"/>
      <c r="DJ1256"/>
      <c r="DK1256"/>
      <c r="DL1256"/>
      <c r="DM1256"/>
      <c r="DN1256"/>
      <c r="DT1256"/>
      <c r="DU1256" s="143"/>
    </row>
    <row r="1257" spans="12:131" ht="15" hidden="1" customHeight="1">
      <c r="L1257" s="192"/>
      <c r="O1257" s="145"/>
      <c r="P1257" s="180"/>
      <c r="AX1257" s="141"/>
      <c r="AY1257" s="141"/>
      <c r="BE1257"/>
      <c r="BF1257" s="2"/>
      <c r="BG1257" s="178"/>
      <c r="BJ1257" s="160"/>
      <c r="BP1257" s="155"/>
      <c r="BR1257" s="155"/>
      <c r="BU1257" s="144"/>
      <c r="CN1257"/>
      <c r="CO1257"/>
      <c r="CP1257"/>
      <c r="CQ1257"/>
      <c r="CR1257"/>
      <c r="CS1257"/>
      <c r="CT1257"/>
      <c r="CU1257"/>
      <c r="CV1257" s="2"/>
      <c r="CX1257"/>
      <c r="DC1257"/>
      <c r="DI1257"/>
      <c r="DJ1257"/>
      <c r="DK1257"/>
      <c r="DL1257"/>
      <c r="DM1257"/>
      <c r="DN1257"/>
      <c r="DT1257"/>
      <c r="DU1257" s="143"/>
    </row>
    <row r="1258" spans="12:131" ht="15" hidden="1" customHeight="1">
      <c r="L1258" s="192"/>
      <c r="O1258" s="145"/>
      <c r="P1258" s="180"/>
      <c r="AX1258" s="141"/>
      <c r="AY1258" s="141"/>
      <c r="BE1258"/>
      <c r="BF1258" s="2"/>
      <c r="BG1258" s="178"/>
      <c r="BJ1258" s="160"/>
      <c r="BP1258" s="155"/>
      <c r="BR1258" s="155"/>
      <c r="BU1258" s="144"/>
      <c r="CN1258"/>
      <c r="CO1258"/>
      <c r="CP1258"/>
      <c r="CQ1258"/>
      <c r="CR1258"/>
      <c r="CS1258"/>
      <c r="CT1258"/>
      <c r="CU1258"/>
      <c r="CV1258" s="2"/>
      <c r="CX1258"/>
      <c r="DC1258"/>
      <c r="DI1258"/>
      <c r="DJ1258"/>
      <c r="DK1258"/>
      <c r="DL1258"/>
      <c r="DM1258"/>
      <c r="DN1258"/>
      <c r="DT1258"/>
      <c r="DU1258" s="143"/>
    </row>
    <row r="1259" spans="12:131" ht="15" hidden="1" customHeight="1">
      <c r="L1259" s="192"/>
      <c r="O1259" s="145"/>
      <c r="P1259" s="180"/>
      <c r="AX1259" s="141"/>
      <c r="AY1259" s="141"/>
      <c r="BE1259"/>
      <c r="BF1259" s="2"/>
      <c r="BG1259" s="178"/>
      <c r="BJ1259" s="160"/>
      <c r="BP1259" s="155"/>
      <c r="BR1259" s="155"/>
      <c r="BU1259" s="144"/>
      <c r="CN1259"/>
      <c r="CO1259"/>
      <c r="CP1259"/>
      <c r="CQ1259"/>
      <c r="CR1259"/>
      <c r="CS1259"/>
      <c r="CT1259"/>
      <c r="CU1259"/>
      <c r="CV1259" s="2"/>
      <c r="CX1259"/>
      <c r="DC1259"/>
      <c r="DI1259"/>
      <c r="DJ1259"/>
      <c r="DK1259"/>
      <c r="DL1259"/>
      <c r="DM1259"/>
      <c r="DN1259"/>
      <c r="DT1259"/>
      <c r="DU1259" s="143"/>
      <c r="EA1259" s="143"/>
    </row>
    <row r="1260" spans="12:131" ht="15" hidden="1" customHeight="1">
      <c r="L1260" s="192"/>
      <c r="O1260" s="145"/>
      <c r="P1260" s="180"/>
      <c r="AX1260" s="141"/>
      <c r="AY1260" s="141"/>
      <c r="BE1260"/>
      <c r="BF1260" s="2"/>
      <c r="BG1260" s="178"/>
      <c r="BJ1260" s="160"/>
      <c r="BP1260" s="155"/>
      <c r="BR1260" s="155"/>
      <c r="BU1260" s="144"/>
      <c r="CN1260"/>
      <c r="CO1260"/>
      <c r="CP1260"/>
      <c r="CQ1260"/>
      <c r="CR1260"/>
      <c r="CS1260"/>
      <c r="CT1260"/>
      <c r="CU1260"/>
      <c r="CV1260" s="2"/>
      <c r="CX1260"/>
      <c r="DC1260"/>
      <c r="DI1260"/>
      <c r="DJ1260"/>
      <c r="DK1260"/>
      <c r="DL1260"/>
      <c r="DM1260"/>
      <c r="DN1260"/>
      <c r="DT1260"/>
      <c r="DU1260" s="143"/>
      <c r="EA1260" s="143"/>
    </row>
    <row r="1261" spans="12:131" ht="15" hidden="1" customHeight="1">
      <c r="L1261" s="192"/>
      <c r="O1261" s="145"/>
      <c r="P1261" s="180"/>
      <c r="AX1261" s="141"/>
      <c r="AY1261" s="141"/>
      <c r="BE1261"/>
      <c r="BF1261" s="2"/>
      <c r="BG1261" s="178"/>
      <c r="BJ1261" s="160"/>
      <c r="BP1261" s="155"/>
      <c r="BR1261" s="155"/>
      <c r="BU1261" s="144"/>
      <c r="CN1261"/>
      <c r="CO1261"/>
      <c r="CP1261"/>
      <c r="CQ1261"/>
      <c r="CR1261"/>
      <c r="CS1261"/>
      <c r="CT1261"/>
      <c r="CU1261"/>
      <c r="CV1261" s="2"/>
      <c r="CX1261"/>
      <c r="DC1261"/>
      <c r="DI1261"/>
      <c r="DJ1261"/>
      <c r="DK1261"/>
      <c r="DL1261"/>
      <c r="DM1261"/>
      <c r="DN1261"/>
      <c r="DT1261"/>
      <c r="DU1261" s="143"/>
      <c r="EA1261" s="143"/>
    </row>
    <row r="1262" spans="12:131" ht="15" hidden="1" customHeight="1">
      <c r="L1262" s="192"/>
      <c r="O1262" s="145"/>
      <c r="P1262" s="180"/>
      <c r="AX1262" s="141"/>
      <c r="AY1262" s="141"/>
      <c r="BE1262"/>
      <c r="BF1262" s="2"/>
      <c r="BG1262" s="178"/>
      <c r="BJ1262" s="160"/>
      <c r="BP1262" s="155"/>
      <c r="BR1262" s="155"/>
      <c r="BU1262" s="144"/>
      <c r="CN1262"/>
      <c r="CO1262"/>
      <c r="CP1262"/>
      <c r="CQ1262"/>
      <c r="CR1262"/>
      <c r="CS1262"/>
      <c r="CT1262"/>
      <c r="CU1262"/>
      <c r="CV1262" s="2"/>
      <c r="CX1262"/>
      <c r="DC1262"/>
      <c r="DI1262"/>
      <c r="DJ1262"/>
      <c r="DK1262"/>
      <c r="DL1262"/>
      <c r="DM1262"/>
      <c r="DN1262"/>
      <c r="DT1262"/>
      <c r="DU1262" s="143"/>
    </row>
    <row r="1263" spans="12:131" ht="15" hidden="1" customHeight="1">
      <c r="L1263" s="192"/>
      <c r="O1263" s="145"/>
      <c r="P1263" s="180"/>
      <c r="AX1263" s="141"/>
      <c r="AY1263" s="141"/>
      <c r="BE1263"/>
      <c r="BF1263" s="2"/>
      <c r="BG1263" s="178"/>
      <c r="BJ1263" s="160"/>
      <c r="BP1263" s="155"/>
      <c r="BR1263" s="155"/>
      <c r="BU1263" s="144"/>
      <c r="CN1263"/>
      <c r="CO1263"/>
      <c r="CP1263"/>
      <c r="CQ1263"/>
      <c r="CR1263"/>
      <c r="CS1263"/>
      <c r="CT1263"/>
      <c r="CU1263"/>
      <c r="CV1263" s="2"/>
      <c r="CX1263"/>
      <c r="DC1263"/>
      <c r="DI1263"/>
      <c r="DJ1263"/>
      <c r="DK1263"/>
      <c r="DL1263"/>
      <c r="DM1263"/>
      <c r="DN1263"/>
      <c r="DT1263"/>
      <c r="DU1263" s="143"/>
      <c r="EA1263" s="143"/>
    </row>
    <row r="1264" spans="12:131" ht="15" hidden="1" customHeight="1">
      <c r="L1264" s="192"/>
      <c r="O1264" s="145"/>
      <c r="P1264" s="180"/>
      <c r="AX1264" s="141"/>
      <c r="AY1264" s="141"/>
      <c r="BE1264"/>
      <c r="BF1264" s="2"/>
      <c r="BG1264" s="178"/>
      <c r="BJ1264" s="160"/>
      <c r="BP1264" s="155"/>
      <c r="BR1264" s="155"/>
      <c r="BU1264" s="144"/>
      <c r="CN1264"/>
      <c r="CO1264"/>
      <c r="CP1264"/>
      <c r="CQ1264"/>
      <c r="CR1264"/>
      <c r="CS1264"/>
      <c r="CT1264"/>
      <c r="CU1264"/>
      <c r="CV1264" s="2"/>
      <c r="CX1264"/>
      <c r="DC1264"/>
      <c r="DI1264"/>
      <c r="DJ1264"/>
      <c r="DK1264"/>
      <c r="DL1264"/>
      <c r="DM1264"/>
      <c r="DN1264"/>
      <c r="DT1264"/>
      <c r="DU1264" s="143"/>
    </row>
    <row r="1265" spans="12:131" ht="15" hidden="1" customHeight="1">
      <c r="L1265" s="192"/>
      <c r="O1265" s="145"/>
      <c r="P1265" s="180"/>
      <c r="AX1265" s="141"/>
      <c r="AY1265" s="141"/>
      <c r="BE1265"/>
      <c r="BF1265" s="2"/>
      <c r="BG1265" s="178"/>
      <c r="BJ1265" s="160"/>
      <c r="BP1265" s="155"/>
      <c r="BR1265" s="155"/>
      <c r="BU1265" s="144"/>
      <c r="CN1265"/>
      <c r="CO1265"/>
      <c r="CP1265"/>
      <c r="CQ1265"/>
      <c r="CR1265"/>
      <c r="CS1265"/>
      <c r="CT1265"/>
      <c r="CU1265"/>
      <c r="CV1265" s="2"/>
      <c r="CX1265"/>
      <c r="DC1265"/>
      <c r="DI1265"/>
      <c r="DJ1265"/>
      <c r="DK1265"/>
      <c r="DL1265"/>
      <c r="DM1265"/>
      <c r="DN1265"/>
      <c r="DT1265"/>
      <c r="DU1265" s="143"/>
      <c r="EA1265" s="143"/>
    </row>
    <row r="1266" spans="12:131" ht="15" hidden="1" customHeight="1">
      <c r="L1266" s="192"/>
      <c r="O1266" s="145"/>
      <c r="P1266" s="180"/>
      <c r="AX1266" s="141"/>
      <c r="AY1266" s="141"/>
      <c r="BE1266"/>
      <c r="BF1266" s="2"/>
      <c r="BG1266" s="178"/>
      <c r="BJ1266" s="160"/>
      <c r="BP1266" s="155"/>
      <c r="BR1266" s="155"/>
      <c r="BU1266" s="144"/>
      <c r="CN1266"/>
      <c r="CO1266"/>
      <c r="CP1266"/>
      <c r="CQ1266"/>
      <c r="CR1266"/>
      <c r="CS1266"/>
      <c r="CT1266"/>
      <c r="CU1266"/>
      <c r="CV1266" s="2"/>
      <c r="CX1266"/>
      <c r="DC1266"/>
      <c r="DI1266"/>
      <c r="DJ1266"/>
      <c r="DK1266"/>
      <c r="DL1266"/>
      <c r="DM1266"/>
      <c r="DN1266"/>
      <c r="DT1266"/>
      <c r="DU1266" s="143"/>
      <c r="EA1266" s="143"/>
    </row>
    <row r="1267" spans="12:131" ht="15" hidden="1" customHeight="1">
      <c r="L1267" s="192"/>
      <c r="O1267" s="145"/>
      <c r="P1267" s="193"/>
      <c r="AX1267" s="141"/>
      <c r="AY1267" s="141"/>
      <c r="BE1267"/>
      <c r="BF1267" s="2"/>
      <c r="BG1267" s="194"/>
      <c r="BJ1267" s="195"/>
      <c r="BP1267" s="149"/>
      <c r="BR1267" s="149"/>
      <c r="BU1267" s="144"/>
      <c r="CN1267"/>
      <c r="CO1267"/>
      <c r="CP1267"/>
      <c r="CQ1267"/>
      <c r="CR1267"/>
      <c r="CS1267"/>
      <c r="CT1267"/>
      <c r="CU1267"/>
      <c r="CV1267" s="2"/>
      <c r="CX1267"/>
      <c r="DC1267"/>
      <c r="DI1267"/>
      <c r="DJ1267"/>
      <c r="DK1267"/>
      <c r="DL1267"/>
      <c r="DM1267"/>
      <c r="DN1267"/>
      <c r="DT1267"/>
      <c r="DU1267" s="143"/>
      <c r="EA1267" s="143"/>
    </row>
    <row r="1268" spans="12:131" ht="15" hidden="1" customHeight="1">
      <c r="L1268" s="192"/>
      <c r="O1268" s="145"/>
      <c r="P1268" s="180"/>
      <c r="AX1268" s="141"/>
      <c r="AY1268" s="141"/>
      <c r="BE1268"/>
      <c r="BF1268" s="2"/>
      <c r="BG1268" s="178"/>
      <c r="BJ1268" s="160"/>
      <c r="BP1268" s="155"/>
      <c r="BR1268" s="155"/>
      <c r="BU1268" s="144"/>
      <c r="CN1268"/>
      <c r="CO1268"/>
      <c r="CP1268"/>
      <c r="CQ1268"/>
      <c r="CR1268"/>
      <c r="CS1268"/>
      <c r="CT1268"/>
      <c r="CU1268"/>
      <c r="CV1268" s="2"/>
      <c r="CX1268"/>
      <c r="DC1268"/>
      <c r="DI1268"/>
      <c r="DJ1268"/>
      <c r="DK1268"/>
      <c r="DL1268"/>
      <c r="DM1268"/>
      <c r="DN1268"/>
      <c r="DT1268"/>
      <c r="DU1268" s="143"/>
    </row>
    <row r="1269" spans="12:131" ht="15" hidden="1" customHeight="1">
      <c r="L1269" s="192"/>
      <c r="O1269" s="145"/>
      <c r="P1269" s="180"/>
      <c r="AX1269" s="141"/>
      <c r="AY1269" s="141"/>
      <c r="BE1269"/>
      <c r="BF1269" s="2"/>
      <c r="BG1269" s="178"/>
      <c r="BJ1269" s="160"/>
      <c r="BP1269" s="155"/>
      <c r="BR1269" s="155"/>
      <c r="BU1269" s="144"/>
      <c r="CN1269"/>
      <c r="CO1269"/>
      <c r="CP1269"/>
      <c r="CQ1269"/>
      <c r="CR1269"/>
      <c r="CS1269"/>
      <c r="CT1269"/>
      <c r="CU1269"/>
      <c r="CV1269" s="2"/>
      <c r="CX1269"/>
      <c r="DC1269"/>
      <c r="DI1269"/>
      <c r="DJ1269"/>
      <c r="DK1269"/>
      <c r="DL1269"/>
      <c r="DM1269"/>
      <c r="DN1269"/>
      <c r="DT1269"/>
      <c r="DU1269" s="143"/>
      <c r="EA1269" s="143"/>
    </row>
    <row r="1270" spans="12:131" ht="15" hidden="1" customHeight="1">
      <c r="L1270" s="192"/>
      <c r="O1270" s="145"/>
      <c r="P1270" s="180"/>
      <c r="AX1270" s="141"/>
      <c r="AY1270" s="141"/>
      <c r="BE1270"/>
      <c r="BF1270" s="2"/>
      <c r="BG1270" s="178"/>
      <c r="BJ1270" s="160"/>
      <c r="BP1270" s="155"/>
      <c r="BR1270" s="155"/>
      <c r="BU1270" s="144"/>
      <c r="CN1270"/>
      <c r="CO1270"/>
      <c r="CP1270"/>
      <c r="CQ1270"/>
      <c r="CR1270"/>
      <c r="CS1270"/>
      <c r="CT1270"/>
      <c r="CU1270"/>
      <c r="CV1270" s="2"/>
      <c r="CX1270"/>
      <c r="DC1270"/>
      <c r="DI1270"/>
      <c r="DJ1270"/>
      <c r="DK1270"/>
      <c r="DL1270"/>
      <c r="DM1270"/>
      <c r="DN1270"/>
      <c r="DT1270"/>
      <c r="DU1270" s="143"/>
    </row>
    <row r="1271" spans="12:131" ht="15" hidden="1" customHeight="1">
      <c r="L1271" s="192"/>
      <c r="O1271" s="145"/>
      <c r="P1271" s="180"/>
      <c r="AX1271" s="141"/>
      <c r="AY1271" s="141"/>
      <c r="BE1271"/>
      <c r="BF1271" s="2"/>
      <c r="BG1271" s="178"/>
      <c r="BJ1271" s="160"/>
      <c r="BP1271" s="155"/>
      <c r="BR1271" s="155"/>
      <c r="BU1271" s="144"/>
      <c r="CN1271"/>
      <c r="CO1271"/>
      <c r="CP1271"/>
      <c r="CQ1271"/>
      <c r="CR1271"/>
      <c r="CS1271"/>
      <c r="CT1271"/>
      <c r="CU1271"/>
      <c r="CV1271" s="2"/>
      <c r="CX1271"/>
      <c r="DC1271"/>
      <c r="DI1271"/>
      <c r="DJ1271"/>
      <c r="DK1271"/>
      <c r="DL1271"/>
      <c r="DM1271"/>
      <c r="DN1271"/>
      <c r="DT1271"/>
      <c r="DU1271" s="143"/>
      <c r="EA1271" s="143"/>
    </row>
    <row r="1272" spans="12:131" ht="15" hidden="1" customHeight="1">
      <c r="L1272" s="192"/>
      <c r="O1272" s="145"/>
      <c r="P1272" s="180"/>
      <c r="AX1272" s="141"/>
      <c r="AY1272" s="141"/>
      <c r="BE1272"/>
      <c r="BF1272" s="2"/>
      <c r="BG1272" s="178"/>
      <c r="BJ1272" s="160"/>
      <c r="BP1272" s="155"/>
      <c r="BR1272" s="155"/>
      <c r="BU1272" s="144"/>
      <c r="CN1272"/>
      <c r="CO1272"/>
      <c r="CP1272"/>
      <c r="CQ1272"/>
      <c r="CR1272"/>
      <c r="CS1272"/>
      <c r="CT1272"/>
      <c r="CU1272"/>
      <c r="CV1272" s="2"/>
      <c r="CX1272"/>
      <c r="DC1272"/>
      <c r="DI1272"/>
      <c r="DJ1272"/>
      <c r="DK1272"/>
      <c r="DL1272"/>
      <c r="DM1272"/>
      <c r="DN1272"/>
      <c r="DT1272"/>
      <c r="DU1272" s="143"/>
      <c r="EA1272" s="143"/>
    </row>
    <row r="1273" spans="12:131" ht="15" hidden="1" customHeight="1">
      <c r="L1273" s="192"/>
      <c r="O1273" s="145"/>
      <c r="P1273" s="180"/>
      <c r="AX1273" s="141"/>
      <c r="AY1273" s="141"/>
      <c r="BE1273"/>
      <c r="BF1273" s="2"/>
      <c r="BG1273" s="178"/>
      <c r="BJ1273" s="160"/>
      <c r="BP1273" s="155"/>
      <c r="BR1273" s="155"/>
      <c r="BU1273" s="144"/>
      <c r="CN1273"/>
      <c r="CO1273"/>
      <c r="CP1273"/>
      <c r="CQ1273"/>
      <c r="CR1273"/>
      <c r="CS1273"/>
      <c r="CT1273"/>
      <c r="CU1273"/>
      <c r="CV1273" s="2"/>
      <c r="CX1273"/>
      <c r="DC1273"/>
      <c r="DI1273"/>
      <c r="DJ1273"/>
      <c r="DK1273"/>
      <c r="DL1273"/>
      <c r="DM1273"/>
      <c r="DN1273"/>
      <c r="DT1273"/>
      <c r="DU1273" s="143"/>
      <c r="EA1273" s="143"/>
    </row>
    <row r="1274" spans="12:131" ht="15" hidden="1" customHeight="1">
      <c r="L1274" s="192"/>
      <c r="O1274" s="145"/>
      <c r="P1274" s="180"/>
      <c r="AX1274" s="141"/>
      <c r="AY1274" s="141"/>
      <c r="BE1274"/>
      <c r="BF1274" s="2"/>
      <c r="BG1274" s="178"/>
      <c r="BJ1274" s="160"/>
      <c r="BP1274" s="155"/>
      <c r="BR1274" s="155"/>
      <c r="BU1274" s="144"/>
      <c r="CN1274"/>
      <c r="CO1274"/>
      <c r="CP1274"/>
      <c r="CQ1274"/>
      <c r="CR1274"/>
      <c r="CS1274"/>
      <c r="CT1274"/>
      <c r="CU1274"/>
      <c r="CV1274" s="2"/>
      <c r="CX1274"/>
      <c r="DC1274"/>
      <c r="DI1274"/>
      <c r="DJ1274"/>
      <c r="DK1274"/>
      <c r="DL1274"/>
      <c r="DM1274"/>
      <c r="DN1274"/>
      <c r="DT1274"/>
      <c r="DU1274" s="143"/>
      <c r="EA1274" s="143"/>
    </row>
    <row r="1275" spans="12:131" ht="15" hidden="1" customHeight="1">
      <c r="L1275" s="192"/>
      <c r="O1275" s="145"/>
      <c r="P1275" s="180"/>
      <c r="AX1275" s="141"/>
      <c r="AY1275" s="141"/>
      <c r="BE1275"/>
      <c r="BF1275" s="2"/>
      <c r="BG1275" s="178"/>
      <c r="BJ1275" s="160"/>
      <c r="BP1275" s="155"/>
      <c r="BR1275" s="155"/>
      <c r="BU1275" s="144"/>
      <c r="CN1275"/>
      <c r="CO1275"/>
      <c r="CP1275"/>
      <c r="CQ1275"/>
      <c r="CR1275"/>
      <c r="CS1275"/>
      <c r="CT1275"/>
      <c r="CU1275"/>
      <c r="CV1275" s="2"/>
      <c r="CX1275"/>
      <c r="DC1275"/>
      <c r="DI1275"/>
      <c r="DJ1275"/>
      <c r="DK1275"/>
      <c r="DL1275"/>
      <c r="DM1275"/>
      <c r="DN1275"/>
      <c r="DT1275"/>
      <c r="DU1275" s="143"/>
    </row>
    <row r="1276" spans="12:131" ht="15" hidden="1" customHeight="1">
      <c r="L1276" s="192"/>
      <c r="O1276" s="145"/>
      <c r="P1276" s="180"/>
      <c r="AX1276" s="141"/>
      <c r="AY1276" s="141"/>
      <c r="BE1276"/>
      <c r="BF1276" s="2"/>
      <c r="BG1276" s="178"/>
      <c r="BJ1276" s="160"/>
      <c r="BP1276" s="155"/>
      <c r="BR1276" s="155"/>
      <c r="BU1276" s="144"/>
      <c r="CN1276"/>
      <c r="CO1276"/>
      <c r="CP1276"/>
      <c r="CQ1276"/>
      <c r="CR1276"/>
      <c r="CS1276"/>
      <c r="CT1276"/>
      <c r="CU1276"/>
      <c r="CV1276" s="2"/>
      <c r="CX1276"/>
      <c r="DC1276"/>
      <c r="DI1276"/>
      <c r="DJ1276"/>
      <c r="DK1276"/>
      <c r="DL1276"/>
      <c r="DM1276"/>
      <c r="DN1276"/>
      <c r="DT1276"/>
      <c r="DU1276" s="143"/>
    </row>
    <row r="1277" spans="12:131" ht="15" hidden="1" customHeight="1">
      <c r="L1277" s="192"/>
      <c r="O1277" s="145"/>
      <c r="P1277" s="180"/>
      <c r="AX1277" s="141"/>
      <c r="AY1277" s="141"/>
      <c r="BE1277"/>
      <c r="BF1277" s="2"/>
      <c r="BG1277" s="178"/>
      <c r="BJ1277" s="160"/>
      <c r="BP1277" s="155"/>
      <c r="BR1277" s="155"/>
      <c r="BU1277" s="144"/>
      <c r="CN1277"/>
      <c r="CO1277"/>
      <c r="CP1277"/>
      <c r="CQ1277"/>
      <c r="CR1277"/>
      <c r="CS1277"/>
      <c r="CT1277"/>
      <c r="CU1277"/>
      <c r="CV1277" s="2"/>
      <c r="CX1277"/>
      <c r="DC1277"/>
      <c r="DI1277"/>
      <c r="DJ1277"/>
      <c r="DK1277"/>
      <c r="DL1277"/>
      <c r="DM1277"/>
      <c r="DN1277"/>
      <c r="DT1277"/>
      <c r="DU1277" s="143"/>
      <c r="EA1277" s="143"/>
    </row>
    <row r="1278" spans="12:131" ht="15" hidden="1" customHeight="1">
      <c r="L1278" s="192"/>
      <c r="O1278" s="145"/>
      <c r="P1278" s="180"/>
      <c r="AX1278" s="141"/>
      <c r="AY1278" s="141"/>
      <c r="BE1278"/>
      <c r="BF1278" s="2"/>
      <c r="BG1278" s="178"/>
      <c r="BJ1278" s="160"/>
      <c r="BP1278" s="155"/>
      <c r="BR1278" s="155"/>
      <c r="BU1278" s="144"/>
      <c r="CN1278"/>
      <c r="CO1278"/>
      <c r="CP1278"/>
      <c r="CQ1278"/>
      <c r="CR1278"/>
      <c r="CS1278"/>
      <c r="CT1278"/>
      <c r="CU1278"/>
      <c r="CV1278" s="2"/>
      <c r="CX1278"/>
      <c r="DC1278"/>
      <c r="DI1278"/>
      <c r="DJ1278"/>
      <c r="DK1278"/>
      <c r="DL1278"/>
      <c r="DM1278"/>
      <c r="DN1278"/>
      <c r="DT1278"/>
      <c r="DU1278" s="143"/>
      <c r="EA1278" s="143"/>
    </row>
    <row r="1279" spans="12:131" ht="15" hidden="1" customHeight="1">
      <c r="L1279" s="192"/>
      <c r="O1279" s="145"/>
      <c r="P1279" s="180"/>
      <c r="AX1279" s="141"/>
      <c r="AY1279" s="141"/>
      <c r="BE1279"/>
      <c r="BF1279" s="2"/>
      <c r="BG1279" s="178"/>
      <c r="BJ1279" s="160"/>
      <c r="BP1279" s="155"/>
      <c r="BR1279" s="155"/>
      <c r="BU1279" s="144"/>
      <c r="CN1279"/>
      <c r="CO1279"/>
      <c r="CP1279"/>
      <c r="CQ1279"/>
      <c r="CR1279"/>
      <c r="CS1279"/>
      <c r="CT1279"/>
      <c r="CU1279"/>
      <c r="CV1279" s="2"/>
      <c r="CX1279"/>
      <c r="DC1279"/>
      <c r="DI1279"/>
      <c r="DJ1279"/>
      <c r="DK1279"/>
      <c r="DL1279"/>
      <c r="DM1279"/>
      <c r="DN1279"/>
      <c r="DT1279"/>
      <c r="DU1279" s="143"/>
      <c r="EA1279" s="143"/>
    </row>
    <row r="1280" spans="12:131" ht="15" hidden="1" customHeight="1">
      <c r="L1280" s="192"/>
      <c r="O1280" s="145"/>
      <c r="P1280" s="180"/>
      <c r="AX1280" s="141"/>
      <c r="AY1280" s="141"/>
      <c r="BE1280"/>
      <c r="BF1280" s="2"/>
      <c r="BG1280" s="178"/>
      <c r="BJ1280" s="160"/>
      <c r="BP1280" s="155"/>
      <c r="BR1280" s="155"/>
      <c r="BU1280" s="144"/>
      <c r="CN1280"/>
      <c r="CO1280"/>
      <c r="CP1280"/>
      <c r="CQ1280"/>
      <c r="CR1280"/>
      <c r="CS1280"/>
      <c r="CT1280"/>
      <c r="CU1280"/>
      <c r="CV1280" s="2"/>
      <c r="CX1280"/>
      <c r="DC1280"/>
      <c r="DI1280"/>
      <c r="DJ1280"/>
      <c r="DK1280"/>
      <c r="DL1280"/>
      <c r="DM1280"/>
      <c r="DN1280"/>
      <c r="DT1280"/>
      <c r="DU1280" s="143"/>
      <c r="EA1280" s="143"/>
    </row>
    <row r="1281" spans="12:148" ht="15" hidden="1" customHeight="1">
      <c r="L1281" s="192"/>
      <c r="O1281" s="145"/>
      <c r="P1281" s="180"/>
      <c r="AX1281" s="141"/>
      <c r="AY1281" s="141"/>
      <c r="BE1281"/>
      <c r="BF1281" s="2"/>
      <c r="BG1281" s="178"/>
      <c r="BJ1281" s="160"/>
      <c r="BP1281" s="155"/>
      <c r="BR1281" s="155"/>
      <c r="BU1281" s="144"/>
      <c r="CN1281"/>
      <c r="CO1281"/>
      <c r="CP1281"/>
      <c r="CQ1281"/>
      <c r="CR1281"/>
      <c r="CS1281"/>
      <c r="CT1281"/>
      <c r="CU1281"/>
      <c r="CV1281" s="2"/>
      <c r="CX1281"/>
      <c r="DC1281"/>
      <c r="DI1281"/>
      <c r="DJ1281"/>
      <c r="DK1281"/>
      <c r="DL1281"/>
      <c r="DM1281"/>
      <c r="DN1281"/>
      <c r="DT1281"/>
      <c r="DU1281" s="143"/>
    </row>
    <row r="1282" spans="12:148" ht="15" hidden="1" customHeight="1">
      <c r="L1282" s="192"/>
      <c r="O1282" s="145"/>
      <c r="P1282" s="193"/>
      <c r="AX1282" s="141"/>
      <c r="AY1282" s="141"/>
      <c r="BE1282"/>
      <c r="BF1282" s="2"/>
      <c r="BG1282" s="194"/>
      <c r="BJ1282" s="195"/>
      <c r="BP1282" s="149"/>
      <c r="BR1282" s="149"/>
      <c r="BU1282" s="144"/>
      <c r="CN1282"/>
      <c r="CO1282"/>
      <c r="CP1282"/>
      <c r="CQ1282"/>
      <c r="CR1282"/>
      <c r="CS1282"/>
      <c r="CT1282"/>
      <c r="CU1282"/>
      <c r="CV1282" s="2"/>
      <c r="CX1282"/>
      <c r="DC1282"/>
      <c r="DI1282"/>
      <c r="DJ1282"/>
      <c r="DK1282"/>
      <c r="DL1282"/>
      <c r="DM1282"/>
      <c r="DN1282"/>
      <c r="DT1282"/>
      <c r="DU1282" s="143"/>
    </row>
    <row r="1283" spans="12:148" ht="15" hidden="1" customHeight="1">
      <c r="L1283" s="192"/>
      <c r="O1283" s="145"/>
      <c r="P1283" s="180"/>
      <c r="AX1283" s="141"/>
      <c r="AY1283" s="141"/>
      <c r="BE1283"/>
      <c r="BF1283" s="2"/>
      <c r="BG1283" s="178"/>
      <c r="BJ1283" s="160"/>
      <c r="BP1283" s="155"/>
      <c r="BR1283" s="155"/>
      <c r="BU1283" s="144"/>
      <c r="CN1283"/>
      <c r="CO1283"/>
      <c r="CP1283"/>
      <c r="CQ1283"/>
      <c r="CR1283"/>
      <c r="CS1283"/>
      <c r="CT1283"/>
      <c r="CU1283"/>
      <c r="CV1283" s="2"/>
      <c r="CX1283"/>
      <c r="DC1283"/>
      <c r="DI1283"/>
      <c r="DJ1283"/>
      <c r="DK1283"/>
      <c r="DL1283"/>
      <c r="DM1283"/>
      <c r="DN1283"/>
      <c r="DT1283"/>
      <c r="DU1283" s="143"/>
      <c r="EA1283" s="143"/>
    </row>
    <row r="1284" spans="12:148" ht="15" hidden="1" customHeight="1">
      <c r="L1284" s="192"/>
      <c r="O1284" s="145"/>
      <c r="P1284" s="193"/>
      <c r="AX1284" s="141"/>
      <c r="AY1284" s="141"/>
      <c r="BE1284"/>
      <c r="BF1284" s="2"/>
      <c r="BG1284" s="194"/>
      <c r="BJ1284" s="195"/>
      <c r="BP1284" s="149"/>
      <c r="BR1284" s="149"/>
      <c r="BU1284" s="144"/>
      <c r="CN1284"/>
      <c r="CO1284"/>
      <c r="CP1284"/>
      <c r="CQ1284"/>
      <c r="CR1284"/>
      <c r="CS1284"/>
      <c r="CT1284"/>
      <c r="CU1284"/>
      <c r="CV1284" s="2"/>
      <c r="CX1284"/>
      <c r="DC1284"/>
      <c r="DI1284"/>
      <c r="DJ1284"/>
      <c r="DK1284"/>
      <c r="DL1284"/>
      <c r="DM1284"/>
      <c r="DN1284"/>
      <c r="DT1284"/>
      <c r="DU1284" s="143"/>
      <c r="EA1284" s="143"/>
    </row>
    <row r="1285" spans="12:148" ht="15" hidden="1" customHeight="1">
      <c r="L1285" s="192"/>
      <c r="O1285" s="145"/>
      <c r="P1285" s="193"/>
      <c r="AX1285" s="141"/>
      <c r="AY1285" s="141"/>
      <c r="BE1285"/>
      <c r="BF1285" s="2"/>
      <c r="BG1285" s="194"/>
      <c r="BJ1285" s="195"/>
      <c r="BP1285" s="149"/>
      <c r="BR1285" s="149"/>
      <c r="BU1285" s="144"/>
      <c r="CN1285"/>
      <c r="CO1285"/>
      <c r="CP1285"/>
      <c r="CQ1285"/>
      <c r="CR1285"/>
      <c r="CS1285"/>
      <c r="CT1285"/>
      <c r="CU1285"/>
      <c r="CV1285" s="2"/>
      <c r="CX1285"/>
      <c r="DC1285"/>
      <c r="DI1285"/>
      <c r="DJ1285"/>
      <c r="DK1285"/>
      <c r="DL1285"/>
      <c r="DM1285"/>
      <c r="DN1285"/>
      <c r="DT1285"/>
      <c r="DU1285" s="143"/>
      <c r="EA1285" s="143"/>
    </row>
    <row r="1286" spans="12:148" ht="15" hidden="1" customHeight="1">
      <c r="L1286" s="192"/>
      <c r="O1286" s="145"/>
      <c r="P1286" s="180"/>
      <c r="AX1286" s="141"/>
      <c r="AY1286" s="141"/>
      <c r="BE1286"/>
      <c r="BF1286" s="2"/>
      <c r="BG1286" s="178"/>
      <c r="BJ1286" s="160"/>
      <c r="BP1286" s="155"/>
      <c r="BR1286" s="155"/>
      <c r="BU1286" s="144"/>
      <c r="CN1286"/>
      <c r="CO1286"/>
      <c r="CP1286"/>
      <c r="CQ1286"/>
      <c r="CR1286"/>
      <c r="CS1286"/>
      <c r="CT1286"/>
      <c r="CU1286"/>
      <c r="CV1286" s="2"/>
      <c r="CX1286"/>
      <c r="DC1286"/>
      <c r="DI1286"/>
      <c r="DJ1286"/>
      <c r="DK1286"/>
      <c r="DL1286"/>
      <c r="DM1286"/>
      <c r="DN1286"/>
      <c r="DT1286"/>
      <c r="DU1286" s="143"/>
    </row>
    <row r="1287" spans="12:148" ht="15" hidden="1" customHeight="1">
      <c r="L1287" s="192"/>
      <c r="O1287" s="145"/>
      <c r="P1287" s="180"/>
      <c r="AX1287" s="141"/>
      <c r="AY1287" s="141"/>
      <c r="BE1287"/>
      <c r="BF1287" s="2"/>
      <c r="BG1287" s="178"/>
      <c r="BJ1287" s="160"/>
      <c r="BP1287" s="155"/>
      <c r="BR1287" s="155"/>
      <c r="BU1287" s="144"/>
      <c r="CN1287"/>
      <c r="CO1287"/>
      <c r="CP1287"/>
      <c r="CQ1287"/>
      <c r="CR1287"/>
      <c r="CS1287"/>
      <c r="CT1287"/>
      <c r="CU1287"/>
      <c r="CV1287" s="2"/>
      <c r="CX1287"/>
      <c r="DC1287"/>
      <c r="DI1287"/>
      <c r="DJ1287"/>
      <c r="DK1287"/>
      <c r="DL1287"/>
      <c r="DM1287"/>
      <c r="DN1287"/>
      <c r="DT1287"/>
      <c r="DU1287" s="143"/>
    </row>
    <row r="1288" spans="12:148" ht="15" hidden="1" customHeight="1">
      <c r="L1288" s="192"/>
      <c r="O1288" s="145"/>
      <c r="P1288" s="193"/>
      <c r="AX1288" s="141"/>
      <c r="AY1288" s="141"/>
      <c r="BE1288"/>
      <c r="BF1288" s="2"/>
      <c r="BG1288" s="194"/>
      <c r="BJ1288" s="195"/>
      <c r="BP1288" s="149"/>
      <c r="BR1288" s="149"/>
      <c r="BU1288" s="144"/>
      <c r="CN1288"/>
      <c r="CO1288"/>
      <c r="CP1288"/>
      <c r="CQ1288"/>
      <c r="CR1288"/>
      <c r="CS1288"/>
      <c r="CT1288"/>
      <c r="CU1288"/>
      <c r="CV1288" s="2"/>
      <c r="CX1288"/>
      <c r="DC1288"/>
      <c r="DI1288"/>
      <c r="DJ1288"/>
      <c r="DK1288"/>
      <c r="DL1288"/>
      <c r="DM1288"/>
      <c r="DN1288"/>
      <c r="DT1288"/>
      <c r="DU1288" s="143"/>
    </row>
    <row r="1289" spans="12:148" ht="15" hidden="1" customHeight="1">
      <c r="L1289" s="192"/>
      <c r="O1289" s="145"/>
      <c r="P1289" s="180"/>
      <c r="AX1289" s="141"/>
      <c r="AY1289" s="141"/>
      <c r="BE1289"/>
      <c r="BF1289" s="2"/>
      <c r="BG1289" s="178"/>
      <c r="BJ1289" s="160"/>
      <c r="BP1289" s="155"/>
      <c r="BR1289" s="155"/>
      <c r="BU1289" s="144"/>
      <c r="CN1289"/>
      <c r="CO1289"/>
      <c r="CP1289"/>
      <c r="CQ1289"/>
      <c r="CR1289"/>
      <c r="CS1289"/>
      <c r="CT1289"/>
      <c r="CU1289"/>
      <c r="CV1289" s="2"/>
      <c r="CX1289"/>
      <c r="DC1289"/>
      <c r="DI1289"/>
      <c r="DJ1289"/>
      <c r="DK1289"/>
      <c r="DL1289"/>
      <c r="DM1289"/>
      <c r="DN1289"/>
      <c r="DT1289"/>
      <c r="DU1289" s="143"/>
      <c r="EA1289" s="143"/>
    </row>
    <row r="1290" spans="12:148" ht="15" hidden="1" customHeight="1">
      <c r="L1290" s="192"/>
      <c r="O1290" s="145"/>
      <c r="P1290" s="180"/>
      <c r="AX1290" s="141"/>
      <c r="AY1290" s="141"/>
      <c r="BE1290"/>
      <c r="BF1290" s="2"/>
      <c r="BG1290" s="178"/>
      <c r="BJ1290" s="160"/>
      <c r="BP1290" s="155"/>
      <c r="BR1290" s="155"/>
      <c r="BU1290" s="144"/>
      <c r="CN1290"/>
      <c r="CO1290"/>
      <c r="CP1290"/>
      <c r="CQ1290"/>
      <c r="CR1290"/>
      <c r="CS1290"/>
      <c r="CT1290"/>
      <c r="CU1290"/>
      <c r="CV1290" s="2"/>
      <c r="CX1290"/>
      <c r="DC1290"/>
      <c r="DI1290"/>
      <c r="DJ1290"/>
      <c r="DK1290"/>
      <c r="DL1290"/>
      <c r="DM1290"/>
      <c r="DN1290"/>
      <c r="DT1290"/>
      <c r="DU1290" s="143"/>
      <c r="EA1290" s="143"/>
    </row>
    <row r="1291" spans="12:148" ht="15" hidden="1" customHeight="1">
      <c r="L1291" s="192"/>
      <c r="O1291" s="145"/>
      <c r="P1291" s="193"/>
      <c r="AX1291" s="141"/>
      <c r="AY1291" s="141"/>
      <c r="BE1291"/>
      <c r="BF1291" s="2"/>
      <c r="BG1291" s="194"/>
      <c r="BJ1291" s="195"/>
      <c r="BP1291" s="149"/>
      <c r="BR1291" s="149"/>
      <c r="BU1291" s="144"/>
      <c r="CN1291"/>
      <c r="CO1291"/>
      <c r="CP1291"/>
      <c r="CQ1291"/>
      <c r="CR1291"/>
      <c r="CS1291"/>
      <c r="CT1291"/>
      <c r="CU1291"/>
      <c r="CV1291" s="2"/>
      <c r="CX1291"/>
      <c r="DC1291"/>
      <c r="DI1291"/>
      <c r="DJ1291"/>
      <c r="DK1291"/>
      <c r="DL1291"/>
      <c r="DM1291"/>
      <c r="DN1291"/>
      <c r="DT1291"/>
      <c r="DU1291" s="143"/>
      <c r="EA1291" s="143"/>
    </row>
    <row r="1292" spans="12:148" ht="15" hidden="1" customHeight="1">
      <c r="L1292" s="192"/>
      <c r="O1292" s="145"/>
      <c r="P1292" s="180"/>
      <c r="AX1292" s="141"/>
      <c r="AY1292" s="141"/>
      <c r="BE1292"/>
      <c r="BF1292" s="2"/>
      <c r="BG1292" s="178"/>
      <c r="BJ1292" s="160"/>
      <c r="BP1292" s="155"/>
      <c r="BR1292" s="155"/>
      <c r="BU1292" s="144"/>
      <c r="CN1292"/>
      <c r="CO1292"/>
      <c r="CP1292"/>
      <c r="CQ1292"/>
      <c r="CR1292"/>
      <c r="CS1292"/>
      <c r="CT1292"/>
      <c r="CU1292"/>
      <c r="CV1292" s="2"/>
      <c r="CX1292"/>
      <c r="DC1292"/>
      <c r="DI1292"/>
      <c r="DJ1292"/>
      <c r="DK1292"/>
      <c r="DL1292"/>
      <c r="DM1292"/>
      <c r="DN1292"/>
      <c r="DT1292"/>
      <c r="DU1292" s="143"/>
      <c r="EA1292" s="143"/>
    </row>
    <row r="1293" spans="12:148" ht="15" hidden="1" customHeight="1">
      <c r="L1293" s="192"/>
      <c r="O1293" s="145"/>
      <c r="P1293" s="180"/>
      <c r="AX1293" s="141"/>
      <c r="AY1293" s="141"/>
      <c r="BE1293"/>
      <c r="BF1293" s="2"/>
      <c r="BG1293" s="178"/>
      <c r="BJ1293" s="160"/>
      <c r="BP1293" s="155"/>
      <c r="BR1293" s="155"/>
      <c r="BU1293" s="144"/>
      <c r="CN1293"/>
      <c r="CO1293"/>
      <c r="CP1293"/>
      <c r="CQ1293"/>
      <c r="CR1293"/>
      <c r="CS1293"/>
      <c r="CT1293"/>
      <c r="CU1293"/>
      <c r="CV1293" s="2"/>
      <c r="CX1293"/>
      <c r="DC1293"/>
      <c r="DI1293"/>
      <c r="DJ1293"/>
      <c r="DK1293"/>
      <c r="DL1293"/>
      <c r="DM1293"/>
      <c r="DN1293"/>
      <c r="DT1293"/>
      <c r="DU1293" s="143"/>
      <c r="EA1293" s="143"/>
    </row>
    <row r="1294" spans="12:148" ht="15" hidden="1" customHeight="1">
      <c r="L1294" s="192"/>
      <c r="O1294" s="145"/>
      <c r="AX1294" s="141"/>
      <c r="AY1294" s="141"/>
      <c r="BE1294"/>
      <c r="BF1294" s="2"/>
      <c r="BN1294" s="143"/>
      <c r="BU1294" s="144"/>
      <c r="CN1294"/>
      <c r="CO1294"/>
      <c r="CP1294"/>
      <c r="CQ1294"/>
      <c r="CR1294"/>
      <c r="CS1294"/>
      <c r="CT1294"/>
      <c r="CU1294"/>
      <c r="CV1294" s="2"/>
      <c r="CX1294"/>
      <c r="DC1294"/>
      <c r="DI1294"/>
      <c r="DJ1294"/>
      <c r="DK1294"/>
      <c r="DL1294"/>
      <c r="DM1294"/>
      <c r="DN1294"/>
      <c r="DT1294"/>
      <c r="DU1294" s="143"/>
      <c r="ER1294" s="149"/>
    </row>
    <row r="1295" spans="12:148" ht="15" hidden="1" customHeight="1">
      <c r="O1295" s="145"/>
      <c r="AX1295" s="141"/>
      <c r="AY1295" s="141"/>
      <c r="BE1295"/>
      <c r="BF1295" s="2"/>
      <c r="BN1295" s="143"/>
      <c r="BU1295" s="144"/>
      <c r="CN1295"/>
      <c r="CO1295"/>
      <c r="CP1295"/>
      <c r="CQ1295"/>
      <c r="CR1295"/>
      <c r="CS1295"/>
      <c r="CT1295"/>
      <c r="CU1295"/>
      <c r="CV1295" s="2"/>
      <c r="CX1295"/>
      <c r="DC1295"/>
      <c r="DI1295"/>
      <c r="DJ1295"/>
      <c r="DK1295"/>
      <c r="DL1295"/>
      <c r="DM1295"/>
      <c r="DN1295"/>
      <c r="DT1295"/>
      <c r="DU1295" s="143"/>
      <c r="ER1295" s="149"/>
    </row>
    <row r="1296" spans="12:148" ht="15" hidden="1" customHeight="1">
      <c r="L1296" s="192"/>
      <c r="O1296" s="145"/>
      <c r="AX1296" s="141"/>
      <c r="AY1296" s="141"/>
      <c r="BE1296"/>
      <c r="BF1296" s="2"/>
      <c r="BN1296" s="143"/>
      <c r="BU1296" s="144"/>
      <c r="CN1296"/>
      <c r="CO1296"/>
      <c r="CP1296"/>
      <c r="CQ1296"/>
      <c r="CR1296"/>
      <c r="CS1296"/>
      <c r="CT1296"/>
      <c r="CU1296"/>
      <c r="CV1296" s="2"/>
      <c r="CX1296"/>
      <c r="DC1296"/>
      <c r="DI1296"/>
      <c r="DJ1296"/>
      <c r="DK1296"/>
      <c r="DL1296"/>
      <c r="DM1296"/>
      <c r="DN1296"/>
      <c r="DT1296"/>
      <c r="DU1296" s="143"/>
      <c r="ER1296" s="149"/>
    </row>
    <row r="1297" spans="12:148" ht="15" hidden="1" customHeight="1">
      <c r="L1297" s="192"/>
      <c r="O1297" s="145"/>
      <c r="AX1297" s="141"/>
      <c r="AY1297" s="141"/>
      <c r="BE1297"/>
      <c r="BF1297" s="2"/>
      <c r="BN1297" s="143"/>
      <c r="BU1297" s="144"/>
      <c r="CN1297"/>
      <c r="CO1297"/>
      <c r="CP1297"/>
      <c r="CQ1297"/>
      <c r="CR1297"/>
      <c r="CS1297"/>
      <c r="CT1297"/>
      <c r="CU1297"/>
      <c r="CV1297" s="2"/>
      <c r="CX1297"/>
      <c r="DC1297"/>
      <c r="DI1297"/>
      <c r="DJ1297"/>
      <c r="DK1297"/>
      <c r="DL1297"/>
      <c r="DM1297"/>
      <c r="DN1297"/>
      <c r="DT1297"/>
      <c r="DU1297" s="143"/>
      <c r="ER1297" s="149"/>
    </row>
    <row r="1298" spans="12:148" ht="15" hidden="1" customHeight="1">
      <c r="L1298" s="192"/>
      <c r="O1298" s="145"/>
      <c r="AX1298" s="141"/>
      <c r="AY1298" s="141"/>
      <c r="BE1298"/>
      <c r="BF1298" s="2"/>
      <c r="BN1298" s="143"/>
      <c r="BU1298" s="144"/>
      <c r="CN1298"/>
      <c r="CO1298"/>
      <c r="CP1298"/>
      <c r="CQ1298"/>
      <c r="CR1298"/>
      <c r="CS1298"/>
      <c r="CT1298"/>
      <c r="CU1298"/>
      <c r="CV1298" s="2"/>
      <c r="CX1298"/>
      <c r="DC1298"/>
      <c r="DI1298"/>
      <c r="DJ1298"/>
      <c r="DK1298"/>
      <c r="DL1298"/>
      <c r="DM1298"/>
      <c r="DN1298"/>
      <c r="DT1298"/>
      <c r="DU1298" s="143"/>
      <c r="ER1298" s="149"/>
    </row>
    <row r="1299" spans="12:148" ht="15" hidden="1" customHeight="1">
      <c r="L1299" s="192"/>
      <c r="O1299" s="145"/>
      <c r="AX1299" s="141"/>
      <c r="AY1299" s="141"/>
      <c r="BE1299"/>
      <c r="BF1299" s="2"/>
      <c r="BN1299" s="143"/>
      <c r="BU1299" s="144"/>
      <c r="CN1299"/>
      <c r="CO1299"/>
      <c r="CP1299"/>
      <c r="CQ1299"/>
      <c r="CR1299"/>
      <c r="CS1299"/>
      <c r="CT1299"/>
      <c r="CU1299"/>
      <c r="CV1299" s="2"/>
      <c r="CX1299"/>
      <c r="DC1299"/>
      <c r="DI1299"/>
      <c r="DJ1299"/>
      <c r="DK1299"/>
      <c r="DL1299"/>
      <c r="DM1299"/>
      <c r="DN1299"/>
      <c r="DT1299"/>
      <c r="DU1299" s="143"/>
      <c r="ER1299" s="149"/>
    </row>
    <row r="1300" spans="12:148" ht="15" hidden="1" customHeight="1">
      <c r="L1300" s="192"/>
      <c r="O1300" s="145"/>
      <c r="AX1300" s="141"/>
      <c r="AY1300" s="141"/>
      <c r="BE1300"/>
      <c r="BF1300" s="2"/>
      <c r="BN1300" s="143"/>
      <c r="BU1300" s="144"/>
      <c r="CN1300"/>
      <c r="CO1300"/>
      <c r="CP1300"/>
      <c r="CQ1300"/>
      <c r="CR1300"/>
      <c r="CS1300"/>
      <c r="CT1300"/>
      <c r="CU1300"/>
      <c r="CV1300" s="2"/>
      <c r="CX1300"/>
      <c r="DC1300"/>
      <c r="DI1300"/>
      <c r="DJ1300"/>
      <c r="DK1300"/>
      <c r="DL1300"/>
      <c r="DM1300"/>
      <c r="DN1300"/>
      <c r="DT1300"/>
      <c r="DU1300" s="143"/>
      <c r="ER1300" s="149"/>
    </row>
    <row r="1301" spans="12:148" ht="18" hidden="1" customHeight="1">
      <c r="L1301" s="192"/>
      <c r="O1301" s="145"/>
      <c r="AX1301" s="141"/>
      <c r="AY1301" s="141"/>
      <c r="BE1301"/>
      <c r="BF1301" s="2"/>
      <c r="BN1301" s="143"/>
      <c r="BU1301" s="144"/>
      <c r="CN1301"/>
      <c r="CO1301"/>
      <c r="CP1301"/>
      <c r="CQ1301"/>
      <c r="CR1301"/>
      <c r="CS1301"/>
      <c r="CT1301"/>
      <c r="CU1301"/>
      <c r="CV1301" s="2"/>
      <c r="CX1301"/>
      <c r="DC1301"/>
      <c r="DI1301"/>
      <c r="DJ1301"/>
      <c r="DK1301"/>
      <c r="DL1301"/>
      <c r="DM1301"/>
      <c r="DN1301"/>
      <c r="DT1301"/>
      <c r="DU1301" s="143"/>
      <c r="ER1301" s="149"/>
    </row>
    <row r="1302" spans="12:148" ht="15" hidden="1" customHeight="1">
      <c r="L1302" s="192"/>
      <c r="O1302" s="145"/>
      <c r="AX1302" s="141"/>
      <c r="AY1302" s="141"/>
      <c r="BE1302"/>
      <c r="BF1302" s="2"/>
      <c r="BN1302" s="143"/>
      <c r="BU1302" s="144"/>
      <c r="CN1302"/>
      <c r="CO1302"/>
      <c r="CP1302"/>
      <c r="CQ1302"/>
      <c r="CR1302"/>
      <c r="CS1302"/>
      <c r="CT1302"/>
      <c r="CU1302"/>
      <c r="CV1302" s="2"/>
      <c r="CX1302"/>
      <c r="DC1302"/>
      <c r="DI1302"/>
      <c r="DJ1302"/>
      <c r="DK1302"/>
      <c r="DL1302"/>
      <c r="DM1302"/>
      <c r="DN1302"/>
      <c r="DT1302"/>
      <c r="DU1302" s="143"/>
      <c r="ER1302" s="149"/>
    </row>
    <row r="1303" spans="12:148" ht="15" hidden="1" customHeight="1">
      <c r="L1303" s="192"/>
      <c r="O1303" s="145"/>
      <c r="AX1303" s="141"/>
      <c r="AY1303" s="141"/>
      <c r="BE1303"/>
      <c r="BF1303" s="2"/>
      <c r="BN1303" s="143"/>
      <c r="BU1303" s="144"/>
      <c r="CN1303"/>
      <c r="CO1303"/>
      <c r="CP1303"/>
      <c r="CQ1303"/>
      <c r="CR1303"/>
      <c r="CS1303"/>
      <c r="CT1303"/>
      <c r="CU1303"/>
      <c r="CV1303" s="2"/>
      <c r="CX1303"/>
      <c r="DC1303"/>
      <c r="DI1303"/>
      <c r="DJ1303"/>
      <c r="DK1303"/>
      <c r="DL1303"/>
      <c r="DM1303"/>
      <c r="DN1303"/>
      <c r="DT1303"/>
      <c r="DU1303" s="143"/>
      <c r="ER1303" s="149"/>
    </row>
    <row r="1304" spans="12:148" ht="15" hidden="1" customHeight="1">
      <c r="L1304" s="192"/>
      <c r="O1304" s="145"/>
      <c r="AX1304" s="141"/>
      <c r="AY1304" s="141"/>
      <c r="BE1304"/>
      <c r="BF1304" s="2"/>
      <c r="BN1304" s="143"/>
      <c r="BU1304" s="144"/>
      <c r="CN1304"/>
      <c r="CO1304"/>
      <c r="CP1304"/>
      <c r="CQ1304"/>
      <c r="CR1304"/>
      <c r="CS1304"/>
      <c r="CT1304"/>
      <c r="CU1304"/>
      <c r="CV1304" s="2"/>
      <c r="CX1304"/>
      <c r="DC1304"/>
      <c r="DI1304"/>
      <c r="DJ1304"/>
      <c r="DK1304"/>
      <c r="DL1304"/>
      <c r="DM1304"/>
      <c r="DN1304"/>
      <c r="DT1304"/>
      <c r="DU1304" s="143"/>
      <c r="ER1304" s="149"/>
    </row>
    <row r="1305" spans="12:148" ht="15" hidden="1" customHeight="1">
      <c r="L1305" s="192"/>
      <c r="O1305" s="145"/>
      <c r="AX1305" s="141"/>
      <c r="AY1305" s="141"/>
      <c r="BE1305"/>
      <c r="BF1305" s="2"/>
      <c r="BN1305" s="143"/>
      <c r="BU1305" s="144"/>
      <c r="CN1305"/>
      <c r="CO1305"/>
      <c r="CP1305"/>
      <c r="CQ1305"/>
      <c r="CR1305"/>
      <c r="CS1305"/>
      <c r="CT1305"/>
      <c r="CU1305"/>
      <c r="CV1305" s="2"/>
      <c r="CX1305"/>
      <c r="DC1305"/>
      <c r="DI1305"/>
      <c r="DJ1305"/>
      <c r="DK1305"/>
      <c r="DL1305"/>
      <c r="DM1305"/>
      <c r="DN1305"/>
      <c r="DT1305"/>
      <c r="DU1305" s="143"/>
      <c r="ER1305" s="149"/>
    </row>
    <row r="1306" spans="12:148" ht="15" hidden="1" customHeight="1">
      <c r="L1306" s="192"/>
      <c r="O1306" s="145"/>
      <c r="AX1306" s="141"/>
      <c r="AY1306" s="141"/>
      <c r="BE1306"/>
      <c r="BF1306" s="2"/>
      <c r="BN1306" s="143"/>
      <c r="BU1306" s="144"/>
      <c r="CN1306"/>
      <c r="CO1306"/>
      <c r="CP1306"/>
      <c r="CQ1306"/>
      <c r="CR1306"/>
      <c r="CS1306"/>
      <c r="CT1306"/>
      <c r="CU1306"/>
      <c r="CV1306" s="2"/>
      <c r="CX1306"/>
      <c r="DC1306"/>
      <c r="DI1306"/>
      <c r="DJ1306"/>
      <c r="DK1306"/>
      <c r="DL1306"/>
      <c r="DM1306"/>
      <c r="DN1306"/>
      <c r="DT1306"/>
      <c r="DU1306" s="143"/>
      <c r="ER1306" s="149"/>
    </row>
    <row r="1307" spans="12:148" ht="15" hidden="1" customHeight="1">
      <c r="O1307" s="145"/>
      <c r="AX1307" s="141"/>
      <c r="AY1307" s="141"/>
      <c r="BE1307"/>
      <c r="BF1307" s="2"/>
      <c r="BN1307" s="143"/>
      <c r="BU1307" s="144"/>
      <c r="CN1307"/>
      <c r="CO1307"/>
      <c r="CP1307"/>
      <c r="CQ1307"/>
      <c r="CR1307"/>
      <c r="CS1307"/>
      <c r="CT1307"/>
      <c r="CU1307"/>
      <c r="CV1307" s="2"/>
      <c r="CX1307"/>
      <c r="DC1307"/>
      <c r="DI1307"/>
      <c r="DJ1307"/>
      <c r="DK1307"/>
      <c r="DL1307"/>
      <c r="DM1307"/>
      <c r="DN1307"/>
      <c r="DT1307"/>
      <c r="DU1307" s="143"/>
      <c r="ER1307" s="149"/>
    </row>
    <row r="1308" spans="12:148" ht="15" hidden="1" customHeight="1">
      <c r="L1308" s="192"/>
      <c r="O1308" s="145"/>
      <c r="AX1308" s="141"/>
      <c r="AY1308" s="141"/>
      <c r="BE1308"/>
      <c r="BF1308" s="2"/>
      <c r="BN1308" s="143"/>
      <c r="BU1308" s="144"/>
      <c r="CN1308"/>
      <c r="CO1308"/>
      <c r="CP1308"/>
      <c r="CQ1308"/>
      <c r="CR1308"/>
      <c r="CS1308"/>
      <c r="CT1308"/>
      <c r="CU1308"/>
      <c r="CV1308" s="2"/>
      <c r="CX1308"/>
      <c r="DC1308"/>
      <c r="DI1308"/>
      <c r="DJ1308"/>
      <c r="DK1308"/>
      <c r="DL1308"/>
      <c r="DM1308"/>
      <c r="DN1308"/>
      <c r="DT1308"/>
      <c r="DU1308" s="143"/>
      <c r="ER1308" s="149"/>
    </row>
    <row r="1309" spans="12:148" ht="15" hidden="1" customHeight="1">
      <c r="O1309" s="145"/>
      <c r="AX1309" s="141"/>
      <c r="AY1309" s="141"/>
      <c r="BE1309"/>
      <c r="BF1309" s="2"/>
      <c r="BN1309" s="143"/>
      <c r="BU1309" s="144"/>
      <c r="CN1309"/>
      <c r="CO1309"/>
      <c r="CP1309"/>
      <c r="CQ1309"/>
      <c r="CR1309"/>
      <c r="CS1309"/>
      <c r="CT1309"/>
      <c r="CU1309"/>
      <c r="CV1309" s="2"/>
      <c r="CX1309"/>
      <c r="DC1309"/>
      <c r="DI1309"/>
      <c r="DJ1309"/>
      <c r="DK1309"/>
      <c r="DL1309"/>
      <c r="DM1309"/>
      <c r="DN1309"/>
      <c r="DT1309"/>
      <c r="DU1309" s="143"/>
      <c r="ER1309" s="149"/>
    </row>
    <row r="1310" spans="12:148" ht="15" hidden="1" customHeight="1">
      <c r="L1310" s="192"/>
      <c r="O1310" s="145"/>
      <c r="AX1310" s="141"/>
      <c r="AY1310" s="141"/>
      <c r="BE1310"/>
      <c r="BF1310" s="2"/>
      <c r="BN1310" s="143"/>
      <c r="BU1310" s="144"/>
      <c r="CN1310"/>
      <c r="CO1310"/>
      <c r="CP1310"/>
      <c r="CQ1310"/>
      <c r="CR1310"/>
      <c r="CS1310"/>
      <c r="CT1310"/>
      <c r="CU1310"/>
      <c r="CV1310" s="2"/>
      <c r="CX1310"/>
      <c r="DC1310"/>
      <c r="DI1310"/>
      <c r="DJ1310"/>
      <c r="DK1310"/>
      <c r="DL1310"/>
      <c r="DM1310"/>
      <c r="DN1310"/>
      <c r="DT1310"/>
      <c r="DU1310" s="143"/>
      <c r="ER1310" s="149"/>
    </row>
    <row r="1311" spans="12:148" ht="15" hidden="1" customHeight="1">
      <c r="L1311" s="192"/>
      <c r="O1311" s="145"/>
      <c r="AX1311" s="141"/>
      <c r="AY1311" s="141"/>
      <c r="BE1311"/>
      <c r="BF1311" s="2"/>
      <c r="BN1311" s="143"/>
      <c r="BU1311" s="144"/>
      <c r="CN1311"/>
      <c r="CO1311"/>
      <c r="CP1311"/>
      <c r="CQ1311"/>
      <c r="CR1311"/>
      <c r="CS1311"/>
      <c r="CT1311"/>
      <c r="CU1311"/>
      <c r="CV1311" s="2"/>
      <c r="CX1311"/>
      <c r="DC1311"/>
      <c r="DI1311"/>
      <c r="DJ1311"/>
      <c r="DK1311"/>
      <c r="DL1311"/>
      <c r="DM1311"/>
      <c r="DN1311"/>
      <c r="DT1311"/>
      <c r="DU1311" s="143"/>
      <c r="ER1311" s="149"/>
    </row>
    <row r="1312" spans="12:148" ht="15" hidden="1" customHeight="1">
      <c r="L1312" s="192"/>
      <c r="O1312" s="145"/>
      <c r="AX1312" s="141"/>
      <c r="AY1312" s="141"/>
      <c r="BE1312"/>
      <c r="BF1312" s="2"/>
      <c r="BN1312" s="143"/>
      <c r="BU1312" s="144"/>
      <c r="CN1312"/>
      <c r="CO1312"/>
      <c r="CP1312"/>
      <c r="CQ1312"/>
      <c r="CR1312"/>
      <c r="CS1312"/>
      <c r="CT1312"/>
      <c r="CU1312"/>
      <c r="CV1312" s="2"/>
      <c r="CX1312"/>
      <c r="DC1312"/>
      <c r="DI1312"/>
      <c r="DJ1312"/>
      <c r="DK1312"/>
      <c r="DL1312"/>
      <c r="DM1312"/>
      <c r="DN1312"/>
      <c r="DT1312"/>
      <c r="DU1312" s="143"/>
      <c r="ER1312" s="149"/>
    </row>
    <row r="1313" spans="12:148" ht="15" hidden="1" customHeight="1">
      <c r="L1313" s="192"/>
      <c r="O1313" s="145"/>
      <c r="AX1313" s="141"/>
      <c r="AY1313" s="141"/>
      <c r="BE1313"/>
      <c r="BF1313" s="2"/>
      <c r="BN1313" s="143"/>
      <c r="BU1313" s="144"/>
      <c r="CN1313"/>
      <c r="CO1313"/>
      <c r="CP1313"/>
      <c r="CQ1313"/>
      <c r="CR1313"/>
      <c r="CS1313"/>
      <c r="CT1313"/>
      <c r="CU1313"/>
      <c r="CV1313" s="2"/>
      <c r="CX1313"/>
      <c r="DC1313"/>
      <c r="DI1313"/>
      <c r="DJ1313"/>
      <c r="DK1313"/>
      <c r="DL1313"/>
      <c r="DM1313"/>
      <c r="DN1313"/>
      <c r="DT1313"/>
      <c r="DU1313" s="143"/>
      <c r="ER1313" s="149"/>
    </row>
    <row r="1314" spans="12:148" ht="15" hidden="1" customHeight="1">
      <c r="L1314" s="192"/>
      <c r="O1314" s="145"/>
      <c r="AX1314" s="141"/>
      <c r="AY1314" s="141"/>
      <c r="BE1314"/>
      <c r="BF1314" s="2"/>
      <c r="BN1314" s="143"/>
      <c r="BU1314" s="144"/>
      <c r="CN1314"/>
      <c r="CO1314"/>
      <c r="CP1314"/>
      <c r="CQ1314"/>
      <c r="CR1314"/>
      <c r="CS1314"/>
      <c r="CT1314"/>
      <c r="CU1314"/>
      <c r="CV1314" s="2"/>
      <c r="CX1314"/>
      <c r="DC1314"/>
      <c r="DI1314"/>
      <c r="DJ1314"/>
      <c r="DK1314"/>
      <c r="DL1314"/>
      <c r="DM1314"/>
      <c r="DN1314"/>
      <c r="DT1314"/>
      <c r="DU1314" s="143"/>
      <c r="ER1314" s="149"/>
    </row>
    <row r="1315" spans="12:148" ht="15" hidden="1" customHeight="1">
      <c r="L1315" s="192"/>
      <c r="O1315" s="145"/>
      <c r="AX1315" s="141"/>
      <c r="AY1315" s="141"/>
      <c r="BE1315"/>
      <c r="BF1315" s="2"/>
      <c r="BN1315" s="143"/>
      <c r="BU1315" s="144"/>
      <c r="CN1315"/>
      <c r="CO1315"/>
      <c r="CP1315"/>
      <c r="CQ1315"/>
      <c r="CR1315"/>
      <c r="CS1315"/>
      <c r="CT1315"/>
      <c r="CU1315"/>
      <c r="CV1315" s="2"/>
      <c r="CX1315"/>
      <c r="DC1315"/>
      <c r="DI1315"/>
      <c r="DJ1315"/>
      <c r="DK1315"/>
      <c r="DL1315"/>
      <c r="DM1315"/>
      <c r="DN1315"/>
      <c r="DT1315"/>
      <c r="DU1315" s="143"/>
      <c r="ER1315" s="149"/>
    </row>
    <row r="1316" spans="12:148" ht="15" hidden="1" customHeight="1">
      <c r="L1316" s="192"/>
      <c r="O1316" s="145"/>
      <c r="AX1316" s="141"/>
      <c r="AY1316" s="141"/>
      <c r="BE1316"/>
      <c r="BF1316" s="2"/>
      <c r="BN1316" s="143"/>
      <c r="BU1316" s="144"/>
      <c r="CN1316"/>
      <c r="CO1316"/>
      <c r="CP1316"/>
      <c r="CQ1316"/>
      <c r="CR1316"/>
      <c r="CS1316"/>
      <c r="CT1316"/>
      <c r="CU1316"/>
      <c r="CV1316" s="2"/>
      <c r="CX1316"/>
      <c r="DC1316"/>
      <c r="DI1316"/>
      <c r="DJ1316"/>
      <c r="DK1316"/>
      <c r="DL1316"/>
      <c r="DM1316"/>
      <c r="DN1316"/>
      <c r="DT1316"/>
      <c r="DU1316" s="143"/>
      <c r="ER1316" s="149"/>
    </row>
    <row r="1317" spans="12:148" ht="15" hidden="1" customHeight="1">
      <c r="L1317" s="192"/>
      <c r="O1317" s="145"/>
      <c r="AX1317" s="141"/>
      <c r="AY1317" s="141"/>
      <c r="BE1317"/>
      <c r="BF1317" s="2"/>
      <c r="BN1317" s="143"/>
      <c r="BU1317" s="144"/>
      <c r="CN1317"/>
      <c r="CO1317"/>
      <c r="CP1317"/>
      <c r="CQ1317"/>
      <c r="CR1317"/>
      <c r="CS1317"/>
      <c r="CT1317"/>
      <c r="CU1317"/>
      <c r="CV1317" s="2"/>
      <c r="CX1317"/>
      <c r="DC1317"/>
      <c r="DI1317"/>
      <c r="DJ1317"/>
      <c r="DK1317"/>
      <c r="DL1317"/>
      <c r="DM1317"/>
      <c r="DN1317"/>
      <c r="DT1317"/>
      <c r="DU1317" s="143"/>
      <c r="ER1317" s="149"/>
    </row>
    <row r="1318" spans="12:148" ht="15" hidden="1" customHeight="1">
      <c r="L1318" s="192"/>
      <c r="O1318" s="145"/>
      <c r="AX1318" s="141"/>
      <c r="AY1318" s="141"/>
      <c r="BE1318"/>
      <c r="BF1318" s="2"/>
      <c r="BN1318" s="143"/>
      <c r="BU1318" s="144"/>
      <c r="CN1318"/>
      <c r="CO1318"/>
      <c r="CP1318"/>
      <c r="CQ1318"/>
      <c r="CR1318"/>
      <c r="CS1318"/>
      <c r="CT1318"/>
      <c r="CU1318"/>
      <c r="CV1318" s="2"/>
      <c r="CX1318"/>
      <c r="DC1318"/>
      <c r="DI1318"/>
      <c r="DJ1318"/>
      <c r="DK1318"/>
      <c r="DL1318"/>
      <c r="DM1318"/>
      <c r="DN1318"/>
      <c r="DT1318"/>
      <c r="DU1318" s="143"/>
      <c r="ER1318" s="149"/>
    </row>
    <row r="1319" spans="12:148" ht="15" hidden="1" customHeight="1">
      <c r="L1319" s="192"/>
      <c r="O1319" s="145"/>
      <c r="AX1319" s="141"/>
      <c r="AY1319" s="141"/>
      <c r="BE1319"/>
      <c r="BF1319" s="2"/>
      <c r="BN1319" s="143"/>
      <c r="BU1319" s="144"/>
      <c r="CN1319"/>
      <c r="CO1319"/>
      <c r="CP1319"/>
      <c r="CQ1319"/>
      <c r="CR1319"/>
      <c r="CS1319"/>
      <c r="CT1319"/>
      <c r="CU1319"/>
      <c r="CV1319" s="2"/>
      <c r="CX1319"/>
      <c r="DC1319"/>
      <c r="DI1319"/>
      <c r="DJ1319"/>
      <c r="DK1319"/>
      <c r="DL1319"/>
      <c r="DM1319"/>
      <c r="DN1319"/>
      <c r="DT1319"/>
      <c r="DU1319" s="143"/>
      <c r="ER1319" s="149"/>
    </row>
    <row r="1320" spans="12:148" ht="15" hidden="1" customHeight="1">
      <c r="L1320" s="192"/>
      <c r="O1320" s="145"/>
      <c r="AX1320" s="141"/>
      <c r="AY1320" s="141"/>
      <c r="BE1320"/>
      <c r="BF1320" s="2"/>
      <c r="BN1320" s="143"/>
      <c r="BU1320" s="144"/>
      <c r="CN1320"/>
      <c r="CO1320"/>
      <c r="CP1320"/>
      <c r="CQ1320"/>
      <c r="CR1320"/>
      <c r="CS1320"/>
      <c r="CT1320"/>
      <c r="CU1320"/>
      <c r="CV1320" s="2"/>
      <c r="CX1320"/>
      <c r="DC1320"/>
      <c r="DI1320"/>
      <c r="DJ1320"/>
      <c r="DK1320"/>
      <c r="DL1320"/>
      <c r="DM1320"/>
      <c r="DN1320"/>
      <c r="DT1320"/>
      <c r="DU1320" s="143"/>
      <c r="ER1320" s="149"/>
    </row>
    <row r="1321" spans="12:148" ht="15" hidden="1" customHeight="1">
      <c r="L1321" s="192"/>
      <c r="O1321" s="145"/>
      <c r="AX1321" s="141"/>
      <c r="AY1321" s="141"/>
      <c r="BE1321"/>
      <c r="BF1321" s="2"/>
      <c r="BN1321" s="143"/>
      <c r="BU1321" s="144"/>
      <c r="CN1321"/>
      <c r="CO1321"/>
      <c r="CP1321"/>
      <c r="CQ1321"/>
      <c r="CR1321"/>
      <c r="CS1321"/>
      <c r="CT1321"/>
      <c r="CU1321"/>
      <c r="CV1321" s="2"/>
      <c r="CX1321"/>
      <c r="DC1321"/>
      <c r="DI1321"/>
      <c r="DJ1321"/>
      <c r="DK1321"/>
      <c r="DL1321"/>
      <c r="DM1321"/>
      <c r="DN1321"/>
      <c r="DT1321"/>
      <c r="DU1321" s="143"/>
      <c r="ER1321" s="149"/>
    </row>
    <row r="1322" spans="12:148" ht="15" hidden="1" customHeight="1">
      <c r="L1322" s="192"/>
      <c r="O1322" s="145"/>
      <c r="AX1322" s="141"/>
      <c r="AY1322" s="141"/>
      <c r="BE1322"/>
      <c r="BF1322" s="2"/>
      <c r="BN1322" s="143"/>
      <c r="BU1322" s="144"/>
      <c r="CN1322"/>
      <c r="CO1322"/>
      <c r="CP1322"/>
      <c r="CQ1322"/>
      <c r="CR1322"/>
      <c r="CS1322"/>
      <c r="CT1322"/>
      <c r="CU1322"/>
      <c r="CV1322" s="2"/>
      <c r="CX1322"/>
      <c r="DC1322"/>
      <c r="DI1322"/>
      <c r="DJ1322"/>
      <c r="DK1322"/>
      <c r="DL1322"/>
      <c r="DM1322"/>
      <c r="DN1322"/>
      <c r="DT1322"/>
      <c r="DU1322" s="143"/>
      <c r="ER1322" s="149"/>
    </row>
    <row r="1323" spans="12:148" ht="15" hidden="1" customHeight="1">
      <c r="L1323" s="192"/>
      <c r="O1323" s="145"/>
      <c r="AX1323" s="141"/>
      <c r="AY1323" s="141"/>
      <c r="BE1323"/>
      <c r="BF1323" s="2"/>
      <c r="BN1323" s="143"/>
      <c r="BU1323" s="144"/>
      <c r="CN1323"/>
      <c r="CO1323"/>
      <c r="CP1323"/>
      <c r="CQ1323"/>
      <c r="CR1323"/>
      <c r="CS1323"/>
      <c r="CT1323"/>
      <c r="CU1323"/>
      <c r="CV1323" s="2"/>
      <c r="CX1323"/>
      <c r="DC1323"/>
      <c r="DI1323"/>
      <c r="DJ1323"/>
      <c r="DK1323"/>
      <c r="DL1323"/>
      <c r="DM1323"/>
      <c r="DN1323"/>
      <c r="DT1323"/>
      <c r="DU1323" s="143"/>
      <c r="ER1323" s="149"/>
    </row>
    <row r="1324" spans="12:148" ht="15" hidden="1" customHeight="1">
      <c r="O1324" s="145"/>
      <c r="AX1324" s="141"/>
      <c r="AY1324" s="141"/>
      <c r="BE1324"/>
      <c r="BF1324" s="2"/>
      <c r="BN1324" s="143"/>
      <c r="BU1324" s="144"/>
      <c r="CN1324"/>
      <c r="CO1324"/>
      <c r="CP1324"/>
      <c r="CQ1324"/>
      <c r="CR1324"/>
      <c r="CS1324"/>
      <c r="CT1324"/>
      <c r="CU1324"/>
      <c r="CV1324" s="2"/>
      <c r="CX1324"/>
      <c r="DC1324"/>
      <c r="DI1324"/>
      <c r="DJ1324"/>
      <c r="DK1324"/>
      <c r="DL1324"/>
      <c r="DM1324"/>
      <c r="DN1324"/>
      <c r="DT1324"/>
      <c r="DU1324" s="143"/>
      <c r="ER1324" s="149"/>
    </row>
    <row r="1325" spans="12:148" ht="15" hidden="1" customHeight="1">
      <c r="L1325" s="192"/>
      <c r="O1325" s="145"/>
      <c r="AX1325" s="141"/>
      <c r="AY1325" s="141"/>
      <c r="BE1325"/>
      <c r="BF1325" s="2"/>
      <c r="BN1325" s="143"/>
      <c r="BU1325" s="144"/>
      <c r="CN1325"/>
      <c r="CO1325"/>
      <c r="CP1325"/>
      <c r="CQ1325"/>
      <c r="CR1325"/>
      <c r="CS1325"/>
      <c r="CT1325"/>
      <c r="CU1325"/>
      <c r="CV1325" s="2"/>
      <c r="CX1325"/>
      <c r="DC1325"/>
      <c r="DI1325"/>
      <c r="DJ1325"/>
      <c r="DK1325"/>
      <c r="DL1325"/>
      <c r="DM1325"/>
      <c r="DN1325"/>
      <c r="DT1325"/>
      <c r="DU1325" s="143"/>
      <c r="ER1325" s="149"/>
    </row>
    <row r="1326" spans="12:148" ht="15" hidden="1" customHeight="1">
      <c r="O1326" s="145"/>
      <c r="AX1326" s="141"/>
      <c r="AY1326" s="141"/>
      <c r="BE1326"/>
      <c r="BF1326" s="2"/>
      <c r="BN1326" s="143"/>
      <c r="BU1326" s="144"/>
      <c r="CN1326"/>
      <c r="CO1326"/>
      <c r="CP1326"/>
      <c r="CQ1326"/>
      <c r="CR1326"/>
      <c r="CS1326"/>
      <c r="CT1326"/>
      <c r="CU1326"/>
      <c r="CV1326" s="2"/>
      <c r="CX1326"/>
      <c r="DC1326"/>
      <c r="DI1326"/>
      <c r="DJ1326"/>
      <c r="DK1326"/>
      <c r="DL1326"/>
      <c r="DM1326"/>
      <c r="DN1326"/>
      <c r="DT1326"/>
      <c r="DU1326" s="143"/>
      <c r="ER1326" s="149"/>
    </row>
    <row r="1327" spans="12:148" ht="15" hidden="1" customHeight="1">
      <c r="O1327" s="145"/>
      <c r="AX1327" s="141"/>
      <c r="AY1327" s="141"/>
      <c r="BE1327"/>
      <c r="BF1327" s="2"/>
      <c r="BN1327" s="143"/>
      <c r="BU1327" s="144"/>
      <c r="CN1327"/>
      <c r="CO1327"/>
      <c r="CP1327"/>
      <c r="CQ1327"/>
      <c r="CR1327"/>
      <c r="CS1327"/>
      <c r="CT1327"/>
      <c r="CU1327"/>
      <c r="CV1327" s="2"/>
      <c r="CX1327"/>
      <c r="DC1327"/>
      <c r="DI1327"/>
      <c r="DJ1327"/>
      <c r="DK1327"/>
      <c r="DL1327"/>
      <c r="DM1327"/>
      <c r="DN1327"/>
      <c r="DT1327"/>
      <c r="DU1327" s="143"/>
      <c r="ER1327" s="149"/>
    </row>
    <row r="1328" spans="12:148" ht="15" hidden="1" customHeight="1">
      <c r="L1328" s="192"/>
      <c r="O1328" s="145"/>
      <c r="AX1328" s="141"/>
      <c r="AY1328" s="141"/>
      <c r="BE1328"/>
      <c r="BF1328" s="2"/>
      <c r="BN1328" s="143"/>
      <c r="BU1328" s="144"/>
      <c r="CN1328"/>
      <c r="CO1328"/>
      <c r="CP1328"/>
      <c r="CQ1328"/>
      <c r="CR1328"/>
      <c r="CS1328"/>
      <c r="CT1328"/>
      <c r="CU1328"/>
      <c r="CV1328" s="2"/>
      <c r="CX1328"/>
      <c r="DC1328"/>
      <c r="DI1328"/>
      <c r="DJ1328"/>
      <c r="DK1328"/>
      <c r="DL1328"/>
      <c r="DM1328"/>
      <c r="DN1328"/>
      <c r="DT1328"/>
      <c r="DU1328" s="143"/>
      <c r="ER1328" s="149"/>
    </row>
    <row r="1329" spans="12:148" ht="15" hidden="1" customHeight="1">
      <c r="L1329" s="192"/>
      <c r="O1329" s="145"/>
      <c r="AX1329" s="141"/>
      <c r="AY1329" s="141"/>
      <c r="BE1329"/>
      <c r="BF1329" s="2"/>
      <c r="BN1329" s="143"/>
      <c r="BU1329" s="144"/>
      <c r="CN1329"/>
      <c r="CO1329"/>
      <c r="CP1329"/>
      <c r="CQ1329"/>
      <c r="CR1329"/>
      <c r="CS1329"/>
      <c r="CT1329"/>
      <c r="CU1329"/>
      <c r="CV1329" s="2"/>
      <c r="CX1329"/>
      <c r="DC1329"/>
      <c r="DI1329"/>
      <c r="DJ1329"/>
      <c r="DK1329"/>
      <c r="DL1329"/>
      <c r="DM1329"/>
      <c r="DN1329"/>
      <c r="DT1329"/>
      <c r="DU1329" s="143"/>
      <c r="ER1329" s="149"/>
    </row>
    <row r="1330" spans="12:148" ht="15" hidden="1" customHeight="1">
      <c r="O1330" s="171"/>
      <c r="AX1330" s="141"/>
      <c r="AY1330" s="141"/>
      <c r="BE1330"/>
      <c r="BF1330" s="2"/>
      <c r="BS1330" s="172"/>
      <c r="BT1330" s="172"/>
      <c r="BU1330" s="144"/>
      <c r="CN1330"/>
      <c r="CO1330"/>
      <c r="CP1330"/>
      <c r="CQ1330"/>
      <c r="CR1330"/>
      <c r="CS1330"/>
      <c r="CT1330"/>
      <c r="CU1330"/>
      <c r="CV1330" s="2"/>
      <c r="CX1330"/>
      <c r="DC1330"/>
      <c r="DI1330"/>
      <c r="DJ1330"/>
      <c r="DK1330"/>
      <c r="DL1330"/>
      <c r="DM1330"/>
      <c r="DN1330"/>
      <c r="DT1330"/>
      <c r="DU1330" s="143"/>
      <c r="EA1330" s="143"/>
    </row>
    <row r="1331" spans="12:148" ht="15" hidden="1" customHeight="1">
      <c r="O1331" s="171"/>
      <c r="AX1331" s="141"/>
      <c r="AY1331" s="141"/>
      <c r="BE1331"/>
      <c r="BF1331" s="2"/>
      <c r="BS1331" s="172"/>
      <c r="BT1331" s="172"/>
      <c r="BU1331" s="144"/>
      <c r="CN1331"/>
      <c r="CO1331"/>
      <c r="CP1331"/>
      <c r="CQ1331"/>
      <c r="CR1331"/>
      <c r="CS1331"/>
      <c r="CT1331"/>
      <c r="CU1331"/>
      <c r="CV1331" s="2"/>
      <c r="CX1331"/>
      <c r="DC1331"/>
      <c r="DI1331"/>
      <c r="DJ1331"/>
      <c r="DK1331"/>
      <c r="DL1331"/>
      <c r="DM1331"/>
      <c r="DN1331"/>
      <c r="DT1331"/>
      <c r="DU1331" s="143"/>
      <c r="EA1331" s="143"/>
    </row>
    <row r="1332" spans="12:148" ht="15" hidden="1" customHeight="1">
      <c r="O1332" s="171"/>
      <c r="AX1332" s="141"/>
      <c r="AY1332" s="141"/>
      <c r="BE1332"/>
      <c r="BF1332" s="2"/>
      <c r="BS1332" s="172"/>
      <c r="BT1332" s="172"/>
      <c r="BU1332" s="144"/>
      <c r="CN1332"/>
      <c r="CO1332"/>
      <c r="CP1332"/>
      <c r="CQ1332"/>
      <c r="CR1332"/>
      <c r="CS1332"/>
      <c r="CT1332"/>
      <c r="CU1332"/>
      <c r="CV1332" s="2"/>
      <c r="CX1332"/>
      <c r="DC1332"/>
      <c r="DI1332"/>
      <c r="DJ1332"/>
      <c r="DK1332"/>
      <c r="DL1332"/>
      <c r="DM1332"/>
      <c r="DN1332"/>
      <c r="DT1332"/>
      <c r="DU1332" s="143"/>
      <c r="EA1332" s="143"/>
    </row>
    <row r="1333" spans="12:148" ht="15" hidden="1" customHeight="1">
      <c r="O1333" s="171"/>
      <c r="AX1333" s="141"/>
      <c r="AY1333" s="141"/>
      <c r="BE1333"/>
      <c r="BF1333" s="2"/>
      <c r="BS1333" s="172"/>
      <c r="BT1333" s="172"/>
      <c r="BU1333" s="144"/>
      <c r="CN1333"/>
      <c r="CO1333"/>
      <c r="CP1333"/>
      <c r="CQ1333"/>
      <c r="CR1333"/>
      <c r="CS1333"/>
      <c r="CT1333"/>
      <c r="CU1333"/>
      <c r="CV1333" s="2"/>
      <c r="CX1333"/>
      <c r="DC1333"/>
      <c r="DI1333"/>
      <c r="DJ1333"/>
      <c r="DK1333"/>
      <c r="DL1333"/>
      <c r="DM1333"/>
      <c r="DN1333"/>
      <c r="DT1333"/>
      <c r="DU1333" s="143"/>
      <c r="EA1333" s="143"/>
    </row>
    <row r="1334" spans="12:148" ht="15" hidden="1" customHeight="1">
      <c r="O1334" s="171"/>
      <c r="AX1334" s="141"/>
      <c r="AY1334" s="141"/>
      <c r="BE1334"/>
      <c r="BF1334" s="2"/>
      <c r="BS1334" s="172"/>
      <c r="BT1334" s="172"/>
      <c r="BU1334" s="144"/>
      <c r="CN1334"/>
      <c r="CO1334"/>
      <c r="CP1334"/>
      <c r="CQ1334"/>
      <c r="CR1334"/>
      <c r="CS1334"/>
      <c r="CT1334"/>
      <c r="CU1334"/>
      <c r="CV1334" s="2"/>
      <c r="CX1334"/>
      <c r="DC1334"/>
      <c r="DI1334"/>
      <c r="DJ1334"/>
      <c r="DK1334"/>
      <c r="DL1334"/>
      <c r="DM1334"/>
      <c r="DN1334"/>
      <c r="DT1334"/>
      <c r="DU1334" s="143"/>
      <c r="EA1334" s="143"/>
    </row>
    <row r="1335" spans="12:148" ht="15" hidden="1" customHeight="1">
      <c r="O1335" s="171"/>
      <c r="AX1335" s="141"/>
      <c r="AY1335" s="141"/>
      <c r="BE1335"/>
      <c r="BF1335" s="2"/>
      <c r="BS1335" s="172"/>
      <c r="BT1335" s="172"/>
      <c r="BU1335" s="144"/>
      <c r="CN1335"/>
      <c r="CO1335"/>
      <c r="CP1335"/>
      <c r="CQ1335"/>
      <c r="CR1335"/>
      <c r="CS1335"/>
      <c r="CT1335"/>
      <c r="CU1335"/>
      <c r="CV1335" s="2"/>
      <c r="CX1335"/>
      <c r="DC1335"/>
      <c r="DI1335"/>
      <c r="DJ1335"/>
      <c r="DK1335"/>
      <c r="DL1335"/>
      <c r="DM1335"/>
      <c r="DN1335"/>
      <c r="DT1335"/>
      <c r="DU1335" s="143"/>
      <c r="DY1335" s="143"/>
      <c r="EA1335" s="143"/>
      <c r="ED1335" s="143"/>
    </row>
    <row r="1336" spans="12:148" ht="15" hidden="1" customHeight="1">
      <c r="O1336" s="171"/>
      <c r="AX1336" s="141"/>
      <c r="AY1336" s="141"/>
      <c r="BE1336"/>
      <c r="BF1336" s="2"/>
      <c r="BS1336" s="172"/>
      <c r="BT1336" s="172"/>
      <c r="BU1336" s="144"/>
      <c r="CN1336"/>
      <c r="CO1336"/>
      <c r="CP1336"/>
      <c r="CQ1336"/>
      <c r="CR1336"/>
      <c r="CS1336"/>
      <c r="CT1336"/>
      <c r="CU1336"/>
      <c r="CV1336" s="2"/>
      <c r="CX1336"/>
      <c r="DC1336"/>
      <c r="DI1336"/>
      <c r="DJ1336"/>
      <c r="DK1336"/>
      <c r="DL1336"/>
      <c r="DM1336"/>
      <c r="DN1336"/>
      <c r="DT1336"/>
      <c r="DU1336" s="143"/>
      <c r="DY1336" s="143"/>
      <c r="EA1336" s="143"/>
      <c r="ED1336" s="143"/>
    </row>
    <row r="1337" spans="12:148" ht="15" hidden="1" customHeight="1">
      <c r="O1337" s="171"/>
      <c r="AX1337" s="141"/>
      <c r="AY1337" s="141"/>
      <c r="BE1337"/>
      <c r="BF1337" s="2"/>
      <c r="BS1337" s="172"/>
      <c r="BT1337" s="172"/>
      <c r="BU1337" s="144"/>
      <c r="CN1337"/>
      <c r="CO1337"/>
      <c r="CP1337"/>
      <c r="CQ1337"/>
      <c r="CR1337"/>
      <c r="CS1337"/>
      <c r="CT1337"/>
      <c r="CU1337"/>
      <c r="CV1337" s="2"/>
      <c r="CX1337"/>
      <c r="DC1337"/>
      <c r="DI1337"/>
      <c r="DJ1337"/>
      <c r="DK1337"/>
      <c r="DL1337"/>
      <c r="DM1337"/>
      <c r="DN1337"/>
      <c r="DT1337"/>
      <c r="DU1337" s="143"/>
      <c r="DY1337" s="143"/>
      <c r="EA1337" s="143"/>
      <c r="ED1337" s="143"/>
      <c r="EG1337" s="143"/>
      <c r="EH1337" s="143"/>
    </row>
    <row r="1338" spans="12:148" ht="15" hidden="1" customHeight="1">
      <c r="O1338" s="171"/>
      <c r="AX1338" s="141"/>
      <c r="AY1338" s="141"/>
      <c r="BE1338"/>
      <c r="BF1338" s="2"/>
      <c r="BS1338" s="172"/>
      <c r="BT1338" s="172"/>
      <c r="BU1338" s="144"/>
      <c r="CN1338"/>
      <c r="CO1338"/>
      <c r="CP1338"/>
      <c r="CQ1338"/>
      <c r="CR1338"/>
      <c r="CS1338"/>
      <c r="CT1338"/>
      <c r="CU1338"/>
      <c r="CV1338" s="2"/>
      <c r="CX1338"/>
      <c r="DC1338"/>
      <c r="DI1338"/>
      <c r="DJ1338"/>
      <c r="DK1338"/>
      <c r="DL1338"/>
      <c r="DM1338"/>
      <c r="DN1338"/>
      <c r="DT1338"/>
      <c r="DU1338" s="143"/>
      <c r="DY1338" s="143"/>
      <c r="EA1338" s="143"/>
      <c r="ED1338" s="143"/>
      <c r="EG1338" s="143"/>
      <c r="EH1338" s="143"/>
    </row>
    <row r="1339" spans="12:148" ht="15" hidden="1" customHeight="1">
      <c r="O1339" s="171"/>
      <c r="AX1339" s="141"/>
      <c r="AY1339" s="141"/>
      <c r="BE1339"/>
      <c r="BF1339" s="2"/>
      <c r="BS1339" s="172"/>
      <c r="BT1339" s="172"/>
      <c r="BU1339" s="144"/>
      <c r="CN1339"/>
      <c r="CO1339"/>
      <c r="CP1339"/>
      <c r="CQ1339"/>
      <c r="CR1339"/>
      <c r="CS1339"/>
      <c r="CT1339"/>
      <c r="CU1339"/>
      <c r="CV1339" s="2"/>
      <c r="CX1339"/>
      <c r="DC1339"/>
      <c r="DI1339"/>
      <c r="DJ1339"/>
      <c r="DK1339"/>
      <c r="DL1339"/>
      <c r="DM1339"/>
      <c r="DN1339"/>
      <c r="DT1339"/>
      <c r="DU1339" s="143"/>
      <c r="DY1339" s="143"/>
      <c r="EA1339" s="143"/>
      <c r="ED1339" s="143"/>
      <c r="EG1339" s="143"/>
      <c r="EH1339" s="143"/>
    </row>
    <row r="1340" spans="12:148" ht="15" hidden="1" customHeight="1">
      <c r="O1340" s="171"/>
      <c r="AX1340" s="141"/>
      <c r="AY1340" s="141"/>
      <c r="BE1340"/>
      <c r="BF1340" s="2"/>
      <c r="BS1340" s="172"/>
      <c r="BT1340" s="172"/>
      <c r="BU1340" s="144"/>
      <c r="CN1340"/>
      <c r="CO1340"/>
      <c r="CP1340"/>
      <c r="CQ1340"/>
      <c r="CR1340"/>
      <c r="CS1340"/>
      <c r="CT1340"/>
      <c r="CU1340"/>
      <c r="CV1340" s="2"/>
      <c r="CX1340"/>
      <c r="DC1340"/>
      <c r="DI1340"/>
      <c r="DJ1340"/>
      <c r="DK1340"/>
      <c r="DL1340"/>
      <c r="DM1340"/>
      <c r="DN1340"/>
      <c r="DT1340"/>
      <c r="DU1340" s="143"/>
      <c r="DY1340" s="143"/>
      <c r="EA1340" s="143"/>
      <c r="ED1340" s="143"/>
      <c r="EG1340" s="143"/>
      <c r="EH1340" s="143"/>
    </row>
    <row r="1341" spans="12:148" ht="15" hidden="1" customHeight="1">
      <c r="O1341" s="171"/>
      <c r="AX1341" s="141"/>
      <c r="AY1341" s="141"/>
      <c r="BE1341"/>
      <c r="BF1341" s="2"/>
      <c r="BS1341" s="172"/>
      <c r="BT1341" s="172"/>
      <c r="BU1341" s="144"/>
      <c r="CN1341"/>
      <c r="CO1341"/>
      <c r="CP1341"/>
      <c r="CQ1341"/>
      <c r="CR1341"/>
      <c r="CS1341"/>
      <c r="CT1341"/>
      <c r="CU1341"/>
      <c r="CV1341" s="2"/>
      <c r="CX1341"/>
      <c r="DC1341"/>
      <c r="DI1341"/>
      <c r="DJ1341"/>
      <c r="DK1341"/>
      <c r="DL1341"/>
      <c r="DM1341"/>
      <c r="DN1341"/>
      <c r="DT1341"/>
      <c r="DU1341" s="143"/>
      <c r="DY1341" s="143"/>
      <c r="EA1341" s="143"/>
      <c r="ED1341" s="143"/>
      <c r="EG1341" s="143"/>
      <c r="EH1341" s="143"/>
    </row>
    <row r="1342" spans="12:148" ht="15" hidden="1" customHeight="1">
      <c r="O1342" s="171"/>
      <c r="AX1342" s="141"/>
      <c r="AY1342" s="141"/>
      <c r="BE1342"/>
      <c r="BF1342" s="2"/>
      <c r="BS1342" s="172"/>
      <c r="BT1342" s="172"/>
      <c r="BU1342" s="144"/>
      <c r="CN1342"/>
      <c r="CO1342"/>
      <c r="CP1342"/>
      <c r="CQ1342"/>
      <c r="CR1342"/>
      <c r="CS1342"/>
      <c r="CT1342"/>
      <c r="CU1342"/>
      <c r="CV1342" s="2"/>
      <c r="CX1342"/>
      <c r="DC1342"/>
      <c r="DI1342"/>
      <c r="DJ1342"/>
      <c r="DK1342"/>
      <c r="DL1342"/>
      <c r="DM1342"/>
      <c r="DN1342"/>
      <c r="DT1342"/>
      <c r="DU1342" s="143"/>
      <c r="EA1342" s="143"/>
      <c r="EG1342" s="143"/>
      <c r="EH1342" s="143"/>
    </row>
    <row r="1343" spans="12:148" ht="15" hidden="1" customHeight="1">
      <c r="O1343" s="145"/>
      <c r="AX1343" s="141"/>
      <c r="AY1343" s="141"/>
      <c r="BE1343"/>
      <c r="BF1343" s="2"/>
      <c r="BO1343" s="143"/>
      <c r="BU1343" s="144"/>
      <c r="CN1343"/>
      <c r="CO1343"/>
      <c r="CP1343"/>
      <c r="CQ1343"/>
      <c r="CR1343"/>
      <c r="CS1343"/>
      <c r="CT1343"/>
      <c r="CU1343"/>
      <c r="CV1343" s="2"/>
      <c r="CX1343"/>
      <c r="DC1343"/>
      <c r="DI1343"/>
      <c r="DJ1343"/>
      <c r="DK1343"/>
      <c r="DL1343"/>
      <c r="DM1343"/>
      <c r="DN1343"/>
      <c r="DT1343"/>
      <c r="DU1343" s="143"/>
      <c r="EA1343" s="143"/>
    </row>
    <row r="1344" spans="12:148" ht="15" hidden="1" customHeight="1">
      <c r="O1344" s="145"/>
      <c r="AX1344" s="141"/>
      <c r="AY1344" s="141"/>
      <c r="BE1344"/>
      <c r="BF1344" s="2"/>
      <c r="BO1344" s="143"/>
      <c r="BU1344" s="144"/>
      <c r="CN1344"/>
      <c r="CO1344"/>
      <c r="CP1344"/>
      <c r="CQ1344"/>
      <c r="CR1344"/>
      <c r="CS1344"/>
      <c r="CT1344"/>
      <c r="CU1344"/>
      <c r="CV1344" s="2"/>
      <c r="CX1344"/>
      <c r="DC1344"/>
      <c r="DI1344"/>
      <c r="DJ1344"/>
      <c r="DK1344"/>
      <c r="DL1344"/>
      <c r="DM1344"/>
      <c r="DN1344"/>
      <c r="DT1344"/>
      <c r="DU1344" s="143"/>
      <c r="EA1344" s="143"/>
    </row>
    <row r="1345" spans="15:148" ht="15" hidden="1" customHeight="1">
      <c r="O1345" s="145"/>
      <c r="AX1345" s="141"/>
      <c r="AY1345" s="141"/>
      <c r="BE1345"/>
      <c r="BF1345" s="2"/>
      <c r="BO1345" s="143"/>
      <c r="BU1345" s="144"/>
      <c r="CN1345"/>
      <c r="CO1345"/>
      <c r="CP1345"/>
      <c r="CQ1345"/>
      <c r="CR1345"/>
      <c r="CS1345"/>
      <c r="CT1345"/>
      <c r="CU1345"/>
      <c r="CV1345" s="2"/>
      <c r="CX1345"/>
      <c r="DC1345"/>
      <c r="DI1345"/>
      <c r="DJ1345"/>
      <c r="DK1345"/>
      <c r="DL1345"/>
      <c r="DM1345"/>
      <c r="DN1345"/>
      <c r="DT1345"/>
      <c r="DU1345" s="143"/>
      <c r="EA1345" s="143"/>
    </row>
    <row r="1346" spans="15:148" ht="15" hidden="1" customHeight="1">
      <c r="O1346" s="145"/>
      <c r="AX1346" s="141"/>
      <c r="AY1346" s="141"/>
      <c r="BE1346"/>
      <c r="BF1346" s="2"/>
      <c r="BO1346" s="143"/>
      <c r="BU1346" s="144"/>
      <c r="CN1346"/>
      <c r="CO1346"/>
      <c r="CP1346"/>
      <c r="CQ1346"/>
      <c r="CR1346"/>
      <c r="CS1346"/>
      <c r="CT1346"/>
      <c r="CU1346"/>
      <c r="CV1346" s="2"/>
      <c r="CX1346"/>
      <c r="DC1346"/>
      <c r="DI1346"/>
      <c r="DJ1346"/>
      <c r="DK1346"/>
      <c r="DL1346"/>
      <c r="DM1346"/>
      <c r="DN1346"/>
      <c r="DT1346"/>
      <c r="DU1346" s="143"/>
      <c r="EA1346" s="143"/>
    </row>
    <row r="1347" spans="15:148" ht="15" hidden="1" customHeight="1">
      <c r="O1347" s="145"/>
      <c r="AX1347" s="141"/>
      <c r="AY1347" s="141"/>
      <c r="BE1347"/>
      <c r="BF1347" s="2"/>
      <c r="BU1347" s="144"/>
      <c r="CN1347"/>
      <c r="CO1347"/>
      <c r="CP1347"/>
      <c r="CQ1347"/>
      <c r="CR1347"/>
      <c r="CS1347"/>
      <c r="CT1347"/>
      <c r="CU1347"/>
      <c r="CV1347" s="2"/>
      <c r="CX1347"/>
      <c r="DC1347"/>
      <c r="DI1347"/>
      <c r="DJ1347"/>
      <c r="DK1347"/>
      <c r="DL1347"/>
      <c r="DM1347"/>
      <c r="DN1347"/>
      <c r="DT1347"/>
      <c r="DU1347" s="143"/>
    </row>
    <row r="1348" spans="15:148" ht="15" hidden="1" customHeight="1">
      <c r="O1348" s="145"/>
      <c r="AX1348" s="141"/>
      <c r="AY1348" s="141"/>
      <c r="BE1348"/>
      <c r="BF1348" s="2"/>
      <c r="BO1348" s="143"/>
      <c r="BU1348" s="144"/>
      <c r="CN1348"/>
      <c r="CO1348"/>
      <c r="CP1348"/>
      <c r="CQ1348"/>
      <c r="CR1348"/>
      <c r="CS1348"/>
      <c r="CT1348"/>
      <c r="CU1348"/>
      <c r="CV1348" s="2"/>
      <c r="CX1348"/>
      <c r="DC1348"/>
      <c r="DI1348"/>
      <c r="DJ1348"/>
      <c r="DK1348"/>
      <c r="DL1348"/>
      <c r="DM1348"/>
      <c r="DN1348"/>
      <c r="DT1348"/>
      <c r="DU1348" s="143"/>
    </row>
    <row r="1349" spans="15:148" ht="15" hidden="1" customHeight="1">
      <c r="O1349" s="145"/>
      <c r="AX1349" s="141"/>
      <c r="AY1349" s="141"/>
      <c r="BE1349"/>
      <c r="BF1349" s="2"/>
      <c r="BU1349" s="144"/>
      <c r="CN1349"/>
      <c r="CO1349"/>
      <c r="CP1349"/>
      <c r="CQ1349"/>
      <c r="CR1349"/>
      <c r="CS1349"/>
      <c r="CT1349"/>
      <c r="CU1349"/>
      <c r="CV1349" s="2"/>
      <c r="CX1349"/>
      <c r="DC1349"/>
      <c r="DI1349"/>
      <c r="DJ1349"/>
      <c r="DK1349"/>
      <c r="DL1349"/>
      <c r="DM1349"/>
      <c r="DN1349"/>
      <c r="DT1349"/>
      <c r="DU1349" s="143"/>
    </row>
    <row r="1350" spans="15:148" ht="15" hidden="1" customHeight="1">
      <c r="O1350" s="145"/>
      <c r="AX1350" s="141"/>
      <c r="AY1350" s="141"/>
      <c r="BE1350"/>
      <c r="BF1350" s="2"/>
      <c r="BU1350" s="144"/>
      <c r="CN1350"/>
      <c r="CO1350"/>
      <c r="CP1350"/>
      <c r="CQ1350"/>
      <c r="CR1350"/>
      <c r="CS1350"/>
      <c r="CT1350"/>
      <c r="CU1350"/>
      <c r="CV1350" s="2"/>
      <c r="CX1350"/>
      <c r="DC1350"/>
      <c r="DI1350"/>
      <c r="DJ1350"/>
      <c r="DK1350"/>
      <c r="DL1350"/>
      <c r="DM1350"/>
      <c r="DN1350"/>
      <c r="DT1350"/>
      <c r="DU1350" s="143"/>
    </row>
    <row r="1351" spans="15:148" ht="15" hidden="1" customHeight="1">
      <c r="O1351" s="171"/>
      <c r="AX1351" s="141"/>
      <c r="AY1351" s="141"/>
      <c r="BE1351"/>
      <c r="BF1351" s="2"/>
      <c r="BU1351" s="144"/>
      <c r="CN1351"/>
      <c r="CO1351"/>
      <c r="CP1351"/>
      <c r="CQ1351"/>
      <c r="CR1351"/>
      <c r="CS1351"/>
      <c r="CT1351"/>
      <c r="CU1351"/>
      <c r="CV1351" s="2"/>
      <c r="CX1351"/>
      <c r="DC1351"/>
      <c r="DI1351"/>
      <c r="DJ1351"/>
      <c r="DK1351"/>
      <c r="DL1351"/>
      <c r="DM1351"/>
      <c r="DN1351"/>
      <c r="DT1351"/>
      <c r="DU1351" s="143"/>
      <c r="EA1351" s="143"/>
    </row>
    <row r="1352" spans="15:148" ht="15" hidden="1" customHeight="1">
      <c r="O1352" s="171"/>
      <c r="AX1352" s="141"/>
      <c r="AY1352" s="141"/>
      <c r="BE1352"/>
      <c r="BF1352" s="2"/>
      <c r="BU1352" s="144"/>
      <c r="CN1352"/>
      <c r="CO1352"/>
      <c r="CP1352"/>
      <c r="CQ1352"/>
      <c r="CR1352"/>
      <c r="CS1352"/>
      <c r="CT1352"/>
      <c r="CU1352"/>
      <c r="CV1352" s="2"/>
      <c r="CX1352"/>
      <c r="DC1352"/>
      <c r="DI1352"/>
      <c r="DJ1352"/>
      <c r="DK1352"/>
      <c r="DL1352"/>
      <c r="DM1352"/>
      <c r="DN1352"/>
      <c r="DT1352"/>
      <c r="DU1352" s="143"/>
      <c r="EA1352" s="143"/>
    </row>
    <row r="1353" spans="15:148" ht="15" hidden="1" customHeight="1">
      <c r="O1353" s="171"/>
      <c r="AX1353" s="141"/>
      <c r="AY1353" s="141"/>
      <c r="BE1353"/>
      <c r="BF1353" s="2"/>
      <c r="BU1353" s="144"/>
      <c r="CN1353"/>
      <c r="CO1353"/>
      <c r="CP1353"/>
      <c r="CQ1353"/>
      <c r="CR1353"/>
      <c r="CS1353"/>
      <c r="CT1353"/>
      <c r="CU1353"/>
      <c r="CV1353" s="2"/>
      <c r="CX1353"/>
      <c r="DC1353"/>
      <c r="DI1353"/>
      <c r="DJ1353"/>
      <c r="DK1353"/>
      <c r="DL1353"/>
      <c r="DM1353"/>
      <c r="DN1353"/>
      <c r="DT1353"/>
      <c r="DU1353" s="143"/>
      <c r="EA1353" s="143"/>
    </row>
    <row r="1354" spans="15:148" ht="15" hidden="1" customHeight="1">
      <c r="O1354" s="171"/>
      <c r="AX1354" s="141"/>
      <c r="AY1354" s="141"/>
      <c r="BE1354"/>
      <c r="BF1354" s="2"/>
      <c r="BU1354" s="144"/>
      <c r="CN1354"/>
      <c r="CO1354"/>
      <c r="CP1354"/>
      <c r="CQ1354"/>
      <c r="CR1354"/>
      <c r="CS1354"/>
      <c r="CT1354"/>
      <c r="CU1354"/>
      <c r="CV1354" s="2"/>
      <c r="CX1354"/>
      <c r="DC1354"/>
      <c r="DI1354"/>
      <c r="DJ1354"/>
      <c r="DK1354"/>
      <c r="DL1354"/>
      <c r="DM1354"/>
      <c r="DN1354"/>
      <c r="DT1354"/>
      <c r="DU1354" s="143"/>
      <c r="EA1354" s="143"/>
    </row>
    <row r="1355" spans="15:148" ht="15" hidden="1" customHeight="1">
      <c r="O1355" s="171"/>
      <c r="AX1355" s="141"/>
      <c r="AY1355" s="141"/>
      <c r="BE1355"/>
      <c r="BF1355" s="2"/>
      <c r="BU1355" s="144"/>
      <c r="CN1355"/>
      <c r="CO1355"/>
      <c r="CP1355"/>
      <c r="CQ1355"/>
      <c r="CR1355"/>
      <c r="CS1355"/>
      <c r="CT1355"/>
      <c r="CU1355"/>
      <c r="CV1355" s="2"/>
      <c r="CX1355"/>
      <c r="DC1355"/>
      <c r="DI1355"/>
      <c r="DJ1355"/>
      <c r="DK1355"/>
      <c r="DL1355"/>
      <c r="DM1355"/>
      <c r="DN1355"/>
      <c r="DT1355"/>
      <c r="DU1355" s="143"/>
      <c r="EA1355" s="143"/>
    </row>
    <row r="1356" spans="15:148" ht="15" hidden="1" customHeight="1">
      <c r="O1356" s="171"/>
      <c r="AX1356" s="141"/>
      <c r="AY1356" s="141"/>
      <c r="BE1356"/>
      <c r="BF1356" s="2"/>
      <c r="BU1356" s="144"/>
      <c r="CN1356"/>
      <c r="CO1356"/>
      <c r="CP1356"/>
      <c r="CQ1356"/>
      <c r="CR1356"/>
      <c r="CS1356"/>
      <c r="CT1356"/>
      <c r="CU1356"/>
      <c r="CV1356" s="2"/>
      <c r="CX1356"/>
      <c r="DC1356"/>
      <c r="DI1356"/>
      <c r="DJ1356"/>
      <c r="DK1356"/>
      <c r="DL1356"/>
      <c r="DM1356"/>
      <c r="DN1356"/>
      <c r="DT1356"/>
      <c r="DU1356" s="143"/>
      <c r="EA1356" s="143"/>
    </row>
    <row r="1357" spans="15:148" ht="15" hidden="1" customHeight="1">
      <c r="O1357" s="171"/>
      <c r="AX1357" s="141"/>
      <c r="AY1357" s="141"/>
      <c r="BE1357"/>
      <c r="BF1357" s="2"/>
      <c r="BU1357" s="144"/>
      <c r="CN1357"/>
      <c r="CO1357"/>
      <c r="CP1357"/>
      <c r="CQ1357"/>
      <c r="CR1357"/>
      <c r="CS1357"/>
      <c r="CT1357"/>
      <c r="CU1357"/>
      <c r="CV1357" s="2"/>
      <c r="CX1357"/>
      <c r="DC1357"/>
      <c r="DI1357"/>
      <c r="DJ1357"/>
      <c r="DK1357"/>
      <c r="DL1357"/>
      <c r="DM1357"/>
      <c r="DN1357"/>
      <c r="DT1357"/>
      <c r="DU1357" s="143"/>
      <c r="EA1357" s="143"/>
    </row>
    <row r="1358" spans="15:148" ht="15" hidden="1" customHeight="1">
      <c r="O1358" s="171"/>
      <c r="AX1358" s="141"/>
      <c r="AY1358" s="141"/>
      <c r="BE1358"/>
      <c r="BF1358" s="2"/>
      <c r="BU1358" s="144"/>
      <c r="CN1358"/>
      <c r="CO1358"/>
      <c r="CP1358"/>
      <c r="CQ1358"/>
      <c r="CR1358"/>
      <c r="CS1358"/>
      <c r="CT1358"/>
      <c r="CU1358"/>
      <c r="CV1358" s="2"/>
      <c r="CX1358"/>
      <c r="DC1358"/>
      <c r="DI1358"/>
      <c r="DJ1358"/>
      <c r="DK1358"/>
      <c r="DL1358"/>
      <c r="DM1358"/>
      <c r="DN1358"/>
      <c r="DT1358"/>
      <c r="DU1358" s="143"/>
      <c r="EA1358" s="143"/>
    </row>
    <row r="1359" spans="15:148" ht="15" hidden="1" customHeight="1">
      <c r="O1359" s="145"/>
      <c r="V1359" s="143"/>
      <c r="W1359" s="143"/>
      <c r="X1359" s="143"/>
      <c r="Y1359" s="143"/>
      <c r="Z1359" s="143"/>
      <c r="AA1359" s="143"/>
      <c r="AB1359" s="143"/>
      <c r="AC1359" s="143"/>
      <c r="AD1359" s="143"/>
      <c r="AE1359" s="143"/>
      <c r="AF1359" s="143"/>
      <c r="AG1359" s="143"/>
      <c r="AH1359" s="143"/>
      <c r="AI1359" s="143"/>
      <c r="AJ1359" s="143"/>
      <c r="AK1359" s="143"/>
      <c r="AL1359" s="143"/>
      <c r="AM1359" s="143"/>
      <c r="AN1359" s="143"/>
      <c r="AO1359" s="143"/>
      <c r="AP1359" s="143"/>
      <c r="AQ1359" s="143"/>
      <c r="AR1359" s="143"/>
      <c r="AS1359" s="143"/>
      <c r="AT1359" s="143"/>
      <c r="AU1359" s="143"/>
      <c r="AV1359" s="143"/>
      <c r="AW1359" s="143"/>
      <c r="AX1359" s="141"/>
      <c r="AY1359" s="141"/>
      <c r="BE1359"/>
      <c r="BF1359" s="2"/>
      <c r="BT1359" s="141"/>
      <c r="BU1359" s="144"/>
      <c r="BZ1359" s="143"/>
      <c r="CA1359" s="143"/>
      <c r="CB1359" s="143"/>
      <c r="CC1359" s="143"/>
      <c r="CD1359" s="143"/>
      <c r="CE1359" s="143"/>
      <c r="CF1359" s="143"/>
      <c r="CG1359" s="143"/>
      <c r="CH1359" s="143"/>
      <c r="CI1359" s="143"/>
      <c r="CJ1359" s="143"/>
      <c r="CK1359" s="143"/>
      <c r="CL1359" s="143"/>
      <c r="CM1359" s="143"/>
      <c r="CN1359"/>
      <c r="CO1359"/>
      <c r="CP1359"/>
      <c r="CQ1359"/>
      <c r="CR1359"/>
      <c r="CS1359"/>
      <c r="CT1359"/>
      <c r="CU1359"/>
      <c r="CV1359" s="2"/>
      <c r="CX1359"/>
      <c r="DB1359" s="143"/>
      <c r="DC1359"/>
      <c r="DI1359"/>
      <c r="DJ1359"/>
      <c r="DK1359"/>
      <c r="DL1359"/>
      <c r="DM1359"/>
      <c r="DN1359"/>
      <c r="DP1359" s="143"/>
      <c r="DT1359"/>
      <c r="DU1359" s="143"/>
      <c r="DV1359" s="143"/>
      <c r="DW1359" s="143"/>
      <c r="DX1359" s="143"/>
      <c r="DY1359" s="143"/>
      <c r="DZ1359" s="143"/>
      <c r="EA1359" s="143"/>
      <c r="EB1359" s="143"/>
      <c r="EC1359" s="143"/>
      <c r="ED1359" s="143"/>
      <c r="EE1359" s="143"/>
      <c r="EF1359" s="143"/>
      <c r="EG1359" s="143"/>
      <c r="EH1359" s="143"/>
      <c r="EI1359" s="196"/>
      <c r="ER1359" s="149"/>
    </row>
    <row r="1360" spans="15:148" ht="15" hidden="1" customHeight="1">
      <c r="O1360" s="145"/>
      <c r="V1360" s="143"/>
      <c r="W1360" s="143"/>
      <c r="X1360" s="143"/>
      <c r="Y1360" s="143"/>
      <c r="Z1360" s="143"/>
      <c r="AA1360" s="143"/>
      <c r="AB1360" s="143"/>
      <c r="AC1360" s="143"/>
      <c r="AD1360" s="143"/>
      <c r="AE1360" s="143"/>
      <c r="AF1360" s="143"/>
      <c r="AG1360" s="143"/>
      <c r="AH1360" s="143"/>
      <c r="AI1360" s="143"/>
      <c r="AJ1360" s="143"/>
      <c r="AK1360" s="143"/>
      <c r="AL1360" s="143"/>
      <c r="AM1360" s="143"/>
      <c r="AN1360" s="143"/>
      <c r="AO1360" s="143"/>
      <c r="AP1360" s="143"/>
      <c r="AQ1360" s="143"/>
      <c r="AR1360" s="143"/>
      <c r="AS1360" s="143"/>
      <c r="AT1360" s="143"/>
      <c r="AU1360" s="143"/>
      <c r="AV1360" s="143"/>
      <c r="AW1360" s="143"/>
      <c r="AX1360" s="141"/>
      <c r="AY1360" s="141"/>
      <c r="BE1360"/>
      <c r="BF1360" s="2"/>
      <c r="BS1360" s="141"/>
      <c r="BT1360" s="141"/>
      <c r="BU1360" s="144"/>
      <c r="BZ1360" s="143"/>
      <c r="CA1360" s="143"/>
      <c r="CB1360" s="143"/>
      <c r="CC1360" s="143"/>
      <c r="CD1360" s="143"/>
      <c r="CE1360" s="143"/>
      <c r="CF1360" s="143"/>
      <c r="CG1360" s="143"/>
      <c r="CH1360" s="143"/>
      <c r="CI1360" s="143"/>
      <c r="CJ1360" s="143"/>
      <c r="CK1360" s="143"/>
      <c r="CL1360" s="143"/>
      <c r="CM1360" s="143"/>
      <c r="CN1360"/>
      <c r="CO1360"/>
      <c r="CP1360"/>
      <c r="CQ1360"/>
      <c r="CR1360"/>
      <c r="CS1360"/>
      <c r="CT1360"/>
      <c r="CU1360"/>
      <c r="CV1360" s="2"/>
      <c r="CX1360"/>
      <c r="DB1360" s="143"/>
      <c r="DC1360"/>
      <c r="DI1360"/>
      <c r="DJ1360"/>
      <c r="DK1360"/>
      <c r="DL1360"/>
      <c r="DM1360"/>
      <c r="DN1360"/>
      <c r="DP1360" s="143"/>
      <c r="DT1360"/>
      <c r="DU1360" s="143"/>
      <c r="DV1360" s="143"/>
      <c r="DW1360" s="143"/>
      <c r="DX1360" s="143"/>
      <c r="DY1360" s="143"/>
      <c r="DZ1360" s="143"/>
      <c r="EA1360" s="143"/>
      <c r="EB1360" s="143"/>
      <c r="EC1360" s="143"/>
      <c r="ED1360" s="143"/>
      <c r="EE1360" s="143"/>
      <c r="EF1360" s="143"/>
      <c r="EG1360" s="143"/>
      <c r="EH1360" s="143"/>
      <c r="EI1360" s="196"/>
      <c r="ER1360" s="149"/>
    </row>
    <row r="1361" spans="15:148" ht="15" hidden="1" customHeight="1">
      <c r="O1361" s="145"/>
      <c r="V1361" s="143"/>
      <c r="W1361" s="143"/>
      <c r="X1361" s="143"/>
      <c r="Y1361" s="143"/>
      <c r="Z1361" s="143"/>
      <c r="AA1361" s="143"/>
      <c r="AB1361" s="143"/>
      <c r="AC1361" s="143"/>
      <c r="AD1361" s="143"/>
      <c r="AE1361" s="143"/>
      <c r="AF1361" s="143"/>
      <c r="AG1361" s="143"/>
      <c r="AH1361" s="143"/>
      <c r="AI1361" s="143"/>
      <c r="AJ1361" s="143"/>
      <c r="AK1361" s="143"/>
      <c r="AL1361" s="143"/>
      <c r="AM1361" s="143"/>
      <c r="AN1361" s="143"/>
      <c r="AO1361" s="143"/>
      <c r="AP1361" s="143"/>
      <c r="AQ1361" s="143"/>
      <c r="AR1361" s="143"/>
      <c r="AS1361" s="143"/>
      <c r="AT1361" s="143"/>
      <c r="AU1361" s="143"/>
      <c r="AV1361" s="143"/>
      <c r="AW1361" s="143"/>
      <c r="AX1361" s="141"/>
      <c r="AY1361" s="141"/>
      <c r="BE1361"/>
      <c r="BF1361" s="2"/>
      <c r="BS1361" s="141"/>
      <c r="BT1361" s="141"/>
      <c r="BU1361" s="144"/>
      <c r="BZ1361" s="143"/>
      <c r="CA1361" s="143"/>
      <c r="CB1361" s="143"/>
      <c r="CC1361" s="143"/>
      <c r="CD1361" s="143"/>
      <c r="CE1361" s="143"/>
      <c r="CF1361" s="143"/>
      <c r="CG1361" s="143"/>
      <c r="CH1361" s="143"/>
      <c r="CI1361" s="143"/>
      <c r="CJ1361" s="143"/>
      <c r="CK1361" s="143"/>
      <c r="CL1361" s="143"/>
      <c r="CM1361" s="143"/>
      <c r="CN1361"/>
      <c r="CO1361"/>
      <c r="CP1361"/>
      <c r="CQ1361"/>
      <c r="CR1361"/>
      <c r="CS1361"/>
      <c r="CT1361"/>
      <c r="CU1361"/>
      <c r="CV1361" s="2"/>
      <c r="CX1361"/>
      <c r="DB1361" s="143"/>
      <c r="DC1361"/>
      <c r="DI1361"/>
      <c r="DJ1361"/>
      <c r="DK1361"/>
      <c r="DL1361"/>
      <c r="DM1361"/>
      <c r="DN1361"/>
      <c r="DP1361" s="143"/>
      <c r="DT1361"/>
      <c r="DU1361" s="143"/>
      <c r="DV1361" s="143"/>
      <c r="DW1361" s="143"/>
      <c r="DX1361" s="143"/>
      <c r="DY1361" s="143"/>
      <c r="DZ1361" s="143"/>
      <c r="EA1361" s="143"/>
      <c r="EB1361" s="143"/>
      <c r="EC1361" s="143"/>
      <c r="ED1361" s="143"/>
      <c r="EE1361" s="143"/>
      <c r="EF1361" s="143"/>
      <c r="EG1361" s="143"/>
      <c r="EH1361" s="143"/>
      <c r="EI1361" s="196"/>
      <c r="ER1361" s="149"/>
    </row>
    <row r="1362" spans="15:148" ht="15" hidden="1" customHeight="1">
      <c r="O1362" s="145"/>
      <c r="V1362" s="143"/>
      <c r="W1362" s="143"/>
      <c r="X1362" s="143"/>
      <c r="Y1362" s="143"/>
      <c r="Z1362" s="143"/>
      <c r="AA1362" s="143"/>
      <c r="AB1362" s="143"/>
      <c r="AC1362" s="143"/>
      <c r="AD1362" s="143"/>
      <c r="AE1362" s="143"/>
      <c r="AF1362" s="143"/>
      <c r="AG1362" s="143"/>
      <c r="AH1362" s="143"/>
      <c r="AI1362" s="143"/>
      <c r="AJ1362" s="143"/>
      <c r="AK1362" s="143"/>
      <c r="AL1362" s="143"/>
      <c r="AM1362" s="143"/>
      <c r="AN1362" s="143"/>
      <c r="AO1362" s="143"/>
      <c r="AP1362" s="143"/>
      <c r="AQ1362" s="143"/>
      <c r="AR1362" s="143"/>
      <c r="AS1362" s="143"/>
      <c r="AT1362" s="143"/>
      <c r="AU1362" s="143"/>
      <c r="AV1362" s="143"/>
      <c r="AW1362" s="143"/>
      <c r="AX1362" s="141"/>
      <c r="AY1362" s="141"/>
      <c r="BE1362"/>
      <c r="BF1362" s="2"/>
      <c r="BT1362" s="141"/>
      <c r="BU1362" s="144"/>
      <c r="BZ1362" s="143"/>
      <c r="CA1362" s="143"/>
      <c r="CB1362" s="143"/>
      <c r="CC1362" s="143"/>
      <c r="CD1362" s="143"/>
      <c r="CE1362" s="143"/>
      <c r="CF1362" s="143"/>
      <c r="CG1362" s="143"/>
      <c r="CH1362" s="143"/>
      <c r="CI1362" s="143"/>
      <c r="CJ1362" s="143"/>
      <c r="CK1362" s="143"/>
      <c r="CL1362" s="143"/>
      <c r="CM1362" s="143"/>
      <c r="CN1362"/>
      <c r="CO1362"/>
      <c r="CP1362"/>
      <c r="CQ1362"/>
      <c r="CR1362"/>
      <c r="CS1362"/>
      <c r="CT1362"/>
      <c r="CU1362"/>
      <c r="CV1362" s="2"/>
      <c r="CX1362"/>
      <c r="DB1362" s="143"/>
      <c r="DC1362"/>
      <c r="DI1362"/>
      <c r="DJ1362"/>
      <c r="DK1362"/>
      <c r="DL1362"/>
      <c r="DM1362"/>
      <c r="DN1362"/>
      <c r="DP1362" s="143"/>
      <c r="DT1362"/>
      <c r="DU1362" s="143"/>
      <c r="DV1362" s="143"/>
      <c r="DW1362" s="143"/>
      <c r="DX1362" s="143"/>
      <c r="DY1362" s="143"/>
      <c r="DZ1362" s="143"/>
      <c r="EA1362" s="143"/>
      <c r="EB1362" s="143"/>
      <c r="EC1362" s="143"/>
      <c r="ED1362" s="143"/>
      <c r="EE1362" s="143"/>
      <c r="EF1362" s="143"/>
      <c r="EG1362" s="143"/>
      <c r="EH1362" s="143"/>
      <c r="EI1362" s="196"/>
      <c r="ER1362" s="149"/>
    </row>
    <row r="1363" spans="15:148" ht="15" hidden="1" customHeight="1">
      <c r="O1363" s="145"/>
      <c r="V1363" s="143"/>
      <c r="W1363" s="143"/>
      <c r="X1363" s="143"/>
      <c r="Y1363" s="143"/>
      <c r="Z1363" s="143"/>
      <c r="AA1363" s="143"/>
      <c r="AB1363" s="143"/>
      <c r="AC1363" s="143"/>
      <c r="AD1363" s="143"/>
      <c r="AE1363" s="143"/>
      <c r="AF1363" s="143"/>
      <c r="AG1363" s="143"/>
      <c r="AH1363" s="143"/>
      <c r="AI1363" s="143"/>
      <c r="AJ1363" s="143"/>
      <c r="AK1363" s="143"/>
      <c r="AL1363" s="143"/>
      <c r="AM1363" s="143"/>
      <c r="AN1363" s="143"/>
      <c r="AO1363" s="143"/>
      <c r="AP1363" s="143"/>
      <c r="AQ1363" s="143"/>
      <c r="AR1363" s="143"/>
      <c r="AS1363" s="143"/>
      <c r="AT1363" s="143"/>
      <c r="AU1363" s="143"/>
      <c r="AV1363" s="143"/>
      <c r="AW1363" s="143"/>
      <c r="AX1363" s="141"/>
      <c r="AY1363" s="141"/>
      <c r="BE1363"/>
      <c r="BF1363" s="2"/>
      <c r="BS1363" s="141"/>
      <c r="BT1363" s="141"/>
      <c r="BU1363" s="144"/>
      <c r="BZ1363" s="143"/>
      <c r="CA1363" s="143"/>
      <c r="CB1363" s="143"/>
      <c r="CC1363" s="143"/>
      <c r="CD1363" s="143"/>
      <c r="CE1363" s="143"/>
      <c r="CF1363" s="143"/>
      <c r="CG1363" s="143"/>
      <c r="CH1363" s="143"/>
      <c r="CI1363" s="143"/>
      <c r="CJ1363" s="143"/>
      <c r="CK1363" s="143"/>
      <c r="CL1363" s="143"/>
      <c r="CM1363" s="143"/>
      <c r="CN1363"/>
      <c r="CO1363"/>
      <c r="CP1363"/>
      <c r="CQ1363"/>
      <c r="CR1363"/>
      <c r="CS1363"/>
      <c r="CT1363"/>
      <c r="CU1363"/>
      <c r="CV1363" s="2"/>
      <c r="CX1363"/>
      <c r="DB1363" s="143"/>
      <c r="DC1363"/>
      <c r="DI1363"/>
      <c r="DJ1363"/>
      <c r="DK1363"/>
      <c r="DL1363"/>
      <c r="DM1363"/>
      <c r="DN1363"/>
      <c r="DP1363" s="143"/>
      <c r="DT1363"/>
      <c r="DU1363" s="143"/>
      <c r="DV1363" s="143"/>
      <c r="DW1363" s="143"/>
      <c r="DX1363" s="143"/>
      <c r="DY1363" s="143"/>
      <c r="DZ1363" s="143"/>
      <c r="EA1363" s="143"/>
      <c r="EB1363" s="143"/>
      <c r="EC1363" s="143"/>
      <c r="ED1363" s="143"/>
      <c r="EE1363" s="143"/>
      <c r="EF1363" s="143"/>
      <c r="EG1363" s="143"/>
      <c r="EH1363" s="143"/>
      <c r="EI1363" s="196"/>
      <c r="ER1363" s="149"/>
    </row>
    <row r="1364" spans="15:148" ht="15" hidden="1" customHeight="1">
      <c r="O1364" s="145"/>
      <c r="V1364" s="143"/>
      <c r="W1364" s="143"/>
      <c r="X1364" s="143"/>
      <c r="Y1364" s="143"/>
      <c r="Z1364" s="143"/>
      <c r="AA1364" s="143"/>
      <c r="AB1364" s="143"/>
      <c r="AC1364" s="143"/>
      <c r="AD1364" s="143"/>
      <c r="AE1364" s="143"/>
      <c r="AF1364" s="143"/>
      <c r="AG1364" s="143"/>
      <c r="AH1364" s="143"/>
      <c r="AI1364" s="143"/>
      <c r="AJ1364" s="143"/>
      <c r="AK1364" s="143"/>
      <c r="AL1364" s="143"/>
      <c r="AM1364" s="143"/>
      <c r="AN1364" s="143"/>
      <c r="AO1364" s="143"/>
      <c r="AP1364" s="143"/>
      <c r="AQ1364" s="143"/>
      <c r="AR1364" s="143"/>
      <c r="AS1364" s="143"/>
      <c r="AT1364" s="143"/>
      <c r="AU1364" s="143"/>
      <c r="AV1364" s="143"/>
      <c r="AW1364" s="143"/>
      <c r="AX1364" s="141"/>
      <c r="AY1364" s="141"/>
      <c r="BE1364"/>
      <c r="BF1364" s="2"/>
      <c r="BS1364" s="141"/>
      <c r="BT1364" s="141"/>
      <c r="BU1364" s="144"/>
      <c r="BZ1364" s="143"/>
      <c r="CA1364" s="143"/>
      <c r="CB1364" s="143"/>
      <c r="CC1364" s="143"/>
      <c r="CD1364" s="143"/>
      <c r="CE1364" s="143"/>
      <c r="CF1364" s="143"/>
      <c r="CG1364" s="143"/>
      <c r="CH1364" s="143"/>
      <c r="CI1364" s="143"/>
      <c r="CJ1364" s="143"/>
      <c r="CK1364" s="143"/>
      <c r="CL1364" s="143"/>
      <c r="CM1364" s="143"/>
      <c r="CN1364"/>
      <c r="CO1364"/>
      <c r="CP1364"/>
      <c r="CQ1364"/>
      <c r="CR1364"/>
      <c r="CS1364"/>
      <c r="CT1364"/>
      <c r="CU1364"/>
      <c r="CV1364" s="2"/>
      <c r="CX1364"/>
      <c r="DB1364" s="143"/>
      <c r="DC1364"/>
      <c r="DI1364"/>
      <c r="DJ1364"/>
      <c r="DK1364"/>
      <c r="DL1364"/>
      <c r="DM1364"/>
      <c r="DN1364"/>
      <c r="DP1364" s="143"/>
      <c r="DT1364"/>
      <c r="DU1364" s="143"/>
      <c r="DV1364" s="143"/>
      <c r="DW1364" s="143"/>
      <c r="DX1364" s="143"/>
      <c r="DY1364" s="143"/>
      <c r="DZ1364" s="143"/>
      <c r="EA1364" s="143"/>
      <c r="EB1364" s="143"/>
      <c r="EC1364" s="143"/>
      <c r="ED1364" s="143"/>
      <c r="EE1364" s="143"/>
      <c r="EF1364" s="143"/>
      <c r="EG1364" s="143"/>
      <c r="EH1364" s="143"/>
      <c r="EI1364" s="196"/>
      <c r="ER1364" s="149"/>
    </row>
    <row r="1365" spans="15:148" ht="15" hidden="1" customHeight="1">
      <c r="O1365" s="145"/>
      <c r="V1365" s="143"/>
      <c r="W1365" s="143"/>
      <c r="X1365" s="143"/>
      <c r="Y1365" s="143"/>
      <c r="Z1365" s="143"/>
      <c r="AA1365" s="143"/>
      <c r="AB1365" s="143"/>
      <c r="AC1365" s="143"/>
      <c r="AD1365" s="143"/>
      <c r="AE1365" s="143"/>
      <c r="AF1365" s="143"/>
      <c r="AG1365" s="143"/>
      <c r="AH1365" s="143"/>
      <c r="AI1365" s="143"/>
      <c r="AJ1365" s="143"/>
      <c r="AK1365" s="143"/>
      <c r="AL1365" s="143"/>
      <c r="AM1365" s="143"/>
      <c r="AN1365" s="143"/>
      <c r="AO1365" s="143"/>
      <c r="AP1365" s="143"/>
      <c r="AQ1365" s="143"/>
      <c r="AR1365" s="143"/>
      <c r="AS1365" s="143"/>
      <c r="AT1365" s="143"/>
      <c r="AU1365" s="143"/>
      <c r="AV1365" s="143"/>
      <c r="AW1365" s="143"/>
      <c r="AX1365" s="141"/>
      <c r="AY1365" s="141"/>
      <c r="BE1365"/>
      <c r="BF1365" s="2"/>
      <c r="BS1365" s="141"/>
      <c r="BT1365" s="141"/>
      <c r="BU1365" s="144"/>
      <c r="BZ1365" s="143"/>
      <c r="CA1365" s="143"/>
      <c r="CB1365" s="143"/>
      <c r="CC1365" s="143"/>
      <c r="CD1365" s="143"/>
      <c r="CE1365" s="143"/>
      <c r="CF1365" s="143"/>
      <c r="CG1365" s="143"/>
      <c r="CH1365" s="143"/>
      <c r="CI1365" s="143"/>
      <c r="CJ1365" s="143"/>
      <c r="CK1365" s="143"/>
      <c r="CL1365" s="143"/>
      <c r="CM1365" s="143"/>
      <c r="CN1365"/>
      <c r="CO1365"/>
      <c r="CP1365"/>
      <c r="CQ1365"/>
      <c r="CR1365"/>
      <c r="CS1365"/>
      <c r="CT1365"/>
      <c r="CU1365"/>
      <c r="CV1365" s="2"/>
      <c r="CX1365"/>
      <c r="DB1365" s="143"/>
      <c r="DC1365"/>
      <c r="DI1365"/>
      <c r="DJ1365"/>
      <c r="DK1365"/>
      <c r="DL1365"/>
      <c r="DM1365"/>
      <c r="DN1365"/>
      <c r="DP1365" s="143"/>
      <c r="DT1365"/>
      <c r="DU1365" s="143"/>
      <c r="DV1365" s="143"/>
      <c r="DW1365" s="143"/>
      <c r="DX1365" s="143"/>
      <c r="DY1365" s="143"/>
      <c r="DZ1365" s="143"/>
      <c r="EA1365" s="143"/>
      <c r="EB1365" s="143"/>
      <c r="EC1365" s="143"/>
      <c r="ED1365" s="143"/>
      <c r="EE1365" s="143"/>
      <c r="EF1365" s="143"/>
      <c r="EG1365" s="143"/>
      <c r="EH1365" s="143"/>
      <c r="EI1365" s="196"/>
      <c r="ER1365" s="149"/>
    </row>
    <row r="1366" spans="15:148" ht="15" hidden="1" customHeight="1">
      <c r="O1366" s="145"/>
      <c r="V1366" s="143"/>
      <c r="W1366" s="143"/>
      <c r="X1366" s="143"/>
      <c r="Y1366" s="143"/>
      <c r="Z1366" s="143"/>
      <c r="AA1366" s="143"/>
      <c r="AB1366" s="143"/>
      <c r="AC1366" s="143"/>
      <c r="AD1366" s="143"/>
      <c r="AE1366" s="143"/>
      <c r="AF1366" s="143"/>
      <c r="AG1366" s="143"/>
      <c r="AH1366" s="143"/>
      <c r="AI1366" s="143"/>
      <c r="AJ1366" s="143"/>
      <c r="AK1366" s="143"/>
      <c r="AL1366" s="143"/>
      <c r="AM1366" s="143"/>
      <c r="AN1366" s="143"/>
      <c r="AO1366" s="143"/>
      <c r="AP1366" s="143"/>
      <c r="AQ1366" s="143"/>
      <c r="AR1366" s="143"/>
      <c r="AS1366" s="143"/>
      <c r="AT1366" s="143"/>
      <c r="AU1366" s="143"/>
      <c r="AV1366" s="143"/>
      <c r="AW1366" s="143"/>
      <c r="AX1366" s="141"/>
      <c r="AY1366" s="141"/>
      <c r="BE1366"/>
      <c r="BF1366" s="2"/>
      <c r="BS1366" s="141"/>
      <c r="BT1366" s="141"/>
      <c r="BU1366" s="144"/>
      <c r="BZ1366" s="143"/>
      <c r="CA1366" s="143"/>
      <c r="CB1366" s="143"/>
      <c r="CC1366" s="143"/>
      <c r="CD1366" s="143"/>
      <c r="CE1366" s="143"/>
      <c r="CF1366" s="143"/>
      <c r="CG1366" s="143"/>
      <c r="CH1366" s="143"/>
      <c r="CI1366" s="143"/>
      <c r="CJ1366" s="143"/>
      <c r="CK1366" s="143"/>
      <c r="CL1366" s="143"/>
      <c r="CM1366" s="143"/>
      <c r="CN1366"/>
      <c r="CO1366"/>
      <c r="CP1366"/>
      <c r="CQ1366"/>
      <c r="CR1366"/>
      <c r="CS1366"/>
      <c r="CT1366"/>
      <c r="CU1366"/>
      <c r="CV1366" s="2"/>
      <c r="CX1366"/>
      <c r="DB1366" s="143"/>
      <c r="DC1366"/>
      <c r="DI1366"/>
      <c r="DJ1366"/>
      <c r="DK1366"/>
      <c r="DL1366"/>
      <c r="DM1366"/>
      <c r="DN1366"/>
      <c r="DP1366" s="143"/>
      <c r="DT1366"/>
      <c r="DU1366" s="143"/>
      <c r="DV1366" s="143"/>
      <c r="DW1366" s="143"/>
      <c r="DX1366" s="143"/>
      <c r="DY1366" s="143"/>
      <c r="DZ1366" s="143"/>
      <c r="EA1366" s="143"/>
      <c r="EB1366" s="143"/>
      <c r="EC1366" s="143"/>
      <c r="ED1366" s="143"/>
      <c r="EE1366" s="143"/>
      <c r="EF1366" s="143"/>
      <c r="EG1366" s="143"/>
      <c r="EH1366" s="143"/>
      <c r="EI1366" s="196"/>
      <c r="ER1366" s="149"/>
    </row>
    <row r="1367" spans="15:148" ht="15" hidden="1" customHeight="1">
      <c r="O1367" s="145"/>
      <c r="V1367" s="143"/>
      <c r="W1367" s="143"/>
      <c r="X1367" s="143"/>
      <c r="Y1367" s="143"/>
      <c r="Z1367" s="143"/>
      <c r="AA1367" s="143"/>
      <c r="AB1367" s="143"/>
      <c r="AC1367" s="143"/>
      <c r="AD1367" s="143"/>
      <c r="AE1367" s="143"/>
      <c r="AF1367" s="143"/>
      <c r="AG1367" s="143"/>
      <c r="AH1367" s="143"/>
      <c r="AI1367" s="143"/>
      <c r="AJ1367" s="143"/>
      <c r="AK1367" s="143"/>
      <c r="AL1367" s="143"/>
      <c r="AM1367" s="143"/>
      <c r="AN1367" s="143"/>
      <c r="AO1367" s="143"/>
      <c r="AP1367" s="143"/>
      <c r="AQ1367" s="143"/>
      <c r="AR1367" s="143"/>
      <c r="AS1367" s="143"/>
      <c r="AT1367" s="143"/>
      <c r="AU1367" s="143"/>
      <c r="AV1367" s="143"/>
      <c r="AW1367" s="143"/>
      <c r="AX1367" s="141"/>
      <c r="AY1367" s="141"/>
      <c r="BE1367"/>
      <c r="BF1367" s="2"/>
      <c r="BS1367" s="141"/>
      <c r="BT1367" s="141"/>
      <c r="BU1367" s="144"/>
      <c r="BZ1367" s="143"/>
      <c r="CA1367" s="143"/>
      <c r="CB1367" s="143"/>
      <c r="CC1367" s="143"/>
      <c r="CD1367" s="143"/>
      <c r="CE1367" s="143"/>
      <c r="CF1367" s="143"/>
      <c r="CG1367" s="143"/>
      <c r="CH1367" s="143"/>
      <c r="CI1367" s="143"/>
      <c r="CJ1367" s="143"/>
      <c r="CK1367" s="143"/>
      <c r="CL1367" s="143"/>
      <c r="CM1367" s="143"/>
      <c r="CN1367"/>
      <c r="CO1367"/>
      <c r="CP1367"/>
      <c r="CQ1367"/>
      <c r="CR1367"/>
      <c r="CS1367"/>
      <c r="CT1367"/>
      <c r="CU1367"/>
      <c r="CV1367" s="2"/>
      <c r="CX1367"/>
      <c r="DB1367" s="143"/>
      <c r="DC1367"/>
      <c r="DI1367"/>
      <c r="DJ1367"/>
      <c r="DK1367"/>
      <c r="DL1367"/>
      <c r="DM1367"/>
      <c r="DN1367"/>
      <c r="DP1367" s="143"/>
      <c r="DT1367"/>
      <c r="DU1367" s="143"/>
      <c r="DV1367" s="143"/>
      <c r="DW1367" s="143"/>
      <c r="DX1367" s="143"/>
      <c r="DY1367" s="143"/>
      <c r="DZ1367" s="143"/>
      <c r="EA1367" s="143"/>
      <c r="EB1367" s="143"/>
      <c r="EC1367" s="143"/>
      <c r="ED1367" s="143"/>
      <c r="EE1367" s="143"/>
      <c r="EF1367" s="143"/>
      <c r="EG1367" s="143"/>
      <c r="EH1367" s="143"/>
      <c r="EI1367" s="196"/>
      <c r="ER1367" s="149"/>
    </row>
    <row r="1368" spans="15:148" ht="15" hidden="1" customHeight="1">
      <c r="O1368" s="145"/>
      <c r="V1368" s="143"/>
      <c r="W1368" s="143"/>
      <c r="X1368" s="143"/>
      <c r="Y1368" s="143"/>
      <c r="Z1368" s="143"/>
      <c r="AA1368" s="143"/>
      <c r="AB1368" s="143"/>
      <c r="AC1368" s="143"/>
      <c r="AD1368" s="143"/>
      <c r="AE1368" s="143"/>
      <c r="AF1368" s="143"/>
      <c r="AG1368" s="143"/>
      <c r="AH1368" s="143"/>
      <c r="AI1368" s="143"/>
      <c r="AJ1368" s="143"/>
      <c r="AK1368" s="143"/>
      <c r="AL1368" s="143"/>
      <c r="AM1368" s="143"/>
      <c r="AN1368" s="143"/>
      <c r="AO1368" s="143"/>
      <c r="AP1368" s="143"/>
      <c r="AQ1368" s="143"/>
      <c r="AR1368" s="143"/>
      <c r="AS1368" s="143"/>
      <c r="AT1368" s="143"/>
      <c r="AU1368" s="143"/>
      <c r="AV1368" s="143"/>
      <c r="AW1368" s="143"/>
      <c r="AX1368" s="141"/>
      <c r="AY1368" s="141"/>
      <c r="BE1368"/>
      <c r="BF1368" s="2"/>
      <c r="BS1368" s="141"/>
      <c r="BT1368" s="141"/>
      <c r="BU1368" s="144"/>
      <c r="BZ1368" s="143"/>
      <c r="CA1368" s="143"/>
      <c r="CB1368" s="143"/>
      <c r="CC1368" s="143"/>
      <c r="CD1368" s="143"/>
      <c r="CE1368" s="143"/>
      <c r="CF1368" s="143"/>
      <c r="CG1368" s="143"/>
      <c r="CH1368" s="143"/>
      <c r="CI1368" s="143"/>
      <c r="CJ1368" s="143"/>
      <c r="CK1368" s="143"/>
      <c r="CL1368" s="143"/>
      <c r="CM1368" s="143"/>
      <c r="CN1368"/>
      <c r="CO1368"/>
      <c r="CP1368"/>
      <c r="CQ1368"/>
      <c r="CR1368"/>
      <c r="CS1368"/>
      <c r="CT1368"/>
      <c r="CU1368"/>
      <c r="CV1368" s="2"/>
      <c r="CX1368"/>
      <c r="DB1368" s="143"/>
      <c r="DC1368"/>
      <c r="DI1368"/>
      <c r="DJ1368"/>
      <c r="DK1368"/>
      <c r="DL1368"/>
      <c r="DM1368"/>
      <c r="DN1368"/>
      <c r="DP1368" s="143"/>
      <c r="DT1368"/>
      <c r="DU1368" s="143"/>
      <c r="DV1368" s="143"/>
      <c r="DW1368" s="143"/>
      <c r="DX1368" s="143"/>
      <c r="DY1368" s="143"/>
      <c r="DZ1368" s="143"/>
      <c r="EA1368" s="143"/>
      <c r="EB1368" s="143"/>
      <c r="EC1368" s="143"/>
      <c r="ED1368" s="143"/>
      <c r="EE1368" s="143"/>
      <c r="EF1368" s="143"/>
      <c r="EG1368" s="143"/>
      <c r="EH1368" s="143"/>
      <c r="EI1368" s="196"/>
      <c r="ER1368" s="149"/>
    </row>
    <row r="1369" spans="15:148" ht="15" hidden="1" customHeight="1">
      <c r="O1369" s="145"/>
      <c r="V1369" s="143"/>
      <c r="W1369" s="143"/>
      <c r="X1369" s="143"/>
      <c r="Y1369" s="143"/>
      <c r="Z1369" s="143"/>
      <c r="AA1369" s="143"/>
      <c r="AB1369" s="143"/>
      <c r="AC1369" s="143"/>
      <c r="AD1369" s="143"/>
      <c r="AE1369" s="143"/>
      <c r="AF1369" s="143"/>
      <c r="AG1369" s="143"/>
      <c r="AH1369" s="143"/>
      <c r="AI1369" s="143"/>
      <c r="AJ1369" s="143"/>
      <c r="AK1369" s="143"/>
      <c r="AL1369" s="143"/>
      <c r="AM1369" s="143"/>
      <c r="AN1369" s="143"/>
      <c r="AO1369" s="143"/>
      <c r="AP1369" s="143"/>
      <c r="AQ1369" s="143"/>
      <c r="AR1369" s="143"/>
      <c r="AS1369" s="143"/>
      <c r="AT1369" s="143"/>
      <c r="AU1369" s="143"/>
      <c r="AV1369" s="143"/>
      <c r="AW1369" s="143"/>
      <c r="AX1369" s="141"/>
      <c r="AY1369" s="141"/>
      <c r="BE1369"/>
      <c r="BF1369" s="2"/>
      <c r="BS1369" s="141"/>
      <c r="BT1369" s="141"/>
      <c r="BU1369" s="144"/>
      <c r="BZ1369" s="143"/>
      <c r="CA1369" s="143"/>
      <c r="CB1369" s="143"/>
      <c r="CC1369" s="143"/>
      <c r="CD1369" s="143"/>
      <c r="CE1369" s="143"/>
      <c r="CF1369" s="143"/>
      <c r="CG1369" s="143"/>
      <c r="CH1369" s="143"/>
      <c r="CI1369" s="143"/>
      <c r="CJ1369" s="143"/>
      <c r="CK1369" s="143"/>
      <c r="CL1369" s="143"/>
      <c r="CM1369" s="143"/>
      <c r="CN1369"/>
      <c r="CO1369"/>
      <c r="CP1369"/>
      <c r="CQ1369"/>
      <c r="CR1369"/>
      <c r="CS1369"/>
      <c r="CT1369"/>
      <c r="CU1369"/>
      <c r="CV1369" s="2"/>
      <c r="CX1369"/>
      <c r="DB1369" s="143"/>
      <c r="DC1369"/>
      <c r="DI1369"/>
      <c r="DJ1369"/>
      <c r="DK1369"/>
      <c r="DL1369"/>
      <c r="DM1369"/>
      <c r="DN1369"/>
      <c r="DP1369" s="143"/>
      <c r="DT1369"/>
      <c r="DU1369" s="143"/>
      <c r="DV1369" s="143"/>
      <c r="DW1369" s="143"/>
      <c r="DX1369" s="143"/>
      <c r="DY1369" s="143"/>
      <c r="DZ1369" s="143"/>
      <c r="EA1369" s="143"/>
      <c r="EB1369" s="143"/>
      <c r="EC1369" s="143"/>
      <c r="ED1369" s="143"/>
      <c r="EE1369" s="143"/>
      <c r="EF1369" s="143"/>
      <c r="EG1369" s="143"/>
      <c r="EH1369" s="143"/>
      <c r="EI1369" s="196"/>
      <c r="ER1369" s="149"/>
    </row>
    <row r="1370" spans="15:148" ht="15" hidden="1" customHeight="1">
      <c r="O1370" s="145"/>
      <c r="V1370" s="143"/>
      <c r="W1370" s="143"/>
      <c r="X1370" s="143"/>
      <c r="Y1370" s="143"/>
      <c r="Z1370" s="143"/>
      <c r="AA1370" s="143"/>
      <c r="AB1370" s="143"/>
      <c r="AC1370" s="143"/>
      <c r="AD1370" s="143"/>
      <c r="AE1370" s="143"/>
      <c r="AF1370" s="143"/>
      <c r="AG1370" s="143"/>
      <c r="AH1370" s="143"/>
      <c r="AI1370" s="143"/>
      <c r="AJ1370" s="143"/>
      <c r="AK1370" s="143"/>
      <c r="AL1370" s="143"/>
      <c r="AM1370" s="143"/>
      <c r="AN1370" s="143"/>
      <c r="AO1370" s="143"/>
      <c r="AP1370" s="143"/>
      <c r="AQ1370" s="143"/>
      <c r="AR1370" s="143"/>
      <c r="AS1370" s="143"/>
      <c r="AT1370" s="143"/>
      <c r="AU1370" s="143"/>
      <c r="AV1370" s="143"/>
      <c r="AW1370" s="143"/>
      <c r="AX1370" s="141"/>
      <c r="AY1370" s="141"/>
      <c r="BE1370"/>
      <c r="BF1370" s="2"/>
      <c r="BS1370" s="141"/>
      <c r="BT1370" s="141"/>
      <c r="BU1370" s="144"/>
      <c r="BZ1370" s="143"/>
      <c r="CA1370" s="143"/>
      <c r="CB1370" s="143"/>
      <c r="CC1370" s="143"/>
      <c r="CD1370" s="143"/>
      <c r="CE1370" s="143"/>
      <c r="CF1370" s="143"/>
      <c r="CG1370" s="143"/>
      <c r="CH1370" s="143"/>
      <c r="CI1370" s="143"/>
      <c r="CJ1370" s="143"/>
      <c r="CK1370" s="143"/>
      <c r="CL1370" s="143"/>
      <c r="CM1370" s="143"/>
      <c r="CN1370"/>
      <c r="CO1370"/>
      <c r="CP1370"/>
      <c r="CQ1370"/>
      <c r="CR1370"/>
      <c r="CS1370"/>
      <c r="CT1370"/>
      <c r="CU1370"/>
      <c r="CV1370" s="2"/>
      <c r="CX1370"/>
      <c r="DB1370" s="143"/>
      <c r="DC1370"/>
      <c r="DI1370"/>
      <c r="DJ1370"/>
      <c r="DK1370"/>
      <c r="DL1370"/>
      <c r="DM1370"/>
      <c r="DN1370"/>
      <c r="DP1370" s="143"/>
      <c r="DT1370"/>
      <c r="DU1370" s="143"/>
      <c r="DV1370" s="143"/>
      <c r="DW1370" s="143"/>
      <c r="DX1370" s="143"/>
      <c r="DY1370" s="143"/>
      <c r="DZ1370" s="143"/>
      <c r="EA1370" s="143"/>
      <c r="EB1370" s="143"/>
      <c r="EC1370" s="143"/>
      <c r="ED1370" s="143"/>
      <c r="EE1370" s="143"/>
      <c r="EF1370" s="143"/>
      <c r="EG1370" s="143"/>
      <c r="EH1370" s="143"/>
      <c r="EI1370" s="196"/>
      <c r="ER1370" s="149"/>
    </row>
    <row r="1371" spans="15:148" ht="15" hidden="1" customHeight="1">
      <c r="O1371" s="145"/>
      <c r="V1371" s="143"/>
      <c r="W1371" s="143"/>
      <c r="X1371" s="143"/>
      <c r="Y1371" s="143"/>
      <c r="Z1371" s="143"/>
      <c r="AA1371" s="143"/>
      <c r="AB1371" s="143"/>
      <c r="AC1371" s="143"/>
      <c r="AD1371" s="143"/>
      <c r="AE1371" s="143"/>
      <c r="AF1371" s="143"/>
      <c r="AG1371" s="143"/>
      <c r="AH1371" s="143"/>
      <c r="AI1371" s="143"/>
      <c r="AJ1371" s="143"/>
      <c r="AK1371" s="143"/>
      <c r="AL1371" s="143"/>
      <c r="AM1371" s="143"/>
      <c r="AN1371" s="143"/>
      <c r="AO1371" s="143"/>
      <c r="AP1371" s="143"/>
      <c r="AQ1371" s="143"/>
      <c r="AR1371" s="143"/>
      <c r="AS1371" s="143"/>
      <c r="AT1371" s="143"/>
      <c r="AU1371" s="143"/>
      <c r="AV1371" s="143"/>
      <c r="AW1371" s="143"/>
      <c r="AX1371" s="141"/>
      <c r="AY1371" s="141"/>
      <c r="BE1371"/>
      <c r="BF1371" s="2"/>
      <c r="BU1371" s="144"/>
      <c r="BZ1371" s="143"/>
      <c r="CA1371" s="143"/>
      <c r="CB1371" s="143"/>
      <c r="CC1371" s="143"/>
      <c r="CD1371" s="143"/>
      <c r="CE1371" s="143"/>
      <c r="CF1371" s="143"/>
      <c r="CG1371" s="143"/>
      <c r="CH1371" s="143"/>
      <c r="CI1371" s="143"/>
      <c r="CJ1371" s="143"/>
      <c r="CK1371" s="143"/>
      <c r="CL1371" s="143"/>
      <c r="CM1371" s="143"/>
      <c r="CN1371"/>
      <c r="CO1371"/>
      <c r="CP1371"/>
      <c r="CQ1371"/>
      <c r="CR1371"/>
      <c r="CS1371"/>
      <c r="CT1371"/>
      <c r="CU1371"/>
      <c r="CV1371" s="2"/>
      <c r="CX1371"/>
      <c r="DB1371" s="143"/>
      <c r="DC1371"/>
      <c r="DI1371"/>
      <c r="DJ1371"/>
      <c r="DK1371"/>
      <c r="DL1371"/>
      <c r="DM1371"/>
      <c r="DN1371"/>
      <c r="DP1371" s="143"/>
      <c r="DT1371"/>
      <c r="DU1371" s="143"/>
      <c r="DV1371" s="143"/>
      <c r="DW1371" s="143"/>
      <c r="DX1371" s="143"/>
      <c r="DY1371" s="143"/>
      <c r="DZ1371" s="143"/>
      <c r="EA1371" s="143"/>
      <c r="EB1371" s="143"/>
      <c r="EC1371" s="143"/>
      <c r="ED1371" s="143"/>
      <c r="EE1371" s="143"/>
      <c r="EF1371" s="143"/>
      <c r="EG1371" s="143"/>
      <c r="EH1371" s="143"/>
      <c r="EI1371" s="196"/>
      <c r="ER1371" s="149"/>
    </row>
    <row r="1372" spans="15:148" ht="15" hidden="1" customHeight="1">
      <c r="O1372" s="145"/>
      <c r="V1372" s="143"/>
      <c r="W1372" s="143"/>
      <c r="X1372" s="143"/>
      <c r="Y1372" s="143"/>
      <c r="Z1372" s="143"/>
      <c r="AA1372" s="143"/>
      <c r="AB1372" s="143"/>
      <c r="AC1372" s="143"/>
      <c r="AD1372" s="143"/>
      <c r="AE1372" s="143"/>
      <c r="AF1372" s="143"/>
      <c r="AG1372" s="143"/>
      <c r="AH1372" s="143"/>
      <c r="AI1372" s="143"/>
      <c r="AJ1372" s="143"/>
      <c r="AK1372" s="143"/>
      <c r="AL1372" s="143"/>
      <c r="AM1372" s="143"/>
      <c r="AN1372" s="143"/>
      <c r="AO1372" s="143"/>
      <c r="AP1372" s="143"/>
      <c r="AQ1372" s="143"/>
      <c r="AR1372" s="143"/>
      <c r="AS1372" s="143"/>
      <c r="AT1372" s="143"/>
      <c r="AU1372" s="143"/>
      <c r="AV1372" s="143"/>
      <c r="AW1372" s="143"/>
      <c r="AX1372" s="141"/>
      <c r="AY1372" s="141"/>
      <c r="BE1372"/>
      <c r="BF1372" s="2"/>
      <c r="BU1372" s="144"/>
      <c r="BZ1372" s="143"/>
      <c r="CA1372" s="143"/>
      <c r="CB1372" s="143"/>
      <c r="CC1372" s="143"/>
      <c r="CD1372" s="143"/>
      <c r="CE1372" s="143"/>
      <c r="CF1372" s="143"/>
      <c r="CG1372" s="143"/>
      <c r="CH1372" s="143"/>
      <c r="CI1372" s="143"/>
      <c r="CJ1372" s="143"/>
      <c r="CK1372" s="143"/>
      <c r="CL1372" s="143"/>
      <c r="CM1372" s="143"/>
      <c r="CN1372"/>
      <c r="CO1372"/>
      <c r="CP1372"/>
      <c r="CQ1372"/>
      <c r="CR1372"/>
      <c r="CS1372"/>
      <c r="CT1372"/>
      <c r="CU1372"/>
      <c r="CV1372" s="2"/>
      <c r="CX1372"/>
      <c r="DB1372" s="143"/>
      <c r="DC1372"/>
      <c r="DI1372"/>
      <c r="DJ1372"/>
      <c r="DK1372"/>
      <c r="DL1372"/>
      <c r="DM1372"/>
      <c r="DN1372"/>
      <c r="DP1372" s="143"/>
      <c r="DT1372"/>
      <c r="DU1372" s="143"/>
      <c r="DV1372" s="143"/>
      <c r="DW1372" s="143"/>
      <c r="DX1372" s="143"/>
      <c r="DY1372" s="143"/>
      <c r="DZ1372" s="143"/>
      <c r="EA1372" s="143"/>
      <c r="EB1372" s="143"/>
      <c r="EC1372" s="143"/>
      <c r="ED1372" s="143"/>
      <c r="EE1372" s="143"/>
      <c r="EF1372" s="143"/>
      <c r="EG1372" s="143"/>
      <c r="EH1372" s="143"/>
      <c r="EI1372" s="196"/>
      <c r="ER1372" s="149"/>
    </row>
    <row r="1373" spans="15:148" ht="15" hidden="1" customHeight="1">
      <c r="O1373" s="145"/>
      <c r="V1373" s="143"/>
      <c r="W1373" s="143"/>
      <c r="X1373" s="143"/>
      <c r="Y1373" s="143"/>
      <c r="Z1373" s="143"/>
      <c r="AA1373" s="143"/>
      <c r="AB1373" s="143"/>
      <c r="AC1373" s="143"/>
      <c r="AD1373" s="143"/>
      <c r="AE1373" s="143"/>
      <c r="AF1373" s="143"/>
      <c r="AG1373" s="143"/>
      <c r="AH1373" s="143"/>
      <c r="AI1373" s="143"/>
      <c r="AJ1373" s="143"/>
      <c r="AK1373" s="143"/>
      <c r="AL1373" s="143"/>
      <c r="AM1373" s="143"/>
      <c r="AN1373" s="143"/>
      <c r="AO1373" s="143"/>
      <c r="AP1373" s="143"/>
      <c r="AQ1373" s="143"/>
      <c r="AR1373" s="143"/>
      <c r="AS1373" s="143"/>
      <c r="AT1373" s="143"/>
      <c r="AU1373" s="143"/>
      <c r="AV1373" s="143"/>
      <c r="AW1373" s="143"/>
      <c r="AX1373" s="141"/>
      <c r="AY1373" s="141"/>
      <c r="BE1373"/>
      <c r="BF1373" s="2"/>
      <c r="BU1373" s="144"/>
      <c r="BZ1373" s="143"/>
      <c r="CA1373" s="143"/>
      <c r="CB1373" s="143"/>
      <c r="CC1373" s="143"/>
      <c r="CD1373" s="143"/>
      <c r="CE1373" s="143"/>
      <c r="CF1373" s="143"/>
      <c r="CG1373" s="143"/>
      <c r="CH1373" s="143"/>
      <c r="CI1373" s="143"/>
      <c r="CJ1373" s="143"/>
      <c r="CK1373" s="143"/>
      <c r="CL1373" s="143"/>
      <c r="CM1373" s="143"/>
      <c r="CN1373"/>
      <c r="CO1373"/>
      <c r="CP1373"/>
      <c r="CQ1373"/>
      <c r="CR1373"/>
      <c r="CS1373"/>
      <c r="CT1373"/>
      <c r="CU1373"/>
      <c r="CV1373" s="2"/>
      <c r="CX1373"/>
      <c r="DB1373" s="143"/>
      <c r="DC1373"/>
      <c r="DI1373"/>
      <c r="DJ1373"/>
      <c r="DK1373"/>
      <c r="DL1373"/>
      <c r="DM1373"/>
      <c r="DN1373"/>
      <c r="DP1373" s="143"/>
      <c r="DT1373"/>
      <c r="DU1373" s="143"/>
      <c r="DV1373" s="143"/>
      <c r="DW1373" s="143"/>
      <c r="DX1373" s="143"/>
      <c r="DY1373" s="143"/>
      <c r="DZ1373" s="143"/>
      <c r="EA1373" s="143"/>
      <c r="EB1373" s="143"/>
      <c r="EC1373" s="143"/>
      <c r="ED1373" s="143"/>
      <c r="EE1373" s="143"/>
      <c r="EF1373" s="143"/>
      <c r="EG1373" s="143"/>
      <c r="EH1373" s="143"/>
      <c r="EI1373" s="196"/>
      <c r="ER1373" s="149"/>
    </row>
    <row r="1374" spans="15:148" ht="15" hidden="1" customHeight="1">
      <c r="O1374" s="145"/>
      <c r="V1374" s="143"/>
      <c r="W1374" s="143"/>
      <c r="X1374" s="143"/>
      <c r="Y1374" s="143"/>
      <c r="Z1374" s="143"/>
      <c r="AA1374" s="143"/>
      <c r="AB1374" s="143"/>
      <c r="AC1374" s="143"/>
      <c r="AD1374" s="143"/>
      <c r="AE1374" s="143"/>
      <c r="AF1374" s="143"/>
      <c r="AG1374" s="143"/>
      <c r="AH1374" s="143"/>
      <c r="AI1374" s="143"/>
      <c r="AJ1374" s="143"/>
      <c r="AK1374" s="143"/>
      <c r="AL1374" s="143"/>
      <c r="AM1374" s="143"/>
      <c r="AN1374" s="143"/>
      <c r="AO1374" s="143"/>
      <c r="AP1374" s="143"/>
      <c r="AQ1374" s="143"/>
      <c r="AR1374" s="143"/>
      <c r="AS1374" s="143"/>
      <c r="AT1374" s="143"/>
      <c r="AU1374" s="143"/>
      <c r="AV1374" s="143"/>
      <c r="AW1374" s="143"/>
      <c r="AX1374" s="141"/>
      <c r="AY1374" s="141"/>
      <c r="BE1374"/>
      <c r="BF1374" s="2"/>
      <c r="BU1374" s="144"/>
      <c r="BZ1374" s="143"/>
      <c r="CA1374" s="143"/>
      <c r="CB1374" s="143"/>
      <c r="CC1374" s="143"/>
      <c r="CD1374" s="143"/>
      <c r="CE1374" s="143"/>
      <c r="CF1374" s="143"/>
      <c r="CG1374" s="143"/>
      <c r="CH1374" s="143"/>
      <c r="CI1374" s="143"/>
      <c r="CJ1374" s="143"/>
      <c r="CK1374" s="143"/>
      <c r="CL1374" s="143"/>
      <c r="CM1374" s="143"/>
      <c r="CN1374"/>
      <c r="CO1374"/>
      <c r="CP1374"/>
      <c r="CQ1374"/>
      <c r="CR1374"/>
      <c r="CS1374"/>
      <c r="CT1374"/>
      <c r="CU1374"/>
      <c r="CV1374" s="2"/>
      <c r="CX1374"/>
      <c r="DB1374" s="143"/>
      <c r="DC1374"/>
      <c r="DI1374"/>
      <c r="DJ1374"/>
      <c r="DK1374"/>
      <c r="DL1374"/>
      <c r="DM1374"/>
      <c r="DN1374"/>
      <c r="DP1374" s="143"/>
      <c r="DT1374"/>
      <c r="DU1374" s="143"/>
      <c r="DV1374" s="143"/>
      <c r="DW1374" s="143"/>
      <c r="DX1374" s="143"/>
      <c r="DY1374" s="143"/>
      <c r="DZ1374" s="143"/>
      <c r="EA1374" s="143"/>
      <c r="EB1374" s="143"/>
      <c r="EC1374" s="143"/>
      <c r="ED1374" s="143"/>
      <c r="EE1374" s="143"/>
      <c r="EF1374" s="143"/>
      <c r="EG1374" s="143"/>
      <c r="EH1374" s="143"/>
      <c r="EI1374" s="196"/>
      <c r="ER1374" s="149"/>
    </row>
    <row r="1375" spans="15:148" ht="15" hidden="1" customHeight="1">
      <c r="O1375" s="145"/>
      <c r="AX1375" s="141"/>
      <c r="AY1375" s="141"/>
      <c r="BE1375"/>
      <c r="BF1375" s="2"/>
      <c r="BU1375" s="144"/>
      <c r="CN1375"/>
      <c r="CO1375"/>
      <c r="CP1375"/>
      <c r="CQ1375"/>
      <c r="CR1375"/>
      <c r="CS1375"/>
      <c r="CT1375"/>
      <c r="CU1375"/>
      <c r="CV1375" s="2"/>
      <c r="CX1375"/>
      <c r="DC1375"/>
      <c r="DI1375"/>
      <c r="DJ1375"/>
      <c r="DK1375"/>
      <c r="DL1375"/>
      <c r="DM1375"/>
      <c r="DN1375"/>
      <c r="DT1375"/>
      <c r="DU1375" s="143"/>
    </row>
    <row r="1376" spans="15:148" ht="15" hidden="1" customHeight="1">
      <c r="O1376" s="145"/>
      <c r="AX1376" s="141"/>
      <c r="AY1376" s="141"/>
      <c r="BE1376"/>
      <c r="BF1376" s="2"/>
      <c r="BU1376" s="144"/>
      <c r="CN1376"/>
      <c r="CO1376"/>
      <c r="CP1376"/>
      <c r="CQ1376"/>
      <c r="CR1376"/>
      <c r="CS1376"/>
      <c r="CT1376"/>
      <c r="CU1376"/>
      <c r="CV1376" s="2"/>
      <c r="CX1376"/>
      <c r="DC1376"/>
      <c r="DI1376"/>
      <c r="DJ1376"/>
      <c r="DK1376"/>
      <c r="DL1376"/>
      <c r="DM1376"/>
      <c r="DN1376"/>
      <c r="DT1376"/>
      <c r="DU1376" s="143"/>
      <c r="EA1376" s="143"/>
    </row>
    <row r="1377" spans="15:131" ht="15" hidden="1" customHeight="1">
      <c r="O1377" s="145"/>
      <c r="AX1377" s="141"/>
      <c r="AY1377" s="141"/>
      <c r="BE1377"/>
      <c r="BF1377" s="2"/>
      <c r="BU1377" s="144"/>
      <c r="CN1377"/>
      <c r="CO1377"/>
      <c r="CP1377"/>
      <c r="CQ1377"/>
      <c r="CR1377"/>
      <c r="CS1377"/>
      <c r="CT1377"/>
      <c r="CU1377"/>
      <c r="CV1377" s="2"/>
      <c r="CX1377"/>
      <c r="DC1377"/>
      <c r="DI1377"/>
      <c r="DJ1377"/>
      <c r="DK1377"/>
      <c r="DL1377"/>
      <c r="DM1377"/>
      <c r="DN1377"/>
      <c r="DT1377"/>
      <c r="DU1377" s="143"/>
      <c r="EA1377" s="143"/>
    </row>
    <row r="1378" spans="15:131" ht="15" hidden="1" customHeight="1">
      <c r="O1378" s="145"/>
      <c r="AX1378" s="141"/>
      <c r="AY1378" s="141"/>
      <c r="BE1378"/>
      <c r="BF1378" s="2"/>
      <c r="BU1378" s="144"/>
      <c r="CN1378"/>
      <c r="CO1378"/>
      <c r="CP1378"/>
      <c r="CQ1378"/>
      <c r="CR1378"/>
      <c r="CS1378"/>
      <c r="CT1378"/>
      <c r="CU1378"/>
      <c r="CV1378" s="2"/>
      <c r="CX1378"/>
      <c r="DC1378"/>
      <c r="DI1378"/>
      <c r="DJ1378"/>
      <c r="DK1378"/>
      <c r="DL1378"/>
      <c r="DM1378"/>
      <c r="DN1378"/>
      <c r="DT1378"/>
      <c r="DU1378" s="143"/>
      <c r="EA1378" s="143"/>
    </row>
    <row r="1379" spans="15:131" ht="15" hidden="1" customHeight="1">
      <c r="O1379" s="145"/>
      <c r="AX1379" s="141"/>
      <c r="AY1379" s="141"/>
      <c r="BE1379"/>
      <c r="BF1379" s="2"/>
      <c r="BU1379" s="144"/>
      <c r="CN1379"/>
      <c r="CO1379"/>
      <c r="CP1379"/>
      <c r="CQ1379"/>
      <c r="CR1379"/>
      <c r="CS1379"/>
      <c r="CT1379"/>
      <c r="CU1379"/>
      <c r="CV1379" s="2"/>
      <c r="CX1379"/>
      <c r="DC1379"/>
      <c r="DI1379"/>
      <c r="DJ1379"/>
      <c r="DK1379"/>
      <c r="DL1379"/>
      <c r="DM1379"/>
      <c r="DN1379"/>
      <c r="DT1379"/>
      <c r="DU1379" s="143"/>
      <c r="EA1379" s="143"/>
    </row>
    <row r="1380" spans="15:131" ht="15" hidden="1" customHeight="1">
      <c r="AX1380" s="141"/>
      <c r="AY1380" s="141"/>
      <c r="BE1380"/>
      <c r="BF1380" s="2"/>
      <c r="BT1380" s="141"/>
      <c r="BU1380" s="144"/>
      <c r="CN1380"/>
      <c r="CO1380"/>
      <c r="CP1380"/>
      <c r="CQ1380"/>
      <c r="CR1380"/>
      <c r="CS1380"/>
      <c r="CT1380"/>
      <c r="CU1380"/>
      <c r="CV1380" s="2"/>
      <c r="CX1380"/>
      <c r="DC1380"/>
      <c r="DI1380"/>
      <c r="DJ1380"/>
      <c r="DK1380"/>
      <c r="DL1380"/>
      <c r="DM1380"/>
      <c r="DN1380"/>
      <c r="DT1380"/>
      <c r="DU1380" s="143"/>
    </row>
    <row r="1381" spans="15:131" ht="15" hidden="1" customHeight="1">
      <c r="AX1381" s="141"/>
      <c r="AY1381" s="141"/>
      <c r="BE1381"/>
      <c r="BF1381" s="2"/>
      <c r="BT1381" s="141"/>
      <c r="BU1381" s="144"/>
      <c r="CN1381"/>
      <c r="CO1381"/>
      <c r="CP1381"/>
      <c r="CQ1381"/>
      <c r="CR1381"/>
      <c r="CS1381"/>
      <c r="CT1381"/>
      <c r="CU1381"/>
      <c r="CV1381" s="2"/>
      <c r="CX1381"/>
      <c r="DC1381"/>
      <c r="DI1381"/>
      <c r="DJ1381"/>
      <c r="DK1381"/>
      <c r="DL1381"/>
      <c r="DM1381"/>
      <c r="DN1381"/>
      <c r="DT1381"/>
      <c r="DU1381" s="143"/>
    </row>
    <row r="1382" spans="15:131" ht="15" hidden="1" customHeight="1">
      <c r="AX1382" s="141"/>
      <c r="AY1382" s="141"/>
      <c r="BE1382"/>
      <c r="BF1382" s="2"/>
      <c r="BT1382" s="141"/>
      <c r="BU1382" s="144"/>
      <c r="CN1382"/>
      <c r="CO1382"/>
      <c r="CP1382"/>
      <c r="CQ1382"/>
      <c r="CR1382"/>
      <c r="CS1382"/>
      <c r="CT1382"/>
      <c r="CU1382"/>
      <c r="CV1382" s="2"/>
      <c r="CX1382"/>
      <c r="DC1382"/>
      <c r="DI1382"/>
      <c r="DJ1382"/>
      <c r="DK1382"/>
      <c r="DL1382"/>
      <c r="DM1382"/>
      <c r="DN1382"/>
      <c r="DT1382"/>
      <c r="DU1382" s="143"/>
    </row>
    <row r="1383" spans="15:131" ht="15" hidden="1" customHeight="1">
      <c r="AX1383" s="141"/>
      <c r="AY1383" s="141"/>
      <c r="BE1383"/>
      <c r="BF1383" s="2"/>
      <c r="BU1383" s="144"/>
      <c r="CN1383"/>
      <c r="CO1383"/>
      <c r="CP1383"/>
      <c r="CQ1383"/>
      <c r="CR1383"/>
      <c r="CS1383"/>
      <c r="CT1383"/>
      <c r="CU1383"/>
      <c r="CV1383" s="2"/>
      <c r="CX1383"/>
      <c r="DC1383"/>
      <c r="DI1383"/>
      <c r="DJ1383"/>
      <c r="DK1383"/>
      <c r="DL1383"/>
      <c r="DM1383"/>
      <c r="DN1383"/>
      <c r="DT1383"/>
      <c r="DU1383" s="143"/>
    </row>
    <row r="1384" spans="15:131" ht="15" hidden="1" customHeight="1">
      <c r="AX1384" s="141"/>
      <c r="AY1384" s="141"/>
      <c r="BE1384"/>
      <c r="BF1384" s="2"/>
      <c r="BU1384" s="144"/>
      <c r="CN1384"/>
      <c r="CO1384"/>
      <c r="CP1384"/>
      <c r="CQ1384"/>
      <c r="CR1384"/>
      <c r="CS1384"/>
      <c r="CT1384"/>
      <c r="CU1384"/>
      <c r="CV1384" s="2"/>
      <c r="CX1384"/>
      <c r="DC1384"/>
      <c r="DI1384"/>
      <c r="DJ1384"/>
      <c r="DK1384"/>
      <c r="DL1384"/>
      <c r="DM1384"/>
      <c r="DN1384"/>
      <c r="DT1384"/>
      <c r="DU1384" s="143"/>
    </row>
    <row r="1385" spans="15:131" ht="15" hidden="1" customHeight="1">
      <c r="AX1385" s="141"/>
      <c r="AY1385" s="141"/>
      <c r="BE1385"/>
      <c r="BF1385" s="2"/>
      <c r="BU1385" s="144"/>
      <c r="CN1385"/>
      <c r="CO1385"/>
      <c r="CP1385"/>
      <c r="CQ1385"/>
      <c r="CR1385"/>
      <c r="CS1385"/>
      <c r="CT1385"/>
      <c r="CU1385"/>
      <c r="CV1385" s="2"/>
      <c r="CX1385"/>
      <c r="DC1385"/>
      <c r="DI1385"/>
      <c r="DJ1385"/>
      <c r="DK1385"/>
      <c r="DL1385"/>
      <c r="DM1385"/>
      <c r="DN1385"/>
      <c r="DT1385"/>
      <c r="DU1385" s="143"/>
    </row>
    <row r="1386" spans="15:131" ht="15" hidden="1" customHeight="1">
      <c r="AX1386" s="141"/>
      <c r="AY1386" s="141"/>
      <c r="BE1386"/>
      <c r="BF1386" s="2"/>
      <c r="BU1386" s="144"/>
      <c r="CN1386"/>
      <c r="CO1386"/>
      <c r="CP1386"/>
      <c r="CQ1386"/>
      <c r="CR1386"/>
      <c r="CS1386"/>
      <c r="CT1386"/>
      <c r="CU1386"/>
      <c r="CV1386" s="2"/>
      <c r="CX1386"/>
      <c r="DC1386"/>
      <c r="DI1386"/>
      <c r="DJ1386"/>
      <c r="DK1386"/>
      <c r="DL1386"/>
      <c r="DM1386"/>
      <c r="DN1386"/>
      <c r="DT1386"/>
      <c r="DU1386" s="143"/>
    </row>
    <row r="1387" spans="15:131" ht="15" hidden="1" customHeight="1">
      <c r="AX1387" s="141"/>
      <c r="AY1387" s="141"/>
      <c r="BE1387"/>
      <c r="BF1387" s="2"/>
      <c r="BU1387" s="144"/>
      <c r="CN1387"/>
      <c r="CO1387"/>
      <c r="CP1387"/>
      <c r="CQ1387"/>
      <c r="CR1387"/>
      <c r="CS1387"/>
      <c r="CT1387"/>
      <c r="CU1387"/>
      <c r="CV1387" s="2"/>
      <c r="CX1387"/>
      <c r="DC1387"/>
      <c r="DI1387"/>
      <c r="DJ1387"/>
      <c r="DK1387"/>
      <c r="DL1387"/>
      <c r="DM1387"/>
      <c r="DN1387"/>
      <c r="DT1387"/>
      <c r="DU1387" s="143"/>
    </row>
    <row r="1388" spans="15:131" ht="15" hidden="1" customHeight="1">
      <c r="AX1388" s="141"/>
      <c r="AY1388" s="141"/>
      <c r="BE1388"/>
      <c r="BF1388" s="2"/>
      <c r="BU1388" s="144"/>
      <c r="CN1388"/>
      <c r="CO1388"/>
      <c r="CP1388"/>
      <c r="CQ1388"/>
      <c r="CR1388"/>
      <c r="CS1388"/>
      <c r="CT1388"/>
      <c r="CU1388"/>
      <c r="CV1388" s="2"/>
      <c r="CX1388"/>
      <c r="DC1388"/>
      <c r="DI1388"/>
      <c r="DJ1388"/>
      <c r="DK1388"/>
      <c r="DL1388"/>
      <c r="DM1388"/>
      <c r="DN1388"/>
      <c r="DT1388"/>
      <c r="DU1388" s="143"/>
    </row>
    <row r="1389" spans="15:131" ht="15" hidden="1" customHeight="1">
      <c r="O1389" s="145"/>
      <c r="AX1389" s="141"/>
      <c r="AY1389" s="141"/>
      <c r="BE1389"/>
      <c r="BF1389" s="2"/>
      <c r="BU1389" s="144"/>
      <c r="CN1389"/>
      <c r="CO1389"/>
      <c r="CP1389"/>
      <c r="CQ1389"/>
      <c r="CR1389"/>
      <c r="CS1389"/>
      <c r="CT1389"/>
      <c r="CU1389"/>
      <c r="CV1389" s="2"/>
      <c r="CX1389"/>
      <c r="DC1389"/>
      <c r="DI1389"/>
      <c r="DJ1389"/>
      <c r="DK1389"/>
      <c r="DL1389"/>
      <c r="DM1389"/>
      <c r="DN1389"/>
      <c r="DT1389"/>
      <c r="DU1389" s="143"/>
      <c r="EA1389" s="143"/>
    </row>
    <row r="1390" spans="15:131" ht="15" hidden="1" customHeight="1">
      <c r="O1390" s="145"/>
      <c r="AX1390" s="141"/>
      <c r="AY1390" s="141"/>
      <c r="BE1390"/>
      <c r="BF1390" s="2"/>
      <c r="BU1390" s="144"/>
      <c r="CN1390"/>
      <c r="CO1390"/>
      <c r="CP1390"/>
      <c r="CQ1390"/>
      <c r="CR1390"/>
      <c r="CS1390"/>
      <c r="CT1390"/>
      <c r="CU1390"/>
      <c r="CV1390" s="2"/>
      <c r="CX1390"/>
      <c r="DC1390"/>
      <c r="DI1390"/>
      <c r="DJ1390"/>
      <c r="DK1390"/>
      <c r="DL1390"/>
      <c r="DM1390"/>
      <c r="DN1390"/>
      <c r="DT1390"/>
      <c r="DU1390" s="143"/>
      <c r="EA1390" s="143"/>
    </row>
    <row r="1391" spans="15:131" ht="15" hidden="1" customHeight="1">
      <c r="O1391" s="145"/>
      <c r="AX1391" s="141"/>
      <c r="AY1391" s="141"/>
      <c r="BE1391"/>
      <c r="BF1391" s="2"/>
      <c r="BU1391" s="144"/>
      <c r="CN1391"/>
      <c r="CO1391"/>
      <c r="CP1391"/>
      <c r="CQ1391"/>
      <c r="CR1391"/>
      <c r="CS1391"/>
      <c r="CT1391"/>
      <c r="CU1391"/>
      <c r="CV1391" s="2"/>
      <c r="CX1391"/>
      <c r="DC1391"/>
      <c r="DI1391"/>
      <c r="DJ1391"/>
      <c r="DK1391"/>
      <c r="DL1391"/>
      <c r="DM1391"/>
      <c r="DN1391"/>
      <c r="DT1391"/>
      <c r="DU1391" s="143"/>
      <c r="EA1391" s="143"/>
    </row>
    <row r="1392" spans="15:131" ht="15" hidden="1" customHeight="1">
      <c r="O1392" s="145"/>
      <c r="AX1392" s="141"/>
      <c r="AY1392" s="141"/>
      <c r="BE1392"/>
      <c r="BF1392" s="2"/>
      <c r="BU1392" s="144"/>
      <c r="CN1392"/>
      <c r="CO1392"/>
      <c r="CP1392"/>
      <c r="CQ1392"/>
      <c r="CR1392"/>
      <c r="CS1392"/>
      <c r="CT1392"/>
      <c r="CU1392"/>
      <c r="CV1392" s="2"/>
      <c r="CX1392"/>
      <c r="DC1392"/>
      <c r="DI1392"/>
      <c r="DJ1392"/>
      <c r="DK1392"/>
      <c r="DL1392"/>
      <c r="DM1392"/>
      <c r="DN1392"/>
      <c r="DT1392"/>
      <c r="DU1392" s="143"/>
      <c r="EA1392" s="143"/>
    </row>
    <row r="1393" spans="15:148" ht="15" hidden="1" customHeight="1">
      <c r="O1393" s="145"/>
      <c r="AX1393" s="141"/>
      <c r="AY1393" s="141"/>
      <c r="BE1393"/>
      <c r="BF1393" s="2"/>
      <c r="BU1393" s="144"/>
      <c r="CN1393"/>
      <c r="CO1393"/>
      <c r="CP1393"/>
      <c r="CQ1393"/>
      <c r="CR1393"/>
      <c r="CS1393"/>
      <c r="CT1393"/>
      <c r="CU1393"/>
      <c r="CV1393" s="2"/>
      <c r="CX1393"/>
      <c r="DC1393"/>
      <c r="DI1393"/>
      <c r="DJ1393"/>
      <c r="DK1393"/>
      <c r="DL1393"/>
      <c r="DM1393"/>
      <c r="DN1393"/>
      <c r="DT1393"/>
      <c r="DU1393" s="143"/>
      <c r="EA1393" s="143"/>
    </row>
    <row r="1394" spans="15:148" ht="15" hidden="1" customHeight="1">
      <c r="O1394" s="145"/>
      <c r="AX1394" s="141"/>
      <c r="AY1394" s="141"/>
      <c r="BE1394"/>
      <c r="BF1394" s="2"/>
      <c r="BU1394" s="144"/>
      <c r="CN1394"/>
      <c r="CO1394"/>
      <c r="CP1394"/>
      <c r="CQ1394"/>
      <c r="CR1394"/>
      <c r="CS1394"/>
      <c r="CT1394"/>
      <c r="CU1394"/>
      <c r="CV1394" s="2"/>
      <c r="CX1394"/>
      <c r="DC1394"/>
      <c r="DI1394"/>
      <c r="DJ1394"/>
      <c r="DK1394"/>
      <c r="DL1394"/>
      <c r="DM1394"/>
      <c r="DN1394"/>
      <c r="DT1394"/>
      <c r="DU1394" s="143"/>
      <c r="EA1394" s="143"/>
    </row>
    <row r="1395" spans="15:148" ht="15" hidden="1" customHeight="1">
      <c r="O1395" s="145"/>
      <c r="AX1395" s="141"/>
      <c r="AY1395" s="141"/>
      <c r="BE1395"/>
      <c r="BF1395" s="2"/>
      <c r="BU1395" s="144"/>
      <c r="CN1395"/>
      <c r="CO1395"/>
      <c r="CP1395"/>
      <c r="CQ1395"/>
      <c r="CR1395"/>
      <c r="CS1395"/>
      <c r="CT1395"/>
      <c r="CU1395"/>
      <c r="CV1395" s="2"/>
      <c r="CX1395"/>
      <c r="DC1395"/>
      <c r="DI1395"/>
      <c r="DJ1395"/>
      <c r="DK1395"/>
      <c r="DL1395"/>
      <c r="DM1395"/>
      <c r="DN1395"/>
      <c r="DT1395"/>
      <c r="DU1395" s="143"/>
      <c r="EA1395" s="143"/>
    </row>
    <row r="1396" spans="15:148" ht="15" hidden="1" customHeight="1">
      <c r="O1396" s="145"/>
      <c r="AX1396" s="141"/>
      <c r="AY1396" s="141"/>
      <c r="BE1396"/>
      <c r="BF1396" s="2"/>
      <c r="BU1396" s="144"/>
      <c r="CN1396"/>
      <c r="CO1396"/>
      <c r="CP1396"/>
      <c r="CQ1396"/>
      <c r="CR1396"/>
      <c r="CS1396"/>
      <c r="CT1396"/>
      <c r="CU1396"/>
      <c r="CV1396" s="2"/>
      <c r="CX1396"/>
      <c r="DC1396"/>
      <c r="DI1396"/>
      <c r="DJ1396"/>
      <c r="DK1396"/>
      <c r="DL1396"/>
      <c r="DM1396"/>
      <c r="DN1396"/>
      <c r="DT1396"/>
      <c r="DU1396" s="143"/>
      <c r="EA1396" s="143"/>
    </row>
    <row r="1397" spans="15:148" ht="15" hidden="1" customHeight="1">
      <c r="O1397" s="145"/>
      <c r="AX1397" s="141"/>
      <c r="AY1397" s="141"/>
      <c r="BE1397"/>
      <c r="BF1397" s="2"/>
      <c r="BU1397" s="144"/>
      <c r="CN1397"/>
      <c r="CO1397"/>
      <c r="CP1397"/>
      <c r="CQ1397"/>
      <c r="CR1397"/>
      <c r="CS1397"/>
      <c r="CT1397"/>
      <c r="CU1397"/>
      <c r="CV1397" s="2"/>
      <c r="CX1397"/>
      <c r="DC1397"/>
      <c r="DI1397"/>
      <c r="DJ1397"/>
      <c r="DK1397"/>
      <c r="DL1397"/>
      <c r="DM1397"/>
      <c r="DN1397"/>
      <c r="DT1397"/>
      <c r="DU1397" s="143"/>
      <c r="EA1397" s="143"/>
    </row>
    <row r="1398" spans="15:148" ht="15" hidden="1" customHeight="1">
      <c r="O1398" s="145"/>
      <c r="AX1398" s="141"/>
      <c r="AY1398" s="141"/>
      <c r="BE1398"/>
      <c r="BF1398" s="2"/>
      <c r="BU1398" s="144"/>
      <c r="CN1398"/>
      <c r="CO1398"/>
      <c r="CP1398"/>
      <c r="CQ1398"/>
      <c r="CR1398"/>
      <c r="CS1398"/>
      <c r="CT1398"/>
      <c r="CU1398"/>
      <c r="CV1398" s="2"/>
      <c r="CX1398"/>
      <c r="DC1398"/>
      <c r="DI1398"/>
      <c r="DJ1398"/>
      <c r="DK1398"/>
      <c r="DL1398"/>
      <c r="DM1398"/>
      <c r="DN1398"/>
      <c r="DT1398"/>
      <c r="DU1398" s="143"/>
      <c r="EA1398" s="143"/>
    </row>
    <row r="1399" spans="15:148" ht="15" hidden="1" customHeight="1">
      <c r="O1399" s="145"/>
      <c r="AX1399" s="141"/>
      <c r="AY1399" s="141"/>
      <c r="BE1399"/>
      <c r="BF1399" s="2"/>
      <c r="BU1399" s="144"/>
      <c r="CN1399"/>
      <c r="CO1399"/>
      <c r="CP1399"/>
      <c r="CQ1399"/>
      <c r="CR1399"/>
      <c r="CS1399"/>
      <c r="CT1399"/>
      <c r="CU1399"/>
      <c r="CV1399" s="2"/>
      <c r="CX1399"/>
      <c r="DC1399"/>
      <c r="DI1399"/>
      <c r="DJ1399"/>
      <c r="DK1399"/>
      <c r="DL1399"/>
      <c r="DM1399"/>
      <c r="DN1399"/>
      <c r="DT1399"/>
      <c r="DU1399" s="143"/>
      <c r="EA1399" s="143"/>
    </row>
    <row r="1400" spans="15:148" ht="15" hidden="1" customHeight="1">
      <c r="O1400" s="145"/>
      <c r="AX1400" s="141"/>
      <c r="AY1400" s="141"/>
      <c r="BE1400"/>
      <c r="BF1400" s="2"/>
      <c r="BU1400" s="144"/>
      <c r="CN1400"/>
      <c r="CO1400"/>
      <c r="CP1400"/>
      <c r="CQ1400"/>
      <c r="CR1400"/>
      <c r="CS1400"/>
      <c r="CT1400"/>
      <c r="CU1400"/>
      <c r="CV1400" s="2"/>
      <c r="CX1400"/>
      <c r="DC1400"/>
      <c r="DI1400"/>
      <c r="DJ1400"/>
      <c r="DK1400"/>
      <c r="DL1400"/>
      <c r="DM1400"/>
      <c r="DN1400"/>
      <c r="DT1400"/>
      <c r="DU1400" s="143"/>
      <c r="EA1400" s="143"/>
    </row>
    <row r="1401" spans="15:148" ht="15" hidden="1" customHeight="1">
      <c r="O1401" s="145"/>
      <c r="AX1401" s="141"/>
      <c r="AY1401" s="141"/>
      <c r="BE1401"/>
      <c r="BF1401" s="2"/>
      <c r="BU1401" s="144"/>
      <c r="CN1401"/>
      <c r="CO1401"/>
      <c r="CP1401"/>
      <c r="CQ1401"/>
      <c r="CR1401"/>
      <c r="CS1401"/>
      <c r="CT1401"/>
      <c r="CU1401"/>
      <c r="CV1401" s="2"/>
      <c r="CX1401"/>
      <c r="DC1401"/>
      <c r="DI1401"/>
      <c r="DJ1401"/>
      <c r="DK1401"/>
      <c r="DL1401"/>
      <c r="DM1401"/>
      <c r="DN1401"/>
      <c r="DT1401"/>
      <c r="DU1401" s="143"/>
    </row>
    <row r="1402" spans="15:148" ht="15" hidden="1" customHeight="1">
      <c r="O1402" s="145"/>
      <c r="AX1402" s="141"/>
      <c r="AY1402" s="141"/>
      <c r="BE1402"/>
      <c r="BF1402" s="2"/>
      <c r="BU1402" s="144"/>
      <c r="CN1402"/>
      <c r="CO1402"/>
      <c r="CP1402"/>
      <c r="CQ1402"/>
      <c r="CR1402"/>
      <c r="CS1402"/>
      <c r="CT1402"/>
      <c r="CU1402"/>
      <c r="CV1402" s="2"/>
      <c r="CX1402"/>
      <c r="DC1402"/>
      <c r="DI1402"/>
      <c r="DJ1402"/>
      <c r="DK1402"/>
      <c r="DL1402"/>
      <c r="DM1402"/>
      <c r="DN1402"/>
      <c r="DT1402"/>
      <c r="DU1402" s="143"/>
      <c r="EA1402" s="143"/>
      <c r="ER1402" s="149"/>
    </row>
    <row r="1403" spans="15:148" ht="15" hidden="1" customHeight="1">
      <c r="O1403" s="145"/>
      <c r="AX1403" s="141"/>
      <c r="AY1403" s="141"/>
      <c r="BE1403"/>
      <c r="BF1403" s="2"/>
      <c r="BU1403" s="144"/>
      <c r="CN1403"/>
      <c r="CO1403"/>
      <c r="CP1403"/>
      <c r="CQ1403"/>
      <c r="CR1403"/>
      <c r="CS1403"/>
      <c r="CT1403"/>
      <c r="CU1403"/>
      <c r="CV1403" s="2"/>
      <c r="CX1403"/>
      <c r="DC1403"/>
      <c r="DI1403"/>
      <c r="DJ1403"/>
      <c r="DK1403"/>
      <c r="DL1403"/>
      <c r="DM1403"/>
      <c r="DN1403"/>
      <c r="DT1403"/>
      <c r="DU1403" s="143"/>
      <c r="EA1403" s="143"/>
      <c r="ER1403" s="149"/>
    </row>
    <row r="1404" spans="15:148" ht="15" hidden="1" customHeight="1">
      <c r="O1404" s="145"/>
      <c r="AX1404" s="141"/>
      <c r="AY1404" s="141"/>
      <c r="BE1404"/>
      <c r="BF1404" s="2"/>
      <c r="BU1404" s="144"/>
      <c r="CN1404"/>
      <c r="CO1404"/>
      <c r="CP1404"/>
      <c r="CQ1404"/>
      <c r="CR1404"/>
      <c r="CS1404"/>
      <c r="CT1404"/>
      <c r="CU1404"/>
      <c r="CV1404" s="2"/>
      <c r="CX1404"/>
      <c r="DC1404"/>
      <c r="DI1404"/>
      <c r="DJ1404"/>
      <c r="DK1404"/>
      <c r="DL1404"/>
      <c r="DM1404"/>
      <c r="DN1404"/>
      <c r="DT1404"/>
      <c r="DU1404" s="143"/>
      <c r="EA1404" s="143"/>
      <c r="ER1404" s="149"/>
    </row>
    <row r="1405" spans="15:148" ht="15" hidden="1" customHeight="1">
      <c r="O1405" s="145"/>
      <c r="AX1405" s="141"/>
      <c r="AY1405" s="141"/>
      <c r="BE1405"/>
      <c r="BF1405" s="2"/>
      <c r="BU1405" s="144"/>
      <c r="CN1405"/>
      <c r="CO1405"/>
      <c r="CP1405"/>
      <c r="CQ1405"/>
      <c r="CR1405"/>
      <c r="CS1405"/>
      <c r="CT1405"/>
      <c r="CU1405"/>
      <c r="CV1405" s="2"/>
      <c r="CX1405"/>
      <c r="DC1405"/>
      <c r="DI1405"/>
      <c r="DJ1405"/>
      <c r="DK1405"/>
      <c r="DL1405"/>
      <c r="DM1405"/>
      <c r="DN1405"/>
      <c r="DT1405"/>
      <c r="DU1405" s="143"/>
      <c r="EA1405" s="143"/>
      <c r="ER1405" s="149"/>
    </row>
    <row r="1406" spans="15:148" ht="15" hidden="1" customHeight="1">
      <c r="O1406" s="145"/>
      <c r="AX1406" s="141"/>
      <c r="AY1406" s="141"/>
      <c r="BE1406"/>
      <c r="BF1406" s="2"/>
      <c r="BU1406" s="144"/>
      <c r="CN1406"/>
      <c r="CO1406"/>
      <c r="CP1406"/>
      <c r="CQ1406"/>
      <c r="CR1406"/>
      <c r="CS1406"/>
      <c r="CT1406"/>
      <c r="CU1406"/>
      <c r="CV1406" s="2"/>
      <c r="CX1406"/>
      <c r="DC1406"/>
      <c r="DI1406"/>
      <c r="DJ1406"/>
      <c r="DK1406"/>
      <c r="DL1406"/>
      <c r="DM1406"/>
      <c r="DN1406"/>
      <c r="DT1406"/>
      <c r="DU1406" s="143"/>
      <c r="EA1406" s="143"/>
      <c r="ER1406" s="149"/>
    </row>
    <row r="1407" spans="15:148" ht="15" hidden="1" customHeight="1">
      <c r="O1407" s="145"/>
      <c r="AX1407" s="141"/>
      <c r="AY1407" s="141"/>
      <c r="BE1407"/>
      <c r="BF1407" s="2"/>
      <c r="BU1407" s="144"/>
      <c r="CN1407"/>
      <c r="CO1407"/>
      <c r="CP1407"/>
      <c r="CQ1407"/>
      <c r="CR1407"/>
      <c r="CS1407"/>
      <c r="CT1407"/>
      <c r="CU1407"/>
      <c r="CV1407" s="2"/>
      <c r="CX1407"/>
      <c r="DC1407"/>
      <c r="DI1407"/>
      <c r="DJ1407"/>
      <c r="DK1407"/>
      <c r="DL1407"/>
      <c r="DM1407"/>
      <c r="DN1407"/>
      <c r="DT1407"/>
      <c r="DU1407" s="143"/>
      <c r="EA1407" s="143"/>
      <c r="ER1407" s="149"/>
    </row>
    <row r="1408" spans="15:148" ht="15" hidden="1" customHeight="1">
      <c r="O1408" s="145"/>
      <c r="AX1408" s="141"/>
      <c r="AY1408" s="141"/>
      <c r="BE1408"/>
      <c r="BF1408" s="2"/>
      <c r="BU1408" s="144"/>
      <c r="CN1408"/>
      <c r="CO1408"/>
      <c r="CP1408"/>
      <c r="CQ1408"/>
      <c r="CR1408"/>
      <c r="CS1408"/>
      <c r="CT1408"/>
      <c r="CU1408"/>
      <c r="CV1408" s="2"/>
      <c r="CX1408"/>
      <c r="DC1408"/>
      <c r="DI1408"/>
      <c r="DJ1408"/>
      <c r="DK1408"/>
      <c r="DL1408"/>
      <c r="DM1408"/>
      <c r="DN1408"/>
      <c r="DT1408"/>
      <c r="DU1408" s="143"/>
      <c r="EA1408" s="143"/>
      <c r="ER1408" s="149"/>
    </row>
    <row r="1409" spans="15:148" ht="15" hidden="1" customHeight="1">
      <c r="O1409" s="145"/>
      <c r="AX1409" s="141"/>
      <c r="AY1409" s="141"/>
      <c r="BE1409"/>
      <c r="BF1409" s="2"/>
      <c r="BU1409" s="144"/>
      <c r="CN1409"/>
      <c r="CO1409"/>
      <c r="CP1409"/>
      <c r="CQ1409"/>
      <c r="CR1409"/>
      <c r="CS1409"/>
      <c r="CT1409"/>
      <c r="CU1409"/>
      <c r="CV1409" s="2"/>
      <c r="CX1409"/>
      <c r="DC1409"/>
      <c r="DI1409"/>
      <c r="DJ1409"/>
      <c r="DK1409"/>
      <c r="DL1409"/>
      <c r="DM1409"/>
      <c r="DN1409"/>
      <c r="DT1409"/>
      <c r="DU1409" s="143"/>
      <c r="EA1409" s="143"/>
      <c r="ER1409" s="149"/>
    </row>
    <row r="1410" spans="15:148" ht="15" hidden="1" customHeight="1">
      <c r="O1410" s="145"/>
      <c r="AX1410" s="141"/>
      <c r="AY1410" s="141"/>
      <c r="BE1410"/>
      <c r="BF1410" s="2"/>
      <c r="BU1410" s="144"/>
      <c r="CN1410"/>
      <c r="CO1410"/>
      <c r="CP1410"/>
      <c r="CQ1410"/>
      <c r="CR1410"/>
      <c r="CS1410"/>
      <c r="CT1410"/>
      <c r="CU1410"/>
      <c r="CV1410" s="2"/>
      <c r="CX1410"/>
      <c r="DC1410"/>
      <c r="DI1410"/>
      <c r="DJ1410"/>
      <c r="DK1410"/>
      <c r="DL1410"/>
      <c r="DM1410"/>
      <c r="DN1410"/>
      <c r="DT1410"/>
      <c r="DU1410" s="143"/>
      <c r="EA1410" s="143"/>
      <c r="ER1410" s="149"/>
    </row>
    <row r="1411" spans="15:148" ht="15" hidden="1" customHeight="1">
      <c r="O1411" s="145"/>
      <c r="AX1411" s="141"/>
      <c r="AY1411" s="141"/>
      <c r="BE1411"/>
      <c r="BF1411" s="2"/>
      <c r="BU1411" s="144"/>
      <c r="CN1411"/>
      <c r="CO1411"/>
      <c r="CP1411"/>
      <c r="CQ1411"/>
      <c r="CR1411"/>
      <c r="CS1411"/>
      <c r="CT1411"/>
      <c r="CU1411"/>
      <c r="CV1411" s="2"/>
      <c r="CX1411"/>
      <c r="DC1411"/>
      <c r="DI1411"/>
      <c r="DJ1411"/>
      <c r="DK1411"/>
      <c r="DL1411"/>
      <c r="DM1411"/>
      <c r="DN1411"/>
      <c r="DT1411"/>
      <c r="DU1411" s="143"/>
      <c r="EA1411" s="143"/>
      <c r="ER1411" s="149"/>
    </row>
    <row r="1412" spans="15:148" ht="15" hidden="1" customHeight="1">
      <c r="O1412" s="145"/>
      <c r="AX1412" s="141"/>
      <c r="AY1412" s="141"/>
      <c r="BE1412"/>
      <c r="BF1412" s="2"/>
      <c r="BU1412" s="144"/>
      <c r="CN1412"/>
      <c r="CO1412"/>
      <c r="CP1412"/>
      <c r="CQ1412"/>
      <c r="CR1412"/>
      <c r="CS1412"/>
      <c r="CT1412"/>
      <c r="CU1412"/>
      <c r="CV1412" s="2"/>
      <c r="CX1412"/>
      <c r="DC1412"/>
      <c r="DI1412"/>
      <c r="DJ1412"/>
      <c r="DK1412"/>
      <c r="DL1412"/>
      <c r="DM1412"/>
      <c r="DN1412"/>
      <c r="DT1412"/>
      <c r="DU1412" s="143"/>
      <c r="EA1412" s="143"/>
      <c r="ER1412" s="149"/>
    </row>
    <row r="1413" spans="15:148" ht="15" hidden="1" customHeight="1">
      <c r="O1413" s="145"/>
      <c r="AX1413" s="141"/>
      <c r="AY1413" s="141"/>
      <c r="BE1413"/>
      <c r="BF1413" s="2"/>
      <c r="BU1413" s="144"/>
      <c r="CN1413"/>
      <c r="CO1413"/>
      <c r="CP1413"/>
      <c r="CQ1413"/>
      <c r="CR1413"/>
      <c r="CS1413"/>
      <c r="CT1413"/>
      <c r="CU1413"/>
      <c r="CV1413" s="2"/>
      <c r="CX1413"/>
      <c r="DC1413"/>
      <c r="DI1413"/>
      <c r="DJ1413"/>
      <c r="DK1413"/>
      <c r="DL1413"/>
      <c r="DM1413"/>
      <c r="DN1413"/>
      <c r="DT1413"/>
      <c r="DU1413" s="143"/>
      <c r="EA1413" s="143"/>
      <c r="ER1413" s="149"/>
    </row>
    <row r="1414" spans="15:148" ht="15" hidden="1" customHeight="1">
      <c r="O1414" s="145"/>
      <c r="AX1414" s="141"/>
      <c r="AY1414" s="141"/>
      <c r="BE1414"/>
      <c r="BF1414" s="2"/>
      <c r="BU1414" s="144"/>
      <c r="CN1414"/>
      <c r="CO1414"/>
      <c r="CP1414"/>
      <c r="CQ1414"/>
      <c r="CR1414"/>
      <c r="CS1414"/>
      <c r="CT1414"/>
      <c r="CU1414"/>
      <c r="CV1414" s="2"/>
      <c r="CX1414"/>
      <c r="DC1414"/>
      <c r="DI1414"/>
      <c r="DJ1414"/>
      <c r="DK1414"/>
      <c r="DL1414"/>
      <c r="DM1414"/>
      <c r="DN1414"/>
      <c r="DT1414"/>
      <c r="DU1414" s="143"/>
      <c r="EA1414" s="143"/>
      <c r="ER1414" s="149"/>
    </row>
    <row r="1415" spans="15:148" ht="15" hidden="1" customHeight="1">
      <c r="O1415" s="145"/>
      <c r="AX1415" s="141"/>
      <c r="AY1415" s="141"/>
      <c r="BE1415"/>
      <c r="BF1415" s="2"/>
      <c r="BU1415" s="144"/>
      <c r="CN1415"/>
      <c r="CO1415"/>
      <c r="CP1415"/>
      <c r="CQ1415"/>
      <c r="CR1415"/>
      <c r="CS1415"/>
      <c r="CT1415"/>
      <c r="CU1415"/>
      <c r="CV1415" s="2"/>
      <c r="CX1415"/>
      <c r="DC1415"/>
      <c r="DI1415"/>
      <c r="DJ1415"/>
      <c r="DK1415"/>
      <c r="DL1415"/>
      <c r="DM1415"/>
      <c r="DN1415"/>
      <c r="DT1415"/>
      <c r="DU1415" s="143"/>
      <c r="EA1415" s="143"/>
      <c r="ER1415" s="149"/>
    </row>
    <row r="1416" spans="15:148" ht="15" hidden="1" customHeight="1">
      <c r="O1416" s="145"/>
      <c r="AX1416" s="141"/>
      <c r="AY1416" s="141"/>
      <c r="BE1416"/>
      <c r="BF1416" s="2"/>
      <c r="BU1416" s="144"/>
      <c r="CN1416"/>
      <c r="CO1416"/>
      <c r="CP1416"/>
      <c r="CQ1416"/>
      <c r="CR1416"/>
      <c r="CS1416"/>
      <c r="CT1416"/>
      <c r="CU1416"/>
      <c r="CV1416" s="2"/>
      <c r="CX1416"/>
      <c r="DC1416"/>
      <c r="DI1416"/>
      <c r="DJ1416"/>
      <c r="DK1416"/>
      <c r="DL1416"/>
      <c r="DM1416"/>
      <c r="DN1416"/>
      <c r="DT1416"/>
      <c r="DU1416" s="143"/>
      <c r="EA1416" s="143"/>
      <c r="ER1416" s="149"/>
    </row>
    <row r="1417" spans="15:148" ht="15" hidden="1" customHeight="1">
      <c r="O1417" s="145"/>
      <c r="AX1417" s="141"/>
      <c r="AY1417" s="141"/>
      <c r="BE1417"/>
      <c r="BF1417" s="2"/>
      <c r="BU1417" s="144"/>
      <c r="CN1417"/>
      <c r="CO1417"/>
      <c r="CP1417"/>
      <c r="CQ1417"/>
      <c r="CR1417"/>
      <c r="CS1417"/>
      <c r="CT1417"/>
      <c r="CU1417"/>
      <c r="CV1417" s="2"/>
      <c r="CX1417"/>
      <c r="DC1417"/>
      <c r="DI1417"/>
      <c r="DJ1417"/>
      <c r="DK1417"/>
      <c r="DL1417"/>
      <c r="DM1417"/>
      <c r="DN1417"/>
      <c r="DT1417"/>
      <c r="DU1417" s="143"/>
      <c r="EA1417" s="143"/>
      <c r="ER1417" s="149"/>
    </row>
    <row r="1418" spans="15:148" ht="15" hidden="1" customHeight="1">
      <c r="O1418" s="145"/>
      <c r="AX1418" s="141"/>
      <c r="AY1418" s="141"/>
      <c r="BE1418"/>
      <c r="BF1418" s="2"/>
      <c r="BU1418" s="144"/>
      <c r="CN1418"/>
      <c r="CO1418"/>
      <c r="CP1418"/>
      <c r="CQ1418"/>
      <c r="CR1418"/>
      <c r="CS1418"/>
      <c r="CT1418"/>
      <c r="CU1418"/>
      <c r="CV1418" s="2"/>
      <c r="CX1418"/>
      <c r="DC1418"/>
      <c r="DI1418"/>
      <c r="DJ1418"/>
      <c r="DK1418"/>
      <c r="DL1418"/>
      <c r="DM1418"/>
      <c r="DN1418"/>
      <c r="DT1418"/>
      <c r="DU1418" s="143"/>
      <c r="EA1418" s="143"/>
      <c r="ER1418" s="149"/>
    </row>
    <row r="1419" spans="15:148" ht="15" hidden="1" customHeight="1">
      <c r="O1419" s="145"/>
      <c r="AX1419" s="141"/>
      <c r="AY1419" s="141"/>
      <c r="BE1419"/>
      <c r="BF1419" s="2"/>
      <c r="BU1419" s="144"/>
      <c r="CN1419"/>
      <c r="CO1419"/>
      <c r="CP1419"/>
      <c r="CQ1419"/>
      <c r="CR1419"/>
      <c r="CS1419"/>
      <c r="CT1419"/>
      <c r="CU1419"/>
      <c r="CV1419" s="2"/>
      <c r="CX1419"/>
      <c r="DC1419"/>
      <c r="DI1419"/>
      <c r="DJ1419"/>
      <c r="DK1419"/>
      <c r="DL1419"/>
      <c r="DM1419"/>
      <c r="DN1419"/>
      <c r="DT1419"/>
      <c r="DU1419" s="143"/>
      <c r="EA1419" s="143"/>
      <c r="ER1419" s="149"/>
    </row>
    <row r="1420" spans="15:148" ht="15" hidden="1" customHeight="1">
      <c r="O1420" s="145"/>
      <c r="AX1420" s="141"/>
      <c r="AY1420" s="141"/>
      <c r="BE1420"/>
      <c r="BF1420" s="2"/>
      <c r="BU1420" s="144"/>
      <c r="CN1420"/>
      <c r="CO1420"/>
      <c r="CP1420"/>
      <c r="CQ1420"/>
      <c r="CR1420"/>
      <c r="CS1420"/>
      <c r="CT1420"/>
      <c r="CU1420"/>
      <c r="CV1420" s="2"/>
      <c r="CX1420"/>
      <c r="DC1420"/>
      <c r="DI1420"/>
      <c r="DJ1420"/>
      <c r="DK1420"/>
      <c r="DL1420"/>
      <c r="DM1420"/>
      <c r="DN1420"/>
      <c r="DT1420"/>
      <c r="DU1420" s="143"/>
      <c r="EA1420" s="143"/>
      <c r="ER1420" s="149"/>
    </row>
    <row r="1421" spans="15:148" ht="15" hidden="1" customHeight="1">
      <c r="O1421" s="145"/>
      <c r="AX1421" s="141"/>
      <c r="AY1421" s="141"/>
      <c r="BE1421"/>
      <c r="BF1421" s="2"/>
      <c r="BU1421" s="144"/>
      <c r="CN1421"/>
      <c r="CO1421"/>
      <c r="CP1421"/>
      <c r="CQ1421"/>
      <c r="CR1421"/>
      <c r="CS1421"/>
      <c r="CT1421"/>
      <c r="CU1421"/>
      <c r="CV1421" s="2"/>
      <c r="CX1421"/>
      <c r="DC1421"/>
      <c r="DI1421"/>
      <c r="DJ1421"/>
      <c r="DK1421"/>
      <c r="DL1421"/>
      <c r="DM1421"/>
      <c r="DN1421"/>
      <c r="DT1421"/>
      <c r="DU1421" s="143"/>
      <c r="EA1421" s="143"/>
      <c r="ER1421" s="149"/>
    </row>
    <row r="1422" spans="15:148" ht="15" hidden="1" customHeight="1">
      <c r="O1422" s="145"/>
      <c r="AX1422" s="141"/>
      <c r="AY1422" s="141"/>
      <c r="BE1422"/>
      <c r="BF1422" s="2"/>
      <c r="BU1422" s="144"/>
      <c r="CN1422"/>
      <c r="CO1422"/>
      <c r="CP1422"/>
      <c r="CQ1422"/>
      <c r="CR1422"/>
      <c r="CS1422"/>
      <c r="CT1422"/>
      <c r="CU1422"/>
      <c r="CV1422" s="2"/>
      <c r="CX1422"/>
      <c r="DC1422"/>
      <c r="DI1422"/>
      <c r="DJ1422"/>
      <c r="DK1422"/>
      <c r="DL1422"/>
      <c r="DM1422"/>
      <c r="DN1422"/>
      <c r="DT1422"/>
      <c r="DU1422" s="143"/>
      <c r="EA1422" s="143"/>
      <c r="ER1422" s="149"/>
    </row>
    <row r="1423" spans="15:148" ht="15" hidden="1" customHeight="1">
      <c r="O1423" s="145"/>
      <c r="AX1423" s="141"/>
      <c r="AY1423" s="141"/>
      <c r="BE1423"/>
      <c r="BF1423" s="2"/>
      <c r="BU1423" s="144"/>
      <c r="CN1423"/>
      <c r="CO1423"/>
      <c r="CP1423"/>
      <c r="CQ1423"/>
      <c r="CR1423"/>
      <c r="CS1423"/>
      <c r="CT1423"/>
      <c r="CU1423"/>
      <c r="CV1423" s="2"/>
      <c r="CX1423"/>
      <c r="DC1423"/>
      <c r="DI1423"/>
      <c r="DJ1423"/>
      <c r="DK1423"/>
      <c r="DL1423"/>
      <c r="DM1423"/>
      <c r="DN1423"/>
      <c r="DT1423"/>
      <c r="DU1423" s="143"/>
      <c r="EA1423" s="143"/>
      <c r="ER1423" s="149"/>
    </row>
    <row r="1424" spans="15:148" ht="15" hidden="1" customHeight="1">
      <c r="O1424" s="145"/>
      <c r="AX1424" s="141"/>
      <c r="AY1424" s="141"/>
      <c r="BE1424"/>
      <c r="BF1424" s="2"/>
      <c r="BU1424" s="144"/>
      <c r="CN1424"/>
      <c r="CO1424"/>
      <c r="CP1424"/>
      <c r="CQ1424"/>
      <c r="CR1424"/>
      <c r="CS1424"/>
      <c r="CT1424"/>
      <c r="CU1424"/>
      <c r="CV1424" s="2"/>
      <c r="CX1424"/>
      <c r="DC1424"/>
      <c r="DI1424"/>
      <c r="DJ1424"/>
      <c r="DK1424"/>
      <c r="DL1424"/>
      <c r="DM1424"/>
      <c r="DN1424"/>
      <c r="DT1424"/>
      <c r="DU1424" s="143"/>
      <c r="EA1424" s="143"/>
      <c r="ER1424" s="149"/>
    </row>
    <row r="1425" spans="15:148" ht="15" hidden="1" customHeight="1">
      <c r="O1425" s="145"/>
      <c r="AX1425" s="141"/>
      <c r="AY1425" s="141"/>
      <c r="BE1425"/>
      <c r="BF1425" s="2"/>
      <c r="BU1425" s="144"/>
      <c r="CN1425"/>
      <c r="CO1425"/>
      <c r="CP1425"/>
      <c r="CQ1425"/>
      <c r="CR1425"/>
      <c r="CS1425"/>
      <c r="CT1425"/>
      <c r="CU1425"/>
      <c r="CV1425" s="2"/>
      <c r="CX1425"/>
      <c r="DC1425"/>
      <c r="DI1425"/>
      <c r="DJ1425"/>
      <c r="DK1425"/>
      <c r="DL1425"/>
      <c r="DM1425"/>
      <c r="DN1425"/>
      <c r="DT1425"/>
      <c r="DU1425" s="143"/>
      <c r="EA1425" s="143"/>
      <c r="ER1425" s="149"/>
    </row>
    <row r="1426" spans="15:148" ht="15" hidden="1" customHeight="1">
      <c r="O1426" s="145"/>
      <c r="AX1426" s="141"/>
      <c r="AY1426" s="141"/>
      <c r="BE1426"/>
      <c r="BF1426" s="2"/>
      <c r="BU1426" s="144"/>
      <c r="CN1426"/>
      <c r="CO1426"/>
      <c r="CP1426"/>
      <c r="CQ1426"/>
      <c r="CR1426"/>
      <c r="CS1426"/>
      <c r="CT1426"/>
      <c r="CU1426"/>
      <c r="CV1426" s="2"/>
      <c r="CX1426"/>
      <c r="DC1426"/>
      <c r="DI1426"/>
      <c r="DJ1426"/>
      <c r="DK1426"/>
      <c r="DL1426"/>
      <c r="DM1426"/>
      <c r="DN1426"/>
      <c r="DT1426"/>
      <c r="DU1426" s="143"/>
      <c r="EA1426" s="143"/>
      <c r="ER1426" s="149"/>
    </row>
    <row r="1427" spans="15:148" ht="15" hidden="1" customHeight="1">
      <c r="O1427" s="145"/>
      <c r="AX1427" s="141"/>
      <c r="AY1427" s="141"/>
      <c r="BE1427"/>
      <c r="BF1427" s="2"/>
      <c r="BU1427" s="144"/>
      <c r="CN1427"/>
      <c r="CO1427"/>
      <c r="CP1427"/>
      <c r="CQ1427"/>
      <c r="CR1427"/>
      <c r="CS1427"/>
      <c r="CT1427"/>
      <c r="CU1427"/>
      <c r="CV1427" s="2"/>
      <c r="CX1427"/>
      <c r="DC1427"/>
      <c r="DI1427"/>
      <c r="DJ1427"/>
      <c r="DK1427"/>
      <c r="DL1427"/>
      <c r="DM1427"/>
      <c r="DN1427"/>
      <c r="DT1427"/>
      <c r="DU1427" s="143"/>
      <c r="EA1427" s="143"/>
      <c r="ER1427" s="149"/>
    </row>
    <row r="1428" spans="15:148" ht="15" hidden="1" customHeight="1">
      <c r="O1428" s="145"/>
      <c r="AX1428" s="141"/>
      <c r="AY1428" s="141"/>
      <c r="BE1428"/>
      <c r="BF1428" s="2"/>
      <c r="BU1428" s="144"/>
      <c r="CN1428"/>
      <c r="CO1428"/>
      <c r="CP1428"/>
      <c r="CQ1428"/>
      <c r="CR1428"/>
      <c r="CS1428"/>
      <c r="CT1428"/>
      <c r="CU1428"/>
      <c r="CV1428" s="2"/>
      <c r="CX1428"/>
      <c r="DC1428"/>
      <c r="DI1428"/>
      <c r="DJ1428"/>
      <c r="DK1428"/>
      <c r="DL1428"/>
      <c r="DM1428"/>
      <c r="DN1428"/>
      <c r="DT1428"/>
      <c r="DU1428" s="143"/>
      <c r="EA1428" s="143"/>
      <c r="ER1428" s="149"/>
    </row>
    <row r="1429" spans="15:148" ht="15" hidden="1" customHeight="1">
      <c r="O1429" s="145"/>
      <c r="AX1429" s="141"/>
      <c r="AY1429" s="141"/>
      <c r="BE1429"/>
      <c r="BF1429" s="2"/>
      <c r="BU1429" s="144"/>
      <c r="CN1429"/>
      <c r="CO1429"/>
      <c r="CP1429"/>
      <c r="CQ1429"/>
      <c r="CR1429"/>
      <c r="CS1429"/>
      <c r="CT1429"/>
      <c r="CU1429"/>
      <c r="CV1429" s="2"/>
      <c r="CX1429"/>
      <c r="DC1429"/>
      <c r="DI1429"/>
      <c r="DJ1429"/>
      <c r="DK1429"/>
      <c r="DL1429"/>
      <c r="DM1429"/>
      <c r="DN1429"/>
      <c r="DT1429"/>
      <c r="DU1429" s="143"/>
      <c r="EA1429" s="143"/>
      <c r="ER1429" s="149"/>
    </row>
    <row r="1430" spans="15:148" ht="15" hidden="1" customHeight="1">
      <c r="O1430" s="145"/>
      <c r="AX1430" s="141"/>
      <c r="AY1430" s="141"/>
      <c r="BE1430"/>
      <c r="BF1430" s="2"/>
      <c r="BU1430" s="144"/>
      <c r="CN1430"/>
      <c r="CO1430"/>
      <c r="CP1430"/>
      <c r="CQ1430"/>
      <c r="CR1430"/>
      <c r="CS1430"/>
      <c r="CT1430"/>
      <c r="CU1430"/>
      <c r="CV1430" s="2"/>
      <c r="CX1430"/>
      <c r="DC1430"/>
      <c r="DI1430"/>
      <c r="DJ1430"/>
      <c r="DK1430"/>
      <c r="DL1430"/>
      <c r="DM1430"/>
      <c r="DN1430"/>
      <c r="DT1430"/>
      <c r="DU1430" s="143"/>
      <c r="EA1430" s="143"/>
      <c r="ER1430" s="149"/>
    </row>
    <row r="1431" spans="15:148" ht="15" hidden="1" customHeight="1">
      <c r="O1431" s="145"/>
      <c r="AX1431" s="141"/>
      <c r="AY1431" s="141"/>
      <c r="BE1431"/>
      <c r="BF1431" s="2"/>
      <c r="BU1431" s="144"/>
      <c r="CN1431"/>
      <c r="CO1431"/>
      <c r="CP1431"/>
      <c r="CQ1431"/>
      <c r="CR1431"/>
      <c r="CS1431"/>
      <c r="CT1431"/>
      <c r="CU1431"/>
      <c r="CV1431" s="2"/>
      <c r="CX1431"/>
      <c r="DC1431"/>
      <c r="DI1431"/>
      <c r="DJ1431"/>
      <c r="DK1431"/>
      <c r="DL1431"/>
      <c r="DM1431"/>
      <c r="DN1431"/>
      <c r="DT1431"/>
      <c r="DU1431" s="143"/>
      <c r="EA1431" s="143"/>
      <c r="ER1431" s="149"/>
    </row>
    <row r="1432" spans="15:148" ht="15" hidden="1" customHeight="1">
      <c r="O1432" s="145"/>
      <c r="AX1432" s="141"/>
      <c r="AY1432" s="141"/>
      <c r="BE1432"/>
      <c r="BF1432" s="2"/>
      <c r="BU1432" s="144"/>
      <c r="CN1432"/>
      <c r="CO1432"/>
      <c r="CP1432"/>
      <c r="CQ1432"/>
      <c r="CR1432"/>
      <c r="CS1432"/>
      <c r="CT1432"/>
      <c r="CU1432"/>
      <c r="CV1432" s="2"/>
      <c r="CX1432"/>
      <c r="DC1432"/>
      <c r="DI1432"/>
      <c r="DJ1432"/>
      <c r="DK1432"/>
      <c r="DL1432"/>
      <c r="DM1432"/>
      <c r="DN1432"/>
      <c r="DT1432"/>
      <c r="DU1432" s="143"/>
      <c r="EA1432" s="143"/>
      <c r="ER1432" s="149"/>
    </row>
    <row r="1433" spans="15:148" ht="15" hidden="1" customHeight="1">
      <c r="O1433" s="145"/>
      <c r="AX1433" s="141"/>
      <c r="AY1433" s="141"/>
      <c r="BE1433"/>
      <c r="BF1433" s="2"/>
      <c r="BU1433" s="144"/>
      <c r="CN1433"/>
      <c r="CO1433"/>
      <c r="CP1433"/>
      <c r="CQ1433"/>
      <c r="CR1433"/>
      <c r="CS1433"/>
      <c r="CT1433"/>
      <c r="CU1433"/>
      <c r="CV1433" s="2"/>
      <c r="CX1433"/>
      <c r="DC1433"/>
      <c r="DI1433"/>
      <c r="DJ1433"/>
      <c r="DK1433"/>
      <c r="DL1433"/>
      <c r="DM1433"/>
      <c r="DN1433"/>
      <c r="DT1433"/>
      <c r="DU1433" s="143"/>
      <c r="EA1433" s="143"/>
      <c r="ER1433" s="149"/>
    </row>
    <row r="1434" spans="15:148" ht="15" hidden="1" customHeight="1">
      <c r="O1434" s="145"/>
      <c r="AX1434" s="141"/>
      <c r="AY1434" s="141"/>
      <c r="BE1434"/>
      <c r="BF1434" s="2"/>
      <c r="BU1434" s="144"/>
      <c r="CN1434"/>
      <c r="CO1434"/>
      <c r="CP1434"/>
      <c r="CQ1434"/>
      <c r="CR1434"/>
      <c r="CS1434"/>
      <c r="CT1434"/>
      <c r="CU1434"/>
      <c r="CV1434" s="2"/>
      <c r="CX1434"/>
      <c r="DC1434"/>
      <c r="DI1434"/>
      <c r="DJ1434"/>
      <c r="DK1434"/>
      <c r="DL1434"/>
      <c r="DM1434"/>
      <c r="DN1434"/>
      <c r="DT1434"/>
      <c r="DU1434" s="143"/>
      <c r="EA1434" s="143"/>
      <c r="ER1434" s="149"/>
    </row>
    <row r="1435" spans="15:148" ht="15" hidden="1" customHeight="1">
      <c r="O1435" s="145"/>
      <c r="AX1435" s="141"/>
      <c r="AY1435" s="141"/>
      <c r="BE1435"/>
      <c r="BF1435" s="2"/>
      <c r="BU1435" s="144"/>
      <c r="CN1435"/>
      <c r="CO1435"/>
      <c r="CP1435"/>
      <c r="CQ1435"/>
      <c r="CR1435"/>
      <c r="CS1435"/>
      <c r="CT1435"/>
      <c r="CU1435"/>
      <c r="CV1435" s="2"/>
      <c r="CX1435"/>
      <c r="DC1435"/>
      <c r="DI1435"/>
      <c r="DJ1435"/>
      <c r="DK1435"/>
      <c r="DL1435"/>
      <c r="DM1435"/>
      <c r="DN1435"/>
      <c r="DT1435"/>
      <c r="DU1435" s="143"/>
      <c r="EA1435" s="143"/>
      <c r="ER1435" s="149"/>
    </row>
    <row r="1436" spans="15:148" ht="15" hidden="1" customHeight="1">
      <c r="O1436" s="145"/>
      <c r="AX1436" s="141"/>
      <c r="AY1436" s="141"/>
      <c r="BE1436"/>
      <c r="BF1436" s="2"/>
      <c r="BU1436" s="144"/>
      <c r="CN1436"/>
      <c r="CO1436"/>
      <c r="CP1436"/>
      <c r="CQ1436"/>
      <c r="CR1436"/>
      <c r="CS1436"/>
      <c r="CT1436"/>
      <c r="CU1436"/>
      <c r="CV1436" s="2"/>
      <c r="CX1436"/>
      <c r="DC1436"/>
      <c r="DI1436"/>
      <c r="DJ1436"/>
      <c r="DK1436"/>
      <c r="DL1436"/>
      <c r="DM1436"/>
      <c r="DN1436"/>
      <c r="DT1436"/>
      <c r="DU1436" s="143"/>
      <c r="EA1436" s="143"/>
      <c r="ER1436" s="149"/>
    </row>
    <row r="1437" spans="15:148" ht="15" hidden="1" customHeight="1">
      <c r="O1437" s="145"/>
      <c r="AX1437" s="141"/>
      <c r="AY1437" s="141"/>
      <c r="BE1437"/>
      <c r="BF1437" s="2"/>
      <c r="BU1437" s="144"/>
      <c r="CN1437"/>
      <c r="CO1437"/>
      <c r="CP1437"/>
      <c r="CQ1437"/>
      <c r="CR1437"/>
      <c r="CS1437"/>
      <c r="CT1437"/>
      <c r="CU1437"/>
      <c r="CV1437" s="2"/>
      <c r="CX1437"/>
      <c r="DC1437"/>
      <c r="DI1437"/>
      <c r="DJ1437"/>
      <c r="DK1437"/>
      <c r="DL1437"/>
      <c r="DM1437"/>
      <c r="DN1437"/>
      <c r="DT1437"/>
      <c r="DU1437" s="143"/>
      <c r="EA1437" s="143"/>
      <c r="ER1437" s="149"/>
    </row>
    <row r="1438" spans="15:148" ht="15" hidden="1" customHeight="1">
      <c r="O1438" s="145"/>
      <c r="AX1438" s="141"/>
      <c r="AY1438" s="141"/>
      <c r="BE1438"/>
      <c r="BF1438" s="2"/>
      <c r="BU1438" s="144"/>
      <c r="CN1438"/>
      <c r="CO1438"/>
      <c r="CP1438"/>
      <c r="CQ1438"/>
      <c r="CR1438"/>
      <c r="CS1438"/>
      <c r="CT1438"/>
      <c r="CU1438"/>
      <c r="CV1438" s="2"/>
      <c r="CX1438"/>
      <c r="DC1438"/>
      <c r="DI1438"/>
      <c r="DJ1438"/>
      <c r="DK1438"/>
      <c r="DL1438"/>
      <c r="DM1438"/>
      <c r="DN1438"/>
      <c r="DT1438"/>
      <c r="DU1438" s="143"/>
      <c r="EA1438" s="143"/>
      <c r="ER1438" s="149"/>
    </row>
    <row r="1439" spans="15:148" ht="15" hidden="1" customHeight="1">
      <c r="O1439" s="145"/>
      <c r="AX1439" s="141"/>
      <c r="AY1439" s="141"/>
      <c r="BE1439"/>
      <c r="BF1439" s="2"/>
      <c r="BU1439" s="144"/>
      <c r="CN1439"/>
      <c r="CO1439"/>
      <c r="CP1439"/>
      <c r="CQ1439"/>
      <c r="CR1439"/>
      <c r="CS1439"/>
      <c r="CT1439"/>
      <c r="CU1439"/>
      <c r="CV1439" s="2"/>
      <c r="CX1439"/>
      <c r="DC1439"/>
      <c r="DI1439"/>
      <c r="DJ1439"/>
      <c r="DK1439"/>
      <c r="DL1439"/>
      <c r="DM1439"/>
      <c r="DN1439"/>
      <c r="DT1439"/>
      <c r="DU1439" s="143"/>
      <c r="EA1439" s="143"/>
      <c r="ER1439" s="149"/>
    </row>
    <row r="1440" spans="15:148" ht="15" hidden="1" customHeight="1">
      <c r="O1440" s="145"/>
      <c r="AX1440" s="141"/>
      <c r="AY1440" s="141"/>
      <c r="BE1440"/>
      <c r="BF1440" s="2"/>
      <c r="BU1440" s="144"/>
      <c r="CN1440"/>
      <c r="CO1440"/>
      <c r="CP1440"/>
      <c r="CQ1440"/>
      <c r="CR1440"/>
      <c r="CS1440"/>
      <c r="CT1440"/>
      <c r="CU1440"/>
      <c r="CV1440" s="2"/>
      <c r="CX1440"/>
      <c r="DC1440"/>
      <c r="DI1440"/>
      <c r="DJ1440"/>
      <c r="DK1440"/>
      <c r="DL1440"/>
      <c r="DM1440"/>
      <c r="DN1440"/>
      <c r="DT1440"/>
      <c r="DU1440" s="143"/>
      <c r="EA1440" s="143"/>
      <c r="ER1440" s="149"/>
    </row>
    <row r="1441" spans="15:148" ht="15" hidden="1" customHeight="1">
      <c r="O1441" s="145"/>
      <c r="AX1441" s="141"/>
      <c r="AY1441" s="141"/>
      <c r="BE1441"/>
      <c r="BF1441" s="2"/>
      <c r="BU1441" s="144"/>
      <c r="CN1441"/>
      <c r="CO1441"/>
      <c r="CP1441"/>
      <c r="CQ1441"/>
      <c r="CR1441"/>
      <c r="CS1441"/>
      <c r="CT1441"/>
      <c r="CU1441"/>
      <c r="CV1441" s="2"/>
      <c r="CX1441"/>
      <c r="DC1441"/>
      <c r="DI1441"/>
      <c r="DJ1441"/>
      <c r="DK1441"/>
      <c r="DL1441"/>
      <c r="DM1441"/>
      <c r="DN1441"/>
      <c r="DT1441"/>
      <c r="DU1441" s="143"/>
      <c r="EA1441" s="143"/>
      <c r="ER1441" s="149"/>
    </row>
    <row r="1442" spans="15:148" ht="15" hidden="1" customHeight="1">
      <c r="O1442" s="145"/>
      <c r="AX1442" s="141"/>
      <c r="AY1442" s="141"/>
      <c r="BE1442"/>
      <c r="BF1442" s="2"/>
      <c r="BU1442" s="144"/>
      <c r="CN1442"/>
      <c r="CO1442"/>
      <c r="CP1442"/>
      <c r="CQ1442"/>
      <c r="CR1442"/>
      <c r="CS1442"/>
      <c r="CT1442"/>
      <c r="CU1442"/>
      <c r="CV1442" s="2"/>
      <c r="CX1442"/>
      <c r="DC1442"/>
      <c r="DI1442"/>
      <c r="DJ1442"/>
      <c r="DK1442"/>
      <c r="DL1442"/>
      <c r="DM1442"/>
      <c r="DN1442"/>
      <c r="DT1442"/>
      <c r="DU1442" s="143"/>
      <c r="EA1442" s="143"/>
      <c r="ER1442" s="149"/>
    </row>
    <row r="1443" spans="15:148" ht="15" hidden="1" customHeight="1">
      <c r="O1443" s="145"/>
      <c r="AX1443" s="141"/>
      <c r="AY1443" s="141"/>
      <c r="BE1443"/>
      <c r="BF1443" s="2"/>
      <c r="BU1443" s="144"/>
      <c r="CN1443"/>
      <c r="CO1443"/>
      <c r="CP1443"/>
      <c r="CQ1443"/>
      <c r="CR1443"/>
      <c r="CS1443"/>
      <c r="CT1443"/>
      <c r="CU1443"/>
      <c r="CV1443" s="2"/>
      <c r="CX1443"/>
      <c r="DC1443"/>
      <c r="DI1443"/>
      <c r="DJ1443"/>
      <c r="DK1443"/>
      <c r="DL1443"/>
      <c r="DM1443"/>
      <c r="DN1443"/>
      <c r="DT1443"/>
      <c r="DU1443" s="143"/>
      <c r="EA1443" s="143"/>
      <c r="ER1443" s="149"/>
    </row>
    <row r="1444" spans="15:148" ht="15" hidden="1" customHeight="1">
      <c r="O1444" s="145"/>
      <c r="AX1444" s="141"/>
      <c r="AY1444" s="141"/>
      <c r="BE1444"/>
      <c r="BF1444" s="2"/>
      <c r="BU1444" s="144"/>
      <c r="CN1444"/>
      <c r="CO1444"/>
      <c r="CP1444"/>
      <c r="CQ1444"/>
      <c r="CR1444"/>
      <c r="CS1444"/>
      <c r="CT1444"/>
      <c r="CU1444"/>
      <c r="CV1444" s="2"/>
      <c r="CX1444"/>
      <c r="DC1444"/>
      <c r="DI1444"/>
      <c r="DJ1444"/>
      <c r="DK1444"/>
      <c r="DL1444"/>
      <c r="DM1444"/>
      <c r="DN1444"/>
      <c r="DT1444"/>
      <c r="DU1444" s="143"/>
      <c r="EA1444" s="143"/>
      <c r="ER1444" s="149"/>
    </row>
    <row r="1445" spans="15:148" ht="15" hidden="1" customHeight="1">
      <c r="O1445" s="145"/>
      <c r="AX1445" s="141"/>
      <c r="AY1445" s="141"/>
      <c r="BE1445"/>
      <c r="BF1445" s="2"/>
      <c r="BU1445" s="144"/>
      <c r="CN1445"/>
      <c r="CO1445"/>
      <c r="CP1445"/>
      <c r="CQ1445"/>
      <c r="CR1445"/>
      <c r="CS1445"/>
      <c r="CT1445"/>
      <c r="CU1445"/>
      <c r="CV1445" s="2"/>
      <c r="CX1445"/>
      <c r="DC1445"/>
      <c r="DI1445"/>
      <c r="DJ1445"/>
      <c r="DK1445"/>
      <c r="DL1445"/>
      <c r="DM1445"/>
      <c r="DN1445"/>
      <c r="DT1445"/>
      <c r="DU1445" s="143"/>
      <c r="EA1445" s="143"/>
      <c r="ER1445" s="149"/>
    </row>
    <row r="1446" spans="15:148" ht="15" hidden="1" customHeight="1">
      <c r="O1446" s="145"/>
      <c r="AX1446" s="141"/>
      <c r="AY1446" s="141"/>
      <c r="BE1446"/>
      <c r="BF1446" s="2"/>
      <c r="BU1446" s="144"/>
      <c r="CN1446"/>
      <c r="CO1446"/>
      <c r="CP1446"/>
      <c r="CQ1446"/>
      <c r="CR1446"/>
      <c r="CS1446"/>
      <c r="CT1446"/>
      <c r="CU1446"/>
      <c r="CV1446" s="2"/>
      <c r="CX1446"/>
      <c r="DC1446"/>
      <c r="DI1446"/>
      <c r="DJ1446"/>
      <c r="DK1446"/>
      <c r="DL1446"/>
      <c r="DM1446"/>
      <c r="DN1446"/>
      <c r="DT1446"/>
      <c r="DU1446" s="143"/>
      <c r="EA1446" s="143"/>
      <c r="ER1446" s="149"/>
    </row>
    <row r="1447" spans="15:148" ht="15" hidden="1" customHeight="1">
      <c r="O1447" s="145"/>
      <c r="AX1447" s="141"/>
      <c r="AY1447" s="141"/>
      <c r="BE1447"/>
      <c r="BF1447" s="2"/>
      <c r="BU1447" s="144"/>
      <c r="CN1447"/>
      <c r="CO1447"/>
      <c r="CP1447"/>
      <c r="CQ1447"/>
      <c r="CR1447"/>
      <c r="CS1447"/>
      <c r="CT1447"/>
      <c r="CU1447"/>
      <c r="CV1447" s="2"/>
      <c r="CX1447"/>
      <c r="DC1447"/>
      <c r="DI1447"/>
      <c r="DJ1447"/>
      <c r="DK1447"/>
      <c r="DL1447"/>
      <c r="DM1447"/>
      <c r="DN1447"/>
      <c r="DT1447"/>
      <c r="DU1447" s="143"/>
      <c r="EA1447" s="143"/>
      <c r="ER1447" s="149"/>
    </row>
    <row r="1448" spans="15:148" ht="15" hidden="1" customHeight="1">
      <c r="O1448" s="145"/>
      <c r="AX1448" s="141"/>
      <c r="AY1448" s="141"/>
      <c r="BE1448"/>
      <c r="BF1448" s="2"/>
      <c r="BU1448" s="144"/>
      <c r="CN1448"/>
      <c r="CO1448"/>
      <c r="CP1448"/>
      <c r="CQ1448"/>
      <c r="CR1448"/>
      <c r="CS1448"/>
      <c r="CT1448"/>
      <c r="CU1448"/>
      <c r="CV1448" s="2"/>
      <c r="CX1448"/>
      <c r="DC1448"/>
      <c r="DI1448"/>
      <c r="DJ1448"/>
      <c r="DK1448"/>
      <c r="DL1448"/>
      <c r="DM1448"/>
      <c r="DN1448"/>
      <c r="DT1448"/>
      <c r="DU1448" s="143"/>
      <c r="EA1448" s="143"/>
      <c r="ER1448" s="149"/>
    </row>
    <row r="1449" spans="15:148" ht="15" hidden="1" customHeight="1">
      <c r="O1449" s="145"/>
      <c r="AX1449" s="141"/>
      <c r="AY1449" s="141"/>
      <c r="BE1449"/>
      <c r="BF1449" s="2"/>
      <c r="BU1449" s="144"/>
      <c r="CN1449"/>
      <c r="CO1449"/>
      <c r="CP1449"/>
      <c r="CQ1449"/>
      <c r="CR1449"/>
      <c r="CS1449"/>
      <c r="CT1449"/>
      <c r="CU1449"/>
      <c r="CV1449" s="2"/>
      <c r="CX1449"/>
      <c r="DC1449"/>
      <c r="DI1449"/>
      <c r="DJ1449"/>
      <c r="DK1449"/>
      <c r="DL1449"/>
      <c r="DM1449"/>
      <c r="DN1449"/>
      <c r="DT1449"/>
      <c r="DU1449" s="143"/>
      <c r="EA1449" s="143"/>
      <c r="ER1449" s="149"/>
    </row>
    <row r="1450" spans="15:148" ht="15" hidden="1" customHeight="1">
      <c r="O1450" s="145"/>
      <c r="AX1450" s="141"/>
      <c r="AY1450" s="141"/>
      <c r="BE1450"/>
      <c r="BF1450" s="2"/>
      <c r="BU1450" s="144"/>
      <c r="CN1450"/>
      <c r="CO1450"/>
      <c r="CP1450"/>
      <c r="CQ1450"/>
      <c r="CR1450"/>
      <c r="CS1450"/>
      <c r="CT1450"/>
      <c r="CU1450"/>
      <c r="CV1450" s="2"/>
      <c r="CX1450"/>
      <c r="DC1450"/>
      <c r="DI1450"/>
      <c r="DJ1450"/>
      <c r="DK1450"/>
      <c r="DL1450"/>
      <c r="DM1450"/>
      <c r="DN1450"/>
      <c r="DT1450"/>
      <c r="DU1450" s="143"/>
      <c r="EA1450" s="143"/>
      <c r="ER1450" s="149"/>
    </row>
    <row r="1451" spans="15:148" ht="15" hidden="1" customHeight="1">
      <c r="O1451" s="145"/>
      <c r="AX1451" s="141"/>
      <c r="AY1451" s="141"/>
      <c r="BE1451"/>
      <c r="BF1451" s="2"/>
      <c r="BU1451" s="144"/>
      <c r="CN1451"/>
      <c r="CO1451"/>
      <c r="CP1451"/>
      <c r="CQ1451"/>
      <c r="CR1451"/>
      <c r="CS1451"/>
      <c r="CT1451"/>
      <c r="CU1451"/>
      <c r="CV1451" s="2"/>
      <c r="CX1451"/>
      <c r="DC1451"/>
      <c r="DI1451"/>
      <c r="DJ1451"/>
      <c r="DK1451"/>
      <c r="DL1451"/>
      <c r="DM1451"/>
      <c r="DN1451"/>
      <c r="DT1451"/>
      <c r="DU1451" s="143"/>
      <c r="EA1451" s="143"/>
      <c r="ER1451" s="149"/>
    </row>
    <row r="1452" spans="15:148" ht="15" hidden="1" customHeight="1">
      <c r="O1452" s="145"/>
      <c r="AX1452" s="141"/>
      <c r="AY1452" s="141"/>
      <c r="BE1452"/>
      <c r="BF1452" s="2"/>
      <c r="BU1452" s="144"/>
      <c r="CN1452"/>
      <c r="CO1452"/>
      <c r="CP1452"/>
      <c r="CQ1452"/>
      <c r="CR1452"/>
      <c r="CS1452"/>
      <c r="CT1452"/>
      <c r="CU1452"/>
      <c r="CV1452" s="2"/>
      <c r="CX1452"/>
      <c r="DC1452"/>
      <c r="DI1452"/>
      <c r="DJ1452"/>
      <c r="DK1452"/>
      <c r="DL1452"/>
      <c r="DM1452"/>
      <c r="DN1452"/>
      <c r="DT1452"/>
      <c r="DU1452" s="143"/>
      <c r="EA1452" s="143"/>
      <c r="ER1452" s="149"/>
    </row>
    <row r="1453" spans="15:148" ht="15" hidden="1" customHeight="1">
      <c r="O1453" s="145"/>
      <c r="AX1453" s="141"/>
      <c r="AY1453" s="141"/>
      <c r="BE1453"/>
      <c r="BF1453" s="2"/>
      <c r="BU1453" s="144"/>
      <c r="CN1453"/>
      <c r="CO1453"/>
      <c r="CP1453"/>
      <c r="CQ1453"/>
      <c r="CR1453"/>
      <c r="CS1453"/>
      <c r="CT1453"/>
      <c r="CU1453"/>
      <c r="CV1453" s="2"/>
      <c r="CX1453"/>
      <c r="DC1453"/>
      <c r="DI1453"/>
      <c r="DJ1453"/>
      <c r="DK1453"/>
      <c r="DL1453"/>
      <c r="DM1453"/>
      <c r="DN1453"/>
      <c r="DT1453"/>
      <c r="DU1453" s="143"/>
      <c r="EA1453" s="143"/>
      <c r="ER1453" s="149"/>
    </row>
    <row r="1454" spans="15:148" ht="15" hidden="1" customHeight="1">
      <c r="O1454" s="145"/>
      <c r="AX1454" s="141"/>
      <c r="AY1454" s="141"/>
      <c r="BE1454"/>
      <c r="BF1454" s="2"/>
      <c r="BU1454" s="144"/>
      <c r="BX1454" s="144"/>
      <c r="CN1454"/>
      <c r="CO1454"/>
      <c r="CP1454"/>
      <c r="CQ1454"/>
      <c r="CR1454"/>
      <c r="CS1454"/>
      <c r="CT1454"/>
      <c r="CU1454"/>
      <c r="CV1454" s="2"/>
      <c r="CX1454"/>
      <c r="DC1454"/>
      <c r="DI1454"/>
      <c r="DJ1454"/>
      <c r="DK1454"/>
      <c r="DL1454"/>
      <c r="DM1454"/>
      <c r="DN1454"/>
      <c r="DT1454"/>
      <c r="DU1454" s="143"/>
      <c r="EA1454" s="143"/>
      <c r="ER1454" s="149"/>
    </row>
    <row r="1455" spans="15:148" ht="15" hidden="1" customHeight="1">
      <c r="O1455" s="145"/>
      <c r="AX1455" s="141"/>
      <c r="AY1455" s="141"/>
      <c r="BE1455"/>
      <c r="BF1455" s="2"/>
      <c r="BU1455" s="144"/>
      <c r="CN1455"/>
      <c r="CO1455"/>
      <c r="CP1455"/>
      <c r="CQ1455"/>
      <c r="CR1455"/>
      <c r="CS1455"/>
      <c r="CT1455"/>
      <c r="CU1455"/>
      <c r="CV1455" s="2"/>
      <c r="CX1455"/>
      <c r="DC1455"/>
      <c r="DI1455"/>
      <c r="DJ1455"/>
      <c r="DK1455"/>
      <c r="DL1455"/>
      <c r="DM1455"/>
      <c r="DN1455"/>
      <c r="DT1455"/>
      <c r="DU1455" s="143"/>
      <c r="EA1455" s="143"/>
      <c r="ER1455" s="149"/>
    </row>
    <row r="1456" spans="15:148" ht="15" hidden="1" customHeight="1">
      <c r="O1456" s="145"/>
      <c r="AX1456" s="141"/>
      <c r="AY1456" s="141"/>
      <c r="BE1456"/>
      <c r="BF1456" s="2"/>
      <c r="BU1456" s="144"/>
      <c r="CN1456"/>
      <c r="CO1456"/>
      <c r="CP1456"/>
      <c r="CQ1456"/>
      <c r="CR1456"/>
      <c r="CS1456"/>
      <c r="CT1456"/>
      <c r="CU1456"/>
      <c r="CV1456" s="2"/>
      <c r="CX1456"/>
      <c r="DC1456"/>
      <c r="DI1456"/>
      <c r="DJ1456"/>
      <c r="DK1456"/>
      <c r="DL1456"/>
      <c r="DM1456"/>
      <c r="DN1456"/>
      <c r="DT1456"/>
      <c r="DU1456" s="143"/>
    </row>
    <row r="1457" spans="15:148" ht="15" hidden="1" customHeight="1">
      <c r="O1457" s="145"/>
      <c r="AX1457" s="141"/>
      <c r="AY1457" s="141"/>
      <c r="BE1457"/>
      <c r="BF1457" s="2"/>
      <c r="BU1457" s="144"/>
      <c r="CN1457"/>
      <c r="CO1457"/>
      <c r="CP1457"/>
      <c r="CQ1457"/>
      <c r="CR1457"/>
      <c r="CS1457"/>
      <c r="CT1457"/>
      <c r="CU1457"/>
      <c r="CV1457" s="2"/>
      <c r="CX1457"/>
      <c r="DC1457"/>
      <c r="DI1457"/>
      <c r="DJ1457"/>
      <c r="DK1457"/>
      <c r="DL1457"/>
      <c r="DM1457"/>
      <c r="DN1457"/>
      <c r="DQ1457" s="263"/>
      <c r="DT1457"/>
      <c r="DU1457" s="143"/>
      <c r="EA1457" s="143"/>
    </row>
    <row r="1458" spans="15:148" ht="15" hidden="1" customHeight="1">
      <c r="O1458" s="145"/>
      <c r="AX1458" s="141"/>
      <c r="AY1458" s="141"/>
      <c r="BE1458"/>
      <c r="BF1458" s="2"/>
      <c r="BU1458" s="144"/>
      <c r="CN1458"/>
      <c r="CO1458"/>
      <c r="CP1458"/>
      <c r="CQ1458"/>
      <c r="CR1458"/>
      <c r="CS1458"/>
      <c r="CT1458"/>
      <c r="CU1458"/>
      <c r="CV1458" s="2"/>
      <c r="CX1458"/>
      <c r="DC1458"/>
      <c r="DI1458"/>
      <c r="DJ1458"/>
      <c r="DK1458"/>
      <c r="DL1458"/>
      <c r="DM1458"/>
      <c r="DN1458"/>
      <c r="DQ1458" s="263"/>
      <c r="DT1458"/>
      <c r="DU1458" s="143"/>
      <c r="EA1458" s="143"/>
    </row>
    <row r="1459" spans="15:148" ht="15" hidden="1" customHeight="1">
      <c r="O1459" s="145"/>
      <c r="AX1459" s="141"/>
      <c r="AY1459" s="141"/>
      <c r="BE1459"/>
      <c r="BF1459" s="2"/>
      <c r="BU1459" s="144"/>
      <c r="CN1459"/>
      <c r="CO1459"/>
      <c r="CP1459"/>
      <c r="CQ1459"/>
      <c r="CR1459"/>
      <c r="CS1459"/>
      <c r="CT1459"/>
      <c r="CU1459"/>
      <c r="CV1459" s="2"/>
      <c r="CX1459"/>
      <c r="DC1459"/>
      <c r="DI1459"/>
      <c r="DJ1459"/>
      <c r="DK1459"/>
      <c r="DL1459"/>
      <c r="DM1459"/>
      <c r="DN1459"/>
      <c r="DQ1459" s="263"/>
      <c r="DT1459"/>
      <c r="DU1459" s="143"/>
      <c r="EA1459" s="143"/>
    </row>
    <row r="1460" spans="15:148" ht="15" hidden="1" customHeight="1">
      <c r="O1460" s="145"/>
      <c r="AX1460" s="141"/>
      <c r="AY1460" s="141"/>
      <c r="BE1460"/>
      <c r="BF1460" s="2"/>
      <c r="BU1460" s="144"/>
      <c r="CN1460"/>
      <c r="CO1460"/>
      <c r="CP1460"/>
      <c r="CQ1460"/>
      <c r="CR1460"/>
      <c r="CS1460"/>
      <c r="CT1460"/>
      <c r="CU1460"/>
      <c r="CV1460" s="2"/>
      <c r="CX1460"/>
      <c r="DC1460"/>
      <c r="DI1460"/>
      <c r="DJ1460"/>
      <c r="DK1460"/>
      <c r="DL1460"/>
      <c r="DM1460"/>
      <c r="DN1460"/>
      <c r="DQ1460" s="263"/>
      <c r="DT1460"/>
      <c r="DU1460" s="143"/>
      <c r="EA1460" s="143"/>
    </row>
    <row r="1461" spans="15:148" ht="15" hidden="1" customHeight="1">
      <c r="O1461" s="145"/>
      <c r="AX1461" s="141"/>
      <c r="AY1461" s="141"/>
      <c r="BE1461"/>
      <c r="BF1461" s="2"/>
      <c r="BU1461" s="144"/>
      <c r="CN1461"/>
      <c r="CO1461"/>
      <c r="CP1461"/>
      <c r="CQ1461"/>
      <c r="CR1461"/>
      <c r="CS1461"/>
      <c r="CT1461"/>
      <c r="CU1461"/>
      <c r="CV1461" s="2"/>
      <c r="CX1461"/>
      <c r="DC1461"/>
      <c r="DI1461"/>
      <c r="DJ1461"/>
      <c r="DK1461"/>
      <c r="DL1461"/>
      <c r="DM1461"/>
      <c r="DN1461"/>
      <c r="DQ1461" s="263"/>
      <c r="DT1461"/>
      <c r="DU1461" s="143"/>
      <c r="EA1461" s="143"/>
    </row>
    <row r="1462" spans="15:148" ht="15" hidden="1" customHeight="1">
      <c r="O1462" s="145"/>
      <c r="AX1462" s="141"/>
      <c r="AY1462" s="141"/>
      <c r="BE1462"/>
      <c r="BF1462" s="2"/>
      <c r="BK1462" s="152"/>
      <c r="BN1462" s="152"/>
      <c r="BO1462" s="152"/>
      <c r="BU1462" s="144"/>
      <c r="CN1462"/>
      <c r="CO1462"/>
      <c r="CP1462"/>
      <c r="CQ1462"/>
      <c r="CR1462"/>
      <c r="CS1462"/>
      <c r="CT1462"/>
      <c r="CU1462"/>
      <c r="CV1462" s="2"/>
      <c r="CX1462"/>
      <c r="DC1462"/>
      <c r="DI1462"/>
      <c r="DJ1462"/>
      <c r="DK1462"/>
      <c r="DL1462"/>
      <c r="DM1462"/>
      <c r="DN1462"/>
      <c r="DS1462" s="263"/>
      <c r="DT1462"/>
      <c r="DU1462" s="143"/>
    </row>
    <row r="1463" spans="15:148" ht="15" hidden="1" customHeight="1">
      <c r="BE1463"/>
      <c r="BF1463" s="2"/>
      <c r="CN1463"/>
      <c r="CO1463"/>
      <c r="CP1463"/>
      <c r="CQ1463"/>
      <c r="CR1463"/>
      <c r="CS1463"/>
      <c r="CT1463"/>
      <c r="CU1463"/>
      <c r="CV1463" s="2"/>
      <c r="CX1463"/>
      <c r="DC1463"/>
      <c r="DI1463"/>
      <c r="DJ1463"/>
      <c r="DK1463"/>
      <c r="DL1463"/>
      <c r="DM1463"/>
      <c r="DN1463"/>
      <c r="DT1463"/>
      <c r="DU1463"/>
    </row>
    <row r="1464" spans="15:148" ht="15" hidden="1" customHeight="1">
      <c r="O1464" s="145"/>
      <c r="AX1464" s="141"/>
      <c r="AY1464" s="141"/>
      <c r="BE1464"/>
      <c r="BF1464" s="2"/>
      <c r="BU1464" s="144"/>
      <c r="CN1464"/>
      <c r="CO1464"/>
      <c r="CP1464"/>
      <c r="CQ1464"/>
      <c r="CR1464"/>
      <c r="CS1464"/>
      <c r="CT1464"/>
      <c r="CU1464"/>
      <c r="CV1464" s="2"/>
      <c r="CX1464"/>
      <c r="DC1464"/>
      <c r="DI1464"/>
      <c r="DJ1464"/>
      <c r="DK1464"/>
      <c r="DL1464"/>
      <c r="DM1464"/>
      <c r="DN1464"/>
      <c r="DQ1464" s="184"/>
      <c r="DT1464"/>
      <c r="DU1464" s="143"/>
    </row>
    <row r="1465" spans="15:148" ht="15" hidden="1" customHeight="1">
      <c r="O1465" s="145"/>
      <c r="AX1465" s="141"/>
      <c r="AY1465" s="141"/>
      <c r="BE1465"/>
      <c r="BF1465" s="2"/>
      <c r="BU1465" s="144"/>
      <c r="CN1465"/>
      <c r="CO1465"/>
      <c r="CP1465"/>
      <c r="CQ1465"/>
      <c r="CR1465"/>
      <c r="CS1465"/>
      <c r="CT1465"/>
      <c r="CU1465"/>
      <c r="CV1465" s="2"/>
      <c r="CX1465"/>
      <c r="DC1465"/>
      <c r="DI1465"/>
      <c r="DJ1465"/>
      <c r="DK1465"/>
      <c r="DL1465"/>
      <c r="DM1465"/>
      <c r="DN1465"/>
      <c r="DQ1465" s="184"/>
      <c r="DT1465"/>
      <c r="DU1465" s="143"/>
    </row>
    <row r="1466" spans="15:148" ht="15" hidden="1" customHeight="1">
      <c r="O1466" s="145"/>
      <c r="AX1466" s="141"/>
      <c r="AY1466" s="141"/>
      <c r="BE1466"/>
      <c r="BF1466" s="2"/>
      <c r="BU1466" s="144"/>
      <c r="CN1466"/>
      <c r="CO1466"/>
      <c r="CP1466"/>
      <c r="CQ1466"/>
      <c r="CR1466"/>
      <c r="CS1466"/>
      <c r="CT1466"/>
      <c r="CU1466"/>
      <c r="CV1466" s="2"/>
      <c r="CX1466"/>
      <c r="DC1466"/>
      <c r="DI1466"/>
      <c r="DJ1466"/>
      <c r="DK1466"/>
      <c r="DL1466"/>
      <c r="DM1466"/>
      <c r="DN1466"/>
      <c r="DQ1466" s="184"/>
      <c r="DT1466"/>
      <c r="DU1466" s="143"/>
    </row>
    <row r="1467" spans="15:148" ht="15" hidden="1" customHeight="1">
      <c r="O1467" s="145"/>
      <c r="AX1467" s="141"/>
      <c r="AY1467" s="141"/>
      <c r="BE1467"/>
      <c r="BF1467" s="2"/>
      <c r="BU1467" s="144"/>
      <c r="CN1467"/>
      <c r="CO1467"/>
      <c r="CP1467"/>
      <c r="CQ1467"/>
      <c r="CR1467"/>
      <c r="CS1467"/>
      <c r="CT1467"/>
      <c r="CU1467"/>
      <c r="CV1467" s="2"/>
      <c r="CX1467"/>
      <c r="DC1467"/>
      <c r="DI1467"/>
      <c r="DJ1467"/>
      <c r="DK1467"/>
      <c r="DL1467"/>
      <c r="DM1467"/>
      <c r="DN1467"/>
      <c r="DQ1467" s="184"/>
      <c r="DT1467"/>
      <c r="DU1467" s="143"/>
      <c r="ER1467" s="149"/>
    </row>
    <row r="1468" spans="15:148" ht="15" hidden="1" customHeight="1">
      <c r="O1468" s="145"/>
      <c r="AX1468" s="141"/>
      <c r="AY1468" s="141"/>
      <c r="BE1468"/>
      <c r="BF1468" s="2"/>
      <c r="BU1468" s="144"/>
      <c r="CN1468"/>
      <c r="CO1468"/>
      <c r="CP1468"/>
      <c r="CQ1468"/>
      <c r="CR1468"/>
      <c r="CS1468"/>
      <c r="CT1468"/>
      <c r="CU1468"/>
      <c r="CV1468" s="2"/>
      <c r="CX1468"/>
      <c r="DC1468"/>
      <c r="DI1468"/>
      <c r="DJ1468"/>
      <c r="DK1468"/>
      <c r="DL1468"/>
      <c r="DM1468"/>
      <c r="DN1468"/>
      <c r="DQ1468" s="184"/>
      <c r="DT1468"/>
      <c r="DU1468" s="143"/>
    </row>
    <row r="1469" spans="15:148" ht="15" hidden="1" customHeight="1">
      <c r="O1469" s="145"/>
      <c r="AX1469" s="141"/>
      <c r="AY1469" s="141"/>
      <c r="BE1469"/>
      <c r="BF1469" s="2"/>
      <c r="BU1469" s="144"/>
      <c r="CN1469"/>
      <c r="CO1469"/>
      <c r="CP1469"/>
      <c r="CQ1469"/>
      <c r="CR1469"/>
      <c r="CS1469"/>
      <c r="CT1469"/>
      <c r="CU1469"/>
      <c r="CV1469" s="2"/>
      <c r="CX1469"/>
      <c r="DC1469"/>
      <c r="DI1469"/>
      <c r="DJ1469"/>
      <c r="DK1469"/>
      <c r="DL1469"/>
      <c r="DM1469"/>
      <c r="DN1469"/>
      <c r="DQ1469" s="184"/>
      <c r="DT1469"/>
      <c r="DU1469" s="143"/>
    </row>
    <row r="1470" spans="15:148" ht="15" hidden="1" customHeight="1">
      <c r="O1470" s="145"/>
      <c r="AX1470" s="141"/>
      <c r="AY1470" s="141"/>
      <c r="BE1470"/>
      <c r="BF1470" s="2"/>
      <c r="BU1470" s="144"/>
      <c r="CN1470"/>
      <c r="CO1470"/>
      <c r="CP1470"/>
      <c r="CQ1470"/>
      <c r="CR1470"/>
      <c r="CS1470"/>
      <c r="CT1470"/>
      <c r="CU1470"/>
      <c r="CV1470" s="2"/>
      <c r="CX1470"/>
      <c r="DC1470"/>
      <c r="DI1470"/>
      <c r="DJ1470"/>
      <c r="DK1470"/>
      <c r="DL1470"/>
      <c r="DM1470"/>
      <c r="DN1470"/>
      <c r="DQ1470" s="184"/>
      <c r="DT1470"/>
      <c r="DU1470" s="143"/>
    </row>
    <row r="1471" spans="15:148" ht="15" hidden="1" customHeight="1">
      <c r="O1471" s="145"/>
      <c r="AX1471" s="141"/>
      <c r="AY1471" s="141"/>
      <c r="BE1471"/>
      <c r="BF1471" s="2"/>
      <c r="BU1471" s="144"/>
      <c r="CN1471"/>
      <c r="CO1471"/>
      <c r="CP1471"/>
      <c r="CQ1471"/>
      <c r="CR1471"/>
      <c r="CS1471"/>
      <c r="CT1471"/>
      <c r="CU1471"/>
      <c r="CV1471" s="2"/>
      <c r="CX1471"/>
      <c r="DC1471"/>
      <c r="DI1471"/>
      <c r="DJ1471"/>
      <c r="DK1471"/>
      <c r="DL1471"/>
      <c r="DM1471"/>
      <c r="DN1471"/>
      <c r="DQ1471" s="184"/>
      <c r="DT1471"/>
      <c r="DU1471" s="143"/>
    </row>
    <row r="1472" spans="15:148" ht="15" hidden="1" customHeight="1">
      <c r="O1472" s="145"/>
      <c r="AX1472" s="141"/>
      <c r="AY1472" s="141"/>
      <c r="BE1472"/>
      <c r="BF1472" s="2"/>
      <c r="BU1472" s="144"/>
      <c r="CN1472"/>
      <c r="CO1472"/>
      <c r="CP1472"/>
      <c r="CQ1472"/>
      <c r="CR1472"/>
      <c r="CS1472"/>
      <c r="CT1472"/>
      <c r="CU1472"/>
      <c r="CV1472" s="2"/>
      <c r="CX1472"/>
      <c r="DC1472"/>
      <c r="DI1472"/>
      <c r="DJ1472"/>
      <c r="DK1472"/>
      <c r="DL1472"/>
      <c r="DM1472"/>
      <c r="DN1472"/>
      <c r="DQ1472" s="184"/>
      <c r="DT1472"/>
      <c r="DU1472" s="143"/>
    </row>
    <row r="1473" spans="15:148" ht="15" hidden="1" customHeight="1">
      <c r="O1473" s="145"/>
      <c r="AX1473" s="141"/>
      <c r="AY1473" s="141"/>
      <c r="BE1473"/>
      <c r="BF1473" s="2"/>
      <c r="BU1473" s="144"/>
      <c r="CN1473"/>
      <c r="CO1473"/>
      <c r="CP1473"/>
      <c r="CQ1473"/>
      <c r="CR1473"/>
      <c r="CS1473"/>
      <c r="CT1473"/>
      <c r="CU1473"/>
      <c r="CV1473" s="2"/>
      <c r="CX1473"/>
      <c r="DC1473"/>
      <c r="DI1473"/>
      <c r="DJ1473"/>
      <c r="DK1473"/>
      <c r="DL1473"/>
      <c r="DM1473"/>
      <c r="DN1473"/>
      <c r="DT1473"/>
      <c r="DU1473" s="143"/>
    </row>
    <row r="1474" spans="15:148" ht="15" hidden="1" customHeight="1">
      <c r="O1474" s="145"/>
      <c r="AX1474" s="141"/>
      <c r="AY1474" s="141"/>
      <c r="BE1474"/>
      <c r="BF1474" s="2"/>
      <c r="BU1474" s="144"/>
      <c r="CN1474"/>
      <c r="CO1474"/>
      <c r="CP1474"/>
      <c r="CQ1474"/>
      <c r="CR1474"/>
      <c r="CS1474"/>
      <c r="CT1474"/>
      <c r="CU1474"/>
      <c r="CV1474" s="2"/>
      <c r="CX1474"/>
      <c r="DC1474"/>
      <c r="DI1474"/>
      <c r="DJ1474"/>
      <c r="DK1474"/>
      <c r="DL1474"/>
      <c r="DM1474"/>
      <c r="DN1474"/>
      <c r="DT1474"/>
      <c r="DU1474" s="143"/>
    </row>
    <row r="1475" spans="15:148" ht="15" hidden="1" customHeight="1">
      <c r="O1475" s="145"/>
      <c r="AX1475" s="141"/>
      <c r="AY1475" s="141"/>
      <c r="BE1475"/>
      <c r="BF1475" s="2"/>
      <c r="BU1475" s="144"/>
      <c r="CN1475"/>
      <c r="CO1475"/>
      <c r="CP1475"/>
      <c r="CQ1475"/>
      <c r="CR1475"/>
      <c r="CS1475"/>
      <c r="CT1475"/>
      <c r="CU1475"/>
      <c r="CV1475" s="2"/>
      <c r="CX1475"/>
      <c r="DC1475"/>
      <c r="DI1475"/>
      <c r="DJ1475"/>
      <c r="DK1475"/>
      <c r="DL1475"/>
      <c r="DM1475"/>
      <c r="DN1475"/>
      <c r="DT1475"/>
      <c r="DU1475" s="143"/>
    </row>
    <row r="1476" spans="15:148" ht="15" hidden="1" customHeight="1">
      <c r="O1476" s="145"/>
      <c r="AX1476" s="141"/>
      <c r="AY1476" s="141"/>
      <c r="BE1476"/>
      <c r="BF1476" s="2"/>
      <c r="BQ1476" s="155"/>
      <c r="BU1476" s="144"/>
      <c r="CN1476"/>
      <c r="CO1476"/>
      <c r="CP1476"/>
      <c r="CQ1476"/>
      <c r="CR1476"/>
      <c r="CS1476"/>
      <c r="CT1476"/>
      <c r="CU1476"/>
      <c r="CV1476" s="2"/>
      <c r="CX1476"/>
      <c r="DC1476"/>
      <c r="DI1476"/>
      <c r="DJ1476"/>
      <c r="DK1476"/>
      <c r="DL1476"/>
      <c r="DM1476"/>
      <c r="DN1476"/>
      <c r="DT1476"/>
      <c r="DU1476" s="143"/>
    </row>
    <row r="1477" spans="15:148" ht="15" hidden="1" customHeight="1">
      <c r="O1477" s="145"/>
      <c r="AX1477" s="141"/>
      <c r="AY1477" s="141"/>
      <c r="BE1477"/>
      <c r="BF1477" s="2"/>
      <c r="BQ1477" s="155"/>
      <c r="BU1477" s="144"/>
      <c r="CN1477"/>
      <c r="CO1477"/>
      <c r="CP1477"/>
      <c r="CQ1477"/>
      <c r="CR1477"/>
      <c r="CS1477"/>
      <c r="CT1477"/>
      <c r="CU1477"/>
      <c r="CV1477" s="2"/>
      <c r="CX1477"/>
      <c r="DC1477"/>
      <c r="DI1477"/>
      <c r="DJ1477"/>
      <c r="DK1477"/>
      <c r="DL1477"/>
      <c r="DM1477"/>
      <c r="DN1477"/>
      <c r="DT1477"/>
      <c r="DU1477" s="143"/>
    </row>
    <row r="1478" spans="15:148" ht="15" hidden="1" customHeight="1">
      <c r="O1478" s="145"/>
      <c r="AX1478" s="141"/>
      <c r="AY1478" s="141"/>
      <c r="BE1478"/>
      <c r="BF1478" s="2"/>
      <c r="BQ1478" s="155"/>
      <c r="BU1478" s="144"/>
      <c r="CN1478"/>
      <c r="CO1478"/>
      <c r="CP1478"/>
      <c r="CQ1478"/>
      <c r="CR1478"/>
      <c r="CS1478"/>
      <c r="CT1478"/>
      <c r="CU1478"/>
      <c r="CV1478" s="2"/>
      <c r="CX1478"/>
      <c r="DC1478"/>
      <c r="DI1478"/>
      <c r="DJ1478"/>
      <c r="DK1478"/>
      <c r="DL1478"/>
      <c r="DM1478"/>
      <c r="DN1478"/>
      <c r="DT1478"/>
      <c r="DU1478" s="143"/>
    </row>
    <row r="1479" spans="15:148" ht="15" hidden="1" customHeight="1">
      <c r="O1479" s="145"/>
      <c r="AX1479" s="141"/>
      <c r="AY1479" s="141"/>
      <c r="BE1479"/>
      <c r="BF1479" s="2"/>
      <c r="BQ1479" s="155"/>
      <c r="BU1479" s="144"/>
      <c r="CN1479"/>
      <c r="CO1479"/>
      <c r="CP1479"/>
      <c r="CQ1479"/>
      <c r="CR1479"/>
      <c r="CS1479"/>
      <c r="CT1479"/>
      <c r="CU1479"/>
      <c r="CV1479" s="2"/>
      <c r="CX1479"/>
      <c r="DC1479"/>
      <c r="DI1479"/>
      <c r="DJ1479"/>
      <c r="DK1479"/>
      <c r="DL1479"/>
      <c r="DM1479"/>
      <c r="DN1479"/>
      <c r="DT1479"/>
      <c r="DU1479" s="143"/>
    </row>
    <row r="1480" spans="15:148" ht="15" hidden="1" customHeight="1">
      <c r="O1480" s="145"/>
      <c r="AX1480" s="141"/>
      <c r="AY1480" s="141"/>
      <c r="BE1480"/>
      <c r="BF1480" s="2"/>
      <c r="BU1480" s="144"/>
      <c r="CN1480"/>
      <c r="CO1480"/>
      <c r="CP1480"/>
      <c r="CQ1480"/>
      <c r="CR1480"/>
      <c r="CS1480"/>
      <c r="CT1480"/>
      <c r="CU1480"/>
      <c r="CV1480" s="2"/>
      <c r="CX1480"/>
      <c r="DC1480"/>
      <c r="DI1480"/>
      <c r="DJ1480"/>
      <c r="DK1480"/>
      <c r="DL1480"/>
      <c r="DM1480"/>
      <c r="DN1480"/>
      <c r="DT1480"/>
      <c r="DU1480" s="143"/>
    </row>
    <row r="1481" spans="15:148" ht="15" hidden="1" customHeight="1">
      <c r="O1481" s="145"/>
      <c r="AX1481" s="141"/>
      <c r="AY1481" s="141"/>
      <c r="BE1481"/>
      <c r="BF1481" s="2"/>
      <c r="BU1481" s="144"/>
      <c r="CN1481"/>
      <c r="CO1481"/>
      <c r="CP1481"/>
      <c r="CQ1481"/>
      <c r="CR1481"/>
      <c r="CS1481"/>
      <c r="CT1481"/>
      <c r="CU1481"/>
      <c r="CV1481" s="2"/>
      <c r="CX1481"/>
      <c r="DC1481"/>
      <c r="DI1481"/>
      <c r="DJ1481"/>
      <c r="DK1481"/>
      <c r="DL1481"/>
      <c r="DM1481"/>
      <c r="DN1481"/>
      <c r="DT1481"/>
      <c r="DU1481" s="143"/>
    </row>
    <row r="1482" spans="15:148" ht="15" hidden="1" customHeight="1">
      <c r="O1482" s="145"/>
      <c r="AX1482" s="141"/>
      <c r="AY1482" s="141"/>
      <c r="BE1482"/>
      <c r="BF1482" s="2"/>
      <c r="BL1482" s="197"/>
      <c r="BU1482" s="144"/>
      <c r="CN1482"/>
      <c r="CO1482"/>
      <c r="CP1482"/>
      <c r="CQ1482"/>
      <c r="CR1482"/>
      <c r="CS1482"/>
      <c r="CT1482"/>
      <c r="CU1482"/>
      <c r="CV1482" s="2"/>
      <c r="CX1482"/>
      <c r="DC1482"/>
      <c r="DI1482"/>
      <c r="DJ1482"/>
      <c r="DK1482"/>
      <c r="DL1482"/>
      <c r="DM1482"/>
      <c r="DN1482"/>
      <c r="DT1482"/>
      <c r="DU1482" s="143"/>
    </row>
    <row r="1483" spans="15:148" ht="15" hidden="1" customHeight="1">
      <c r="O1483" s="145"/>
      <c r="AX1483" s="141"/>
      <c r="AY1483" s="141"/>
      <c r="BE1483"/>
      <c r="BF1483" s="2"/>
      <c r="BL1483" s="197"/>
      <c r="BU1483" s="144"/>
      <c r="CN1483"/>
      <c r="CO1483"/>
      <c r="CP1483"/>
      <c r="CQ1483"/>
      <c r="CR1483"/>
      <c r="CS1483"/>
      <c r="CT1483"/>
      <c r="CU1483"/>
      <c r="CV1483" s="2"/>
      <c r="CX1483"/>
      <c r="DC1483"/>
      <c r="DI1483"/>
      <c r="DJ1483"/>
      <c r="DK1483"/>
      <c r="DL1483"/>
      <c r="DM1483"/>
      <c r="DN1483"/>
      <c r="DT1483"/>
      <c r="DU1483" s="143"/>
    </row>
    <row r="1484" spans="15:148" ht="15" hidden="1" customHeight="1">
      <c r="O1484" s="145"/>
      <c r="AX1484" s="141"/>
      <c r="AY1484" s="141"/>
      <c r="BE1484"/>
      <c r="BF1484" s="2"/>
      <c r="BG1484" s="174"/>
      <c r="BU1484" s="144"/>
      <c r="CN1484"/>
      <c r="CO1484"/>
      <c r="CP1484"/>
      <c r="CQ1484"/>
      <c r="CR1484"/>
      <c r="CS1484"/>
      <c r="CT1484"/>
      <c r="CU1484"/>
      <c r="CV1484" s="2"/>
      <c r="CX1484"/>
      <c r="DC1484"/>
      <c r="DI1484"/>
      <c r="DJ1484"/>
      <c r="DK1484"/>
      <c r="DL1484"/>
      <c r="DM1484"/>
      <c r="DN1484"/>
      <c r="DT1484"/>
      <c r="DU1484" s="143"/>
    </row>
    <row r="1485" spans="15:148" ht="15" hidden="1" customHeight="1">
      <c r="O1485" s="145"/>
      <c r="V1485" s="143"/>
      <c r="W1485" s="143"/>
      <c r="X1485" s="143"/>
      <c r="Y1485" s="143"/>
      <c r="Z1485" s="143"/>
      <c r="AA1485" s="143"/>
      <c r="AB1485" s="143"/>
      <c r="AC1485" s="143"/>
      <c r="AD1485" s="143"/>
      <c r="AE1485" s="143"/>
      <c r="AF1485" s="143"/>
      <c r="AG1485" s="143"/>
      <c r="AH1485" s="143"/>
      <c r="AI1485" s="143"/>
      <c r="AJ1485" s="143"/>
      <c r="AK1485" s="143"/>
      <c r="AL1485" s="143"/>
      <c r="AM1485" s="143"/>
      <c r="AN1485" s="143"/>
      <c r="AO1485" s="143"/>
      <c r="AP1485" s="143"/>
      <c r="AQ1485" s="143"/>
      <c r="AR1485" s="143"/>
      <c r="AS1485" s="143"/>
      <c r="AT1485" s="143"/>
      <c r="AU1485" s="143"/>
      <c r="AV1485" s="143"/>
      <c r="AW1485" s="143"/>
      <c r="AX1485" s="141"/>
      <c r="AY1485" s="141"/>
      <c r="BE1485"/>
      <c r="BF1485" s="2"/>
      <c r="BU1485" s="144"/>
      <c r="BZ1485" s="143"/>
      <c r="CA1485" s="143"/>
      <c r="CB1485" s="143"/>
      <c r="CC1485" s="143"/>
      <c r="CD1485" s="143"/>
      <c r="CE1485" s="143"/>
      <c r="CF1485" s="143"/>
      <c r="CG1485" s="143"/>
      <c r="CH1485" s="143"/>
      <c r="CI1485" s="143"/>
      <c r="CJ1485" s="143"/>
      <c r="CK1485" s="143"/>
      <c r="CL1485" s="143"/>
      <c r="CM1485" s="143"/>
      <c r="CN1485"/>
      <c r="CO1485"/>
      <c r="CP1485"/>
      <c r="CQ1485"/>
      <c r="CR1485"/>
      <c r="CS1485"/>
      <c r="CT1485"/>
      <c r="CU1485"/>
      <c r="CV1485" s="2"/>
      <c r="CX1485"/>
      <c r="DC1485"/>
      <c r="DI1485"/>
      <c r="DJ1485"/>
      <c r="DK1485"/>
      <c r="DL1485"/>
      <c r="DM1485"/>
      <c r="DN1485"/>
      <c r="DP1485" s="143"/>
      <c r="DT1485"/>
      <c r="DU1485" s="143"/>
      <c r="DV1485" s="143"/>
      <c r="DW1485" s="143"/>
      <c r="DX1485" s="143"/>
      <c r="DY1485" s="143"/>
      <c r="DZ1485" s="143"/>
      <c r="EA1485" s="143"/>
      <c r="EB1485" s="143"/>
      <c r="EC1485" s="143"/>
      <c r="ED1485" s="143"/>
      <c r="EE1485" s="143"/>
      <c r="EF1485" s="143"/>
      <c r="EG1485" s="143"/>
      <c r="EH1485" s="143"/>
      <c r="EI1485" s="196"/>
      <c r="ER1485" s="149"/>
    </row>
    <row r="1486" spans="15:148" ht="15" hidden="1" customHeight="1">
      <c r="O1486" s="145"/>
      <c r="V1486" s="143"/>
      <c r="W1486" s="143"/>
      <c r="X1486" s="143"/>
      <c r="Y1486" s="143"/>
      <c r="Z1486" s="143"/>
      <c r="AA1486" s="143"/>
      <c r="AB1486" s="143"/>
      <c r="AC1486" s="143"/>
      <c r="AD1486" s="143"/>
      <c r="AE1486" s="143"/>
      <c r="AF1486" s="143"/>
      <c r="AG1486" s="143"/>
      <c r="AH1486" s="143"/>
      <c r="AI1486" s="143"/>
      <c r="AJ1486" s="143"/>
      <c r="AK1486" s="143"/>
      <c r="AL1486" s="143"/>
      <c r="AM1486" s="143"/>
      <c r="AN1486" s="143"/>
      <c r="AO1486" s="143"/>
      <c r="AP1486" s="143"/>
      <c r="AQ1486" s="143"/>
      <c r="AR1486" s="143"/>
      <c r="AS1486" s="143"/>
      <c r="AT1486" s="143"/>
      <c r="AU1486" s="143"/>
      <c r="AV1486" s="143"/>
      <c r="AW1486" s="143"/>
      <c r="AX1486" s="141"/>
      <c r="AY1486" s="141"/>
      <c r="BE1486"/>
      <c r="BF1486" s="2"/>
      <c r="BU1486" s="144"/>
      <c r="BZ1486" s="143"/>
      <c r="CA1486" s="143"/>
      <c r="CB1486" s="143"/>
      <c r="CC1486" s="143"/>
      <c r="CD1486" s="143"/>
      <c r="CE1486" s="143"/>
      <c r="CF1486" s="143"/>
      <c r="CG1486" s="143"/>
      <c r="CH1486" s="143"/>
      <c r="CI1486" s="143"/>
      <c r="CJ1486" s="143"/>
      <c r="CK1486" s="143"/>
      <c r="CL1486" s="143"/>
      <c r="CM1486" s="143"/>
      <c r="CN1486"/>
      <c r="CO1486"/>
      <c r="CP1486"/>
      <c r="CQ1486"/>
      <c r="CR1486"/>
      <c r="CS1486"/>
      <c r="CT1486"/>
      <c r="CU1486"/>
      <c r="CV1486" s="2"/>
      <c r="CX1486"/>
      <c r="DC1486"/>
      <c r="DI1486"/>
      <c r="DJ1486"/>
      <c r="DK1486"/>
      <c r="DL1486"/>
      <c r="DM1486"/>
      <c r="DN1486"/>
      <c r="DP1486" s="143"/>
      <c r="DT1486"/>
      <c r="DU1486" s="143"/>
      <c r="DV1486" s="143"/>
      <c r="DW1486" s="143"/>
      <c r="DX1486" s="143"/>
      <c r="DY1486" s="143"/>
      <c r="DZ1486" s="143"/>
      <c r="EA1486" s="143"/>
      <c r="EB1486" s="143"/>
      <c r="EC1486" s="143"/>
      <c r="ED1486" s="143"/>
      <c r="EE1486" s="143"/>
      <c r="EF1486" s="143"/>
      <c r="EG1486" s="143"/>
      <c r="EH1486" s="143"/>
      <c r="EI1486" s="196"/>
      <c r="ER1486" s="149"/>
    </row>
    <row r="1487" spans="15:148" ht="15" hidden="1" customHeight="1">
      <c r="O1487" s="145"/>
      <c r="V1487" s="143"/>
      <c r="W1487" s="143"/>
      <c r="X1487" s="143"/>
      <c r="Y1487" s="143"/>
      <c r="Z1487" s="143"/>
      <c r="AA1487" s="143"/>
      <c r="AB1487" s="143"/>
      <c r="AC1487" s="143"/>
      <c r="AD1487" s="143"/>
      <c r="AE1487" s="143"/>
      <c r="AF1487" s="143"/>
      <c r="AG1487" s="143"/>
      <c r="AH1487" s="143"/>
      <c r="AI1487" s="143"/>
      <c r="AJ1487" s="143"/>
      <c r="AK1487" s="143"/>
      <c r="AL1487" s="143"/>
      <c r="AM1487" s="143"/>
      <c r="AN1487" s="143"/>
      <c r="AO1487" s="143"/>
      <c r="AP1487" s="143"/>
      <c r="AQ1487" s="143"/>
      <c r="AR1487" s="143"/>
      <c r="AS1487" s="143"/>
      <c r="AT1487" s="143"/>
      <c r="AU1487" s="143"/>
      <c r="AV1487" s="143"/>
      <c r="AW1487" s="143"/>
      <c r="AX1487" s="141"/>
      <c r="AY1487" s="141"/>
      <c r="BE1487"/>
      <c r="BF1487" s="2"/>
      <c r="BU1487" s="144"/>
      <c r="BZ1487" s="143"/>
      <c r="CA1487" s="143"/>
      <c r="CB1487" s="143"/>
      <c r="CC1487" s="143"/>
      <c r="CD1487" s="143"/>
      <c r="CE1487" s="143"/>
      <c r="CF1487" s="143"/>
      <c r="CG1487" s="143"/>
      <c r="CH1487" s="143"/>
      <c r="CI1487" s="143"/>
      <c r="CJ1487" s="143"/>
      <c r="CK1487" s="143"/>
      <c r="CL1487" s="143"/>
      <c r="CM1487" s="143"/>
      <c r="CN1487"/>
      <c r="CO1487"/>
      <c r="CP1487"/>
      <c r="CQ1487"/>
      <c r="CR1487"/>
      <c r="CS1487"/>
      <c r="CT1487"/>
      <c r="CU1487"/>
      <c r="CV1487" s="2"/>
      <c r="CX1487"/>
      <c r="DC1487"/>
      <c r="DI1487"/>
      <c r="DJ1487"/>
      <c r="DK1487"/>
      <c r="DL1487"/>
      <c r="DM1487"/>
      <c r="DN1487"/>
      <c r="DP1487" s="143"/>
      <c r="DT1487"/>
      <c r="DU1487" s="143"/>
      <c r="DV1487" s="143"/>
      <c r="DW1487" s="143"/>
      <c r="DX1487" s="143"/>
      <c r="DY1487" s="143"/>
      <c r="DZ1487" s="143"/>
      <c r="EA1487" s="143"/>
      <c r="EB1487" s="143"/>
      <c r="EC1487" s="143"/>
      <c r="ED1487" s="143"/>
      <c r="EE1487" s="143"/>
      <c r="EF1487" s="143"/>
      <c r="EG1487" s="143"/>
      <c r="EH1487" s="143"/>
      <c r="EI1487" s="196"/>
      <c r="ER1487" s="149"/>
    </row>
    <row r="1488" spans="15:148" ht="15" hidden="1" customHeight="1">
      <c r="O1488" s="145"/>
      <c r="V1488" s="143"/>
      <c r="W1488" s="143"/>
      <c r="X1488" s="143"/>
      <c r="Y1488" s="143"/>
      <c r="Z1488" s="143"/>
      <c r="AA1488" s="143"/>
      <c r="AB1488" s="143"/>
      <c r="AC1488" s="143"/>
      <c r="AD1488" s="143"/>
      <c r="AE1488" s="143"/>
      <c r="AF1488" s="143"/>
      <c r="AG1488" s="143"/>
      <c r="AH1488" s="143"/>
      <c r="AI1488" s="143"/>
      <c r="AJ1488" s="143"/>
      <c r="AK1488" s="143"/>
      <c r="AL1488" s="143"/>
      <c r="AM1488" s="143"/>
      <c r="AN1488" s="143"/>
      <c r="AO1488" s="143"/>
      <c r="AP1488" s="143"/>
      <c r="AQ1488" s="143"/>
      <c r="AR1488" s="143"/>
      <c r="AS1488" s="143"/>
      <c r="AT1488" s="143"/>
      <c r="AU1488" s="143"/>
      <c r="AV1488" s="143"/>
      <c r="AW1488" s="143"/>
      <c r="AX1488" s="141"/>
      <c r="AY1488" s="141"/>
      <c r="BE1488"/>
      <c r="BF1488" s="2"/>
      <c r="BU1488" s="144"/>
      <c r="BZ1488" s="143"/>
      <c r="CA1488" s="143"/>
      <c r="CB1488" s="143"/>
      <c r="CC1488" s="143"/>
      <c r="CD1488" s="143"/>
      <c r="CE1488" s="143"/>
      <c r="CF1488" s="143"/>
      <c r="CG1488" s="143"/>
      <c r="CH1488" s="143"/>
      <c r="CI1488" s="143"/>
      <c r="CJ1488" s="143"/>
      <c r="CK1488" s="143"/>
      <c r="CL1488" s="143"/>
      <c r="CM1488" s="143"/>
      <c r="CN1488"/>
      <c r="CO1488"/>
      <c r="CP1488"/>
      <c r="CQ1488"/>
      <c r="CR1488"/>
      <c r="CS1488"/>
      <c r="CT1488"/>
      <c r="CU1488"/>
      <c r="CV1488" s="2"/>
      <c r="CX1488"/>
      <c r="DC1488"/>
      <c r="DI1488"/>
      <c r="DJ1488"/>
      <c r="DK1488"/>
      <c r="DL1488"/>
      <c r="DM1488"/>
      <c r="DN1488"/>
      <c r="DP1488" s="143"/>
      <c r="DT1488"/>
      <c r="DU1488" s="143"/>
      <c r="DV1488" s="143"/>
      <c r="DW1488" s="143"/>
      <c r="DX1488" s="143"/>
      <c r="DY1488" s="143"/>
      <c r="DZ1488" s="143"/>
      <c r="EA1488" s="143"/>
      <c r="EB1488" s="143"/>
      <c r="EC1488" s="143"/>
      <c r="ED1488" s="143"/>
      <c r="EE1488" s="143"/>
      <c r="EF1488" s="143"/>
      <c r="EG1488" s="143"/>
      <c r="EH1488" s="143"/>
      <c r="EI1488" s="196"/>
      <c r="ER1488" s="149"/>
    </row>
    <row r="1489" spans="15:148" ht="15" hidden="1" customHeight="1">
      <c r="O1489" s="145"/>
      <c r="V1489" s="143"/>
      <c r="W1489" s="143"/>
      <c r="X1489" s="143"/>
      <c r="Y1489" s="143"/>
      <c r="Z1489" s="143"/>
      <c r="AA1489" s="143"/>
      <c r="AB1489" s="143"/>
      <c r="AC1489" s="143"/>
      <c r="AD1489" s="143"/>
      <c r="AE1489" s="143"/>
      <c r="AF1489" s="143"/>
      <c r="AG1489" s="143"/>
      <c r="AH1489" s="143"/>
      <c r="AI1489" s="143"/>
      <c r="AJ1489" s="143"/>
      <c r="AK1489" s="143"/>
      <c r="AL1489" s="143"/>
      <c r="AM1489" s="143"/>
      <c r="AN1489" s="143"/>
      <c r="AO1489" s="143"/>
      <c r="AP1489" s="143"/>
      <c r="AQ1489" s="143"/>
      <c r="AR1489" s="143"/>
      <c r="AS1489" s="143"/>
      <c r="AT1489" s="143"/>
      <c r="AU1489" s="143"/>
      <c r="AV1489" s="143"/>
      <c r="AW1489" s="143"/>
      <c r="AX1489" s="141"/>
      <c r="AY1489" s="141"/>
      <c r="BE1489"/>
      <c r="BF1489" s="2"/>
      <c r="BU1489" s="144"/>
      <c r="BZ1489" s="143"/>
      <c r="CA1489" s="143"/>
      <c r="CB1489" s="143"/>
      <c r="CC1489" s="143"/>
      <c r="CD1489" s="143"/>
      <c r="CE1489" s="143"/>
      <c r="CF1489" s="143"/>
      <c r="CG1489" s="143"/>
      <c r="CH1489" s="143"/>
      <c r="CI1489" s="143"/>
      <c r="CJ1489" s="143"/>
      <c r="CK1489" s="143"/>
      <c r="CL1489" s="143"/>
      <c r="CM1489" s="143"/>
      <c r="CN1489"/>
      <c r="CO1489"/>
      <c r="CP1489"/>
      <c r="CQ1489"/>
      <c r="CR1489"/>
      <c r="CS1489"/>
      <c r="CT1489"/>
      <c r="CU1489"/>
      <c r="CV1489" s="2"/>
      <c r="CX1489"/>
      <c r="DC1489"/>
      <c r="DI1489"/>
      <c r="DJ1489"/>
      <c r="DK1489"/>
      <c r="DL1489"/>
      <c r="DM1489"/>
      <c r="DN1489"/>
      <c r="DP1489" s="143"/>
      <c r="DT1489"/>
      <c r="DU1489" s="143"/>
      <c r="DV1489" s="143"/>
      <c r="DW1489" s="143"/>
      <c r="DX1489" s="143"/>
      <c r="DY1489" s="143"/>
      <c r="DZ1489" s="143"/>
      <c r="EA1489" s="143"/>
      <c r="EB1489" s="143"/>
      <c r="EC1489" s="143"/>
      <c r="ED1489" s="143"/>
      <c r="EE1489" s="143"/>
      <c r="EF1489" s="143"/>
      <c r="EG1489" s="143"/>
      <c r="EH1489" s="143"/>
      <c r="EI1489" s="196"/>
      <c r="ER1489" s="149"/>
    </row>
    <row r="1490" spans="15:148" ht="15" hidden="1" customHeight="1">
      <c r="O1490" s="145"/>
      <c r="V1490" s="143"/>
      <c r="W1490" s="143"/>
      <c r="X1490" s="143"/>
      <c r="Y1490" s="143"/>
      <c r="Z1490" s="143"/>
      <c r="AA1490" s="143"/>
      <c r="AB1490" s="143"/>
      <c r="AC1490" s="143"/>
      <c r="AD1490" s="143"/>
      <c r="AE1490" s="143"/>
      <c r="AF1490" s="143"/>
      <c r="AG1490" s="143"/>
      <c r="AH1490" s="143"/>
      <c r="AI1490" s="143"/>
      <c r="AJ1490" s="143"/>
      <c r="AK1490" s="143"/>
      <c r="AL1490" s="143"/>
      <c r="AM1490" s="143"/>
      <c r="AN1490" s="143"/>
      <c r="AO1490" s="143"/>
      <c r="AP1490" s="143"/>
      <c r="AQ1490" s="143"/>
      <c r="AR1490" s="143"/>
      <c r="AS1490" s="143"/>
      <c r="AT1490" s="143"/>
      <c r="AU1490" s="143"/>
      <c r="AV1490" s="143"/>
      <c r="AW1490" s="143"/>
      <c r="AX1490" s="141"/>
      <c r="AY1490" s="141"/>
      <c r="BE1490"/>
      <c r="BF1490" s="2"/>
      <c r="BU1490" s="144"/>
      <c r="BZ1490" s="143"/>
      <c r="CA1490" s="143"/>
      <c r="CB1490" s="143"/>
      <c r="CC1490" s="143"/>
      <c r="CD1490" s="143"/>
      <c r="CE1490" s="143"/>
      <c r="CF1490" s="143"/>
      <c r="CG1490" s="143"/>
      <c r="CH1490" s="143"/>
      <c r="CI1490" s="143"/>
      <c r="CJ1490" s="143"/>
      <c r="CK1490" s="143"/>
      <c r="CL1490" s="143"/>
      <c r="CM1490" s="143"/>
      <c r="CN1490"/>
      <c r="CO1490"/>
      <c r="CP1490"/>
      <c r="CQ1490"/>
      <c r="CR1490"/>
      <c r="CS1490"/>
      <c r="CT1490"/>
      <c r="CU1490"/>
      <c r="CV1490" s="2"/>
      <c r="CX1490"/>
      <c r="DC1490"/>
      <c r="DI1490"/>
      <c r="DJ1490"/>
      <c r="DK1490"/>
      <c r="DL1490"/>
      <c r="DM1490"/>
      <c r="DN1490"/>
      <c r="DP1490" s="143"/>
      <c r="DT1490"/>
      <c r="DU1490" s="143"/>
      <c r="DV1490" s="143"/>
      <c r="DW1490" s="143"/>
      <c r="DX1490" s="143"/>
      <c r="DY1490" s="143"/>
      <c r="DZ1490" s="143"/>
      <c r="EA1490" s="143"/>
      <c r="EB1490" s="143"/>
      <c r="EC1490" s="143"/>
      <c r="ED1490" s="143"/>
      <c r="EE1490" s="143"/>
      <c r="EF1490" s="143"/>
      <c r="EG1490" s="143"/>
      <c r="EH1490" s="143"/>
      <c r="EI1490" s="196"/>
      <c r="ER1490" s="149"/>
    </row>
    <row r="1491" spans="15:148" ht="15" hidden="1" customHeight="1">
      <c r="O1491" s="145"/>
      <c r="V1491" s="143"/>
      <c r="W1491" s="143"/>
      <c r="X1491" s="143"/>
      <c r="Y1491" s="143"/>
      <c r="Z1491" s="143"/>
      <c r="AA1491" s="143"/>
      <c r="AB1491" s="143"/>
      <c r="AC1491" s="143"/>
      <c r="AD1491" s="143"/>
      <c r="AE1491" s="143"/>
      <c r="AF1491" s="143"/>
      <c r="AG1491" s="143"/>
      <c r="AH1491" s="143"/>
      <c r="AI1491" s="143"/>
      <c r="AJ1491" s="143"/>
      <c r="AK1491" s="143"/>
      <c r="AL1491" s="143"/>
      <c r="AM1491" s="143"/>
      <c r="AN1491" s="143"/>
      <c r="AO1491" s="143"/>
      <c r="AP1491" s="143"/>
      <c r="AQ1491" s="143"/>
      <c r="AR1491" s="143"/>
      <c r="AS1491" s="143"/>
      <c r="AT1491" s="143"/>
      <c r="AU1491" s="143"/>
      <c r="AV1491" s="143"/>
      <c r="AW1491" s="143"/>
      <c r="AX1491" s="141"/>
      <c r="AY1491" s="141"/>
      <c r="BE1491"/>
      <c r="BF1491" s="2"/>
      <c r="BU1491" s="144"/>
      <c r="BZ1491" s="143"/>
      <c r="CA1491" s="143"/>
      <c r="CB1491" s="143"/>
      <c r="CC1491" s="143"/>
      <c r="CD1491" s="143"/>
      <c r="CE1491" s="143"/>
      <c r="CF1491" s="143"/>
      <c r="CG1491" s="143"/>
      <c r="CH1491" s="143"/>
      <c r="CI1491" s="143"/>
      <c r="CJ1491" s="143"/>
      <c r="CK1491" s="143"/>
      <c r="CL1491" s="143"/>
      <c r="CM1491" s="143"/>
      <c r="CN1491"/>
      <c r="CO1491"/>
      <c r="CP1491"/>
      <c r="CQ1491"/>
      <c r="CR1491"/>
      <c r="CS1491"/>
      <c r="CT1491"/>
      <c r="CU1491"/>
      <c r="CV1491" s="2"/>
      <c r="CX1491"/>
      <c r="DC1491"/>
      <c r="DI1491"/>
      <c r="DJ1491"/>
      <c r="DK1491"/>
      <c r="DL1491"/>
      <c r="DM1491"/>
      <c r="DN1491"/>
      <c r="DP1491" s="143"/>
      <c r="DT1491"/>
      <c r="DU1491" s="143"/>
      <c r="DV1491" s="143"/>
      <c r="DW1491" s="143"/>
      <c r="DX1491" s="143"/>
      <c r="DY1491" s="143"/>
      <c r="DZ1491" s="143"/>
      <c r="EA1491" s="143"/>
      <c r="EB1491" s="143"/>
      <c r="EC1491" s="143"/>
      <c r="ED1491" s="143"/>
      <c r="EE1491" s="143"/>
      <c r="EF1491" s="143"/>
      <c r="EG1491" s="143"/>
      <c r="EH1491" s="143"/>
      <c r="EI1491" s="196"/>
      <c r="ER1491" s="149"/>
    </row>
    <row r="1492" spans="15:148" ht="15" hidden="1" customHeight="1">
      <c r="O1492" s="145"/>
      <c r="V1492" s="143"/>
      <c r="W1492" s="143"/>
      <c r="X1492" s="143"/>
      <c r="Y1492" s="143"/>
      <c r="Z1492" s="143"/>
      <c r="AA1492" s="143"/>
      <c r="AB1492" s="143"/>
      <c r="AC1492" s="143"/>
      <c r="AD1492" s="143"/>
      <c r="AE1492" s="143"/>
      <c r="AF1492" s="143"/>
      <c r="AG1492" s="143"/>
      <c r="AH1492" s="143"/>
      <c r="AI1492" s="143"/>
      <c r="AJ1492" s="143"/>
      <c r="AK1492" s="143"/>
      <c r="AL1492" s="143"/>
      <c r="AM1492" s="143"/>
      <c r="AN1492" s="143"/>
      <c r="AO1492" s="143"/>
      <c r="AP1492" s="143"/>
      <c r="AQ1492" s="143"/>
      <c r="AR1492" s="143"/>
      <c r="AS1492" s="143"/>
      <c r="AT1492" s="143"/>
      <c r="AU1492" s="143"/>
      <c r="AV1492" s="143"/>
      <c r="AW1492" s="143"/>
      <c r="AX1492" s="141"/>
      <c r="AY1492" s="141"/>
      <c r="BE1492"/>
      <c r="BF1492" s="2"/>
      <c r="BU1492" s="144"/>
      <c r="BZ1492" s="143"/>
      <c r="CA1492" s="143"/>
      <c r="CB1492" s="143"/>
      <c r="CC1492" s="143"/>
      <c r="CD1492" s="143"/>
      <c r="CE1492" s="143"/>
      <c r="CF1492" s="143"/>
      <c r="CG1492" s="143"/>
      <c r="CH1492" s="143"/>
      <c r="CI1492" s="143"/>
      <c r="CJ1492" s="143"/>
      <c r="CK1492" s="143"/>
      <c r="CL1492" s="143"/>
      <c r="CM1492" s="143"/>
      <c r="CN1492"/>
      <c r="CO1492"/>
      <c r="CP1492"/>
      <c r="CQ1492"/>
      <c r="CR1492"/>
      <c r="CS1492"/>
      <c r="CT1492"/>
      <c r="CU1492"/>
      <c r="CV1492" s="2"/>
      <c r="CX1492"/>
      <c r="DC1492"/>
      <c r="DI1492"/>
      <c r="DJ1492"/>
      <c r="DK1492"/>
      <c r="DL1492"/>
      <c r="DM1492"/>
      <c r="DN1492"/>
      <c r="DP1492" s="143"/>
      <c r="DT1492"/>
      <c r="DU1492" s="143"/>
      <c r="DV1492" s="143"/>
      <c r="DW1492" s="143"/>
      <c r="DX1492" s="143"/>
      <c r="DY1492" s="143"/>
      <c r="DZ1492" s="143"/>
      <c r="EA1492" s="143"/>
      <c r="EB1492" s="143"/>
      <c r="EC1492" s="143"/>
      <c r="ED1492" s="143"/>
      <c r="EE1492" s="143"/>
      <c r="EF1492" s="143"/>
      <c r="EG1492" s="143"/>
      <c r="EH1492" s="143"/>
      <c r="EI1492" s="196"/>
      <c r="ER1492" s="149"/>
    </row>
    <row r="1493" spans="15:148" ht="15" hidden="1" customHeight="1">
      <c r="O1493" s="145"/>
      <c r="V1493" s="143"/>
      <c r="W1493" s="143"/>
      <c r="X1493" s="143"/>
      <c r="Y1493" s="143"/>
      <c r="Z1493" s="143"/>
      <c r="AA1493" s="143"/>
      <c r="AB1493" s="143"/>
      <c r="AC1493" s="143"/>
      <c r="AD1493" s="143"/>
      <c r="AE1493" s="143"/>
      <c r="AF1493" s="143"/>
      <c r="AG1493" s="143"/>
      <c r="AH1493" s="143"/>
      <c r="AI1493" s="143"/>
      <c r="AJ1493" s="143"/>
      <c r="AK1493" s="143"/>
      <c r="AL1493" s="143"/>
      <c r="AM1493" s="143"/>
      <c r="AN1493" s="143"/>
      <c r="AO1493" s="143"/>
      <c r="AP1493" s="143"/>
      <c r="AQ1493" s="143"/>
      <c r="AR1493" s="143"/>
      <c r="AS1493" s="143"/>
      <c r="AT1493" s="143"/>
      <c r="AU1493" s="143"/>
      <c r="AV1493" s="143"/>
      <c r="AW1493" s="143"/>
      <c r="AX1493" s="141"/>
      <c r="AY1493" s="141"/>
      <c r="BE1493"/>
      <c r="BF1493" s="2"/>
      <c r="BU1493" s="144"/>
      <c r="BZ1493" s="143"/>
      <c r="CA1493" s="143"/>
      <c r="CB1493" s="143"/>
      <c r="CC1493" s="143"/>
      <c r="CD1493" s="143"/>
      <c r="CE1493" s="143"/>
      <c r="CF1493" s="143"/>
      <c r="CG1493" s="143"/>
      <c r="CH1493" s="143"/>
      <c r="CI1493" s="143"/>
      <c r="CJ1493" s="143"/>
      <c r="CK1493" s="143"/>
      <c r="CL1493" s="143"/>
      <c r="CM1493" s="143"/>
      <c r="CN1493"/>
      <c r="CO1493"/>
      <c r="CP1493"/>
      <c r="CQ1493"/>
      <c r="CR1493"/>
      <c r="CS1493"/>
      <c r="CT1493"/>
      <c r="CU1493"/>
      <c r="CV1493" s="2"/>
      <c r="CX1493"/>
      <c r="DC1493"/>
      <c r="DI1493"/>
      <c r="DJ1493"/>
      <c r="DK1493"/>
      <c r="DL1493"/>
      <c r="DM1493"/>
      <c r="DN1493"/>
      <c r="DP1493" s="143"/>
      <c r="DT1493"/>
      <c r="DU1493" s="143"/>
      <c r="DV1493" s="143"/>
      <c r="DW1493" s="143"/>
      <c r="DX1493" s="143"/>
      <c r="DY1493" s="143"/>
      <c r="DZ1493" s="143"/>
      <c r="EA1493" s="143"/>
      <c r="EB1493" s="143"/>
      <c r="EC1493" s="143"/>
      <c r="ED1493" s="143"/>
      <c r="EE1493" s="143"/>
      <c r="EF1493" s="143"/>
      <c r="EG1493" s="143"/>
      <c r="EH1493" s="143"/>
      <c r="EI1493" s="196"/>
      <c r="ER1493" s="149"/>
    </row>
    <row r="1494" spans="15:148" ht="15" hidden="1" customHeight="1">
      <c r="O1494" s="145"/>
      <c r="AX1494" s="141"/>
      <c r="AY1494" s="141"/>
      <c r="BE1494"/>
      <c r="BF1494" s="2"/>
      <c r="BU1494" s="144"/>
      <c r="CN1494"/>
      <c r="CO1494"/>
      <c r="CP1494"/>
      <c r="CQ1494"/>
      <c r="CR1494"/>
      <c r="CS1494"/>
      <c r="CT1494"/>
      <c r="CU1494"/>
      <c r="CV1494" s="2"/>
      <c r="CX1494"/>
      <c r="DC1494"/>
      <c r="DI1494"/>
      <c r="DJ1494"/>
      <c r="DK1494"/>
      <c r="DL1494"/>
      <c r="DM1494"/>
      <c r="DN1494"/>
      <c r="DT1494"/>
      <c r="DU1494" s="143"/>
      <c r="EA1494" s="143"/>
      <c r="ER1494" s="149"/>
    </row>
    <row r="1495" spans="15:148" ht="15" hidden="1" customHeight="1">
      <c r="O1495" s="145"/>
      <c r="AX1495" s="141"/>
      <c r="AY1495" s="141"/>
      <c r="BE1495"/>
      <c r="BF1495" s="2"/>
      <c r="BU1495" s="144"/>
      <c r="CN1495"/>
      <c r="CO1495"/>
      <c r="CP1495"/>
      <c r="CQ1495"/>
      <c r="CR1495"/>
      <c r="CS1495"/>
      <c r="CT1495"/>
      <c r="CU1495"/>
      <c r="CV1495" s="2"/>
      <c r="CX1495"/>
      <c r="DC1495"/>
      <c r="DI1495"/>
      <c r="DJ1495"/>
      <c r="DK1495"/>
      <c r="DL1495"/>
      <c r="DM1495"/>
      <c r="DN1495"/>
      <c r="DT1495"/>
      <c r="DU1495" s="143"/>
      <c r="EA1495" s="143"/>
      <c r="ER1495" s="149"/>
    </row>
    <row r="1496" spans="15:148" ht="15" hidden="1" customHeight="1">
      <c r="O1496" s="145"/>
      <c r="AX1496" s="141"/>
      <c r="AY1496" s="141"/>
      <c r="BE1496"/>
      <c r="BF1496" s="2"/>
      <c r="BU1496" s="144"/>
      <c r="CN1496"/>
      <c r="CO1496"/>
      <c r="CP1496"/>
      <c r="CQ1496"/>
      <c r="CR1496"/>
      <c r="CS1496"/>
      <c r="CT1496"/>
      <c r="CU1496"/>
      <c r="CV1496" s="2"/>
      <c r="CX1496"/>
      <c r="DC1496"/>
      <c r="DI1496"/>
      <c r="DJ1496"/>
      <c r="DK1496"/>
      <c r="DL1496"/>
      <c r="DM1496"/>
      <c r="DN1496"/>
      <c r="DT1496"/>
      <c r="DU1496" s="143"/>
      <c r="EA1496" s="143"/>
      <c r="ER1496" s="149"/>
    </row>
    <row r="1497" spans="15:148" ht="15" hidden="1" customHeight="1">
      <c r="O1497" s="145"/>
      <c r="AX1497" s="141"/>
      <c r="AY1497" s="141"/>
      <c r="BE1497"/>
      <c r="BF1497" s="2"/>
      <c r="BU1497" s="144"/>
      <c r="CN1497"/>
      <c r="CO1497"/>
      <c r="CP1497"/>
      <c r="CQ1497"/>
      <c r="CR1497"/>
      <c r="CS1497"/>
      <c r="CT1497"/>
      <c r="CU1497"/>
      <c r="CV1497" s="2"/>
      <c r="CX1497"/>
      <c r="DC1497"/>
      <c r="DI1497"/>
      <c r="DJ1497"/>
      <c r="DK1497"/>
      <c r="DL1497"/>
      <c r="DM1497"/>
      <c r="DN1497"/>
      <c r="DT1497"/>
      <c r="DU1497" s="143"/>
      <c r="EA1497" s="143"/>
      <c r="ER1497" s="149"/>
    </row>
    <row r="1498" spans="15:148" ht="15" hidden="1" customHeight="1">
      <c r="O1498" s="145"/>
      <c r="AX1498" s="141"/>
      <c r="AY1498" s="141"/>
      <c r="BE1498"/>
      <c r="BF1498" s="2"/>
      <c r="BU1498" s="144"/>
      <c r="CN1498"/>
      <c r="CO1498"/>
      <c r="CP1498"/>
      <c r="CQ1498"/>
      <c r="CR1498"/>
      <c r="CS1498"/>
      <c r="CT1498"/>
      <c r="CU1498"/>
      <c r="CV1498" s="2"/>
      <c r="CX1498"/>
      <c r="DC1498"/>
      <c r="DI1498"/>
      <c r="DJ1498"/>
      <c r="DK1498"/>
      <c r="DL1498"/>
      <c r="DM1498"/>
      <c r="DN1498"/>
      <c r="DT1498"/>
      <c r="DU1498" s="143"/>
      <c r="EA1498" s="143"/>
      <c r="ER1498" s="149"/>
    </row>
    <row r="1499" spans="15:148" ht="15" hidden="1" customHeight="1">
      <c r="O1499" s="145"/>
      <c r="AX1499" s="141"/>
      <c r="AY1499" s="141"/>
      <c r="BE1499"/>
      <c r="BF1499" s="2"/>
      <c r="BU1499" s="144"/>
      <c r="CN1499"/>
      <c r="CO1499"/>
      <c r="CP1499"/>
      <c r="CQ1499"/>
      <c r="CR1499"/>
      <c r="CS1499"/>
      <c r="CT1499"/>
      <c r="CU1499"/>
      <c r="CV1499" s="2"/>
      <c r="CX1499"/>
      <c r="DC1499"/>
      <c r="DI1499"/>
      <c r="DJ1499"/>
      <c r="DK1499"/>
      <c r="DL1499"/>
      <c r="DM1499"/>
      <c r="DN1499"/>
      <c r="DT1499"/>
      <c r="DU1499" s="143"/>
      <c r="EA1499" s="143"/>
      <c r="ER1499" s="149"/>
    </row>
    <row r="1500" spans="15:148" ht="15" hidden="1" customHeight="1">
      <c r="O1500" s="145"/>
      <c r="AX1500" s="141"/>
      <c r="AY1500" s="141"/>
      <c r="BE1500"/>
      <c r="BF1500" s="2"/>
      <c r="BU1500" s="144"/>
      <c r="CN1500"/>
      <c r="CO1500"/>
      <c r="CP1500"/>
      <c r="CQ1500"/>
      <c r="CR1500"/>
      <c r="CS1500"/>
      <c r="CT1500"/>
      <c r="CU1500"/>
      <c r="CV1500" s="2"/>
      <c r="CX1500"/>
      <c r="DC1500"/>
      <c r="DI1500"/>
      <c r="DJ1500"/>
      <c r="DK1500"/>
      <c r="DL1500"/>
      <c r="DM1500"/>
      <c r="DN1500"/>
      <c r="DT1500"/>
      <c r="DU1500" s="143"/>
      <c r="EA1500" s="143"/>
      <c r="ER1500" s="149"/>
    </row>
    <row r="1501" spans="15:148" hidden="1">
      <c r="O1501" s="145"/>
      <c r="AX1501" s="141"/>
      <c r="AY1501" s="141"/>
      <c r="BE1501"/>
      <c r="BF1501" s="2"/>
      <c r="BU1501" s="144"/>
      <c r="CN1501"/>
      <c r="CO1501"/>
      <c r="CP1501"/>
      <c r="CQ1501"/>
      <c r="CR1501"/>
      <c r="CS1501"/>
      <c r="CT1501"/>
      <c r="CU1501"/>
      <c r="CV1501" s="2"/>
      <c r="CX1501"/>
      <c r="DC1501"/>
      <c r="DI1501"/>
      <c r="DJ1501"/>
      <c r="DK1501"/>
      <c r="DL1501"/>
      <c r="DM1501"/>
      <c r="DN1501"/>
      <c r="DT1501"/>
      <c r="DU1501" s="143"/>
      <c r="ER1501" s="149"/>
    </row>
    <row r="1502" spans="15:148" hidden="1">
      <c r="O1502" s="145"/>
      <c r="AX1502" s="141"/>
      <c r="AY1502" s="141"/>
      <c r="BE1502"/>
      <c r="BF1502" s="2"/>
      <c r="BU1502" s="144"/>
      <c r="CN1502"/>
      <c r="CO1502"/>
      <c r="CP1502"/>
      <c r="CQ1502"/>
      <c r="CR1502"/>
      <c r="CS1502"/>
      <c r="CT1502"/>
      <c r="CU1502"/>
      <c r="CV1502" s="2"/>
      <c r="CX1502"/>
      <c r="DC1502"/>
      <c r="DI1502"/>
      <c r="DJ1502"/>
      <c r="DK1502"/>
      <c r="DL1502"/>
      <c r="DM1502"/>
      <c r="DN1502"/>
      <c r="DT1502"/>
      <c r="DU1502" s="143"/>
      <c r="ER1502" s="149"/>
    </row>
    <row r="1503" spans="15:148" hidden="1">
      <c r="O1503" s="145"/>
      <c r="AX1503" s="141"/>
      <c r="AY1503" s="141"/>
      <c r="BE1503"/>
      <c r="BF1503" s="2"/>
      <c r="BU1503" s="144"/>
      <c r="CN1503"/>
      <c r="CO1503"/>
      <c r="CP1503"/>
      <c r="CQ1503"/>
      <c r="CR1503"/>
      <c r="CS1503"/>
      <c r="CT1503"/>
      <c r="CU1503"/>
      <c r="CV1503" s="2"/>
      <c r="CX1503"/>
      <c r="DC1503"/>
      <c r="DI1503"/>
      <c r="DJ1503"/>
      <c r="DK1503"/>
      <c r="DL1503"/>
      <c r="DM1503"/>
      <c r="DN1503"/>
      <c r="DT1503"/>
      <c r="DU1503" s="143"/>
      <c r="EA1503" s="143"/>
      <c r="ER1503" s="149"/>
    </row>
    <row r="1504" spans="15:148" hidden="1">
      <c r="O1504" s="145"/>
      <c r="AX1504" s="141"/>
      <c r="AY1504" s="141"/>
      <c r="BE1504"/>
      <c r="BF1504" s="2"/>
      <c r="BU1504" s="144"/>
      <c r="CN1504"/>
      <c r="CO1504"/>
      <c r="CP1504"/>
      <c r="CQ1504"/>
      <c r="CR1504"/>
      <c r="CS1504"/>
      <c r="CT1504"/>
      <c r="CU1504"/>
      <c r="CV1504" s="2"/>
      <c r="CX1504"/>
      <c r="DC1504"/>
      <c r="DI1504"/>
      <c r="DJ1504"/>
      <c r="DK1504"/>
      <c r="DL1504"/>
      <c r="DM1504"/>
      <c r="DN1504"/>
      <c r="DT1504"/>
      <c r="DU1504" s="143"/>
      <c r="EA1504" s="143"/>
      <c r="ER1504" s="149"/>
    </row>
    <row r="1505" spans="1:151" hidden="1">
      <c r="O1505" s="145"/>
      <c r="AX1505" s="141"/>
      <c r="AY1505" s="141"/>
      <c r="BE1505"/>
      <c r="BF1505" s="2"/>
      <c r="BU1505" s="144"/>
      <c r="CN1505"/>
      <c r="CO1505"/>
      <c r="CP1505"/>
      <c r="CQ1505"/>
      <c r="CR1505"/>
      <c r="CS1505"/>
      <c r="CT1505"/>
      <c r="CU1505"/>
      <c r="CV1505" s="2"/>
      <c r="CX1505"/>
      <c r="DC1505"/>
      <c r="DI1505"/>
      <c r="DJ1505"/>
      <c r="DK1505"/>
      <c r="DL1505"/>
      <c r="DM1505"/>
      <c r="DN1505"/>
      <c r="DT1505"/>
      <c r="DU1505" s="143"/>
      <c r="EA1505" s="143"/>
      <c r="ER1505" s="149"/>
    </row>
    <row r="1506" spans="1:151" hidden="1">
      <c r="BE1506"/>
      <c r="BF1506" s="2"/>
      <c r="CN1506"/>
      <c r="CO1506"/>
      <c r="CP1506"/>
      <c r="CQ1506"/>
      <c r="CR1506"/>
      <c r="CS1506"/>
      <c r="CT1506"/>
      <c r="CU1506"/>
      <c r="CV1506" s="2"/>
      <c r="CX1506"/>
      <c r="DC1506"/>
      <c r="DI1506"/>
      <c r="DJ1506"/>
      <c r="DK1506"/>
      <c r="DL1506"/>
      <c r="DM1506"/>
      <c r="DN1506"/>
      <c r="DT1506"/>
      <c r="DU1506"/>
    </row>
    <row r="1507" spans="1:151" hidden="1">
      <c r="O1507" s="171"/>
      <c r="AX1507" s="141"/>
      <c r="AY1507" s="141"/>
      <c r="BE1507"/>
      <c r="BF1507" s="2"/>
      <c r="BU1507" s="144"/>
      <c r="CN1507"/>
      <c r="CO1507"/>
      <c r="CP1507"/>
      <c r="CQ1507"/>
      <c r="CR1507"/>
      <c r="CS1507"/>
      <c r="CT1507"/>
      <c r="CU1507"/>
      <c r="CV1507" s="2"/>
      <c r="CX1507"/>
      <c r="DC1507"/>
      <c r="DI1507"/>
      <c r="DJ1507"/>
      <c r="DK1507"/>
      <c r="DL1507"/>
      <c r="DM1507"/>
      <c r="DN1507"/>
      <c r="DT1507"/>
      <c r="DU1507" s="143"/>
      <c r="EA1507" s="143"/>
    </row>
    <row r="1508" spans="1:151" hidden="1">
      <c r="O1508" s="171"/>
      <c r="AX1508" s="141"/>
      <c r="AY1508" s="141"/>
      <c r="BE1508"/>
      <c r="BF1508" s="2"/>
      <c r="BU1508" s="144"/>
      <c r="CN1508"/>
      <c r="CO1508"/>
      <c r="CP1508"/>
      <c r="CQ1508"/>
      <c r="CR1508"/>
      <c r="CS1508"/>
      <c r="CT1508"/>
      <c r="CU1508"/>
      <c r="CV1508" s="2"/>
      <c r="CX1508"/>
      <c r="DC1508"/>
      <c r="DI1508"/>
      <c r="DJ1508"/>
      <c r="DK1508"/>
      <c r="DL1508"/>
      <c r="DM1508"/>
      <c r="DN1508"/>
      <c r="DT1508"/>
      <c r="DU1508" s="143"/>
      <c r="EA1508" s="143"/>
    </row>
    <row r="1509" spans="1:151" s="262" customFormat="1" hidden="1">
      <c r="A1509" s="1"/>
      <c r="B1509"/>
      <c r="C1509"/>
      <c r="D1509"/>
      <c r="E1509"/>
      <c r="F1509"/>
      <c r="G1509"/>
      <c r="H1509"/>
      <c r="I1509"/>
      <c r="J1509"/>
      <c r="K1509"/>
      <c r="L1509"/>
      <c r="M1509"/>
      <c r="N1509"/>
      <c r="O1509" s="171"/>
      <c r="P1509"/>
      <c r="Q1509"/>
      <c r="R1509" s="2"/>
      <c r="S1509" s="1"/>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s="141"/>
      <c r="AY1509" s="141"/>
      <c r="AZ1509"/>
      <c r="BA1509"/>
      <c r="BB1509"/>
      <c r="BC1509"/>
      <c r="BD1509"/>
      <c r="BE1509"/>
      <c r="BF1509" s="2"/>
      <c r="BG1509" s="1"/>
      <c r="BH1509"/>
      <c r="BI1509"/>
      <c r="BJ1509"/>
      <c r="BK1509"/>
      <c r="BL1509"/>
      <c r="BM1509"/>
      <c r="BN1509"/>
      <c r="BO1509"/>
      <c r="BP1509"/>
      <c r="BQ1509"/>
      <c r="BR1509"/>
      <c r="BS1509"/>
      <c r="BT1509"/>
      <c r="BU1509" s="144"/>
      <c r="BV1509"/>
      <c r="BW1509"/>
      <c r="BX1509"/>
      <c r="BY1509"/>
      <c r="BZ1509"/>
      <c r="CA1509"/>
      <c r="CB1509"/>
      <c r="CC1509"/>
      <c r="CD1509"/>
      <c r="CE1509"/>
      <c r="CF1509"/>
      <c r="CG1509"/>
      <c r="CH1509"/>
      <c r="CI1509"/>
      <c r="CJ1509"/>
      <c r="CK1509"/>
      <c r="CL1509"/>
      <c r="CM1509"/>
      <c r="CN1509"/>
      <c r="CO1509"/>
      <c r="CP1509"/>
      <c r="CQ1509"/>
      <c r="CR1509"/>
      <c r="CS1509"/>
      <c r="CT1509"/>
      <c r="CU1509"/>
      <c r="CV1509" s="2"/>
      <c r="CW1509" s="1"/>
      <c r="CX1509"/>
      <c r="CY1509"/>
      <c r="CZ1509"/>
      <c r="DA1509"/>
      <c r="DB1509"/>
      <c r="DC1509"/>
      <c r="DD1509"/>
      <c r="DE1509"/>
      <c r="DF1509"/>
      <c r="DG1509"/>
      <c r="DH1509"/>
      <c r="DI1509"/>
      <c r="DJ1509"/>
      <c r="DK1509"/>
      <c r="DL1509"/>
      <c r="DM1509"/>
      <c r="DN1509"/>
      <c r="DO1509"/>
      <c r="DP1509"/>
      <c r="DQ1509"/>
      <c r="DR1509"/>
      <c r="DS1509"/>
      <c r="DT1509"/>
      <c r="DU1509" s="143"/>
      <c r="DV1509"/>
      <c r="DW1509"/>
      <c r="DX1509"/>
      <c r="DY1509"/>
      <c r="DZ1509"/>
      <c r="EA1509" s="143"/>
      <c r="EB1509"/>
      <c r="EC1509"/>
      <c r="ED1509"/>
      <c r="EE1509"/>
      <c r="EF1509"/>
      <c r="EG1509"/>
      <c r="EH1509"/>
      <c r="EI1509" s="2"/>
      <c r="EJ1509" s="1"/>
      <c r="EK1509"/>
      <c r="EL1509"/>
      <c r="EM1509" s="2"/>
      <c r="EN1509"/>
      <c r="EO1509"/>
      <c r="EP1509"/>
      <c r="EQ1509"/>
      <c r="ER1509"/>
      <c r="ES1509"/>
      <c r="ET1509"/>
      <c r="EU1509"/>
    </row>
    <row r="1510" spans="1:151" s="262" customFormat="1" hidden="1">
      <c r="A1510" s="1"/>
      <c r="B1510"/>
      <c r="C1510"/>
      <c r="D1510"/>
      <c r="E1510"/>
      <c r="F1510"/>
      <c r="G1510"/>
      <c r="H1510"/>
      <c r="I1510"/>
      <c r="J1510"/>
      <c r="K1510"/>
      <c r="L1510"/>
      <c r="M1510"/>
      <c r="N1510"/>
      <c r="O1510" s="171"/>
      <c r="P1510"/>
      <c r="Q1510"/>
      <c r="R1510" s="2"/>
      <c r="S1510" s="1"/>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s="141"/>
      <c r="AY1510" s="141"/>
      <c r="AZ1510"/>
      <c r="BA1510"/>
      <c r="BB1510"/>
      <c r="BC1510"/>
      <c r="BD1510"/>
      <c r="BE1510"/>
      <c r="BF1510" s="2"/>
      <c r="BG1510" s="1"/>
      <c r="BH1510"/>
      <c r="BI1510"/>
      <c r="BJ1510"/>
      <c r="BK1510"/>
      <c r="BL1510"/>
      <c r="BM1510"/>
      <c r="BN1510"/>
      <c r="BO1510"/>
      <c r="BP1510"/>
      <c r="BQ1510"/>
      <c r="BR1510"/>
      <c r="BS1510"/>
      <c r="BT1510"/>
      <c r="BU1510" s="144"/>
      <c r="BV1510"/>
      <c r="BW1510"/>
      <c r="BX1510"/>
      <c r="BY1510"/>
      <c r="BZ1510"/>
      <c r="CA1510"/>
      <c r="CB1510"/>
      <c r="CC1510"/>
      <c r="CD1510"/>
      <c r="CE1510"/>
      <c r="CF1510"/>
      <c r="CG1510"/>
      <c r="CH1510"/>
      <c r="CI1510"/>
      <c r="CJ1510"/>
      <c r="CK1510"/>
      <c r="CL1510"/>
      <c r="CM1510"/>
      <c r="CN1510"/>
      <c r="CO1510"/>
      <c r="CP1510"/>
      <c r="CQ1510"/>
      <c r="CR1510"/>
      <c r="CS1510"/>
      <c r="CT1510"/>
      <c r="CU1510"/>
      <c r="CV1510" s="2"/>
      <c r="CW1510" s="1"/>
      <c r="CX1510"/>
      <c r="CY1510"/>
      <c r="CZ1510"/>
      <c r="DA1510"/>
      <c r="DB1510"/>
      <c r="DC1510"/>
      <c r="DD1510"/>
      <c r="DE1510"/>
      <c r="DF1510"/>
      <c r="DG1510"/>
      <c r="DH1510"/>
      <c r="DI1510"/>
      <c r="DJ1510"/>
      <c r="DK1510"/>
      <c r="DL1510"/>
      <c r="DM1510"/>
      <c r="DN1510"/>
      <c r="DO1510"/>
      <c r="DP1510"/>
      <c r="DQ1510"/>
      <c r="DR1510"/>
      <c r="DS1510"/>
      <c r="DT1510"/>
      <c r="DU1510" s="143"/>
      <c r="DV1510"/>
      <c r="DW1510"/>
      <c r="DX1510"/>
      <c r="DY1510"/>
      <c r="DZ1510"/>
      <c r="EA1510" s="143"/>
      <c r="EB1510"/>
      <c r="EC1510"/>
      <c r="ED1510"/>
      <c r="EE1510"/>
      <c r="EF1510"/>
      <c r="EG1510"/>
      <c r="EH1510"/>
      <c r="EI1510" s="2"/>
      <c r="EJ1510" s="1"/>
      <c r="EK1510"/>
      <c r="EL1510"/>
      <c r="EM1510" s="2"/>
      <c r="EN1510"/>
      <c r="EO1510"/>
      <c r="EP1510"/>
      <c r="EQ1510"/>
      <c r="ER1510"/>
      <c r="ES1510"/>
      <c r="ET1510"/>
      <c r="EU1510"/>
    </row>
    <row r="1511" spans="1:151" s="262" customFormat="1" hidden="1">
      <c r="A1511" s="1"/>
      <c r="B1511"/>
      <c r="C1511"/>
      <c r="D1511"/>
      <c r="E1511"/>
      <c r="F1511"/>
      <c r="G1511"/>
      <c r="H1511"/>
      <c r="I1511"/>
      <c r="J1511"/>
      <c r="K1511"/>
      <c r="L1511"/>
      <c r="M1511"/>
      <c r="N1511"/>
      <c r="O1511" s="171"/>
      <c r="P1511"/>
      <c r="Q1511"/>
      <c r="R1511" s="2"/>
      <c r="S1511" s="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s="141"/>
      <c r="AY1511" s="141"/>
      <c r="AZ1511"/>
      <c r="BA1511"/>
      <c r="BB1511"/>
      <c r="BC1511"/>
      <c r="BD1511"/>
      <c r="BE1511"/>
      <c r="BF1511" s="2"/>
      <c r="BG1511" s="1"/>
      <c r="BH1511"/>
      <c r="BI1511"/>
      <c r="BJ1511"/>
      <c r="BK1511"/>
      <c r="BL1511"/>
      <c r="BM1511"/>
      <c r="BN1511"/>
      <c r="BO1511"/>
      <c r="BP1511"/>
      <c r="BQ1511"/>
      <c r="BR1511"/>
      <c r="BS1511"/>
      <c r="BT1511"/>
      <c r="BU1511" s="144"/>
      <c r="BV1511"/>
      <c r="BW1511"/>
      <c r="BX1511"/>
      <c r="BY1511"/>
      <c r="BZ1511"/>
      <c r="CA1511"/>
      <c r="CB1511"/>
      <c r="CC1511"/>
      <c r="CD1511"/>
      <c r="CE1511"/>
      <c r="CF1511"/>
      <c r="CG1511"/>
      <c r="CH1511"/>
      <c r="CI1511"/>
      <c r="CJ1511"/>
      <c r="CK1511"/>
      <c r="CL1511"/>
      <c r="CM1511"/>
      <c r="CN1511"/>
      <c r="CO1511"/>
      <c r="CP1511"/>
      <c r="CQ1511"/>
      <c r="CR1511"/>
      <c r="CS1511"/>
      <c r="CT1511"/>
      <c r="CU1511"/>
      <c r="CV1511" s="2"/>
      <c r="CW1511" s="1"/>
      <c r="CX1511"/>
      <c r="CY1511"/>
      <c r="CZ1511"/>
      <c r="DA1511"/>
      <c r="DB1511"/>
      <c r="DC1511"/>
      <c r="DD1511"/>
      <c r="DE1511"/>
      <c r="DF1511"/>
      <c r="DG1511"/>
      <c r="DH1511"/>
      <c r="DI1511"/>
      <c r="DJ1511"/>
      <c r="DK1511"/>
      <c r="DL1511"/>
      <c r="DM1511"/>
      <c r="DN1511"/>
      <c r="DO1511"/>
      <c r="DP1511"/>
      <c r="DQ1511"/>
      <c r="DR1511"/>
      <c r="DS1511"/>
      <c r="DT1511"/>
      <c r="DU1511" s="143"/>
      <c r="DV1511"/>
      <c r="DW1511"/>
      <c r="DX1511"/>
      <c r="DY1511"/>
      <c r="DZ1511"/>
      <c r="EA1511" s="143"/>
      <c r="EB1511"/>
      <c r="EC1511"/>
      <c r="ED1511"/>
      <c r="EE1511"/>
      <c r="EF1511"/>
      <c r="EG1511"/>
      <c r="EH1511"/>
      <c r="EI1511" s="2"/>
      <c r="EJ1511" s="1"/>
      <c r="EK1511"/>
      <c r="EL1511"/>
      <c r="EM1511" s="2"/>
      <c r="EN1511"/>
      <c r="EO1511"/>
      <c r="EP1511"/>
      <c r="EQ1511"/>
      <c r="ER1511"/>
      <c r="ES1511"/>
      <c r="ET1511"/>
      <c r="EU1511"/>
    </row>
    <row r="1512" spans="1:151" s="262" customFormat="1" hidden="1">
      <c r="A1512" s="1"/>
      <c r="B1512"/>
      <c r="C1512"/>
      <c r="D1512"/>
      <c r="E1512"/>
      <c r="F1512"/>
      <c r="G1512"/>
      <c r="H1512"/>
      <c r="I1512"/>
      <c r="J1512"/>
      <c r="K1512"/>
      <c r="L1512"/>
      <c r="M1512"/>
      <c r="N1512"/>
      <c r="O1512" s="171"/>
      <c r="P1512"/>
      <c r="Q1512"/>
      <c r="R1512" s="2"/>
      <c r="S1512" s="1"/>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s="141"/>
      <c r="AY1512" s="141"/>
      <c r="AZ1512"/>
      <c r="BA1512"/>
      <c r="BB1512"/>
      <c r="BC1512"/>
      <c r="BD1512"/>
      <c r="BE1512"/>
      <c r="BF1512" s="2"/>
      <c r="BG1512" s="1"/>
      <c r="BH1512"/>
      <c r="BI1512"/>
      <c r="BJ1512"/>
      <c r="BK1512"/>
      <c r="BL1512"/>
      <c r="BM1512"/>
      <c r="BN1512"/>
      <c r="BO1512"/>
      <c r="BP1512"/>
      <c r="BQ1512"/>
      <c r="BR1512"/>
      <c r="BS1512"/>
      <c r="BT1512"/>
      <c r="BU1512" s="144"/>
      <c r="BV1512"/>
      <c r="BW1512"/>
      <c r="BX1512"/>
      <c r="BY1512"/>
      <c r="BZ1512"/>
      <c r="CA1512"/>
      <c r="CB1512"/>
      <c r="CC1512"/>
      <c r="CD1512"/>
      <c r="CE1512"/>
      <c r="CF1512"/>
      <c r="CG1512"/>
      <c r="CH1512"/>
      <c r="CI1512"/>
      <c r="CJ1512"/>
      <c r="CK1512"/>
      <c r="CL1512"/>
      <c r="CM1512"/>
      <c r="CN1512"/>
      <c r="CO1512"/>
      <c r="CP1512"/>
      <c r="CQ1512"/>
      <c r="CR1512"/>
      <c r="CS1512"/>
      <c r="CT1512"/>
      <c r="CU1512"/>
      <c r="CV1512" s="2"/>
      <c r="CW1512" s="1"/>
      <c r="CX1512"/>
      <c r="CY1512"/>
      <c r="CZ1512"/>
      <c r="DA1512"/>
      <c r="DB1512"/>
      <c r="DC1512"/>
      <c r="DD1512"/>
      <c r="DE1512"/>
      <c r="DF1512"/>
      <c r="DG1512"/>
      <c r="DH1512"/>
      <c r="DI1512"/>
      <c r="DJ1512"/>
      <c r="DK1512"/>
      <c r="DL1512"/>
      <c r="DM1512"/>
      <c r="DN1512"/>
      <c r="DO1512"/>
      <c r="DP1512"/>
      <c r="DQ1512"/>
      <c r="DR1512"/>
      <c r="DS1512"/>
      <c r="DT1512"/>
      <c r="DU1512" s="143"/>
      <c r="DV1512"/>
      <c r="DW1512"/>
      <c r="DX1512"/>
      <c r="DY1512"/>
      <c r="DZ1512"/>
      <c r="EA1512" s="143"/>
      <c r="EB1512"/>
      <c r="EC1512"/>
      <c r="ED1512"/>
      <c r="EE1512"/>
      <c r="EF1512"/>
      <c r="EG1512"/>
      <c r="EH1512"/>
      <c r="EI1512" s="2"/>
      <c r="EJ1512" s="1"/>
      <c r="EK1512"/>
      <c r="EL1512"/>
      <c r="EM1512" s="2"/>
      <c r="EN1512"/>
      <c r="EO1512"/>
      <c r="EP1512"/>
      <c r="EQ1512"/>
      <c r="ER1512"/>
      <c r="ES1512"/>
      <c r="ET1512"/>
      <c r="EU1512"/>
    </row>
    <row r="1513" spans="1:151" hidden="1">
      <c r="O1513" s="171"/>
      <c r="AX1513" s="141"/>
      <c r="AY1513" s="141"/>
      <c r="BE1513"/>
      <c r="BF1513" s="2"/>
      <c r="BU1513" s="144"/>
      <c r="CN1513"/>
      <c r="CO1513"/>
      <c r="CP1513"/>
      <c r="CQ1513"/>
      <c r="CR1513"/>
      <c r="CS1513"/>
      <c r="CT1513"/>
      <c r="CU1513"/>
      <c r="CV1513" s="2"/>
      <c r="CX1513"/>
      <c r="DC1513"/>
      <c r="DI1513"/>
      <c r="DJ1513"/>
      <c r="DK1513"/>
      <c r="DL1513"/>
      <c r="DM1513"/>
      <c r="DN1513"/>
      <c r="DT1513"/>
      <c r="DU1513" s="143"/>
      <c r="EA1513" s="143"/>
    </row>
    <row r="1514" spans="1:151" hidden="1">
      <c r="BE1514"/>
      <c r="BF1514" s="2"/>
      <c r="CN1514"/>
      <c r="CO1514"/>
      <c r="CP1514"/>
      <c r="CQ1514"/>
      <c r="CR1514"/>
      <c r="CS1514"/>
      <c r="CT1514"/>
      <c r="CU1514"/>
      <c r="CV1514" s="2"/>
      <c r="CX1514"/>
      <c r="DC1514"/>
      <c r="DI1514"/>
      <c r="DJ1514"/>
      <c r="DK1514"/>
      <c r="DL1514"/>
      <c r="DM1514"/>
      <c r="DN1514"/>
      <c r="DT1514"/>
      <c r="DU1514"/>
    </row>
    <row r="1515" spans="1:151" hidden="1">
      <c r="O1515" s="145"/>
      <c r="AX1515" s="141"/>
      <c r="AY1515" s="141"/>
      <c r="BE1515"/>
      <c r="BF1515" s="2"/>
      <c r="BU1515" s="144"/>
      <c r="CN1515"/>
      <c r="CO1515"/>
      <c r="CP1515"/>
      <c r="CQ1515"/>
      <c r="CR1515"/>
      <c r="CS1515"/>
      <c r="CT1515"/>
      <c r="CU1515"/>
      <c r="CV1515" s="2"/>
      <c r="CX1515"/>
      <c r="DC1515"/>
      <c r="DI1515"/>
      <c r="DJ1515"/>
      <c r="DK1515"/>
      <c r="DL1515"/>
      <c r="DM1515"/>
      <c r="DN1515"/>
      <c r="DT1515"/>
      <c r="DU1515" s="143"/>
    </row>
    <row r="1516" spans="1:151" hidden="1">
      <c r="O1516" s="145"/>
      <c r="AX1516" s="141"/>
      <c r="AY1516" s="141"/>
      <c r="BE1516"/>
      <c r="BF1516" s="2"/>
      <c r="BU1516" s="144"/>
      <c r="CN1516"/>
      <c r="CO1516"/>
      <c r="CP1516"/>
      <c r="CQ1516"/>
      <c r="CR1516"/>
      <c r="CS1516"/>
      <c r="CT1516"/>
      <c r="CU1516"/>
      <c r="CV1516" s="2"/>
      <c r="CX1516"/>
      <c r="DC1516"/>
      <c r="DI1516"/>
      <c r="DJ1516"/>
      <c r="DK1516"/>
      <c r="DL1516"/>
      <c r="DM1516"/>
      <c r="DN1516"/>
      <c r="DT1516"/>
      <c r="DU1516" s="143"/>
    </row>
    <row r="1517" spans="1:151" hidden="1">
      <c r="O1517" s="145"/>
      <c r="AX1517" s="141"/>
      <c r="AY1517" s="141"/>
      <c r="BE1517"/>
      <c r="BF1517" s="2"/>
      <c r="BU1517" s="144"/>
      <c r="CN1517"/>
      <c r="CO1517"/>
      <c r="CP1517"/>
      <c r="CQ1517"/>
      <c r="CR1517"/>
      <c r="CS1517"/>
      <c r="CT1517"/>
      <c r="CU1517"/>
      <c r="CV1517" s="2"/>
      <c r="CX1517"/>
      <c r="DC1517"/>
      <c r="DI1517"/>
      <c r="DJ1517"/>
      <c r="DK1517"/>
      <c r="DL1517"/>
      <c r="DM1517"/>
      <c r="DN1517"/>
      <c r="DT1517"/>
      <c r="DU1517" s="143"/>
      <c r="ER1517" s="149"/>
    </row>
    <row r="1518" spans="1:151" hidden="1">
      <c r="O1518" s="145"/>
      <c r="AX1518" s="141"/>
      <c r="AY1518" s="141"/>
      <c r="BE1518"/>
      <c r="BF1518" s="2"/>
      <c r="BG1518" s="142"/>
      <c r="BJ1518" s="143"/>
      <c r="BL1518" s="143"/>
      <c r="BM1518" s="143"/>
      <c r="BN1518" s="143"/>
      <c r="BO1518" s="143"/>
      <c r="BS1518" s="143"/>
      <c r="BU1518" s="144"/>
      <c r="CN1518"/>
      <c r="CO1518"/>
      <c r="CP1518"/>
      <c r="CQ1518"/>
      <c r="CR1518"/>
      <c r="CS1518"/>
      <c r="CT1518"/>
      <c r="CU1518"/>
      <c r="CV1518" s="2"/>
      <c r="CX1518"/>
      <c r="DC1518"/>
      <c r="DI1518"/>
      <c r="DJ1518"/>
      <c r="DK1518"/>
      <c r="DL1518"/>
      <c r="DM1518"/>
      <c r="DN1518"/>
      <c r="DT1518"/>
      <c r="DU1518" s="143"/>
      <c r="ER1518" s="149"/>
    </row>
    <row r="1519" spans="1:151" hidden="1">
      <c r="O1519" s="145"/>
      <c r="AX1519" s="141"/>
      <c r="AY1519" s="141"/>
      <c r="BE1519"/>
      <c r="BF1519" s="2"/>
      <c r="BG1519" s="142"/>
      <c r="BJ1519" s="143"/>
      <c r="BL1519" s="143"/>
      <c r="BM1519" s="143"/>
      <c r="BN1519" s="143"/>
      <c r="BO1519" s="143"/>
      <c r="BS1519" s="143"/>
      <c r="BU1519" s="144"/>
      <c r="CN1519"/>
      <c r="CO1519"/>
      <c r="CP1519"/>
      <c r="CQ1519"/>
      <c r="CR1519"/>
      <c r="CS1519"/>
      <c r="CT1519"/>
      <c r="CU1519"/>
      <c r="CV1519" s="2"/>
      <c r="CX1519"/>
      <c r="DC1519"/>
      <c r="DI1519"/>
      <c r="DJ1519"/>
      <c r="DK1519"/>
      <c r="DL1519"/>
      <c r="DM1519"/>
      <c r="DN1519"/>
      <c r="DT1519"/>
      <c r="DU1519" s="143"/>
      <c r="ER1519" s="149"/>
    </row>
    <row r="1520" spans="1:151" hidden="1">
      <c r="O1520" s="145"/>
      <c r="AX1520" s="141"/>
      <c r="AY1520" s="141"/>
      <c r="BE1520"/>
      <c r="BF1520" s="2"/>
      <c r="BG1520" s="142"/>
      <c r="BJ1520" s="143"/>
      <c r="BL1520" s="143"/>
      <c r="BM1520" s="143"/>
      <c r="BN1520" s="143"/>
      <c r="BO1520" s="143"/>
      <c r="BS1520" s="143"/>
      <c r="BU1520" s="144"/>
      <c r="CN1520"/>
      <c r="CO1520"/>
      <c r="CP1520"/>
      <c r="CQ1520"/>
      <c r="CR1520"/>
      <c r="CS1520"/>
      <c r="CT1520"/>
      <c r="CU1520"/>
      <c r="CV1520" s="2"/>
      <c r="CX1520"/>
      <c r="DC1520"/>
      <c r="DI1520"/>
      <c r="DJ1520"/>
      <c r="DK1520"/>
      <c r="DL1520"/>
      <c r="DM1520"/>
      <c r="DN1520"/>
      <c r="DT1520"/>
      <c r="DU1520" s="143"/>
      <c r="ER1520" s="149"/>
    </row>
    <row r="1521" spans="15:148" hidden="1">
      <c r="O1521" s="145"/>
      <c r="AX1521" s="141"/>
      <c r="AY1521" s="141"/>
      <c r="BE1521"/>
      <c r="BF1521" s="2"/>
      <c r="BG1521" s="142"/>
      <c r="BJ1521" s="143"/>
      <c r="BL1521" s="143"/>
      <c r="BM1521" s="143"/>
      <c r="BN1521" s="143"/>
      <c r="BO1521" s="143"/>
      <c r="BS1521" s="143"/>
      <c r="BU1521" s="144"/>
      <c r="CN1521"/>
      <c r="CO1521"/>
      <c r="CP1521"/>
      <c r="CQ1521"/>
      <c r="CR1521"/>
      <c r="CS1521"/>
      <c r="CT1521"/>
      <c r="CU1521"/>
      <c r="CV1521" s="2"/>
      <c r="CX1521"/>
      <c r="DC1521"/>
      <c r="DI1521"/>
      <c r="DJ1521"/>
      <c r="DK1521"/>
      <c r="DL1521"/>
      <c r="DM1521"/>
      <c r="DN1521"/>
      <c r="DT1521"/>
      <c r="DU1521" s="143"/>
      <c r="ER1521" s="149"/>
    </row>
    <row r="1522" spans="15:148" hidden="1">
      <c r="O1522" s="145"/>
      <c r="AX1522" s="141"/>
      <c r="AY1522" s="141"/>
      <c r="BE1522"/>
      <c r="BF1522" s="2"/>
      <c r="BG1522" s="142"/>
      <c r="BJ1522" s="143"/>
      <c r="BL1522" s="143"/>
      <c r="BM1522" s="143"/>
      <c r="BN1522" s="143"/>
      <c r="BO1522" s="143"/>
      <c r="BS1522" s="143"/>
      <c r="BU1522" s="144"/>
      <c r="CN1522"/>
      <c r="CO1522"/>
      <c r="CP1522"/>
      <c r="CQ1522"/>
      <c r="CR1522"/>
      <c r="CS1522"/>
      <c r="CT1522"/>
      <c r="CU1522"/>
      <c r="CV1522" s="2"/>
      <c r="CX1522"/>
      <c r="DC1522"/>
      <c r="DI1522"/>
      <c r="DJ1522"/>
      <c r="DK1522"/>
      <c r="DL1522"/>
      <c r="DM1522"/>
      <c r="DN1522"/>
      <c r="DT1522"/>
      <c r="DU1522" s="143"/>
      <c r="ER1522" s="149"/>
    </row>
    <row r="1523" spans="15:148" hidden="1">
      <c r="O1523" s="145"/>
      <c r="AX1523" s="141"/>
      <c r="AY1523" s="141"/>
      <c r="BE1523"/>
      <c r="BF1523" s="2"/>
      <c r="BG1523" s="142"/>
      <c r="BJ1523" s="143"/>
      <c r="BL1523" s="143"/>
      <c r="BM1523" s="143"/>
      <c r="BN1523" s="143"/>
      <c r="BO1523" s="143"/>
      <c r="BS1523" s="143"/>
      <c r="BU1523" s="144"/>
      <c r="CN1523"/>
      <c r="CO1523"/>
      <c r="CP1523"/>
      <c r="CQ1523"/>
      <c r="CR1523"/>
      <c r="CS1523"/>
      <c r="CT1523"/>
      <c r="CU1523"/>
      <c r="CV1523" s="2"/>
      <c r="CX1523"/>
      <c r="DC1523"/>
      <c r="DI1523"/>
      <c r="DJ1523"/>
      <c r="DK1523"/>
      <c r="DL1523"/>
      <c r="DM1523"/>
      <c r="DN1523"/>
      <c r="DT1523"/>
      <c r="DU1523" s="143"/>
      <c r="ER1523" s="149"/>
    </row>
    <row r="1524" spans="15:148" hidden="1">
      <c r="O1524" s="145"/>
      <c r="AX1524" s="141"/>
      <c r="AY1524" s="141"/>
      <c r="BE1524"/>
      <c r="BF1524" s="2"/>
      <c r="BG1524" s="142"/>
      <c r="BJ1524" s="143"/>
      <c r="BL1524" s="143"/>
      <c r="BM1524" s="143"/>
      <c r="BN1524" s="143"/>
      <c r="BO1524" s="143"/>
      <c r="BS1524" s="143"/>
      <c r="BU1524" s="144"/>
      <c r="CN1524"/>
      <c r="CO1524"/>
      <c r="CP1524"/>
      <c r="CQ1524"/>
      <c r="CR1524"/>
      <c r="CS1524"/>
      <c r="CT1524"/>
      <c r="CU1524"/>
      <c r="CV1524" s="2"/>
      <c r="CX1524"/>
      <c r="DC1524"/>
      <c r="DI1524"/>
      <c r="DJ1524"/>
      <c r="DK1524"/>
      <c r="DL1524"/>
      <c r="DM1524"/>
      <c r="DN1524"/>
      <c r="DT1524"/>
      <c r="DU1524" s="143"/>
      <c r="ER1524" s="149"/>
    </row>
    <row r="1525" spans="15:148" hidden="1">
      <c r="O1525" s="145"/>
      <c r="AX1525" s="141"/>
      <c r="AY1525" s="141"/>
      <c r="BE1525"/>
      <c r="BF1525" s="2"/>
      <c r="BG1525" s="142"/>
      <c r="BJ1525" s="143"/>
      <c r="BL1525" s="143"/>
      <c r="BM1525" s="143"/>
      <c r="BN1525" s="143"/>
      <c r="BO1525" s="143"/>
      <c r="BS1525" s="143"/>
      <c r="BU1525" s="144"/>
      <c r="CN1525"/>
      <c r="CO1525"/>
      <c r="CP1525"/>
      <c r="CQ1525"/>
      <c r="CR1525"/>
      <c r="CS1525"/>
      <c r="CT1525"/>
      <c r="CU1525"/>
      <c r="CV1525" s="2"/>
      <c r="CX1525"/>
      <c r="DC1525"/>
      <c r="DI1525"/>
      <c r="DJ1525"/>
      <c r="DK1525"/>
      <c r="DL1525"/>
      <c r="DM1525"/>
      <c r="DN1525"/>
      <c r="DT1525"/>
      <c r="DU1525" s="143"/>
      <c r="ER1525" s="149"/>
    </row>
    <row r="1526" spans="15:148" hidden="1">
      <c r="O1526" s="145"/>
      <c r="AX1526" s="141"/>
      <c r="AY1526" s="141"/>
      <c r="BE1526"/>
      <c r="BF1526" s="2"/>
      <c r="BG1526" s="142"/>
      <c r="BJ1526" s="143"/>
      <c r="BL1526" s="143"/>
      <c r="BM1526" s="143"/>
      <c r="BN1526" s="143"/>
      <c r="BO1526" s="143"/>
      <c r="BS1526" s="143"/>
      <c r="BU1526" s="144"/>
      <c r="CN1526"/>
      <c r="CO1526"/>
      <c r="CP1526"/>
      <c r="CQ1526"/>
      <c r="CR1526"/>
      <c r="CS1526"/>
      <c r="CT1526"/>
      <c r="CU1526"/>
      <c r="CV1526" s="2"/>
      <c r="CX1526"/>
      <c r="DC1526"/>
      <c r="DI1526"/>
      <c r="DJ1526"/>
      <c r="DK1526"/>
      <c r="DL1526"/>
      <c r="DM1526"/>
      <c r="DN1526"/>
      <c r="DT1526"/>
      <c r="DU1526" s="143"/>
      <c r="ER1526" s="149"/>
    </row>
    <row r="1527" spans="15:148" hidden="1">
      <c r="O1527" s="145"/>
      <c r="AX1527" s="141"/>
      <c r="AY1527" s="141"/>
      <c r="BE1527"/>
      <c r="BF1527" s="2"/>
      <c r="BG1527" s="142"/>
      <c r="BJ1527" s="143"/>
      <c r="BL1527" s="143"/>
      <c r="BM1527" s="143"/>
      <c r="BN1527" s="143"/>
      <c r="BO1527" s="143"/>
      <c r="BS1527" s="143"/>
      <c r="BU1527" s="144"/>
      <c r="CN1527"/>
      <c r="CO1527"/>
      <c r="CP1527"/>
      <c r="CQ1527"/>
      <c r="CR1527"/>
      <c r="CS1527"/>
      <c r="CT1527"/>
      <c r="CU1527"/>
      <c r="CV1527" s="2"/>
      <c r="CX1527"/>
      <c r="DC1527"/>
      <c r="DI1527"/>
      <c r="DJ1527"/>
      <c r="DK1527"/>
      <c r="DL1527"/>
      <c r="DM1527"/>
      <c r="DN1527"/>
      <c r="DT1527"/>
      <c r="DU1527" s="143"/>
      <c r="ER1527" s="149"/>
    </row>
    <row r="1528" spans="15:148" hidden="1">
      <c r="O1528" s="145"/>
      <c r="AX1528" s="141"/>
      <c r="AY1528" s="141"/>
      <c r="BE1528"/>
      <c r="BF1528" s="2"/>
      <c r="BU1528" s="144"/>
      <c r="CN1528"/>
      <c r="CO1528"/>
      <c r="CP1528"/>
      <c r="CQ1528"/>
      <c r="CR1528"/>
      <c r="CS1528"/>
      <c r="CT1528"/>
      <c r="CU1528"/>
      <c r="CV1528" s="2"/>
      <c r="CX1528"/>
      <c r="DC1528"/>
      <c r="DI1528"/>
      <c r="DJ1528"/>
      <c r="DK1528"/>
      <c r="DL1528"/>
      <c r="DM1528"/>
      <c r="DN1528"/>
      <c r="DT1528"/>
      <c r="DU1528" s="143"/>
    </row>
    <row r="1529" spans="15:148" hidden="1">
      <c r="BE1529"/>
      <c r="BF1529" s="2"/>
      <c r="CN1529"/>
      <c r="CO1529"/>
      <c r="CP1529"/>
      <c r="CQ1529"/>
      <c r="CR1529"/>
      <c r="CS1529"/>
      <c r="CT1529"/>
      <c r="CU1529"/>
      <c r="CV1529" s="2"/>
      <c r="CX1529"/>
      <c r="DC1529"/>
      <c r="DI1529"/>
      <c r="DJ1529"/>
      <c r="DK1529"/>
      <c r="DL1529"/>
      <c r="DM1529"/>
      <c r="DN1529"/>
      <c r="DT1529"/>
      <c r="DU1529"/>
    </row>
    <row r="1530" spans="15:148" hidden="1">
      <c r="AX1530" s="141"/>
      <c r="AY1530" s="141"/>
      <c r="BE1530"/>
      <c r="BF1530" s="2"/>
      <c r="CN1530"/>
      <c r="CO1530"/>
      <c r="CP1530"/>
      <c r="CQ1530"/>
      <c r="CR1530"/>
      <c r="CS1530"/>
      <c r="CT1530"/>
      <c r="CU1530"/>
      <c r="CV1530" s="2"/>
      <c r="CX1530"/>
      <c r="DC1530"/>
      <c r="DI1530"/>
      <c r="DJ1530"/>
      <c r="DK1530"/>
      <c r="DL1530"/>
      <c r="DM1530"/>
      <c r="DN1530"/>
      <c r="DT1530"/>
      <c r="DU1530" s="143"/>
    </row>
    <row r="1531" spans="15:148" ht="15" hidden="1" customHeight="1">
      <c r="AX1531" s="141"/>
      <c r="AY1531" s="141"/>
      <c r="BE1531"/>
      <c r="BF1531" s="2"/>
      <c r="CN1531"/>
      <c r="CO1531"/>
      <c r="CP1531"/>
      <c r="CQ1531"/>
      <c r="CR1531"/>
      <c r="CS1531"/>
      <c r="CT1531"/>
      <c r="CU1531"/>
      <c r="CV1531" s="2"/>
      <c r="CX1531"/>
      <c r="DC1531"/>
      <c r="DI1531"/>
      <c r="DJ1531"/>
      <c r="DK1531"/>
      <c r="DL1531"/>
      <c r="DM1531"/>
      <c r="DN1531"/>
      <c r="DT1531"/>
      <c r="DU1531" s="143"/>
    </row>
    <row r="1532" spans="15:148" ht="15" hidden="1" customHeight="1">
      <c r="O1532" s="145"/>
      <c r="AX1532" s="141"/>
      <c r="AY1532" s="141"/>
      <c r="BE1532"/>
      <c r="BF1532" s="2"/>
      <c r="BP1532" s="143"/>
      <c r="BQ1532" s="143"/>
      <c r="BU1532" s="144"/>
      <c r="CN1532"/>
      <c r="CO1532"/>
      <c r="CP1532"/>
      <c r="CQ1532"/>
      <c r="CR1532"/>
      <c r="CS1532"/>
      <c r="CT1532"/>
      <c r="CU1532"/>
      <c r="CV1532" s="2"/>
      <c r="CX1532"/>
      <c r="DC1532"/>
      <c r="DI1532"/>
      <c r="DJ1532"/>
      <c r="DK1532"/>
      <c r="DL1532"/>
      <c r="DM1532"/>
      <c r="DN1532"/>
      <c r="DT1532"/>
      <c r="DU1532" s="143"/>
    </row>
    <row r="1533" spans="15:148" ht="15" hidden="1" customHeight="1">
      <c r="O1533" s="145"/>
      <c r="AX1533" s="141"/>
      <c r="AY1533" s="141"/>
      <c r="BE1533"/>
      <c r="BF1533" s="2"/>
      <c r="BP1533" s="143"/>
      <c r="BQ1533" s="143"/>
      <c r="BU1533" s="144"/>
      <c r="CN1533"/>
      <c r="CO1533"/>
      <c r="CP1533"/>
      <c r="CQ1533"/>
      <c r="CR1533"/>
      <c r="CS1533"/>
      <c r="CT1533"/>
      <c r="CU1533"/>
      <c r="CV1533" s="2"/>
      <c r="CX1533"/>
      <c r="DC1533"/>
      <c r="DI1533"/>
      <c r="DJ1533"/>
      <c r="DK1533"/>
      <c r="DL1533"/>
      <c r="DM1533"/>
      <c r="DN1533"/>
      <c r="DT1533"/>
      <c r="DU1533" s="143"/>
    </row>
    <row r="1534" spans="15:148" ht="15" hidden="1" customHeight="1">
      <c r="BE1534"/>
      <c r="BF1534" s="2"/>
      <c r="CN1534"/>
      <c r="CO1534"/>
      <c r="CP1534"/>
      <c r="CQ1534"/>
      <c r="CR1534"/>
      <c r="CS1534"/>
      <c r="CT1534"/>
      <c r="CU1534"/>
      <c r="CV1534" s="2"/>
      <c r="CX1534"/>
      <c r="DC1534"/>
      <c r="DI1534"/>
      <c r="DJ1534"/>
      <c r="DK1534"/>
      <c r="DL1534"/>
      <c r="DM1534"/>
      <c r="DN1534"/>
      <c r="DT1534"/>
      <c r="DU1534"/>
    </row>
    <row r="1535" spans="15:148" ht="15" hidden="1" customHeight="1">
      <c r="O1535" s="161"/>
      <c r="AX1535" s="141"/>
      <c r="AY1535" s="141"/>
      <c r="BE1535"/>
      <c r="BF1535" s="2"/>
      <c r="CN1535"/>
      <c r="CO1535"/>
      <c r="CP1535"/>
      <c r="CQ1535"/>
      <c r="CR1535"/>
      <c r="CS1535"/>
      <c r="CT1535"/>
      <c r="CU1535"/>
      <c r="CV1535" s="2"/>
      <c r="CX1535"/>
      <c r="DC1535"/>
      <c r="DI1535"/>
      <c r="DJ1535"/>
      <c r="DK1535"/>
      <c r="DL1535"/>
      <c r="DM1535"/>
      <c r="DN1535"/>
      <c r="DT1535"/>
      <c r="DU1535" s="143"/>
    </row>
    <row r="1536" spans="15:148" ht="15" hidden="1" customHeight="1">
      <c r="O1536" s="145"/>
      <c r="AX1536" s="141"/>
      <c r="AY1536" s="141"/>
      <c r="BE1536"/>
      <c r="BF1536" s="2"/>
      <c r="BP1536" s="143"/>
      <c r="BQ1536" s="143"/>
      <c r="BU1536" s="144"/>
      <c r="CN1536"/>
      <c r="CO1536"/>
      <c r="CP1536"/>
      <c r="CQ1536"/>
      <c r="CR1536"/>
      <c r="CS1536"/>
      <c r="CT1536"/>
      <c r="CU1536"/>
      <c r="CV1536" s="2"/>
      <c r="CX1536"/>
      <c r="DC1536"/>
      <c r="DI1536"/>
      <c r="DJ1536"/>
      <c r="DK1536"/>
      <c r="DL1536"/>
      <c r="DM1536"/>
      <c r="DN1536"/>
      <c r="DT1536"/>
      <c r="DU1536" s="143"/>
    </row>
    <row r="1537" spans="11:131" ht="15" hidden="1" customHeight="1">
      <c r="O1537" s="145"/>
      <c r="AX1537" s="141"/>
      <c r="AY1537" s="141"/>
      <c r="BE1537"/>
      <c r="BF1537" s="2"/>
      <c r="BU1537" s="144"/>
      <c r="BV1537" s="144"/>
      <c r="BW1537" s="144"/>
      <c r="CN1537"/>
      <c r="CO1537"/>
      <c r="CP1537"/>
      <c r="CQ1537"/>
      <c r="CR1537"/>
      <c r="CS1537"/>
      <c r="CT1537"/>
      <c r="CU1537"/>
      <c r="CV1537" s="2"/>
      <c r="CX1537"/>
      <c r="DC1537"/>
      <c r="DI1537"/>
      <c r="DJ1537"/>
      <c r="DK1537"/>
      <c r="DL1537"/>
      <c r="DM1537"/>
      <c r="DN1537"/>
      <c r="DT1537"/>
      <c r="DU1537" s="143"/>
      <c r="EA1537" s="143"/>
    </row>
    <row r="1538" spans="11:131" ht="15" hidden="1" customHeight="1">
      <c r="O1538" s="145"/>
      <c r="AX1538" s="141"/>
      <c r="AY1538" s="141"/>
      <c r="BE1538"/>
      <c r="BF1538" s="2"/>
      <c r="BU1538" s="144"/>
      <c r="BV1538" s="144"/>
      <c r="BW1538" s="144"/>
      <c r="CN1538"/>
      <c r="CO1538"/>
      <c r="CP1538"/>
      <c r="CQ1538"/>
      <c r="CR1538"/>
      <c r="CS1538"/>
      <c r="CT1538"/>
      <c r="CU1538"/>
      <c r="CV1538" s="2"/>
      <c r="CX1538"/>
      <c r="DC1538"/>
      <c r="DI1538"/>
      <c r="DJ1538"/>
      <c r="DK1538"/>
      <c r="DL1538"/>
      <c r="DM1538"/>
      <c r="DN1538"/>
      <c r="DT1538"/>
      <c r="DU1538" s="143"/>
      <c r="EA1538" s="143"/>
    </row>
    <row r="1539" spans="11:131" ht="15" hidden="1" customHeight="1">
      <c r="O1539" s="145"/>
      <c r="AX1539" s="141"/>
      <c r="AY1539" s="141"/>
      <c r="BE1539"/>
      <c r="BF1539" s="2"/>
      <c r="BU1539" s="144"/>
      <c r="BV1539" s="144"/>
      <c r="BW1539" s="144"/>
      <c r="CN1539"/>
      <c r="CO1539"/>
      <c r="CP1539"/>
      <c r="CQ1539"/>
      <c r="CR1539"/>
      <c r="CS1539"/>
      <c r="CT1539"/>
      <c r="CU1539"/>
      <c r="CV1539" s="2"/>
      <c r="CX1539"/>
      <c r="DC1539"/>
      <c r="DI1539"/>
      <c r="DJ1539"/>
      <c r="DK1539"/>
      <c r="DL1539"/>
      <c r="DM1539"/>
      <c r="DN1539"/>
      <c r="DT1539"/>
      <c r="DU1539" s="143"/>
      <c r="EA1539" s="143"/>
    </row>
    <row r="1540" spans="11:131" ht="15" hidden="1" customHeight="1">
      <c r="O1540" s="145"/>
      <c r="AX1540" s="141"/>
      <c r="AY1540" s="141"/>
      <c r="BE1540"/>
      <c r="BF1540" s="2"/>
      <c r="BU1540" s="144"/>
      <c r="BV1540" s="144"/>
      <c r="BW1540" s="144"/>
      <c r="CN1540"/>
      <c r="CO1540"/>
      <c r="CP1540"/>
      <c r="CQ1540"/>
      <c r="CR1540"/>
      <c r="CS1540"/>
      <c r="CT1540"/>
      <c r="CU1540"/>
      <c r="CV1540" s="2"/>
      <c r="CX1540"/>
      <c r="DC1540"/>
      <c r="DI1540"/>
      <c r="DJ1540"/>
      <c r="DK1540"/>
      <c r="DL1540"/>
      <c r="DM1540"/>
      <c r="DN1540"/>
      <c r="DT1540"/>
      <c r="DU1540" s="143"/>
      <c r="EA1540" s="143"/>
    </row>
    <row r="1541" spans="11:131" ht="15" hidden="1" customHeight="1">
      <c r="O1541" s="145"/>
      <c r="AX1541" s="141"/>
      <c r="AY1541" s="141"/>
      <c r="BE1541"/>
      <c r="BF1541" s="2"/>
      <c r="BU1541" s="144"/>
      <c r="BV1541" s="144"/>
      <c r="BW1541" s="144"/>
      <c r="CN1541"/>
      <c r="CO1541"/>
      <c r="CP1541"/>
      <c r="CQ1541"/>
      <c r="CR1541"/>
      <c r="CS1541"/>
      <c r="CT1541"/>
      <c r="CU1541"/>
      <c r="CV1541" s="2"/>
      <c r="CX1541"/>
      <c r="DC1541"/>
      <c r="DI1541"/>
      <c r="DJ1541"/>
      <c r="DK1541"/>
      <c r="DL1541"/>
      <c r="DM1541"/>
      <c r="DN1541"/>
      <c r="DT1541"/>
      <c r="DU1541" s="143"/>
      <c r="EA1541" s="143"/>
    </row>
    <row r="1542" spans="11:131" ht="15" hidden="1" customHeight="1">
      <c r="O1542" s="145"/>
      <c r="AX1542" s="141"/>
      <c r="AY1542" s="141"/>
      <c r="BE1542"/>
      <c r="BF1542" s="2"/>
      <c r="BU1542" s="144"/>
      <c r="BV1542" s="144"/>
      <c r="BW1542" s="144"/>
      <c r="CN1542"/>
      <c r="CO1542"/>
      <c r="CP1542"/>
      <c r="CQ1542"/>
      <c r="CR1542"/>
      <c r="CS1542"/>
      <c r="CT1542"/>
      <c r="CU1542"/>
      <c r="CV1542" s="2"/>
      <c r="CX1542"/>
      <c r="DC1542"/>
      <c r="DI1542"/>
      <c r="DJ1542"/>
      <c r="DK1542"/>
      <c r="DL1542"/>
      <c r="DM1542"/>
      <c r="DN1542"/>
      <c r="DT1542"/>
      <c r="DU1542" s="143"/>
      <c r="EA1542" s="143"/>
    </row>
    <row r="1543" spans="11:131" ht="15" hidden="1" customHeight="1">
      <c r="O1543" s="145"/>
      <c r="AX1543" s="141"/>
      <c r="AY1543" s="141"/>
      <c r="BE1543"/>
      <c r="BF1543" s="2"/>
      <c r="BM1543" s="143"/>
      <c r="BU1543" s="144"/>
      <c r="BV1543" s="144"/>
      <c r="BW1543" s="144"/>
      <c r="CN1543"/>
      <c r="CO1543"/>
      <c r="CP1543"/>
      <c r="CQ1543"/>
      <c r="CR1543"/>
      <c r="CS1543"/>
      <c r="CT1543"/>
      <c r="CU1543"/>
      <c r="CV1543" s="2"/>
      <c r="CX1543"/>
      <c r="DC1543"/>
      <c r="DI1543"/>
      <c r="DJ1543"/>
      <c r="DK1543"/>
      <c r="DL1543"/>
      <c r="DM1543"/>
      <c r="DN1543"/>
      <c r="DT1543"/>
      <c r="DU1543" s="143"/>
      <c r="EA1543" s="143"/>
    </row>
    <row r="1544" spans="11:131" ht="15" hidden="1" customHeight="1">
      <c r="O1544" s="145"/>
      <c r="AX1544" s="141"/>
      <c r="AY1544" s="141"/>
      <c r="BE1544"/>
      <c r="BF1544" s="2"/>
      <c r="BM1544" s="143"/>
      <c r="BU1544" s="144"/>
      <c r="BV1544" s="144"/>
      <c r="BW1544" s="144"/>
      <c r="CN1544"/>
      <c r="CO1544"/>
      <c r="CP1544"/>
      <c r="CQ1544"/>
      <c r="CR1544"/>
      <c r="CS1544"/>
      <c r="CT1544"/>
      <c r="CU1544"/>
      <c r="CV1544" s="2"/>
      <c r="CX1544"/>
      <c r="DC1544"/>
      <c r="DI1544"/>
      <c r="DJ1544"/>
      <c r="DK1544"/>
      <c r="DL1544"/>
      <c r="DM1544"/>
      <c r="DN1544"/>
      <c r="DT1544"/>
      <c r="DU1544" s="143"/>
      <c r="EA1544" s="143"/>
    </row>
    <row r="1545" spans="11:131" ht="15" hidden="1" customHeight="1">
      <c r="O1545" s="145"/>
      <c r="AX1545" s="141"/>
      <c r="AY1545" s="141"/>
      <c r="BE1545"/>
      <c r="BF1545" s="2"/>
      <c r="BM1545" s="143"/>
      <c r="BU1545" s="144"/>
      <c r="BV1545" s="144"/>
      <c r="BW1545" s="144"/>
      <c r="CN1545"/>
      <c r="CO1545"/>
      <c r="CP1545"/>
      <c r="CQ1545"/>
      <c r="CR1545"/>
      <c r="CS1545"/>
      <c r="CT1545"/>
      <c r="CU1545"/>
      <c r="CV1545" s="2"/>
      <c r="CX1545"/>
      <c r="DC1545"/>
      <c r="DI1545"/>
      <c r="DJ1545"/>
      <c r="DK1545"/>
      <c r="DL1545"/>
      <c r="DM1545"/>
      <c r="DN1545"/>
      <c r="DT1545"/>
      <c r="DU1545" s="143"/>
      <c r="EA1545" s="143"/>
    </row>
    <row r="1546" spans="11:131" ht="15" hidden="1" customHeight="1">
      <c r="O1546" s="145"/>
      <c r="AX1546" s="141"/>
      <c r="AY1546" s="141"/>
      <c r="BE1546"/>
      <c r="BF1546" s="2"/>
      <c r="BM1546" s="143"/>
      <c r="BU1546" s="144"/>
      <c r="BV1546" s="144"/>
      <c r="BW1546" s="144"/>
      <c r="CN1546"/>
      <c r="CO1546"/>
      <c r="CP1546"/>
      <c r="CQ1546"/>
      <c r="CR1546"/>
      <c r="CS1546"/>
      <c r="CT1546"/>
      <c r="CU1546"/>
      <c r="CV1546" s="2"/>
      <c r="CX1546"/>
      <c r="DC1546"/>
      <c r="DI1546"/>
      <c r="DJ1546"/>
      <c r="DK1546"/>
      <c r="DL1546"/>
      <c r="DM1546"/>
      <c r="DN1546"/>
      <c r="DT1546"/>
      <c r="DU1546" s="143"/>
      <c r="EA1546" s="143"/>
    </row>
    <row r="1547" spans="11:131" ht="15" hidden="1" customHeight="1">
      <c r="O1547" s="145"/>
      <c r="AX1547" s="141"/>
      <c r="AY1547" s="141"/>
      <c r="BE1547"/>
      <c r="BF1547" s="2"/>
      <c r="BM1547" s="143"/>
      <c r="BU1547" s="144"/>
      <c r="BV1547" s="144"/>
      <c r="BW1547" s="144"/>
      <c r="CN1547"/>
      <c r="CO1547"/>
      <c r="CP1547"/>
      <c r="CQ1547"/>
      <c r="CR1547"/>
      <c r="CS1547"/>
      <c r="CT1547"/>
      <c r="CU1547"/>
      <c r="CV1547" s="2"/>
      <c r="CX1547"/>
      <c r="DC1547"/>
      <c r="DI1547"/>
      <c r="DJ1547"/>
      <c r="DK1547"/>
      <c r="DL1547"/>
      <c r="DM1547"/>
      <c r="DN1547"/>
      <c r="DT1547"/>
      <c r="DU1547" s="143"/>
      <c r="EA1547" s="143"/>
    </row>
    <row r="1548" spans="11:131" ht="15" hidden="1" customHeight="1">
      <c r="O1548" s="145"/>
      <c r="AX1548" s="141"/>
      <c r="AY1548" s="141"/>
      <c r="BE1548"/>
      <c r="BF1548" s="2"/>
      <c r="BM1548" s="143"/>
      <c r="BU1548" s="144"/>
      <c r="BV1548" s="144"/>
      <c r="BW1548" s="144"/>
      <c r="CN1548"/>
      <c r="CO1548"/>
      <c r="CP1548"/>
      <c r="CQ1548"/>
      <c r="CR1548"/>
      <c r="CS1548"/>
      <c r="CT1548"/>
      <c r="CU1548"/>
      <c r="CV1548" s="2"/>
      <c r="CX1548"/>
      <c r="DC1548"/>
      <c r="DI1548"/>
      <c r="DJ1548"/>
      <c r="DK1548"/>
      <c r="DL1548"/>
      <c r="DM1548"/>
      <c r="DN1548"/>
      <c r="DT1548"/>
      <c r="DU1548" s="143"/>
      <c r="EA1548" s="143"/>
    </row>
    <row r="1549" spans="11:131" ht="15" hidden="1" customHeight="1">
      <c r="O1549" s="145"/>
      <c r="U1549" s="143"/>
      <c r="AX1549" s="141"/>
      <c r="AY1549" s="141"/>
      <c r="BE1549"/>
      <c r="BF1549" s="2"/>
      <c r="BM1549" s="143"/>
      <c r="BN1549" s="143"/>
      <c r="BP1549" s="143"/>
      <c r="BQ1549" s="143"/>
      <c r="BU1549" s="144"/>
      <c r="CN1549"/>
      <c r="CO1549"/>
      <c r="CP1549"/>
      <c r="CQ1549"/>
      <c r="CR1549"/>
      <c r="CS1549"/>
      <c r="CT1549"/>
      <c r="CU1549"/>
      <c r="CV1549" s="2"/>
      <c r="CX1549"/>
      <c r="DC1549"/>
      <c r="DI1549"/>
      <c r="DJ1549"/>
      <c r="DK1549"/>
      <c r="DL1549"/>
      <c r="DM1549"/>
      <c r="DN1549"/>
      <c r="DT1549"/>
      <c r="DU1549" s="143"/>
    </row>
    <row r="1550" spans="11:131" ht="15" hidden="1" customHeight="1">
      <c r="O1550" s="145"/>
      <c r="AX1550" s="141"/>
      <c r="AY1550" s="141"/>
      <c r="BE1550"/>
      <c r="BF1550" s="2"/>
      <c r="BM1550" s="143"/>
      <c r="BN1550" s="143"/>
      <c r="BP1550" s="143"/>
      <c r="BQ1550" s="143"/>
      <c r="BU1550" s="144"/>
      <c r="CN1550"/>
      <c r="CO1550"/>
      <c r="CP1550"/>
      <c r="CQ1550"/>
      <c r="CR1550"/>
      <c r="CS1550"/>
      <c r="CT1550"/>
      <c r="CU1550"/>
      <c r="CV1550" s="2"/>
      <c r="CX1550"/>
      <c r="DC1550"/>
      <c r="DI1550"/>
      <c r="DJ1550"/>
      <c r="DK1550"/>
      <c r="DL1550"/>
      <c r="DM1550"/>
      <c r="DN1550"/>
      <c r="DT1550"/>
      <c r="DU1550" s="143"/>
    </row>
    <row r="1551" spans="11:131" ht="15" hidden="1" customHeight="1">
      <c r="K1551" s="263"/>
      <c r="O1551" s="145"/>
      <c r="AX1551" s="141"/>
      <c r="AY1551" s="141"/>
      <c r="BE1551"/>
      <c r="BF1551" s="2"/>
      <c r="BM1551" s="143"/>
      <c r="BN1551" s="143"/>
      <c r="BP1551" s="143"/>
      <c r="BQ1551" s="143"/>
      <c r="BU1551" s="144"/>
      <c r="CN1551"/>
      <c r="CO1551"/>
      <c r="CP1551"/>
      <c r="CQ1551"/>
      <c r="CR1551"/>
      <c r="CS1551"/>
      <c r="CT1551"/>
      <c r="CU1551"/>
      <c r="CV1551" s="2"/>
      <c r="CX1551"/>
      <c r="DC1551"/>
      <c r="DI1551"/>
      <c r="DJ1551"/>
      <c r="DK1551"/>
      <c r="DL1551"/>
      <c r="DM1551"/>
      <c r="DN1551"/>
      <c r="DT1551"/>
      <c r="DU1551" s="143"/>
    </row>
    <row r="1552" spans="11:131" ht="15" hidden="1" customHeight="1">
      <c r="O1552" s="145"/>
      <c r="AX1552" s="141"/>
      <c r="AY1552" s="141"/>
      <c r="BE1552"/>
      <c r="BF1552" s="2"/>
      <c r="BM1552" s="143"/>
      <c r="BN1552" s="143"/>
      <c r="BP1552" s="143"/>
      <c r="BQ1552" s="143"/>
      <c r="BU1552" s="144"/>
      <c r="CN1552"/>
      <c r="CO1552"/>
      <c r="CP1552"/>
      <c r="CQ1552"/>
      <c r="CR1552"/>
      <c r="CS1552"/>
      <c r="CT1552"/>
      <c r="CU1552"/>
      <c r="CV1552" s="2"/>
      <c r="CX1552"/>
      <c r="DC1552"/>
      <c r="DI1552"/>
      <c r="DJ1552"/>
      <c r="DK1552"/>
      <c r="DL1552"/>
      <c r="DM1552"/>
      <c r="DN1552"/>
      <c r="DT1552"/>
      <c r="DU1552" s="143"/>
    </row>
    <row r="1553" spans="15:131" ht="15" hidden="1" customHeight="1">
      <c r="O1553" s="145"/>
      <c r="AX1553" s="141"/>
      <c r="AY1553" s="141"/>
      <c r="BE1553"/>
      <c r="BF1553" s="2"/>
      <c r="BM1553" s="143"/>
      <c r="BU1553" s="144"/>
      <c r="BV1553" s="144"/>
      <c r="BW1553" s="144"/>
      <c r="CN1553"/>
      <c r="CO1553"/>
      <c r="CP1553"/>
      <c r="CQ1553"/>
      <c r="CR1553"/>
      <c r="CS1553"/>
      <c r="CT1553"/>
      <c r="CU1553"/>
      <c r="CV1553" s="2"/>
      <c r="CX1553"/>
      <c r="DC1553"/>
      <c r="DI1553"/>
      <c r="DJ1553"/>
      <c r="DK1553"/>
      <c r="DL1553"/>
      <c r="DM1553"/>
      <c r="DN1553"/>
      <c r="DT1553"/>
      <c r="DU1553" s="143"/>
      <c r="EA1553" s="143"/>
    </row>
    <row r="1554" spans="15:131" ht="15" hidden="1" customHeight="1">
      <c r="O1554" s="145"/>
      <c r="AX1554" s="141"/>
      <c r="AY1554" s="141"/>
      <c r="BE1554"/>
      <c r="BF1554" s="2"/>
      <c r="BM1554" s="143"/>
      <c r="BN1554" s="143"/>
      <c r="BU1554" s="144"/>
      <c r="BV1554" s="144"/>
      <c r="BW1554" s="144"/>
      <c r="BX1554" s="144"/>
      <c r="CN1554"/>
      <c r="CO1554"/>
      <c r="CP1554"/>
      <c r="CQ1554"/>
      <c r="CR1554"/>
      <c r="CS1554"/>
      <c r="CT1554"/>
      <c r="CU1554"/>
      <c r="CV1554" s="2"/>
      <c r="CX1554"/>
      <c r="DC1554"/>
      <c r="DI1554"/>
      <c r="DJ1554"/>
      <c r="DK1554"/>
      <c r="DL1554"/>
      <c r="DM1554"/>
      <c r="DN1554"/>
      <c r="DT1554"/>
      <c r="DU1554" s="143"/>
      <c r="EA1554" s="143"/>
    </row>
    <row r="1555" spans="15:131" ht="15" hidden="1" customHeight="1">
      <c r="O1555" s="145"/>
      <c r="AX1555" s="141"/>
      <c r="AY1555" s="141"/>
      <c r="BE1555"/>
      <c r="BF1555" s="2"/>
      <c r="BM1555" s="143"/>
      <c r="BN1555" s="143"/>
      <c r="BU1555" s="144"/>
      <c r="BV1555" s="144"/>
      <c r="BW1555" s="144"/>
      <c r="BX1555" s="144"/>
      <c r="CN1555"/>
      <c r="CO1555"/>
      <c r="CP1555"/>
      <c r="CQ1555"/>
      <c r="CR1555"/>
      <c r="CS1555"/>
      <c r="CT1555"/>
      <c r="CU1555"/>
      <c r="CV1555" s="2"/>
      <c r="CX1555"/>
      <c r="DC1555"/>
      <c r="DI1555"/>
      <c r="DJ1555"/>
      <c r="DK1555"/>
      <c r="DL1555"/>
      <c r="DM1555"/>
      <c r="DN1555"/>
      <c r="DT1555"/>
      <c r="DU1555" s="143"/>
      <c r="EA1555" s="143"/>
    </row>
    <row r="1556" spans="15:131" ht="15" hidden="1" customHeight="1">
      <c r="O1556" s="145"/>
      <c r="AX1556" s="141"/>
      <c r="AY1556" s="141"/>
      <c r="BE1556"/>
      <c r="BF1556" s="2"/>
      <c r="BM1556" s="143"/>
      <c r="BN1556" s="143"/>
      <c r="BU1556" s="144"/>
      <c r="BV1556" s="144"/>
      <c r="BW1556" s="144"/>
      <c r="BX1556" s="144"/>
      <c r="CN1556"/>
      <c r="CO1556"/>
      <c r="CP1556"/>
      <c r="CQ1556"/>
      <c r="CR1556"/>
      <c r="CS1556"/>
      <c r="CT1556"/>
      <c r="CU1556"/>
      <c r="CV1556" s="2"/>
      <c r="CX1556"/>
      <c r="DC1556"/>
      <c r="DI1556"/>
      <c r="DJ1556"/>
      <c r="DK1556"/>
      <c r="DL1556"/>
      <c r="DM1556"/>
      <c r="DN1556"/>
      <c r="DT1556"/>
      <c r="DU1556" s="143"/>
      <c r="EA1556" s="143"/>
    </row>
    <row r="1557" spans="15:131" ht="15" hidden="1" customHeight="1">
      <c r="O1557" s="145"/>
      <c r="AX1557" s="141"/>
      <c r="AY1557" s="141"/>
      <c r="BE1557"/>
      <c r="BF1557" s="2"/>
      <c r="BM1557" s="143"/>
      <c r="BN1557" s="143"/>
      <c r="BU1557" s="144"/>
      <c r="BV1557" s="144"/>
      <c r="BW1557" s="144"/>
      <c r="BX1557" s="144"/>
      <c r="CN1557"/>
      <c r="CO1557"/>
      <c r="CP1557"/>
      <c r="CQ1557"/>
      <c r="CR1557"/>
      <c r="CS1557"/>
      <c r="CT1557"/>
      <c r="CU1557"/>
      <c r="CV1557" s="2"/>
      <c r="CX1557"/>
      <c r="DC1557"/>
      <c r="DI1557"/>
      <c r="DJ1557"/>
      <c r="DK1557"/>
      <c r="DL1557"/>
      <c r="DM1557"/>
      <c r="DN1557"/>
      <c r="DT1557"/>
      <c r="DU1557" s="143"/>
      <c r="EA1557" s="143"/>
    </row>
    <row r="1558" spans="15:131" ht="15" hidden="1" customHeight="1">
      <c r="O1558" s="145"/>
      <c r="AX1558" s="141"/>
      <c r="AY1558" s="141"/>
      <c r="BE1558"/>
      <c r="BF1558" s="2"/>
      <c r="BM1558" s="143"/>
      <c r="BN1558" s="143"/>
      <c r="BU1558" s="144"/>
      <c r="BV1558" s="144"/>
      <c r="BW1558" s="144"/>
      <c r="BX1558" s="144"/>
      <c r="CN1558"/>
      <c r="CO1558"/>
      <c r="CP1558"/>
      <c r="CQ1558"/>
      <c r="CR1558"/>
      <c r="CS1558"/>
      <c r="CT1558"/>
      <c r="CU1558"/>
      <c r="CV1558" s="2"/>
      <c r="CX1558"/>
      <c r="DC1558"/>
      <c r="DI1558"/>
      <c r="DJ1558"/>
      <c r="DK1558"/>
      <c r="DL1558"/>
      <c r="DM1558"/>
      <c r="DN1558"/>
      <c r="DT1558"/>
      <c r="DU1558" s="143"/>
      <c r="EA1558" s="143"/>
    </row>
    <row r="1559" spans="15:131" ht="15" hidden="1" customHeight="1">
      <c r="O1559" s="145"/>
      <c r="AX1559" s="141"/>
      <c r="AY1559" s="141"/>
      <c r="BE1559"/>
      <c r="BF1559" s="2"/>
      <c r="BM1559" s="143"/>
      <c r="BN1559" s="143"/>
      <c r="BU1559" s="144"/>
      <c r="BV1559" s="144"/>
      <c r="BW1559" s="144"/>
      <c r="BX1559" s="144"/>
      <c r="CN1559"/>
      <c r="CO1559"/>
      <c r="CP1559"/>
      <c r="CQ1559"/>
      <c r="CR1559"/>
      <c r="CS1559"/>
      <c r="CT1559"/>
      <c r="CU1559"/>
      <c r="CV1559" s="2"/>
      <c r="CX1559"/>
      <c r="DC1559"/>
      <c r="DI1559"/>
      <c r="DJ1559"/>
      <c r="DK1559"/>
      <c r="DL1559"/>
      <c r="DM1559"/>
      <c r="DN1559"/>
      <c r="DT1559"/>
      <c r="DU1559" s="143"/>
      <c r="EA1559" s="143"/>
    </row>
    <row r="1560" spans="15:131" ht="15" hidden="1" customHeight="1">
      <c r="O1560" s="145"/>
      <c r="AX1560" s="141"/>
      <c r="AY1560" s="141"/>
      <c r="BE1560"/>
      <c r="BF1560" s="2"/>
      <c r="BM1560" s="143"/>
      <c r="BN1560" s="143"/>
      <c r="BU1560" s="144"/>
      <c r="BV1560" s="144"/>
      <c r="BW1560" s="144"/>
      <c r="BX1560" s="144"/>
      <c r="CN1560"/>
      <c r="CO1560"/>
      <c r="CP1560"/>
      <c r="CQ1560"/>
      <c r="CR1560"/>
      <c r="CS1560"/>
      <c r="CT1560"/>
      <c r="CU1560"/>
      <c r="CV1560" s="2"/>
      <c r="CX1560"/>
      <c r="DC1560"/>
      <c r="DI1560"/>
      <c r="DJ1560"/>
      <c r="DK1560"/>
      <c r="DL1560"/>
      <c r="DM1560"/>
      <c r="DN1560"/>
      <c r="DT1560"/>
      <c r="DU1560" s="143"/>
      <c r="EA1560" s="143"/>
    </row>
    <row r="1561" spans="15:131" ht="15" hidden="1" customHeight="1">
      <c r="BE1561"/>
      <c r="BF1561" s="2"/>
      <c r="CN1561"/>
      <c r="CO1561"/>
      <c r="CP1561"/>
      <c r="CQ1561"/>
      <c r="CR1561"/>
      <c r="CS1561"/>
      <c r="CT1561"/>
      <c r="CU1561"/>
      <c r="CV1561" s="2"/>
      <c r="CX1561"/>
      <c r="DC1561"/>
      <c r="DI1561"/>
      <c r="DJ1561"/>
      <c r="DK1561"/>
      <c r="DL1561"/>
      <c r="DM1561"/>
      <c r="DN1561"/>
      <c r="DT1561"/>
      <c r="DU1561"/>
    </row>
    <row r="1562" spans="15:131" ht="15" hidden="1" customHeight="1">
      <c r="O1562" s="145"/>
      <c r="AX1562" s="141"/>
      <c r="AY1562" s="141"/>
      <c r="BE1562"/>
      <c r="BF1562" s="2"/>
      <c r="BU1562" s="144"/>
      <c r="CN1562"/>
      <c r="CO1562"/>
      <c r="CP1562"/>
      <c r="CQ1562"/>
      <c r="CR1562"/>
      <c r="CS1562"/>
      <c r="CT1562"/>
      <c r="CU1562"/>
      <c r="CV1562" s="2"/>
      <c r="CX1562"/>
      <c r="DC1562"/>
      <c r="DI1562"/>
      <c r="DJ1562"/>
      <c r="DK1562"/>
      <c r="DL1562"/>
      <c r="DM1562"/>
      <c r="DN1562"/>
      <c r="DP1562" s="143"/>
      <c r="DT1562"/>
      <c r="DU1562" s="143"/>
    </row>
    <row r="1563" spans="15:131" ht="15" hidden="1" customHeight="1">
      <c r="O1563" s="145"/>
      <c r="AX1563" s="141"/>
      <c r="AY1563" s="141"/>
      <c r="BE1563"/>
      <c r="BF1563" s="2"/>
      <c r="BU1563" s="144"/>
      <c r="CN1563"/>
      <c r="CO1563"/>
      <c r="CP1563"/>
      <c r="CQ1563"/>
      <c r="CR1563"/>
      <c r="CS1563"/>
      <c r="CT1563"/>
      <c r="CU1563"/>
      <c r="CV1563" s="2"/>
      <c r="CX1563"/>
      <c r="DC1563"/>
      <c r="DI1563"/>
      <c r="DJ1563"/>
      <c r="DK1563"/>
      <c r="DL1563"/>
      <c r="DM1563"/>
      <c r="DN1563"/>
      <c r="DP1563" s="143"/>
      <c r="DT1563"/>
      <c r="DU1563" s="143"/>
    </row>
    <row r="1564" spans="15:131" ht="15" hidden="1" customHeight="1">
      <c r="O1564" s="145"/>
      <c r="AX1564" s="141"/>
      <c r="AY1564" s="141"/>
      <c r="BE1564"/>
      <c r="BF1564" s="2"/>
      <c r="BM1564" s="143"/>
      <c r="BN1564" s="143"/>
      <c r="BP1564" s="143"/>
      <c r="BQ1564" s="143"/>
      <c r="BU1564" s="144"/>
      <c r="BV1564" s="144"/>
      <c r="BW1564" s="144"/>
      <c r="BX1564" s="144"/>
      <c r="CN1564"/>
      <c r="CO1564"/>
      <c r="CP1564"/>
      <c r="CQ1564"/>
      <c r="CR1564"/>
      <c r="CS1564"/>
      <c r="CT1564"/>
      <c r="CU1564"/>
      <c r="CV1564" s="2"/>
      <c r="CX1564"/>
      <c r="DC1564"/>
      <c r="DI1564"/>
      <c r="DJ1564"/>
      <c r="DK1564"/>
      <c r="DL1564"/>
      <c r="DM1564"/>
      <c r="DN1564"/>
      <c r="DT1564"/>
      <c r="DU1564" s="143"/>
    </row>
    <row r="1565" spans="15:131" ht="15" hidden="1" customHeight="1">
      <c r="O1565" s="145"/>
      <c r="AX1565" s="141"/>
      <c r="AY1565" s="141"/>
      <c r="BE1565"/>
      <c r="BF1565" s="2"/>
      <c r="BM1565" s="143"/>
      <c r="BU1565" s="144"/>
      <c r="BV1565" s="144"/>
      <c r="BW1565" s="144"/>
      <c r="CN1565"/>
      <c r="CO1565"/>
      <c r="CP1565"/>
      <c r="CQ1565"/>
      <c r="CR1565"/>
      <c r="CS1565"/>
      <c r="CT1565"/>
      <c r="CU1565"/>
      <c r="CV1565" s="2"/>
      <c r="CX1565"/>
      <c r="DC1565"/>
      <c r="DI1565"/>
      <c r="DJ1565"/>
      <c r="DK1565"/>
      <c r="DL1565"/>
      <c r="DM1565"/>
      <c r="DN1565"/>
      <c r="DT1565"/>
      <c r="DU1565" s="143"/>
      <c r="EA1565" s="143"/>
    </row>
    <row r="1566" spans="15:131" ht="15" hidden="1" customHeight="1">
      <c r="O1566" s="145"/>
      <c r="AX1566" s="141"/>
      <c r="AY1566" s="141"/>
      <c r="BE1566"/>
      <c r="BF1566" s="2"/>
      <c r="BM1566" s="143"/>
      <c r="BU1566" s="144"/>
      <c r="BV1566" s="144"/>
      <c r="BW1566" s="144"/>
      <c r="CN1566"/>
      <c r="CO1566"/>
      <c r="CP1566"/>
      <c r="CQ1566"/>
      <c r="CR1566"/>
      <c r="CS1566"/>
      <c r="CT1566"/>
      <c r="CU1566"/>
      <c r="CV1566" s="2"/>
      <c r="CX1566"/>
      <c r="DC1566"/>
      <c r="DI1566"/>
      <c r="DJ1566"/>
      <c r="DK1566"/>
      <c r="DL1566"/>
      <c r="DM1566"/>
      <c r="DN1566"/>
      <c r="DT1566"/>
      <c r="DU1566" s="143"/>
      <c r="EA1566" s="143"/>
    </row>
    <row r="1567" spans="15:131" ht="15" hidden="1" customHeight="1">
      <c r="O1567" s="145"/>
      <c r="AX1567" s="141"/>
      <c r="AY1567" s="141"/>
      <c r="BE1567"/>
      <c r="BF1567" s="2"/>
      <c r="BM1567" s="143"/>
      <c r="BU1567" s="144"/>
      <c r="BV1567" s="144"/>
      <c r="BW1567" s="144"/>
      <c r="CN1567"/>
      <c r="CO1567"/>
      <c r="CP1567"/>
      <c r="CQ1567"/>
      <c r="CR1567"/>
      <c r="CS1567"/>
      <c r="CT1567"/>
      <c r="CU1567"/>
      <c r="CV1567" s="2"/>
      <c r="CX1567"/>
      <c r="DC1567"/>
      <c r="DI1567"/>
      <c r="DJ1567"/>
      <c r="DK1567"/>
      <c r="DL1567"/>
      <c r="DM1567"/>
      <c r="DN1567"/>
      <c r="DT1567"/>
      <c r="DU1567" s="143"/>
      <c r="EA1567" s="143"/>
    </row>
    <row r="1568" spans="15:131" ht="15" hidden="1" customHeight="1">
      <c r="O1568" s="145"/>
      <c r="AX1568" s="141"/>
      <c r="AY1568" s="141"/>
      <c r="BE1568"/>
      <c r="BF1568" s="2"/>
      <c r="BM1568" s="143"/>
      <c r="BU1568" s="144"/>
      <c r="BV1568" s="144"/>
      <c r="BW1568" s="144"/>
      <c r="CN1568"/>
      <c r="CO1568"/>
      <c r="CP1568"/>
      <c r="CQ1568"/>
      <c r="CR1568"/>
      <c r="CS1568"/>
      <c r="CT1568"/>
      <c r="CU1568"/>
      <c r="CV1568" s="2"/>
      <c r="CX1568"/>
      <c r="DC1568"/>
      <c r="DI1568"/>
      <c r="DJ1568"/>
      <c r="DK1568"/>
      <c r="DL1568"/>
      <c r="DM1568"/>
      <c r="DN1568"/>
      <c r="DT1568"/>
      <c r="DU1568" s="143"/>
      <c r="EA1568" s="143"/>
    </row>
    <row r="1569" spans="15:131" ht="15" hidden="1" customHeight="1">
      <c r="O1569" s="145"/>
      <c r="AX1569" s="141"/>
      <c r="AY1569" s="141"/>
      <c r="BE1569"/>
      <c r="BF1569" s="2"/>
      <c r="BM1569" s="143"/>
      <c r="BU1569" s="144"/>
      <c r="BV1569" s="144"/>
      <c r="BW1569" s="144"/>
      <c r="CN1569"/>
      <c r="CO1569"/>
      <c r="CP1569"/>
      <c r="CQ1569"/>
      <c r="CR1569"/>
      <c r="CS1569"/>
      <c r="CT1569"/>
      <c r="CU1569"/>
      <c r="CV1569" s="2"/>
      <c r="CX1569"/>
      <c r="DC1569"/>
      <c r="DI1569"/>
      <c r="DJ1569"/>
      <c r="DK1569"/>
      <c r="DL1569"/>
      <c r="DM1569"/>
      <c r="DN1569"/>
      <c r="DT1569"/>
      <c r="DU1569" s="143"/>
      <c r="EA1569" s="143"/>
    </row>
    <row r="1570" spans="15:131" ht="15" hidden="1" customHeight="1">
      <c r="O1570" s="145"/>
      <c r="AX1570" s="141"/>
      <c r="AY1570" s="141"/>
      <c r="BE1570"/>
      <c r="BF1570" s="2"/>
      <c r="BM1570" s="143"/>
      <c r="BU1570" s="144"/>
      <c r="BV1570" s="144"/>
      <c r="BW1570" s="144"/>
      <c r="CN1570"/>
      <c r="CO1570"/>
      <c r="CP1570"/>
      <c r="CQ1570"/>
      <c r="CR1570"/>
      <c r="CS1570"/>
      <c r="CT1570"/>
      <c r="CU1570"/>
      <c r="CV1570" s="2"/>
      <c r="CX1570"/>
      <c r="DC1570"/>
      <c r="DI1570"/>
      <c r="DJ1570"/>
      <c r="DK1570"/>
      <c r="DL1570"/>
      <c r="DM1570"/>
      <c r="DN1570"/>
      <c r="DT1570"/>
      <c r="DU1570" s="143"/>
      <c r="EA1570" s="143"/>
    </row>
    <row r="1571" spans="15:131" ht="15" hidden="1" customHeight="1">
      <c r="O1571" s="145"/>
      <c r="AX1571" s="141"/>
      <c r="AY1571" s="141"/>
      <c r="BE1571"/>
      <c r="BF1571" s="2"/>
      <c r="BM1571" s="143"/>
      <c r="BU1571" s="144"/>
      <c r="BV1571" s="144"/>
      <c r="BW1571" s="144"/>
      <c r="CN1571"/>
      <c r="CO1571"/>
      <c r="CP1571"/>
      <c r="CQ1571"/>
      <c r="CR1571"/>
      <c r="CS1571"/>
      <c r="CT1571"/>
      <c r="CU1571"/>
      <c r="CV1571" s="2"/>
      <c r="CX1571"/>
      <c r="DC1571"/>
      <c r="DI1571"/>
      <c r="DJ1571"/>
      <c r="DK1571"/>
      <c r="DL1571"/>
      <c r="DM1571"/>
      <c r="DN1571"/>
      <c r="DT1571"/>
      <c r="DU1571" s="143"/>
      <c r="EA1571" s="143"/>
    </row>
    <row r="1572" spans="15:131" ht="15" hidden="1" customHeight="1">
      <c r="O1572" s="145"/>
      <c r="AX1572" s="141"/>
      <c r="AY1572" s="141"/>
      <c r="BE1572"/>
      <c r="BF1572" s="2"/>
      <c r="BM1572" s="143"/>
      <c r="BU1572" s="144"/>
      <c r="BV1572" s="144"/>
      <c r="BW1572" s="144"/>
      <c r="CN1572"/>
      <c r="CO1572"/>
      <c r="CP1572"/>
      <c r="CQ1572"/>
      <c r="CR1572"/>
      <c r="CS1572"/>
      <c r="CT1572"/>
      <c r="CU1572"/>
      <c r="CV1572" s="2"/>
      <c r="CX1572"/>
      <c r="DC1572"/>
      <c r="DI1572"/>
      <c r="DJ1572"/>
      <c r="DK1572"/>
      <c r="DL1572"/>
      <c r="DM1572"/>
      <c r="DN1572"/>
      <c r="DT1572"/>
      <c r="DU1572" s="143"/>
      <c r="EA1572" s="143"/>
    </row>
    <row r="1573" spans="15:131" ht="15" hidden="1" customHeight="1">
      <c r="O1573" s="145"/>
      <c r="AX1573" s="141"/>
      <c r="AY1573" s="141"/>
      <c r="BE1573"/>
      <c r="BF1573" s="2"/>
      <c r="BM1573" s="143"/>
      <c r="BU1573" s="144"/>
      <c r="BV1573" s="144"/>
      <c r="BW1573" s="144"/>
      <c r="CN1573"/>
      <c r="CO1573"/>
      <c r="CP1573"/>
      <c r="CQ1573"/>
      <c r="CR1573"/>
      <c r="CS1573"/>
      <c r="CT1573"/>
      <c r="CU1573"/>
      <c r="CV1573" s="2"/>
      <c r="CX1573"/>
      <c r="DC1573"/>
      <c r="DI1573"/>
      <c r="DJ1573"/>
      <c r="DK1573"/>
      <c r="DL1573"/>
      <c r="DM1573"/>
      <c r="DN1573"/>
      <c r="DT1573"/>
      <c r="DU1573" s="143"/>
      <c r="EA1573" s="143"/>
    </row>
    <row r="1574" spans="15:131" ht="15" hidden="1" customHeight="1">
      <c r="O1574" s="145"/>
      <c r="AX1574" s="141"/>
      <c r="AY1574" s="141"/>
      <c r="BE1574"/>
      <c r="BF1574" s="2"/>
      <c r="BM1574" s="143"/>
      <c r="BU1574" s="144"/>
      <c r="BV1574" s="144"/>
      <c r="BW1574" s="144"/>
      <c r="CN1574"/>
      <c r="CO1574"/>
      <c r="CP1574"/>
      <c r="CQ1574"/>
      <c r="CR1574"/>
      <c r="CS1574"/>
      <c r="CT1574"/>
      <c r="CU1574"/>
      <c r="CV1574" s="2"/>
      <c r="CX1574"/>
      <c r="DC1574"/>
      <c r="DI1574"/>
      <c r="DJ1574"/>
      <c r="DK1574"/>
      <c r="DL1574"/>
      <c r="DM1574"/>
      <c r="DN1574"/>
      <c r="DT1574"/>
      <c r="DU1574" s="143"/>
      <c r="EA1574" s="143"/>
    </row>
    <row r="1575" spans="15:131" ht="15" hidden="1" customHeight="1">
      <c r="O1575" s="145"/>
      <c r="AX1575" s="141"/>
      <c r="AY1575" s="141"/>
      <c r="BE1575"/>
      <c r="BF1575" s="2"/>
      <c r="BM1575" s="143"/>
      <c r="BU1575" s="144"/>
      <c r="BV1575" s="144"/>
      <c r="BW1575" s="144"/>
      <c r="CN1575"/>
      <c r="CO1575"/>
      <c r="CP1575"/>
      <c r="CQ1575"/>
      <c r="CR1575"/>
      <c r="CS1575"/>
      <c r="CT1575"/>
      <c r="CU1575"/>
      <c r="CV1575" s="2"/>
      <c r="CX1575"/>
      <c r="DC1575"/>
      <c r="DI1575"/>
      <c r="DJ1575"/>
      <c r="DK1575"/>
      <c r="DL1575"/>
      <c r="DM1575"/>
      <c r="DN1575"/>
      <c r="DT1575"/>
      <c r="DU1575" s="143"/>
      <c r="EA1575" s="143"/>
    </row>
    <row r="1576" spans="15:131" ht="15" hidden="1" customHeight="1">
      <c r="O1576" s="145"/>
      <c r="AX1576" s="141"/>
      <c r="AY1576" s="141"/>
      <c r="BE1576"/>
      <c r="BF1576" s="2"/>
      <c r="BM1576" s="143"/>
      <c r="BU1576" s="144"/>
      <c r="BV1576" s="144"/>
      <c r="BW1576" s="144"/>
      <c r="CN1576"/>
      <c r="CO1576"/>
      <c r="CP1576"/>
      <c r="CQ1576"/>
      <c r="CR1576"/>
      <c r="CS1576"/>
      <c r="CT1576"/>
      <c r="CU1576"/>
      <c r="CV1576" s="2"/>
      <c r="CX1576"/>
      <c r="DC1576"/>
      <c r="DI1576"/>
      <c r="DJ1576"/>
      <c r="DK1576"/>
      <c r="DL1576"/>
      <c r="DM1576"/>
      <c r="DN1576"/>
      <c r="DT1576"/>
      <c r="DU1576" s="143"/>
      <c r="EA1576" s="143"/>
    </row>
    <row r="1577" spans="15:131" ht="15" hidden="1" customHeight="1">
      <c r="O1577" s="145"/>
      <c r="AX1577" s="141"/>
      <c r="AY1577" s="141"/>
      <c r="BE1577"/>
      <c r="BF1577" s="2"/>
      <c r="BM1577" s="143"/>
      <c r="BU1577" s="144"/>
      <c r="BV1577" s="144"/>
      <c r="BW1577" s="144"/>
      <c r="CN1577"/>
      <c r="CO1577"/>
      <c r="CP1577"/>
      <c r="CQ1577"/>
      <c r="CR1577"/>
      <c r="CS1577"/>
      <c r="CT1577"/>
      <c r="CU1577"/>
      <c r="CV1577" s="2"/>
      <c r="CX1577"/>
      <c r="DC1577"/>
      <c r="DI1577"/>
      <c r="DJ1577"/>
      <c r="DK1577"/>
      <c r="DL1577"/>
      <c r="DM1577"/>
      <c r="DN1577"/>
      <c r="DT1577"/>
      <c r="DU1577" s="143"/>
      <c r="EA1577" s="143"/>
    </row>
    <row r="1578" spans="15:131" ht="15" hidden="1" customHeight="1">
      <c r="O1578" s="145"/>
      <c r="AX1578" s="141"/>
      <c r="AY1578" s="141"/>
      <c r="BE1578"/>
      <c r="BF1578" s="2"/>
      <c r="BM1578" s="143"/>
      <c r="BN1578" s="143"/>
      <c r="BU1578" s="144"/>
      <c r="BV1578" s="144"/>
      <c r="BW1578" s="144"/>
      <c r="BX1578" s="144"/>
      <c r="CN1578"/>
      <c r="CO1578"/>
      <c r="CP1578"/>
      <c r="CQ1578"/>
      <c r="CR1578"/>
      <c r="CS1578"/>
      <c r="CT1578"/>
      <c r="CU1578"/>
      <c r="CV1578" s="2"/>
      <c r="CX1578"/>
      <c r="DC1578"/>
      <c r="DI1578"/>
      <c r="DJ1578"/>
      <c r="DK1578"/>
      <c r="DL1578"/>
      <c r="DM1578"/>
      <c r="DN1578"/>
      <c r="DT1578"/>
      <c r="DU1578" s="143"/>
      <c r="EA1578" s="143"/>
    </row>
    <row r="1579" spans="15:131" ht="15" hidden="1" customHeight="1">
      <c r="O1579" s="145"/>
      <c r="AX1579" s="141"/>
      <c r="AY1579" s="141"/>
      <c r="BE1579"/>
      <c r="BF1579" s="2"/>
      <c r="BM1579" s="143"/>
      <c r="BN1579" s="143"/>
      <c r="BU1579" s="144"/>
      <c r="BV1579" s="144"/>
      <c r="BW1579" s="144"/>
      <c r="BX1579" s="144"/>
      <c r="CN1579"/>
      <c r="CO1579"/>
      <c r="CP1579"/>
      <c r="CQ1579"/>
      <c r="CR1579"/>
      <c r="CS1579"/>
      <c r="CT1579"/>
      <c r="CU1579"/>
      <c r="CV1579" s="2"/>
      <c r="CX1579"/>
      <c r="DC1579"/>
      <c r="DI1579"/>
      <c r="DJ1579"/>
      <c r="DK1579"/>
      <c r="DL1579"/>
      <c r="DM1579"/>
      <c r="DN1579"/>
      <c r="DT1579"/>
      <c r="DU1579" s="143"/>
      <c r="EA1579" s="143"/>
    </row>
    <row r="1580" spans="15:131" ht="15" hidden="1" customHeight="1">
      <c r="O1580" s="145"/>
      <c r="AX1580" s="141"/>
      <c r="AY1580" s="141"/>
      <c r="BE1580"/>
      <c r="BF1580" s="2"/>
      <c r="BM1580" s="143"/>
      <c r="BN1580" s="143"/>
      <c r="BU1580" s="144"/>
      <c r="BV1580" s="144"/>
      <c r="BW1580" s="144"/>
      <c r="BX1580" s="144"/>
      <c r="CN1580"/>
      <c r="CO1580"/>
      <c r="CP1580"/>
      <c r="CQ1580"/>
      <c r="CR1580"/>
      <c r="CS1580"/>
      <c r="CT1580"/>
      <c r="CU1580"/>
      <c r="CV1580" s="2"/>
      <c r="CX1580"/>
      <c r="DC1580"/>
      <c r="DI1580"/>
      <c r="DJ1580"/>
      <c r="DK1580"/>
      <c r="DL1580"/>
      <c r="DM1580"/>
      <c r="DN1580"/>
      <c r="DT1580"/>
      <c r="DU1580" s="143"/>
      <c r="EA1580" s="143"/>
    </row>
    <row r="1581" spans="15:131" ht="15" hidden="1" customHeight="1">
      <c r="O1581" s="145"/>
      <c r="AX1581" s="141"/>
      <c r="AY1581" s="141"/>
      <c r="BE1581"/>
      <c r="BF1581" s="2"/>
      <c r="BM1581" s="143"/>
      <c r="BN1581" s="143"/>
      <c r="BU1581" s="144"/>
      <c r="BV1581" s="144"/>
      <c r="BW1581" s="144"/>
      <c r="BX1581" s="144"/>
      <c r="CN1581"/>
      <c r="CO1581"/>
      <c r="CP1581"/>
      <c r="CQ1581"/>
      <c r="CR1581"/>
      <c r="CS1581"/>
      <c r="CT1581"/>
      <c r="CU1581"/>
      <c r="CV1581" s="2"/>
      <c r="CX1581"/>
      <c r="DC1581"/>
      <c r="DI1581"/>
      <c r="DJ1581"/>
      <c r="DK1581"/>
      <c r="DL1581"/>
      <c r="DM1581"/>
      <c r="DN1581"/>
      <c r="DT1581"/>
      <c r="DU1581" s="143"/>
      <c r="EA1581" s="143"/>
    </row>
    <row r="1582" spans="15:131" ht="15" hidden="1" customHeight="1">
      <c r="O1582" s="145"/>
      <c r="AX1582" s="141"/>
      <c r="AY1582" s="141"/>
      <c r="BE1582"/>
      <c r="BF1582" s="2"/>
      <c r="BM1582" s="143"/>
      <c r="BN1582" s="143"/>
      <c r="BU1582" s="144"/>
      <c r="BV1582" s="144"/>
      <c r="BW1582" s="144"/>
      <c r="BX1582" s="144"/>
      <c r="CN1582"/>
      <c r="CO1582"/>
      <c r="CP1582"/>
      <c r="CQ1582"/>
      <c r="CR1582"/>
      <c r="CS1582"/>
      <c r="CT1582"/>
      <c r="CU1582"/>
      <c r="CV1582" s="2"/>
      <c r="CX1582"/>
      <c r="DC1582"/>
      <c r="DI1582"/>
      <c r="DJ1582"/>
      <c r="DK1582"/>
      <c r="DL1582"/>
      <c r="DM1582"/>
      <c r="DN1582"/>
      <c r="DT1582"/>
      <c r="DU1582" s="143"/>
      <c r="EA1582" s="143"/>
    </row>
    <row r="1583" spans="15:131" ht="15" hidden="1" customHeight="1">
      <c r="O1583" s="145"/>
      <c r="AX1583" s="141"/>
      <c r="AY1583" s="141"/>
      <c r="BE1583"/>
      <c r="BF1583" s="2"/>
      <c r="BM1583" s="143"/>
      <c r="BN1583" s="143"/>
      <c r="BU1583" s="144"/>
      <c r="BV1583" s="144"/>
      <c r="BW1583" s="144"/>
      <c r="BX1583" s="144"/>
      <c r="CN1583"/>
      <c r="CO1583"/>
      <c r="CP1583"/>
      <c r="CQ1583"/>
      <c r="CR1583"/>
      <c r="CS1583"/>
      <c r="CT1583"/>
      <c r="CU1583"/>
      <c r="CV1583" s="2"/>
      <c r="CX1583"/>
      <c r="DC1583"/>
      <c r="DI1583"/>
      <c r="DJ1583"/>
      <c r="DK1583"/>
      <c r="DL1583"/>
      <c r="DM1583"/>
      <c r="DN1583"/>
      <c r="DT1583"/>
      <c r="DU1583" s="143"/>
      <c r="EA1583" s="143"/>
    </row>
    <row r="1584" spans="15:131" ht="15" hidden="1" customHeight="1">
      <c r="O1584" s="145"/>
      <c r="AX1584" s="141"/>
      <c r="AY1584" s="141"/>
      <c r="BE1584"/>
      <c r="BF1584" s="2"/>
      <c r="BM1584" s="143"/>
      <c r="BU1584" s="144"/>
      <c r="BV1584" s="144"/>
      <c r="BW1584" s="144"/>
      <c r="BX1584" s="144"/>
      <c r="CN1584"/>
      <c r="CO1584"/>
      <c r="CP1584"/>
      <c r="CQ1584"/>
      <c r="CR1584"/>
      <c r="CS1584"/>
      <c r="CT1584"/>
      <c r="CU1584"/>
      <c r="CV1584" s="2"/>
      <c r="CX1584"/>
      <c r="DC1584"/>
      <c r="DI1584"/>
      <c r="DJ1584"/>
      <c r="DK1584"/>
      <c r="DL1584"/>
      <c r="DM1584"/>
      <c r="DN1584"/>
      <c r="DT1584"/>
      <c r="DU1584" s="143"/>
      <c r="EA1584" s="143"/>
    </row>
    <row r="1585" spans="15:150" ht="15" hidden="1" customHeight="1">
      <c r="O1585" s="145"/>
      <c r="AX1585" s="141"/>
      <c r="AY1585" s="141"/>
      <c r="BE1585"/>
      <c r="BF1585" s="2"/>
      <c r="BM1585" s="143"/>
      <c r="BU1585" s="144"/>
      <c r="BV1585" s="144"/>
      <c r="BW1585" s="144"/>
      <c r="BX1585" s="144"/>
      <c r="CN1585"/>
      <c r="CO1585"/>
      <c r="CP1585"/>
      <c r="CQ1585"/>
      <c r="CR1585"/>
      <c r="CS1585"/>
      <c r="CT1585"/>
      <c r="CU1585"/>
      <c r="CV1585" s="2"/>
      <c r="CX1585"/>
      <c r="DC1585"/>
      <c r="DI1585"/>
      <c r="DJ1585"/>
      <c r="DK1585"/>
      <c r="DL1585"/>
      <c r="DM1585"/>
      <c r="DN1585"/>
      <c r="DT1585"/>
      <c r="DU1585" s="143"/>
      <c r="EA1585" s="143"/>
    </row>
    <row r="1586" spans="15:150" ht="15" hidden="1" customHeight="1">
      <c r="O1586" s="145"/>
      <c r="AX1586" s="141"/>
      <c r="AY1586" s="141"/>
      <c r="BE1586"/>
      <c r="BF1586" s="2"/>
      <c r="BM1586" s="143"/>
      <c r="BU1586" s="144"/>
      <c r="BV1586" s="144"/>
      <c r="BW1586" s="144"/>
      <c r="BX1586" s="144"/>
      <c r="CN1586"/>
      <c r="CO1586"/>
      <c r="CP1586"/>
      <c r="CQ1586"/>
      <c r="CR1586"/>
      <c r="CS1586"/>
      <c r="CT1586"/>
      <c r="CU1586"/>
      <c r="CV1586" s="2"/>
      <c r="CX1586"/>
      <c r="DC1586"/>
      <c r="DI1586"/>
      <c r="DJ1586"/>
      <c r="DK1586"/>
      <c r="DL1586"/>
      <c r="DM1586"/>
      <c r="DN1586"/>
      <c r="DT1586"/>
      <c r="DU1586" s="143"/>
      <c r="EA1586" s="143"/>
    </row>
    <row r="1587" spans="15:150" ht="15" hidden="1" customHeight="1">
      <c r="O1587" s="145"/>
      <c r="AX1587" s="141"/>
      <c r="AY1587" s="141"/>
      <c r="BE1587"/>
      <c r="BF1587" s="2"/>
      <c r="BM1587" s="143"/>
      <c r="BU1587" s="144"/>
      <c r="BV1587" s="144"/>
      <c r="BW1587" s="144"/>
      <c r="BX1587" s="144"/>
      <c r="CN1587"/>
      <c r="CO1587"/>
      <c r="CP1587"/>
      <c r="CQ1587"/>
      <c r="CR1587"/>
      <c r="CS1587"/>
      <c r="CT1587"/>
      <c r="CU1587"/>
      <c r="CV1587" s="2"/>
      <c r="CX1587"/>
      <c r="DC1587"/>
      <c r="DI1587"/>
      <c r="DJ1587"/>
      <c r="DK1587"/>
      <c r="DL1587"/>
      <c r="DM1587"/>
      <c r="DN1587"/>
      <c r="DT1587"/>
      <c r="DU1587" s="143"/>
      <c r="EA1587" s="143"/>
    </row>
    <row r="1588" spans="15:150" ht="15" hidden="1" customHeight="1">
      <c r="O1588" s="145"/>
      <c r="AX1588" s="141"/>
      <c r="AY1588" s="141"/>
      <c r="BE1588"/>
      <c r="BF1588" s="2"/>
      <c r="BM1588" s="143"/>
      <c r="BU1588" s="144"/>
      <c r="BV1588" s="144"/>
      <c r="BW1588" s="144"/>
      <c r="BX1588" s="144"/>
      <c r="CN1588"/>
      <c r="CO1588"/>
      <c r="CP1588"/>
      <c r="CQ1588"/>
      <c r="CR1588"/>
      <c r="CS1588"/>
      <c r="CT1588"/>
      <c r="CU1588"/>
      <c r="CV1588" s="2"/>
      <c r="CX1588"/>
      <c r="DC1588"/>
      <c r="DI1588"/>
      <c r="DJ1588"/>
      <c r="DK1588"/>
      <c r="DL1588"/>
      <c r="DM1588"/>
      <c r="DN1588"/>
      <c r="DT1588"/>
      <c r="DU1588" s="143"/>
      <c r="EA1588" s="143"/>
    </row>
    <row r="1589" spans="15:150" ht="15" hidden="1" customHeight="1">
      <c r="O1589" s="145"/>
      <c r="AX1589" s="141"/>
      <c r="AY1589" s="141"/>
      <c r="BE1589"/>
      <c r="BF1589" s="2"/>
      <c r="BM1589" s="143"/>
      <c r="BU1589" s="144"/>
      <c r="BV1589" s="144"/>
      <c r="BW1589" s="144"/>
      <c r="BX1589" s="144"/>
      <c r="CN1589"/>
      <c r="CO1589"/>
      <c r="CP1589"/>
      <c r="CQ1589"/>
      <c r="CR1589"/>
      <c r="CS1589"/>
      <c r="CT1589"/>
      <c r="CU1589"/>
      <c r="CV1589" s="2"/>
      <c r="CX1589"/>
      <c r="DC1589"/>
      <c r="DI1589"/>
      <c r="DJ1589"/>
      <c r="DK1589"/>
      <c r="DL1589"/>
      <c r="DM1589"/>
      <c r="DN1589"/>
      <c r="DT1589"/>
      <c r="DU1589" s="143"/>
      <c r="EA1589" s="143"/>
    </row>
    <row r="1590" spans="15:150" ht="15" hidden="1" customHeight="1">
      <c r="O1590" s="145"/>
      <c r="AX1590" s="141"/>
      <c r="AY1590" s="141"/>
      <c r="BE1590"/>
      <c r="BF1590" s="2"/>
      <c r="BM1590" s="143"/>
      <c r="BN1590" s="143"/>
      <c r="BP1590" s="143"/>
      <c r="BQ1590" s="143"/>
      <c r="BU1590" s="144"/>
      <c r="BV1590" s="144"/>
      <c r="BW1590" s="144"/>
      <c r="BX1590" s="144"/>
      <c r="CN1590"/>
      <c r="CO1590"/>
      <c r="CP1590"/>
      <c r="CQ1590"/>
      <c r="CR1590"/>
      <c r="CS1590"/>
      <c r="CT1590"/>
      <c r="CU1590"/>
      <c r="CV1590" s="2"/>
      <c r="CX1590"/>
      <c r="DC1590"/>
      <c r="DI1590"/>
      <c r="DJ1590"/>
      <c r="DK1590"/>
      <c r="DL1590"/>
      <c r="DM1590"/>
      <c r="DN1590"/>
      <c r="DT1590"/>
      <c r="DU1590" s="143"/>
    </row>
    <row r="1591" spans="15:150" ht="15" hidden="1" customHeight="1">
      <c r="O1591" s="145"/>
      <c r="AX1591" s="141"/>
      <c r="AY1591" s="141"/>
      <c r="BE1591"/>
      <c r="BF1591" s="2"/>
      <c r="BM1591" s="143"/>
      <c r="BN1591" s="143"/>
      <c r="BU1591" s="144"/>
      <c r="BV1591" s="144"/>
      <c r="BW1591" s="144"/>
      <c r="BX1591" s="144"/>
      <c r="CN1591"/>
      <c r="CO1591"/>
      <c r="CP1591"/>
      <c r="CQ1591"/>
      <c r="CR1591"/>
      <c r="CS1591"/>
      <c r="CT1591"/>
      <c r="CU1591"/>
      <c r="CV1591" s="2"/>
      <c r="CX1591"/>
      <c r="DC1591"/>
      <c r="DI1591"/>
      <c r="DJ1591"/>
      <c r="DK1591"/>
      <c r="DL1591"/>
      <c r="DM1591"/>
      <c r="DN1591"/>
      <c r="DT1591"/>
      <c r="DU1591" s="143"/>
      <c r="ET1591" s="185"/>
    </row>
    <row r="1592" spans="15:150" ht="15" hidden="1" customHeight="1">
      <c r="AX1592" s="141"/>
      <c r="AY1592" s="141"/>
      <c r="BE1592"/>
      <c r="BF1592" s="2"/>
      <c r="BU1592" s="144"/>
      <c r="CN1592"/>
      <c r="CO1592"/>
      <c r="CP1592"/>
      <c r="CQ1592"/>
      <c r="CR1592"/>
      <c r="CS1592"/>
      <c r="CT1592"/>
      <c r="CU1592"/>
      <c r="CV1592" s="2"/>
      <c r="CX1592"/>
      <c r="DC1592"/>
      <c r="DI1592"/>
      <c r="DJ1592"/>
      <c r="DK1592"/>
      <c r="DL1592"/>
      <c r="DM1592"/>
      <c r="DN1592"/>
      <c r="DT1592"/>
      <c r="DU1592" s="143"/>
    </row>
    <row r="1593" spans="15:150" ht="15" hidden="1" customHeight="1">
      <c r="AX1593" s="141"/>
      <c r="AY1593" s="141"/>
      <c r="BE1593"/>
      <c r="BF1593" s="2"/>
      <c r="BU1593" s="144"/>
      <c r="CN1593"/>
      <c r="CO1593"/>
      <c r="CP1593"/>
      <c r="CQ1593"/>
      <c r="CR1593"/>
      <c r="CS1593"/>
      <c r="CT1593"/>
      <c r="CU1593"/>
      <c r="CV1593" s="2"/>
      <c r="CX1593"/>
      <c r="DC1593"/>
      <c r="DI1593"/>
      <c r="DJ1593"/>
      <c r="DK1593"/>
      <c r="DL1593"/>
      <c r="DM1593"/>
      <c r="DN1593"/>
      <c r="DT1593"/>
      <c r="DU1593" s="143"/>
    </row>
    <row r="1594" spans="15:150" ht="15" hidden="1" customHeight="1">
      <c r="AX1594" s="141"/>
      <c r="AY1594" s="141"/>
      <c r="BE1594"/>
      <c r="BF1594" s="2"/>
      <c r="BU1594" s="144"/>
      <c r="CN1594"/>
      <c r="CO1594"/>
      <c r="CP1594"/>
      <c r="CQ1594"/>
      <c r="CR1594"/>
      <c r="CS1594"/>
      <c r="CT1594"/>
      <c r="CU1594"/>
      <c r="CV1594" s="2"/>
      <c r="CX1594"/>
      <c r="DC1594"/>
      <c r="DI1594"/>
      <c r="DJ1594"/>
      <c r="DK1594"/>
      <c r="DL1594"/>
      <c r="DM1594"/>
      <c r="DN1594"/>
      <c r="DT1594"/>
      <c r="DU1594" s="143"/>
    </row>
    <row r="1595" spans="15:150" ht="15" hidden="1" customHeight="1">
      <c r="AX1595" s="141"/>
      <c r="AY1595" s="141"/>
      <c r="BE1595"/>
      <c r="BF1595" s="2"/>
      <c r="BU1595" s="144"/>
      <c r="CN1595"/>
      <c r="CO1595"/>
      <c r="CP1595"/>
      <c r="CQ1595"/>
      <c r="CR1595"/>
      <c r="CS1595"/>
      <c r="CT1595"/>
      <c r="CU1595"/>
      <c r="CV1595" s="2"/>
      <c r="CX1595"/>
      <c r="DC1595"/>
      <c r="DI1595"/>
      <c r="DJ1595"/>
      <c r="DK1595"/>
      <c r="DL1595"/>
      <c r="DM1595"/>
      <c r="DN1595"/>
      <c r="DT1595"/>
      <c r="DU1595" s="143"/>
    </row>
    <row r="1596" spans="15:150" ht="15" hidden="1" customHeight="1">
      <c r="O1596" s="145"/>
      <c r="AX1596" s="141"/>
      <c r="AY1596" s="141"/>
      <c r="BE1596"/>
      <c r="BF1596" s="2"/>
      <c r="BM1596" s="143"/>
      <c r="BN1596" s="143"/>
      <c r="BU1596" s="144"/>
      <c r="BV1596" s="144"/>
      <c r="BW1596" s="144"/>
      <c r="CN1596"/>
      <c r="CO1596"/>
      <c r="CP1596"/>
      <c r="CQ1596"/>
      <c r="CR1596"/>
      <c r="CS1596"/>
      <c r="CT1596"/>
      <c r="CU1596"/>
      <c r="CV1596" s="2"/>
      <c r="CX1596"/>
      <c r="DC1596"/>
      <c r="DI1596"/>
      <c r="DJ1596"/>
      <c r="DK1596"/>
      <c r="DL1596"/>
      <c r="DM1596"/>
      <c r="DN1596"/>
      <c r="DT1596"/>
      <c r="DU1596" s="143"/>
    </row>
    <row r="1597" spans="15:150" ht="15" hidden="1" customHeight="1">
      <c r="O1597" s="145"/>
      <c r="AX1597" s="141"/>
      <c r="AY1597" s="141"/>
      <c r="BE1597"/>
      <c r="BF1597" s="2"/>
      <c r="BM1597" s="143"/>
      <c r="BN1597" s="143"/>
      <c r="BU1597" s="144"/>
      <c r="BV1597" s="144"/>
      <c r="BW1597" s="144"/>
      <c r="CN1597"/>
      <c r="CO1597"/>
      <c r="CP1597"/>
      <c r="CQ1597"/>
      <c r="CR1597"/>
      <c r="CS1597"/>
      <c r="CT1597"/>
      <c r="CU1597"/>
      <c r="CV1597" s="2"/>
      <c r="CX1597"/>
      <c r="DC1597"/>
      <c r="DI1597"/>
      <c r="DJ1597"/>
      <c r="DK1597"/>
      <c r="DL1597"/>
      <c r="DM1597"/>
      <c r="DN1597"/>
      <c r="DT1597"/>
      <c r="DU1597" s="143"/>
    </row>
    <row r="1598" spans="15:150" ht="15" hidden="1" customHeight="1">
      <c r="O1598" s="145"/>
      <c r="AX1598" s="141"/>
      <c r="AY1598" s="141"/>
      <c r="BE1598"/>
      <c r="BF1598" s="2"/>
      <c r="BM1598" s="143"/>
      <c r="BN1598" s="143"/>
      <c r="BU1598" s="144"/>
      <c r="BV1598" s="144"/>
      <c r="BW1598" s="144"/>
      <c r="CN1598"/>
      <c r="CO1598"/>
      <c r="CP1598"/>
      <c r="CQ1598"/>
      <c r="CR1598"/>
      <c r="CS1598"/>
      <c r="CT1598"/>
      <c r="CU1598"/>
      <c r="CV1598" s="2"/>
      <c r="CX1598"/>
      <c r="DC1598"/>
      <c r="DI1598"/>
      <c r="DJ1598"/>
      <c r="DK1598"/>
      <c r="DL1598"/>
      <c r="DM1598"/>
      <c r="DN1598"/>
      <c r="DT1598"/>
      <c r="DU1598" s="143"/>
    </row>
    <row r="1599" spans="15:150" ht="15" hidden="1" customHeight="1">
      <c r="O1599" s="145"/>
      <c r="AX1599" s="141"/>
      <c r="AY1599" s="141"/>
      <c r="BE1599"/>
      <c r="BF1599" s="2"/>
      <c r="BM1599" s="143"/>
      <c r="BN1599" s="143"/>
      <c r="BU1599" s="144"/>
      <c r="BV1599" s="144"/>
      <c r="BW1599" s="144"/>
      <c r="CN1599"/>
      <c r="CO1599"/>
      <c r="CP1599"/>
      <c r="CQ1599"/>
      <c r="CR1599"/>
      <c r="CS1599"/>
      <c r="CT1599"/>
      <c r="CU1599"/>
      <c r="CV1599" s="2"/>
      <c r="CX1599"/>
      <c r="DC1599"/>
      <c r="DI1599"/>
      <c r="DJ1599"/>
      <c r="DK1599"/>
      <c r="DL1599"/>
      <c r="DM1599"/>
      <c r="DN1599"/>
      <c r="DT1599"/>
      <c r="DU1599" s="143"/>
      <c r="EQ1599" s="149"/>
    </row>
    <row r="1600" spans="15:150" ht="15" hidden="1" customHeight="1">
      <c r="O1600" s="145"/>
      <c r="AX1600" s="141"/>
      <c r="AY1600" s="141"/>
      <c r="BE1600"/>
      <c r="BF1600" s="2"/>
      <c r="BM1600" s="143"/>
      <c r="BN1600" s="143"/>
      <c r="BU1600" s="144"/>
      <c r="BV1600" s="144"/>
      <c r="BW1600" s="144"/>
      <c r="CN1600"/>
      <c r="CO1600"/>
      <c r="CP1600"/>
      <c r="CQ1600"/>
      <c r="CR1600"/>
      <c r="CS1600"/>
      <c r="CT1600"/>
      <c r="CU1600"/>
      <c r="CV1600" s="2"/>
      <c r="CX1600"/>
      <c r="DC1600"/>
      <c r="DI1600"/>
      <c r="DJ1600"/>
      <c r="DK1600"/>
      <c r="DL1600"/>
      <c r="DM1600"/>
      <c r="DN1600"/>
      <c r="DT1600"/>
      <c r="DU1600" s="143"/>
    </row>
    <row r="1601" spans="15:147" ht="15" hidden="1" customHeight="1">
      <c r="O1601" s="145"/>
      <c r="AX1601" s="141"/>
      <c r="AY1601" s="141"/>
      <c r="BE1601"/>
      <c r="BF1601" s="2"/>
      <c r="BM1601" s="143"/>
      <c r="BN1601" s="143"/>
      <c r="BU1601" s="144"/>
      <c r="BV1601" s="144"/>
      <c r="BW1601" s="144"/>
      <c r="CN1601"/>
      <c r="CO1601"/>
      <c r="CP1601"/>
      <c r="CQ1601"/>
      <c r="CR1601"/>
      <c r="CS1601"/>
      <c r="CT1601"/>
      <c r="CU1601"/>
      <c r="CV1601" s="2"/>
      <c r="CX1601"/>
      <c r="DC1601"/>
      <c r="DI1601"/>
      <c r="DJ1601"/>
      <c r="DK1601"/>
      <c r="DL1601"/>
      <c r="DM1601"/>
      <c r="DN1601"/>
      <c r="DT1601"/>
      <c r="DU1601" s="143"/>
    </row>
    <row r="1602" spans="15:147" ht="15" hidden="1" customHeight="1">
      <c r="O1602" s="145"/>
      <c r="AX1602" s="141"/>
      <c r="AY1602" s="141"/>
      <c r="BE1602"/>
      <c r="BF1602" s="2"/>
      <c r="BM1602" s="143"/>
      <c r="BN1602" s="143"/>
      <c r="BU1602" s="144"/>
      <c r="BV1602" s="144"/>
      <c r="BW1602" s="144"/>
      <c r="CN1602"/>
      <c r="CO1602"/>
      <c r="CP1602"/>
      <c r="CQ1602"/>
      <c r="CR1602"/>
      <c r="CS1602"/>
      <c r="CT1602"/>
      <c r="CU1602"/>
      <c r="CV1602" s="2"/>
      <c r="CX1602"/>
      <c r="DC1602"/>
      <c r="DI1602"/>
      <c r="DJ1602"/>
      <c r="DK1602"/>
      <c r="DL1602"/>
      <c r="DM1602"/>
      <c r="DN1602"/>
      <c r="DT1602"/>
      <c r="DU1602" s="143"/>
    </row>
    <row r="1603" spans="15:147" ht="15" hidden="1" customHeight="1">
      <c r="O1603" s="145"/>
      <c r="AX1603" s="141"/>
      <c r="AY1603" s="141"/>
      <c r="BE1603"/>
      <c r="BF1603" s="2"/>
      <c r="BM1603" s="143"/>
      <c r="BN1603" s="143"/>
      <c r="BU1603" s="144"/>
      <c r="BV1603" s="144"/>
      <c r="BW1603" s="144"/>
      <c r="CN1603"/>
      <c r="CO1603"/>
      <c r="CP1603"/>
      <c r="CQ1603"/>
      <c r="CR1603"/>
      <c r="CS1603"/>
      <c r="CT1603"/>
      <c r="CU1603"/>
      <c r="CV1603" s="2"/>
      <c r="CX1603"/>
      <c r="DC1603"/>
      <c r="DI1603"/>
      <c r="DJ1603"/>
      <c r="DK1603"/>
      <c r="DL1603"/>
      <c r="DM1603"/>
      <c r="DN1603"/>
      <c r="DT1603"/>
      <c r="DU1603" s="143"/>
      <c r="EQ1603" s="149"/>
    </row>
    <row r="1604" spans="15:147" ht="15" hidden="1" customHeight="1">
      <c r="O1604" s="145"/>
      <c r="AX1604" s="141"/>
      <c r="AY1604" s="141"/>
      <c r="BE1604"/>
      <c r="BF1604" s="2"/>
      <c r="BM1604" s="143"/>
      <c r="BN1604" s="143"/>
      <c r="BU1604" s="144"/>
      <c r="BV1604" s="144"/>
      <c r="BW1604" s="144"/>
      <c r="CN1604"/>
      <c r="CO1604"/>
      <c r="CP1604"/>
      <c r="CQ1604"/>
      <c r="CR1604"/>
      <c r="CS1604"/>
      <c r="CT1604"/>
      <c r="CU1604"/>
      <c r="CV1604" s="2"/>
      <c r="CX1604"/>
      <c r="DC1604"/>
      <c r="DI1604"/>
      <c r="DJ1604"/>
      <c r="DK1604"/>
      <c r="DL1604"/>
      <c r="DM1604"/>
      <c r="DN1604"/>
      <c r="DT1604"/>
      <c r="DU1604" s="143"/>
    </row>
    <row r="1605" spans="15:147" ht="15" hidden="1" customHeight="1">
      <c r="O1605" s="145"/>
      <c r="AX1605" s="141"/>
      <c r="AY1605" s="141"/>
      <c r="BE1605"/>
      <c r="BF1605" s="2"/>
      <c r="BM1605" s="143"/>
      <c r="BN1605" s="143"/>
      <c r="BU1605" s="144"/>
      <c r="BV1605" s="144"/>
      <c r="BW1605" s="144"/>
      <c r="CN1605"/>
      <c r="CO1605"/>
      <c r="CP1605"/>
      <c r="CQ1605"/>
      <c r="CR1605"/>
      <c r="CS1605"/>
      <c r="CT1605"/>
      <c r="CU1605"/>
      <c r="CV1605" s="2"/>
      <c r="CX1605"/>
      <c r="DC1605"/>
      <c r="DI1605"/>
      <c r="DJ1605"/>
      <c r="DK1605"/>
      <c r="DL1605"/>
      <c r="DM1605"/>
      <c r="DN1605"/>
      <c r="DT1605"/>
      <c r="DU1605" s="143"/>
    </row>
    <row r="1606" spans="15:147" ht="15" hidden="1" customHeight="1">
      <c r="O1606" s="145"/>
      <c r="AX1606" s="141"/>
      <c r="AY1606" s="141"/>
      <c r="BE1606"/>
      <c r="BF1606" s="2"/>
      <c r="BM1606" s="143"/>
      <c r="BN1606" s="143"/>
      <c r="BU1606" s="144"/>
      <c r="BV1606" s="144"/>
      <c r="BW1606" s="144"/>
      <c r="CN1606"/>
      <c r="CO1606"/>
      <c r="CP1606"/>
      <c r="CQ1606"/>
      <c r="CR1606"/>
      <c r="CS1606"/>
      <c r="CT1606"/>
      <c r="CU1606"/>
      <c r="CV1606" s="2"/>
      <c r="CX1606"/>
      <c r="DC1606"/>
      <c r="DI1606"/>
      <c r="DJ1606"/>
      <c r="DK1606"/>
      <c r="DL1606"/>
      <c r="DM1606"/>
      <c r="DN1606"/>
      <c r="DT1606"/>
      <c r="DU1606" s="143"/>
    </row>
    <row r="1607" spans="15:147" ht="15" hidden="1" customHeight="1">
      <c r="O1607" s="145"/>
      <c r="AX1607" s="141"/>
      <c r="AY1607" s="141"/>
      <c r="BE1607"/>
      <c r="BF1607" s="2"/>
      <c r="BM1607" s="143"/>
      <c r="BN1607" s="143"/>
      <c r="BU1607" s="144"/>
      <c r="BV1607" s="144"/>
      <c r="BW1607" s="144"/>
      <c r="CN1607"/>
      <c r="CO1607"/>
      <c r="CP1607"/>
      <c r="CQ1607"/>
      <c r="CR1607"/>
      <c r="CS1607"/>
      <c r="CT1607"/>
      <c r="CU1607"/>
      <c r="CV1607" s="2"/>
      <c r="CX1607"/>
      <c r="DC1607"/>
      <c r="DI1607"/>
      <c r="DJ1607"/>
      <c r="DK1607"/>
      <c r="DL1607"/>
      <c r="DM1607"/>
      <c r="DN1607"/>
      <c r="DT1607"/>
      <c r="DU1607" s="143"/>
      <c r="EQ1607" s="149"/>
    </row>
    <row r="1608" spans="15:147" ht="15" hidden="1" customHeight="1">
      <c r="O1608" s="145"/>
      <c r="AX1608" s="141"/>
      <c r="AY1608" s="141"/>
      <c r="BE1608"/>
      <c r="BF1608" s="2"/>
      <c r="BM1608" s="143"/>
      <c r="BN1608" s="143"/>
      <c r="BU1608" s="144"/>
      <c r="BV1608" s="144"/>
      <c r="BW1608" s="144"/>
      <c r="CN1608"/>
      <c r="CO1608"/>
      <c r="CP1608"/>
      <c r="CQ1608"/>
      <c r="CR1608"/>
      <c r="CS1608"/>
      <c r="CT1608"/>
      <c r="CU1608"/>
      <c r="CV1608" s="2"/>
      <c r="CX1608"/>
      <c r="DC1608"/>
      <c r="DI1608"/>
      <c r="DJ1608"/>
      <c r="DK1608"/>
      <c r="DL1608"/>
      <c r="DM1608"/>
      <c r="DN1608"/>
      <c r="DT1608"/>
      <c r="DU1608" s="143"/>
    </row>
    <row r="1609" spans="15:147" ht="15" hidden="1" customHeight="1">
      <c r="O1609" s="145"/>
      <c r="AX1609" s="141"/>
      <c r="AY1609" s="141"/>
      <c r="BE1609"/>
      <c r="BF1609" s="2"/>
      <c r="BM1609" s="143"/>
      <c r="BN1609" s="143"/>
      <c r="BU1609" s="144"/>
      <c r="BV1609" s="144"/>
      <c r="BW1609" s="144"/>
      <c r="CN1609"/>
      <c r="CO1609"/>
      <c r="CP1609"/>
      <c r="CQ1609"/>
      <c r="CR1609"/>
      <c r="CS1609"/>
      <c r="CT1609"/>
      <c r="CU1609"/>
      <c r="CV1609" s="2"/>
      <c r="CX1609"/>
      <c r="DC1609"/>
      <c r="DI1609"/>
      <c r="DJ1609"/>
      <c r="DK1609"/>
      <c r="DL1609"/>
      <c r="DM1609"/>
      <c r="DN1609"/>
      <c r="DT1609"/>
      <c r="DU1609" s="143"/>
    </row>
    <row r="1610" spans="15:147" ht="15" hidden="1" customHeight="1">
      <c r="O1610" s="145"/>
      <c r="AX1610" s="141"/>
      <c r="AY1610" s="141"/>
      <c r="BE1610"/>
      <c r="BF1610" s="2"/>
      <c r="BM1610" s="143"/>
      <c r="BN1610" s="143"/>
      <c r="BU1610" s="144"/>
      <c r="BV1610" s="144"/>
      <c r="BW1610" s="144"/>
      <c r="CN1610"/>
      <c r="CO1610"/>
      <c r="CP1610"/>
      <c r="CQ1610"/>
      <c r="CR1610"/>
      <c r="CS1610"/>
      <c r="CT1610"/>
      <c r="CU1610"/>
      <c r="CV1610" s="2"/>
      <c r="CX1610"/>
      <c r="DC1610"/>
      <c r="DI1610"/>
      <c r="DJ1610"/>
      <c r="DK1610"/>
      <c r="DL1610"/>
      <c r="DM1610"/>
      <c r="DN1610"/>
      <c r="DT1610"/>
      <c r="DU1610" s="143"/>
    </row>
    <row r="1611" spans="15:147" ht="15" hidden="1" customHeight="1">
      <c r="O1611" s="145"/>
      <c r="AX1611" s="141"/>
      <c r="AY1611" s="141"/>
      <c r="BE1611"/>
      <c r="BF1611" s="2"/>
      <c r="BM1611" s="143"/>
      <c r="BN1611" s="143"/>
      <c r="BU1611" s="144"/>
      <c r="BV1611" s="144"/>
      <c r="BW1611" s="144"/>
      <c r="CN1611"/>
      <c r="CO1611"/>
      <c r="CP1611"/>
      <c r="CQ1611"/>
      <c r="CR1611"/>
      <c r="CS1611"/>
      <c r="CT1611"/>
      <c r="CU1611"/>
      <c r="CV1611" s="2"/>
      <c r="CX1611"/>
      <c r="DC1611"/>
      <c r="DI1611"/>
      <c r="DJ1611"/>
      <c r="DK1611"/>
      <c r="DL1611"/>
      <c r="DM1611"/>
      <c r="DN1611"/>
      <c r="DT1611"/>
      <c r="DU1611" s="143"/>
    </row>
    <row r="1612" spans="15:147" ht="15" hidden="1" customHeight="1">
      <c r="O1612" s="145"/>
      <c r="AX1612" s="141"/>
      <c r="AY1612" s="141"/>
      <c r="BE1612"/>
      <c r="BF1612" s="2"/>
      <c r="BM1612" s="143"/>
      <c r="BN1612" s="143"/>
      <c r="BU1612" s="144"/>
      <c r="BV1612" s="144"/>
      <c r="BW1612" s="144"/>
      <c r="CN1612"/>
      <c r="CO1612"/>
      <c r="CP1612"/>
      <c r="CQ1612"/>
      <c r="CR1612"/>
      <c r="CS1612"/>
      <c r="CT1612"/>
      <c r="CU1612"/>
      <c r="CV1612" s="2"/>
      <c r="CX1612"/>
      <c r="DC1612"/>
      <c r="DI1612"/>
      <c r="DJ1612"/>
      <c r="DK1612"/>
      <c r="DL1612"/>
      <c r="DM1612"/>
      <c r="DN1612"/>
      <c r="DT1612"/>
      <c r="DU1612" s="143"/>
    </row>
    <row r="1613" spans="15:147" ht="15" hidden="1" customHeight="1">
      <c r="O1613" s="145"/>
      <c r="V1613" s="143"/>
      <c r="W1613" s="143"/>
      <c r="X1613" s="143"/>
      <c r="Y1613" s="143"/>
      <c r="Z1613" s="143"/>
      <c r="AA1613" s="143"/>
      <c r="AB1613" s="143"/>
      <c r="AC1613" s="143"/>
      <c r="AD1613" s="143"/>
      <c r="AE1613" s="143"/>
      <c r="AF1613" s="143"/>
      <c r="AG1613" s="143"/>
      <c r="AH1613" s="143"/>
      <c r="AI1613" s="143"/>
      <c r="AJ1613" s="143"/>
      <c r="AK1613" s="143"/>
      <c r="AL1613" s="143"/>
      <c r="AM1613" s="143"/>
      <c r="AN1613" s="143"/>
      <c r="AO1613" s="143"/>
      <c r="AP1613" s="143"/>
      <c r="AQ1613" s="143"/>
      <c r="AR1613" s="143"/>
      <c r="AS1613" s="143"/>
      <c r="AT1613" s="143"/>
      <c r="AU1613" s="143"/>
      <c r="AV1613" s="143"/>
      <c r="AW1613" s="143"/>
      <c r="AX1613" s="141"/>
      <c r="AY1613" s="141"/>
      <c r="BE1613"/>
      <c r="BF1613" s="2"/>
      <c r="BU1613" s="144"/>
      <c r="BZ1613" s="143"/>
      <c r="CA1613" s="143"/>
      <c r="CB1613" s="143"/>
      <c r="CC1613" s="143"/>
      <c r="CD1613" s="143"/>
      <c r="CE1613" s="143"/>
      <c r="CF1613" s="143"/>
      <c r="CG1613" s="143"/>
      <c r="CH1613" s="143"/>
      <c r="CI1613" s="143"/>
      <c r="CJ1613" s="143"/>
      <c r="CK1613" s="143"/>
      <c r="CL1613" s="143"/>
      <c r="CM1613" s="143"/>
      <c r="CN1613"/>
      <c r="CO1613"/>
      <c r="CP1613"/>
      <c r="CQ1613"/>
      <c r="CR1613"/>
      <c r="CS1613"/>
      <c r="CT1613"/>
      <c r="CU1613"/>
      <c r="CV1613" s="2"/>
      <c r="CX1613"/>
      <c r="DC1613"/>
      <c r="DI1613"/>
      <c r="DJ1613"/>
      <c r="DK1613"/>
      <c r="DL1613"/>
      <c r="DM1613"/>
      <c r="DN1613"/>
      <c r="DP1613" s="143"/>
      <c r="DT1613"/>
      <c r="DU1613" s="143"/>
      <c r="DV1613" s="143"/>
      <c r="DW1613" s="143"/>
      <c r="DX1613" s="143"/>
      <c r="DY1613" s="143"/>
      <c r="DZ1613" s="143"/>
      <c r="EA1613" s="143"/>
      <c r="EB1613" s="143"/>
      <c r="EC1613" s="143"/>
      <c r="ED1613" s="143"/>
      <c r="EE1613" s="143"/>
      <c r="EF1613" s="143"/>
      <c r="EG1613" s="143"/>
      <c r="EH1613" s="143"/>
      <c r="EI1613" s="196"/>
    </row>
    <row r="1614" spans="15:147" ht="15" hidden="1" customHeight="1">
      <c r="O1614" s="145"/>
      <c r="AX1614" s="141"/>
      <c r="AY1614" s="141"/>
      <c r="BE1614"/>
      <c r="BF1614" s="2"/>
      <c r="BM1614" s="143"/>
      <c r="BU1614" s="144"/>
      <c r="BV1614" s="144"/>
      <c r="BW1614" s="144"/>
      <c r="CN1614"/>
      <c r="CO1614"/>
      <c r="CP1614"/>
      <c r="CQ1614"/>
      <c r="CR1614"/>
      <c r="CS1614"/>
      <c r="CT1614"/>
      <c r="CU1614"/>
      <c r="CV1614" s="2"/>
      <c r="CX1614"/>
      <c r="DC1614"/>
      <c r="DI1614"/>
      <c r="DJ1614"/>
      <c r="DK1614"/>
      <c r="DL1614"/>
      <c r="DM1614"/>
      <c r="DN1614"/>
      <c r="DT1614"/>
      <c r="DU1614" s="143"/>
      <c r="EA1614" s="143"/>
    </row>
    <row r="1615" spans="15:147" ht="15" hidden="1" customHeight="1">
      <c r="O1615" s="145"/>
      <c r="AX1615" s="141"/>
      <c r="AY1615" s="141"/>
      <c r="BE1615"/>
      <c r="BF1615" s="2"/>
      <c r="BM1615" s="143"/>
      <c r="BU1615" s="144"/>
      <c r="BV1615" s="144"/>
      <c r="BW1615" s="144"/>
      <c r="CN1615"/>
      <c r="CO1615"/>
      <c r="CP1615"/>
      <c r="CQ1615"/>
      <c r="CR1615"/>
      <c r="CS1615"/>
      <c r="CT1615"/>
      <c r="CU1615"/>
      <c r="CV1615" s="2"/>
      <c r="CX1615"/>
      <c r="DC1615"/>
      <c r="DI1615"/>
      <c r="DJ1615"/>
      <c r="DK1615"/>
      <c r="DL1615"/>
      <c r="DM1615"/>
      <c r="DN1615"/>
      <c r="DT1615"/>
      <c r="DU1615" s="143"/>
      <c r="EA1615" s="143"/>
    </row>
    <row r="1616" spans="15:147" ht="15" hidden="1" customHeight="1">
      <c r="O1616" s="145"/>
      <c r="AX1616" s="141"/>
      <c r="AY1616" s="141"/>
      <c r="BE1616"/>
      <c r="BF1616" s="2"/>
      <c r="BM1616" s="143"/>
      <c r="BU1616" s="144"/>
      <c r="BV1616" s="144"/>
      <c r="BW1616" s="144"/>
      <c r="CN1616"/>
      <c r="CO1616"/>
      <c r="CP1616"/>
      <c r="CQ1616"/>
      <c r="CR1616"/>
      <c r="CS1616"/>
      <c r="CT1616"/>
      <c r="CU1616"/>
      <c r="CV1616" s="2"/>
      <c r="CX1616"/>
      <c r="DC1616"/>
      <c r="DI1616"/>
      <c r="DJ1616"/>
      <c r="DK1616"/>
      <c r="DL1616"/>
      <c r="DM1616"/>
      <c r="DN1616"/>
      <c r="DT1616"/>
      <c r="DU1616" s="143"/>
      <c r="EA1616" s="143"/>
    </row>
    <row r="1617" spans="15:131" ht="15" hidden="1" customHeight="1">
      <c r="O1617" s="145"/>
      <c r="AX1617" s="141"/>
      <c r="AY1617" s="141"/>
      <c r="BE1617"/>
      <c r="BF1617" s="2"/>
      <c r="BM1617" s="143"/>
      <c r="BU1617" s="144"/>
      <c r="BV1617" s="144"/>
      <c r="BW1617" s="144"/>
      <c r="CN1617"/>
      <c r="CO1617"/>
      <c r="CP1617"/>
      <c r="CQ1617"/>
      <c r="CR1617"/>
      <c r="CS1617"/>
      <c r="CT1617"/>
      <c r="CU1617"/>
      <c r="CV1617" s="2"/>
      <c r="CX1617"/>
      <c r="DC1617"/>
      <c r="DI1617"/>
      <c r="DJ1617"/>
      <c r="DK1617"/>
      <c r="DL1617"/>
      <c r="DM1617"/>
      <c r="DN1617"/>
      <c r="DT1617"/>
      <c r="DU1617" s="143"/>
      <c r="EA1617" s="143"/>
    </row>
    <row r="1618" spans="15:131" ht="15" hidden="1" customHeight="1">
      <c r="O1618" s="145"/>
      <c r="AX1618" s="141"/>
      <c r="AY1618" s="141"/>
      <c r="BE1618"/>
      <c r="BF1618" s="2"/>
      <c r="BM1618" s="143"/>
      <c r="BU1618" s="144"/>
      <c r="BV1618" s="144"/>
      <c r="BW1618" s="144"/>
      <c r="CN1618"/>
      <c r="CO1618"/>
      <c r="CP1618"/>
      <c r="CQ1618"/>
      <c r="CR1618"/>
      <c r="CS1618"/>
      <c r="CT1618"/>
      <c r="CU1618"/>
      <c r="CV1618" s="2"/>
      <c r="CX1618"/>
      <c r="DC1618"/>
      <c r="DI1618"/>
      <c r="DJ1618"/>
      <c r="DK1618"/>
      <c r="DL1618"/>
      <c r="DM1618"/>
      <c r="DN1618"/>
      <c r="DT1618"/>
      <c r="DU1618" s="143"/>
      <c r="EA1618" s="143"/>
    </row>
    <row r="1619" spans="15:131" ht="15" hidden="1" customHeight="1">
      <c r="O1619" s="145"/>
      <c r="AX1619" s="141"/>
      <c r="AY1619" s="141"/>
      <c r="BE1619"/>
      <c r="BF1619" s="2"/>
      <c r="BM1619" s="143"/>
      <c r="BU1619" s="144"/>
      <c r="BV1619" s="144"/>
      <c r="BW1619" s="144"/>
      <c r="CN1619"/>
      <c r="CO1619"/>
      <c r="CP1619"/>
      <c r="CQ1619"/>
      <c r="CR1619"/>
      <c r="CS1619"/>
      <c r="CT1619"/>
      <c r="CU1619"/>
      <c r="CV1619" s="2"/>
      <c r="CX1619"/>
      <c r="DC1619"/>
      <c r="DI1619"/>
      <c r="DJ1619"/>
      <c r="DK1619"/>
      <c r="DL1619"/>
      <c r="DM1619"/>
      <c r="DN1619"/>
      <c r="DT1619"/>
      <c r="DU1619" s="143"/>
      <c r="EA1619" s="143"/>
    </row>
    <row r="1620" spans="15:131" ht="15" hidden="1" customHeight="1">
      <c r="O1620" s="145"/>
      <c r="AX1620" s="141"/>
      <c r="AY1620" s="141"/>
      <c r="BE1620"/>
      <c r="BF1620" s="2"/>
      <c r="BM1620" s="143"/>
      <c r="BU1620" s="144"/>
      <c r="BV1620" s="144"/>
      <c r="BW1620" s="144"/>
      <c r="CN1620"/>
      <c r="CO1620"/>
      <c r="CP1620"/>
      <c r="CQ1620"/>
      <c r="CR1620"/>
      <c r="CS1620"/>
      <c r="CT1620"/>
      <c r="CU1620"/>
      <c r="CV1620" s="2"/>
      <c r="CX1620"/>
      <c r="DC1620"/>
      <c r="DI1620"/>
      <c r="DJ1620"/>
      <c r="DK1620"/>
      <c r="DL1620"/>
      <c r="DM1620"/>
      <c r="DN1620"/>
      <c r="DT1620"/>
      <c r="DU1620" s="143"/>
      <c r="EA1620" s="143"/>
    </row>
    <row r="1621" spans="15:131" ht="15" hidden="1" customHeight="1">
      <c r="O1621" s="145"/>
      <c r="AX1621" s="141"/>
      <c r="AY1621" s="141"/>
      <c r="BE1621"/>
      <c r="BF1621" s="2"/>
      <c r="BM1621" s="143"/>
      <c r="BU1621" s="144"/>
      <c r="BV1621" s="144"/>
      <c r="BW1621" s="144"/>
      <c r="CN1621"/>
      <c r="CO1621"/>
      <c r="CP1621"/>
      <c r="CQ1621"/>
      <c r="CR1621"/>
      <c r="CS1621"/>
      <c r="CT1621"/>
      <c r="CU1621"/>
      <c r="CV1621" s="2"/>
      <c r="CX1621"/>
      <c r="DC1621"/>
      <c r="DI1621"/>
      <c r="DJ1621"/>
      <c r="DK1621"/>
      <c r="DL1621"/>
      <c r="DM1621"/>
      <c r="DN1621"/>
      <c r="DT1621"/>
      <c r="DU1621" s="143"/>
      <c r="EA1621" s="143"/>
    </row>
    <row r="1622" spans="15:131" ht="15" hidden="1" customHeight="1">
      <c r="O1622" s="145"/>
      <c r="AX1622" s="141"/>
      <c r="AY1622" s="141"/>
      <c r="BE1622"/>
      <c r="BF1622" s="2"/>
      <c r="BM1622" s="143"/>
      <c r="BU1622" s="144"/>
      <c r="BV1622" s="144"/>
      <c r="BW1622" s="144"/>
      <c r="CN1622"/>
      <c r="CO1622"/>
      <c r="CP1622"/>
      <c r="CQ1622"/>
      <c r="CR1622"/>
      <c r="CS1622"/>
      <c r="CT1622"/>
      <c r="CU1622"/>
      <c r="CV1622" s="2"/>
      <c r="CX1622"/>
      <c r="DC1622"/>
      <c r="DI1622"/>
      <c r="DJ1622"/>
      <c r="DK1622"/>
      <c r="DL1622"/>
      <c r="DM1622"/>
      <c r="DN1622"/>
      <c r="DT1622"/>
      <c r="DU1622" s="143"/>
      <c r="EA1622" s="143"/>
    </row>
    <row r="1623" spans="15:131" ht="15" hidden="1" customHeight="1">
      <c r="O1623" s="145"/>
      <c r="AX1623" s="141"/>
      <c r="AY1623" s="141"/>
      <c r="BE1623"/>
      <c r="BF1623" s="2"/>
      <c r="BM1623" s="143"/>
      <c r="BU1623" s="144"/>
      <c r="BV1623" s="144"/>
      <c r="BW1623" s="144"/>
      <c r="CN1623"/>
      <c r="CO1623"/>
      <c r="CP1623"/>
      <c r="CQ1623"/>
      <c r="CR1623"/>
      <c r="CS1623"/>
      <c r="CT1623"/>
      <c r="CU1623"/>
      <c r="CV1623" s="2"/>
      <c r="CX1623"/>
      <c r="DC1623"/>
      <c r="DI1623"/>
      <c r="DJ1623"/>
      <c r="DK1623"/>
      <c r="DL1623"/>
      <c r="DM1623"/>
      <c r="DN1623"/>
      <c r="DT1623"/>
      <c r="DU1623" s="143"/>
      <c r="EA1623" s="143"/>
    </row>
    <row r="1624" spans="15:131" ht="15" hidden="1" customHeight="1">
      <c r="O1624" s="145"/>
      <c r="AX1624" s="141"/>
      <c r="AY1624" s="141"/>
      <c r="BE1624"/>
      <c r="BF1624" s="2"/>
      <c r="BM1624" s="143"/>
      <c r="BU1624" s="144"/>
      <c r="BV1624" s="144"/>
      <c r="BW1624" s="144"/>
      <c r="CN1624"/>
      <c r="CO1624"/>
      <c r="CP1624"/>
      <c r="CQ1624"/>
      <c r="CR1624"/>
      <c r="CS1624"/>
      <c r="CT1624"/>
      <c r="CU1624"/>
      <c r="CV1624" s="2"/>
      <c r="CX1624"/>
      <c r="DC1624"/>
      <c r="DI1624"/>
      <c r="DJ1624"/>
      <c r="DK1624"/>
      <c r="DL1624"/>
      <c r="DM1624"/>
      <c r="DN1624"/>
      <c r="DT1624"/>
      <c r="DU1624" s="143"/>
      <c r="EA1624" s="143"/>
    </row>
    <row r="1625" spans="15:131" ht="15" hidden="1" customHeight="1">
      <c r="O1625" s="145"/>
      <c r="AX1625" s="141"/>
      <c r="AY1625" s="141"/>
      <c r="BE1625"/>
      <c r="BF1625" s="2"/>
      <c r="BM1625" s="143"/>
      <c r="BU1625" s="144"/>
      <c r="BV1625" s="144"/>
      <c r="BW1625" s="144"/>
      <c r="CN1625"/>
      <c r="CO1625"/>
      <c r="CP1625"/>
      <c r="CQ1625"/>
      <c r="CR1625"/>
      <c r="CS1625"/>
      <c r="CT1625"/>
      <c r="CU1625"/>
      <c r="CV1625" s="2"/>
      <c r="CX1625"/>
      <c r="DC1625"/>
      <c r="DI1625"/>
      <c r="DJ1625"/>
      <c r="DK1625"/>
      <c r="DL1625"/>
      <c r="DM1625"/>
      <c r="DN1625"/>
      <c r="DT1625"/>
      <c r="DU1625" s="143"/>
      <c r="EA1625" s="143"/>
    </row>
    <row r="1626" spans="15:131" ht="15" hidden="1" customHeight="1">
      <c r="O1626" s="145"/>
      <c r="AX1626" s="141"/>
      <c r="AY1626" s="141"/>
      <c r="BE1626"/>
      <c r="BF1626" s="2"/>
      <c r="BM1626" s="143"/>
      <c r="BU1626" s="144"/>
      <c r="BV1626" s="144"/>
      <c r="BW1626" s="144"/>
      <c r="CN1626"/>
      <c r="CO1626"/>
      <c r="CP1626"/>
      <c r="CQ1626"/>
      <c r="CR1626"/>
      <c r="CS1626"/>
      <c r="CT1626"/>
      <c r="CU1626"/>
      <c r="CV1626" s="2"/>
      <c r="CX1626"/>
      <c r="DC1626"/>
      <c r="DI1626"/>
      <c r="DJ1626"/>
      <c r="DK1626"/>
      <c r="DL1626"/>
      <c r="DM1626"/>
      <c r="DN1626"/>
      <c r="DT1626"/>
      <c r="DU1626" s="143"/>
      <c r="EA1626" s="143"/>
    </row>
    <row r="1627" spans="15:131" ht="15" hidden="1" customHeight="1">
      <c r="O1627" s="145"/>
      <c r="AX1627" s="141"/>
      <c r="AY1627" s="141"/>
      <c r="BE1627"/>
      <c r="BF1627" s="2"/>
      <c r="BM1627" s="143"/>
      <c r="BU1627" s="144"/>
      <c r="BV1627" s="144"/>
      <c r="BW1627" s="144"/>
      <c r="CN1627"/>
      <c r="CO1627"/>
      <c r="CP1627"/>
      <c r="CQ1627"/>
      <c r="CR1627"/>
      <c r="CS1627"/>
      <c r="CT1627"/>
      <c r="CU1627"/>
      <c r="CV1627" s="2"/>
      <c r="CX1627"/>
      <c r="DC1627"/>
      <c r="DI1627"/>
      <c r="DJ1627"/>
      <c r="DK1627"/>
      <c r="DL1627"/>
      <c r="DM1627"/>
      <c r="DN1627"/>
      <c r="DT1627"/>
      <c r="DU1627" s="143"/>
      <c r="EA1627" s="143"/>
    </row>
    <row r="1628" spans="15:131" ht="15" hidden="1" customHeight="1">
      <c r="O1628" s="145"/>
      <c r="AX1628" s="141"/>
      <c r="AY1628" s="141"/>
      <c r="BE1628"/>
      <c r="BF1628" s="2"/>
      <c r="BM1628" s="143"/>
      <c r="BU1628" s="144"/>
      <c r="BV1628" s="144"/>
      <c r="BW1628" s="144"/>
      <c r="CN1628"/>
      <c r="CO1628"/>
      <c r="CP1628"/>
      <c r="CQ1628"/>
      <c r="CR1628"/>
      <c r="CS1628"/>
      <c r="CT1628"/>
      <c r="CU1628"/>
      <c r="CV1628" s="2"/>
      <c r="CX1628"/>
      <c r="DC1628"/>
      <c r="DI1628"/>
      <c r="DJ1628"/>
      <c r="DK1628"/>
      <c r="DL1628"/>
      <c r="DM1628"/>
      <c r="DN1628"/>
      <c r="DT1628"/>
      <c r="DU1628" s="143"/>
      <c r="EA1628" s="143"/>
    </row>
    <row r="1629" spans="15:131" ht="15" hidden="1" customHeight="1">
      <c r="O1629" s="145"/>
      <c r="AX1629" s="141"/>
      <c r="AY1629" s="141"/>
      <c r="BE1629"/>
      <c r="BF1629" s="2"/>
      <c r="BM1629" s="143"/>
      <c r="BU1629" s="144"/>
      <c r="BV1629" s="144"/>
      <c r="BW1629" s="144"/>
      <c r="CN1629"/>
      <c r="CO1629"/>
      <c r="CP1629"/>
      <c r="CQ1629"/>
      <c r="CR1629"/>
      <c r="CS1629"/>
      <c r="CT1629"/>
      <c r="CU1629"/>
      <c r="CV1629" s="2"/>
      <c r="CX1629"/>
      <c r="DC1629"/>
      <c r="DI1629"/>
      <c r="DJ1629"/>
      <c r="DK1629"/>
      <c r="DL1629"/>
      <c r="DM1629"/>
      <c r="DN1629"/>
      <c r="DT1629"/>
      <c r="DU1629" s="143"/>
      <c r="EA1629" s="143"/>
    </row>
    <row r="1630" spans="15:131" ht="15" hidden="1" customHeight="1">
      <c r="O1630" s="145"/>
      <c r="AX1630" s="141"/>
      <c r="AY1630" s="141"/>
      <c r="BE1630"/>
      <c r="BF1630" s="2"/>
      <c r="BM1630" s="143"/>
      <c r="BU1630" s="144"/>
      <c r="BV1630" s="144"/>
      <c r="BW1630" s="144"/>
      <c r="CN1630"/>
      <c r="CO1630"/>
      <c r="CP1630"/>
      <c r="CQ1630"/>
      <c r="CR1630"/>
      <c r="CS1630"/>
      <c r="CT1630"/>
      <c r="CU1630"/>
      <c r="CV1630" s="2"/>
      <c r="CX1630"/>
      <c r="DC1630"/>
      <c r="DI1630"/>
      <c r="DJ1630"/>
      <c r="DK1630"/>
      <c r="DL1630"/>
      <c r="DM1630"/>
      <c r="DN1630"/>
      <c r="DT1630"/>
      <c r="DU1630" s="143"/>
      <c r="EA1630" s="143"/>
    </row>
    <row r="1631" spans="15:131" ht="15" hidden="1" customHeight="1">
      <c r="O1631" s="145"/>
      <c r="AX1631" s="141"/>
      <c r="AY1631" s="141"/>
      <c r="BE1631"/>
      <c r="BF1631" s="2"/>
      <c r="BM1631" s="143"/>
      <c r="BU1631" s="144"/>
      <c r="BV1631" s="144"/>
      <c r="BW1631" s="144"/>
      <c r="CN1631"/>
      <c r="CO1631"/>
      <c r="CP1631"/>
      <c r="CQ1631"/>
      <c r="CR1631"/>
      <c r="CS1631"/>
      <c r="CT1631"/>
      <c r="CU1631"/>
      <c r="CV1631" s="2"/>
      <c r="CX1631"/>
      <c r="DC1631"/>
      <c r="DI1631"/>
      <c r="DJ1631"/>
      <c r="DK1631"/>
      <c r="DL1631"/>
      <c r="DM1631"/>
      <c r="DN1631"/>
      <c r="DT1631"/>
      <c r="DU1631" s="143"/>
      <c r="EA1631" s="143"/>
    </row>
    <row r="1632" spans="15:131" ht="15" hidden="1" customHeight="1">
      <c r="O1632" s="145"/>
      <c r="AX1632" s="141"/>
      <c r="AY1632" s="141"/>
      <c r="BE1632"/>
      <c r="BF1632" s="2"/>
      <c r="BM1632" s="143"/>
      <c r="BU1632" s="144"/>
      <c r="BV1632" s="144"/>
      <c r="BW1632" s="144"/>
      <c r="CN1632"/>
      <c r="CO1632"/>
      <c r="CP1632"/>
      <c r="CQ1632"/>
      <c r="CR1632"/>
      <c r="CS1632"/>
      <c r="CT1632"/>
      <c r="CU1632"/>
      <c r="CV1632" s="2"/>
      <c r="CX1632"/>
      <c r="DC1632"/>
      <c r="DI1632"/>
      <c r="DJ1632"/>
      <c r="DK1632"/>
      <c r="DL1632"/>
      <c r="DM1632"/>
      <c r="DN1632"/>
      <c r="DT1632"/>
      <c r="DU1632" s="143"/>
      <c r="EA1632" s="143"/>
    </row>
    <row r="1633" spans="15:131" ht="15" hidden="1" customHeight="1">
      <c r="O1633" s="145"/>
      <c r="AX1633" s="141"/>
      <c r="AY1633" s="141"/>
      <c r="BE1633"/>
      <c r="BF1633" s="2"/>
      <c r="BM1633" s="143"/>
      <c r="BU1633" s="144"/>
      <c r="BV1633" s="144"/>
      <c r="BW1633" s="144"/>
      <c r="CN1633"/>
      <c r="CO1633"/>
      <c r="CP1633"/>
      <c r="CQ1633"/>
      <c r="CR1633"/>
      <c r="CS1633"/>
      <c r="CT1633"/>
      <c r="CU1633"/>
      <c r="CV1633" s="2"/>
      <c r="CX1633"/>
      <c r="DC1633"/>
      <c r="DI1633"/>
      <c r="DJ1633"/>
      <c r="DK1633"/>
      <c r="DL1633"/>
      <c r="DM1633"/>
      <c r="DN1633"/>
      <c r="DT1633"/>
      <c r="DU1633" s="143"/>
      <c r="EA1633" s="143"/>
    </row>
    <row r="1634" spans="15:131" ht="15" hidden="1" customHeight="1">
      <c r="O1634" s="145"/>
      <c r="AX1634" s="141"/>
      <c r="AY1634" s="141"/>
      <c r="BE1634"/>
      <c r="BF1634" s="2"/>
      <c r="BM1634" s="143"/>
      <c r="BU1634" s="144"/>
      <c r="BV1634" s="144"/>
      <c r="BW1634" s="144"/>
      <c r="CN1634"/>
      <c r="CO1634"/>
      <c r="CP1634"/>
      <c r="CQ1634"/>
      <c r="CR1634"/>
      <c r="CS1634"/>
      <c r="CT1634"/>
      <c r="CU1634"/>
      <c r="CV1634" s="2"/>
      <c r="CX1634"/>
      <c r="DC1634"/>
      <c r="DI1634"/>
      <c r="DJ1634"/>
      <c r="DK1634"/>
      <c r="DL1634"/>
      <c r="DM1634"/>
      <c r="DN1634"/>
      <c r="DT1634"/>
      <c r="DU1634" s="143"/>
      <c r="EA1634" s="143"/>
    </row>
    <row r="1635" spans="15:131" ht="15" hidden="1" customHeight="1">
      <c r="O1635" s="145"/>
      <c r="AX1635" s="141"/>
      <c r="AY1635" s="141"/>
      <c r="BE1635"/>
      <c r="BF1635" s="2"/>
      <c r="BM1635" s="143"/>
      <c r="BU1635" s="144"/>
      <c r="BV1635" s="144"/>
      <c r="BW1635" s="144"/>
      <c r="CN1635"/>
      <c r="CO1635"/>
      <c r="CP1635"/>
      <c r="CQ1635"/>
      <c r="CR1635"/>
      <c r="CS1635"/>
      <c r="CT1635"/>
      <c r="CU1635"/>
      <c r="CV1635" s="2"/>
      <c r="CX1635"/>
      <c r="DC1635"/>
      <c r="DI1635"/>
      <c r="DJ1635"/>
      <c r="DK1635"/>
      <c r="DL1635"/>
      <c r="DM1635"/>
      <c r="DN1635"/>
      <c r="DT1635"/>
      <c r="DU1635" s="143"/>
      <c r="EA1635" s="143"/>
    </row>
    <row r="1636" spans="15:131" ht="15" hidden="1" customHeight="1">
      <c r="O1636" s="145"/>
      <c r="AX1636" s="141"/>
      <c r="AY1636" s="141"/>
      <c r="BE1636"/>
      <c r="BF1636" s="2"/>
      <c r="BM1636" s="143"/>
      <c r="BU1636" s="144"/>
      <c r="BV1636" s="144"/>
      <c r="BW1636" s="144"/>
      <c r="CN1636"/>
      <c r="CO1636"/>
      <c r="CP1636"/>
      <c r="CQ1636"/>
      <c r="CR1636"/>
      <c r="CS1636"/>
      <c r="CT1636"/>
      <c r="CU1636"/>
      <c r="CV1636" s="2"/>
      <c r="CX1636"/>
      <c r="DC1636"/>
      <c r="DI1636"/>
      <c r="DJ1636"/>
      <c r="DK1636"/>
      <c r="DL1636"/>
      <c r="DM1636"/>
      <c r="DN1636"/>
      <c r="DT1636"/>
      <c r="DU1636" s="143"/>
      <c r="EA1636" s="143"/>
    </row>
    <row r="1637" spans="15:131" ht="15" hidden="1" customHeight="1">
      <c r="O1637" s="145"/>
      <c r="AX1637" s="141"/>
      <c r="AY1637" s="141"/>
      <c r="BE1637"/>
      <c r="BF1637" s="2"/>
      <c r="BM1637" s="143"/>
      <c r="BU1637" s="144"/>
      <c r="BV1637" s="144"/>
      <c r="BW1637" s="144"/>
      <c r="CN1637"/>
      <c r="CO1637"/>
      <c r="CP1637"/>
      <c r="CQ1637"/>
      <c r="CR1637"/>
      <c r="CS1637"/>
      <c r="CT1637"/>
      <c r="CU1637"/>
      <c r="CV1637" s="2"/>
      <c r="CX1637"/>
      <c r="DC1637"/>
      <c r="DI1637"/>
      <c r="DJ1637"/>
      <c r="DK1637"/>
      <c r="DL1637"/>
      <c r="DM1637"/>
      <c r="DN1637"/>
      <c r="DT1637"/>
      <c r="DU1637" s="143"/>
      <c r="EA1637" s="143"/>
    </row>
    <row r="1638" spans="15:131" ht="15" hidden="1" customHeight="1">
      <c r="O1638" s="145"/>
      <c r="AX1638" s="141"/>
      <c r="AY1638" s="141"/>
      <c r="BE1638"/>
      <c r="BF1638" s="2"/>
      <c r="BM1638" s="143"/>
      <c r="BU1638" s="144"/>
      <c r="BV1638" s="144"/>
      <c r="BW1638" s="144"/>
      <c r="CN1638"/>
      <c r="CO1638"/>
      <c r="CP1638"/>
      <c r="CQ1638"/>
      <c r="CR1638"/>
      <c r="CS1638"/>
      <c r="CT1638"/>
      <c r="CU1638"/>
      <c r="CV1638" s="2"/>
      <c r="CX1638"/>
      <c r="DC1638"/>
      <c r="DI1638"/>
      <c r="DJ1638"/>
      <c r="DK1638"/>
      <c r="DL1638"/>
      <c r="DM1638"/>
      <c r="DN1638"/>
      <c r="DT1638"/>
      <c r="DU1638" s="143"/>
      <c r="EA1638" s="143"/>
    </row>
    <row r="1639" spans="15:131" ht="15" hidden="1" customHeight="1">
      <c r="O1639" s="145"/>
      <c r="AX1639" s="141"/>
      <c r="AY1639" s="141"/>
      <c r="BE1639"/>
      <c r="BF1639" s="2"/>
      <c r="BM1639" s="143"/>
      <c r="BU1639" s="144"/>
      <c r="BV1639" s="144"/>
      <c r="BW1639" s="144"/>
      <c r="CN1639"/>
      <c r="CO1639"/>
      <c r="CP1639"/>
      <c r="CQ1639"/>
      <c r="CR1639"/>
      <c r="CS1639"/>
      <c r="CT1639"/>
      <c r="CU1639"/>
      <c r="CV1639" s="2"/>
      <c r="CX1639"/>
      <c r="DC1639"/>
      <c r="DI1639"/>
      <c r="DJ1639"/>
      <c r="DK1639"/>
      <c r="DL1639"/>
      <c r="DM1639"/>
      <c r="DN1639"/>
      <c r="DT1639"/>
      <c r="DU1639" s="143"/>
      <c r="EA1639" s="143"/>
    </row>
    <row r="1640" spans="15:131" ht="15" hidden="1" customHeight="1">
      <c r="O1640" s="145"/>
      <c r="AX1640" s="141"/>
      <c r="AY1640" s="141"/>
      <c r="BE1640"/>
      <c r="BF1640" s="2"/>
      <c r="BM1640" s="143"/>
      <c r="BU1640" s="144"/>
      <c r="BV1640" s="144"/>
      <c r="BW1640" s="144"/>
      <c r="CN1640"/>
      <c r="CO1640"/>
      <c r="CP1640"/>
      <c r="CQ1640"/>
      <c r="CR1640"/>
      <c r="CS1640"/>
      <c r="CT1640"/>
      <c r="CU1640"/>
      <c r="CV1640" s="2"/>
      <c r="CX1640"/>
      <c r="DC1640"/>
      <c r="DI1640"/>
      <c r="DJ1640"/>
      <c r="DK1640"/>
      <c r="DL1640"/>
      <c r="DM1640"/>
      <c r="DN1640"/>
      <c r="DT1640"/>
      <c r="DU1640" s="143"/>
      <c r="EA1640" s="143"/>
    </row>
    <row r="1641" spans="15:131" ht="15" hidden="1" customHeight="1">
      <c r="O1641" s="145"/>
      <c r="AX1641" s="141"/>
      <c r="AY1641" s="141"/>
      <c r="BE1641"/>
      <c r="BF1641" s="2"/>
      <c r="BM1641" s="143"/>
      <c r="BU1641" s="144"/>
      <c r="BV1641" s="144"/>
      <c r="BW1641" s="144"/>
      <c r="CN1641"/>
      <c r="CO1641"/>
      <c r="CP1641"/>
      <c r="CQ1641"/>
      <c r="CR1641"/>
      <c r="CS1641"/>
      <c r="CT1641"/>
      <c r="CU1641"/>
      <c r="CV1641" s="2"/>
      <c r="CX1641"/>
      <c r="DC1641"/>
      <c r="DI1641"/>
      <c r="DJ1641"/>
      <c r="DK1641"/>
      <c r="DL1641"/>
      <c r="DM1641"/>
      <c r="DN1641"/>
      <c r="DT1641"/>
      <c r="DU1641" s="143"/>
      <c r="EA1641" s="143"/>
    </row>
    <row r="1642" spans="15:131" ht="15" hidden="1" customHeight="1">
      <c r="O1642" s="145"/>
      <c r="AX1642" s="141"/>
      <c r="AY1642" s="141"/>
      <c r="BE1642"/>
      <c r="BF1642" s="2"/>
      <c r="BM1642" s="143"/>
      <c r="BU1642" s="144"/>
      <c r="BV1642" s="144"/>
      <c r="BW1642" s="144"/>
      <c r="CN1642"/>
      <c r="CO1642"/>
      <c r="CP1642"/>
      <c r="CQ1642"/>
      <c r="CR1642"/>
      <c r="CS1642"/>
      <c r="CT1642"/>
      <c r="CU1642"/>
      <c r="CV1642" s="2"/>
      <c r="CX1642"/>
      <c r="DC1642"/>
      <c r="DI1642"/>
      <c r="DJ1642"/>
      <c r="DK1642"/>
      <c r="DL1642"/>
      <c r="DM1642"/>
      <c r="DN1642"/>
      <c r="DT1642"/>
      <c r="DU1642" s="143"/>
      <c r="EA1642" s="143"/>
    </row>
    <row r="1643" spans="15:131" ht="15" hidden="1" customHeight="1">
      <c r="O1643" s="145"/>
      <c r="AX1643" s="141"/>
      <c r="AY1643" s="141"/>
      <c r="BE1643"/>
      <c r="BF1643" s="2"/>
      <c r="BM1643" s="143"/>
      <c r="BU1643" s="144"/>
      <c r="BV1643" s="144"/>
      <c r="BW1643" s="144"/>
      <c r="CN1643"/>
      <c r="CO1643"/>
      <c r="CP1643"/>
      <c r="CQ1643"/>
      <c r="CR1643"/>
      <c r="CS1643"/>
      <c r="CT1643"/>
      <c r="CU1643"/>
      <c r="CV1643" s="2"/>
      <c r="CX1643"/>
      <c r="DC1643"/>
      <c r="DI1643"/>
      <c r="DJ1643"/>
      <c r="DK1643"/>
      <c r="DL1643"/>
      <c r="DM1643"/>
      <c r="DN1643"/>
      <c r="DT1643"/>
      <c r="DU1643" s="143"/>
      <c r="EA1643" s="143"/>
    </row>
    <row r="1644" spans="15:131" ht="15" hidden="1" customHeight="1">
      <c r="O1644" s="145"/>
      <c r="AX1644" s="141"/>
      <c r="AY1644" s="141"/>
      <c r="BE1644"/>
      <c r="BF1644" s="2"/>
      <c r="BM1644" s="143"/>
      <c r="BU1644" s="144"/>
      <c r="BV1644" s="144"/>
      <c r="BW1644" s="144"/>
      <c r="CN1644"/>
      <c r="CO1644"/>
      <c r="CP1644"/>
      <c r="CQ1644"/>
      <c r="CR1644"/>
      <c r="CS1644"/>
      <c r="CT1644"/>
      <c r="CU1644"/>
      <c r="CV1644" s="2"/>
      <c r="CX1644"/>
      <c r="DC1644"/>
      <c r="DI1644"/>
      <c r="DJ1644"/>
      <c r="DK1644"/>
      <c r="DL1644"/>
      <c r="DM1644"/>
      <c r="DN1644"/>
      <c r="DT1644"/>
      <c r="DU1644" s="143"/>
      <c r="EA1644" s="143"/>
    </row>
    <row r="1645" spans="15:131" ht="15" hidden="1" customHeight="1">
      <c r="O1645" s="145"/>
      <c r="AX1645" s="141"/>
      <c r="AY1645" s="141"/>
      <c r="BE1645"/>
      <c r="BF1645" s="2"/>
      <c r="BM1645" s="143"/>
      <c r="BU1645" s="144"/>
      <c r="BV1645" s="144"/>
      <c r="BW1645" s="144"/>
      <c r="CN1645"/>
      <c r="CO1645"/>
      <c r="CP1645"/>
      <c r="CQ1645"/>
      <c r="CR1645"/>
      <c r="CS1645"/>
      <c r="CT1645"/>
      <c r="CU1645"/>
      <c r="CV1645" s="2"/>
      <c r="CX1645"/>
      <c r="DC1645"/>
      <c r="DI1645"/>
      <c r="DJ1645"/>
      <c r="DK1645"/>
      <c r="DL1645"/>
      <c r="DM1645"/>
      <c r="DN1645"/>
      <c r="DT1645"/>
      <c r="DU1645" s="143"/>
      <c r="EA1645" s="143"/>
    </row>
    <row r="1646" spans="15:131" ht="15" hidden="1" customHeight="1">
      <c r="O1646" s="145"/>
      <c r="AX1646" s="141"/>
      <c r="AY1646" s="141"/>
      <c r="BE1646"/>
      <c r="BF1646" s="2"/>
      <c r="BM1646" s="143"/>
      <c r="BU1646" s="144"/>
      <c r="BV1646" s="144"/>
      <c r="BW1646" s="144"/>
      <c r="CN1646"/>
      <c r="CO1646"/>
      <c r="CP1646"/>
      <c r="CQ1646"/>
      <c r="CR1646"/>
      <c r="CS1646"/>
      <c r="CT1646"/>
      <c r="CU1646"/>
      <c r="CV1646" s="2"/>
      <c r="CX1646"/>
      <c r="DC1646"/>
      <c r="DI1646"/>
      <c r="DJ1646"/>
      <c r="DK1646"/>
      <c r="DL1646"/>
      <c r="DM1646"/>
      <c r="DN1646"/>
      <c r="DT1646"/>
      <c r="DU1646" s="143"/>
      <c r="EA1646" s="143"/>
    </row>
    <row r="1647" spans="15:131" ht="15" hidden="1" customHeight="1">
      <c r="O1647" s="145"/>
      <c r="AX1647" s="141"/>
      <c r="AY1647" s="141"/>
      <c r="BE1647"/>
      <c r="BF1647" s="2"/>
      <c r="BM1647" s="143"/>
      <c r="BU1647" s="144"/>
      <c r="BV1647" s="144"/>
      <c r="BW1647" s="144"/>
      <c r="CN1647"/>
      <c r="CO1647"/>
      <c r="CP1647"/>
      <c r="CQ1647"/>
      <c r="CR1647"/>
      <c r="CS1647"/>
      <c r="CT1647"/>
      <c r="CU1647"/>
      <c r="CV1647" s="2"/>
      <c r="CX1647"/>
      <c r="DC1647"/>
      <c r="DI1647"/>
      <c r="DJ1647"/>
      <c r="DK1647"/>
      <c r="DL1647"/>
      <c r="DM1647"/>
      <c r="DN1647"/>
      <c r="DT1647"/>
      <c r="DU1647" s="143"/>
      <c r="EA1647" s="143"/>
    </row>
    <row r="1648" spans="15:131" ht="15" hidden="1" customHeight="1">
      <c r="O1648" s="145"/>
      <c r="AX1648" s="141"/>
      <c r="AY1648" s="141"/>
      <c r="BE1648"/>
      <c r="BF1648" s="2"/>
      <c r="BM1648" s="143"/>
      <c r="BU1648" s="144"/>
      <c r="BV1648" s="144"/>
      <c r="BW1648" s="144"/>
      <c r="CN1648"/>
      <c r="CO1648"/>
      <c r="CP1648"/>
      <c r="CQ1648"/>
      <c r="CR1648"/>
      <c r="CS1648"/>
      <c r="CT1648"/>
      <c r="CU1648"/>
      <c r="CV1648" s="2"/>
      <c r="CX1648"/>
      <c r="DC1648"/>
      <c r="DI1648"/>
      <c r="DJ1648"/>
      <c r="DK1648"/>
      <c r="DL1648"/>
      <c r="DM1648"/>
      <c r="DN1648"/>
      <c r="DT1648"/>
      <c r="DU1648" s="143"/>
      <c r="EA1648" s="143"/>
    </row>
    <row r="1649" spans="15:150" ht="15" hidden="1" customHeight="1">
      <c r="O1649" s="145"/>
      <c r="AX1649" s="141"/>
      <c r="AY1649" s="141"/>
      <c r="BE1649"/>
      <c r="BF1649" s="2"/>
      <c r="BM1649" s="143"/>
      <c r="BN1649" s="143"/>
      <c r="BU1649" s="144"/>
      <c r="BV1649" s="144"/>
      <c r="BW1649" s="144"/>
      <c r="BX1649" s="144"/>
      <c r="CN1649"/>
      <c r="CO1649"/>
      <c r="CP1649"/>
      <c r="CQ1649"/>
      <c r="CR1649"/>
      <c r="CS1649"/>
      <c r="CT1649"/>
      <c r="CU1649"/>
      <c r="CV1649" s="2"/>
      <c r="CX1649"/>
      <c r="DC1649"/>
      <c r="DI1649"/>
      <c r="DJ1649"/>
      <c r="DK1649"/>
      <c r="DL1649"/>
      <c r="DM1649"/>
      <c r="DN1649"/>
      <c r="DT1649"/>
      <c r="DU1649" s="143"/>
      <c r="EJ1649" s="186"/>
      <c r="ET1649" s="185"/>
    </row>
    <row r="1650" spans="15:150" hidden="1">
      <c r="O1650" s="145"/>
      <c r="AX1650" s="141"/>
      <c r="AY1650" s="141"/>
      <c r="BE1650"/>
      <c r="BF1650" s="2"/>
      <c r="BM1650" s="143"/>
      <c r="BU1650" s="144"/>
      <c r="BV1650" s="144"/>
      <c r="BW1650" s="144"/>
      <c r="BX1650" s="144"/>
      <c r="CN1650"/>
      <c r="CO1650"/>
      <c r="CP1650"/>
      <c r="CQ1650"/>
      <c r="CR1650"/>
      <c r="CS1650"/>
      <c r="CT1650"/>
      <c r="CU1650"/>
      <c r="CV1650" s="2"/>
      <c r="CX1650"/>
      <c r="DC1650"/>
      <c r="DI1650"/>
      <c r="DJ1650"/>
      <c r="DK1650"/>
      <c r="DL1650"/>
      <c r="DM1650"/>
      <c r="DN1650"/>
      <c r="DT1650"/>
      <c r="DU1650" s="143"/>
      <c r="EA1650" s="143"/>
    </row>
    <row r="1651" spans="15:150" hidden="1">
      <c r="O1651" s="145"/>
      <c r="AX1651" s="141"/>
      <c r="AY1651" s="141"/>
      <c r="BE1651"/>
      <c r="BF1651" s="2"/>
      <c r="BM1651" s="143"/>
      <c r="BU1651" s="144"/>
      <c r="BV1651" s="144"/>
      <c r="BW1651" s="144"/>
      <c r="BX1651" s="144"/>
      <c r="CN1651"/>
      <c r="CO1651"/>
      <c r="CP1651"/>
      <c r="CQ1651"/>
      <c r="CR1651"/>
      <c r="CS1651"/>
      <c r="CT1651"/>
      <c r="CU1651"/>
      <c r="CV1651" s="2"/>
      <c r="CX1651"/>
      <c r="DC1651"/>
      <c r="DI1651"/>
      <c r="DJ1651"/>
      <c r="DK1651"/>
      <c r="DL1651"/>
      <c r="DM1651"/>
      <c r="DN1651"/>
      <c r="DT1651"/>
      <c r="DU1651" s="143"/>
      <c r="EA1651" s="143"/>
    </row>
    <row r="1652" spans="15:150" hidden="1">
      <c r="BE1652"/>
      <c r="BF1652" s="2"/>
      <c r="CN1652"/>
      <c r="CO1652"/>
      <c r="CP1652"/>
      <c r="CQ1652"/>
      <c r="CR1652"/>
      <c r="CS1652"/>
      <c r="CT1652"/>
      <c r="CU1652"/>
      <c r="CV1652" s="2"/>
      <c r="CX1652"/>
      <c r="DC1652"/>
      <c r="DI1652"/>
      <c r="DJ1652"/>
      <c r="DK1652"/>
      <c r="DL1652"/>
      <c r="DM1652"/>
      <c r="DN1652"/>
      <c r="DT1652"/>
      <c r="DU1652"/>
      <c r="EJ1652" s="186"/>
      <c r="ET1652" s="185"/>
    </row>
    <row r="1653" spans="15:150" hidden="1">
      <c r="O1653" s="145"/>
      <c r="AX1653" s="141"/>
      <c r="AY1653" s="141"/>
      <c r="BE1653"/>
      <c r="BF1653" s="2"/>
      <c r="BM1653" s="143"/>
      <c r="BN1653" s="143"/>
      <c r="BU1653" s="144"/>
      <c r="BV1653" s="144"/>
      <c r="BW1653" s="144"/>
      <c r="BX1653" s="144"/>
      <c r="CN1653"/>
      <c r="CO1653"/>
      <c r="CP1653"/>
      <c r="CQ1653"/>
      <c r="CR1653"/>
      <c r="CS1653"/>
      <c r="CT1653"/>
      <c r="CU1653"/>
      <c r="CV1653" s="2"/>
      <c r="CX1653"/>
      <c r="DC1653"/>
      <c r="DI1653"/>
      <c r="DJ1653"/>
      <c r="DK1653"/>
      <c r="DL1653"/>
      <c r="DM1653"/>
      <c r="DN1653"/>
      <c r="DT1653"/>
      <c r="DU1653" s="143"/>
      <c r="EJ1653" s="186"/>
    </row>
    <row r="1654" spans="15:150" hidden="1">
      <c r="AX1654" s="141"/>
      <c r="AY1654" s="141"/>
      <c r="BE1654"/>
      <c r="BF1654" s="2"/>
      <c r="CN1654"/>
      <c r="CO1654"/>
      <c r="CP1654"/>
      <c r="CQ1654"/>
      <c r="CR1654"/>
      <c r="CS1654"/>
      <c r="CT1654"/>
      <c r="CU1654"/>
      <c r="CV1654" s="2"/>
      <c r="CX1654"/>
      <c r="DC1654"/>
      <c r="DI1654"/>
      <c r="DJ1654"/>
      <c r="DK1654"/>
      <c r="DL1654"/>
      <c r="DM1654"/>
      <c r="DN1654"/>
      <c r="DT1654"/>
      <c r="DU1654" s="143"/>
    </row>
    <row r="1655" spans="15:150" hidden="1">
      <c r="BE1655"/>
      <c r="BF1655" s="2"/>
      <c r="CN1655"/>
      <c r="CO1655"/>
      <c r="CP1655"/>
      <c r="CQ1655"/>
      <c r="CR1655"/>
      <c r="CS1655"/>
      <c r="CT1655"/>
      <c r="CU1655"/>
      <c r="CV1655" s="2"/>
      <c r="CX1655"/>
      <c r="DC1655"/>
      <c r="DI1655"/>
      <c r="DJ1655"/>
      <c r="DK1655"/>
      <c r="DL1655"/>
      <c r="DM1655"/>
      <c r="DN1655"/>
      <c r="DT1655"/>
      <c r="DU1655"/>
    </row>
    <row r="1656" spans="15:150" hidden="1">
      <c r="O1656" s="145"/>
      <c r="AX1656" s="141"/>
      <c r="AY1656" s="141"/>
      <c r="BE1656"/>
      <c r="BF1656" s="2"/>
      <c r="BM1656" s="143"/>
      <c r="BN1656" s="143"/>
      <c r="BU1656" s="144"/>
      <c r="BV1656" s="144"/>
      <c r="BW1656" s="144"/>
      <c r="CN1656"/>
      <c r="CO1656"/>
      <c r="CP1656"/>
      <c r="CQ1656"/>
      <c r="CR1656"/>
      <c r="CS1656"/>
      <c r="CT1656"/>
      <c r="CU1656"/>
      <c r="CV1656" s="2"/>
      <c r="CX1656"/>
      <c r="DC1656"/>
      <c r="DI1656"/>
      <c r="DJ1656"/>
      <c r="DK1656"/>
      <c r="DL1656"/>
      <c r="DM1656"/>
      <c r="DN1656"/>
      <c r="DT1656"/>
      <c r="DU1656" s="143"/>
      <c r="EA1656" s="143"/>
    </row>
    <row r="1657" spans="15:150" hidden="1">
      <c r="O1657" s="145"/>
      <c r="AX1657" s="141"/>
      <c r="AY1657" s="141"/>
      <c r="BE1657"/>
      <c r="BF1657" s="2"/>
      <c r="BM1657" s="143"/>
      <c r="BN1657" s="143"/>
      <c r="BU1657" s="144"/>
      <c r="BV1657" s="144"/>
      <c r="BW1657" s="144"/>
      <c r="CN1657"/>
      <c r="CO1657"/>
      <c r="CP1657"/>
      <c r="CQ1657"/>
      <c r="CR1657"/>
      <c r="CS1657"/>
      <c r="CT1657"/>
      <c r="CU1657"/>
      <c r="CV1657" s="2"/>
      <c r="CX1657"/>
      <c r="DC1657"/>
      <c r="DI1657"/>
      <c r="DJ1657"/>
      <c r="DK1657"/>
      <c r="DL1657"/>
      <c r="DM1657"/>
      <c r="DN1657"/>
      <c r="DT1657"/>
      <c r="DU1657" s="143"/>
      <c r="EA1657" s="143"/>
    </row>
    <row r="1658" spans="15:150" hidden="1">
      <c r="O1658" s="145"/>
      <c r="AX1658" s="141"/>
      <c r="AY1658" s="141"/>
      <c r="BE1658"/>
      <c r="BF1658" s="2"/>
      <c r="BM1658" s="143"/>
      <c r="BN1658" s="143"/>
      <c r="BU1658" s="144"/>
      <c r="BV1658" s="144"/>
      <c r="BW1658" s="144"/>
      <c r="CN1658"/>
      <c r="CO1658"/>
      <c r="CP1658"/>
      <c r="CQ1658"/>
      <c r="CR1658"/>
      <c r="CS1658"/>
      <c r="CT1658"/>
      <c r="CU1658"/>
      <c r="CV1658" s="2"/>
      <c r="CX1658"/>
      <c r="DC1658"/>
      <c r="DI1658"/>
      <c r="DJ1658"/>
      <c r="DK1658"/>
      <c r="DL1658"/>
      <c r="DM1658"/>
      <c r="DN1658"/>
      <c r="DT1658"/>
      <c r="DU1658" s="143"/>
      <c r="EA1658" s="143"/>
    </row>
    <row r="1659" spans="15:150" hidden="1">
      <c r="O1659" s="145"/>
      <c r="AX1659" s="141"/>
      <c r="AY1659" s="141"/>
      <c r="BE1659"/>
      <c r="BF1659" s="2"/>
      <c r="BM1659" s="143"/>
      <c r="BN1659" s="143"/>
      <c r="BU1659" s="144"/>
      <c r="BV1659" s="144"/>
      <c r="BW1659" s="144"/>
      <c r="CN1659"/>
      <c r="CO1659"/>
      <c r="CP1659"/>
      <c r="CQ1659"/>
      <c r="CR1659"/>
      <c r="CS1659"/>
      <c r="CT1659"/>
      <c r="CU1659"/>
      <c r="CV1659" s="2"/>
      <c r="CX1659"/>
      <c r="DC1659"/>
      <c r="DI1659"/>
      <c r="DJ1659"/>
      <c r="DK1659"/>
      <c r="DL1659"/>
      <c r="DM1659"/>
      <c r="DN1659"/>
      <c r="DT1659"/>
      <c r="DU1659" s="143"/>
      <c r="EA1659" s="143"/>
    </row>
    <row r="1660" spans="15:150" hidden="1">
      <c r="O1660" s="145"/>
      <c r="AX1660" s="141"/>
      <c r="AY1660" s="141"/>
      <c r="BE1660"/>
      <c r="BF1660" s="2"/>
      <c r="BM1660" s="143"/>
      <c r="BN1660" s="143"/>
      <c r="BU1660" s="144"/>
      <c r="BV1660" s="144"/>
      <c r="BW1660" s="144"/>
      <c r="CN1660"/>
      <c r="CO1660"/>
      <c r="CP1660"/>
      <c r="CQ1660"/>
      <c r="CR1660"/>
      <c r="CS1660"/>
      <c r="CT1660"/>
      <c r="CU1660"/>
      <c r="CV1660" s="2"/>
      <c r="CX1660"/>
      <c r="DC1660"/>
      <c r="DI1660"/>
      <c r="DJ1660"/>
      <c r="DK1660"/>
      <c r="DL1660"/>
      <c r="DM1660"/>
      <c r="DN1660"/>
      <c r="DT1660"/>
      <c r="DU1660" s="143"/>
      <c r="EA1660" s="143"/>
    </row>
    <row r="1661" spans="15:150" hidden="1">
      <c r="O1661" s="145"/>
      <c r="AX1661" s="141"/>
      <c r="AY1661" s="141"/>
      <c r="BE1661"/>
      <c r="BF1661" s="2"/>
      <c r="BM1661" s="143"/>
      <c r="BN1661" s="143"/>
      <c r="BU1661" s="144"/>
      <c r="BV1661" s="144"/>
      <c r="BW1661" s="144"/>
      <c r="CN1661"/>
      <c r="CO1661"/>
      <c r="CP1661"/>
      <c r="CQ1661"/>
      <c r="CR1661"/>
      <c r="CS1661"/>
      <c r="CT1661"/>
      <c r="CU1661"/>
      <c r="CV1661" s="2"/>
      <c r="CX1661"/>
      <c r="DC1661"/>
      <c r="DI1661"/>
      <c r="DJ1661"/>
      <c r="DK1661"/>
      <c r="DL1661"/>
      <c r="DM1661"/>
      <c r="DN1661"/>
      <c r="DT1661"/>
      <c r="DU1661" s="143"/>
      <c r="EA1661" s="143"/>
    </row>
    <row r="1662" spans="15:150" hidden="1">
      <c r="O1662" s="145"/>
      <c r="AX1662" s="141"/>
      <c r="AY1662" s="141"/>
      <c r="BE1662"/>
      <c r="BF1662" s="2"/>
      <c r="BM1662" s="143"/>
      <c r="BN1662" s="143"/>
      <c r="BU1662" s="144"/>
      <c r="BV1662" s="144"/>
      <c r="BW1662" s="144"/>
      <c r="BX1662" s="144"/>
      <c r="CN1662"/>
      <c r="CO1662"/>
      <c r="CP1662"/>
      <c r="CQ1662"/>
      <c r="CR1662"/>
      <c r="CS1662"/>
      <c r="CT1662"/>
      <c r="CU1662"/>
      <c r="CV1662" s="2"/>
      <c r="CX1662"/>
      <c r="DC1662"/>
      <c r="DI1662"/>
      <c r="DJ1662"/>
      <c r="DK1662"/>
      <c r="DL1662"/>
      <c r="DM1662"/>
      <c r="DN1662"/>
      <c r="DT1662"/>
      <c r="DU1662" s="143"/>
    </row>
    <row r="1663" spans="15:150" hidden="1">
      <c r="O1663" s="145"/>
      <c r="AX1663" s="141"/>
      <c r="AY1663" s="141"/>
      <c r="BE1663"/>
      <c r="BF1663" s="2"/>
      <c r="BM1663" s="143"/>
      <c r="BN1663" s="143"/>
      <c r="BU1663" s="144"/>
      <c r="BV1663" s="144"/>
      <c r="BW1663" s="144"/>
      <c r="BX1663" s="144"/>
      <c r="CN1663"/>
      <c r="CO1663"/>
      <c r="CP1663"/>
      <c r="CQ1663"/>
      <c r="CR1663"/>
      <c r="CS1663"/>
      <c r="CT1663"/>
      <c r="CU1663"/>
      <c r="CV1663" s="2"/>
      <c r="CX1663"/>
      <c r="DC1663"/>
      <c r="DI1663"/>
      <c r="DJ1663"/>
      <c r="DK1663"/>
      <c r="DL1663"/>
      <c r="DM1663"/>
      <c r="DN1663"/>
      <c r="DT1663"/>
      <c r="DU1663" s="143"/>
      <c r="ET1663" s="185"/>
    </row>
    <row r="1664" spans="15:150" hidden="1">
      <c r="O1664" s="145"/>
      <c r="AX1664" s="141"/>
      <c r="AY1664" s="141"/>
      <c r="BE1664"/>
      <c r="BF1664" s="2"/>
      <c r="BM1664" s="143"/>
      <c r="BN1664" s="143"/>
      <c r="BU1664" s="144"/>
      <c r="BV1664" s="144"/>
      <c r="BW1664" s="144"/>
      <c r="BX1664" s="144"/>
      <c r="CN1664"/>
      <c r="CO1664"/>
      <c r="CP1664"/>
      <c r="CQ1664"/>
      <c r="CR1664"/>
      <c r="CS1664"/>
      <c r="CT1664"/>
      <c r="CU1664"/>
      <c r="CV1664" s="2"/>
      <c r="CX1664"/>
      <c r="DC1664"/>
      <c r="DI1664"/>
      <c r="DJ1664"/>
      <c r="DK1664"/>
      <c r="DL1664"/>
      <c r="DM1664"/>
      <c r="DN1664"/>
      <c r="DT1664"/>
      <c r="DU1664" s="143"/>
      <c r="EJ1664" s="186"/>
      <c r="ET1664" s="185"/>
    </row>
    <row r="1665" spans="15:150" hidden="1">
      <c r="O1665" s="145"/>
      <c r="AX1665" s="141"/>
      <c r="AY1665" s="141"/>
      <c r="BE1665"/>
      <c r="BF1665" s="2"/>
      <c r="BM1665" s="143"/>
      <c r="BN1665" s="143"/>
      <c r="BU1665" s="144"/>
      <c r="BV1665" s="144"/>
      <c r="BW1665" s="144"/>
      <c r="BX1665" s="144"/>
      <c r="CN1665"/>
      <c r="CO1665"/>
      <c r="CP1665"/>
      <c r="CQ1665"/>
      <c r="CR1665"/>
      <c r="CS1665"/>
      <c r="CT1665"/>
      <c r="CU1665"/>
      <c r="CV1665" s="2"/>
      <c r="CX1665"/>
      <c r="DC1665"/>
      <c r="DI1665"/>
      <c r="DJ1665"/>
      <c r="DK1665"/>
      <c r="DL1665"/>
      <c r="DM1665"/>
      <c r="DN1665"/>
      <c r="DT1665"/>
      <c r="DU1665" s="143"/>
      <c r="EJ1665" s="186"/>
      <c r="ET1665" s="185"/>
    </row>
    <row r="1666" spans="15:150" hidden="1">
      <c r="O1666" s="145"/>
      <c r="AX1666" s="141"/>
      <c r="AY1666" s="141"/>
      <c r="BE1666"/>
      <c r="BF1666" s="2"/>
      <c r="BM1666" s="143"/>
      <c r="BN1666" s="143"/>
      <c r="BU1666" s="144"/>
      <c r="BV1666" s="144"/>
      <c r="BW1666" s="144"/>
      <c r="CN1666"/>
      <c r="CO1666"/>
      <c r="CP1666"/>
      <c r="CQ1666"/>
      <c r="CR1666"/>
      <c r="CS1666"/>
      <c r="CT1666"/>
      <c r="CU1666"/>
      <c r="CV1666" s="2"/>
      <c r="CX1666"/>
      <c r="DC1666"/>
      <c r="DI1666"/>
      <c r="DJ1666"/>
      <c r="DK1666"/>
      <c r="DL1666"/>
      <c r="DM1666"/>
      <c r="DN1666"/>
      <c r="DT1666"/>
      <c r="DU1666" s="143"/>
      <c r="EA1666" s="143"/>
    </row>
    <row r="1667" spans="15:150" hidden="1">
      <c r="O1667" s="145"/>
      <c r="AX1667" s="141"/>
      <c r="AY1667" s="141"/>
      <c r="BE1667"/>
      <c r="BF1667" s="2"/>
      <c r="BM1667" s="143"/>
      <c r="BN1667" s="143"/>
      <c r="BU1667" s="144"/>
      <c r="BV1667" s="144"/>
      <c r="BW1667" s="144"/>
      <c r="CN1667"/>
      <c r="CO1667"/>
      <c r="CP1667"/>
      <c r="CQ1667"/>
      <c r="CR1667"/>
      <c r="CS1667"/>
      <c r="CT1667"/>
      <c r="CU1667"/>
      <c r="CV1667" s="2"/>
      <c r="CX1667"/>
      <c r="DC1667"/>
      <c r="DI1667"/>
      <c r="DJ1667"/>
      <c r="DK1667"/>
      <c r="DL1667"/>
      <c r="DM1667"/>
      <c r="DN1667"/>
      <c r="DT1667"/>
      <c r="DU1667" s="143"/>
      <c r="EA1667" s="143"/>
    </row>
    <row r="1668" spans="15:150" hidden="1">
      <c r="O1668" s="145"/>
      <c r="AX1668" s="141"/>
      <c r="AY1668" s="141"/>
      <c r="BE1668"/>
      <c r="BF1668" s="2"/>
      <c r="BM1668" s="143"/>
      <c r="BN1668" s="143"/>
      <c r="BU1668" s="144"/>
      <c r="BV1668" s="144"/>
      <c r="BW1668" s="144"/>
      <c r="CN1668"/>
      <c r="CO1668"/>
      <c r="CP1668"/>
      <c r="CQ1668"/>
      <c r="CR1668"/>
      <c r="CS1668"/>
      <c r="CT1668"/>
      <c r="CU1668"/>
      <c r="CV1668" s="2"/>
      <c r="CX1668"/>
      <c r="DC1668"/>
      <c r="DI1668"/>
      <c r="DJ1668"/>
      <c r="DK1668"/>
      <c r="DL1668"/>
      <c r="DM1668"/>
      <c r="DN1668"/>
      <c r="DT1668"/>
      <c r="DU1668" s="143"/>
      <c r="EA1668" s="143"/>
    </row>
    <row r="1669" spans="15:150" hidden="1">
      <c r="O1669" s="145"/>
      <c r="AX1669" s="141"/>
      <c r="AY1669" s="141"/>
      <c r="BE1669"/>
      <c r="BF1669" s="2"/>
      <c r="BM1669" s="143"/>
      <c r="BN1669" s="143"/>
      <c r="BU1669" s="144"/>
      <c r="BV1669" s="144"/>
      <c r="BW1669" s="144"/>
      <c r="CN1669"/>
      <c r="CO1669"/>
      <c r="CP1669"/>
      <c r="CQ1669"/>
      <c r="CR1669"/>
      <c r="CS1669"/>
      <c r="CT1669"/>
      <c r="CU1669"/>
      <c r="CV1669" s="2"/>
      <c r="CX1669"/>
      <c r="DC1669"/>
      <c r="DI1669"/>
      <c r="DJ1669"/>
      <c r="DK1669"/>
      <c r="DL1669"/>
      <c r="DM1669"/>
      <c r="DN1669"/>
      <c r="DT1669"/>
      <c r="DU1669" s="143"/>
      <c r="EA1669" s="143"/>
    </row>
    <row r="1670" spans="15:150" hidden="1">
      <c r="O1670" s="145"/>
      <c r="AX1670" s="141"/>
      <c r="AY1670" s="141"/>
      <c r="BE1670"/>
      <c r="BF1670" s="2"/>
      <c r="BM1670" s="143"/>
      <c r="BN1670" s="143"/>
      <c r="BU1670" s="144"/>
      <c r="BV1670" s="144"/>
      <c r="BW1670" s="144"/>
      <c r="CN1670"/>
      <c r="CO1670"/>
      <c r="CP1670"/>
      <c r="CQ1670"/>
      <c r="CR1670"/>
      <c r="CS1670"/>
      <c r="CT1670"/>
      <c r="CU1670"/>
      <c r="CV1670" s="2"/>
      <c r="CX1670"/>
      <c r="DC1670"/>
      <c r="DI1670"/>
      <c r="DJ1670"/>
      <c r="DK1670"/>
      <c r="DL1670"/>
      <c r="DM1670"/>
      <c r="DN1670"/>
      <c r="DT1670"/>
      <c r="DU1670" s="143"/>
      <c r="EA1670" s="143"/>
    </row>
    <row r="1671" spans="15:150" hidden="1">
      <c r="O1671" s="145"/>
      <c r="AX1671" s="141"/>
      <c r="AY1671" s="141"/>
      <c r="BE1671"/>
      <c r="BF1671" s="2"/>
      <c r="BM1671" s="143"/>
      <c r="BN1671" s="143"/>
      <c r="BU1671" s="144"/>
      <c r="BV1671" s="144"/>
      <c r="BW1671" s="144"/>
      <c r="CN1671"/>
      <c r="CO1671"/>
      <c r="CP1671"/>
      <c r="CQ1671"/>
      <c r="CR1671"/>
      <c r="CS1671"/>
      <c r="CT1671"/>
      <c r="CU1671"/>
      <c r="CV1671" s="2"/>
      <c r="CX1671"/>
      <c r="DC1671"/>
      <c r="DI1671"/>
      <c r="DJ1671"/>
      <c r="DK1671"/>
      <c r="DL1671"/>
      <c r="DM1671"/>
      <c r="DN1671"/>
      <c r="DT1671"/>
      <c r="DU1671" s="143"/>
      <c r="EA1671" s="143"/>
    </row>
    <row r="1672" spans="15:150" hidden="1">
      <c r="BE1672"/>
      <c r="BF1672" s="2"/>
      <c r="CN1672"/>
      <c r="CO1672"/>
      <c r="CP1672"/>
      <c r="CQ1672"/>
      <c r="CR1672"/>
      <c r="CS1672"/>
      <c r="CT1672"/>
      <c r="CU1672"/>
      <c r="CV1672" s="2"/>
      <c r="CX1672"/>
      <c r="DC1672"/>
      <c r="DI1672"/>
      <c r="DJ1672"/>
      <c r="DK1672"/>
      <c r="DL1672"/>
      <c r="DM1672"/>
      <c r="DN1672"/>
      <c r="DT1672"/>
      <c r="DU1672"/>
      <c r="EJ1672" s="186"/>
    </row>
    <row r="1673" spans="15:150" hidden="1">
      <c r="O1673" s="145"/>
      <c r="AX1673" s="141"/>
      <c r="AY1673" s="141"/>
      <c r="BE1673"/>
      <c r="BF1673" s="2"/>
      <c r="BM1673" s="143"/>
      <c r="BP1673" s="143"/>
      <c r="BQ1673" s="143"/>
      <c r="BU1673" s="144"/>
      <c r="BV1673" s="144"/>
      <c r="BW1673" s="144"/>
      <c r="BX1673" s="144"/>
      <c r="CN1673"/>
      <c r="CO1673"/>
      <c r="CP1673"/>
      <c r="CQ1673"/>
      <c r="CR1673"/>
      <c r="CS1673"/>
      <c r="CT1673"/>
      <c r="CU1673"/>
      <c r="CV1673" s="2"/>
      <c r="CX1673"/>
      <c r="DC1673"/>
      <c r="DI1673"/>
      <c r="DJ1673"/>
      <c r="DK1673"/>
      <c r="DL1673"/>
      <c r="DM1673"/>
      <c r="DN1673"/>
      <c r="DT1673"/>
      <c r="DU1673" s="143"/>
      <c r="EA1673" s="143"/>
    </row>
    <row r="1674" spans="15:150" hidden="1">
      <c r="O1674" s="145"/>
      <c r="AX1674" s="141"/>
      <c r="AY1674" s="141"/>
      <c r="BE1674"/>
      <c r="BF1674" s="2"/>
      <c r="BM1674" s="143"/>
      <c r="BP1674" s="143"/>
      <c r="BQ1674" s="143"/>
      <c r="BU1674" s="144"/>
      <c r="BV1674" s="144"/>
      <c r="BW1674" s="144"/>
      <c r="BX1674" s="144"/>
      <c r="CN1674"/>
      <c r="CO1674"/>
      <c r="CP1674"/>
      <c r="CQ1674"/>
      <c r="CR1674"/>
      <c r="CS1674"/>
      <c r="CT1674"/>
      <c r="CU1674"/>
      <c r="CV1674" s="2"/>
      <c r="CX1674"/>
      <c r="DC1674"/>
      <c r="DI1674"/>
      <c r="DJ1674"/>
      <c r="DK1674"/>
      <c r="DL1674"/>
      <c r="DM1674"/>
      <c r="DN1674"/>
      <c r="DT1674"/>
      <c r="DU1674" s="143"/>
      <c r="EA1674" s="143"/>
    </row>
    <row r="1675" spans="15:150" hidden="1">
      <c r="O1675" s="145"/>
      <c r="AX1675" s="141"/>
      <c r="AY1675" s="141"/>
      <c r="BE1675"/>
      <c r="BF1675" s="2"/>
      <c r="BM1675" s="143"/>
      <c r="BU1675" s="144"/>
      <c r="BV1675" s="144"/>
      <c r="BW1675" s="144"/>
      <c r="BX1675" s="144"/>
      <c r="CN1675"/>
      <c r="CO1675"/>
      <c r="CP1675"/>
      <c r="CQ1675"/>
      <c r="CR1675"/>
      <c r="CS1675"/>
      <c r="CT1675"/>
      <c r="CU1675"/>
      <c r="CV1675" s="2"/>
      <c r="CX1675"/>
      <c r="DC1675"/>
      <c r="DI1675"/>
      <c r="DJ1675"/>
      <c r="DK1675"/>
      <c r="DL1675"/>
      <c r="DM1675"/>
      <c r="DN1675"/>
      <c r="DT1675"/>
      <c r="DU1675" s="143"/>
      <c r="EA1675" s="143"/>
    </row>
    <row r="1676" spans="15:150" hidden="1">
      <c r="O1676" s="145"/>
      <c r="AX1676" s="141"/>
      <c r="AY1676" s="141"/>
      <c r="BE1676"/>
      <c r="BF1676" s="2"/>
      <c r="BM1676" s="143"/>
      <c r="BP1676" s="143"/>
      <c r="BQ1676" s="143"/>
      <c r="BU1676" s="144"/>
      <c r="BV1676" s="144"/>
      <c r="BW1676" s="144"/>
      <c r="BX1676" s="144"/>
      <c r="CN1676"/>
      <c r="CO1676"/>
      <c r="CP1676"/>
      <c r="CQ1676"/>
      <c r="CR1676"/>
      <c r="CS1676"/>
      <c r="CT1676"/>
      <c r="CU1676"/>
      <c r="CV1676" s="2"/>
      <c r="CX1676"/>
      <c r="DC1676"/>
      <c r="DI1676"/>
      <c r="DJ1676"/>
      <c r="DK1676"/>
      <c r="DL1676"/>
      <c r="DM1676"/>
      <c r="DN1676"/>
      <c r="DT1676"/>
      <c r="DU1676" s="143"/>
      <c r="EA1676" s="143"/>
    </row>
    <row r="1677" spans="15:150" hidden="1">
      <c r="O1677" s="145"/>
      <c r="AX1677" s="141"/>
      <c r="AY1677" s="141"/>
      <c r="BE1677"/>
      <c r="BF1677" s="2"/>
      <c r="BM1677" s="143"/>
      <c r="BP1677" s="143"/>
      <c r="BQ1677" s="143"/>
      <c r="BU1677" s="144"/>
      <c r="BV1677" s="144"/>
      <c r="BW1677" s="144"/>
      <c r="BX1677" s="144"/>
      <c r="CN1677"/>
      <c r="CO1677"/>
      <c r="CP1677"/>
      <c r="CQ1677"/>
      <c r="CR1677"/>
      <c r="CS1677"/>
      <c r="CT1677"/>
      <c r="CU1677"/>
      <c r="CV1677" s="2"/>
      <c r="CX1677"/>
      <c r="DC1677"/>
      <c r="DI1677"/>
      <c r="DJ1677"/>
      <c r="DK1677"/>
      <c r="DL1677"/>
      <c r="DM1677"/>
      <c r="DN1677"/>
      <c r="DT1677"/>
      <c r="DU1677" s="143"/>
      <c r="EA1677" s="143"/>
    </row>
    <row r="1678" spans="15:150" hidden="1">
      <c r="O1678" s="145"/>
      <c r="AX1678" s="141"/>
      <c r="AY1678" s="141"/>
      <c r="BE1678"/>
      <c r="BF1678" s="2"/>
      <c r="BM1678" s="143"/>
      <c r="BP1678" s="143"/>
      <c r="BQ1678" s="143"/>
      <c r="BU1678" s="144"/>
      <c r="BV1678" s="144"/>
      <c r="BW1678" s="144"/>
      <c r="BX1678" s="144"/>
      <c r="CN1678"/>
      <c r="CO1678"/>
      <c r="CP1678"/>
      <c r="CQ1678"/>
      <c r="CR1678"/>
      <c r="CS1678"/>
      <c r="CT1678"/>
      <c r="CU1678"/>
      <c r="CV1678" s="2"/>
      <c r="CX1678"/>
      <c r="DC1678"/>
      <c r="DI1678"/>
      <c r="DJ1678"/>
      <c r="DK1678"/>
      <c r="DL1678"/>
      <c r="DM1678"/>
      <c r="DN1678"/>
      <c r="DT1678"/>
      <c r="DU1678" s="143"/>
      <c r="EA1678" s="143"/>
    </row>
    <row r="1679" spans="15:150" hidden="1">
      <c r="O1679" s="145"/>
      <c r="AX1679" s="141"/>
      <c r="AY1679" s="141"/>
      <c r="BE1679"/>
      <c r="BF1679" s="2"/>
      <c r="BM1679" s="143"/>
      <c r="BN1679" s="143"/>
      <c r="BP1679" s="143"/>
      <c r="BQ1679" s="143"/>
      <c r="BU1679" s="144"/>
      <c r="BV1679" s="144"/>
      <c r="BW1679" s="144"/>
      <c r="BX1679" s="144"/>
      <c r="CN1679"/>
      <c r="CO1679"/>
      <c r="CP1679"/>
      <c r="CQ1679"/>
      <c r="CR1679"/>
      <c r="CS1679"/>
      <c r="CT1679"/>
      <c r="CU1679"/>
      <c r="CV1679" s="2"/>
      <c r="CX1679"/>
      <c r="DC1679"/>
      <c r="DI1679"/>
      <c r="DJ1679"/>
      <c r="DK1679"/>
      <c r="DL1679"/>
      <c r="DM1679"/>
      <c r="DN1679"/>
      <c r="DT1679"/>
      <c r="DU1679" s="143"/>
      <c r="EA1679" s="143"/>
    </row>
    <row r="1680" spans="15:150" hidden="1">
      <c r="O1680" s="145"/>
      <c r="AX1680" s="141"/>
      <c r="AY1680" s="141"/>
      <c r="BE1680"/>
      <c r="BF1680" s="2"/>
      <c r="BM1680" s="143"/>
      <c r="BN1680" s="143"/>
      <c r="BP1680" s="143"/>
      <c r="BQ1680" s="143"/>
      <c r="BU1680" s="144"/>
      <c r="BV1680" s="144"/>
      <c r="BW1680" s="144"/>
      <c r="BX1680" s="144"/>
      <c r="CN1680"/>
      <c r="CO1680"/>
      <c r="CP1680"/>
      <c r="CQ1680"/>
      <c r="CR1680"/>
      <c r="CS1680"/>
      <c r="CT1680"/>
      <c r="CU1680"/>
      <c r="CV1680" s="2"/>
      <c r="CX1680"/>
      <c r="DC1680"/>
      <c r="DI1680"/>
      <c r="DJ1680"/>
      <c r="DK1680"/>
      <c r="DL1680"/>
      <c r="DM1680"/>
      <c r="DN1680"/>
      <c r="DT1680"/>
      <c r="DU1680" s="143"/>
      <c r="EA1680" s="143"/>
    </row>
    <row r="1681" spans="15:131" hidden="1">
      <c r="O1681" s="145"/>
      <c r="AX1681" s="141"/>
      <c r="AY1681" s="141"/>
      <c r="BE1681"/>
      <c r="BF1681" s="2"/>
      <c r="BM1681" s="143"/>
      <c r="BN1681" s="143"/>
      <c r="BP1681" s="143"/>
      <c r="BQ1681" s="143"/>
      <c r="BU1681" s="144"/>
      <c r="BV1681" s="144"/>
      <c r="BW1681" s="144"/>
      <c r="BX1681" s="144"/>
      <c r="CN1681"/>
      <c r="CO1681"/>
      <c r="CP1681"/>
      <c r="CQ1681"/>
      <c r="CR1681"/>
      <c r="CS1681"/>
      <c r="CT1681"/>
      <c r="CU1681"/>
      <c r="CV1681" s="2"/>
      <c r="CX1681"/>
      <c r="DC1681"/>
      <c r="DI1681"/>
      <c r="DJ1681"/>
      <c r="DK1681"/>
      <c r="DL1681"/>
      <c r="DM1681"/>
      <c r="DN1681"/>
      <c r="DT1681"/>
      <c r="DU1681" s="143"/>
      <c r="EA1681" s="143"/>
    </row>
    <row r="1682" spans="15:131" hidden="1">
      <c r="O1682" s="145"/>
      <c r="AX1682" s="141"/>
      <c r="AY1682" s="141"/>
      <c r="BE1682"/>
      <c r="BF1682" s="2"/>
      <c r="BM1682" s="143"/>
      <c r="BN1682" s="143"/>
      <c r="BP1682" s="143"/>
      <c r="BQ1682" s="143"/>
      <c r="BU1682" s="144"/>
      <c r="BV1682" s="144"/>
      <c r="BW1682" s="144"/>
      <c r="BX1682" s="144"/>
      <c r="CN1682"/>
      <c r="CO1682"/>
      <c r="CP1682"/>
      <c r="CQ1682"/>
      <c r="CR1682"/>
      <c r="CS1682"/>
      <c r="CT1682"/>
      <c r="CU1682"/>
      <c r="CV1682" s="2"/>
      <c r="CX1682"/>
      <c r="DC1682"/>
      <c r="DI1682"/>
      <c r="DJ1682"/>
      <c r="DK1682"/>
      <c r="DL1682"/>
      <c r="DM1682"/>
      <c r="DN1682"/>
      <c r="DT1682"/>
      <c r="DU1682" s="143"/>
      <c r="EA1682" s="143"/>
    </row>
    <row r="1683" spans="15:131" hidden="1">
      <c r="O1683" s="145"/>
      <c r="AX1683" s="141"/>
      <c r="AY1683" s="141"/>
      <c r="BE1683"/>
      <c r="BF1683" s="2"/>
      <c r="BM1683" s="143"/>
      <c r="BN1683" s="143"/>
      <c r="BP1683" s="143"/>
      <c r="BQ1683" s="143"/>
      <c r="BU1683" s="144"/>
      <c r="BV1683" s="144"/>
      <c r="BW1683" s="144"/>
      <c r="BX1683" s="144"/>
      <c r="CN1683"/>
      <c r="CO1683"/>
      <c r="CP1683"/>
      <c r="CQ1683"/>
      <c r="CR1683"/>
      <c r="CS1683"/>
      <c r="CT1683"/>
      <c r="CU1683"/>
      <c r="CV1683" s="2"/>
      <c r="CX1683"/>
      <c r="DC1683"/>
      <c r="DI1683"/>
      <c r="DJ1683"/>
      <c r="DK1683"/>
      <c r="DL1683"/>
      <c r="DM1683"/>
      <c r="DN1683"/>
      <c r="DT1683"/>
      <c r="DU1683" s="143"/>
      <c r="EA1683" s="143"/>
    </row>
    <row r="1684" spans="15:131" hidden="1">
      <c r="O1684" s="145"/>
      <c r="AX1684" s="141"/>
      <c r="AY1684" s="141"/>
      <c r="BE1684"/>
      <c r="BF1684" s="2"/>
      <c r="BM1684" s="143"/>
      <c r="BN1684" s="143"/>
      <c r="BP1684" s="143"/>
      <c r="BQ1684" s="143"/>
      <c r="BU1684" s="144"/>
      <c r="BV1684" s="144"/>
      <c r="BW1684" s="144"/>
      <c r="BX1684" s="144"/>
      <c r="CN1684"/>
      <c r="CO1684"/>
      <c r="CP1684"/>
      <c r="CQ1684"/>
      <c r="CR1684"/>
      <c r="CS1684"/>
      <c r="CT1684"/>
      <c r="CU1684"/>
      <c r="CV1684" s="2"/>
      <c r="CX1684"/>
      <c r="DC1684"/>
      <c r="DI1684"/>
      <c r="DJ1684"/>
      <c r="DK1684"/>
      <c r="DL1684"/>
      <c r="DM1684"/>
      <c r="DN1684"/>
      <c r="DT1684"/>
      <c r="DU1684" s="143"/>
      <c r="EA1684" s="143"/>
    </row>
    <row r="1685" spans="15:131" hidden="1">
      <c r="O1685" s="145"/>
      <c r="AX1685" s="141"/>
      <c r="AY1685" s="141"/>
      <c r="BE1685"/>
      <c r="BF1685" s="2"/>
      <c r="BM1685" s="143"/>
      <c r="BP1685" s="143"/>
      <c r="BQ1685" s="143"/>
      <c r="BU1685" s="144"/>
      <c r="BV1685" s="144"/>
      <c r="BW1685" s="144"/>
      <c r="BX1685" s="144"/>
      <c r="CN1685"/>
      <c r="CO1685"/>
      <c r="CP1685"/>
      <c r="CQ1685"/>
      <c r="CR1685"/>
      <c r="CS1685"/>
      <c r="CT1685"/>
      <c r="CU1685"/>
      <c r="CV1685" s="2"/>
      <c r="CX1685"/>
      <c r="DC1685"/>
      <c r="DI1685"/>
      <c r="DJ1685"/>
      <c r="DK1685"/>
      <c r="DL1685"/>
      <c r="DM1685"/>
      <c r="DN1685"/>
      <c r="DT1685"/>
      <c r="DU1685" s="143"/>
      <c r="EA1685" s="143"/>
    </row>
    <row r="1686" spans="15:131" hidden="1">
      <c r="O1686" s="145"/>
      <c r="AX1686" s="141"/>
      <c r="AY1686" s="141"/>
      <c r="BE1686"/>
      <c r="BF1686" s="2"/>
      <c r="BM1686" s="143"/>
      <c r="BP1686" s="143"/>
      <c r="BQ1686" s="143"/>
      <c r="BU1686" s="144"/>
      <c r="BV1686" s="144"/>
      <c r="BW1686" s="144"/>
      <c r="BX1686" s="144"/>
      <c r="CN1686"/>
      <c r="CO1686"/>
      <c r="CP1686"/>
      <c r="CQ1686"/>
      <c r="CR1686"/>
      <c r="CS1686"/>
      <c r="CT1686"/>
      <c r="CU1686"/>
      <c r="CV1686" s="2"/>
      <c r="CX1686"/>
      <c r="DC1686"/>
      <c r="DI1686"/>
      <c r="DJ1686"/>
      <c r="DK1686"/>
      <c r="DL1686"/>
      <c r="DM1686"/>
      <c r="DN1686"/>
      <c r="DT1686"/>
      <c r="DU1686" s="143"/>
      <c r="EA1686" s="143"/>
    </row>
    <row r="1687" spans="15:131" hidden="1">
      <c r="O1687" s="145"/>
      <c r="AX1687" s="141"/>
      <c r="AY1687" s="141"/>
      <c r="BE1687"/>
      <c r="BF1687" s="2"/>
      <c r="BM1687" s="143"/>
      <c r="BN1687" s="143"/>
      <c r="BP1687" s="143"/>
      <c r="BQ1687" s="143"/>
      <c r="BU1687" s="144"/>
      <c r="BV1687" s="144"/>
      <c r="BW1687" s="144"/>
      <c r="BX1687" s="144"/>
      <c r="CN1687"/>
      <c r="CO1687"/>
      <c r="CP1687"/>
      <c r="CQ1687"/>
      <c r="CR1687"/>
      <c r="CS1687"/>
      <c r="CT1687"/>
      <c r="CU1687"/>
      <c r="CV1687" s="2"/>
      <c r="CX1687"/>
      <c r="DC1687"/>
      <c r="DI1687"/>
      <c r="DJ1687"/>
      <c r="DK1687"/>
      <c r="DL1687"/>
      <c r="DM1687"/>
      <c r="DN1687"/>
      <c r="DT1687"/>
      <c r="DU1687" s="143"/>
      <c r="EA1687" s="143"/>
    </row>
    <row r="1688" spans="15:131" hidden="1">
      <c r="O1688" s="145"/>
      <c r="AX1688" s="141"/>
      <c r="AY1688" s="141"/>
      <c r="BE1688"/>
      <c r="BF1688" s="2"/>
      <c r="BM1688" s="143"/>
      <c r="BN1688" s="143"/>
      <c r="BP1688" s="143"/>
      <c r="BQ1688" s="143"/>
      <c r="BU1688" s="144"/>
      <c r="BV1688" s="144"/>
      <c r="BW1688" s="144"/>
      <c r="BX1688" s="144"/>
      <c r="CN1688"/>
      <c r="CO1688"/>
      <c r="CP1688"/>
      <c r="CQ1688"/>
      <c r="CR1688"/>
      <c r="CS1688"/>
      <c r="CT1688"/>
      <c r="CU1688"/>
      <c r="CV1688" s="2"/>
      <c r="CX1688"/>
      <c r="DC1688"/>
      <c r="DI1688"/>
      <c r="DJ1688"/>
      <c r="DK1688"/>
      <c r="DL1688"/>
      <c r="DM1688"/>
      <c r="DN1688"/>
      <c r="DT1688"/>
      <c r="DU1688" s="143"/>
      <c r="EA1688" s="143"/>
    </row>
    <row r="1689" spans="15:131" hidden="1">
      <c r="O1689" s="145"/>
      <c r="AX1689" s="141"/>
      <c r="AY1689" s="141"/>
      <c r="BE1689"/>
      <c r="BF1689" s="2"/>
      <c r="BM1689" s="143"/>
      <c r="BP1689" s="143"/>
      <c r="BQ1689" s="143"/>
      <c r="BU1689" s="144"/>
      <c r="BV1689" s="144"/>
      <c r="BW1689" s="144"/>
      <c r="BX1689" s="144"/>
      <c r="CN1689"/>
      <c r="CO1689"/>
      <c r="CP1689"/>
      <c r="CQ1689"/>
      <c r="CR1689"/>
      <c r="CS1689"/>
      <c r="CT1689"/>
      <c r="CU1689"/>
      <c r="CV1689" s="2"/>
      <c r="CX1689"/>
      <c r="DC1689"/>
      <c r="DI1689"/>
      <c r="DJ1689"/>
      <c r="DK1689"/>
      <c r="DL1689"/>
      <c r="DM1689"/>
      <c r="DN1689"/>
      <c r="DT1689"/>
      <c r="DU1689" s="143"/>
      <c r="EA1689" s="143"/>
    </row>
    <row r="1690" spans="15:131" hidden="1">
      <c r="O1690" s="145"/>
      <c r="AX1690" s="141"/>
      <c r="AY1690" s="141"/>
      <c r="BE1690"/>
      <c r="BF1690" s="2"/>
      <c r="BM1690" s="143"/>
      <c r="BP1690" s="143"/>
      <c r="BQ1690" s="143"/>
      <c r="BU1690" s="144"/>
      <c r="BV1690" s="144"/>
      <c r="BW1690" s="144"/>
      <c r="BX1690" s="144"/>
      <c r="CN1690"/>
      <c r="CO1690"/>
      <c r="CP1690"/>
      <c r="CQ1690"/>
      <c r="CR1690"/>
      <c r="CS1690"/>
      <c r="CT1690"/>
      <c r="CU1690"/>
      <c r="CV1690" s="2"/>
      <c r="CX1690"/>
      <c r="DC1690"/>
      <c r="DI1690"/>
      <c r="DJ1690"/>
      <c r="DK1690"/>
      <c r="DL1690"/>
      <c r="DM1690"/>
      <c r="DN1690"/>
      <c r="DT1690"/>
      <c r="DU1690" s="143"/>
      <c r="EA1690" s="143"/>
    </row>
    <row r="1691" spans="15:131" hidden="1">
      <c r="O1691" s="145"/>
      <c r="AX1691" s="141"/>
      <c r="AY1691" s="141"/>
      <c r="BE1691"/>
      <c r="BF1691" s="2"/>
      <c r="BM1691" s="143"/>
      <c r="BP1691" s="143"/>
      <c r="BQ1691" s="143"/>
      <c r="BU1691" s="144"/>
      <c r="BV1691" s="144"/>
      <c r="BW1691" s="144"/>
      <c r="BX1691" s="144"/>
      <c r="CN1691"/>
      <c r="CO1691"/>
      <c r="CP1691"/>
      <c r="CQ1691"/>
      <c r="CR1691"/>
      <c r="CS1691"/>
      <c r="CT1691"/>
      <c r="CU1691"/>
      <c r="CV1691" s="2"/>
      <c r="CX1691"/>
      <c r="DC1691"/>
      <c r="DI1691"/>
      <c r="DJ1691"/>
      <c r="DK1691"/>
      <c r="DL1691"/>
      <c r="DM1691"/>
      <c r="DN1691"/>
      <c r="DT1691"/>
      <c r="DU1691" s="143"/>
      <c r="EA1691" s="143"/>
    </row>
    <row r="1692" spans="15:131" hidden="1">
      <c r="O1692" s="145"/>
      <c r="AX1692" s="141"/>
      <c r="AY1692" s="141"/>
      <c r="BE1692"/>
      <c r="BF1692" s="2"/>
      <c r="BM1692" s="143"/>
      <c r="BU1692" s="144"/>
      <c r="BV1692" s="144"/>
      <c r="BW1692" s="144"/>
      <c r="BX1692" s="144"/>
      <c r="CN1692"/>
      <c r="CO1692"/>
      <c r="CP1692"/>
      <c r="CQ1692"/>
      <c r="CR1692"/>
      <c r="CS1692"/>
      <c r="CT1692"/>
      <c r="CU1692"/>
      <c r="CV1692" s="2"/>
      <c r="CX1692"/>
      <c r="DC1692"/>
      <c r="DI1692"/>
      <c r="DJ1692"/>
      <c r="DK1692"/>
      <c r="DL1692"/>
      <c r="DM1692"/>
      <c r="DN1692"/>
      <c r="DT1692"/>
      <c r="DU1692" s="143"/>
      <c r="EA1692" s="143"/>
    </row>
    <row r="1693" spans="15:131" hidden="1">
      <c r="O1693" s="145"/>
      <c r="AX1693" s="141"/>
      <c r="AY1693" s="141"/>
      <c r="BE1693"/>
      <c r="BF1693" s="2"/>
      <c r="BM1693" s="143"/>
      <c r="BU1693" s="144"/>
      <c r="BV1693" s="144"/>
      <c r="BW1693" s="144"/>
      <c r="BX1693" s="144"/>
      <c r="CN1693"/>
      <c r="CO1693"/>
      <c r="CP1693"/>
      <c r="CQ1693"/>
      <c r="CR1693"/>
      <c r="CS1693"/>
      <c r="CT1693"/>
      <c r="CU1693"/>
      <c r="CV1693" s="2"/>
      <c r="CX1693"/>
      <c r="DC1693"/>
      <c r="DI1693"/>
      <c r="DJ1693"/>
      <c r="DK1693"/>
      <c r="DL1693"/>
      <c r="DM1693"/>
      <c r="DN1693"/>
      <c r="DT1693"/>
      <c r="DU1693" s="143"/>
      <c r="EA1693" s="143"/>
    </row>
    <row r="1694" spans="15:131" hidden="1">
      <c r="O1694" s="145"/>
      <c r="AX1694" s="141"/>
      <c r="AY1694" s="141"/>
      <c r="BE1694"/>
      <c r="BF1694" s="2"/>
      <c r="BM1694" s="143"/>
      <c r="BP1694" s="143"/>
      <c r="BQ1694" s="143"/>
      <c r="BU1694" s="144"/>
      <c r="BV1694" s="144"/>
      <c r="BW1694" s="144"/>
      <c r="BX1694" s="144"/>
      <c r="CN1694"/>
      <c r="CO1694"/>
      <c r="CP1694"/>
      <c r="CQ1694"/>
      <c r="CR1694"/>
      <c r="CS1694"/>
      <c r="CT1694"/>
      <c r="CU1694"/>
      <c r="CV1694" s="2"/>
      <c r="CX1694"/>
      <c r="DC1694"/>
      <c r="DI1694"/>
      <c r="DJ1694"/>
      <c r="DK1694"/>
      <c r="DL1694"/>
      <c r="DM1694"/>
      <c r="DN1694"/>
      <c r="DT1694"/>
      <c r="DU1694" s="143"/>
      <c r="EA1694" s="143"/>
    </row>
    <row r="1695" spans="15:131" hidden="1">
      <c r="O1695" s="145"/>
      <c r="AX1695" s="141"/>
      <c r="AY1695" s="141"/>
      <c r="BE1695"/>
      <c r="BF1695" s="2"/>
      <c r="BM1695" s="143"/>
      <c r="BP1695" s="143"/>
      <c r="BQ1695" s="143"/>
      <c r="BU1695" s="144"/>
      <c r="BV1695" s="144"/>
      <c r="BW1695" s="144"/>
      <c r="BX1695" s="144"/>
      <c r="CN1695"/>
      <c r="CO1695"/>
      <c r="CP1695"/>
      <c r="CQ1695"/>
      <c r="CR1695"/>
      <c r="CS1695"/>
      <c r="CT1695"/>
      <c r="CU1695"/>
      <c r="CV1695" s="2"/>
      <c r="CX1695"/>
      <c r="DC1695"/>
      <c r="DI1695"/>
      <c r="DJ1695"/>
      <c r="DK1695"/>
      <c r="DL1695"/>
      <c r="DM1695"/>
      <c r="DN1695"/>
      <c r="DT1695"/>
      <c r="DU1695" s="143"/>
      <c r="EA1695" s="143"/>
    </row>
    <row r="1696" spans="15:131" hidden="1">
      <c r="O1696" s="145"/>
      <c r="AX1696" s="141"/>
      <c r="AY1696" s="141"/>
      <c r="BE1696"/>
      <c r="BF1696" s="2"/>
      <c r="BM1696" s="143"/>
      <c r="BU1696" s="144"/>
      <c r="BV1696" s="144"/>
      <c r="BW1696" s="144"/>
      <c r="BX1696" s="144"/>
      <c r="CN1696"/>
      <c r="CO1696"/>
      <c r="CP1696"/>
      <c r="CQ1696"/>
      <c r="CR1696"/>
      <c r="CS1696"/>
      <c r="CT1696"/>
      <c r="CU1696"/>
      <c r="CV1696" s="2"/>
      <c r="CX1696"/>
      <c r="DC1696"/>
      <c r="DI1696"/>
      <c r="DJ1696"/>
      <c r="DK1696"/>
      <c r="DL1696"/>
      <c r="DM1696"/>
      <c r="DN1696"/>
      <c r="DT1696"/>
      <c r="DU1696" s="143"/>
      <c r="EA1696" s="143"/>
    </row>
    <row r="1697" spans="15:131" hidden="1">
      <c r="O1697" s="145"/>
      <c r="AX1697" s="141"/>
      <c r="AY1697" s="141"/>
      <c r="BE1697"/>
      <c r="BF1697" s="2"/>
      <c r="BM1697" s="143"/>
      <c r="BP1697" s="143"/>
      <c r="BQ1697" s="143"/>
      <c r="BU1697" s="144"/>
      <c r="BV1697" s="144"/>
      <c r="BW1697" s="144"/>
      <c r="BX1697" s="144"/>
      <c r="CN1697"/>
      <c r="CO1697"/>
      <c r="CP1697"/>
      <c r="CQ1697"/>
      <c r="CR1697"/>
      <c r="CS1697"/>
      <c r="CT1697"/>
      <c r="CU1697"/>
      <c r="CV1697" s="2"/>
      <c r="CX1697"/>
      <c r="DC1697"/>
      <c r="DI1697"/>
      <c r="DJ1697"/>
      <c r="DK1697"/>
      <c r="DL1697"/>
      <c r="DM1697"/>
      <c r="DN1697"/>
      <c r="DT1697"/>
      <c r="DU1697" s="143"/>
      <c r="EA1697" s="143"/>
    </row>
    <row r="1698" spans="15:131" hidden="1">
      <c r="O1698" s="145"/>
      <c r="AX1698" s="141"/>
      <c r="AY1698" s="141"/>
      <c r="BE1698"/>
      <c r="BF1698" s="2"/>
      <c r="BM1698" s="143"/>
      <c r="BP1698" s="143"/>
      <c r="BQ1698" s="143"/>
      <c r="BU1698" s="144"/>
      <c r="BV1698" s="144"/>
      <c r="BW1698" s="144"/>
      <c r="BX1698" s="144"/>
      <c r="CN1698"/>
      <c r="CO1698"/>
      <c r="CP1698"/>
      <c r="CQ1698"/>
      <c r="CR1698"/>
      <c r="CS1698"/>
      <c r="CT1698"/>
      <c r="CU1698"/>
      <c r="CV1698" s="2"/>
      <c r="CX1698"/>
      <c r="DC1698"/>
      <c r="DI1698"/>
      <c r="DJ1698"/>
      <c r="DK1698"/>
      <c r="DL1698"/>
      <c r="DM1698"/>
      <c r="DN1698"/>
      <c r="DT1698"/>
      <c r="DU1698" s="143"/>
      <c r="EA1698" s="143"/>
    </row>
    <row r="1699" spans="15:131" hidden="1">
      <c r="O1699" s="145"/>
      <c r="AX1699" s="141"/>
      <c r="AY1699" s="141"/>
      <c r="BE1699"/>
      <c r="BF1699" s="2"/>
      <c r="BM1699" s="143"/>
      <c r="BP1699" s="143"/>
      <c r="BQ1699" s="143"/>
      <c r="BU1699" s="144"/>
      <c r="BV1699" s="144"/>
      <c r="BW1699" s="144"/>
      <c r="BX1699" s="144"/>
      <c r="CN1699"/>
      <c r="CO1699"/>
      <c r="CP1699"/>
      <c r="CQ1699"/>
      <c r="CR1699"/>
      <c r="CS1699"/>
      <c r="CT1699"/>
      <c r="CU1699"/>
      <c r="CV1699" s="2"/>
      <c r="CX1699"/>
      <c r="DC1699"/>
      <c r="DI1699"/>
      <c r="DJ1699"/>
      <c r="DK1699"/>
      <c r="DL1699"/>
      <c r="DM1699"/>
      <c r="DN1699"/>
      <c r="DT1699"/>
      <c r="DU1699" s="143"/>
      <c r="EA1699" s="143"/>
    </row>
    <row r="1700" spans="15:131" hidden="1">
      <c r="O1700" s="145"/>
      <c r="AX1700" s="141"/>
      <c r="AY1700" s="141"/>
      <c r="BE1700"/>
      <c r="BF1700" s="2"/>
      <c r="BM1700" s="143"/>
      <c r="BP1700" s="143"/>
      <c r="BQ1700" s="143"/>
      <c r="BU1700" s="144"/>
      <c r="BV1700" s="144"/>
      <c r="BW1700" s="144"/>
      <c r="BX1700" s="144"/>
      <c r="CN1700"/>
      <c r="CO1700"/>
      <c r="CP1700"/>
      <c r="CQ1700"/>
      <c r="CR1700"/>
      <c r="CS1700"/>
      <c r="CT1700"/>
      <c r="CU1700"/>
      <c r="CV1700" s="2"/>
      <c r="CX1700"/>
      <c r="DC1700"/>
      <c r="DI1700"/>
      <c r="DJ1700"/>
      <c r="DK1700"/>
      <c r="DL1700"/>
      <c r="DM1700"/>
      <c r="DN1700"/>
      <c r="DT1700"/>
      <c r="DU1700" s="143"/>
      <c r="EA1700" s="143"/>
    </row>
    <row r="1701" spans="15:131" hidden="1">
      <c r="O1701" s="145"/>
      <c r="AX1701" s="141"/>
      <c r="AY1701" s="141"/>
      <c r="BE1701"/>
      <c r="BF1701" s="2"/>
      <c r="BM1701" s="143"/>
      <c r="BN1701" s="143"/>
      <c r="BP1701" s="143"/>
      <c r="BQ1701" s="143"/>
      <c r="BU1701" s="144"/>
      <c r="BV1701" s="144"/>
      <c r="BW1701" s="144"/>
      <c r="BX1701" s="144"/>
      <c r="CN1701"/>
      <c r="CO1701"/>
      <c r="CP1701"/>
      <c r="CQ1701"/>
      <c r="CR1701"/>
      <c r="CS1701"/>
      <c r="CT1701"/>
      <c r="CU1701"/>
      <c r="CV1701" s="2"/>
      <c r="CX1701"/>
      <c r="DC1701"/>
      <c r="DI1701"/>
      <c r="DJ1701"/>
      <c r="DK1701"/>
      <c r="DL1701"/>
      <c r="DM1701"/>
      <c r="DN1701"/>
      <c r="DT1701"/>
      <c r="DU1701" s="143"/>
      <c r="EA1701" s="143"/>
    </row>
    <row r="1702" spans="15:131" hidden="1">
      <c r="O1702" s="145"/>
      <c r="AX1702" s="141"/>
      <c r="AY1702" s="141"/>
      <c r="BE1702"/>
      <c r="BF1702" s="2"/>
      <c r="BM1702" s="143"/>
      <c r="BN1702" s="143"/>
      <c r="BP1702" s="143"/>
      <c r="BQ1702" s="143"/>
      <c r="BU1702" s="144"/>
      <c r="BV1702" s="144"/>
      <c r="BW1702" s="144"/>
      <c r="BX1702" s="144"/>
      <c r="CN1702"/>
      <c r="CO1702"/>
      <c r="CP1702"/>
      <c r="CQ1702"/>
      <c r="CR1702"/>
      <c r="CS1702"/>
      <c r="CT1702"/>
      <c r="CU1702"/>
      <c r="CV1702" s="2"/>
      <c r="CX1702"/>
      <c r="DC1702"/>
      <c r="DI1702"/>
      <c r="DJ1702"/>
      <c r="DK1702"/>
      <c r="DL1702"/>
      <c r="DM1702"/>
      <c r="DN1702"/>
      <c r="DT1702"/>
      <c r="DU1702" s="143"/>
      <c r="EA1702" s="143"/>
    </row>
    <row r="1703" spans="15:131" hidden="1">
      <c r="O1703" s="145"/>
      <c r="AX1703" s="141"/>
      <c r="AY1703" s="141"/>
      <c r="BE1703"/>
      <c r="BF1703" s="2"/>
      <c r="BM1703" s="143"/>
      <c r="BN1703" s="143"/>
      <c r="BP1703" s="143"/>
      <c r="BQ1703" s="143"/>
      <c r="BU1703" s="144"/>
      <c r="BV1703" s="144"/>
      <c r="BW1703" s="144"/>
      <c r="BX1703" s="144"/>
      <c r="CN1703"/>
      <c r="CO1703"/>
      <c r="CP1703"/>
      <c r="CQ1703"/>
      <c r="CR1703"/>
      <c r="CS1703"/>
      <c r="CT1703"/>
      <c r="CU1703"/>
      <c r="CV1703" s="2"/>
      <c r="CX1703"/>
      <c r="DC1703"/>
      <c r="DI1703"/>
      <c r="DJ1703"/>
      <c r="DK1703"/>
      <c r="DL1703"/>
      <c r="DM1703"/>
      <c r="DN1703"/>
      <c r="DT1703"/>
      <c r="DU1703" s="143"/>
      <c r="EA1703" s="143"/>
    </row>
    <row r="1704" spans="15:131" hidden="1">
      <c r="O1704" s="145"/>
      <c r="AX1704" s="141"/>
      <c r="AY1704" s="141"/>
      <c r="BE1704"/>
      <c r="BF1704" s="2"/>
      <c r="BM1704" s="143"/>
      <c r="BN1704" s="143"/>
      <c r="BP1704" s="143"/>
      <c r="BQ1704" s="143"/>
      <c r="BU1704" s="144"/>
      <c r="BV1704" s="144"/>
      <c r="BW1704" s="144"/>
      <c r="BX1704" s="144"/>
      <c r="CN1704"/>
      <c r="CO1704"/>
      <c r="CP1704"/>
      <c r="CQ1704"/>
      <c r="CR1704"/>
      <c r="CS1704"/>
      <c r="CT1704"/>
      <c r="CU1704"/>
      <c r="CV1704" s="2"/>
      <c r="CX1704"/>
      <c r="DC1704"/>
      <c r="DI1704"/>
      <c r="DJ1704"/>
      <c r="DK1704"/>
      <c r="DL1704"/>
      <c r="DM1704"/>
      <c r="DN1704"/>
      <c r="DT1704"/>
      <c r="DU1704" s="143"/>
      <c r="EA1704" s="143"/>
    </row>
    <row r="1705" spans="15:131" hidden="1">
      <c r="O1705" s="145"/>
      <c r="AX1705" s="141"/>
      <c r="AY1705" s="141"/>
      <c r="BE1705"/>
      <c r="BF1705" s="2"/>
      <c r="BM1705" s="143"/>
      <c r="BN1705" s="143"/>
      <c r="BP1705" s="143"/>
      <c r="BQ1705" s="143"/>
      <c r="BU1705" s="144"/>
      <c r="BV1705" s="144"/>
      <c r="BW1705" s="144"/>
      <c r="BX1705" s="144"/>
      <c r="CN1705"/>
      <c r="CO1705"/>
      <c r="CP1705"/>
      <c r="CQ1705"/>
      <c r="CR1705"/>
      <c r="CS1705"/>
      <c r="CT1705"/>
      <c r="CU1705"/>
      <c r="CV1705" s="2"/>
      <c r="CX1705"/>
      <c r="DC1705"/>
      <c r="DI1705"/>
      <c r="DJ1705"/>
      <c r="DK1705"/>
      <c r="DL1705"/>
      <c r="DM1705"/>
      <c r="DN1705"/>
      <c r="DT1705"/>
      <c r="DU1705" s="143"/>
      <c r="EA1705" s="143"/>
    </row>
    <row r="1706" spans="15:131" hidden="1">
      <c r="O1706" s="145"/>
      <c r="AX1706" s="141"/>
      <c r="AY1706" s="141"/>
      <c r="BE1706"/>
      <c r="BF1706" s="2"/>
      <c r="BM1706" s="143"/>
      <c r="BN1706" s="143"/>
      <c r="BP1706" s="143"/>
      <c r="BQ1706" s="143"/>
      <c r="BU1706" s="144"/>
      <c r="BV1706" s="144"/>
      <c r="BW1706" s="144"/>
      <c r="BX1706" s="144"/>
      <c r="CN1706"/>
      <c r="CO1706"/>
      <c r="CP1706"/>
      <c r="CQ1706"/>
      <c r="CR1706"/>
      <c r="CS1706"/>
      <c r="CT1706"/>
      <c r="CU1706"/>
      <c r="CV1706" s="2"/>
      <c r="CX1706"/>
      <c r="DC1706"/>
      <c r="DI1706"/>
      <c r="DJ1706"/>
      <c r="DK1706"/>
      <c r="DL1706"/>
      <c r="DM1706"/>
      <c r="DN1706"/>
      <c r="DT1706"/>
      <c r="DU1706" s="143"/>
      <c r="EA1706" s="143"/>
    </row>
    <row r="1707" spans="15:131" hidden="1">
      <c r="O1707" s="145"/>
      <c r="AX1707" s="141"/>
      <c r="AY1707" s="141"/>
      <c r="BE1707"/>
      <c r="BF1707" s="2"/>
      <c r="BM1707" s="143"/>
      <c r="BN1707" s="143"/>
      <c r="BP1707" s="143"/>
      <c r="BQ1707" s="143"/>
      <c r="BU1707" s="144"/>
      <c r="BV1707" s="144"/>
      <c r="BW1707" s="144"/>
      <c r="BX1707" s="144"/>
      <c r="CN1707"/>
      <c r="CO1707"/>
      <c r="CP1707"/>
      <c r="CQ1707"/>
      <c r="CR1707"/>
      <c r="CS1707"/>
      <c r="CT1707"/>
      <c r="CU1707"/>
      <c r="CV1707" s="2"/>
      <c r="CX1707"/>
      <c r="DC1707"/>
      <c r="DI1707"/>
      <c r="DJ1707"/>
      <c r="DK1707"/>
      <c r="DL1707"/>
      <c r="DM1707"/>
      <c r="DN1707"/>
      <c r="DT1707"/>
      <c r="DU1707" s="143"/>
      <c r="EA1707" s="143"/>
    </row>
    <row r="1708" spans="15:131" hidden="1">
      <c r="O1708" s="145"/>
      <c r="AX1708" s="141"/>
      <c r="AY1708" s="141"/>
      <c r="BE1708"/>
      <c r="BF1708" s="2"/>
      <c r="BM1708" s="143"/>
      <c r="BN1708" s="143"/>
      <c r="BP1708" s="143"/>
      <c r="BQ1708" s="143"/>
      <c r="BU1708" s="144"/>
      <c r="BV1708" s="144"/>
      <c r="BW1708" s="144"/>
      <c r="BX1708" s="144"/>
      <c r="CN1708"/>
      <c r="CO1708"/>
      <c r="CP1708"/>
      <c r="CQ1708"/>
      <c r="CR1708"/>
      <c r="CS1708"/>
      <c r="CT1708"/>
      <c r="CU1708"/>
      <c r="CV1708" s="2"/>
      <c r="CX1708"/>
      <c r="DC1708"/>
      <c r="DI1708"/>
      <c r="DJ1708"/>
      <c r="DK1708"/>
      <c r="DL1708"/>
      <c r="DM1708"/>
      <c r="DN1708"/>
      <c r="DT1708"/>
      <c r="DU1708" s="143"/>
      <c r="EA1708" s="143"/>
    </row>
    <row r="1709" spans="15:131" hidden="1">
      <c r="O1709" s="145"/>
      <c r="AX1709" s="141"/>
      <c r="AY1709" s="141"/>
      <c r="BE1709"/>
      <c r="BF1709" s="2"/>
      <c r="BM1709" s="143"/>
      <c r="BN1709" s="143"/>
      <c r="BP1709" s="143"/>
      <c r="BQ1709" s="143"/>
      <c r="BU1709" s="144"/>
      <c r="BV1709" s="144"/>
      <c r="BW1709" s="144"/>
      <c r="BX1709" s="144"/>
      <c r="CN1709"/>
      <c r="CO1709"/>
      <c r="CP1709"/>
      <c r="CQ1709"/>
      <c r="CR1709"/>
      <c r="CS1709"/>
      <c r="CT1709"/>
      <c r="CU1709"/>
      <c r="CV1709" s="2"/>
      <c r="CX1709"/>
      <c r="DC1709"/>
      <c r="DI1709"/>
      <c r="DJ1709"/>
      <c r="DK1709"/>
      <c r="DL1709"/>
      <c r="DM1709"/>
      <c r="DN1709"/>
      <c r="DT1709"/>
      <c r="DU1709" s="143"/>
      <c r="EA1709" s="143"/>
    </row>
    <row r="1710" spans="15:131" hidden="1">
      <c r="O1710" s="145"/>
      <c r="AX1710" s="141"/>
      <c r="AY1710" s="141"/>
      <c r="BE1710"/>
      <c r="BF1710" s="2"/>
      <c r="BM1710" s="143"/>
      <c r="BN1710" s="143"/>
      <c r="BP1710" s="143"/>
      <c r="BQ1710" s="143"/>
      <c r="BU1710" s="144"/>
      <c r="BV1710" s="144"/>
      <c r="BW1710" s="144"/>
      <c r="BX1710" s="144"/>
      <c r="CN1710"/>
      <c r="CO1710"/>
      <c r="CP1710"/>
      <c r="CQ1710"/>
      <c r="CR1710"/>
      <c r="CS1710"/>
      <c r="CT1710"/>
      <c r="CU1710"/>
      <c r="CV1710" s="2"/>
      <c r="CX1710"/>
      <c r="DC1710"/>
      <c r="DI1710"/>
      <c r="DJ1710"/>
      <c r="DK1710"/>
      <c r="DL1710"/>
      <c r="DM1710"/>
      <c r="DN1710"/>
      <c r="DT1710"/>
      <c r="DU1710" s="143"/>
      <c r="EA1710" s="143"/>
    </row>
    <row r="1711" spans="15:131" hidden="1">
      <c r="O1711" s="145"/>
      <c r="AX1711" s="141"/>
      <c r="AY1711" s="141"/>
      <c r="BE1711"/>
      <c r="BF1711" s="2"/>
      <c r="BM1711" s="143"/>
      <c r="BN1711" s="143"/>
      <c r="BP1711" s="143"/>
      <c r="BQ1711" s="143"/>
      <c r="BU1711" s="144"/>
      <c r="BV1711" s="144"/>
      <c r="BW1711" s="144"/>
      <c r="BX1711" s="144"/>
      <c r="CN1711"/>
      <c r="CO1711"/>
      <c r="CP1711"/>
      <c r="CQ1711"/>
      <c r="CR1711"/>
      <c r="CS1711"/>
      <c r="CT1711"/>
      <c r="CU1711"/>
      <c r="CV1711" s="2"/>
      <c r="CX1711"/>
      <c r="DC1711"/>
      <c r="DI1711"/>
      <c r="DJ1711"/>
      <c r="DK1711"/>
      <c r="DL1711"/>
      <c r="DM1711"/>
      <c r="DN1711"/>
      <c r="DT1711"/>
      <c r="DU1711" s="143"/>
      <c r="EA1711" s="143"/>
    </row>
    <row r="1712" spans="15:131" hidden="1">
      <c r="O1712" s="145"/>
      <c r="AX1712" s="141"/>
      <c r="AY1712" s="141"/>
      <c r="BE1712"/>
      <c r="BF1712" s="2"/>
      <c r="BM1712" s="143"/>
      <c r="BN1712" s="143"/>
      <c r="BP1712" s="143"/>
      <c r="BQ1712" s="143"/>
      <c r="BU1712" s="144"/>
      <c r="BV1712" s="144"/>
      <c r="BW1712" s="144"/>
      <c r="BX1712" s="144"/>
      <c r="CN1712"/>
      <c r="CO1712"/>
      <c r="CP1712"/>
      <c r="CQ1712"/>
      <c r="CR1712"/>
      <c r="CS1712"/>
      <c r="CT1712"/>
      <c r="CU1712"/>
      <c r="CV1712" s="2"/>
      <c r="CX1712"/>
      <c r="DC1712"/>
      <c r="DI1712"/>
      <c r="DJ1712"/>
      <c r="DK1712"/>
      <c r="DL1712"/>
      <c r="DM1712"/>
      <c r="DN1712"/>
      <c r="DT1712"/>
      <c r="DU1712" s="143"/>
      <c r="EA1712" s="143"/>
    </row>
    <row r="1713" spans="1:150" hidden="1">
      <c r="O1713" s="145"/>
      <c r="AX1713" s="141"/>
      <c r="AY1713" s="141"/>
      <c r="BE1713"/>
      <c r="BF1713" s="2"/>
      <c r="BM1713" s="143"/>
      <c r="BP1713" s="143"/>
      <c r="BQ1713" s="143"/>
      <c r="BU1713" s="144"/>
      <c r="BV1713" s="144"/>
      <c r="BW1713" s="144"/>
      <c r="BX1713" s="144"/>
      <c r="CN1713"/>
      <c r="CO1713"/>
      <c r="CP1713"/>
      <c r="CQ1713"/>
      <c r="CR1713"/>
      <c r="CS1713"/>
      <c r="CT1713"/>
      <c r="CU1713"/>
      <c r="CV1713" s="2"/>
      <c r="CX1713"/>
      <c r="DC1713"/>
      <c r="DI1713"/>
      <c r="DJ1713"/>
      <c r="DK1713"/>
      <c r="DL1713"/>
      <c r="DM1713"/>
      <c r="DN1713"/>
      <c r="DT1713"/>
      <c r="DU1713" s="143"/>
      <c r="EA1713" s="143"/>
    </row>
    <row r="1714" spans="1:150" hidden="1">
      <c r="O1714" s="145"/>
      <c r="AX1714" s="141"/>
      <c r="AY1714" s="141"/>
      <c r="BE1714"/>
      <c r="BF1714" s="2"/>
      <c r="BM1714" s="143"/>
      <c r="BP1714" s="143"/>
      <c r="BQ1714" s="143"/>
      <c r="BU1714" s="144"/>
      <c r="BV1714" s="144"/>
      <c r="BW1714" s="144"/>
      <c r="BX1714" s="144"/>
      <c r="CN1714"/>
      <c r="CO1714"/>
      <c r="CP1714"/>
      <c r="CQ1714"/>
      <c r="CR1714"/>
      <c r="CS1714"/>
      <c r="CT1714"/>
      <c r="CU1714"/>
      <c r="CV1714" s="2"/>
      <c r="CX1714"/>
      <c r="DC1714"/>
      <c r="DI1714"/>
      <c r="DJ1714"/>
      <c r="DK1714"/>
      <c r="DL1714"/>
      <c r="DM1714"/>
      <c r="DN1714"/>
      <c r="DT1714"/>
      <c r="DU1714" s="143"/>
      <c r="EA1714" s="143"/>
    </row>
    <row r="1715" spans="1:150" ht="15" hidden="1" customHeight="1">
      <c r="O1715" s="145"/>
      <c r="AX1715" s="141"/>
      <c r="AY1715" s="141"/>
      <c r="BE1715"/>
      <c r="BF1715" s="2"/>
      <c r="BM1715" s="143"/>
      <c r="BP1715" s="143"/>
      <c r="BQ1715" s="143"/>
      <c r="BU1715" s="144"/>
      <c r="BV1715" s="144"/>
      <c r="BW1715" s="144"/>
      <c r="BX1715" s="144"/>
      <c r="CN1715"/>
      <c r="CO1715"/>
      <c r="CP1715"/>
      <c r="CQ1715"/>
      <c r="CR1715"/>
      <c r="CS1715"/>
      <c r="CT1715"/>
      <c r="CU1715"/>
      <c r="CV1715" s="2"/>
      <c r="CX1715"/>
      <c r="DC1715"/>
      <c r="DI1715"/>
      <c r="DJ1715"/>
      <c r="DK1715"/>
      <c r="DL1715"/>
      <c r="DM1715"/>
      <c r="DN1715"/>
      <c r="DT1715"/>
      <c r="DU1715" s="143"/>
      <c r="EA1715" s="143"/>
    </row>
    <row r="1716" spans="1:150" hidden="1">
      <c r="O1716" s="145"/>
      <c r="AX1716" s="141"/>
      <c r="AY1716" s="141"/>
      <c r="BE1716"/>
      <c r="BF1716" s="2"/>
      <c r="BM1716" s="143"/>
      <c r="BP1716" s="143"/>
      <c r="BQ1716" s="143"/>
      <c r="BU1716" s="144"/>
      <c r="BV1716" s="144"/>
      <c r="BW1716" s="144"/>
      <c r="BX1716" s="144"/>
      <c r="CN1716"/>
      <c r="CO1716"/>
      <c r="CP1716"/>
      <c r="CQ1716"/>
      <c r="CR1716"/>
      <c r="CS1716"/>
      <c r="CT1716"/>
      <c r="CU1716"/>
      <c r="CV1716" s="2"/>
      <c r="CX1716"/>
      <c r="DC1716"/>
      <c r="DI1716"/>
      <c r="DJ1716"/>
      <c r="DK1716"/>
      <c r="DL1716"/>
      <c r="DM1716"/>
      <c r="DN1716"/>
      <c r="DT1716"/>
      <c r="DU1716" s="143"/>
      <c r="EA1716" s="143"/>
    </row>
    <row r="1717" spans="1:150" hidden="1">
      <c r="O1717" s="145"/>
      <c r="AX1717" s="141"/>
      <c r="AY1717" s="141"/>
      <c r="BE1717"/>
      <c r="BF1717" s="2"/>
      <c r="BM1717" s="143"/>
      <c r="BN1717" s="143"/>
      <c r="BP1717" s="143"/>
      <c r="BQ1717" s="143"/>
      <c r="BU1717" s="144"/>
      <c r="BV1717" s="144"/>
      <c r="BW1717" s="144"/>
      <c r="BX1717" s="144"/>
      <c r="CN1717"/>
      <c r="CO1717"/>
      <c r="CP1717"/>
      <c r="CQ1717"/>
      <c r="CR1717"/>
      <c r="CS1717"/>
      <c r="CT1717"/>
      <c r="CU1717"/>
      <c r="CV1717" s="2"/>
      <c r="CX1717"/>
      <c r="DC1717"/>
      <c r="DI1717"/>
      <c r="DJ1717"/>
      <c r="DK1717"/>
      <c r="DL1717"/>
      <c r="DM1717"/>
      <c r="DN1717"/>
      <c r="DT1717"/>
      <c r="DU1717" s="143"/>
      <c r="EA1717" s="143"/>
    </row>
    <row r="1718" spans="1:150" hidden="1">
      <c r="O1718" s="145"/>
      <c r="AX1718" s="141"/>
      <c r="AY1718" s="141"/>
      <c r="BE1718"/>
      <c r="BF1718" s="2"/>
      <c r="BM1718" s="143"/>
      <c r="BN1718" s="143"/>
      <c r="BP1718" s="143"/>
      <c r="BQ1718" s="143"/>
      <c r="BU1718" s="144"/>
      <c r="BV1718" s="144"/>
      <c r="BW1718" s="144"/>
      <c r="BX1718" s="144"/>
      <c r="CN1718"/>
      <c r="CO1718"/>
      <c r="CP1718"/>
      <c r="CQ1718"/>
      <c r="CR1718"/>
      <c r="CS1718"/>
      <c r="CT1718"/>
      <c r="CU1718"/>
      <c r="CV1718" s="2"/>
      <c r="CX1718"/>
      <c r="DC1718"/>
      <c r="DI1718"/>
      <c r="DJ1718"/>
      <c r="DK1718"/>
      <c r="DL1718"/>
      <c r="DM1718"/>
      <c r="DN1718"/>
      <c r="DT1718"/>
      <c r="DU1718" s="143"/>
      <c r="EA1718" s="143"/>
    </row>
    <row r="1719" spans="1:150" hidden="1">
      <c r="O1719" s="145"/>
      <c r="AX1719" s="141"/>
      <c r="AY1719" s="141"/>
      <c r="BE1719"/>
      <c r="BF1719" s="2"/>
      <c r="BM1719" s="143"/>
      <c r="BN1719" s="143"/>
      <c r="BP1719" s="143"/>
      <c r="BQ1719" s="143"/>
      <c r="BU1719" s="144"/>
      <c r="BV1719" s="144"/>
      <c r="BW1719" s="144"/>
      <c r="BX1719" s="144"/>
      <c r="CN1719"/>
      <c r="CO1719"/>
      <c r="CP1719"/>
      <c r="CQ1719"/>
      <c r="CR1719"/>
      <c r="CS1719"/>
      <c r="CT1719"/>
      <c r="CU1719"/>
      <c r="CV1719" s="2"/>
      <c r="CX1719"/>
      <c r="DC1719"/>
      <c r="DI1719"/>
      <c r="DJ1719"/>
      <c r="DK1719"/>
      <c r="DL1719"/>
      <c r="DM1719"/>
      <c r="DN1719"/>
      <c r="DT1719"/>
      <c r="DU1719" s="143"/>
      <c r="EA1719" s="143"/>
    </row>
    <row r="1720" spans="1:150" ht="15" hidden="1" customHeight="1">
      <c r="O1720" s="145"/>
      <c r="AX1720" s="141"/>
      <c r="AY1720" s="141"/>
      <c r="BE1720"/>
      <c r="BF1720" s="2"/>
      <c r="BM1720" s="143"/>
      <c r="BN1720" s="143"/>
      <c r="BP1720" s="143"/>
      <c r="BQ1720" s="143"/>
      <c r="BU1720" s="144"/>
      <c r="BV1720" s="144"/>
      <c r="BW1720" s="144"/>
      <c r="BX1720" s="144"/>
      <c r="CN1720"/>
      <c r="CO1720"/>
      <c r="CP1720"/>
      <c r="CQ1720"/>
      <c r="CR1720"/>
      <c r="CS1720"/>
      <c r="CT1720"/>
      <c r="CU1720"/>
      <c r="CV1720" s="2"/>
      <c r="CX1720"/>
      <c r="DC1720"/>
      <c r="DI1720"/>
      <c r="DJ1720"/>
      <c r="DK1720"/>
      <c r="DL1720"/>
      <c r="DM1720"/>
      <c r="DN1720"/>
      <c r="DT1720"/>
      <c r="DU1720" s="143"/>
      <c r="EA1720" s="143"/>
    </row>
    <row r="1721" spans="1:150" ht="15" hidden="1" customHeight="1">
      <c r="O1721" s="145"/>
      <c r="AX1721" s="141"/>
      <c r="AY1721" s="141"/>
      <c r="BE1721"/>
      <c r="BF1721" s="2"/>
      <c r="BM1721" s="143"/>
      <c r="BU1721" s="144"/>
      <c r="BV1721" s="144"/>
      <c r="BW1721" s="144"/>
      <c r="BX1721" s="144"/>
      <c r="CN1721"/>
      <c r="CO1721"/>
      <c r="CP1721"/>
      <c r="CQ1721"/>
      <c r="CR1721"/>
      <c r="CS1721"/>
      <c r="CT1721"/>
      <c r="CU1721"/>
      <c r="CV1721" s="2"/>
      <c r="CX1721"/>
      <c r="DC1721"/>
      <c r="DI1721"/>
      <c r="DJ1721"/>
      <c r="DK1721"/>
      <c r="DL1721"/>
      <c r="DM1721"/>
      <c r="DN1721"/>
      <c r="DT1721"/>
      <c r="DU1721" s="143"/>
      <c r="EA1721" s="143"/>
    </row>
    <row r="1722" spans="1:150" ht="15" hidden="1" customHeight="1">
      <c r="O1722" s="145"/>
      <c r="AX1722" s="141"/>
      <c r="AY1722" s="141"/>
      <c r="BE1722"/>
      <c r="BF1722" s="2"/>
      <c r="BM1722" s="143"/>
      <c r="BU1722" s="144"/>
      <c r="BV1722" s="144"/>
      <c r="BW1722" s="144"/>
      <c r="BX1722" s="144"/>
      <c r="CN1722"/>
      <c r="CO1722"/>
      <c r="CP1722"/>
      <c r="CQ1722"/>
      <c r="CR1722"/>
      <c r="CS1722"/>
      <c r="CT1722"/>
      <c r="CU1722"/>
      <c r="CV1722" s="2"/>
      <c r="CX1722"/>
      <c r="DC1722"/>
      <c r="DI1722"/>
      <c r="DJ1722"/>
      <c r="DK1722"/>
      <c r="DL1722"/>
      <c r="DM1722"/>
      <c r="DN1722"/>
      <c r="DT1722"/>
      <c r="DU1722" s="143"/>
      <c r="EA1722" s="143"/>
    </row>
    <row r="1723" spans="1:150" s="185" customFormat="1" ht="15" hidden="1" customHeight="1">
      <c r="A1723" s="1"/>
      <c r="B1723"/>
      <c r="C1723"/>
      <c r="D1723"/>
      <c r="E1723"/>
      <c r="F1723"/>
      <c r="G1723"/>
      <c r="H1723"/>
      <c r="I1723"/>
      <c r="J1723"/>
      <c r="K1723"/>
      <c r="L1723"/>
      <c r="M1723"/>
      <c r="N1723"/>
      <c r="O1723" s="145"/>
      <c r="P1723"/>
      <c r="Q1723"/>
      <c r="R1723" s="2"/>
      <c r="S1723" s="1"/>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s="141"/>
      <c r="AY1723" s="141"/>
      <c r="AZ1723"/>
      <c r="BA1723"/>
      <c r="BB1723"/>
      <c r="BC1723"/>
      <c r="BD1723"/>
      <c r="BE1723"/>
      <c r="BF1723" s="2"/>
      <c r="BG1723" s="1"/>
      <c r="BH1723"/>
      <c r="BI1723"/>
      <c r="BJ1723"/>
      <c r="BK1723"/>
      <c r="BL1723"/>
      <c r="BM1723" s="143"/>
      <c r="BN1723"/>
      <c r="BO1723"/>
      <c r="BP1723"/>
      <c r="BQ1723"/>
      <c r="BR1723"/>
      <c r="BS1723"/>
      <c r="BT1723"/>
      <c r="BU1723" s="144"/>
      <c r="BV1723" s="144"/>
      <c r="BW1723" s="144"/>
      <c r="BX1723" s="144"/>
      <c r="BY1723"/>
      <c r="BZ1723"/>
      <c r="CA1723"/>
      <c r="CB1723"/>
      <c r="CC1723"/>
      <c r="CD1723"/>
      <c r="CE1723"/>
      <c r="CF1723"/>
      <c r="CG1723"/>
      <c r="CH1723"/>
      <c r="CI1723"/>
      <c r="CJ1723"/>
      <c r="CK1723"/>
      <c r="CL1723"/>
      <c r="CM1723"/>
      <c r="CN1723"/>
      <c r="CO1723"/>
      <c r="CP1723"/>
      <c r="CQ1723"/>
      <c r="CR1723"/>
      <c r="CS1723"/>
      <c r="CT1723"/>
      <c r="CU1723"/>
      <c r="CV1723" s="2"/>
      <c r="CW1723" s="1"/>
      <c r="CX1723"/>
      <c r="CY1723"/>
      <c r="CZ1723"/>
      <c r="DA1723"/>
      <c r="DB1723"/>
      <c r="DC1723"/>
      <c r="DD1723"/>
      <c r="DE1723"/>
      <c r="DF1723"/>
      <c r="DG1723"/>
      <c r="DH1723"/>
      <c r="DI1723"/>
      <c r="DJ1723"/>
      <c r="DK1723"/>
      <c r="DL1723"/>
      <c r="DM1723"/>
      <c r="DN1723"/>
      <c r="DO1723"/>
      <c r="DP1723"/>
      <c r="DQ1723"/>
      <c r="DR1723"/>
      <c r="DS1723"/>
      <c r="DT1723"/>
      <c r="DU1723" s="143"/>
      <c r="DV1723"/>
      <c r="DW1723"/>
      <c r="DX1723"/>
      <c r="DY1723"/>
      <c r="DZ1723"/>
      <c r="EA1723" s="143"/>
      <c r="EB1723"/>
      <c r="EC1723"/>
      <c r="ED1723"/>
      <c r="EE1723"/>
      <c r="EF1723"/>
      <c r="EG1723"/>
      <c r="EH1723"/>
      <c r="EI1723" s="2"/>
      <c r="EJ1723" s="1"/>
      <c r="EK1723"/>
      <c r="EL1723"/>
      <c r="EM1723" s="2"/>
      <c r="EN1723"/>
      <c r="EO1723"/>
      <c r="EP1723"/>
      <c r="EQ1723"/>
      <c r="ER1723"/>
      <c r="ES1723"/>
      <c r="ET1723"/>
    </row>
    <row r="1724" spans="1:150" s="185" customFormat="1" ht="15" hidden="1" customHeight="1">
      <c r="A1724" s="1"/>
      <c r="B1724"/>
      <c r="C1724"/>
      <c r="D1724"/>
      <c r="E1724"/>
      <c r="F1724"/>
      <c r="G1724"/>
      <c r="H1724"/>
      <c r="I1724"/>
      <c r="J1724"/>
      <c r="K1724"/>
      <c r="L1724"/>
      <c r="M1724"/>
      <c r="N1724"/>
      <c r="O1724" s="145"/>
      <c r="P1724"/>
      <c r="Q1724"/>
      <c r="R1724" s="2"/>
      <c r="S1724" s="1"/>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s="141"/>
      <c r="AY1724" s="141"/>
      <c r="AZ1724"/>
      <c r="BA1724"/>
      <c r="BB1724"/>
      <c r="BC1724"/>
      <c r="BD1724"/>
      <c r="BE1724"/>
      <c r="BF1724" s="2"/>
      <c r="BG1724" s="1"/>
      <c r="BH1724"/>
      <c r="BI1724"/>
      <c r="BJ1724"/>
      <c r="BK1724"/>
      <c r="BL1724"/>
      <c r="BM1724" s="143"/>
      <c r="BN1724"/>
      <c r="BO1724"/>
      <c r="BP1724"/>
      <c r="BQ1724"/>
      <c r="BR1724"/>
      <c r="BS1724"/>
      <c r="BT1724"/>
      <c r="BU1724" s="144"/>
      <c r="BV1724" s="144"/>
      <c r="BW1724" s="144"/>
      <c r="BX1724" s="144"/>
      <c r="BY1724"/>
      <c r="BZ1724"/>
      <c r="CA1724"/>
      <c r="CB1724"/>
      <c r="CC1724"/>
      <c r="CD1724"/>
      <c r="CE1724"/>
      <c r="CF1724"/>
      <c r="CG1724"/>
      <c r="CH1724"/>
      <c r="CI1724"/>
      <c r="CJ1724"/>
      <c r="CK1724"/>
      <c r="CL1724"/>
      <c r="CM1724"/>
      <c r="CN1724"/>
      <c r="CO1724"/>
      <c r="CP1724"/>
      <c r="CQ1724"/>
      <c r="CR1724"/>
      <c r="CS1724"/>
      <c r="CT1724"/>
      <c r="CU1724"/>
      <c r="CV1724" s="2"/>
      <c r="CW1724" s="1"/>
      <c r="CX1724"/>
      <c r="CY1724"/>
      <c r="CZ1724"/>
      <c r="DA1724"/>
      <c r="DB1724"/>
      <c r="DC1724"/>
      <c r="DD1724"/>
      <c r="DE1724"/>
      <c r="DF1724"/>
      <c r="DG1724"/>
      <c r="DH1724"/>
      <c r="DI1724"/>
      <c r="DJ1724"/>
      <c r="DK1724"/>
      <c r="DL1724"/>
      <c r="DM1724"/>
      <c r="DN1724"/>
      <c r="DO1724"/>
      <c r="DP1724"/>
      <c r="DQ1724"/>
      <c r="DR1724"/>
      <c r="DS1724"/>
      <c r="DT1724"/>
      <c r="DU1724" s="143"/>
      <c r="DV1724"/>
      <c r="DW1724"/>
      <c r="DX1724"/>
      <c r="DY1724"/>
      <c r="DZ1724"/>
      <c r="EA1724" s="143"/>
      <c r="EB1724"/>
      <c r="EC1724"/>
      <c r="ED1724"/>
      <c r="EE1724"/>
      <c r="EF1724"/>
      <c r="EG1724"/>
      <c r="EH1724"/>
      <c r="EI1724" s="2"/>
      <c r="EJ1724" s="1"/>
      <c r="EK1724"/>
      <c r="EL1724"/>
      <c r="EM1724" s="2"/>
      <c r="EN1724"/>
      <c r="EO1724"/>
      <c r="EP1724"/>
      <c r="EQ1724"/>
      <c r="ER1724"/>
      <c r="ES1724"/>
      <c r="ET1724"/>
    </row>
    <row r="1725" spans="1:150" s="185" customFormat="1" ht="15" hidden="1" customHeight="1">
      <c r="A1725" s="1"/>
      <c r="B1725"/>
      <c r="C1725"/>
      <c r="D1725"/>
      <c r="E1725"/>
      <c r="F1725"/>
      <c r="G1725"/>
      <c r="H1725"/>
      <c r="I1725"/>
      <c r="J1725"/>
      <c r="K1725"/>
      <c r="L1725"/>
      <c r="M1725"/>
      <c r="N1725"/>
      <c r="O1725" s="145"/>
      <c r="P1725"/>
      <c r="Q1725"/>
      <c r="R1725" s="2"/>
      <c r="S1725" s="1"/>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s="141"/>
      <c r="AY1725" s="141"/>
      <c r="AZ1725"/>
      <c r="BA1725"/>
      <c r="BB1725"/>
      <c r="BC1725"/>
      <c r="BD1725"/>
      <c r="BE1725"/>
      <c r="BF1725" s="2"/>
      <c r="BG1725" s="1"/>
      <c r="BH1725"/>
      <c r="BI1725"/>
      <c r="BJ1725"/>
      <c r="BK1725"/>
      <c r="BL1725"/>
      <c r="BM1725" s="143"/>
      <c r="BN1725"/>
      <c r="BO1725"/>
      <c r="BP1725"/>
      <c r="BQ1725"/>
      <c r="BR1725"/>
      <c r="BS1725"/>
      <c r="BT1725"/>
      <c r="BU1725" s="144"/>
      <c r="BV1725" s="144"/>
      <c r="BW1725" s="144"/>
      <c r="BX1725" s="144"/>
      <c r="BY1725"/>
      <c r="BZ1725"/>
      <c r="CA1725"/>
      <c r="CB1725"/>
      <c r="CC1725"/>
      <c r="CD1725"/>
      <c r="CE1725"/>
      <c r="CF1725"/>
      <c r="CG1725"/>
      <c r="CH1725"/>
      <c r="CI1725"/>
      <c r="CJ1725"/>
      <c r="CK1725"/>
      <c r="CL1725"/>
      <c r="CM1725"/>
      <c r="CN1725"/>
      <c r="CO1725"/>
      <c r="CP1725"/>
      <c r="CQ1725"/>
      <c r="CR1725"/>
      <c r="CS1725"/>
      <c r="CT1725"/>
      <c r="CU1725"/>
      <c r="CV1725" s="2"/>
      <c r="CW1725" s="1"/>
      <c r="CX1725"/>
      <c r="CY1725"/>
      <c r="CZ1725"/>
      <c r="DA1725"/>
      <c r="DB1725"/>
      <c r="DC1725"/>
      <c r="DD1725"/>
      <c r="DE1725"/>
      <c r="DF1725"/>
      <c r="DG1725"/>
      <c r="DH1725"/>
      <c r="DI1725"/>
      <c r="DJ1725"/>
      <c r="DK1725"/>
      <c r="DL1725"/>
      <c r="DM1725"/>
      <c r="DN1725"/>
      <c r="DO1725"/>
      <c r="DP1725"/>
      <c r="DQ1725"/>
      <c r="DR1725"/>
      <c r="DS1725"/>
      <c r="DT1725"/>
      <c r="DU1725" s="143"/>
      <c r="DV1725"/>
      <c r="DW1725"/>
      <c r="DX1725"/>
      <c r="DY1725"/>
      <c r="DZ1725"/>
      <c r="EA1725" s="143"/>
      <c r="EB1725"/>
      <c r="EC1725"/>
      <c r="ED1725"/>
      <c r="EE1725"/>
      <c r="EF1725"/>
      <c r="EG1725"/>
      <c r="EH1725"/>
      <c r="EI1725" s="2"/>
      <c r="EJ1725" s="1"/>
      <c r="EK1725"/>
      <c r="EL1725"/>
      <c r="EM1725" s="2"/>
      <c r="EN1725"/>
      <c r="EO1725"/>
      <c r="EP1725"/>
      <c r="EQ1725"/>
      <c r="ER1725"/>
      <c r="ES1725"/>
      <c r="ET1725"/>
    </row>
    <row r="1726" spans="1:150" ht="15" hidden="1" customHeight="1">
      <c r="O1726" s="145"/>
      <c r="AX1726" s="141"/>
      <c r="AY1726" s="141"/>
      <c r="BE1726"/>
      <c r="BF1726" s="2"/>
      <c r="BM1726" s="143"/>
      <c r="BU1726" s="144"/>
      <c r="BV1726" s="144"/>
      <c r="BW1726" s="144"/>
      <c r="BX1726" s="144"/>
      <c r="CN1726"/>
      <c r="CO1726"/>
      <c r="CP1726"/>
      <c r="CQ1726"/>
      <c r="CR1726"/>
      <c r="CS1726"/>
      <c r="CT1726"/>
      <c r="CU1726"/>
      <c r="CV1726" s="2"/>
      <c r="CX1726"/>
      <c r="DC1726"/>
      <c r="DI1726"/>
      <c r="DJ1726"/>
      <c r="DK1726"/>
      <c r="DL1726"/>
      <c r="DM1726"/>
      <c r="DN1726"/>
      <c r="DT1726"/>
      <c r="DU1726" s="143"/>
      <c r="EA1726" s="143"/>
    </row>
    <row r="1727" spans="1:150" ht="15" hidden="1" customHeight="1">
      <c r="O1727" s="145"/>
      <c r="AX1727" s="141"/>
      <c r="AY1727" s="141"/>
      <c r="BE1727"/>
      <c r="BF1727" s="2"/>
      <c r="BM1727" s="143"/>
      <c r="BN1727" s="143"/>
      <c r="BP1727" s="143"/>
      <c r="BQ1727" s="143"/>
      <c r="BU1727" s="144"/>
      <c r="BV1727" s="144"/>
      <c r="BW1727" s="144"/>
      <c r="BX1727" s="144"/>
      <c r="CN1727"/>
      <c r="CO1727"/>
      <c r="CP1727"/>
      <c r="CQ1727"/>
      <c r="CR1727"/>
      <c r="CS1727"/>
      <c r="CT1727"/>
      <c r="CU1727"/>
      <c r="CV1727" s="2"/>
      <c r="CX1727"/>
      <c r="DC1727"/>
      <c r="DI1727"/>
      <c r="DJ1727"/>
      <c r="DK1727"/>
      <c r="DL1727"/>
      <c r="DM1727"/>
      <c r="DN1727"/>
      <c r="DT1727"/>
      <c r="DU1727" s="143"/>
      <c r="EA1727" s="143"/>
    </row>
    <row r="1728" spans="1:150" ht="15" hidden="1" customHeight="1">
      <c r="O1728" s="145"/>
      <c r="AX1728" s="141"/>
      <c r="AY1728" s="141"/>
      <c r="BE1728"/>
      <c r="BF1728" s="2"/>
      <c r="BM1728" s="143"/>
      <c r="BN1728" s="143"/>
      <c r="BP1728" s="143"/>
      <c r="BQ1728" s="143"/>
      <c r="BU1728" s="144"/>
      <c r="BV1728" s="144"/>
      <c r="BW1728" s="144"/>
      <c r="BX1728" s="144"/>
      <c r="CN1728"/>
      <c r="CO1728"/>
      <c r="CP1728"/>
      <c r="CQ1728"/>
      <c r="CR1728"/>
      <c r="CS1728"/>
      <c r="CT1728"/>
      <c r="CU1728"/>
      <c r="CV1728" s="2"/>
      <c r="CX1728"/>
      <c r="DC1728"/>
      <c r="DI1728"/>
      <c r="DJ1728"/>
      <c r="DK1728"/>
      <c r="DL1728"/>
      <c r="DM1728"/>
      <c r="DN1728"/>
      <c r="DT1728"/>
      <c r="DU1728" s="143"/>
      <c r="EA1728" s="143"/>
    </row>
    <row r="1729" spans="1:150" s="185" customFormat="1" ht="15" hidden="1" customHeight="1">
      <c r="A1729" s="1"/>
      <c r="B1729"/>
      <c r="C1729"/>
      <c r="D1729"/>
      <c r="E1729"/>
      <c r="F1729"/>
      <c r="G1729"/>
      <c r="H1729"/>
      <c r="I1729"/>
      <c r="J1729"/>
      <c r="K1729"/>
      <c r="L1729"/>
      <c r="M1729"/>
      <c r="N1729"/>
      <c r="O1729" s="145"/>
      <c r="P1729"/>
      <c r="Q1729"/>
      <c r="R1729" s="2"/>
      <c r="S1729" s="1"/>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s="141"/>
      <c r="AY1729" s="141"/>
      <c r="AZ1729"/>
      <c r="BA1729"/>
      <c r="BB1729"/>
      <c r="BC1729"/>
      <c r="BD1729"/>
      <c r="BE1729"/>
      <c r="BF1729" s="2"/>
      <c r="BG1729" s="1"/>
      <c r="BH1729"/>
      <c r="BI1729"/>
      <c r="BJ1729"/>
      <c r="BK1729"/>
      <c r="BL1729"/>
      <c r="BM1729" s="143"/>
      <c r="BN1729" s="143"/>
      <c r="BO1729"/>
      <c r="BP1729" s="143"/>
      <c r="BQ1729" s="143"/>
      <c r="BR1729"/>
      <c r="BS1729"/>
      <c r="BT1729"/>
      <c r="BU1729" s="144"/>
      <c r="BV1729" s="144"/>
      <c r="BW1729" s="144"/>
      <c r="BX1729" s="144"/>
      <c r="BY1729"/>
      <c r="BZ1729"/>
      <c r="CA1729"/>
      <c r="CB1729"/>
      <c r="CC1729"/>
      <c r="CD1729"/>
      <c r="CE1729"/>
      <c r="CF1729"/>
      <c r="CG1729"/>
      <c r="CH1729"/>
      <c r="CI1729"/>
      <c r="CJ1729"/>
      <c r="CK1729"/>
      <c r="CL1729"/>
      <c r="CM1729"/>
      <c r="CN1729"/>
      <c r="CO1729"/>
      <c r="CP1729"/>
      <c r="CQ1729"/>
      <c r="CR1729"/>
      <c r="CS1729"/>
      <c r="CT1729"/>
      <c r="CU1729"/>
      <c r="CV1729" s="2"/>
      <c r="CW1729" s="1"/>
      <c r="CX1729"/>
      <c r="CY1729"/>
      <c r="CZ1729"/>
      <c r="DA1729"/>
      <c r="DB1729"/>
      <c r="DC1729"/>
      <c r="DD1729"/>
      <c r="DE1729"/>
      <c r="DF1729"/>
      <c r="DG1729"/>
      <c r="DH1729"/>
      <c r="DI1729"/>
      <c r="DJ1729"/>
      <c r="DK1729"/>
      <c r="DL1729"/>
      <c r="DM1729"/>
      <c r="DN1729"/>
      <c r="DO1729"/>
      <c r="DP1729"/>
      <c r="DQ1729"/>
      <c r="DR1729"/>
      <c r="DS1729"/>
      <c r="DT1729"/>
      <c r="DU1729" s="143"/>
      <c r="DV1729"/>
      <c r="DW1729"/>
      <c r="DX1729"/>
      <c r="DY1729"/>
      <c r="DZ1729"/>
      <c r="EA1729" s="143"/>
      <c r="EB1729"/>
      <c r="EC1729"/>
      <c r="ED1729"/>
      <c r="EE1729"/>
      <c r="EF1729"/>
      <c r="EG1729"/>
      <c r="EH1729"/>
      <c r="EI1729" s="2"/>
      <c r="EJ1729" s="1"/>
      <c r="EK1729"/>
      <c r="EL1729"/>
      <c r="EM1729" s="2"/>
      <c r="EN1729"/>
      <c r="EO1729"/>
      <c r="EP1729"/>
      <c r="EQ1729"/>
      <c r="ER1729"/>
      <c r="ES1729"/>
      <c r="ET1729"/>
    </row>
    <row r="1730" spans="1:150" s="185" customFormat="1" ht="15" hidden="1" customHeight="1">
      <c r="A1730" s="1"/>
      <c r="B1730"/>
      <c r="C1730"/>
      <c r="D1730"/>
      <c r="E1730"/>
      <c r="F1730"/>
      <c r="G1730"/>
      <c r="H1730"/>
      <c r="I1730"/>
      <c r="J1730"/>
      <c r="K1730"/>
      <c r="L1730"/>
      <c r="M1730"/>
      <c r="N1730"/>
      <c r="O1730" s="145"/>
      <c r="P1730"/>
      <c r="Q1730"/>
      <c r="R1730" s="2"/>
      <c r="S1730" s="1"/>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s="141"/>
      <c r="AY1730" s="141"/>
      <c r="AZ1730"/>
      <c r="BA1730"/>
      <c r="BB1730"/>
      <c r="BC1730"/>
      <c r="BD1730"/>
      <c r="BE1730"/>
      <c r="BF1730" s="2"/>
      <c r="BG1730" s="1"/>
      <c r="BH1730"/>
      <c r="BI1730"/>
      <c r="BJ1730"/>
      <c r="BK1730"/>
      <c r="BL1730"/>
      <c r="BM1730" s="143"/>
      <c r="BN1730" s="143"/>
      <c r="BO1730"/>
      <c r="BP1730" s="143"/>
      <c r="BQ1730" s="143"/>
      <c r="BR1730"/>
      <c r="BS1730"/>
      <c r="BT1730"/>
      <c r="BU1730" s="144"/>
      <c r="BV1730" s="144"/>
      <c r="BW1730" s="144"/>
      <c r="BX1730" s="144"/>
      <c r="BY1730"/>
      <c r="BZ1730"/>
      <c r="CA1730"/>
      <c r="CB1730"/>
      <c r="CC1730"/>
      <c r="CD1730"/>
      <c r="CE1730"/>
      <c r="CF1730"/>
      <c r="CG1730"/>
      <c r="CH1730"/>
      <c r="CI1730"/>
      <c r="CJ1730"/>
      <c r="CK1730"/>
      <c r="CL1730"/>
      <c r="CM1730"/>
      <c r="CN1730"/>
      <c r="CO1730"/>
      <c r="CP1730"/>
      <c r="CQ1730"/>
      <c r="CR1730"/>
      <c r="CS1730"/>
      <c r="CT1730"/>
      <c r="CU1730"/>
      <c r="CV1730" s="2"/>
      <c r="CW1730" s="1"/>
      <c r="CX1730"/>
      <c r="CY1730"/>
      <c r="CZ1730"/>
      <c r="DA1730"/>
      <c r="DB1730"/>
      <c r="DC1730"/>
      <c r="DD1730"/>
      <c r="DE1730"/>
      <c r="DF1730"/>
      <c r="DG1730"/>
      <c r="DH1730"/>
      <c r="DI1730"/>
      <c r="DJ1730"/>
      <c r="DK1730"/>
      <c r="DL1730"/>
      <c r="DM1730"/>
      <c r="DN1730"/>
      <c r="DO1730"/>
      <c r="DP1730"/>
      <c r="DQ1730"/>
      <c r="DR1730"/>
      <c r="DS1730"/>
      <c r="DT1730"/>
      <c r="DU1730" s="143"/>
      <c r="DV1730"/>
      <c r="DW1730"/>
      <c r="DX1730"/>
      <c r="DY1730"/>
      <c r="DZ1730"/>
      <c r="EA1730" s="143"/>
      <c r="EB1730"/>
      <c r="EC1730"/>
      <c r="ED1730"/>
      <c r="EE1730"/>
      <c r="EF1730"/>
      <c r="EG1730"/>
      <c r="EH1730"/>
      <c r="EI1730" s="2"/>
      <c r="EJ1730" s="1"/>
      <c r="EK1730"/>
      <c r="EL1730"/>
      <c r="EM1730" s="2"/>
      <c r="EN1730"/>
      <c r="EO1730"/>
      <c r="EP1730"/>
      <c r="EQ1730"/>
      <c r="ER1730"/>
      <c r="ES1730"/>
      <c r="ET1730"/>
    </row>
    <row r="1731" spans="1:150" s="185" customFormat="1" ht="15" hidden="1" customHeight="1">
      <c r="A1731" s="1"/>
      <c r="B1731"/>
      <c r="C1731"/>
      <c r="D1731"/>
      <c r="E1731"/>
      <c r="F1731"/>
      <c r="G1731"/>
      <c r="H1731"/>
      <c r="I1731"/>
      <c r="J1731"/>
      <c r="K1731"/>
      <c r="L1731"/>
      <c r="M1731"/>
      <c r="N1731"/>
      <c r="O1731" s="145"/>
      <c r="P1731"/>
      <c r="Q1731"/>
      <c r="R1731" s="2"/>
      <c r="S1731" s="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s="141"/>
      <c r="AY1731" s="141"/>
      <c r="AZ1731"/>
      <c r="BA1731"/>
      <c r="BB1731"/>
      <c r="BC1731"/>
      <c r="BD1731"/>
      <c r="BE1731"/>
      <c r="BF1731" s="2"/>
      <c r="BG1731" s="1"/>
      <c r="BH1731"/>
      <c r="BI1731"/>
      <c r="BJ1731"/>
      <c r="BK1731"/>
      <c r="BL1731"/>
      <c r="BM1731" s="143"/>
      <c r="BN1731" s="143"/>
      <c r="BO1731"/>
      <c r="BP1731" s="143"/>
      <c r="BQ1731" s="143"/>
      <c r="BR1731"/>
      <c r="BS1731"/>
      <c r="BT1731"/>
      <c r="BU1731" s="144"/>
      <c r="BV1731" s="144"/>
      <c r="BW1731" s="144"/>
      <c r="BX1731" s="144"/>
      <c r="BY1731"/>
      <c r="BZ1731"/>
      <c r="CA1731"/>
      <c r="CB1731"/>
      <c r="CC1731"/>
      <c r="CD1731"/>
      <c r="CE1731"/>
      <c r="CF1731"/>
      <c r="CG1731"/>
      <c r="CH1731"/>
      <c r="CI1731"/>
      <c r="CJ1731"/>
      <c r="CK1731"/>
      <c r="CL1731"/>
      <c r="CM1731"/>
      <c r="CN1731"/>
      <c r="CO1731"/>
      <c r="CP1731"/>
      <c r="CQ1731"/>
      <c r="CR1731"/>
      <c r="CS1731"/>
      <c r="CT1731"/>
      <c r="CU1731"/>
      <c r="CV1731" s="2"/>
      <c r="CW1731" s="1"/>
      <c r="CX1731"/>
      <c r="CY1731"/>
      <c r="CZ1731"/>
      <c r="DA1731"/>
      <c r="DB1731"/>
      <c r="DC1731"/>
      <c r="DD1731"/>
      <c r="DE1731"/>
      <c r="DF1731"/>
      <c r="DG1731"/>
      <c r="DH1731"/>
      <c r="DI1731"/>
      <c r="DJ1731"/>
      <c r="DK1731"/>
      <c r="DL1731"/>
      <c r="DM1731"/>
      <c r="DN1731"/>
      <c r="DO1731"/>
      <c r="DP1731"/>
      <c r="DQ1731"/>
      <c r="DR1731"/>
      <c r="DS1731"/>
      <c r="DT1731"/>
      <c r="DU1731" s="143"/>
      <c r="DV1731"/>
      <c r="DW1731"/>
      <c r="DX1731"/>
      <c r="DY1731"/>
      <c r="DZ1731"/>
      <c r="EA1731" s="143"/>
      <c r="EB1731"/>
      <c r="EC1731"/>
      <c r="ED1731"/>
      <c r="EE1731"/>
      <c r="EF1731"/>
      <c r="EG1731"/>
      <c r="EH1731"/>
      <c r="EI1731" s="2"/>
      <c r="EJ1731" s="1"/>
      <c r="EK1731"/>
      <c r="EL1731"/>
      <c r="EM1731" s="2"/>
      <c r="EN1731"/>
      <c r="EO1731"/>
      <c r="EP1731"/>
      <c r="EQ1731"/>
      <c r="ER1731"/>
      <c r="ES1731"/>
      <c r="ET1731"/>
    </row>
    <row r="1732" spans="1:150" hidden="1">
      <c r="O1732" s="145"/>
      <c r="AX1732" s="141"/>
      <c r="AY1732" s="141"/>
      <c r="BE1732"/>
      <c r="BF1732" s="2"/>
      <c r="BM1732" s="143"/>
      <c r="BN1732" s="143"/>
      <c r="BP1732" s="143"/>
      <c r="BQ1732" s="143"/>
      <c r="BU1732" s="144"/>
      <c r="BV1732" s="144"/>
      <c r="BW1732" s="144"/>
      <c r="BX1732" s="144"/>
      <c r="CN1732"/>
      <c r="CO1732"/>
      <c r="CP1732"/>
      <c r="CQ1732"/>
      <c r="CR1732"/>
      <c r="CS1732"/>
      <c r="CT1732"/>
      <c r="CU1732"/>
      <c r="CV1732" s="2"/>
      <c r="CX1732"/>
      <c r="DC1732"/>
      <c r="DI1732"/>
      <c r="DJ1732"/>
      <c r="DK1732"/>
      <c r="DL1732"/>
      <c r="DM1732"/>
      <c r="DN1732"/>
      <c r="DT1732"/>
      <c r="DU1732" s="143"/>
      <c r="EA1732" s="143"/>
    </row>
    <row r="1733" spans="1:150">
      <c r="BE1733"/>
      <c r="BF1733" s="2"/>
      <c r="CN1733"/>
      <c r="CO1733"/>
      <c r="CP1733"/>
      <c r="CQ1733"/>
      <c r="CR1733"/>
      <c r="CS1733"/>
      <c r="CT1733"/>
      <c r="CU1733"/>
      <c r="CV1733" s="2"/>
      <c r="CX1733"/>
      <c r="DC1733"/>
      <c r="DI1733"/>
      <c r="DJ1733"/>
      <c r="DK1733"/>
      <c r="DL1733"/>
      <c r="DM1733"/>
      <c r="DN1733"/>
      <c r="DT1733"/>
      <c r="DU1733"/>
    </row>
    <row r="1734" spans="1:150">
      <c r="BE1734"/>
      <c r="BF1734" s="2"/>
      <c r="CN1734"/>
      <c r="CO1734"/>
      <c r="CP1734"/>
      <c r="CQ1734"/>
      <c r="CR1734"/>
      <c r="CS1734"/>
      <c r="CT1734"/>
      <c r="CU1734"/>
      <c r="CV1734" s="2"/>
      <c r="CX1734"/>
      <c r="DC1734"/>
      <c r="DI1734"/>
      <c r="DJ1734"/>
      <c r="DK1734"/>
      <c r="DL1734"/>
      <c r="DM1734"/>
      <c r="DN1734"/>
      <c r="DT1734"/>
      <c r="DU1734"/>
    </row>
    <row r="1735" spans="1:150">
      <c r="BE1735"/>
      <c r="BF1735" s="2"/>
      <c r="BS1735" s="169"/>
      <c r="CN1735"/>
      <c r="CO1735"/>
      <c r="CP1735"/>
      <c r="CQ1735"/>
      <c r="CR1735"/>
      <c r="CS1735"/>
      <c r="CT1735"/>
      <c r="CU1735"/>
      <c r="CV1735" s="2"/>
      <c r="CX1735"/>
      <c r="DC1735"/>
      <c r="DI1735"/>
      <c r="DJ1735"/>
      <c r="DK1735"/>
      <c r="DL1735"/>
      <c r="DM1735"/>
      <c r="DN1735"/>
      <c r="DT1735"/>
      <c r="DU1735"/>
    </row>
    <row r="1736" spans="1:150">
      <c r="BE1736"/>
      <c r="BF1736" s="2"/>
      <c r="CN1736"/>
      <c r="CO1736"/>
      <c r="CP1736"/>
      <c r="CQ1736"/>
      <c r="CR1736"/>
      <c r="CS1736"/>
      <c r="CT1736"/>
      <c r="CU1736"/>
      <c r="CV1736" s="2"/>
      <c r="CX1736"/>
      <c r="DC1736"/>
      <c r="DI1736"/>
      <c r="DJ1736"/>
      <c r="DK1736"/>
      <c r="DL1736"/>
      <c r="DM1736"/>
      <c r="DN1736"/>
      <c r="DT1736"/>
      <c r="DU1736"/>
    </row>
    <row r="1737" spans="1:150">
      <c r="BE1737"/>
      <c r="BF1737" s="2"/>
      <c r="CN1737"/>
      <c r="CO1737"/>
      <c r="CP1737"/>
      <c r="CQ1737"/>
      <c r="CR1737"/>
      <c r="CS1737"/>
      <c r="CT1737"/>
      <c r="CU1737"/>
      <c r="CV1737" s="2"/>
      <c r="CX1737"/>
      <c r="DC1737"/>
      <c r="DI1737"/>
      <c r="DJ1737"/>
      <c r="DK1737"/>
      <c r="DL1737"/>
      <c r="DM1737"/>
      <c r="DN1737"/>
      <c r="DT1737"/>
      <c r="DU1737"/>
    </row>
    <row r="1738" spans="1:150">
      <c r="BE1738"/>
      <c r="BF1738" s="2"/>
      <c r="CN1738"/>
      <c r="CO1738"/>
      <c r="CP1738"/>
      <c r="CQ1738"/>
      <c r="CR1738"/>
      <c r="CS1738"/>
      <c r="CT1738"/>
      <c r="CU1738"/>
      <c r="CV1738" s="2"/>
      <c r="CX1738"/>
      <c r="DC1738"/>
      <c r="DI1738"/>
      <c r="DJ1738"/>
      <c r="DK1738"/>
      <c r="DL1738"/>
      <c r="DM1738"/>
      <c r="DN1738"/>
      <c r="DT1738"/>
      <c r="DU1738"/>
    </row>
    <row r="1739" spans="1:150">
      <c r="BE1739"/>
      <c r="BF1739" s="2"/>
      <c r="CN1739"/>
      <c r="CO1739"/>
      <c r="CP1739"/>
      <c r="CQ1739"/>
      <c r="CR1739"/>
      <c r="CS1739"/>
      <c r="CT1739"/>
      <c r="CU1739"/>
      <c r="CV1739" s="2"/>
      <c r="CX1739"/>
      <c r="DC1739"/>
      <c r="DI1739"/>
      <c r="DJ1739"/>
      <c r="DK1739"/>
      <c r="DL1739"/>
      <c r="DM1739"/>
      <c r="DN1739"/>
      <c r="DT1739"/>
      <c r="DU1739"/>
    </row>
    <row r="1740" spans="1:150">
      <c r="BE1740"/>
      <c r="BF1740" s="2"/>
      <c r="CN1740"/>
      <c r="CO1740"/>
      <c r="CP1740"/>
      <c r="CQ1740"/>
      <c r="CR1740"/>
      <c r="CS1740"/>
      <c r="CT1740"/>
      <c r="CU1740"/>
      <c r="CV1740" s="2"/>
      <c r="CX1740"/>
      <c r="DC1740"/>
      <c r="DI1740"/>
      <c r="DJ1740"/>
      <c r="DK1740"/>
      <c r="DL1740"/>
      <c r="DM1740"/>
      <c r="DN1740"/>
      <c r="DT1740"/>
      <c r="DU1740"/>
    </row>
    <row r="1741" spans="1:150">
      <c r="BE1741"/>
      <c r="BF1741" s="2"/>
      <c r="CN1741"/>
      <c r="CO1741"/>
      <c r="CP1741"/>
      <c r="CQ1741"/>
      <c r="CR1741"/>
      <c r="CS1741"/>
      <c r="CT1741"/>
      <c r="CU1741"/>
      <c r="CV1741" s="2"/>
      <c r="CX1741"/>
      <c r="DC1741"/>
      <c r="DI1741"/>
      <c r="DJ1741"/>
      <c r="DK1741"/>
      <c r="DL1741"/>
      <c r="DM1741"/>
      <c r="DN1741"/>
      <c r="DT1741"/>
      <c r="DU1741"/>
    </row>
    <row r="1742" spans="1:150">
      <c r="BE1742"/>
      <c r="BF1742" s="2"/>
      <c r="CN1742"/>
      <c r="CO1742"/>
      <c r="CP1742"/>
      <c r="CQ1742"/>
      <c r="CR1742"/>
      <c r="CS1742"/>
      <c r="CT1742"/>
      <c r="CU1742"/>
      <c r="CV1742" s="2"/>
      <c r="CX1742"/>
      <c r="DC1742"/>
      <c r="DI1742"/>
      <c r="DJ1742"/>
      <c r="DK1742"/>
      <c r="DL1742"/>
      <c r="DM1742"/>
      <c r="DN1742"/>
      <c r="DT1742"/>
      <c r="DU1742"/>
    </row>
    <row r="1743" spans="1:150">
      <c r="BE1743"/>
      <c r="BF1743" s="2"/>
      <c r="CN1743"/>
      <c r="CO1743"/>
      <c r="CP1743"/>
      <c r="CQ1743"/>
      <c r="CR1743"/>
      <c r="CS1743"/>
      <c r="CT1743"/>
      <c r="CU1743"/>
      <c r="CV1743" s="2"/>
      <c r="CX1743"/>
      <c r="DC1743"/>
      <c r="DI1743"/>
      <c r="DJ1743"/>
      <c r="DK1743"/>
      <c r="DL1743"/>
      <c r="DM1743"/>
      <c r="DN1743"/>
      <c r="DT1743"/>
      <c r="DU1743"/>
    </row>
    <row r="1744" spans="1:150">
      <c r="BE1744"/>
      <c r="BF1744" s="2"/>
      <c r="CN1744"/>
      <c r="CO1744"/>
      <c r="CP1744"/>
      <c r="CQ1744"/>
      <c r="CR1744"/>
      <c r="CS1744"/>
      <c r="CT1744"/>
      <c r="CU1744"/>
      <c r="CV1744" s="2"/>
      <c r="CX1744"/>
      <c r="DC1744"/>
      <c r="DI1744"/>
      <c r="DJ1744"/>
      <c r="DK1744"/>
      <c r="DL1744"/>
      <c r="DM1744"/>
      <c r="DN1744"/>
      <c r="DT1744"/>
      <c r="DU1744"/>
    </row>
    <row r="1745" spans="57:125">
      <c r="BE1745"/>
      <c r="BF1745" s="2"/>
      <c r="CN1745"/>
      <c r="CO1745"/>
      <c r="CP1745"/>
      <c r="CQ1745"/>
      <c r="CR1745"/>
      <c r="CS1745"/>
      <c r="CT1745"/>
      <c r="CU1745"/>
      <c r="CV1745" s="2"/>
      <c r="CX1745"/>
      <c r="DC1745"/>
      <c r="DI1745"/>
      <c r="DJ1745"/>
      <c r="DK1745"/>
      <c r="DL1745"/>
      <c r="DM1745"/>
      <c r="DN1745"/>
      <c r="DT1745"/>
      <c r="DU1745"/>
    </row>
    <row r="1746" spans="57:125">
      <c r="BE1746"/>
      <c r="BF1746" s="2"/>
      <c r="CN1746"/>
      <c r="CO1746"/>
      <c r="CP1746"/>
      <c r="CQ1746"/>
      <c r="CR1746"/>
      <c r="CS1746"/>
      <c r="CT1746"/>
      <c r="CU1746"/>
      <c r="CV1746" s="2"/>
      <c r="CX1746"/>
      <c r="DC1746"/>
      <c r="DI1746"/>
      <c r="DJ1746"/>
      <c r="DK1746"/>
      <c r="DL1746"/>
      <c r="DM1746"/>
      <c r="DN1746"/>
      <c r="DT1746"/>
      <c r="DU1746"/>
    </row>
    <row r="1747" spans="57:125">
      <c r="BE1747"/>
      <c r="BF1747" s="2"/>
      <c r="CN1747"/>
      <c r="CO1747"/>
      <c r="CP1747"/>
      <c r="CQ1747"/>
      <c r="CR1747"/>
      <c r="CS1747"/>
      <c r="CT1747"/>
      <c r="CU1747"/>
      <c r="CV1747" s="2"/>
      <c r="CX1747"/>
      <c r="DC1747"/>
      <c r="DI1747"/>
      <c r="DJ1747"/>
      <c r="DK1747"/>
      <c r="DL1747"/>
      <c r="DM1747"/>
      <c r="DN1747"/>
      <c r="DT1747"/>
      <c r="DU1747"/>
    </row>
    <row r="1748" spans="57:125">
      <c r="BE1748"/>
      <c r="BF1748" s="2"/>
      <c r="CN1748"/>
      <c r="CO1748"/>
      <c r="CP1748"/>
      <c r="CQ1748"/>
      <c r="CR1748"/>
      <c r="CS1748"/>
      <c r="CT1748"/>
      <c r="CU1748"/>
      <c r="CV1748" s="2"/>
      <c r="CX1748"/>
      <c r="DC1748"/>
      <c r="DI1748"/>
      <c r="DJ1748"/>
      <c r="DK1748"/>
      <c r="DL1748"/>
      <c r="DM1748"/>
      <c r="DN1748"/>
      <c r="DT1748"/>
      <c r="DU1748"/>
    </row>
    <row r="1749" spans="57:125">
      <c r="BE1749"/>
      <c r="BF1749" s="2"/>
      <c r="CN1749"/>
      <c r="CO1749"/>
      <c r="CP1749"/>
      <c r="CQ1749"/>
      <c r="CR1749"/>
      <c r="CS1749"/>
      <c r="CT1749"/>
      <c r="CU1749"/>
      <c r="CV1749" s="2"/>
      <c r="CX1749"/>
      <c r="DC1749"/>
      <c r="DI1749"/>
      <c r="DJ1749"/>
      <c r="DK1749"/>
      <c r="DL1749"/>
      <c r="DM1749"/>
      <c r="DN1749"/>
      <c r="DT1749"/>
      <c r="DU1749"/>
    </row>
    <row r="1750" spans="57:125">
      <c r="BE1750"/>
      <c r="BF1750" s="2"/>
      <c r="CN1750"/>
      <c r="CO1750"/>
      <c r="CP1750"/>
      <c r="CQ1750"/>
      <c r="CR1750"/>
      <c r="CS1750"/>
      <c r="CT1750"/>
      <c r="CU1750"/>
      <c r="CV1750" s="2"/>
      <c r="CX1750"/>
      <c r="DC1750"/>
      <c r="DI1750"/>
      <c r="DJ1750"/>
      <c r="DK1750"/>
      <c r="DL1750"/>
      <c r="DM1750"/>
      <c r="DN1750"/>
      <c r="DT1750"/>
      <c r="DU1750"/>
    </row>
    <row r="1751" spans="57:125">
      <c r="BE1751"/>
      <c r="BF1751" s="2"/>
      <c r="CN1751"/>
      <c r="CO1751"/>
      <c r="CP1751"/>
      <c r="CQ1751"/>
      <c r="CR1751"/>
      <c r="CS1751"/>
      <c r="CT1751"/>
      <c r="CU1751"/>
      <c r="CV1751" s="2"/>
      <c r="CX1751"/>
      <c r="DC1751"/>
      <c r="DI1751"/>
      <c r="DJ1751"/>
      <c r="DK1751"/>
      <c r="DL1751"/>
      <c r="DM1751"/>
      <c r="DN1751"/>
      <c r="DT1751"/>
      <c r="DU1751"/>
    </row>
    <row r="1752" spans="57:125">
      <c r="BE1752"/>
      <c r="BF1752" s="2"/>
      <c r="CN1752"/>
      <c r="CO1752"/>
      <c r="CP1752"/>
      <c r="CQ1752"/>
      <c r="CR1752"/>
      <c r="CS1752"/>
      <c r="CT1752"/>
      <c r="CU1752"/>
      <c r="CV1752" s="2"/>
      <c r="CX1752"/>
      <c r="DC1752"/>
      <c r="DI1752"/>
      <c r="DJ1752"/>
      <c r="DK1752"/>
      <c r="DL1752"/>
      <c r="DM1752"/>
      <c r="DN1752"/>
      <c r="DT1752"/>
      <c r="DU1752"/>
    </row>
    <row r="1753" spans="57:125">
      <c r="BE1753"/>
      <c r="BF1753" s="2"/>
      <c r="CN1753"/>
      <c r="CO1753"/>
      <c r="CP1753"/>
      <c r="CQ1753"/>
      <c r="CR1753"/>
      <c r="CS1753"/>
      <c r="CT1753"/>
      <c r="CU1753"/>
      <c r="CV1753" s="2"/>
      <c r="CX1753"/>
      <c r="DC1753"/>
      <c r="DI1753"/>
      <c r="DJ1753"/>
      <c r="DK1753"/>
      <c r="DL1753"/>
      <c r="DM1753"/>
      <c r="DN1753"/>
      <c r="DT1753"/>
      <c r="DU1753"/>
    </row>
    <row r="1754" spans="57:125">
      <c r="BE1754"/>
      <c r="BF1754" s="2"/>
      <c r="CN1754"/>
      <c r="CO1754"/>
      <c r="CP1754"/>
      <c r="CQ1754"/>
      <c r="CR1754"/>
      <c r="CS1754"/>
      <c r="CT1754"/>
      <c r="CU1754"/>
      <c r="CV1754" s="2"/>
      <c r="CX1754"/>
      <c r="DC1754"/>
      <c r="DI1754"/>
      <c r="DJ1754"/>
      <c r="DK1754"/>
      <c r="DL1754"/>
      <c r="DM1754"/>
      <c r="DN1754"/>
      <c r="DT1754"/>
      <c r="DU1754"/>
    </row>
    <row r="1755" spans="57:125">
      <c r="BE1755"/>
      <c r="BF1755" s="2"/>
      <c r="CN1755"/>
      <c r="CO1755"/>
      <c r="CP1755"/>
      <c r="CQ1755"/>
      <c r="CR1755"/>
      <c r="CS1755"/>
      <c r="CT1755"/>
      <c r="CU1755"/>
      <c r="CV1755" s="2"/>
      <c r="CX1755"/>
      <c r="DC1755"/>
      <c r="DI1755"/>
      <c r="DJ1755"/>
      <c r="DK1755"/>
      <c r="DL1755"/>
      <c r="DM1755"/>
      <c r="DN1755"/>
      <c r="DT1755"/>
      <c r="DU1755"/>
    </row>
    <row r="1756" spans="57:125">
      <c r="BE1756"/>
      <c r="BF1756" s="2"/>
      <c r="CN1756"/>
      <c r="CO1756"/>
      <c r="CP1756"/>
      <c r="CQ1756"/>
      <c r="CR1756"/>
      <c r="CS1756"/>
      <c r="CT1756"/>
      <c r="CU1756"/>
      <c r="CV1756" s="2"/>
      <c r="CX1756"/>
      <c r="DC1756"/>
      <c r="DI1756"/>
      <c r="DJ1756"/>
      <c r="DK1756"/>
      <c r="DL1756"/>
      <c r="DM1756"/>
      <c r="DN1756"/>
      <c r="DT1756"/>
      <c r="DU1756"/>
    </row>
    <row r="1757" spans="57:125">
      <c r="BE1757"/>
      <c r="BF1757" s="2"/>
      <c r="CN1757"/>
      <c r="CO1757"/>
      <c r="CP1757"/>
      <c r="CQ1757"/>
      <c r="CR1757"/>
      <c r="CS1757"/>
      <c r="CT1757"/>
      <c r="CU1757"/>
      <c r="CV1757" s="2"/>
      <c r="CX1757"/>
      <c r="DC1757"/>
      <c r="DI1757"/>
      <c r="DJ1757"/>
      <c r="DK1757"/>
      <c r="DL1757"/>
      <c r="DM1757"/>
      <c r="DN1757"/>
      <c r="DT1757"/>
      <c r="DU1757"/>
    </row>
    <row r="1758" spans="57:125">
      <c r="BE1758"/>
      <c r="BF1758" s="2"/>
      <c r="CN1758"/>
      <c r="CO1758"/>
      <c r="CP1758"/>
      <c r="CQ1758"/>
      <c r="CR1758"/>
      <c r="CS1758"/>
      <c r="CT1758"/>
      <c r="CU1758"/>
      <c r="CV1758" s="2"/>
      <c r="CX1758"/>
      <c r="DC1758"/>
      <c r="DI1758"/>
      <c r="DJ1758"/>
      <c r="DK1758"/>
      <c r="DL1758"/>
      <c r="DM1758"/>
      <c r="DN1758"/>
      <c r="DT1758"/>
      <c r="DU1758"/>
    </row>
    <row r="1759" spans="57:125">
      <c r="BE1759"/>
      <c r="BF1759" s="2"/>
      <c r="CN1759"/>
      <c r="CO1759"/>
      <c r="CP1759"/>
      <c r="CQ1759"/>
      <c r="CR1759"/>
      <c r="CS1759"/>
      <c r="CT1759"/>
      <c r="CU1759"/>
      <c r="CV1759" s="2"/>
      <c r="CX1759"/>
      <c r="DC1759"/>
      <c r="DI1759"/>
      <c r="DJ1759"/>
      <c r="DK1759"/>
      <c r="DL1759"/>
      <c r="DM1759"/>
      <c r="DN1759"/>
      <c r="DT1759"/>
      <c r="DU1759"/>
    </row>
    <row r="1760" spans="57:125">
      <c r="BE1760"/>
      <c r="BF1760" s="2"/>
      <c r="CN1760"/>
      <c r="CO1760"/>
      <c r="CP1760"/>
      <c r="CQ1760"/>
      <c r="CR1760"/>
      <c r="CS1760"/>
      <c r="CT1760"/>
      <c r="CU1760"/>
      <c r="CV1760" s="2"/>
      <c r="CX1760"/>
      <c r="DC1760"/>
      <c r="DI1760"/>
      <c r="DJ1760"/>
      <c r="DK1760"/>
      <c r="DL1760"/>
      <c r="DM1760"/>
      <c r="DN1760"/>
      <c r="DT1760"/>
      <c r="DU1760"/>
    </row>
    <row r="1761" spans="57:125">
      <c r="BE1761"/>
      <c r="BF1761" s="2"/>
      <c r="CN1761"/>
      <c r="CO1761"/>
      <c r="CP1761"/>
      <c r="CQ1761"/>
      <c r="CR1761"/>
      <c r="CS1761"/>
      <c r="CT1761"/>
      <c r="CU1761"/>
      <c r="CV1761" s="2"/>
      <c r="CX1761"/>
      <c r="DC1761"/>
      <c r="DI1761"/>
      <c r="DJ1761"/>
      <c r="DK1761"/>
      <c r="DL1761"/>
      <c r="DM1761"/>
      <c r="DN1761"/>
      <c r="DT1761"/>
      <c r="DU1761"/>
    </row>
    <row r="1762" spans="57:125">
      <c r="BE1762"/>
      <c r="BF1762" s="2"/>
      <c r="CN1762"/>
      <c r="CO1762"/>
      <c r="CP1762"/>
      <c r="CQ1762"/>
      <c r="CR1762"/>
      <c r="CS1762"/>
      <c r="CT1762"/>
      <c r="CU1762"/>
      <c r="CV1762" s="2"/>
      <c r="CX1762"/>
      <c r="DC1762"/>
      <c r="DI1762"/>
      <c r="DJ1762"/>
      <c r="DK1762"/>
      <c r="DL1762"/>
      <c r="DM1762"/>
      <c r="DN1762"/>
      <c r="DT1762"/>
      <c r="DU1762"/>
    </row>
    <row r="1763" spans="57:125">
      <c r="BE1763"/>
      <c r="BF1763" s="2"/>
      <c r="CN1763"/>
      <c r="CO1763"/>
      <c r="CP1763"/>
      <c r="CQ1763"/>
      <c r="CR1763"/>
      <c r="CS1763"/>
      <c r="CT1763"/>
      <c r="CU1763"/>
      <c r="CV1763" s="2"/>
      <c r="CX1763"/>
      <c r="DC1763"/>
      <c r="DI1763"/>
      <c r="DJ1763"/>
      <c r="DK1763"/>
      <c r="DL1763"/>
      <c r="DM1763"/>
      <c r="DN1763"/>
      <c r="DT1763"/>
      <c r="DU1763"/>
    </row>
    <row r="1764" spans="57:125">
      <c r="BE1764"/>
      <c r="BF1764" s="2"/>
      <c r="CN1764"/>
      <c r="CO1764"/>
      <c r="CP1764"/>
      <c r="CQ1764"/>
      <c r="CR1764"/>
      <c r="CS1764"/>
      <c r="CT1764"/>
      <c r="CU1764"/>
      <c r="CV1764" s="2"/>
      <c r="CX1764"/>
      <c r="DC1764"/>
      <c r="DI1764"/>
      <c r="DJ1764"/>
      <c r="DK1764"/>
      <c r="DL1764"/>
      <c r="DM1764"/>
      <c r="DN1764"/>
      <c r="DT1764"/>
      <c r="DU1764"/>
    </row>
    <row r="1765" spans="57:125">
      <c r="BE1765"/>
      <c r="BF1765" s="2"/>
      <c r="CN1765"/>
      <c r="CO1765"/>
      <c r="CP1765"/>
      <c r="CQ1765"/>
      <c r="CR1765"/>
      <c r="CS1765"/>
      <c r="CT1765"/>
      <c r="CU1765"/>
      <c r="CV1765" s="2"/>
      <c r="CX1765"/>
      <c r="DC1765"/>
      <c r="DI1765"/>
      <c r="DJ1765"/>
      <c r="DK1765"/>
      <c r="DL1765"/>
      <c r="DM1765"/>
      <c r="DN1765"/>
      <c r="DT1765"/>
      <c r="DU1765"/>
    </row>
    <row r="1766" spans="57:125">
      <c r="BE1766"/>
      <c r="BF1766" s="2"/>
      <c r="CN1766"/>
      <c r="CO1766"/>
      <c r="CP1766"/>
      <c r="CQ1766"/>
      <c r="CR1766"/>
      <c r="CS1766"/>
      <c r="CT1766"/>
      <c r="CU1766"/>
      <c r="CV1766" s="2"/>
      <c r="CX1766"/>
      <c r="DC1766"/>
      <c r="DI1766"/>
      <c r="DJ1766"/>
      <c r="DK1766"/>
      <c r="DL1766"/>
      <c r="DM1766"/>
      <c r="DN1766"/>
      <c r="DT1766"/>
      <c r="DU1766"/>
    </row>
    <row r="1767" spans="57:125">
      <c r="BE1767"/>
      <c r="BF1767" s="2"/>
      <c r="CN1767"/>
      <c r="CO1767"/>
      <c r="CP1767"/>
      <c r="CQ1767"/>
      <c r="CR1767"/>
      <c r="CS1767"/>
      <c r="CT1767"/>
      <c r="CU1767"/>
      <c r="CV1767" s="2"/>
      <c r="CX1767"/>
      <c r="DC1767"/>
      <c r="DI1767"/>
      <c r="DJ1767"/>
      <c r="DK1767"/>
      <c r="DL1767"/>
      <c r="DM1767"/>
      <c r="DN1767"/>
      <c r="DT1767"/>
      <c r="DU1767"/>
    </row>
    <row r="1768" spans="57:125">
      <c r="BE1768"/>
      <c r="BF1768" s="2"/>
      <c r="CN1768"/>
      <c r="CO1768"/>
      <c r="CP1768"/>
      <c r="CQ1768"/>
      <c r="CR1768"/>
      <c r="CS1768"/>
      <c r="CT1768"/>
      <c r="CU1768"/>
      <c r="CV1768" s="2"/>
      <c r="CX1768"/>
      <c r="DC1768"/>
      <c r="DI1768"/>
      <c r="DJ1768"/>
      <c r="DK1768"/>
      <c r="DL1768"/>
      <c r="DM1768"/>
      <c r="DN1768"/>
      <c r="DT1768"/>
      <c r="DU1768"/>
    </row>
    <row r="1769" spans="57:125">
      <c r="BE1769"/>
      <c r="BF1769" s="2"/>
      <c r="CN1769"/>
      <c r="CO1769"/>
      <c r="CP1769"/>
      <c r="CQ1769"/>
      <c r="CR1769"/>
      <c r="CS1769"/>
      <c r="CT1769"/>
      <c r="CU1769"/>
      <c r="CV1769" s="2"/>
      <c r="CX1769"/>
      <c r="DC1769"/>
      <c r="DI1769"/>
      <c r="DJ1769"/>
      <c r="DK1769"/>
      <c r="DL1769"/>
      <c r="DM1769"/>
      <c r="DN1769"/>
      <c r="DT1769"/>
      <c r="DU1769"/>
    </row>
    <row r="1770" spans="57:125">
      <c r="BE1770"/>
      <c r="BF1770" s="2"/>
      <c r="CN1770"/>
      <c r="CO1770"/>
      <c r="CP1770"/>
      <c r="CQ1770"/>
      <c r="CR1770"/>
      <c r="CS1770"/>
      <c r="CT1770"/>
      <c r="CU1770"/>
      <c r="CV1770" s="2"/>
      <c r="CX1770"/>
      <c r="DC1770"/>
      <c r="DI1770"/>
      <c r="DJ1770"/>
      <c r="DK1770"/>
      <c r="DL1770"/>
      <c r="DM1770"/>
      <c r="DN1770"/>
      <c r="DT1770"/>
      <c r="DU1770"/>
    </row>
    <row r="1771" spans="57:125">
      <c r="BE1771"/>
      <c r="BF1771" s="2"/>
      <c r="CN1771"/>
      <c r="CO1771"/>
      <c r="CP1771"/>
      <c r="CQ1771"/>
      <c r="CR1771"/>
      <c r="CS1771"/>
      <c r="CT1771"/>
      <c r="CU1771"/>
      <c r="CV1771" s="2"/>
      <c r="CX1771"/>
      <c r="DC1771"/>
      <c r="DI1771"/>
      <c r="DJ1771"/>
      <c r="DK1771"/>
      <c r="DL1771"/>
      <c r="DM1771"/>
      <c r="DN1771"/>
      <c r="DT1771"/>
      <c r="DU1771"/>
    </row>
    <row r="1772" spans="57:125">
      <c r="BE1772"/>
      <c r="BF1772" s="2"/>
      <c r="CN1772"/>
      <c r="CO1772"/>
      <c r="CP1772"/>
      <c r="CQ1772"/>
      <c r="CR1772"/>
      <c r="CS1772"/>
      <c r="CT1772"/>
      <c r="CU1772"/>
      <c r="CV1772" s="2"/>
      <c r="CX1772"/>
      <c r="DC1772"/>
      <c r="DI1772"/>
      <c r="DJ1772"/>
      <c r="DK1772"/>
      <c r="DL1772"/>
      <c r="DM1772"/>
      <c r="DN1772"/>
      <c r="DT1772"/>
      <c r="DU1772"/>
    </row>
    <row r="1773" spans="57:125">
      <c r="BE1773"/>
      <c r="BF1773" s="2"/>
      <c r="CN1773"/>
      <c r="CO1773"/>
      <c r="CP1773"/>
      <c r="CQ1773"/>
      <c r="CR1773"/>
      <c r="CS1773"/>
      <c r="CT1773"/>
      <c r="CU1773"/>
      <c r="CV1773" s="2"/>
      <c r="CX1773"/>
      <c r="DC1773"/>
      <c r="DI1773"/>
      <c r="DJ1773"/>
      <c r="DK1773"/>
      <c r="DL1773"/>
      <c r="DM1773"/>
      <c r="DN1773"/>
      <c r="DT1773"/>
      <c r="DU1773"/>
    </row>
    <row r="1774" spans="57:125">
      <c r="BE1774"/>
      <c r="BF1774" s="2"/>
      <c r="CN1774"/>
      <c r="CO1774"/>
      <c r="CP1774"/>
      <c r="CQ1774"/>
      <c r="CR1774"/>
      <c r="CS1774"/>
      <c r="CT1774"/>
      <c r="CU1774"/>
      <c r="CV1774" s="2"/>
      <c r="CX1774"/>
      <c r="DC1774"/>
      <c r="DI1774"/>
      <c r="DJ1774"/>
      <c r="DK1774"/>
      <c r="DL1774"/>
      <c r="DM1774"/>
      <c r="DN1774"/>
      <c r="DT1774"/>
      <c r="DU1774"/>
    </row>
    <row r="1775" spans="57:125">
      <c r="BE1775"/>
      <c r="BF1775" s="2"/>
      <c r="CN1775"/>
      <c r="CO1775"/>
      <c r="CP1775"/>
      <c r="CQ1775"/>
      <c r="CR1775"/>
      <c r="CS1775"/>
      <c r="CT1775"/>
      <c r="CU1775"/>
      <c r="CV1775" s="2"/>
      <c r="CX1775"/>
      <c r="DC1775"/>
      <c r="DI1775"/>
      <c r="DJ1775"/>
      <c r="DK1775"/>
      <c r="DL1775"/>
      <c r="DM1775"/>
      <c r="DN1775"/>
      <c r="DT1775"/>
      <c r="DU1775"/>
    </row>
    <row r="1776" spans="57:125">
      <c r="BE1776"/>
      <c r="BF1776" s="2"/>
      <c r="CN1776"/>
      <c r="CO1776"/>
      <c r="CP1776"/>
      <c r="CQ1776"/>
      <c r="CR1776"/>
      <c r="CS1776"/>
      <c r="CT1776"/>
      <c r="CU1776"/>
      <c r="CV1776" s="2"/>
      <c r="CX1776"/>
      <c r="DC1776"/>
      <c r="DI1776"/>
      <c r="DJ1776"/>
      <c r="DK1776"/>
      <c r="DL1776"/>
      <c r="DM1776"/>
      <c r="DN1776"/>
      <c r="DT1776"/>
      <c r="DU1776"/>
    </row>
    <row r="1777" spans="57:125">
      <c r="BE1777"/>
      <c r="BF1777" s="2"/>
      <c r="CN1777"/>
      <c r="CO1777"/>
      <c r="CP1777"/>
      <c r="CQ1777"/>
      <c r="CR1777"/>
      <c r="CS1777"/>
      <c r="CT1777"/>
      <c r="CU1777"/>
      <c r="CV1777" s="2"/>
      <c r="CX1777"/>
      <c r="DC1777"/>
      <c r="DI1777"/>
      <c r="DJ1777"/>
      <c r="DK1777"/>
      <c r="DL1777"/>
      <c r="DM1777"/>
      <c r="DN1777"/>
      <c r="DT1777"/>
      <c r="DU1777"/>
    </row>
    <row r="1778" spans="57:125">
      <c r="BE1778"/>
      <c r="BF1778" s="2"/>
      <c r="CN1778"/>
      <c r="CO1778"/>
      <c r="CP1778"/>
      <c r="CQ1778"/>
      <c r="CR1778"/>
      <c r="CS1778"/>
      <c r="CT1778"/>
      <c r="CU1778"/>
      <c r="CV1778" s="2"/>
      <c r="CX1778"/>
      <c r="DC1778"/>
      <c r="DI1778"/>
      <c r="DJ1778"/>
      <c r="DK1778"/>
      <c r="DL1778"/>
      <c r="DM1778"/>
      <c r="DN1778"/>
      <c r="DT1778"/>
      <c r="DU1778"/>
    </row>
    <row r="1779" spans="57:125">
      <c r="BE1779"/>
      <c r="BF1779" s="2"/>
      <c r="CN1779"/>
      <c r="CO1779"/>
      <c r="CP1779"/>
      <c r="CQ1779"/>
      <c r="CR1779"/>
      <c r="CS1779"/>
      <c r="CT1779"/>
      <c r="CU1779"/>
      <c r="CV1779" s="2"/>
      <c r="CX1779"/>
      <c r="DC1779"/>
      <c r="DI1779"/>
      <c r="DJ1779"/>
      <c r="DK1779"/>
      <c r="DL1779"/>
      <c r="DM1779"/>
      <c r="DN1779"/>
      <c r="DT1779"/>
      <c r="DU1779"/>
    </row>
    <row r="1780" spans="57:125">
      <c r="BE1780"/>
      <c r="BF1780" s="2"/>
      <c r="CN1780"/>
      <c r="CO1780"/>
      <c r="CP1780"/>
      <c r="CQ1780"/>
      <c r="CR1780"/>
      <c r="CS1780"/>
      <c r="CT1780"/>
      <c r="CU1780"/>
      <c r="CV1780" s="2"/>
      <c r="CX1780"/>
      <c r="DC1780"/>
      <c r="DI1780"/>
      <c r="DJ1780"/>
      <c r="DK1780"/>
      <c r="DL1780"/>
      <c r="DM1780"/>
      <c r="DN1780"/>
      <c r="DT1780"/>
      <c r="DU1780"/>
    </row>
    <row r="1781" spans="57:125">
      <c r="BE1781"/>
      <c r="BF1781" s="2"/>
      <c r="CN1781"/>
      <c r="CO1781"/>
      <c r="CP1781"/>
      <c r="CQ1781"/>
      <c r="CR1781"/>
      <c r="CS1781"/>
      <c r="CT1781"/>
      <c r="CU1781"/>
      <c r="CV1781" s="2"/>
      <c r="CX1781"/>
      <c r="DC1781"/>
      <c r="DI1781"/>
      <c r="DJ1781"/>
      <c r="DK1781"/>
      <c r="DL1781"/>
      <c r="DM1781"/>
      <c r="DN1781"/>
      <c r="DT1781"/>
      <c r="DU1781"/>
    </row>
    <row r="1782" spans="57:125">
      <c r="BE1782"/>
      <c r="BF1782" s="2"/>
      <c r="CN1782"/>
      <c r="CO1782"/>
      <c r="CP1782"/>
      <c r="CQ1782"/>
      <c r="CR1782"/>
      <c r="CS1782"/>
      <c r="CT1782"/>
      <c r="CU1782"/>
      <c r="CV1782" s="2"/>
      <c r="CX1782"/>
      <c r="DC1782"/>
      <c r="DI1782"/>
      <c r="DJ1782"/>
      <c r="DK1782"/>
      <c r="DL1782"/>
      <c r="DM1782"/>
      <c r="DN1782"/>
      <c r="DT1782"/>
      <c r="DU1782"/>
    </row>
    <row r="1783" spans="57:125">
      <c r="BE1783"/>
      <c r="BF1783" s="2"/>
      <c r="CN1783"/>
      <c r="CO1783"/>
      <c r="CP1783"/>
      <c r="CQ1783"/>
      <c r="CR1783"/>
      <c r="CS1783"/>
      <c r="CT1783"/>
      <c r="CU1783"/>
      <c r="CV1783" s="2"/>
      <c r="CX1783"/>
      <c r="DC1783"/>
      <c r="DI1783"/>
      <c r="DJ1783"/>
      <c r="DK1783"/>
      <c r="DL1783"/>
      <c r="DM1783"/>
      <c r="DN1783"/>
      <c r="DT1783"/>
      <c r="DU1783"/>
    </row>
    <row r="1784" spans="57:125">
      <c r="BE1784"/>
      <c r="BF1784" s="2"/>
      <c r="CN1784"/>
      <c r="CO1784"/>
      <c r="CP1784"/>
      <c r="CQ1784"/>
      <c r="CR1784"/>
      <c r="CS1784"/>
      <c r="CT1784"/>
      <c r="CU1784"/>
      <c r="CV1784" s="2"/>
      <c r="CX1784"/>
      <c r="DC1784"/>
      <c r="DI1784"/>
      <c r="DJ1784"/>
      <c r="DK1784"/>
      <c r="DL1784"/>
      <c r="DM1784"/>
      <c r="DN1784"/>
      <c r="DT1784"/>
      <c r="DU1784"/>
    </row>
    <row r="1785" spans="57:125">
      <c r="BE1785"/>
      <c r="BF1785" s="2"/>
      <c r="CN1785"/>
      <c r="CO1785"/>
      <c r="CP1785"/>
      <c r="CQ1785"/>
      <c r="CR1785"/>
      <c r="CS1785"/>
      <c r="CT1785"/>
      <c r="CU1785"/>
      <c r="CV1785" s="2"/>
      <c r="CX1785"/>
      <c r="DC1785"/>
      <c r="DI1785"/>
      <c r="DJ1785"/>
      <c r="DK1785"/>
      <c r="DL1785"/>
      <c r="DM1785"/>
      <c r="DN1785"/>
      <c r="DT1785"/>
      <c r="DU1785"/>
    </row>
    <row r="1786" spans="57:125">
      <c r="BE1786"/>
      <c r="BF1786" s="2"/>
      <c r="CN1786"/>
      <c r="CO1786"/>
      <c r="CP1786"/>
      <c r="CQ1786"/>
      <c r="CR1786"/>
      <c r="CS1786"/>
      <c r="CT1786"/>
      <c r="CU1786"/>
      <c r="CV1786" s="2"/>
      <c r="CX1786"/>
      <c r="DC1786"/>
      <c r="DI1786"/>
      <c r="DJ1786"/>
      <c r="DK1786"/>
      <c r="DL1786"/>
      <c r="DM1786"/>
      <c r="DN1786"/>
      <c r="DT1786"/>
      <c r="DU1786"/>
    </row>
    <row r="1787" spans="57:125">
      <c r="BE1787"/>
      <c r="BF1787" s="2"/>
      <c r="CN1787"/>
      <c r="CO1787"/>
      <c r="CP1787"/>
      <c r="CQ1787"/>
      <c r="CR1787"/>
      <c r="CS1787"/>
      <c r="CT1787"/>
      <c r="CU1787"/>
      <c r="CV1787" s="2"/>
      <c r="CX1787"/>
      <c r="DC1787"/>
      <c r="DI1787"/>
      <c r="DJ1787"/>
      <c r="DK1787"/>
      <c r="DL1787"/>
      <c r="DM1787"/>
      <c r="DN1787"/>
      <c r="DT1787"/>
      <c r="DU1787"/>
    </row>
    <row r="1788" spans="57:125">
      <c r="BE1788"/>
      <c r="BF1788" s="2"/>
      <c r="CN1788"/>
      <c r="CO1788"/>
      <c r="CP1788"/>
      <c r="CQ1788"/>
      <c r="CR1788"/>
      <c r="CS1788"/>
      <c r="CT1788"/>
      <c r="CU1788"/>
      <c r="CV1788" s="2"/>
      <c r="CX1788"/>
      <c r="DC1788"/>
      <c r="DI1788"/>
      <c r="DJ1788"/>
      <c r="DK1788"/>
      <c r="DL1788"/>
      <c r="DM1788"/>
      <c r="DN1788"/>
      <c r="DT1788"/>
      <c r="DU1788"/>
    </row>
    <row r="1789" spans="57:125">
      <c r="BE1789"/>
      <c r="BF1789" s="2"/>
      <c r="CN1789"/>
      <c r="CO1789"/>
      <c r="CP1789"/>
      <c r="CQ1789"/>
      <c r="CR1789"/>
      <c r="CS1789"/>
      <c r="CT1789"/>
      <c r="CU1789"/>
      <c r="CV1789" s="2"/>
      <c r="CX1789"/>
      <c r="DC1789"/>
      <c r="DI1789"/>
      <c r="DJ1789"/>
      <c r="DK1789"/>
      <c r="DL1789"/>
      <c r="DM1789"/>
      <c r="DN1789"/>
      <c r="DT1789"/>
      <c r="DU1789"/>
    </row>
    <row r="1790" spans="57:125">
      <c r="BE1790"/>
      <c r="BF1790" s="2"/>
      <c r="CN1790"/>
      <c r="CO1790"/>
      <c r="CP1790"/>
      <c r="CQ1790"/>
      <c r="CR1790"/>
      <c r="CS1790"/>
      <c r="CT1790"/>
      <c r="CU1790"/>
      <c r="CV1790" s="2"/>
      <c r="CX1790"/>
      <c r="DC1790"/>
      <c r="DI1790"/>
      <c r="DJ1790"/>
      <c r="DK1790"/>
      <c r="DL1790"/>
      <c r="DM1790"/>
      <c r="DN1790"/>
      <c r="DT1790"/>
      <c r="DU1790"/>
    </row>
    <row r="1791" spans="57:125">
      <c r="BE1791"/>
      <c r="BF1791" s="2"/>
      <c r="CN1791"/>
      <c r="CO1791"/>
      <c r="CP1791"/>
      <c r="CQ1791"/>
      <c r="CR1791"/>
      <c r="CS1791"/>
      <c r="CT1791"/>
      <c r="CU1791"/>
      <c r="CV1791" s="2"/>
      <c r="CX1791"/>
      <c r="DC1791"/>
      <c r="DI1791"/>
      <c r="DJ1791"/>
      <c r="DK1791"/>
      <c r="DL1791"/>
      <c r="DM1791"/>
      <c r="DN1791"/>
      <c r="DT1791"/>
      <c r="DU1791"/>
    </row>
    <row r="1792" spans="57:125">
      <c r="BE1792"/>
      <c r="BF1792" s="2"/>
      <c r="CN1792"/>
      <c r="CO1792"/>
      <c r="CP1792"/>
      <c r="CQ1792"/>
      <c r="CR1792"/>
      <c r="CS1792"/>
      <c r="CT1792"/>
      <c r="CU1792"/>
      <c r="CV1792" s="2"/>
      <c r="CX1792"/>
      <c r="DC1792"/>
      <c r="DI1792"/>
      <c r="DJ1792"/>
      <c r="DK1792"/>
      <c r="DL1792"/>
      <c r="DM1792"/>
      <c r="DN1792"/>
      <c r="DT1792"/>
      <c r="DU1792"/>
    </row>
    <row r="1793" spans="57:125">
      <c r="BE1793"/>
      <c r="BF1793" s="2"/>
      <c r="CN1793"/>
      <c r="CO1793"/>
      <c r="CP1793"/>
      <c r="CQ1793"/>
      <c r="CR1793"/>
      <c r="CS1793"/>
      <c r="CT1793"/>
      <c r="CU1793"/>
      <c r="CV1793" s="2"/>
      <c r="CX1793"/>
      <c r="DC1793"/>
      <c r="DI1793"/>
      <c r="DJ1793"/>
      <c r="DK1793"/>
      <c r="DL1793"/>
      <c r="DM1793"/>
      <c r="DN1793"/>
      <c r="DT1793"/>
      <c r="DU1793"/>
    </row>
    <row r="1794" spans="57:125">
      <c r="BE1794"/>
      <c r="BF1794" s="2"/>
      <c r="CN1794"/>
      <c r="CO1794"/>
      <c r="CP1794"/>
      <c r="CQ1794"/>
      <c r="CR1794"/>
      <c r="CS1794"/>
      <c r="CT1794"/>
      <c r="CU1794"/>
      <c r="CV1794" s="2"/>
      <c r="CX1794"/>
      <c r="DC1794"/>
      <c r="DI1794"/>
      <c r="DJ1794"/>
      <c r="DK1794"/>
      <c r="DL1794"/>
      <c r="DM1794"/>
      <c r="DN1794"/>
      <c r="DT1794"/>
      <c r="DU1794"/>
    </row>
    <row r="1795" spans="57:125">
      <c r="BE1795"/>
      <c r="BF1795" s="2"/>
      <c r="CN1795"/>
      <c r="CO1795"/>
      <c r="CP1795"/>
      <c r="CQ1795"/>
      <c r="CR1795"/>
      <c r="CS1795"/>
      <c r="CT1795"/>
      <c r="CU1795"/>
      <c r="CV1795" s="2"/>
      <c r="CX1795"/>
      <c r="DC1795"/>
      <c r="DI1795"/>
      <c r="DJ1795"/>
      <c r="DK1795"/>
      <c r="DL1795"/>
      <c r="DM1795"/>
      <c r="DN1795"/>
      <c r="DT1795"/>
      <c r="DU1795"/>
    </row>
    <row r="1796" spans="57:125">
      <c r="BE1796"/>
      <c r="BF1796" s="2"/>
      <c r="CN1796"/>
      <c r="CO1796"/>
      <c r="CP1796"/>
      <c r="CQ1796"/>
      <c r="CR1796"/>
      <c r="CS1796"/>
      <c r="CT1796"/>
      <c r="CU1796"/>
      <c r="CV1796" s="2"/>
      <c r="CX1796"/>
      <c r="DC1796"/>
      <c r="DI1796"/>
      <c r="DJ1796"/>
      <c r="DK1796"/>
      <c r="DL1796"/>
      <c r="DM1796"/>
      <c r="DN1796"/>
      <c r="DT1796"/>
      <c r="DU1796"/>
    </row>
    <row r="1797" spans="57:125">
      <c r="BE1797"/>
      <c r="BF1797" s="2"/>
      <c r="CN1797"/>
      <c r="CO1797"/>
      <c r="CP1797"/>
      <c r="CQ1797"/>
      <c r="CR1797"/>
      <c r="CS1797"/>
      <c r="CT1797"/>
      <c r="CU1797"/>
      <c r="CV1797" s="2"/>
      <c r="CX1797"/>
      <c r="DC1797"/>
      <c r="DI1797"/>
      <c r="DJ1797"/>
      <c r="DK1797"/>
      <c r="DL1797"/>
      <c r="DM1797"/>
      <c r="DN1797"/>
      <c r="DT1797"/>
      <c r="DU1797"/>
    </row>
    <row r="1798" spans="57:125">
      <c r="BE1798"/>
      <c r="BF1798" s="2"/>
      <c r="CN1798"/>
      <c r="CO1798"/>
      <c r="CP1798"/>
      <c r="CQ1798"/>
      <c r="CR1798"/>
      <c r="CS1798"/>
      <c r="CT1798"/>
      <c r="CU1798"/>
      <c r="CV1798" s="2"/>
      <c r="CX1798"/>
      <c r="DC1798"/>
      <c r="DI1798"/>
      <c r="DJ1798"/>
      <c r="DK1798"/>
      <c r="DL1798"/>
      <c r="DM1798"/>
      <c r="DN1798"/>
      <c r="DT1798"/>
      <c r="DU1798"/>
    </row>
    <row r="1799" spans="57:125">
      <c r="BE1799"/>
      <c r="BF1799" s="2"/>
      <c r="CN1799"/>
      <c r="CO1799"/>
      <c r="CP1799"/>
      <c r="CQ1799"/>
      <c r="CR1799"/>
      <c r="CS1799"/>
      <c r="CT1799"/>
      <c r="CU1799"/>
      <c r="CV1799" s="2"/>
      <c r="CX1799"/>
      <c r="DC1799"/>
      <c r="DI1799"/>
      <c r="DJ1799"/>
      <c r="DK1799"/>
      <c r="DL1799"/>
      <c r="DM1799"/>
      <c r="DN1799"/>
      <c r="DT1799"/>
      <c r="DU1799"/>
    </row>
    <row r="1800" spans="57:125">
      <c r="BE1800"/>
      <c r="BF1800" s="2"/>
      <c r="CN1800"/>
      <c r="CO1800"/>
      <c r="CP1800"/>
      <c r="CQ1800"/>
      <c r="CR1800"/>
      <c r="CS1800"/>
      <c r="CT1800"/>
      <c r="CU1800"/>
      <c r="CV1800" s="2"/>
      <c r="CX1800"/>
      <c r="DC1800"/>
      <c r="DI1800"/>
      <c r="DJ1800"/>
      <c r="DK1800"/>
      <c r="DL1800"/>
      <c r="DM1800"/>
      <c r="DN1800"/>
      <c r="DT1800"/>
      <c r="DU1800"/>
    </row>
    <row r="1801" spans="57:125">
      <c r="BE1801"/>
      <c r="BF1801" s="2"/>
      <c r="CN1801"/>
      <c r="CO1801"/>
      <c r="CP1801"/>
      <c r="CQ1801"/>
      <c r="CR1801"/>
      <c r="CS1801"/>
      <c r="CT1801"/>
      <c r="CU1801"/>
      <c r="CV1801" s="2"/>
      <c r="CX1801"/>
      <c r="DC1801"/>
      <c r="DI1801"/>
      <c r="DJ1801"/>
      <c r="DK1801"/>
      <c r="DL1801"/>
      <c r="DM1801"/>
      <c r="DN1801"/>
      <c r="DT1801"/>
      <c r="DU1801"/>
    </row>
    <row r="1802" spans="57:125">
      <c r="BE1802"/>
      <c r="BF1802" s="2"/>
      <c r="CN1802"/>
      <c r="CO1802"/>
      <c r="CP1802"/>
      <c r="CQ1802"/>
      <c r="CR1802"/>
      <c r="CS1802"/>
      <c r="CT1802"/>
      <c r="CU1802"/>
      <c r="CV1802" s="2"/>
      <c r="CX1802"/>
      <c r="DC1802"/>
      <c r="DI1802"/>
      <c r="DJ1802"/>
      <c r="DK1802"/>
      <c r="DL1802"/>
      <c r="DM1802"/>
      <c r="DN1802"/>
      <c r="DT1802"/>
      <c r="DU1802"/>
    </row>
    <row r="1803" spans="57:125">
      <c r="BE1803"/>
      <c r="BF1803" s="2"/>
      <c r="CN1803"/>
      <c r="CO1803"/>
      <c r="CP1803"/>
      <c r="CQ1803"/>
      <c r="CR1803"/>
      <c r="CS1803"/>
      <c r="CT1803"/>
      <c r="CU1803"/>
      <c r="CV1803" s="2"/>
      <c r="CX1803"/>
      <c r="DC1803"/>
      <c r="DI1803"/>
      <c r="DJ1803"/>
      <c r="DK1803"/>
      <c r="DL1803"/>
      <c r="DM1803"/>
      <c r="DN1803"/>
      <c r="DT1803"/>
      <c r="DU1803"/>
    </row>
    <row r="1804" spans="57:125">
      <c r="BE1804"/>
      <c r="BF1804" s="2"/>
      <c r="CN1804"/>
      <c r="CO1804"/>
      <c r="CP1804"/>
      <c r="CQ1804"/>
      <c r="CR1804"/>
      <c r="CS1804"/>
      <c r="CT1804"/>
      <c r="CU1804"/>
      <c r="CV1804" s="2"/>
      <c r="CX1804"/>
      <c r="DC1804"/>
      <c r="DI1804"/>
      <c r="DJ1804"/>
      <c r="DK1804"/>
      <c r="DL1804"/>
      <c r="DM1804"/>
      <c r="DN1804"/>
      <c r="DT1804"/>
      <c r="DU1804"/>
    </row>
    <row r="1805" spans="57:125">
      <c r="BE1805"/>
      <c r="BF1805" s="2"/>
      <c r="CN1805"/>
      <c r="CO1805"/>
      <c r="CP1805"/>
      <c r="CQ1805"/>
      <c r="CR1805"/>
      <c r="CS1805"/>
      <c r="CT1805"/>
      <c r="CU1805"/>
      <c r="CV1805" s="2"/>
      <c r="CX1805"/>
      <c r="DC1805"/>
      <c r="DI1805"/>
      <c r="DJ1805"/>
      <c r="DK1805"/>
      <c r="DL1805"/>
      <c r="DM1805"/>
      <c r="DN1805"/>
      <c r="DT1805"/>
      <c r="DU1805"/>
    </row>
    <row r="1806" spans="57:125">
      <c r="BE1806"/>
      <c r="BF1806" s="2"/>
      <c r="CN1806"/>
      <c r="CO1806"/>
      <c r="CP1806"/>
      <c r="CQ1806"/>
      <c r="CR1806"/>
      <c r="CS1806"/>
      <c r="CT1806"/>
      <c r="CU1806"/>
      <c r="CV1806" s="2"/>
      <c r="CX1806"/>
      <c r="DC1806"/>
      <c r="DI1806"/>
      <c r="DJ1806"/>
      <c r="DK1806"/>
      <c r="DL1806"/>
      <c r="DM1806"/>
      <c r="DN1806"/>
      <c r="DT1806"/>
      <c r="DU1806"/>
    </row>
    <row r="1807" spans="57:125">
      <c r="BE1807"/>
      <c r="BF1807" s="2"/>
      <c r="CN1807"/>
      <c r="CO1807"/>
      <c r="CP1807"/>
      <c r="CQ1807"/>
      <c r="CR1807"/>
      <c r="CS1807"/>
      <c r="CT1807"/>
      <c r="CU1807"/>
      <c r="CV1807" s="2"/>
      <c r="CX1807"/>
      <c r="DC1807"/>
      <c r="DI1807"/>
      <c r="DJ1807"/>
      <c r="DK1807"/>
      <c r="DL1807"/>
      <c r="DM1807"/>
      <c r="DN1807"/>
      <c r="DT1807"/>
      <c r="DU1807"/>
    </row>
    <row r="1808" spans="57:125">
      <c r="BE1808"/>
      <c r="BF1808" s="2"/>
      <c r="CN1808"/>
      <c r="CO1808"/>
      <c r="CP1808"/>
      <c r="CQ1808"/>
      <c r="CR1808"/>
      <c r="CS1808"/>
      <c r="CT1808"/>
      <c r="CU1808"/>
      <c r="CV1808" s="2"/>
      <c r="CX1808"/>
      <c r="DC1808"/>
      <c r="DI1808"/>
      <c r="DJ1808"/>
      <c r="DK1808"/>
      <c r="DL1808"/>
      <c r="DM1808"/>
      <c r="DN1808"/>
      <c r="DT1808"/>
      <c r="DU1808"/>
    </row>
    <row r="1809" spans="57:125">
      <c r="BE1809"/>
      <c r="BF1809" s="2"/>
      <c r="CN1809"/>
      <c r="CO1809"/>
      <c r="CP1809"/>
      <c r="CQ1809"/>
      <c r="CR1809"/>
      <c r="CS1809"/>
      <c r="CT1809"/>
      <c r="CU1809"/>
      <c r="CV1809" s="2"/>
      <c r="CX1809"/>
      <c r="DC1809"/>
      <c r="DI1809"/>
      <c r="DJ1809"/>
      <c r="DK1809"/>
      <c r="DL1809"/>
      <c r="DM1809"/>
      <c r="DN1809"/>
      <c r="DT1809"/>
      <c r="DU1809"/>
    </row>
    <row r="1810" spans="57:125">
      <c r="BE1810"/>
      <c r="BF1810" s="2"/>
      <c r="CN1810"/>
      <c r="CO1810"/>
      <c r="CP1810"/>
      <c r="CQ1810"/>
      <c r="CR1810"/>
      <c r="CS1810"/>
      <c r="CT1810"/>
      <c r="CU1810"/>
      <c r="CV1810" s="2"/>
      <c r="CX1810"/>
      <c r="DC1810"/>
      <c r="DI1810"/>
      <c r="DJ1810"/>
      <c r="DK1810"/>
      <c r="DL1810"/>
      <c r="DM1810"/>
      <c r="DN1810"/>
      <c r="DT1810"/>
      <c r="DU1810"/>
    </row>
    <row r="1811" spans="57:125">
      <c r="BE1811"/>
      <c r="BF1811" s="2"/>
      <c r="CN1811"/>
      <c r="CO1811"/>
      <c r="CP1811"/>
      <c r="CQ1811"/>
      <c r="CR1811"/>
      <c r="CS1811"/>
      <c r="CT1811"/>
      <c r="CU1811"/>
      <c r="CV1811" s="2"/>
      <c r="CX1811"/>
      <c r="DC1811"/>
      <c r="DI1811"/>
      <c r="DJ1811"/>
      <c r="DK1811"/>
      <c r="DL1811"/>
      <c r="DM1811"/>
      <c r="DN1811"/>
      <c r="DT1811"/>
      <c r="DU1811"/>
    </row>
    <row r="1812" spans="57:125">
      <c r="BE1812"/>
      <c r="BF1812" s="2"/>
      <c r="CN1812"/>
      <c r="CO1812"/>
      <c r="CP1812"/>
      <c r="CQ1812"/>
      <c r="CR1812"/>
      <c r="CS1812"/>
      <c r="CT1812"/>
      <c r="CU1812"/>
      <c r="CV1812" s="2"/>
      <c r="CX1812"/>
      <c r="DC1812"/>
      <c r="DI1812"/>
      <c r="DJ1812"/>
      <c r="DK1812"/>
      <c r="DL1812"/>
      <c r="DM1812"/>
      <c r="DN1812"/>
      <c r="DT1812"/>
      <c r="DU1812"/>
    </row>
    <row r="1813" spans="57:125">
      <c r="BE1813"/>
      <c r="BF1813" s="2"/>
      <c r="CN1813"/>
      <c r="CO1813"/>
      <c r="CP1813"/>
      <c r="CQ1813"/>
      <c r="CR1813"/>
      <c r="CS1813"/>
      <c r="CT1813"/>
      <c r="CU1813"/>
      <c r="CV1813" s="2"/>
      <c r="CX1813"/>
      <c r="DC1813"/>
      <c r="DI1813"/>
      <c r="DJ1813"/>
      <c r="DK1813"/>
      <c r="DL1813"/>
      <c r="DM1813"/>
      <c r="DN1813"/>
      <c r="DT1813"/>
      <c r="DU1813"/>
    </row>
    <row r="1814" spans="57:125">
      <c r="BE1814"/>
      <c r="BF1814" s="2"/>
      <c r="CN1814"/>
      <c r="CO1814"/>
      <c r="CP1814"/>
      <c r="CQ1814"/>
      <c r="CR1814"/>
      <c r="CS1814"/>
      <c r="CT1814"/>
      <c r="CU1814"/>
      <c r="CV1814" s="2"/>
      <c r="CX1814"/>
      <c r="DC1814"/>
      <c r="DI1814"/>
      <c r="DJ1814"/>
      <c r="DK1814"/>
      <c r="DL1814"/>
      <c r="DM1814"/>
      <c r="DN1814"/>
      <c r="DT1814"/>
      <c r="DU1814"/>
    </row>
    <row r="1815" spans="57:125">
      <c r="BE1815"/>
      <c r="BF1815" s="2"/>
      <c r="CN1815"/>
      <c r="CO1815"/>
      <c r="CP1815"/>
      <c r="CQ1815"/>
      <c r="CR1815"/>
      <c r="CS1815"/>
      <c r="CT1815"/>
      <c r="CU1815"/>
      <c r="CV1815" s="2"/>
      <c r="CX1815"/>
      <c r="DC1815"/>
      <c r="DI1815"/>
      <c r="DJ1815"/>
      <c r="DK1815"/>
      <c r="DL1815"/>
      <c r="DM1815"/>
      <c r="DN1815"/>
      <c r="DT1815"/>
      <c r="DU1815"/>
    </row>
    <row r="1816" spans="57:125">
      <c r="BE1816"/>
      <c r="BF1816" s="2"/>
      <c r="CN1816"/>
      <c r="CO1816"/>
      <c r="CP1816"/>
      <c r="CQ1816"/>
      <c r="CR1816"/>
      <c r="CS1816"/>
      <c r="CT1816"/>
      <c r="CU1816"/>
      <c r="CV1816" s="2"/>
      <c r="CX1816"/>
      <c r="DC1816"/>
      <c r="DI1816"/>
      <c r="DJ1816"/>
      <c r="DK1816"/>
      <c r="DL1816"/>
      <c r="DM1816"/>
      <c r="DN1816"/>
      <c r="DT1816"/>
      <c r="DU1816"/>
    </row>
    <row r="1817" spans="57:125">
      <c r="BE1817"/>
      <c r="BF1817" s="2"/>
      <c r="CN1817"/>
      <c r="CO1817"/>
      <c r="CP1817"/>
      <c r="CQ1817"/>
      <c r="CR1817"/>
      <c r="CS1817"/>
      <c r="CT1817"/>
      <c r="CU1817"/>
      <c r="CV1817" s="2"/>
      <c r="CX1817"/>
      <c r="DC1817"/>
      <c r="DI1817"/>
      <c r="DJ1817"/>
      <c r="DK1817"/>
      <c r="DL1817"/>
      <c r="DM1817"/>
      <c r="DN1817"/>
      <c r="DT1817"/>
      <c r="DU1817"/>
    </row>
    <row r="1818" spans="57:125">
      <c r="BE1818"/>
      <c r="BF1818" s="2"/>
      <c r="CN1818"/>
      <c r="CO1818"/>
      <c r="CP1818"/>
      <c r="CQ1818"/>
      <c r="CR1818"/>
      <c r="CS1818"/>
      <c r="CT1818"/>
      <c r="CU1818"/>
      <c r="CV1818" s="2"/>
      <c r="CX1818"/>
      <c r="DC1818"/>
      <c r="DI1818"/>
      <c r="DJ1818"/>
      <c r="DK1818"/>
      <c r="DL1818"/>
      <c r="DM1818"/>
      <c r="DN1818"/>
      <c r="DT1818"/>
      <c r="DU1818"/>
    </row>
    <row r="1819" spans="57:125">
      <c r="BE1819"/>
      <c r="BF1819" s="2"/>
      <c r="CN1819"/>
      <c r="CO1819"/>
      <c r="CP1819"/>
      <c r="CQ1819"/>
      <c r="CR1819"/>
      <c r="CS1819"/>
      <c r="CT1819"/>
      <c r="CU1819"/>
      <c r="CV1819" s="2"/>
      <c r="CX1819"/>
      <c r="DC1819"/>
      <c r="DI1819"/>
      <c r="DJ1819"/>
      <c r="DK1819"/>
      <c r="DL1819"/>
      <c r="DM1819"/>
      <c r="DN1819"/>
      <c r="DT1819"/>
      <c r="DU1819"/>
    </row>
    <row r="1820" spans="57:125">
      <c r="BE1820"/>
      <c r="BF1820" s="2"/>
      <c r="CN1820"/>
      <c r="CO1820"/>
      <c r="CP1820"/>
      <c r="CQ1820"/>
      <c r="CR1820"/>
      <c r="CS1820"/>
      <c r="CT1820"/>
      <c r="CU1820"/>
      <c r="CV1820" s="2"/>
      <c r="CX1820"/>
      <c r="DC1820"/>
      <c r="DI1820"/>
      <c r="DJ1820"/>
      <c r="DK1820"/>
      <c r="DL1820"/>
      <c r="DM1820"/>
      <c r="DN1820"/>
      <c r="DT1820"/>
      <c r="DU1820"/>
    </row>
    <row r="1821" spans="57:125">
      <c r="BE1821"/>
      <c r="BF1821" s="2"/>
      <c r="CN1821"/>
      <c r="CO1821"/>
      <c r="CP1821"/>
      <c r="CQ1821"/>
      <c r="CR1821"/>
      <c r="CS1821"/>
      <c r="CT1821"/>
      <c r="CU1821"/>
      <c r="CV1821" s="2"/>
      <c r="CX1821"/>
      <c r="DC1821"/>
      <c r="DI1821"/>
      <c r="DJ1821"/>
      <c r="DK1821"/>
      <c r="DL1821"/>
      <c r="DM1821"/>
      <c r="DN1821"/>
      <c r="DT1821"/>
      <c r="DU1821"/>
    </row>
    <row r="1822" spans="57:125">
      <c r="BE1822"/>
      <c r="BF1822" s="2"/>
      <c r="CN1822"/>
      <c r="CO1822"/>
      <c r="CP1822"/>
      <c r="CQ1822"/>
      <c r="CR1822"/>
      <c r="CS1822"/>
      <c r="CT1822"/>
      <c r="CU1822"/>
      <c r="CV1822" s="2"/>
      <c r="CX1822"/>
      <c r="DC1822"/>
      <c r="DI1822"/>
      <c r="DJ1822"/>
      <c r="DK1822"/>
      <c r="DL1822"/>
      <c r="DM1822"/>
      <c r="DN1822"/>
      <c r="DT1822"/>
      <c r="DU1822"/>
    </row>
    <row r="1823" spans="57:125">
      <c r="BE1823"/>
      <c r="BF1823" s="2"/>
      <c r="CN1823"/>
      <c r="CO1823"/>
      <c r="CP1823"/>
      <c r="CQ1823"/>
      <c r="CR1823"/>
      <c r="CS1823"/>
      <c r="CT1823"/>
      <c r="CU1823"/>
      <c r="CV1823" s="2"/>
      <c r="CX1823"/>
      <c r="DC1823"/>
      <c r="DI1823"/>
      <c r="DJ1823"/>
      <c r="DK1823"/>
      <c r="DL1823"/>
      <c r="DM1823"/>
      <c r="DN1823"/>
      <c r="DT1823"/>
      <c r="DU1823"/>
    </row>
    <row r="1824" spans="57:125">
      <c r="BE1824"/>
      <c r="BF1824" s="2"/>
      <c r="CN1824"/>
      <c r="CO1824"/>
      <c r="CP1824"/>
      <c r="CQ1824"/>
      <c r="CR1824"/>
      <c r="CS1824"/>
      <c r="CT1824"/>
      <c r="CU1824"/>
      <c r="CV1824" s="2"/>
      <c r="CX1824"/>
      <c r="DC1824"/>
      <c r="DI1824"/>
      <c r="DJ1824"/>
      <c r="DK1824"/>
      <c r="DL1824"/>
      <c r="DM1824"/>
      <c r="DN1824"/>
      <c r="DT1824"/>
      <c r="DU1824"/>
    </row>
    <row r="1825" spans="57:125">
      <c r="BE1825"/>
      <c r="BF1825" s="2"/>
      <c r="CN1825"/>
      <c r="CO1825"/>
      <c r="CP1825"/>
      <c r="CQ1825"/>
      <c r="CR1825"/>
      <c r="CS1825"/>
      <c r="CT1825"/>
      <c r="CU1825"/>
      <c r="CV1825" s="2"/>
      <c r="CX1825"/>
      <c r="DC1825"/>
      <c r="DI1825"/>
      <c r="DJ1825"/>
      <c r="DK1825"/>
      <c r="DL1825"/>
      <c r="DM1825"/>
      <c r="DN1825"/>
      <c r="DT1825"/>
      <c r="DU1825"/>
    </row>
    <row r="1826" spans="57:125">
      <c r="BE1826"/>
      <c r="BF1826" s="2"/>
      <c r="CN1826"/>
      <c r="CO1826"/>
      <c r="CP1826"/>
      <c r="CQ1826"/>
      <c r="CR1826"/>
      <c r="CS1826"/>
      <c r="CT1826"/>
      <c r="CU1826"/>
      <c r="CV1826" s="2"/>
      <c r="CX1826"/>
      <c r="DC1826"/>
      <c r="DI1826"/>
      <c r="DJ1826"/>
      <c r="DK1826"/>
      <c r="DL1826"/>
      <c r="DM1826"/>
      <c r="DN1826"/>
      <c r="DT1826"/>
      <c r="DU1826"/>
    </row>
    <row r="1827" spans="57:125">
      <c r="BE1827"/>
      <c r="BF1827" s="2"/>
      <c r="CN1827"/>
      <c r="CO1827"/>
      <c r="CP1827"/>
      <c r="CQ1827"/>
      <c r="CR1827"/>
      <c r="CS1827"/>
      <c r="CT1827"/>
      <c r="CU1827"/>
      <c r="CV1827" s="2"/>
      <c r="CX1827"/>
      <c r="DC1827"/>
      <c r="DI1827"/>
      <c r="DJ1827"/>
      <c r="DK1827"/>
      <c r="DL1827"/>
      <c r="DM1827"/>
      <c r="DN1827"/>
      <c r="DT1827"/>
      <c r="DU1827"/>
    </row>
    <row r="1828" spans="57:125">
      <c r="BE1828"/>
      <c r="BF1828" s="2"/>
      <c r="CN1828"/>
      <c r="CO1828"/>
      <c r="CP1828"/>
      <c r="CQ1828"/>
      <c r="CR1828"/>
      <c r="CS1828"/>
      <c r="CT1828"/>
      <c r="CU1828"/>
      <c r="CV1828" s="2"/>
      <c r="CX1828"/>
      <c r="DC1828"/>
      <c r="DI1828"/>
      <c r="DJ1828"/>
      <c r="DK1828"/>
      <c r="DL1828"/>
      <c r="DM1828"/>
      <c r="DN1828"/>
      <c r="DT1828"/>
      <c r="DU1828"/>
    </row>
    <row r="1829" spans="57:125">
      <c r="BE1829"/>
      <c r="BF1829" s="2"/>
      <c r="CN1829"/>
      <c r="CO1829"/>
      <c r="CP1829"/>
      <c r="CQ1829"/>
      <c r="CR1829"/>
      <c r="CS1829"/>
      <c r="CT1829"/>
      <c r="CU1829"/>
      <c r="CV1829" s="2"/>
      <c r="CX1829"/>
      <c r="DC1829"/>
      <c r="DI1829"/>
      <c r="DJ1829"/>
      <c r="DK1829"/>
      <c r="DL1829"/>
      <c r="DM1829"/>
      <c r="DN1829"/>
      <c r="DT1829"/>
      <c r="DU1829"/>
    </row>
    <row r="1830" spans="57:125">
      <c r="BE1830"/>
      <c r="BF1830" s="2"/>
      <c r="CN1830"/>
      <c r="CO1830"/>
      <c r="CP1830"/>
      <c r="CQ1830"/>
      <c r="CR1830"/>
      <c r="CS1830"/>
      <c r="CT1830"/>
      <c r="CU1830"/>
      <c r="CV1830" s="2"/>
      <c r="CX1830"/>
      <c r="DC1830"/>
      <c r="DI1830"/>
      <c r="DJ1830"/>
      <c r="DK1830"/>
      <c r="DL1830"/>
      <c r="DM1830"/>
      <c r="DN1830"/>
      <c r="DT1830"/>
      <c r="DU1830"/>
    </row>
    <row r="1831" spans="57:125">
      <c r="BE1831"/>
      <c r="BF1831" s="2"/>
      <c r="CN1831"/>
      <c r="CO1831"/>
      <c r="CP1831"/>
      <c r="CQ1831"/>
      <c r="CR1831"/>
      <c r="CS1831"/>
      <c r="CT1831"/>
      <c r="CU1831"/>
      <c r="CV1831" s="2"/>
      <c r="CX1831"/>
      <c r="DC1831"/>
      <c r="DI1831"/>
      <c r="DJ1831"/>
      <c r="DK1831"/>
      <c r="DL1831"/>
      <c r="DM1831"/>
      <c r="DN1831"/>
      <c r="DT1831"/>
      <c r="DU1831"/>
    </row>
    <row r="1832" spans="57:125">
      <c r="BE1832"/>
      <c r="BF1832" s="2"/>
      <c r="CN1832"/>
      <c r="CO1832"/>
      <c r="CP1832"/>
      <c r="CQ1832"/>
      <c r="CR1832"/>
      <c r="CS1832"/>
      <c r="CT1832"/>
      <c r="CU1832"/>
      <c r="CV1832" s="2"/>
      <c r="CX1832"/>
      <c r="DC1832"/>
      <c r="DI1832"/>
      <c r="DJ1832"/>
      <c r="DK1832"/>
      <c r="DL1832"/>
      <c r="DM1832"/>
      <c r="DN1832"/>
      <c r="DT1832"/>
      <c r="DU1832"/>
    </row>
    <row r="1833" spans="57:125">
      <c r="BE1833"/>
      <c r="BF1833" s="2"/>
      <c r="CN1833"/>
      <c r="CO1833"/>
      <c r="CP1833"/>
      <c r="CQ1833"/>
      <c r="CR1833"/>
      <c r="CS1833"/>
      <c r="CT1833"/>
      <c r="CU1833"/>
      <c r="CV1833" s="2"/>
      <c r="CX1833"/>
      <c r="DC1833"/>
      <c r="DI1833"/>
      <c r="DJ1833"/>
      <c r="DK1833"/>
      <c r="DL1833"/>
      <c r="DM1833"/>
      <c r="DN1833"/>
      <c r="DT1833"/>
      <c r="DU1833"/>
    </row>
    <row r="1834" spans="57:125">
      <c r="BE1834"/>
      <c r="BF1834" s="2"/>
      <c r="CN1834"/>
      <c r="CO1834"/>
      <c r="CP1834"/>
      <c r="CQ1834"/>
      <c r="CR1834"/>
      <c r="CS1834"/>
      <c r="CT1834"/>
      <c r="CU1834"/>
      <c r="CV1834" s="2"/>
      <c r="CX1834"/>
      <c r="DC1834"/>
      <c r="DI1834"/>
      <c r="DJ1834"/>
      <c r="DK1834"/>
      <c r="DL1834"/>
      <c r="DM1834"/>
      <c r="DN1834"/>
      <c r="DT1834"/>
      <c r="DU1834"/>
    </row>
    <row r="1835" spans="57:125">
      <c r="BE1835"/>
      <c r="BF1835" s="2"/>
      <c r="CN1835"/>
      <c r="CO1835"/>
      <c r="CP1835"/>
      <c r="CQ1835"/>
      <c r="CR1835"/>
      <c r="CS1835"/>
      <c r="CT1835"/>
      <c r="CU1835"/>
      <c r="CV1835" s="2"/>
      <c r="CX1835"/>
      <c r="DC1835"/>
      <c r="DI1835"/>
      <c r="DJ1835"/>
      <c r="DK1835"/>
      <c r="DL1835"/>
      <c r="DM1835"/>
      <c r="DN1835"/>
      <c r="DT1835"/>
      <c r="DU1835"/>
    </row>
    <row r="1836" spans="57:125">
      <c r="BE1836"/>
      <c r="BF1836" s="2"/>
      <c r="CN1836"/>
      <c r="CO1836"/>
      <c r="CP1836"/>
      <c r="CQ1836"/>
      <c r="CR1836"/>
      <c r="CS1836"/>
      <c r="CT1836"/>
      <c r="CU1836"/>
      <c r="CV1836" s="2"/>
      <c r="CX1836"/>
      <c r="DC1836"/>
      <c r="DI1836"/>
      <c r="DJ1836"/>
      <c r="DK1836"/>
      <c r="DL1836"/>
      <c r="DM1836"/>
      <c r="DN1836"/>
      <c r="DT1836"/>
      <c r="DU1836"/>
    </row>
    <row r="1837" spans="57:125">
      <c r="BE1837"/>
      <c r="BF1837" s="2"/>
      <c r="CN1837"/>
      <c r="CO1837"/>
      <c r="CP1837"/>
      <c r="CQ1837"/>
      <c r="CR1837"/>
      <c r="CS1837"/>
      <c r="CT1837"/>
      <c r="CU1837"/>
      <c r="CV1837" s="2"/>
      <c r="CX1837"/>
      <c r="DC1837"/>
      <c r="DI1837"/>
      <c r="DJ1837"/>
      <c r="DK1837"/>
      <c r="DL1837"/>
      <c r="DM1837"/>
      <c r="DN1837"/>
      <c r="DT1837"/>
      <c r="DU1837"/>
    </row>
    <row r="1838" spans="57:125">
      <c r="BE1838"/>
      <c r="BF1838" s="2"/>
      <c r="CN1838"/>
      <c r="CO1838"/>
      <c r="CP1838"/>
      <c r="CQ1838"/>
      <c r="CR1838"/>
      <c r="CS1838"/>
      <c r="CT1838"/>
      <c r="CU1838"/>
      <c r="CV1838" s="2"/>
      <c r="CX1838"/>
      <c r="DC1838"/>
      <c r="DI1838"/>
      <c r="DJ1838"/>
      <c r="DK1838"/>
      <c r="DL1838"/>
      <c r="DM1838"/>
      <c r="DN1838"/>
      <c r="DT1838"/>
      <c r="DU1838"/>
    </row>
    <row r="1839" spans="57:125">
      <c r="BE1839"/>
      <c r="BF1839" s="2"/>
      <c r="CN1839"/>
      <c r="CO1839"/>
      <c r="CP1839"/>
      <c r="CQ1839"/>
      <c r="CR1839"/>
      <c r="CS1839"/>
      <c r="CT1839"/>
      <c r="CU1839"/>
      <c r="CV1839" s="2"/>
      <c r="CX1839"/>
      <c r="DC1839"/>
      <c r="DI1839"/>
      <c r="DJ1839"/>
      <c r="DK1839"/>
      <c r="DL1839"/>
      <c r="DM1839"/>
      <c r="DN1839"/>
      <c r="DT1839"/>
      <c r="DU1839"/>
    </row>
    <row r="1840" spans="57:125">
      <c r="BE1840"/>
      <c r="BF1840" s="2"/>
      <c r="CN1840"/>
      <c r="CO1840"/>
      <c r="CP1840"/>
      <c r="CQ1840"/>
      <c r="CR1840"/>
      <c r="CS1840"/>
      <c r="CT1840"/>
      <c r="CU1840"/>
      <c r="CV1840" s="2"/>
      <c r="CX1840"/>
      <c r="DC1840"/>
      <c r="DI1840"/>
      <c r="DJ1840"/>
      <c r="DK1840"/>
      <c r="DL1840"/>
      <c r="DM1840"/>
      <c r="DN1840"/>
      <c r="DT1840"/>
      <c r="DU1840"/>
    </row>
    <row r="1841" spans="57:125">
      <c r="BE1841"/>
      <c r="BF1841" s="2"/>
      <c r="CN1841"/>
      <c r="CO1841"/>
      <c r="CP1841"/>
      <c r="CQ1841"/>
      <c r="CR1841"/>
      <c r="CS1841"/>
      <c r="CT1841"/>
      <c r="CU1841"/>
      <c r="CV1841" s="2"/>
      <c r="CX1841"/>
      <c r="DC1841"/>
      <c r="DI1841"/>
      <c r="DJ1841"/>
      <c r="DK1841"/>
      <c r="DL1841"/>
      <c r="DM1841"/>
      <c r="DN1841"/>
      <c r="DT1841"/>
      <c r="DU1841"/>
    </row>
    <row r="1842" spans="57:125">
      <c r="BE1842"/>
      <c r="BF1842" s="2"/>
      <c r="CN1842"/>
      <c r="CO1842"/>
      <c r="CP1842"/>
      <c r="CQ1842"/>
      <c r="CR1842"/>
      <c r="CS1842"/>
      <c r="CT1842"/>
      <c r="CU1842"/>
      <c r="CV1842" s="2"/>
      <c r="CX1842"/>
      <c r="DC1842"/>
      <c r="DI1842"/>
      <c r="DJ1842"/>
      <c r="DK1842"/>
      <c r="DL1842"/>
      <c r="DM1842"/>
      <c r="DN1842"/>
      <c r="DT1842"/>
      <c r="DU1842"/>
    </row>
    <row r="1843" spans="57:125">
      <c r="BE1843"/>
      <c r="BF1843" s="2"/>
      <c r="CN1843"/>
      <c r="CO1843"/>
      <c r="CP1843"/>
      <c r="CQ1843"/>
      <c r="CR1843"/>
      <c r="CS1843"/>
      <c r="CT1843"/>
      <c r="CU1843"/>
      <c r="CV1843" s="2"/>
      <c r="CX1843"/>
      <c r="DC1843"/>
      <c r="DI1843"/>
      <c r="DJ1843"/>
      <c r="DK1843"/>
      <c r="DL1843"/>
      <c r="DM1843"/>
      <c r="DN1843"/>
      <c r="DT1843"/>
      <c r="DU1843"/>
    </row>
    <row r="1844" spans="57:125">
      <c r="BE1844"/>
      <c r="BF1844" s="2"/>
      <c r="CN1844"/>
      <c r="CO1844"/>
      <c r="CP1844"/>
      <c r="CQ1844"/>
      <c r="CR1844"/>
      <c r="CS1844"/>
      <c r="CT1844"/>
      <c r="CU1844"/>
      <c r="CV1844" s="2"/>
      <c r="CX1844"/>
      <c r="DC1844"/>
      <c r="DI1844"/>
      <c r="DJ1844"/>
      <c r="DK1844"/>
      <c r="DL1844"/>
      <c r="DM1844"/>
      <c r="DN1844"/>
      <c r="DT1844"/>
      <c r="DU1844"/>
    </row>
    <row r="1845" spans="57:125">
      <c r="BE1845"/>
      <c r="BF1845" s="2"/>
      <c r="CN1845"/>
      <c r="CO1845"/>
      <c r="CP1845"/>
      <c r="CQ1845"/>
      <c r="CR1845"/>
      <c r="CS1845"/>
      <c r="CT1845"/>
      <c r="CU1845"/>
      <c r="CV1845" s="2"/>
      <c r="CX1845"/>
      <c r="DC1845"/>
      <c r="DI1845"/>
      <c r="DJ1845"/>
      <c r="DK1845"/>
      <c r="DL1845"/>
      <c r="DM1845"/>
      <c r="DN1845"/>
      <c r="DT1845"/>
      <c r="DU1845"/>
    </row>
    <row r="1846" spans="57:125">
      <c r="BE1846"/>
      <c r="BF1846" s="2"/>
      <c r="CN1846"/>
      <c r="CO1846"/>
      <c r="CP1846"/>
      <c r="CQ1846"/>
      <c r="CR1846"/>
      <c r="CS1846"/>
      <c r="CT1846"/>
      <c r="CU1846"/>
      <c r="CV1846" s="2"/>
      <c r="CX1846"/>
      <c r="DC1846"/>
      <c r="DI1846"/>
      <c r="DJ1846"/>
      <c r="DK1846"/>
      <c r="DL1846"/>
      <c r="DM1846"/>
      <c r="DN1846"/>
      <c r="DT1846"/>
      <c r="DU1846"/>
    </row>
    <row r="1847" spans="57:125">
      <c r="BE1847"/>
      <c r="BF1847" s="2"/>
      <c r="CN1847"/>
      <c r="CO1847"/>
      <c r="CP1847"/>
      <c r="CQ1847"/>
      <c r="CR1847"/>
      <c r="CS1847"/>
      <c r="CT1847"/>
      <c r="CU1847"/>
      <c r="CV1847" s="2"/>
      <c r="CX1847"/>
      <c r="DC1847"/>
      <c r="DI1847"/>
      <c r="DJ1847"/>
      <c r="DK1847"/>
      <c r="DL1847"/>
      <c r="DM1847"/>
      <c r="DN1847"/>
      <c r="DT1847"/>
      <c r="DU1847"/>
    </row>
    <row r="1848" spans="57:125">
      <c r="BE1848"/>
      <c r="BF1848" s="2"/>
      <c r="CN1848"/>
      <c r="CO1848"/>
      <c r="CP1848"/>
      <c r="CQ1848"/>
      <c r="CR1848"/>
      <c r="CS1848"/>
      <c r="CT1848"/>
      <c r="CU1848"/>
      <c r="CV1848" s="2"/>
      <c r="CX1848"/>
      <c r="DC1848"/>
      <c r="DI1848"/>
      <c r="DJ1848"/>
      <c r="DK1848"/>
      <c r="DL1848"/>
      <c r="DM1848"/>
      <c r="DN1848"/>
      <c r="DT1848"/>
      <c r="DU1848"/>
    </row>
    <row r="1849" spans="57:125">
      <c r="BE1849"/>
      <c r="BF1849" s="2"/>
      <c r="CN1849"/>
      <c r="CO1849"/>
      <c r="CP1849"/>
      <c r="CQ1849"/>
      <c r="CR1849"/>
      <c r="CS1849"/>
      <c r="CT1849"/>
      <c r="CU1849"/>
      <c r="CV1849" s="2"/>
      <c r="CX1849"/>
      <c r="DC1849"/>
      <c r="DI1849"/>
      <c r="DJ1849"/>
      <c r="DK1849"/>
      <c r="DL1849"/>
      <c r="DM1849"/>
      <c r="DN1849"/>
      <c r="DT1849"/>
      <c r="DU1849"/>
    </row>
    <row r="1850" spans="57:125">
      <c r="BE1850"/>
      <c r="BF1850" s="2"/>
      <c r="CN1850"/>
      <c r="CO1850"/>
      <c r="CP1850"/>
      <c r="CQ1850"/>
      <c r="CR1850"/>
      <c r="CS1850"/>
      <c r="CT1850"/>
      <c r="CU1850"/>
      <c r="CV1850" s="2"/>
      <c r="CX1850"/>
      <c r="DC1850"/>
      <c r="DI1850"/>
      <c r="DJ1850"/>
      <c r="DK1850"/>
      <c r="DL1850"/>
      <c r="DM1850"/>
      <c r="DN1850"/>
      <c r="DT1850"/>
      <c r="DU1850"/>
    </row>
    <row r="1851" spans="57:125">
      <c r="BE1851"/>
      <c r="BF1851" s="2"/>
      <c r="CN1851"/>
      <c r="CO1851"/>
      <c r="CP1851"/>
      <c r="CQ1851"/>
      <c r="CR1851"/>
      <c r="CS1851"/>
      <c r="CT1851"/>
      <c r="CU1851"/>
      <c r="CV1851" s="2"/>
      <c r="CX1851"/>
      <c r="DC1851"/>
      <c r="DI1851"/>
      <c r="DJ1851"/>
      <c r="DK1851"/>
      <c r="DL1851"/>
      <c r="DM1851"/>
      <c r="DN1851"/>
      <c r="DT1851"/>
      <c r="DU1851"/>
    </row>
    <row r="1852" spans="57:125">
      <c r="BE1852"/>
      <c r="BF1852" s="2"/>
      <c r="CN1852"/>
      <c r="CO1852"/>
      <c r="CP1852"/>
      <c r="CQ1852"/>
      <c r="CR1852"/>
      <c r="CS1852"/>
      <c r="CT1852"/>
      <c r="CU1852"/>
      <c r="CV1852" s="2"/>
      <c r="CX1852"/>
      <c r="DC1852"/>
      <c r="DI1852"/>
      <c r="DJ1852"/>
      <c r="DK1852"/>
      <c r="DL1852"/>
      <c r="DM1852"/>
      <c r="DN1852"/>
      <c r="DT1852"/>
      <c r="DU1852"/>
    </row>
    <row r="1853" spans="57:125">
      <c r="BE1853"/>
      <c r="BF1853" s="2"/>
      <c r="CN1853"/>
      <c r="CO1853"/>
      <c r="CP1853"/>
      <c r="CQ1853"/>
      <c r="CR1853"/>
      <c r="CS1853"/>
      <c r="CT1853"/>
      <c r="CU1853"/>
      <c r="CV1853" s="2"/>
      <c r="CX1853"/>
      <c r="DC1853"/>
      <c r="DI1853"/>
      <c r="DJ1853"/>
      <c r="DK1853"/>
      <c r="DL1853"/>
      <c r="DM1853"/>
      <c r="DN1853"/>
      <c r="DT1853"/>
      <c r="DU1853"/>
    </row>
    <row r="1854" spans="57:125">
      <c r="BE1854"/>
      <c r="BF1854" s="2"/>
      <c r="CN1854"/>
      <c r="CO1854"/>
      <c r="CP1854"/>
      <c r="CQ1854"/>
      <c r="CR1854"/>
      <c r="CS1854"/>
      <c r="CT1854"/>
      <c r="CU1854"/>
      <c r="CV1854" s="2"/>
      <c r="CX1854"/>
      <c r="DC1854"/>
      <c r="DI1854"/>
      <c r="DJ1854"/>
      <c r="DK1854"/>
      <c r="DL1854"/>
      <c r="DM1854"/>
      <c r="DN1854"/>
      <c r="DT1854"/>
      <c r="DU1854"/>
    </row>
    <row r="1855" spans="57:125">
      <c r="BE1855"/>
      <c r="BF1855" s="2"/>
      <c r="CN1855"/>
      <c r="CO1855"/>
      <c r="CP1855"/>
      <c r="CQ1855"/>
      <c r="CR1855"/>
      <c r="CS1855"/>
      <c r="CT1855"/>
      <c r="CU1855"/>
      <c r="CV1855" s="2"/>
      <c r="CX1855"/>
      <c r="DC1855"/>
      <c r="DI1855"/>
      <c r="DJ1855"/>
      <c r="DK1855"/>
      <c r="DL1855"/>
      <c r="DM1855"/>
      <c r="DN1855"/>
      <c r="DT1855"/>
      <c r="DU1855"/>
    </row>
    <row r="1856" spans="57:125">
      <c r="BE1856"/>
      <c r="BF1856" s="2"/>
      <c r="CN1856"/>
      <c r="CO1856"/>
      <c r="CP1856"/>
      <c r="CQ1856"/>
      <c r="CR1856"/>
      <c r="CS1856"/>
      <c r="CT1856"/>
      <c r="CU1856"/>
      <c r="CV1856" s="2"/>
      <c r="CX1856"/>
      <c r="DC1856"/>
      <c r="DI1856"/>
      <c r="DJ1856"/>
      <c r="DK1856"/>
      <c r="DL1856"/>
      <c r="DM1856"/>
      <c r="DN1856"/>
      <c r="DT1856"/>
      <c r="DU1856"/>
    </row>
    <row r="1857" spans="57:125">
      <c r="BE1857"/>
      <c r="BF1857" s="2"/>
      <c r="CN1857"/>
      <c r="CO1857"/>
      <c r="CP1857"/>
      <c r="CQ1857"/>
      <c r="CR1857"/>
      <c r="CS1857"/>
      <c r="CT1857"/>
      <c r="CU1857"/>
      <c r="CV1857" s="2"/>
      <c r="CX1857"/>
      <c r="DC1857"/>
      <c r="DI1857"/>
      <c r="DJ1857"/>
      <c r="DK1857"/>
      <c r="DL1857"/>
      <c r="DM1857"/>
      <c r="DN1857"/>
      <c r="DT1857"/>
      <c r="DU1857"/>
    </row>
    <row r="1858" spans="57:125">
      <c r="BE1858"/>
      <c r="BF1858" s="2"/>
      <c r="CN1858"/>
      <c r="CO1858"/>
      <c r="CP1858"/>
      <c r="CQ1858"/>
      <c r="CR1858"/>
      <c r="CS1858"/>
      <c r="CT1858"/>
      <c r="CU1858"/>
      <c r="CV1858" s="2"/>
      <c r="CX1858"/>
      <c r="DC1858"/>
      <c r="DI1858"/>
      <c r="DJ1858"/>
      <c r="DK1858"/>
      <c r="DL1858"/>
      <c r="DM1858"/>
      <c r="DN1858"/>
      <c r="DT1858"/>
      <c r="DU1858"/>
    </row>
    <row r="1859" spans="57:125">
      <c r="BE1859"/>
      <c r="BF1859" s="2"/>
      <c r="CN1859"/>
      <c r="CO1859"/>
      <c r="CP1859"/>
      <c r="CQ1859"/>
      <c r="CR1859"/>
      <c r="CS1859"/>
      <c r="CT1859"/>
      <c r="CU1859"/>
      <c r="CV1859" s="2"/>
      <c r="CX1859"/>
      <c r="DC1859"/>
      <c r="DI1859"/>
      <c r="DJ1859"/>
      <c r="DK1859"/>
      <c r="DL1859"/>
      <c r="DM1859"/>
      <c r="DN1859"/>
      <c r="DT1859"/>
      <c r="DU1859"/>
    </row>
    <row r="1860" spans="57:125">
      <c r="BE1860"/>
      <c r="BF1860" s="2"/>
      <c r="CN1860"/>
      <c r="CO1860"/>
      <c r="CP1860"/>
      <c r="CQ1860"/>
      <c r="CR1860"/>
      <c r="CS1860"/>
      <c r="CT1860"/>
      <c r="CU1860"/>
      <c r="CV1860" s="2"/>
      <c r="CX1860"/>
      <c r="DC1860"/>
      <c r="DI1860"/>
      <c r="DJ1860"/>
      <c r="DK1860"/>
      <c r="DL1860"/>
      <c r="DM1860"/>
      <c r="DN1860"/>
      <c r="DT1860"/>
      <c r="DU1860"/>
    </row>
    <row r="1861" spans="57:125">
      <c r="BE1861"/>
      <c r="BF1861" s="2"/>
      <c r="CN1861"/>
      <c r="CO1861"/>
      <c r="CP1861"/>
      <c r="CQ1861"/>
      <c r="CR1861"/>
      <c r="CS1861"/>
      <c r="CT1861"/>
      <c r="CU1861"/>
      <c r="CV1861" s="2"/>
      <c r="CX1861"/>
      <c r="DC1861"/>
      <c r="DI1861"/>
      <c r="DJ1861"/>
      <c r="DK1861"/>
      <c r="DL1861"/>
      <c r="DM1861"/>
      <c r="DN1861"/>
      <c r="DT1861"/>
      <c r="DU1861"/>
    </row>
    <row r="1862" spans="57:125">
      <c r="BE1862"/>
      <c r="BF1862" s="2"/>
      <c r="CN1862"/>
      <c r="CO1862"/>
      <c r="CP1862"/>
      <c r="CQ1862"/>
      <c r="CR1862"/>
      <c r="CS1862"/>
      <c r="CT1862"/>
      <c r="CU1862"/>
      <c r="CV1862" s="2"/>
      <c r="CX1862"/>
      <c r="DC1862"/>
      <c r="DI1862"/>
      <c r="DJ1862"/>
      <c r="DK1862"/>
      <c r="DL1862"/>
      <c r="DM1862"/>
      <c r="DN1862"/>
      <c r="DT1862"/>
      <c r="DU1862"/>
    </row>
    <row r="1863" spans="57:125">
      <c r="BE1863"/>
      <c r="BF1863" s="2"/>
      <c r="CN1863"/>
      <c r="CO1863"/>
      <c r="CP1863"/>
      <c r="CQ1863"/>
      <c r="CR1863"/>
      <c r="CS1863"/>
      <c r="CT1863"/>
      <c r="CU1863"/>
      <c r="CV1863" s="2"/>
      <c r="CX1863"/>
      <c r="DC1863"/>
      <c r="DI1863"/>
      <c r="DJ1863"/>
      <c r="DK1863"/>
      <c r="DL1863"/>
      <c r="DM1863"/>
      <c r="DN1863"/>
      <c r="DT1863"/>
      <c r="DU1863"/>
    </row>
    <row r="1864" spans="57:125">
      <c r="BE1864"/>
      <c r="BF1864" s="2"/>
      <c r="CN1864"/>
      <c r="CO1864"/>
      <c r="CP1864"/>
      <c r="CQ1864"/>
      <c r="CR1864"/>
      <c r="CS1864"/>
      <c r="CT1864"/>
      <c r="CU1864"/>
      <c r="CV1864" s="2"/>
      <c r="CX1864"/>
      <c r="DC1864"/>
      <c r="DI1864"/>
      <c r="DJ1864"/>
      <c r="DK1864"/>
      <c r="DL1864"/>
      <c r="DM1864"/>
      <c r="DN1864"/>
      <c r="DT1864"/>
      <c r="DU1864"/>
    </row>
    <row r="1865" spans="57:125">
      <c r="BE1865"/>
      <c r="BF1865" s="2"/>
      <c r="CN1865"/>
      <c r="CO1865"/>
      <c r="CP1865"/>
      <c r="CQ1865"/>
      <c r="CR1865"/>
      <c r="CS1865"/>
      <c r="CT1865"/>
      <c r="CU1865"/>
      <c r="CV1865" s="2"/>
      <c r="CX1865"/>
      <c r="DC1865"/>
      <c r="DI1865"/>
      <c r="DJ1865"/>
      <c r="DK1865"/>
      <c r="DL1865"/>
      <c r="DM1865"/>
      <c r="DN1865"/>
      <c r="DT1865"/>
      <c r="DU1865"/>
    </row>
    <row r="1866" spans="57:125">
      <c r="BE1866"/>
      <c r="BF1866" s="2"/>
      <c r="CN1866"/>
      <c r="CO1866"/>
      <c r="CP1866"/>
      <c r="CQ1866"/>
      <c r="CR1866"/>
      <c r="CS1866"/>
      <c r="CT1866"/>
      <c r="CU1866"/>
      <c r="CV1866" s="2"/>
      <c r="CX1866"/>
      <c r="DC1866"/>
      <c r="DI1866"/>
      <c r="DJ1866"/>
      <c r="DK1866"/>
      <c r="DL1866"/>
      <c r="DM1866"/>
      <c r="DN1866"/>
      <c r="DT1866"/>
      <c r="DU1866"/>
    </row>
    <row r="1867" spans="57:125">
      <c r="BE1867"/>
      <c r="BF1867" s="2"/>
      <c r="CN1867"/>
      <c r="CO1867"/>
      <c r="CP1867"/>
      <c r="CQ1867"/>
      <c r="CR1867"/>
      <c r="CS1867"/>
      <c r="CT1867"/>
      <c r="CU1867"/>
      <c r="CV1867" s="2"/>
      <c r="CX1867"/>
      <c r="DC1867"/>
      <c r="DI1867"/>
      <c r="DJ1867"/>
      <c r="DK1867"/>
      <c r="DL1867"/>
      <c r="DM1867"/>
      <c r="DN1867"/>
      <c r="DT1867"/>
      <c r="DU1867"/>
    </row>
    <row r="1868" spans="57:125">
      <c r="BE1868"/>
      <c r="BF1868" s="2"/>
      <c r="CN1868"/>
      <c r="CO1868"/>
      <c r="CP1868"/>
      <c r="CQ1868"/>
      <c r="CR1868"/>
      <c r="CS1868"/>
      <c r="CT1868"/>
      <c r="CU1868"/>
      <c r="CV1868" s="2"/>
      <c r="CX1868"/>
      <c r="DC1868"/>
      <c r="DI1868"/>
      <c r="DJ1868"/>
      <c r="DK1868"/>
      <c r="DL1868"/>
      <c r="DM1868"/>
      <c r="DN1868"/>
      <c r="DT1868"/>
      <c r="DU1868"/>
    </row>
    <row r="1869" spans="57:125">
      <c r="BE1869"/>
      <c r="BF1869" s="2"/>
      <c r="CN1869"/>
      <c r="CO1869"/>
      <c r="CP1869"/>
      <c r="CQ1869"/>
      <c r="CR1869"/>
      <c r="CS1869"/>
      <c r="CT1869"/>
      <c r="CU1869"/>
      <c r="CV1869" s="2"/>
      <c r="CX1869"/>
      <c r="DC1869"/>
      <c r="DI1869"/>
      <c r="DJ1869"/>
      <c r="DK1869"/>
      <c r="DL1869"/>
      <c r="DM1869"/>
      <c r="DN1869"/>
      <c r="DT1869"/>
      <c r="DU1869"/>
    </row>
    <row r="1870" spans="57:125">
      <c r="BE1870"/>
      <c r="BF1870" s="2"/>
      <c r="CN1870"/>
      <c r="CO1870"/>
      <c r="CP1870"/>
      <c r="CQ1870"/>
      <c r="CR1870"/>
      <c r="CS1870"/>
      <c r="CT1870"/>
      <c r="CU1870"/>
      <c r="CV1870" s="2"/>
      <c r="CX1870"/>
      <c r="DC1870"/>
      <c r="DI1870"/>
      <c r="DJ1870"/>
      <c r="DK1870"/>
      <c r="DL1870"/>
      <c r="DM1870"/>
      <c r="DN1870"/>
      <c r="DT1870"/>
      <c r="DU1870"/>
    </row>
    <row r="1871" spans="57:125">
      <c r="BE1871"/>
      <c r="BF1871" s="2"/>
      <c r="CN1871"/>
      <c r="CO1871"/>
      <c r="CP1871"/>
      <c r="CQ1871"/>
      <c r="CR1871"/>
      <c r="CS1871"/>
      <c r="CT1871"/>
      <c r="CU1871"/>
      <c r="CV1871" s="2"/>
      <c r="CX1871"/>
      <c r="DC1871"/>
      <c r="DI1871"/>
      <c r="DJ1871"/>
      <c r="DK1871"/>
      <c r="DL1871"/>
      <c r="DM1871"/>
      <c r="DN1871"/>
      <c r="DT1871"/>
      <c r="DU1871"/>
    </row>
    <row r="1872" spans="57:125">
      <c r="BE1872"/>
      <c r="BF1872" s="2"/>
      <c r="CN1872"/>
      <c r="CO1872"/>
      <c r="CP1872"/>
      <c r="CQ1872"/>
      <c r="CR1872"/>
      <c r="CS1872"/>
      <c r="CT1872"/>
      <c r="CU1872"/>
      <c r="CV1872" s="2"/>
      <c r="CX1872"/>
      <c r="DC1872"/>
      <c r="DI1872"/>
      <c r="DJ1872"/>
      <c r="DK1872"/>
      <c r="DL1872"/>
      <c r="DM1872"/>
      <c r="DN1872"/>
      <c r="DT1872"/>
      <c r="DU1872"/>
    </row>
    <row r="1873" spans="57:125">
      <c r="BE1873"/>
      <c r="BF1873" s="2"/>
      <c r="CN1873"/>
      <c r="CO1873"/>
      <c r="CP1873"/>
      <c r="CQ1873"/>
      <c r="CR1873"/>
      <c r="CS1873"/>
      <c r="CT1873"/>
      <c r="CU1873"/>
      <c r="CV1873" s="2"/>
      <c r="CX1873"/>
      <c r="DC1873"/>
      <c r="DI1873"/>
      <c r="DJ1873"/>
      <c r="DK1873"/>
      <c r="DL1873"/>
      <c r="DM1873"/>
      <c r="DN1873"/>
      <c r="DT1873"/>
      <c r="DU1873"/>
    </row>
    <row r="1874" spans="57:125">
      <c r="BE1874"/>
      <c r="BF1874" s="2"/>
      <c r="CN1874"/>
      <c r="CO1874"/>
      <c r="CP1874"/>
      <c r="CQ1874"/>
      <c r="CR1874"/>
      <c r="CS1874"/>
      <c r="CT1874"/>
      <c r="CU1874"/>
      <c r="CV1874" s="2"/>
      <c r="CX1874"/>
      <c r="DC1874"/>
      <c r="DI1874"/>
      <c r="DJ1874"/>
      <c r="DK1874"/>
      <c r="DL1874"/>
      <c r="DM1874"/>
      <c r="DN1874"/>
      <c r="DT1874"/>
      <c r="DU1874"/>
    </row>
    <row r="1875" spans="57:125">
      <c r="BE1875"/>
      <c r="BF1875" s="2"/>
      <c r="CN1875"/>
      <c r="CO1875"/>
      <c r="CP1875"/>
      <c r="CQ1875"/>
      <c r="CR1875"/>
      <c r="CS1875"/>
      <c r="CT1875"/>
      <c r="CU1875"/>
      <c r="CV1875" s="2"/>
      <c r="CX1875"/>
      <c r="DC1875"/>
      <c r="DI1875"/>
      <c r="DJ1875"/>
      <c r="DK1875"/>
      <c r="DL1875"/>
      <c r="DM1875"/>
      <c r="DN1875"/>
      <c r="DT1875"/>
      <c r="DU1875"/>
    </row>
    <row r="1876" spans="57:125">
      <c r="BE1876"/>
      <c r="BF1876" s="2"/>
      <c r="CN1876"/>
      <c r="CO1876"/>
      <c r="CP1876"/>
      <c r="CQ1876"/>
      <c r="CR1876"/>
      <c r="CS1876"/>
      <c r="CT1876"/>
      <c r="CU1876"/>
      <c r="CV1876" s="2"/>
      <c r="CX1876"/>
      <c r="DC1876"/>
      <c r="DI1876"/>
      <c r="DJ1876"/>
      <c r="DK1876"/>
      <c r="DL1876"/>
      <c r="DM1876"/>
      <c r="DN1876"/>
      <c r="DT1876"/>
      <c r="DU1876"/>
    </row>
    <row r="1877" spans="57:125">
      <c r="BE1877"/>
      <c r="BF1877" s="2"/>
      <c r="CN1877"/>
      <c r="CO1877"/>
      <c r="CP1877"/>
      <c r="CQ1877"/>
      <c r="CR1877"/>
      <c r="CS1877"/>
      <c r="CT1877"/>
      <c r="CU1877"/>
      <c r="CV1877" s="2"/>
      <c r="CX1877"/>
      <c r="DC1877"/>
      <c r="DI1877"/>
      <c r="DJ1877"/>
      <c r="DK1877"/>
      <c r="DL1877"/>
      <c r="DM1877"/>
      <c r="DN1877"/>
      <c r="DT1877"/>
      <c r="DU1877"/>
    </row>
    <row r="1878" spans="57:125">
      <c r="BE1878"/>
      <c r="BF1878" s="2"/>
      <c r="CN1878"/>
      <c r="CO1878"/>
      <c r="CP1878"/>
      <c r="CQ1878"/>
      <c r="CR1878"/>
      <c r="CS1878"/>
      <c r="CT1878"/>
      <c r="CU1878"/>
      <c r="CV1878" s="2"/>
      <c r="CX1878"/>
      <c r="DC1878"/>
      <c r="DI1878"/>
      <c r="DJ1878"/>
      <c r="DK1878"/>
      <c r="DL1878"/>
      <c r="DM1878"/>
      <c r="DN1878"/>
      <c r="DT1878"/>
      <c r="DU1878"/>
    </row>
    <row r="1879" spans="57:125">
      <c r="BE1879"/>
      <c r="BF1879" s="2"/>
      <c r="CN1879"/>
      <c r="CO1879"/>
      <c r="CP1879"/>
      <c r="CQ1879"/>
      <c r="CR1879"/>
      <c r="CS1879"/>
      <c r="CT1879"/>
      <c r="CU1879"/>
      <c r="CV1879" s="2"/>
      <c r="CX1879"/>
      <c r="DC1879"/>
      <c r="DI1879"/>
      <c r="DJ1879"/>
      <c r="DK1879"/>
      <c r="DL1879"/>
      <c r="DM1879"/>
      <c r="DN1879"/>
      <c r="DT1879"/>
      <c r="DU1879"/>
    </row>
    <row r="1880" spans="57:125">
      <c r="BE1880"/>
      <c r="BF1880" s="2"/>
      <c r="CN1880"/>
      <c r="CO1880"/>
      <c r="CP1880"/>
      <c r="CQ1880"/>
      <c r="CR1880"/>
      <c r="CS1880"/>
      <c r="CT1880"/>
      <c r="CU1880"/>
      <c r="CV1880" s="2"/>
      <c r="CX1880"/>
      <c r="DC1880"/>
      <c r="DI1880"/>
      <c r="DJ1880"/>
      <c r="DK1880"/>
      <c r="DL1880"/>
      <c r="DM1880"/>
      <c r="DN1880"/>
      <c r="DT1880"/>
      <c r="DU1880"/>
    </row>
    <row r="1881" spans="57:125">
      <c r="BE1881"/>
      <c r="BF1881" s="2"/>
      <c r="CN1881"/>
      <c r="CO1881"/>
      <c r="CP1881"/>
      <c r="CQ1881"/>
      <c r="CR1881"/>
      <c r="CS1881"/>
      <c r="CT1881"/>
      <c r="CU1881"/>
      <c r="CV1881" s="2"/>
      <c r="CX1881"/>
      <c r="DC1881"/>
      <c r="DI1881"/>
      <c r="DJ1881"/>
      <c r="DK1881"/>
      <c r="DL1881"/>
      <c r="DM1881"/>
      <c r="DN1881"/>
      <c r="DT1881"/>
      <c r="DU1881"/>
    </row>
    <row r="1882" spans="57:125">
      <c r="BE1882"/>
      <c r="BF1882" s="2"/>
      <c r="CN1882"/>
      <c r="CO1882"/>
      <c r="CP1882"/>
      <c r="CQ1882"/>
      <c r="CR1882"/>
      <c r="CS1882"/>
      <c r="CT1882"/>
      <c r="CU1882"/>
      <c r="CV1882" s="2"/>
      <c r="CX1882"/>
      <c r="DC1882"/>
      <c r="DI1882"/>
      <c r="DJ1882"/>
      <c r="DK1882"/>
      <c r="DL1882"/>
      <c r="DM1882"/>
      <c r="DN1882"/>
      <c r="DT1882"/>
      <c r="DU1882"/>
    </row>
    <row r="1883" spans="57:125">
      <c r="BE1883"/>
      <c r="BF1883" s="2"/>
      <c r="CN1883"/>
      <c r="CO1883"/>
      <c r="CP1883"/>
      <c r="CQ1883"/>
      <c r="CR1883"/>
      <c r="CS1883"/>
      <c r="CT1883"/>
      <c r="CU1883"/>
      <c r="CV1883" s="2"/>
      <c r="CX1883"/>
      <c r="DC1883"/>
      <c r="DI1883"/>
      <c r="DJ1883"/>
      <c r="DK1883"/>
      <c r="DL1883"/>
      <c r="DM1883"/>
      <c r="DN1883"/>
      <c r="DT1883"/>
      <c r="DU1883"/>
    </row>
    <row r="1884" spans="57:125">
      <c r="BE1884"/>
      <c r="BF1884" s="2"/>
      <c r="CN1884"/>
      <c r="CO1884"/>
      <c r="CP1884"/>
      <c r="CQ1884"/>
      <c r="CR1884"/>
      <c r="CS1884"/>
      <c r="CT1884"/>
      <c r="CU1884"/>
      <c r="CV1884" s="2"/>
      <c r="CX1884"/>
      <c r="DC1884"/>
      <c r="DI1884"/>
      <c r="DJ1884"/>
      <c r="DK1884"/>
      <c r="DL1884"/>
      <c r="DM1884"/>
      <c r="DN1884"/>
      <c r="DT1884"/>
      <c r="DU1884"/>
    </row>
    <row r="1885" spans="57:125">
      <c r="BE1885"/>
      <c r="BF1885" s="2"/>
      <c r="CN1885"/>
      <c r="CO1885"/>
      <c r="CP1885"/>
      <c r="CQ1885"/>
      <c r="CR1885"/>
      <c r="CS1885"/>
      <c r="CT1885"/>
      <c r="CU1885"/>
      <c r="CV1885" s="2"/>
      <c r="CX1885"/>
      <c r="DC1885"/>
      <c r="DI1885"/>
      <c r="DJ1885"/>
      <c r="DK1885"/>
      <c r="DL1885"/>
      <c r="DM1885"/>
      <c r="DN1885"/>
      <c r="DT1885"/>
      <c r="DU1885"/>
    </row>
    <row r="1886" spans="57:125">
      <c r="BE1886"/>
      <c r="BF1886" s="2"/>
      <c r="CN1886"/>
      <c r="CO1886"/>
      <c r="CP1886"/>
      <c r="CQ1886"/>
      <c r="CR1886"/>
      <c r="CS1886"/>
      <c r="CT1886"/>
      <c r="CU1886"/>
      <c r="CV1886" s="2"/>
      <c r="CX1886"/>
      <c r="DC1886"/>
      <c r="DI1886"/>
      <c r="DJ1886"/>
      <c r="DK1886"/>
      <c r="DL1886"/>
      <c r="DM1886"/>
      <c r="DN1886"/>
      <c r="DT1886"/>
      <c r="DU1886"/>
    </row>
    <row r="1887" spans="57:125">
      <c r="BE1887"/>
      <c r="BF1887" s="2"/>
      <c r="CN1887"/>
      <c r="CO1887"/>
      <c r="CP1887"/>
      <c r="CQ1887"/>
      <c r="CR1887"/>
      <c r="CS1887"/>
      <c r="CT1887"/>
      <c r="CU1887"/>
      <c r="CV1887" s="2"/>
      <c r="CX1887"/>
      <c r="DC1887"/>
      <c r="DI1887"/>
      <c r="DJ1887"/>
      <c r="DK1887"/>
      <c r="DL1887"/>
      <c r="DM1887"/>
      <c r="DN1887"/>
      <c r="DT1887"/>
      <c r="DU1887"/>
    </row>
    <row r="1888" spans="57:125">
      <c r="BE1888"/>
      <c r="BF1888" s="2"/>
      <c r="CN1888"/>
      <c r="CO1888"/>
      <c r="CP1888"/>
      <c r="CQ1888"/>
      <c r="CR1888"/>
      <c r="CS1888"/>
      <c r="CT1888"/>
      <c r="CU1888"/>
      <c r="CV1888" s="2"/>
      <c r="CX1888"/>
      <c r="DC1888"/>
      <c r="DI1888"/>
      <c r="DJ1888"/>
      <c r="DK1888"/>
      <c r="DL1888"/>
      <c r="DM1888"/>
      <c r="DN1888"/>
      <c r="DT1888"/>
      <c r="DU1888"/>
    </row>
    <row r="1889" spans="57:125">
      <c r="BE1889"/>
      <c r="BF1889" s="2"/>
      <c r="CN1889"/>
      <c r="CO1889"/>
      <c r="CP1889"/>
      <c r="CQ1889"/>
      <c r="CR1889"/>
      <c r="CS1889"/>
      <c r="CT1889"/>
      <c r="CU1889"/>
      <c r="CV1889" s="2"/>
      <c r="CX1889"/>
      <c r="DC1889"/>
      <c r="DI1889"/>
      <c r="DJ1889"/>
      <c r="DK1889"/>
      <c r="DL1889"/>
      <c r="DM1889"/>
      <c r="DN1889"/>
      <c r="DT1889"/>
      <c r="DU1889"/>
    </row>
    <row r="1890" spans="57:125">
      <c r="BE1890"/>
      <c r="BF1890" s="2"/>
      <c r="CN1890"/>
      <c r="CO1890"/>
      <c r="CP1890"/>
      <c r="CQ1890"/>
      <c r="CR1890"/>
      <c r="CS1890"/>
      <c r="CT1890"/>
      <c r="CU1890"/>
      <c r="CV1890" s="2"/>
      <c r="CX1890"/>
      <c r="DC1890"/>
      <c r="DI1890"/>
      <c r="DJ1890"/>
      <c r="DK1890"/>
      <c r="DL1890"/>
      <c r="DM1890"/>
      <c r="DN1890"/>
      <c r="DT1890"/>
      <c r="DU1890"/>
    </row>
    <row r="1891" spans="57:125">
      <c r="BE1891"/>
      <c r="BF1891" s="2"/>
      <c r="CN1891"/>
      <c r="CO1891"/>
      <c r="CP1891"/>
      <c r="CQ1891"/>
      <c r="CR1891"/>
      <c r="CS1891"/>
      <c r="CT1891"/>
      <c r="CU1891"/>
      <c r="CV1891" s="2"/>
      <c r="CX1891"/>
      <c r="DC1891"/>
      <c r="DI1891"/>
      <c r="DJ1891"/>
      <c r="DK1891"/>
      <c r="DL1891"/>
      <c r="DM1891"/>
      <c r="DN1891"/>
      <c r="DT1891"/>
      <c r="DU1891"/>
    </row>
    <row r="1892" spans="57:125">
      <c r="BE1892"/>
      <c r="BF1892" s="2"/>
      <c r="CN1892"/>
      <c r="CO1892"/>
      <c r="CP1892"/>
      <c r="CQ1892"/>
      <c r="CR1892"/>
      <c r="CS1892"/>
      <c r="CT1892"/>
      <c r="CU1892"/>
      <c r="CV1892" s="2"/>
      <c r="CX1892"/>
      <c r="DC1892"/>
      <c r="DI1892"/>
      <c r="DJ1892"/>
      <c r="DK1892"/>
      <c r="DL1892"/>
      <c r="DM1892"/>
      <c r="DN1892"/>
      <c r="DT1892"/>
      <c r="DU1892"/>
    </row>
    <row r="1893" spans="57:125">
      <c r="BE1893"/>
      <c r="BF1893" s="2"/>
      <c r="CN1893"/>
      <c r="CO1893"/>
      <c r="CP1893"/>
      <c r="CQ1893"/>
      <c r="CR1893"/>
      <c r="CS1893"/>
      <c r="CT1893"/>
      <c r="CU1893"/>
      <c r="CV1893" s="2"/>
      <c r="CX1893"/>
      <c r="DC1893"/>
      <c r="DI1893"/>
      <c r="DJ1893"/>
      <c r="DK1893"/>
      <c r="DL1893"/>
      <c r="DM1893"/>
      <c r="DN1893"/>
      <c r="DT1893"/>
      <c r="DU1893"/>
    </row>
    <row r="1894" spans="57:125">
      <c r="BE1894"/>
      <c r="BF1894" s="2"/>
      <c r="CN1894"/>
      <c r="CO1894"/>
      <c r="CP1894"/>
      <c r="CQ1894"/>
      <c r="CR1894"/>
      <c r="CS1894"/>
      <c r="CT1894"/>
      <c r="CU1894"/>
      <c r="CV1894" s="2"/>
      <c r="CX1894"/>
      <c r="DC1894"/>
      <c r="DI1894"/>
      <c r="DJ1894"/>
      <c r="DK1894"/>
      <c r="DL1894"/>
      <c r="DM1894"/>
      <c r="DN1894"/>
      <c r="DT1894"/>
      <c r="DU1894"/>
    </row>
    <row r="1895" spans="57:125">
      <c r="BE1895"/>
      <c r="BF1895" s="2"/>
      <c r="CN1895"/>
      <c r="CO1895"/>
      <c r="CP1895"/>
      <c r="CQ1895"/>
      <c r="CR1895"/>
      <c r="CS1895"/>
      <c r="CT1895"/>
      <c r="CU1895"/>
      <c r="CV1895" s="2"/>
      <c r="CX1895"/>
      <c r="DC1895"/>
      <c r="DI1895"/>
      <c r="DJ1895"/>
      <c r="DK1895"/>
      <c r="DL1895"/>
      <c r="DM1895"/>
      <c r="DN1895"/>
      <c r="DT1895"/>
      <c r="DU1895"/>
    </row>
    <row r="1896" spans="57:125">
      <c r="BE1896"/>
      <c r="BF1896" s="2"/>
      <c r="CN1896"/>
      <c r="CO1896"/>
      <c r="CP1896"/>
      <c r="CQ1896"/>
      <c r="CR1896"/>
      <c r="CS1896"/>
      <c r="CT1896"/>
      <c r="CU1896"/>
      <c r="CV1896" s="2"/>
      <c r="CX1896"/>
      <c r="DC1896"/>
      <c r="DI1896"/>
      <c r="DJ1896"/>
      <c r="DK1896"/>
      <c r="DL1896"/>
      <c r="DM1896"/>
      <c r="DN1896"/>
      <c r="DT1896"/>
      <c r="DU1896"/>
    </row>
    <row r="1897" spans="57:125">
      <c r="BE1897"/>
      <c r="BF1897" s="2"/>
      <c r="CN1897"/>
      <c r="CO1897"/>
      <c r="CP1897"/>
      <c r="CQ1897"/>
      <c r="CR1897"/>
      <c r="CS1897"/>
      <c r="CT1897"/>
      <c r="CU1897"/>
      <c r="CV1897" s="2"/>
      <c r="CX1897"/>
      <c r="DC1897"/>
      <c r="DI1897"/>
      <c r="DJ1897"/>
      <c r="DK1897"/>
      <c r="DL1897"/>
      <c r="DM1897"/>
      <c r="DN1897"/>
      <c r="DT1897"/>
      <c r="DU1897"/>
    </row>
    <row r="1898" spans="57:125">
      <c r="BE1898"/>
      <c r="BF1898" s="2"/>
      <c r="CN1898"/>
      <c r="CO1898"/>
      <c r="CP1898"/>
      <c r="CQ1898"/>
      <c r="CR1898"/>
      <c r="CS1898"/>
      <c r="CT1898"/>
      <c r="CU1898"/>
      <c r="CV1898" s="2"/>
      <c r="CX1898"/>
      <c r="DC1898"/>
      <c r="DI1898"/>
      <c r="DJ1898"/>
      <c r="DK1898"/>
      <c r="DL1898"/>
      <c r="DM1898"/>
      <c r="DN1898"/>
      <c r="DT1898"/>
      <c r="DU1898"/>
    </row>
    <row r="1899" spans="57:125">
      <c r="BE1899"/>
      <c r="BF1899" s="2"/>
      <c r="CN1899"/>
      <c r="CO1899"/>
      <c r="CP1899"/>
      <c r="CQ1899"/>
      <c r="CR1899"/>
      <c r="CS1899"/>
      <c r="CT1899"/>
      <c r="CU1899"/>
      <c r="CV1899" s="2"/>
      <c r="CX1899"/>
      <c r="DC1899"/>
      <c r="DI1899"/>
      <c r="DJ1899"/>
      <c r="DK1899"/>
      <c r="DL1899"/>
      <c r="DM1899"/>
      <c r="DN1899"/>
      <c r="DT1899"/>
      <c r="DU1899"/>
    </row>
    <row r="1900" spans="57:125">
      <c r="BE1900"/>
      <c r="BF1900" s="2"/>
      <c r="CN1900"/>
      <c r="CO1900"/>
      <c r="CP1900"/>
      <c r="CQ1900"/>
      <c r="CR1900"/>
      <c r="CS1900"/>
      <c r="CT1900"/>
      <c r="CU1900"/>
      <c r="CV1900" s="2"/>
      <c r="CX1900"/>
      <c r="DC1900"/>
      <c r="DI1900"/>
      <c r="DJ1900"/>
      <c r="DK1900"/>
      <c r="DL1900"/>
      <c r="DM1900"/>
      <c r="DN1900"/>
      <c r="DT1900"/>
      <c r="DU1900"/>
    </row>
    <row r="1901" spans="57:125">
      <c r="BE1901"/>
      <c r="BF1901" s="2"/>
      <c r="CN1901"/>
      <c r="CO1901"/>
      <c r="CP1901"/>
      <c r="CQ1901"/>
      <c r="CR1901"/>
      <c r="CS1901"/>
      <c r="CT1901"/>
      <c r="CU1901"/>
      <c r="CV1901" s="2"/>
      <c r="CX1901"/>
      <c r="DC1901"/>
      <c r="DI1901"/>
      <c r="DJ1901"/>
      <c r="DK1901"/>
      <c r="DL1901"/>
      <c r="DM1901"/>
      <c r="DN1901"/>
      <c r="DT1901"/>
      <c r="DU1901"/>
    </row>
    <row r="1902" spans="57:125">
      <c r="BE1902"/>
      <c r="BF1902" s="2"/>
      <c r="CN1902"/>
      <c r="CO1902"/>
      <c r="CP1902"/>
      <c r="CQ1902"/>
      <c r="CR1902"/>
      <c r="CS1902"/>
      <c r="CT1902"/>
      <c r="CU1902"/>
      <c r="CV1902" s="2"/>
      <c r="CX1902"/>
      <c r="DC1902"/>
      <c r="DI1902"/>
      <c r="DJ1902"/>
      <c r="DK1902"/>
      <c r="DL1902"/>
      <c r="DM1902"/>
      <c r="DN1902"/>
      <c r="DT1902"/>
      <c r="DU1902"/>
    </row>
    <row r="1903" spans="57:125">
      <c r="BE1903"/>
      <c r="BF1903" s="2"/>
      <c r="CN1903"/>
      <c r="CO1903"/>
      <c r="CP1903"/>
      <c r="CQ1903"/>
      <c r="CR1903"/>
      <c r="CS1903"/>
      <c r="CT1903"/>
      <c r="CU1903"/>
      <c r="CV1903" s="2"/>
      <c r="CX1903"/>
      <c r="DC1903"/>
      <c r="DI1903"/>
      <c r="DJ1903"/>
      <c r="DK1903"/>
      <c r="DL1903"/>
      <c r="DM1903"/>
      <c r="DN1903"/>
      <c r="DT1903"/>
      <c r="DU1903"/>
    </row>
    <row r="1904" spans="57:125">
      <c r="BE1904"/>
      <c r="BF1904" s="2"/>
      <c r="CN1904"/>
      <c r="CO1904"/>
      <c r="CP1904"/>
      <c r="CQ1904"/>
      <c r="CR1904"/>
      <c r="CS1904"/>
      <c r="CT1904"/>
      <c r="CU1904"/>
      <c r="CV1904" s="2"/>
      <c r="CX1904"/>
      <c r="DC1904"/>
      <c r="DI1904"/>
      <c r="DJ1904"/>
      <c r="DK1904"/>
      <c r="DL1904"/>
      <c r="DM1904"/>
      <c r="DN1904"/>
      <c r="DT1904"/>
      <c r="DU1904"/>
    </row>
    <row r="1905" spans="57:125">
      <c r="BE1905"/>
      <c r="BF1905" s="2"/>
      <c r="CN1905"/>
      <c r="CO1905"/>
      <c r="CP1905"/>
      <c r="CQ1905"/>
      <c r="CR1905"/>
      <c r="CS1905"/>
      <c r="CT1905"/>
      <c r="CU1905"/>
      <c r="CV1905" s="2"/>
      <c r="CX1905"/>
      <c r="DC1905"/>
      <c r="DI1905"/>
      <c r="DJ1905"/>
      <c r="DK1905"/>
      <c r="DL1905"/>
      <c r="DM1905"/>
      <c r="DN1905"/>
      <c r="DT1905"/>
      <c r="DU1905"/>
    </row>
    <row r="1906" spans="57:125">
      <c r="BE1906"/>
      <c r="BF1906" s="2"/>
      <c r="CN1906"/>
      <c r="CO1906"/>
      <c r="CP1906"/>
      <c r="CQ1906"/>
      <c r="CR1906"/>
      <c r="CS1906"/>
      <c r="CT1906"/>
      <c r="CU1906"/>
      <c r="CV1906" s="2"/>
      <c r="CX1906"/>
      <c r="DC1906"/>
      <c r="DI1906"/>
      <c r="DJ1906"/>
      <c r="DK1906"/>
      <c r="DL1906"/>
      <c r="DM1906"/>
      <c r="DN1906"/>
      <c r="DT1906"/>
      <c r="DU1906"/>
    </row>
    <row r="1907" spans="57:125">
      <c r="BE1907"/>
      <c r="BF1907" s="2"/>
      <c r="CN1907"/>
      <c r="CO1907"/>
      <c r="CP1907"/>
      <c r="CQ1907"/>
      <c r="CR1907"/>
      <c r="CS1907"/>
      <c r="CT1907"/>
      <c r="CU1907"/>
      <c r="CV1907" s="2"/>
      <c r="CX1907"/>
      <c r="DC1907"/>
      <c r="DI1907"/>
      <c r="DJ1907"/>
      <c r="DK1907"/>
      <c r="DL1907"/>
      <c r="DM1907"/>
      <c r="DN1907"/>
      <c r="DT1907"/>
      <c r="DU1907"/>
    </row>
    <row r="1908" spans="57:125">
      <c r="BE1908"/>
      <c r="BF1908" s="2"/>
      <c r="CN1908"/>
      <c r="CO1908"/>
      <c r="CP1908"/>
      <c r="CQ1908"/>
      <c r="CR1908"/>
      <c r="CS1908"/>
      <c r="CT1908"/>
      <c r="CU1908"/>
      <c r="CV1908" s="2"/>
      <c r="CX1908"/>
      <c r="DC1908"/>
      <c r="DI1908"/>
      <c r="DJ1908"/>
      <c r="DK1908"/>
      <c r="DL1908"/>
      <c r="DM1908"/>
      <c r="DN1908"/>
      <c r="DT1908"/>
      <c r="DU1908"/>
    </row>
    <row r="1909" spans="57:125">
      <c r="BE1909"/>
      <c r="BF1909" s="2"/>
      <c r="CN1909"/>
      <c r="CO1909"/>
      <c r="CP1909"/>
      <c r="CQ1909"/>
      <c r="CR1909"/>
      <c r="CS1909"/>
      <c r="CT1909"/>
      <c r="CU1909"/>
      <c r="CV1909" s="2"/>
      <c r="CX1909"/>
      <c r="DC1909"/>
      <c r="DI1909"/>
      <c r="DJ1909"/>
      <c r="DK1909"/>
      <c r="DL1909"/>
      <c r="DM1909"/>
      <c r="DN1909"/>
      <c r="DT1909"/>
      <c r="DU1909"/>
    </row>
    <row r="1910" spans="57:125">
      <c r="BE1910"/>
      <c r="BF1910" s="2"/>
      <c r="CN1910"/>
      <c r="CO1910"/>
      <c r="CP1910"/>
      <c r="CQ1910"/>
      <c r="CR1910"/>
      <c r="CS1910"/>
      <c r="CT1910"/>
      <c r="CU1910"/>
      <c r="CV1910" s="2"/>
      <c r="CX1910"/>
      <c r="DC1910"/>
      <c r="DI1910"/>
      <c r="DJ1910"/>
      <c r="DK1910"/>
      <c r="DL1910"/>
      <c r="DM1910"/>
      <c r="DN1910"/>
      <c r="DT1910"/>
      <c r="DU1910"/>
    </row>
    <row r="1911" spans="57:125">
      <c r="BE1911"/>
      <c r="BF1911" s="2"/>
      <c r="CN1911"/>
      <c r="CO1911"/>
      <c r="CP1911"/>
      <c r="CQ1911"/>
      <c r="CR1911"/>
      <c r="CS1911"/>
      <c r="CT1911"/>
      <c r="CU1911"/>
      <c r="CV1911" s="2"/>
      <c r="CX1911"/>
      <c r="DC1911"/>
      <c r="DI1911"/>
      <c r="DJ1911"/>
      <c r="DK1911"/>
      <c r="DL1911"/>
      <c r="DM1911"/>
      <c r="DN1911"/>
      <c r="DT1911"/>
      <c r="DU1911"/>
    </row>
    <row r="1912" spans="57:125">
      <c r="BE1912"/>
      <c r="BF1912" s="2"/>
      <c r="CN1912"/>
      <c r="CO1912"/>
      <c r="CP1912"/>
      <c r="CQ1912"/>
      <c r="CR1912"/>
      <c r="CS1912"/>
      <c r="CT1912"/>
      <c r="CU1912"/>
      <c r="CV1912" s="2"/>
      <c r="CX1912"/>
      <c r="DC1912"/>
      <c r="DI1912"/>
      <c r="DJ1912"/>
      <c r="DK1912"/>
      <c r="DL1912"/>
      <c r="DM1912"/>
      <c r="DN1912"/>
      <c r="DT1912"/>
      <c r="DU1912"/>
    </row>
    <row r="1913" spans="57:125">
      <c r="BE1913"/>
      <c r="BF1913" s="2"/>
      <c r="CN1913"/>
      <c r="CO1913"/>
      <c r="CP1913"/>
      <c r="CQ1913"/>
      <c r="CR1913"/>
      <c r="CS1913"/>
      <c r="CT1913"/>
      <c r="CU1913"/>
      <c r="CV1913" s="2"/>
      <c r="CX1913"/>
      <c r="DC1913"/>
      <c r="DI1913"/>
      <c r="DJ1913"/>
      <c r="DK1913"/>
      <c r="DL1913"/>
      <c r="DM1913"/>
      <c r="DN1913"/>
      <c r="DT1913"/>
      <c r="DU1913"/>
    </row>
    <row r="1914" spans="57:125">
      <c r="BE1914"/>
      <c r="BF1914" s="2"/>
      <c r="CN1914"/>
      <c r="CO1914"/>
      <c r="CP1914"/>
      <c r="CQ1914"/>
      <c r="CR1914"/>
      <c r="CS1914"/>
      <c r="CT1914"/>
      <c r="CU1914"/>
      <c r="CV1914" s="2"/>
      <c r="CX1914"/>
      <c r="DC1914"/>
      <c r="DI1914"/>
      <c r="DJ1914"/>
      <c r="DK1914"/>
      <c r="DL1914"/>
      <c r="DM1914"/>
      <c r="DN1914"/>
      <c r="DT1914"/>
      <c r="DU1914"/>
    </row>
    <row r="1915" spans="57:125">
      <c r="BE1915"/>
      <c r="BF1915" s="2"/>
      <c r="CN1915"/>
      <c r="CO1915"/>
      <c r="CP1915"/>
      <c r="CQ1915"/>
      <c r="CR1915"/>
      <c r="CS1915"/>
      <c r="CT1915"/>
      <c r="CU1915"/>
      <c r="CV1915" s="2"/>
      <c r="CX1915"/>
      <c r="DC1915"/>
      <c r="DI1915"/>
      <c r="DJ1915"/>
      <c r="DK1915"/>
      <c r="DL1915"/>
      <c r="DM1915"/>
      <c r="DN1915"/>
      <c r="DT1915"/>
      <c r="DU1915"/>
    </row>
    <row r="1916" spans="57:125">
      <c r="BE1916"/>
      <c r="BF1916" s="2"/>
      <c r="CN1916"/>
      <c r="CO1916"/>
      <c r="CP1916"/>
      <c r="CQ1916"/>
      <c r="CR1916"/>
      <c r="CS1916"/>
      <c r="CT1916"/>
      <c r="CU1916"/>
      <c r="CV1916" s="2"/>
      <c r="CX1916"/>
      <c r="DC1916"/>
      <c r="DI1916"/>
      <c r="DJ1916"/>
      <c r="DK1916"/>
      <c r="DL1916"/>
      <c r="DM1916"/>
      <c r="DN1916"/>
      <c r="DT1916"/>
      <c r="DU1916"/>
    </row>
    <row r="1917" spans="57:125">
      <c r="BE1917"/>
      <c r="BF1917" s="2"/>
      <c r="CN1917"/>
      <c r="CO1917"/>
      <c r="CP1917"/>
      <c r="CQ1917"/>
      <c r="CR1917"/>
      <c r="CS1917"/>
      <c r="CT1917"/>
      <c r="CU1917"/>
      <c r="CV1917" s="2"/>
      <c r="CX1917"/>
      <c r="DC1917"/>
      <c r="DI1917"/>
      <c r="DJ1917"/>
      <c r="DK1917"/>
      <c r="DL1917"/>
      <c r="DM1917"/>
      <c r="DN1917"/>
      <c r="DT1917"/>
      <c r="DU1917"/>
    </row>
    <row r="1918" spans="57:125">
      <c r="BE1918"/>
      <c r="BF1918" s="2"/>
      <c r="CN1918"/>
      <c r="CO1918"/>
      <c r="CP1918"/>
      <c r="CQ1918"/>
      <c r="CR1918"/>
      <c r="CS1918"/>
      <c r="CT1918"/>
      <c r="CU1918"/>
      <c r="CV1918" s="2"/>
      <c r="CX1918"/>
      <c r="DC1918"/>
      <c r="DI1918"/>
      <c r="DJ1918"/>
      <c r="DK1918"/>
      <c r="DL1918"/>
      <c r="DM1918"/>
      <c r="DN1918"/>
      <c r="DT1918"/>
      <c r="DU1918"/>
    </row>
    <row r="1919" spans="57:125">
      <c r="BE1919"/>
      <c r="BF1919" s="2"/>
      <c r="CN1919"/>
      <c r="CO1919"/>
      <c r="CP1919"/>
      <c r="CQ1919"/>
      <c r="CR1919"/>
      <c r="CS1919"/>
      <c r="CT1919"/>
      <c r="CU1919"/>
      <c r="CV1919" s="2"/>
      <c r="CX1919"/>
      <c r="DC1919"/>
      <c r="DI1919"/>
      <c r="DJ1919"/>
      <c r="DK1919"/>
      <c r="DL1919"/>
      <c r="DM1919"/>
      <c r="DN1919"/>
      <c r="DT1919"/>
      <c r="DU1919"/>
    </row>
    <row r="1920" spans="57:125">
      <c r="BE1920"/>
      <c r="BF1920" s="2"/>
      <c r="CN1920"/>
      <c r="CO1920"/>
      <c r="CP1920"/>
      <c r="CQ1920"/>
      <c r="CR1920"/>
      <c r="CS1920"/>
      <c r="CT1920"/>
      <c r="CU1920"/>
      <c r="CV1920" s="2"/>
      <c r="CX1920"/>
      <c r="DC1920"/>
      <c r="DI1920"/>
      <c r="DJ1920"/>
      <c r="DK1920"/>
      <c r="DL1920"/>
      <c r="DM1920"/>
      <c r="DN1920"/>
      <c r="DT1920"/>
      <c r="DU1920"/>
    </row>
    <row r="1921" spans="57:125">
      <c r="BE1921"/>
      <c r="BF1921" s="2"/>
      <c r="CN1921"/>
      <c r="CO1921"/>
      <c r="CP1921"/>
      <c r="CQ1921"/>
      <c r="CR1921"/>
      <c r="CS1921"/>
      <c r="CT1921"/>
      <c r="CU1921"/>
      <c r="CV1921" s="2"/>
      <c r="CX1921"/>
      <c r="DC1921"/>
      <c r="DI1921"/>
      <c r="DJ1921"/>
      <c r="DK1921"/>
      <c r="DL1921"/>
      <c r="DM1921"/>
      <c r="DN1921"/>
      <c r="DT1921"/>
      <c r="DU1921"/>
    </row>
    <row r="1922" spans="57:125">
      <c r="BE1922"/>
      <c r="BF1922" s="2"/>
      <c r="CN1922"/>
      <c r="CO1922"/>
      <c r="CP1922"/>
      <c r="CQ1922"/>
      <c r="CR1922"/>
      <c r="CS1922"/>
      <c r="CT1922"/>
      <c r="CU1922"/>
      <c r="CV1922" s="2"/>
      <c r="CX1922"/>
      <c r="DC1922"/>
      <c r="DI1922"/>
      <c r="DJ1922"/>
      <c r="DK1922"/>
      <c r="DL1922"/>
      <c r="DM1922"/>
      <c r="DN1922"/>
      <c r="DT1922"/>
      <c r="DU1922"/>
    </row>
    <row r="1923" spans="57:125">
      <c r="BE1923"/>
      <c r="BF1923" s="2"/>
      <c r="CN1923"/>
      <c r="CO1923"/>
      <c r="CP1923"/>
      <c r="CQ1923"/>
      <c r="CR1923"/>
      <c r="CS1923"/>
      <c r="CT1923"/>
      <c r="CU1923"/>
      <c r="CV1923" s="2"/>
      <c r="CX1923"/>
      <c r="DC1923"/>
      <c r="DI1923"/>
      <c r="DJ1923"/>
      <c r="DK1923"/>
      <c r="DL1923"/>
      <c r="DM1923"/>
      <c r="DN1923"/>
      <c r="DT1923"/>
      <c r="DU1923"/>
    </row>
    <row r="1924" spans="57:125">
      <c r="BE1924"/>
      <c r="BF1924" s="2"/>
      <c r="CN1924"/>
      <c r="CO1924"/>
      <c r="CP1924"/>
      <c r="CQ1924"/>
      <c r="CR1924"/>
      <c r="CS1924"/>
      <c r="CT1924"/>
      <c r="CU1924"/>
      <c r="CV1924" s="2"/>
      <c r="CX1924"/>
      <c r="DC1924"/>
      <c r="DI1924"/>
      <c r="DJ1924"/>
      <c r="DK1924"/>
      <c r="DL1924"/>
      <c r="DM1924"/>
      <c r="DN1924"/>
      <c r="DT1924"/>
      <c r="DU1924"/>
    </row>
    <row r="1925" spans="57:125">
      <c r="BE1925"/>
      <c r="BF1925" s="2"/>
      <c r="CN1925"/>
      <c r="CO1925"/>
      <c r="CP1925"/>
      <c r="CQ1925"/>
      <c r="CR1925"/>
      <c r="CS1925"/>
      <c r="CT1925"/>
      <c r="CU1925"/>
      <c r="CV1925" s="2"/>
      <c r="CX1925"/>
      <c r="DC1925"/>
      <c r="DI1925"/>
      <c r="DJ1925"/>
      <c r="DK1925"/>
      <c r="DL1925"/>
      <c r="DM1925"/>
      <c r="DN1925"/>
      <c r="DT1925"/>
      <c r="DU1925"/>
    </row>
    <row r="1926" spans="57:125">
      <c r="BE1926"/>
      <c r="BF1926" s="2"/>
      <c r="CN1926"/>
      <c r="CO1926"/>
      <c r="CP1926"/>
      <c r="CQ1926"/>
      <c r="CR1926"/>
      <c r="CS1926"/>
      <c r="CT1926"/>
      <c r="CU1926"/>
      <c r="CV1926" s="2"/>
      <c r="CX1926"/>
      <c r="DC1926"/>
      <c r="DI1926"/>
      <c r="DJ1926"/>
      <c r="DK1926"/>
      <c r="DL1926"/>
      <c r="DM1926"/>
      <c r="DN1926"/>
      <c r="DT1926"/>
      <c r="DU1926"/>
    </row>
    <row r="1927" spans="57:125">
      <c r="BE1927"/>
      <c r="BF1927" s="2"/>
      <c r="CN1927"/>
      <c r="CO1927"/>
      <c r="CP1927"/>
      <c r="CQ1927"/>
      <c r="CR1927"/>
      <c r="CS1927"/>
      <c r="CT1927"/>
      <c r="CU1927"/>
      <c r="CV1927" s="2"/>
      <c r="CX1927"/>
      <c r="DC1927"/>
      <c r="DI1927"/>
      <c r="DJ1927"/>
      <c r="DK1927"/>
      <c r="DL1927"/>
      <c r="DM1927"/>
      <c r="DN1927"/>
      <c r="DT1927"/>
      <c r="DU1927"/>
    </row>
    <row r="1928" spans="57:125">
      <c r="BE1928"/>
      <c r="BF1928" s="2"/>
      <c r="CN1928"/>
      <c r="CO1928"/>
      <c r="CP1928"/>
      <c r="CQ1928"/>
      <c r="CR1928"/>
      <c r="CS1928"/>
      <c r="CT1928"/>
      <c r="CU1928"/>
      <c r="CV1928" s="2"/>
      <c r="CX1928"/>
      <c r="DC1928"/>
      <c r="DI1928"/>
      <c r="DJ1928"/>
      <c r="DK1928"/>
      <c r="DL1928"/>
      <c r="DM1928"/>
      <c r="DN1928"/>
      <c r="DT1928"/>
      <c r="DU1928"/>
    </row>
    <row r="1929" spans="57:125">
      <c r="BE1929"/>
      <c r="BF1929" s="2"/>
      <c r="CN1929"/>
      <c r="CO1929"/>
      <c r="CP1929"/>
      <c r="CQ1929"/>
      <c r="CR1929"/>
      <c r="CS1929"/>
      <c r="CT1929"/>
      <c r="CU1929"/>
      <c r="CV1929" s="2"/>
      <c r="CX1929"/>
      <c r="DC1929"/>
      <c r="DI1929"/>
      <c r="DJ1929"/>
      <c r="DK1929"/>
      <c r="DL1929"/>
      <c r="DM1929"/>
      <c r="DN1929"/>
      <c r="DT1929"/>
      <c r="DU1929"/>
    </row>
    <row r="1930" spans="57:125">
      <c r="BE1930"/>
      <c r="BF1930" s="2"/>
      <c r="CN1930"/>
      <c r="CO1930"/>
      <c r="CP1930"/>
      <c r="CQ1930"/>
      <c r="CR1930"/>
      <c r="CS1930"/>
      <c r="CT1930"/>
      <c r="CU1930"/>
      <c r="CV1930" s="2"/>
      <c r="CX1930"/>
      <c r="DC1930"/>
      <c r="DI1930"/>
      <c r="DJ1930"/>
      <c r="DK1930"/>
      <c r="DL1930"/>
      <c r="DM1930"/>
      <c r="DN1930"/>
      <c r="DT1930"/>
      <c r="DU1930"/>
    </row>
    <row r="1931" spans="57:125">
      <c r="BE1931"/>
      <c r="BF1931" s="2"/>
      <c r="CN1931"/>
      <c r="CO1931"/>
      <c r="CP1931"/>
      <c r="CQ1931"/>
      <c r="CR1931"/>
      <c r="CS1931"/>
      <c r="CT1931"/>
      <c r="CU1931"/>
      <c r="CV1931" s="2"/>
      <c r="CX1931"/>
      <c r="DC1931"/>
      <c r="DI1931"/>
      <c r="DJ1931"/>
      <c r="DK1931"/>
      <c r="DL1931"/>
      <c r="DM1931"/>
      <c r="DN1931"/>
      <c r="DT1931"/>
      <c r="DU1931"/>
    </row>
    <row r="1932" spans="57:125">
      <c r="BE1932"/>
      <c r="BF1932" s="2"/>
      <c r="CN1932"/>
      <c r="CO1932"/>
      <c r="CP1932"/>
      <c r="CQ1932"/>
      <c r="CR1932"/>
      <c r="CS1932"/>
      <c r="CT1932"/>
      <c r="CU1932"/>
      <c r="CV1932" s="2"/>
      <c r="CX1932"/>
      <c r="DC1932"/>
      <c r="DI1932"/>
      <c r="DJ1932"/>
      <c r="DK1932"/>
      <c r="DL1932"/>
      <c r="DM1932"/>
      <c r="DN1932"/>
      <c r="DT1932"/>
      <c r="DU1932"/>
    </row>
    <row r="1933" spans="57:125">
      <c r="BE1933"/>
      <c r="BF1933" s="2"/>
      <c r="CN1933"/>
      <c r="CO1933"/>
      <c r="CP1933"/>
      <c r="CQ1933"/>
      <c r="CR1933"/>
      <c r="CS1933"/>
      <c r="CT1933"/>
      <c r="CU1933"/>
      <c r="CV1933" s="2"/>
      <c r="CX1933"/>
      <c r="DC1933"/>
      <c r="DI1933"/>
      <c r="DJ1933"/>
      <c r="DK1933"/>
      <c r="DL1933"/>
      <c r="DM1933"/>
      <c r="DN1933"/>
      <c r="DT1933"/>
      <c r="DU1933"/>
    </row>
    <row r="1934" spans="57:125">
      <c r="BE1934"/>
      <c r="BF1934" s="2"/>
      <c r="CN1934"/>
      <c r="CO1934"/>
      <c r="CP1934"/>
      <c r="CQ1934"/>
      <c r="CR1934"/>
      <c r="CS1934"/>
      <c r="CT1934"/>
      <c r="CU1934"/>
      <c r="CV1934" s="2"/>
      <c r="CX1934"/>
      <c r="DC1934"/>
      <c r="DI1934"/>
      <c r="DJ1934"/>
      <c r="DK1934"/>
      <c r="DL1934"/>
      <c r="DM1934"/>
      <c r="DN1934"/>
      <c r="DT1934"/>
      <c r="DU1934"/>
    </row>
    <row r="1935" spans="57:125">
      <c r="BE1935"/>
      <c r="BF1935" s="2"/>
      <c r="CN1935"/>
      <c r="CO1935"/>
      <c r="CP1935"/>
      <c r="CQ1935"/>
      <c r="CR1935"/>
      <c r="CS1935"/>
      <c r="CT1935"/>
      <c r="CU1935"/>
      <c r="CV1935" s="2"/>
      <c r="CX1935"/>
      <c r="DC1935"/>
      <c r="DI1935"/>
      <c r="DJ1935"/>
      <c r="DK1935"/>
      <c r="DL1935"/>
      <c r="DM1935"/>
      <c r="DN1935"/>
      <c r="DT1935"/>
      <c r="DU1935"/>
    </row>
    <row r="1936" spans="57:125">
      <c r="BE1936"/>
      <c r="BF1936" s="2"/>
      <c r="CN1936"/>
      <c r="CO1936"/>
      <c r="CP1936"/>
      <c r="CQ1936"/>
      <c r="CR1936"/>
      <c r="CS1936"/>
      <c r="CT1936"/>
      <c r="CU1936"/>
      <c r="CV1936" s="2"/>
      <c r="CX1936"/>
      <c r="DC1936"/>
      <c r="DI1936"/>
      <c r="DJ1936"/>
      <c r="DK1936"/>
      <c r="DL1936"/>
      <c r="DM1936"/>
      <c r="DN1936"/>
      <c r="DT1936"/>
      <c r="DU1936"/>
    </row>
    <row r="1937" spans="57:125">
      <c r="BE1937"/>
      <c r="BF1937" s="2"/>
      <c r="CN1937"/>
      <c r="CO1937"/>
      <c r="CP1937"/>
      <c r="CQ1937"/>
      <c r="CR1937"/>
      <c r="CS1937"/>
      <c r="CT1937"/>
      <c r="CU1937"/>
      <c r="CV1937" s="2"/>
      <c r="CX1937"/>
      <c r="DC1937"/>
      <c r="DI1937"/>
      <c r="DJ1937"/>
      <c r="DK1937"/>
      <c r="DL1937"/>
      <c r="DM1937"/>
      <c r="DN1937"/>
      <c r="DT1937"/>
      <c r="DU1937"/>
    </row>
    <row r="1938" spans="57:125">
      <c r="BE1938"/>
      <c r="BF1938" s="2"/>
      <c r="CN1938"/>
      <c r="CO1938"/>
      <c r="CP1938"/>
      <c r="CQ1938"/>
      <c r="CR1938"/>
      <c r="CS1938"/>
      <c r="CT1938"/>
      <c r="CU1938"/>
      <c r="CV1938" s="2"/>
      <c r="CX1938"/>
      <c r="DC1938"/>
      <c r="DI1938"/>
      <c r="DJ1938"/>
      <c r="DK1938"/>
      <c r="DL1938"/>
      <c r="DM1938"/>
      <c r="DN1938"/>
      <c r="DT1938"/>
      <c r="DU1938"/>
    </row>
    <row r="1939" spans="57:125">
      <c r="BE1939"/>
      <c r="BF1939" s="2"/>
      <c r="CN1939"/>
      <c r="CO1939"/>
      <c r="CP1939"/>
      <c r="CQ1939"/>
      <c r="CR1939"/>
      <c r="CS1939"/>
      <c r="CT1939"/>
      <c r="CU1939"/>
      <c r="CV1939" s="2"/>
      <c r="CX1939"/>
      <c r="DC1939"/>
      <c r="DI1939"/>
      <c r="DJ1939"/>
      <c r="DK1939"/>
      <c r="DL1939"/>
      <c r="DM1939"/>
      <c r="DN1939"/>
      <c r="DT1939"/>
      <c r="DU1939"/>
    </row>
    <row r="1940" spans="57:125">
      <c r="BE1940"/>
      <c r="BF1940" s="2"/>
      <c r="CN1940"/>
      <c r="CO1940"/>
      <c r="CP1940"/>
      <c r="CQ1940"/>
      <c r="CR1940"/>
      <c r="CS1940"/>
      <c r="CT1940"/>
      <c r="CU1940"/>
      <c r="CV1940" s="2"/>
      <c r="CX1940"/>
      <c r="DC1940"/>
      <c r="DI1940"/>
      <c r="DJ1940"/>
      <c r="DK1940"/>
      <c r="DL1940"/>
      <c r="DM1940"/>
      <c r="DN1940"/>
      <c r="DT1940"/>
      <c r="DU1940"/>
    </row>
    <row r="1941" spans="57:125">
      <c r="BE1941"/>
      <c r="BF1941" s="2"/>
      <c r="CN1941"/>
      <c r="CO1941"/>
      <c r="CP1941"/>
      <c r="CQ1941"/>
      <c r="CR1941"/>
      <c r="CS1941"/>
      <c r="CT1941"/>
      <c r="CU1941"/>
      <c r="CV1941" s="2"/>
      <c r="CX1941"/>
      <c r="DC1941"/>
      <c r="DI1941"/>
      <c r="DJ1941"/>
      <c r="DK1941"/>
      <c r="DL1941"/>
      <c r="DM1941"/>
      <c r="DN1941"/>
      <c r="DT1941"/>
      <c r="DU1941"/>
    </row>
    <row r="1942" spans="57:125">
      <c r="BE1942"/>
      <c r="BF1942" s="2"/>
      <c r="CN1942"/>
      <c r="CO1942"/>
      <c r="CP1942"/>
      <c r="CQ1942"/>
      <c r="CR1942"/>
      <c r="CS1942"/>
      <c r="CT1942"/>
      <c r="CU1942"/>
      <c r="CV1942" s="2"/>
      <c r="CX1942"/>
      <c r="DC1942"/>
      <c r="DI1942"/>
      <c r="DJ1942"/>
      <c r="DK1942"/>
      <c r="DL1942"/>
      <c r="DM1942"/>
      <c r="DN1942"/>
      <c r="DT1942"/>
      <c r="DU1942"/>
    </row>
    <row r="1943" spans="57:125">
      <c r="BE1943"/>
      <c r="BF1943" s="2"/>
      <c r="CN1943"/>
      <c r="CO1943"/>
      <c r="CP1943"/>
      <c r="CQ1943"/>
      <c r="CR1943"/>
      <c r="CS1943"/>
      <c r="CT1943"/>
      <c r="CU1943"/>
      <c r="CV1943" s="2"/>
      <c r="CX1943"/>
      <c r="DC1943"/>
      <c r="DI1943"/>
      <c r="DJ1943"/>
      <c r="DK1943"/>
      <c r="DL1943"/>
      <c r="DM1943"/>
      <c r="DN1943"/>
      <c r="DT1943"/>
      <c r="DU1943"/>
    </row>
    <row r="1944" spans="57:125">
      <c r="BE1944"/>
      <c r="BF1944" s="2"/>
      <c r="CN1944"/>
      <c r="CO1944"/>
      <c r="CP1944"/>
      <c r="CQ1944"/>
      <c r="CR1944"/>
      <c r="CS1944"/>
      <c r="CT1944"/>
      <c r="CU1944"/>
      <c r="CV1944" s="2"/>
      <c r="CX1944"/>
      <c r="DC1944"/>
      <c r="DI1944"/>
      <c r="DJ1944"/>
      <c r="DK1944"/>
      <c r="DL1944"/>
      <c r="DM1944"/>
      <c r="DN1944"/>
      <c r="DT1944"/>
      <c r="DU1944"/>
    </row>
    <row r="1945" spans="57:125">
      <c r="BE1945"/>
      <c r="BF1945" s="2"/>
      <c r="CN1945"/>
      <c r="CO1945"/>
      <c r="CP1945"/>
      <c r="CQ1945"/>
      <c r="CR1945"/>
      <c r="CS1945"/>
      <c r="CT1945"/>
      <c r="CU1945"/>
      <c r="CV1945" s="2"/>
      <c r="CX1945"/>
      <c r="DC1945"/>
      <c r="DI1945"/>
      <c r="DJ1945"/>
      <c r="DK1945"/>
      <c r="DL1945"/>
      <c r="DM1945"/>
      <c r="DN1945"/>
      <c r="DT1945"/>
      <c r="DU1945"/>
    </row>
    <row r="1946" spans="57:125">
      <c r="BE1946"/>
      <c r="BF1946" s="2"/>
      <c r="CN1946"/>
      <c r="CO1946"/>
      <c r="CP1946"/>
      <c r="CQ1946"/>
      <c r="CR1946"/>
      <c r="CS1946"/>
      <c r="CT1946"/>
      <c r="CU1946"/>
      <c r="CV1946" s="2"/>
      <c r="CX1946"/>
      <c r="DC1946"/>
      <c r="DI1946"/>
      <c r="DJ1946"/>
      <c r="DK1946"/>
      <c r="DL1946"/>
      <c r="DM1946"/>
      <c r="DN1946"/>
      <c r="DT1946"/>
      <c r="DU1946"/>
    </row>
    <row r="1947" spans="57:125">
      <c r="BE1947"/>
      <c r="BF1947" s="2"/>
      <c r="CN1947"/>
      <c r="CO1947"/>
      <c r="CP1947"/>
      <c r="CQ1947"/>
      <c r="CR1947"/>
      <c r="CS1947"/>
      <c r="CT1947"/>
      <c r="CU1947"/>
      <c r="CV1947" s="2"/>
      <c r="CX1947"/>
      <c r="DC1947"/>
      <c r="DI1947"/>
      <c r="DJ1947"/>
      <c r="DK1947"/>
      <c r="DL1947"/>
      <c r="DM1947"/>
      <c r="DN1947"/>
      <c r="DT1947"/>
      <c r="DU1947"/>
    </row>
    <row r="1948" spans="57:125">
      <c r="BE1948"/>
      <c r="BF1948" s="2"/>
      <c r="CN1948"/>
      <c r="CO1948"/>
      <c r="CP1948"/>
      <c r="CQ1948"/>
      <c r="CR1948"/>
      <c r="CS1948"/>
      <c r="CT1948"/>
      <c r="CU1948"/>
      <c r="CV1948" s="2"/>
      <c r="CX1948"/>
      <c r="DC1948"/>
      <c r="DI1948"/>
      <c r="DJ1948"/>
      <c r="DK1948"/>
      <c r="DL1948"/>
      <c r="DM1948"/>
      <c r="DN1948"/>
      <c r="DT1948"/>
      <c r="DU1948"/>
    </row>
    <row r="1949" spans="57:125">
      <c r="BE1949"/>
      <c r="BF1949" s="2"/>
      <c r="CN1949"/>
      <c r="CO1949"/>
      <c r="CP1949"/>
      <c r="CQ1949"/>
      <c r="CR1949"/>
      <c r="CS1949"/>
      <c r="CT1949"/>
      <c r="CU1949"/>
      <c r="CV1949" s="2"/>
      <c r="CX1949"/>
      <c r="DC1949"/>
      <c r="DI1949"/>
      <c r="DJ1949"/>
      <c r="DK1949"/>
      <c r="DL1949"/>
      <c r="DM1949"/>
      <c r="DN1949"/>
      <c r="DT1949"/>
      <c r="DU1949"/>
    </row>
    <row r="1950" spans="57:125">
      <c r="BE1950"/>
      <c r="BF1950" s="2"/>
      <c r="CN1950"/>
      <c r="CO1950"/>
      <c r="CP1950"/>
      <c r="CQ1950"/>
      <c r="CR1950"/>
      <c r="CS1950"/>
      <c r="CT1950"/>
      <c r="CU1950"/>
      <c r="CV1950" s="2"/>
      <c r="CX1950"/>
      <c r="DC1950"/>
      <c r="DI1950"/>
      <c r="DJ1950"/>
      <c r="DK1950"/>
      <c r="DL1950"/>
      <c r="DM1950"/>
      <c r="DN1950"/>
      <c r="DT1950"/>
      <c r="DU1950"/>
    </row>
    <row r="1951" spans="57:125">
      <c r="BE1951"/>
      <c r="BF1951" s="2"/>
      <c r="CN1951"/>
      <c r="CO1951"/>
      <c r="CP1951"/>
      <c r="CQ1951"/>
      <c r="CR1951"/>
      <c r="CS1951"/>
      <c r="CT1951"/>
      <c r="CU1951"/>
      <c r="CV1951" s="2"/>
      <c r="CX1951"/>
      <c r="DC1951"/>
      <c r="DI1951"/>
      <c r="DJ1951"/>
      <c r="DK1951"/>
      <c r="DL1951"/>
      <c r="DM1951"/>
      <c r="DN1951"/>
      <c r="DT1951"/>
      <c r="DU1951"/>
    </row>
    <row r="1952" spans="57:125">
      <c r="BE1952"/>
      <c r="BF1952" s="2"/>
      <c r="CN1952"/>
      <c r="CO1952"/>
      <c r="CP1952"/>
      <c r="CQ1952"/>
      <c r="CR1952"/>
      <c r="CS1952"/>
      <c r="CT1952"/>
      <c r="CU1952"/>
      <c r="CV1952" s="2"/>
      <c r="CX1952"/>
      <c r="DC1952"/>
      <c r="DI1952"/>
      <c r="DJ1952"/>
      <c r="DK1952"/>
      <c r="DL1952"/>
      <c r="DM1952"/>
      <c r="DN1952"/>
      <c r="DT1952"/>
      <c r="DU1952"/>
    </row>
    <row r="1953" spans="57:125">
      <c r="BE1953"/>
      <c r="BF1953" s="2"/>
      <c r="CN1953"/>
      <c r="CO1953"/>
      <c r="CP1953"/>
      <c r="CQ1953"/>
      <c r="CR1953"/>
      <c r="CS1953"/>
      <c r="CT1953"/>
      <c r="CU1953"/>
      <c r="CV1953" s="2"/>
      <c r="CX1953"/>
      <c r="DC1953"/>
      <c r="DI1953"/>
      <c r="DJ1953"/>
      <c r="DK1953"/>
      <c r="DL1953"/>
      <c r="DM1953"/>
      <c r="DN1953"/>
      <c r="DT1953"/>
      <c r="DU1953"/>
    </row>
    <row r="1954" spans="57:125">
      <c r="BE1954"/>
      <c r="BF1954" s="2"/>
      <c r="CN1954"/>
      <c r="CO1954"/>
      <c r="CP1954"/>
      <c r="CQ1954"/>
      <c r="CR1954"/>
      <c r="CS1954"/>
      <c r="CT1954"/>
      <c r="CU1954"/>
      <c r="CV1954" s="2"/>
      <c r="CX1954"/>
      <c r="DC1954"/>
      <c r="DI1954"/>
      <c r="DJ1954"/>
      <c r="DK1954"/>
      <c r="DL1954"/>
      <c r="DM1954"/>
      <c r="DN1954"/>
      <c r="DT1954"/>
      <c r="DU1954"/>
    </row>
    <row r="1955" spans="57:125">
      <c r="BE1955"/>
      <c r="BF1955" s="2"/>
      <c r="CN1955"/>
      <c r="CO1955"/>
      <c r="CP1955"/>
      <c r="CQ1955"/>
      <c r="CR1955"/>
      <c r="CS1955"/>
      <c r="CT1955"/>
      <c r="CU1955"/>
      <c r="CV1955" s="2"/>
      <c r="CX1955"/>
      <c r="DC1955"/>
      <c r="DI1955"/>
      <c r="DJ1955"/>
      <c r="DK1955"/>
      <c r="DL1955"/>
      <c r="DM1955"/>
      <c r="DN1955"/>
      <c r="DT1955"/>
      <c r="DU1955"/>
    </row>
    <row r="1956" spans="57:125">
      <c r="BE1956"/>
      <c r="BF1956" s="2"/>
      <c r="CN1956"/>
      <c r="CO1956"/>
      <c r="CP1956"/>
      <c r="CQ1956"/>
      <c r="CR1956"/>
      <c r="CS1956"/>
      <c r="CT1956"/>
      <c r="CU1956"/>
      <c r="CV1956" s="2"/>
      <c r="CX1956"/>
      <c r="DC1956"/>
      <c r="DI1956"/>
      <c r="DJ1956"/>
      <c r="DK1956"/>
      <c r="DL1956"/>
      <c r="DM1956"/>
      <c r="DN1956"/>
      <c r="DT1956"/>
      <c r="DU1956"/>
    </row>
    <row r="1957" spans="57:125">
      <c r="BE1957"/>
      <c r="BF1957" s="2"/>
      <c r="CN1957"/>
      <c r="CO1957"/>
      <c r="CP1957"/>
      <c r="CQ1957"/>
      <c r="CR1957"/>
      <c r="CS1957"/>
      <c r="CT1957"/>
      <c r="CU1957"/>
      <c r="CV1957" s="2"/>
      <c r="CX1957"/>
      <c r="DC1957"/>
      <c r="DI1957"/>
      <c r="DJ1957"/>
      <c r="DK1957"/>
      <c r="DL1957"/>
      <c r="DM1957"/>
      <c r="DN1957"/>
      <c r="DT1957"/>
      <c r="DU1957"/>
    </row>
    <row r="1958" spans="57:125">
      <c r="BE1958"/>
      <c r="BF1958" s="2"/>
      <c r="CN1958"/>
      <c r="CO1958"/>
      <c r="CP1958"/>
      <c r="CQ1958"/>
      <c r="CR1958"/>
      <c r="CS1958"/>
      <c r="CT1958"/>
      <c r="CU1958"/>
      <c r="CV1958" s="2"/>
      <c r="CX1958"/>
      <c r="DC1958"/>
      <c r="DI1958"/>
      <c r="DJ1958"/>
      <c r="DK1958"/>
      <c r="DL1958"/>
      <c r="DM1958"/>
      <c r="DN1958"/>
      <c r="DT1958"/>
      <c r="DU1958"/>
    </row>
    <row r="1959" spans="57:125">
      <c r="BE1959"/>
      <c r="BF1959" s="2"/>
      <c r="CN1959"/>
      <c r="CO1959"/>
      <c r="CP1959"/>
      <c r="CQ1959"/>
      <c r="CR1959"/>
      <c r="CS1959"/>
      <c r="CT1959"/>
      <c r="CU1959"/>
      <c r="CV1959" s="2"/>
      <c r="CX1959"/>
      <c r="DC1959"/>
      <c r="DI1959"/>
      <c r="DJ1959"/>
      <c r="DK1959"/>
      <c r="DL1959"/>
      <c r="DM1959"/>
      <c r="DN1959"/>
      <c r="DT1959"/>
      <c r="DU1959"/>
    </row>
    <row r="1960" spans="57:125">
      <c r="BE1960"/>
      <c r="BF1960" s="2"/>
      <c r="CN1960"/>
      <c r="CO1960"/>
      <c r="CP1960"/>
      <c r="CQ1960"/>
      <c r="CR1960"/>
      <c r="CS1960"/>
      <c r="CT1960"/>
      <c r="CU1960"/>
      <c r="CV1960" s="2"/>
      <c r="CX1960"/>
      <c r="DC1960"/>
      <c r="DI1960"/>
      <c r="DJ1960"/>
      <c r="DK1960"/>
      <c r="DL1960"/>
      <c r="DM1960"/>
      <c r="DN1960"/>
      <c r="DT1960"/>
      <c r="DU1960"/>
    </row>
    <row r="1961" spans="57:125">
      <c r="BE1961"/>
      <c r="BF1961" s="2"/>
      <c r="CN1961"/>
      <c r="CO1961"/>
      <c r="CP1961"/>
      <c r="CQ1961"/>
      <c r="CR1961"/>
      <c r="CS1961"/>
      <c r="CT1961"/>
      <c r="CU1961"/>
      <c r="CV1961" s="2"/>
      <c r="CX1961"/>
      <c r="DC1961"/>
      <c r="DI1961"/>
      <c r="DJ1961"/>
      <c r="DK1961"/>
      <c r="DL1961"/>
      <c r="DM1961"/>
      <c r="DN1961"/>
      <c r="DT1961"/>
      <c r="DU1961"/>
    </row>
    <row r="1962" spans="57:125">
      <c r="BE1962"/>
      <c r="BF1962" s="2"/>
      <c r="CN1962"/>
      <c r="CO1962"/>
      <c r="CP1962"/>
      <c r="CQ1962"/>
      <c r="CR1962"/>
      <c r="CS1962"/>
      <c r="CT1962"/>
      <c r="CU1962"/>
      <c r="CV1962" s="2"/>
      <c r="CX1962"/>
      <c r="DC1962"/>
      <c r="DI1962"/>
      <c r="DJ1962"/>
      <c r="DK1962"/>
      <c r="DL1962"/>
      <c r="DM1962"/>
      <c r="DN1962"/>
      <c r="DT1962"/>
      <c r="DU1962"/>
    </row>
    <row r="1963" spans="57:125">
      <c r="BE1963"/>
      <c r="BF1963" s="2"/>
      <c r="CN1963"/>
      <c r="CO1963"/>
      <c r="CP1963"/>
      <c r="CQ1963"/>
      <c r="CR1963"/>
      <c r="CS1963"/>
      <c r="CT1963"/>
      <c r="CU1963"/>
      <c r="CV1963" s="2"/>
      <c r="CX1963"/>
      <c r="DC1963"/>
      <c r="DI1963"/>
      <c r="DJ1963"/>
      <c r="DK1963"/>
      <c r="DL1963"/>
      <c r="DM1963"/>
      <c r="DN1963"/>
      <c r="DT1963"/>
      <c r="DU1963"/>
    </row>
    <row r="1964" spans="57:125">
      <c r="BE1964"/>
      <c r="BF1964" s="2"/>
      <c r="CN1964"/>
      <c r="CO1964"/>
      <c r="CP1964"/>
      <c r="CQ1964"/>
      <c r="CR1964"/>
      <c r="CS1964"/>
      <c r="CT1964"/>
      <c r="CU1964"/>
      <c r="CV1964" s="2"/>
      <c r="CX1964"/>
      <c r="DC1964"/>
      <c r="DI1964"/>
      <c r="DJ1964"/>
      <c r="DK1964"/>
      <c r="DL1964"/>
      <c r="DM1964"/>
      <c r="DN1964"/>
      <c r="DT1964"/>
      <c r="DU1964"/>
    </row>
    <row r="1965" spans="57:125">
      <c r="BE1965"/>
      <c r="BF1965" s="2"/>
      <c r="CN1965"/>
      <c r="CO1965"/>
      <c r="CP1965"/>
      <c r="CQ1965"/>
      <c r="CR1965"/>
      <c r="CS1965"/>
      <c r="CT1965"/>
      <c r="CU1965"/>
      <c r="CV1965" s="2"/>
      <c r="CX1965"/>
      <c r="DC1965"/>
      <c r="DI1965"/>
      <c r="DJ1965"/>
      <c r="DK1965"/>
      <c r="DL1965"/>
      <c r="DM1965"/>
      <c r="DN1965"/>
      <c r="DT1965"/>
      <c r="DU1965"/>
    </row>
    <row r="1966" spans="57:125">
      <c r="BE1966"/>
      <c r="BF1966" s="2"/>
      <c r="CN1966"/>
      <c r="CO1966"/>
      <c r="CP1966"/>
      <c r="CQ1966"/>
      <c r="CR1966"/>
      <c r="CS1966"/>
      <c r="CT1966"/>
      <c r="CU1966"/>
      <c r="CV1966" s="2"/>
      <c r="CX1966"/>
      <c r="DC1966"/>
      <c r="DI1966"/>
      <c r="DJ1966"/>
      <c r="DK1966"/>
      <c r="DL1966"/>
      <c r="DM1966"/>
      <c r="DN1966"/>
      <c r="DT1966"/>
      <c r="DU1966"/>
    </row>
    <row r="1967" spans="57:125">
      <c r="BE1967"/>
      <c r="BF1967" s="2"/>
      <c r="CN1967"/>
      <c r="CO1967"/>
      <c r="CP1967"/>
      <c r="CQ1967"/>
      <c r="CR1967"/>
      <c r="CS1967"/>
      <c r="CT1967"/>
      <c r="CU1967"/>
      <c r="CV1967" s="2"/>
      <c r="CX1967"/>
      <c r="DC1967"/>
      <c r="DI1967"/>
      <c r="DJ1967"/>
      <c r="DK1967"/>
      <c r="DL1967"/>
      <c r="DM1967"/>
      <c r="DN1967"/>
      <c r="DT1967"/>
      <c r="DU1967"/>
    </row>
    <row r="1968" spans="57:125">
      <c r="BE1968"/>
      <c r="BF1968" s="2"/>
      <c r="CN1968"/>
      <c r="CO1968"/>
      <c r="CP1968"/>
      <c r="CQ1968"/>
      <c r="CR1968"/>
      <c r="CS1968"/>
      <c r="CT1968"/>
      <c r="CU1968"/>
      <c r="CV1968" s="2"/>
      <c r="CX1968"/>
      <c r="DC1968"/>
      <c r="DI1968"/>
      <c r="DJ1968"/>
      <c r="DK1968"/>
      <c r="DL1968"/>
      <c r="DM1968"/>
      <c r="DN1968"/>
      <c r="DT1968"/>
      <c r="DU1968"/>
    </row>
  </sheetData>
  <autoFilter ref="A7:HT1732" xr:uid="{00000000-0009-0000-0000-000000000000}">
    <filterColumn colId="141">
      <customFilters>
        <customFilter operator="notEqual" val=" "/>
      </customFilters>
    </filterColumn>
    <sortState xmlns:xlrd2="http://schemas.microsoft.com/office/spreadsheetml/2017/richdata2" ref="A24:EU771">
      <sortCondition ref="I7:I1732"/>
    </sortState>
  </autoFilter>
  <sortState xmlns:xlrd2="http://schemas.microsoft.com/office/spreadsheetml/2017/richdata2" ref="A4:CV1293">
    <sortCondition ref="D4:D1293"/>
    <sortCondition ref="I4:I1293"/>
  </sortState>
  <conditionalFormatting sqref="T13 BJ87:BJ96 BJ99:BJ102">
    <cfRule type="cellIs" dxfId="199" priority="63" operator="equal">
      <formula>0</formula>
    </cfRule>
  </conditionalFormatting>
  <conditionalFormatting sqref="T16">
    <cfRule type="cellIs" dxfId="198" priority="69" operator="equal">
      <formula>0</formula>
    </cfRule>
  </conditionalFormatting>
  <conditionalFormatting sqref="T1346:T1360">
    <cfRule type="cellIs" dxfId="197" priority="478" operator="equal">
      <formula>0</formula>
    </cfRule>
  </conditionalFormatting>
  <conditionalFormatting sqref="U8:U10">
    <cfRule type="cellIs" dxfId="196" priority="62" operator="equal">
      <formula>0</formula>
    </cfRule>
  </conditionalFormatting>
  <conditionalFormatting sqref="U12">
    <cfRule type="cellIs" dxfId="195" priority="61" operator="equal">
      <formula>0</formula>
    </cfRule>
  </conditionalFormatting>
  <conditionalFormatting sqref="U1505:U1506">
    <cfRule type="cellIs" dxfId="194" priority="404" operator="equal">
      <formula>0</formula>
    </cfRule>
    <cfRule type="cellIs" dxfId="193" priority="405" operator="equal">
      <formula>0</formula>
    </cfRule>
  </conditionalFormatting>
  <conditionalFormatting sqref="V41:AY1293 DD88:DT1257 BG41:BG1096 DV41:EJ1241 EM41:EM1241 BZ41:CM1293 X1448:Y1449">
    <cfRule type="cellIs" dxfId="192" priority="446" operator="equal">
      <formula>0</formula>
    </cfRule>
  </conditionalFormatting>
  <conditionalFormatting sqref="V1362:AY1450 Y1440:Y1454 AI1399:AI1458 AF1400:AF1458 AG1433:AG1458 Z1437:AC1451 V1437:W1458 AE1437:AE1458 AD1440:AD1458 AH1447:AH1458 AA1452:AA1458 AC1452:AC1458">
    <cfRule type="cellIs" dxfId="191" priority="473" operator="equal">
      <formula>0</formula>
    </cfRule>
  </conditionalFormatting>
  <conditionalFormatting sqref="V1451:AY1477">
    <cfRule type="cellIs" dxfId="190" priority="149" operator="equal">
      <formula>0</formula>
    </cfRule>
  </conditionalFormatting>
  <conditionalFormatting sqref="V1509:AY1512 DJ1509:DT1594 BZ1512:CM1536">
    <cfRule type="cellIs" dxfId="189" priority="88" operator="equal">
      <formula>0</formula>
    </cfRule>
  </conditionalFormatting>
  <conditionalFormatting sqref="V1720:AY1732 DV1242:DZ1257 EC1242:EM1257 DD1720:DG1731 DI1720:DT1731">
    <cfRule type="cellIs" dxfId="188" priority="282" operator="equal">
      <formula>0</formula>
    </cfRule>
  </conditionalFormatting>
  <conditionalFormatting sqref="V8:BD1241">
    <cfRule type="cellIs" dxfId="187" priority="46" operator="equal">
      <formula>0</formula>
    </cfRule>
  </conditionalFormatting>
  <conditionalFormatting sqref="W1361:AY1361 DV1361 T1362:T1373">
    <cfRule type="cellIs" dxfId="186" priority="480" operator="equal">
      <formula>0</formula>
    </cfRule>
  </conditionalFormatting>
  <conditionalFormatting sqref="X53:Y53">
    <cfRule type="cellIs" dxfId="185" priority="74" operator="equal">
      <formula>0</formula>
    </cfRule>
    <cfRule type="cellIs" dxfId="184" priority="72" operator="equal">
      <formula>0</formula>
    </cfRule>
  </conditionalFormatting>
  <conditionalFormatting sqref="X1448:Y1448">
    <cfRule type="cellIs" dxfId="183" priority="472" operator="equal">
      <formula>0</formula>
    </cfRule>
  </conditionalFormatting>
  <conditionalFormatting sqref="AM50:AP50">
    <cfRule type="cellIs" dxfId="182" priority="75" operator="equal">
      <formula>0</formula>
    </cfRule>
    <cfRule type="cellIs" dxfId="181" priority="73" operator="equal">
      <formula>0</formula>
    </cfRule>
  </conditionalFormatting>
  <conditionalFormatting sqref="AX1509:AX1512 AZ1509:BD1512">
    <cfRule type="cellIs" dxfId="180" priority="84" operator="equal">
      <formula>0</formula>
    </cfRule>
  </conditionalFormatting>
  <conditionalFormatting sqref="AX1509:AX1596 EA1509:EM1512">
    <cfRule type="cellIs" dxfId="179" priority="85" operator="equal">
      <formula>0</formula>
    </cfRule>
  </conditionalFormatting>
  <conditionalFormatting sqref="AZ1242:BD1477 EA1242:EB1477 AX1476:AX1477">
    <cfRule type="cellIs" dxfId="178" priority="142" operator="equal">
      <formula>0</formula>
    </cfRule>
  </conditionalFormatting>
  <conditionalFormatting sqref="BG8:BG1096 DV8:EM1241 BZ8:CM1493 DD460:DT1241">
    <cfRule type="cellIs" dxfId="177" priority="54" operator="equal">
      <formula>0</formula>
    </cfRule>
  </conditionalFormatting>
  <conditionalFormatting sqref="BG1098:BG1103 BG1105:BG1110 BG1112:BG1117">
    <cfRule type="cellIs" dxfId="176" priority="22" operator="equal">
      <formula>0</formula>
    </cfRule>
    <cfRule type="cellIs" dxfId="175" priority="25" operator="equal">
      <formula>0</formula>
    </cfRule>
  </conditionalFormatting>
  <conditionalFormatting sqref="BG1119:BG1293">
    <cfRule type="cellIs" dxfId="174" priority="6" operator="equal">
      <formula>0</formula>
    </cfRule>
  </conditionalFormatting>
  <conditionalFormatting sqref="BG1119:BG1360">
    <cfRule type="cellIs" dxfId="173" priority="5" operator="equal">
      <formula>0</formula>
    </cfRule>
  </conditionalFormatting>
  <conditionalFormatting sqref="BG1362:BG1493 DD1476:DT1477">
    <cfRule type="cellIs" dxfId="172" priority="144" operator="equal">
      <formula>0</formula>
    </cfRule>
  </conditionalFormatting>
  <conditionalFormatting sqref="BG1375:BG1505 DD1476:DT1477 V1375:AY1477 DV1375:DZ1477 EC1375:EM1477">
    <cfRule type="cellIs" dxfId="171" priority="147" operator="equal">
      <formula>0</formula>
    </cfRule>
  </conditionalFormatting>
  <conditionalFormatting sqref="BG1507:BG1512">
    <cfRule type="cellIs" dxfId="170" priority="86" operator="equal">
      <formula>0</formula>
    </cfRule>
  </conditionalFormatting>
  <conditionalFormatting sqref="BG1513:BG1533">
    <cfRule type="cellIs" dxfId="169" priority="325" operator="equal">
      <formula>0</formula>
    </cfRule>
  </conditionalFormatting>
  <conditionalFormatting sqref="BG1525:BG1529">
    <cfRule type="cellIs" dxfId="168" priority="324" operator="equal">
      <formula>0</formula>
    </cfRule>
  </conditionalFormatting>
  <conditionalFormatting sqref="BG1535:BG1732">
    <cfRule type="cellIs" dxfId="167" priority="223" operator="equal">
      <formula>0</formula>
    </cfRule>
  </conditionalFormatting>
  <conditionalFormatting sqref="BG1635:BG1732">
    <cfRule type="cellIs" dxfId="166" priority="224" operator="equal">
      <formula>0</formula>
    </cfRule>
  </conditionalFormatting>
  <conditionalFormatting sqref="BJ87:BJ96 BJ99:BJ102 DH8:DN87 DT8:DT87 DD41:DG87 DO41:DS87">
    <cfRule type="cellIs" dxfId="165" priority="67" operator="equal">
      <formula>0</formula>
    </cfRule>
  </conditionalFormatting>
  <conditionalFormatting sqref="BJ553:BJ562 BJ565:BJ568">
    <cfRule type="cellIs" dxfId="164" priority="43" operator="equal">
      <formula>0</formula>
    </cfRule>
    <cfRule type="cellIs" dxfId="163" priority="45" operator="equal">
      <formula>0</formula>
    </cfRule>
  </conditionalFormatting>
  <conditionalFormatting sqref="BK8:BK13">
    <cfRule type="expression" dxfId="162" priority="79">
      <formula>$BK8&lt;#REF!</formula>
    </cfRule>
  </conditionalFormatting>
  <conditionalFormatting sqref="BK16 BK19 BK26">
    <cfRule type="expression" dxfId="161" priority="76">
      <formula>$BK16&lt;#REF!</formula>
    </cfRule>
  </conditionalFormatting>
  <conditionalFormatting sqref="BK88:BK91">
    <cfRule type="expression" dxfId="160" priority="81">
      <formula>$BK88&lt;#REF!</formula>
    </cfRule>
  </conditionalFormatting>
  <conditionalFormatting sqref="BK554:BK557">
    <cfRule type="expression" dxfId="159" priority="47">
      <formula>$BK554&lt;#REF!</formula>
    </cfRule>
  </conditionalFormatting>
  <conditionalFormatting sqref="BK868 CO868:CQ868 CT868 BK1071:BK1072 CT1071:CT1072 BK1075 CO1075:CQ1075 CT1075">
    <cfRule type="expression" dxfId="158" priority="16">
      <formula>$BK868&lt;$BL868</formula>
    </cfRule>
  </conditionalFormatting>
  <conditionalFormatting sqref="BK873:BK875 CN873:CN875">
    <cfRule type="expression" dxfId="157" priority="30">
      <formula>$BK873&lt;#REF!</formula>
    </cfRule>
  </conditionalFormatting>
  <conditionalFormatting sqref="BK1294">
    <cfRule type="expression" dxfId="156" priority="485">
      <formula>$BK1294&lt;#REF!</formula>
    </cfRule>
  </conditionalFormatting>
  <conditionalFormatting sqref="BK1448:BK1449">
    <cfRule type="expression" dxfId="155" priority="476">
      <formula>#REF!&lt;$BK1448</formula>
    </cfRule>
  </conditionalFormatting>
  <conditionalFormatting sqref="BK1514">
    <cfRule type="expression" dxfId="154" priority="238">
      <formula>$BK1514&lt;$BL1514</formula>
    </cfRule>
  </conditionalFormatting>
  <conditionalFormatting sqref="BL14:BL15 BL99:BL277 BL281:BL367 CT870:CT1056 BL876:BL1056 CN876:CQ1056">
    <cfRule type="expression" dxfId="153" priority="77">
      <formula>$BL14&lt;$BK14</formula>
    </cfRule>
  </conditionalFormatting>
  <conditionalFormatting sqref="BL17:BL87">
    <cfRule type="expression" dxfId="152" priority="60">
      <formula>$BL17&lt;$BK17</formula>
    </cfRule>
  </conditionalFormatting>
  <conditionalFormatting sqref="BL92:BL97 BK98">
    <cfRule type="expression" dxfId="151" priority="59">
      <formula>$BL92&lt;$BK92</formula>
    </cfRule>
  </conditionalFormatting>
  <conditionalFormatting sqref="BL558:BL563 BK564">
    <cfRule type="expression" dxfId="150" priority="40">
      <formula>$BL558&lt;$BK558</formula>
    </cfRule>
  </conditionalFormatting>
  <conditionalFormatting sqref="BL1076">
    <cfRule type="expression" dxfId="149" priority="32">
      <formula>$BL1076&lt;#REF!</formula>
    </cfRule>
  </conditionalFormatting>
  <conditionalFormatting sqref="BL1311:BL1318 BL1320:BL1326 BL1611 BL1615 BL1619">
    <cfRule type="expression" dxfId="148" priority="488">
      <formula>$BL1311&lt;$BK1310</formula>
    </cfRule>
  </conditionalFormatting>
  <conditionalFormatting sqref="BL1319">
    <cfRule type="expression" dxfId="147" priority="1091">
      <formula>$BL1319&lt;#REF!</formula>
    </cfRule>
  </conditionalFormatting>
  <conditionalFormatting sqref="BL1327:BL1342">
    <cfRule type="expression" dxfId="146" priority="489">
      <formula>$BL1327&lt;$BK1325</formula>
    </cfRule>
  </conditionalFormatting>
  <conditionalFormatting sqref="BL1362:BL1447">
    <cfRule type="expression" dxfId="145" priority="437">
      <formula>$BL1362&lt;$BK1362</formula>
    </cfRule>
  </conditionalFormatting>
  <conditionalFormatting sqref="BL1450:BL1453">
    <cfRule type="expression" dxfId="144" priority="442">
      <formula>$BL1450&lt;$BK1450</formula>
    </cfRule>
  </conditionalFormatting>
  <conditionalFormatting sqref="BL1463:BL1503">
    <cfRule type="expression" dxfId="143" priority="140">
      <formula>$BL1463&lt;$BK1463</formula>
    </cfRule>
  </conditionalFormatting>
  <conditionalFormatting sqref="BL1545:BL1548">
    <cfRule type="expression" dxfId="142" priority="249">
      <formula>$BK1545&lt;#REF!</formula>
    </cfRule>
  </conditionalFormatting>
  <conditionalFormatting sqref="BL1715">
    <cfRule type="expression" dxfId="141" priority="1254">
      <formula>$BG1715&lt;$CM1715</formula>
    </cfRule>
  </conditionalFormatting>
  <conditionalFormatting sqref="BL1720:BL1732">
    <cfRule type="expression" dxfId="140" priority="225">
      <formula>$BL1720&lt;$BK1720</formula>
    </cfRule>
  </conditionalFormatting>
  <conditionalFormatting sqref="BS460:BS487 BS489:BS490 BS492:BS539">
    <cfRule type="duplicateValues" dxfId="139" priority="56"/>
  </conditionalFormatting>
  <conditionalFormatting sqref="BS1362:BS1374 BS1294:BS1360">
    <cfRule type="duplicateValues" dxfId="138" priority="918"/>
  </conditionalFormatting>
  <conditionalFormatting sqref="BS1381">
    <cfRule type="duplicateValues" dxfId="137" priority="465"/>
  </conditionalFormatting>
  <conditionalFormatting sqref="BS1382">
    <cfRule type="duplicateValues" dxfId="136" priority="467"/>
  </conditionalFormatting>
  <conditionalFormatting sqref="BS1383">
    <cfRule type="duplicateValues" dxfId="135" priority="471"/>
  </conditionalFormatting>
  <conditionalFormatting sqref="BS1384">
    <cfRule type="duplicateValues" dxfId="134" priority="470"/>
  </conditionalFormatting>
  <conditionalFormatting sqref="BS1385">
    <cfRule type="duplicateValues" dxfId="133" priority="469"/>
  </conditionalFormatting>
  <conditionalFormatting sqref="BS1386">
    <cfRule type="duplicateValues" dxfId="132" priority="464"/>
  </conditionalFormatting>
  <conditionalFormatting sqref="BS1388">
    <cfRule type="duplicateValues" dxfId="131" priority="463"/>
  </conditionalFormatting>
  <conditionalFormatting sqref="BS1389">
    <cfRule type="duplicateValues" dxfId="130" priority="462"/>
  </conditionalFormatting>
  <conditionalFormatting sqref="BS1390">
    <cfRule type="duplicateValues" dxfId="129" priority="460"/>
  </conditionalFormatting>
  <conditionalFormatting sqref="BS1401:BS1410">
    <cfRule type="duplicateValues" dxfId="128" priority="475"/>
  </conditionalFormatting>
  <conditionalFormatting sqref="BS1411">
    <cfRule type="duplicateValues" dxfId="127" priority="459"/>
  </conditionalFormatting>
  <conditionalFormatting sqref="BS1412:BS1416">
    <cfRule type="duplicateValues" dxfId="126" priority="458"/>
  </conditionalFormatting>
  <conditionalFormatting sqref="BS1417">
    <cfRule type="duplicateValues" dxfId="125" priority="457"/>
  </conditionalFormatting>
  <conditionalFormatting sqref="BS1418:BS1422">
    <cfRule type="duplicateValues" dxfId="124" priority="456"/>
  </conditionalFormatting>
  <conditionalFormatting sqref="BS1423">
    <cfRule type="duplicateValues" dxfId="123" priority="455"/>
  </conditionalFormatting>
  <conditionalFormatting sqref="BS1424:BS1428">
    <cfRule type="duplicateValues" dxfId="122" priority="454"/>
  </conditionalFormatting>
  <conditionalFormatting sqref="BS1429">
    <cfRule type="duplicateValues" dxfId="121" priority="453"/>
  </conditionalFormatting>
  <conditionalFormatting sqref="BS1430:BS1434">
    <cfRule type="duplicateValues" dxfId="120" priority="452"/>
  </conditionalFormatting>
  <conditionalFormatting sqref="BS1435">
    <cfRule type="duplicateValues" dxfId="119" priority="451"/>
  </conditionalFormatting>
  <conditionalFormatting sqref="BS1436:BS1440">
    <cfRule type="duplicateValues" dxfId="118" priority="450"/>
  </conditionalFormatting>
  <conditionalFormatting sqref="BS1441">
    <cfRule type="duplicateValues" dxfId="117" priority="449"/>
  </conditionalFormatting>
  <conditionalFormatting sqref="BS1442:BS1446">
    <cfRule type="duplicateValues" dxfId="116" priority="448"/>
  </conditionalFormatting>
  <conditionalFormatting sqref="BS1449">
    <cfRule type="duplicateValues" dxfId="115" priority="447"/>
  </conditionalFormatting>
  <conditionalFormatting sqref="BS1451">
    <cfRule type="duplicateValues" dxfId="114" priority="445"/>
  </conditionalFormatting>
  <conditionalFormatting sqref="BS1452">
    <cfRule type="duplicateValues" dxfId="113" priority="444"/>
  </conditionalFormatting>
  <conditionalFormatting sqref="BS1453">
    <cfRule type="duplicateValues" dxfId="112" priority="443"/>
  </conditionalFormatting>
  <conditionalFormatting sqref="BS1454">
    <cfRule type="duplicateValues" dxfId="111" priority="441"/>
  </conditionalFormatting>
  <conditionalFormatting sqref="BS1455">
    <cfRule type="duplicateValues" dxfId="110" priority="440"/>
  </conditionalFormatting>
  <conditionalFormatting sqref="BS1456">
    <cfRule type="duplicateValues" dxfId="109" priority="439"/>
  </conditionalFormatting>
  <conditionalFormatting sqref="BS1457">
    <cfRule type="duplicateValues" dxfId="108" priority="436"/>
  </conditionalFormatting>
  <conditionalFormatting sqref="BS1459">
    <cfRule type="duplicateValues" dxfId="107" priority="435"/>
  </conditionalFormatting>
  <conditionalFormatting sqref="BS1460">
    <cfRule type="duplicateValues" dxfId="106" priority="477"/>
  </conditionalFormatting>
  <conditionalFormatting sqref="BS1461">
    <cfRule type="duplicateValues" dxfId="105" priority="433"/>
  </conditionalFormatting>
  <conditionalFormatting sqref="BS1462">
    <cfRule type="duplicateValues" dxfId="104" priority="434"/>
  </conditionalFormatting>
  <conditionalFormatting sqref="BS1463">
    <cfRule type="duplicateValues" dxfId="103" priority="431"/>
  </conditionalFormatting>
  <conditionalFormatting sqref="BS1464">
    <cfRule type="duplicateValues" dxfId="102" priority="432"/>
  </conditionalFormatting>
  <conditionalFormatting sqref="BS1465">
    <cfRule type="duplicateValues" dxfId="101" priority="429"/>
  </conditionalFormatting>
  <conditionalFormatting sqref="BS1466">
    <cfRule type="duplicateValues" dxfId="100" priority="430"/>
  </conditionalFormatting>
  <conditionalFormatting sqref="BS1467">
    <cfRule type="duplicateValues" dxfId="99" priority="427"/>
  </conditionalFormatting>
  <conditionalFormatting sqref="BS1468">
    <cfRule type="duplicateValues" dxfId="98" priority="428"/>
  </conditionalFormatting>
  <conditionalFormatting sqref="BS1469">
    <cfRule type="duplicateValues" dxfId="97" priority="426"/>
  </conditionalFormatting>
  <conditionalFormatting sqref="BS1470 BS1450 BS1447:BS1448 BS1391:BS1400 BS1458 BS1375:BS1378">
    <cfRule type="duplicateValues" dxfId="96" priority="474"/>
  </conditionalFormatting>
  <conditionalFormatting sqref="BS1471:BS1473">
    <cfRule type="duplicateValues" dxfId="95" priority="424"/>
  </conditionalFormatting>
  <conditionalFormatting sqref="BS1474">
    <cfRule type="duplicateValues" dxfId="94" priority="423"/>
  </conditionalFormatting>
  <conditionalFormatting sqref="BS1475">
    <cfRule type="duplicateValues" dxfId="93" priority="422"/>
  </conditionalFormatting>
  <conditionalFormatting sqref="BS1476:BS1477">
    <cfRule type="duplicateValues" dxfId="92" priority="150"/>
  </conditionalFormatting>
  <conditionalFormatting sqref="BS1478:BS1508 BS1515:BS1524 BS1513">
    <cfRule type="duplicateValues" dxfId="91" priority="1041"/>
  </conditionalFormatting>
  <conditionalFormatting sqref="BS1509:BS1512">
    <cfRule type="duplicateValues" dxfId="90" priority="96"/>
  </conditionalFormatting>
  <conditionalFormatting sqref="BS1525:BS1549">
    <cfRule type="duplicateValues" dxfId="89" priority="369"/>
  </conditionalFormatting>
  <conditionalFormatting sqref="BS1567">
    <cfRule type="duplicateValues" dxfId="88" priority="278"/>
  </conditionalFormatting>
  <conditionalFormatting sqref="BS1568">
    <cfRule type="duplicateValues" dxfId="87" priority="277"/>
  </conditionalFormatting>
  <conditionalFormatting sqref="BS1569">
    <cfRule type="duplicateValues" dxfId="86" priority="276"/>
  </conditionalFormatting>
  <conditionalFormatting sqref="BS1591:BS1649">
    <cfRule type="duplicateValues" dxfId="85" priority="948"/>
  </conditionalFormatting>
  <conditionalFormatting sqref="BS1680:BS1682 BT1264 BT1262 BT1268 BT1266 BT1270:BT1271 BS4:BS7 BS1650:BS1677 BS1716:BS1719 BS1685:BS1714 BS1242:BS1293 BS1744:BS1048576 BS1733">
    <cfRule type="duplicateValues" dxfId="84" priority="914"/>
  </conditionalFormatting>
  <conditionalFormatting sqref="BS1715">
    <cfRule type="duplicateValues" dxfId="83" priority="301"/>
  </conditionalFormatting>
  <conditionalFormatting sqref="BS1720">
    <cfRule type="duplicateValues" dxfId="82" priority="299"/>
  </conditionalFormatting>
  <conditionalFormatting sqref="BS1721">
    <cfRule type="duplicateValues" dxfId="81" priority="298"/>
  </conditionalFormatting>
  <conditionalFormatting sqref="BS1722">
    <cfRule type="duplicateValues" dxfId="80" priority="297"/>
  </conditionalFormatting>
  <conditionalFormatting sqref="BS1723">
    <cfRule type="duplicateValues" dxfId="79" priority="296"/>
  </conditionalFormatting>
  <conditionalFormatting sqref="BS1724">
    <cfRule type="duplicateValues" dxfId="78" priority="295"/>
  </conditionalFormatting>
  <conditionalFormatting sqref="BS1725">
    <cfRule type="duplicateValues" dxfId="77" priority="294"/>
  </conditionalFormatting>
  <conditionalFormatting sqref="BS1726">
    <cfRule type="duplicateValues" dxfId="76" priority="293"/>
  </conditionalFormatting>
  <conditionalFormatting sqref="BS1727">
    <cfRule type="duplicateValues" dxfId="75" priority="292"/>
  </conditionalFormatting>
  <conditionalFormatting sqref="BS1728">
    <cfRule type="duplicateValues" dxfId="74" priority="291"/>
  </conditionalFormatting>
  <conditionalFormatting sqref="BS1729">
    <cfRule type="duplicateValues" dxfId="73" priority="290"/>
  </conditionalFormatting>
  <conditionalFormatting sqref="BS1730">
    <cfRule type="duplicateValues" dxfId="72" priority="289"/>
  </conditionalFormatting>
  <conditionalFormatting sqref="BS1731">
    <cfRule type="duplicateValues" dxfId="71" priority="288"/>
  </conditionalFormatting>
  <conditionalFormatting sqref="BT8 BT10:BT12">
    <cfRule type="duplicateValues" dxfId="70" priority="80"/>
  </conditionalFormatting>
  <conditionalFormatting sqref="BT163:BT168 BS14:BS25 BS92:BS95 BT88:BT91 BS97 BT98 BS363:BS459 BS27:BS32 BS34:BS87 BS275:BS361 BS103:BS271">
    <cfRule type="duplicateValues" dxfId="69" priority="78"/>
  </conditionalFormatting>
  <conditionalFormatting sqref="BT272:BT273">
    <cfRule type="duplicateValues" dxfId="68" priority="58"/>
  </conditionalFormatting>
  <conditionalFormatting sqref="BT488">
    <cfRule type="duplicateValues" dxfId="67" priority="49"/>
  </conditionalFormatting>
  <conditionalFormatting sqref="BT629:BT634 BS558:BS561 BT554:BT557 BS563 BT564 BS569:BS727 BS540:BS553 BS731:BS817 BS819:BS867">
    <cfRule type="duplicateValues" dxfId="66" priority="48"/>
  </conditionalFormatting>
  <conditionalFormatting sqref="BT728:BT730">
    <cfRule type="duplicateValues" dxfId="65" priority="39"/>
  </conditionalFormatting>
  <conditionalFormatting sqref="BT1005:BT1015 BT1057 BS870:BS899 BS1058:BS1066 BS1073:BS1074 BT1075 BS1077:BS1120 BU1071:BU1072 BS1124:BS1204 BS957:BS961 BS963:BS970 BS972 BS974:BS982 BS984:BS1003 BS1016 BT868:BT869 BS1018:BS1056 BS1068:BS1070 BS905:BS955">
    <cfRule type="duplicateValues" dxfId="64" priority="31"/>
  </conditionalFormatting>
  <conditionalFormatting sqref="BT1017">
    <cfRule type="duplicateValues" dxfId="63" priority="14"/>
  </conditionalFormatting>
  <conditionalFormatting sqref="BT1067">
    <cfRule type="duplicateValues" dxfId="62" priority="13"/>
  </conditionalFormatting>
  <conditionalFormatting sqref="BT1071:BT1072">
    <cfRule type="duplicateValues" dxfId="61" priority="17"/>
  </conditionalFormatting>
  <conditionalFormatting sqref="BT1205:BT1222 BT1227:BT1241 BS1223:BS1226">
    <cfRule type="duplicateValues" dxfId="60" priority="12"/>
  </conditionalFormatting>
  <conditionalFormatting sqref="BT1379">
    <cfRule type="duplicateValues" dxfId="59" priority="468"/>
  </conditionalFormatting>
  <conditionalFormatting sqref="BT1382">
    <cfRule type="duplicateValues" dxfId="58" priority="466"/>
  </conditionalFormatting>
  <conditionalFormatting sqref="BU8:BU95 BS88:BS91 BT96:BU96">
    <cfRule type="cellIs" dxfId="57" priority="66" operator="greaterThan">
      <formula>3</formula>
    </cfRule>
  </conditionalFormatting>
  <conditionalFormatting sqref="BU97:BU561 BS554:BS557 BT562:BU562">
    <cfRule type="cellIs" dxfId="56" priority="44" operator="greaterThan">
      <formula>3</formula>
    </cfRule>
  </conditionalFormatting>
  <conditionalFormatting sqref="BU563:BU869">
    <cfRule type="cellIs" dxfId="55" priority="28" operator="greaterThan">
      <formula>3</formula>
    </cfRule>
  </conditionalFormatting>
  <conditionalFormatting sqref="BU1205:BU1240">
    <cfRule type="cellIs" dxfId="54" priority="10" operator="greaterThan">
      <formula>3</formula>
    </cfRule>
  </conditionalFormatting>
  <conditionalFormatting sqref="BU1294:BU1360 BT1505:BT1506">
    <cfRule type="cellIs" dxfId="53" priority="403" operator="greaterThan">
      <formula>3</formula>
    </cfRule>
  </conditionalFormatting>
  <conditionalFormatting sqref="BU1362:BU1504">
    <cfRule type="cellIs" dxfId="52" priority="141" operator="greaterThan">
      <formula>3</formula>
    </cfRule>
  </conditionalFormatting>
  <conditionalFormatting sqref="BU1507:BU1581">
    <cfRule type="cellIs" dxfId="51" priority="92" operator="greaterThan">
      <formula>3</formula>
    </cfRule>
  </conditionalFormatting>
  <conditionalFormatting sqref="BU1590:BU1649">
    <cfRule type="cellIs" dxfId="50" priority="330" operator="greaterThan">
      <formula>3</formula>
    </cfRule>
  </conditionalFormatting>
  <conditionalFormatting sqref="BU1699:BU1706">
    <cfRule type="cellIs" dxfId="49" priority="305" operator="greaterThan">
      <formula>3</formula>
    </cfRule>
  </conditionalFormatting>
  <conditionalFormatting sqref="BU1715:BU1731">
    <cfRule type="cellIs" dxfId="48" priority="281" operator="greaterThan">
      <formula>3</formula>
    </cfRule>
  </conditionalFormatting>
  <conditionalFormatting sqref="BV43:BV48">
    <cfRule type="cellIs" dxfId="47" priority="71" operator="greaterThan">
      <formula>3</formula>
    </cfRule>
  </conditionalFormatting>
  <conditionalFormatting sqref="BY8:CM1732 BX1505:BX1506 BY1734">
    <cfRule type="cellIs" dxfId="46" priority="401" operator="lessThan">
      <formula>-4</formula>
    </cfRule>
    <cfRule type="cellIs" dxfId="45" priority="402" operator="greaterThan">
      <formula>4</formula>
    </cfRule>
  </conditionalFormatting>
  <conditionalFormatting sqref="BZ1494:CM1511">
    <cfRule type="cellIs" dxfId="44" priority="95" operator="equal">
      <formula>0</formula>
    </cfRule>
  </conditionalFormatting>
  <conditionalFormatting sqref="BZ1715:CM1715">
    <cfRule type="cellIs" dxfId="43" priority="303" operator="equal">
      <formula>0</formula>
    </cfRule>
    <cfRule type="cellIs" dxfId="42" priority="304" operator="equal">
      <formula>0</formula>
    </cfRule>
  </conditionalFormatting>
  <conditionalFormatting sqref="BZ1720:CM1731">
    <cfRule type="cellIs" dxfId="41" priority="279" operator="equal">
      <formula>0</formula>
    </cfRule>
    <cfRule type="cellIs" dxfId="40" priority="280" operator="equal">
      <formula>0</formula>
    </cfRule>
  </conditionalFormatting>
  <conditionalFormatting sqref="CN868 BL870:BL872 CN870:CQ872 CO873:CQ875 CN1058:CQ1068 BL1058:BL1070 CT1058:CT1070 BL1073:BL1074 CT1073:CT1074 BL1077:BL1204 CN1077:CQ1204 CT1077:CT1204 BG1097:BH1097 BJ1097:BK1097 BG1104:BH1104 BJ1104:BK1104 BG1111:BH1111 BJ1111:BK1111 BG1118:BH1118 BJ1118:BK1118">
    <cfRule type="expression" dxfId="39" priority="15">
      <formula>$BL868&lt;$BK868</formula>
    </cfRule>
  </conditionalFormatting>
  <conditionalFormatting sqref="CN868 CN1007">
    <cfRule type="cellIs" dxfId="38" priority="27" operator="greaterThan">
      <formula>4</formula>
    </cfRule>
    <cfRule type="cellIs" dxfId="37" priority="26" operator="lessThan">
      <formula>-4</formula>
    </cfRule>
  </conditionalFormatting>
  <conditionalFormatting sqref="CN1205:CN1217 CN1219:CN1222 CN1224:CN1225 CN1227:CN1240">
    <cfRule type="expression" dxfId="36" priority="1">
      <formula>$BL1205&lt;$BK1205</formula>
    </cfRule>
  </conditionalFormatting>
  <conditionalFormatting sqref="CN1205:CN1240">
    <cfRule type="cellIs" dxfId="35" priority="8" operator="lessThan">
      <formula>-4</formula>
    </cfRule>
    <cfRule type="cellIs" dxfId="34" priority="9" operator="greaterThan">
      <formula>4</formula>
    </cfRule>
  </conditionalFormatting>
  <conditionalFormatting sqref="CN1057:CQ1057 CT1057">
    <cfRule type="expression" dxfId="33" priority="29">
      <formula>#REF!&lt;$BL1057</formula>
    </cfRule>
  </conditionalFormatting>
  <conditionalFormatting sqref="CN1076:CQ1076 CT1076">
    <cfRule type="expression" dxfId="32" priority="34">
      <formula>$BL1076&lt;#REF!</formula>
    </cfRule>
  </conditionalFormatting>
  <conditionalFormatting sqref="CN1205:CQ1226 BK1205:BK1241 CT1205:CT1241 CO1227:CQ1240 CN1241:CQ1241">
    <cfRule type="expression" dxfId="31" priority="2">
      <formula>$BK1205&lt;$BL1205</formula>
    </cfRule>
  </conditionalFormatting>
  <conditionalFormatting sqref="CO869:CQ869 CT869">
    <cfRule type="expression" dxfId="30" priority="33">
      <formula>$BK1490&lt;$BL1490</formula>
    </cfRule>
  </conditionalFormatting>
  <conditionalFormatting sqref="CT8:CT867 BL369:BL553 BL565:BL867">
    <cfRule type="expression" dxfId="29" priority="42">
      <formula>$BL8&lt;$BK8</formula>
    </cfRule>
  </conditionalFormatting>
  <conditionalFormatting sqref="CT1242:CT1266 BL1242:BL1293 CN1242:CQ1293 CS1267:CT1293 BK1278:BK1280 BL1295:BL1310 BL1343:BL1345 BL1356:BL1358 BL1360 BK1455:BL1456 BK1463:BK1469 BL1515:BL1524 CT1515:CT1609 BL1591:BL1609 BL1612:BL1613 CT1612:CT1649 BL1616:BL1617 BL1620:BL1649 CT1715:CT1731 BK1732">
    <cfRule type="expression" dxfId="28" priority="226">
      <formula>$BL1242&lt;$BK1242</formula>
    </cfRule>
  </conditionalFormatting>
  <conditionalFormatting sqref="CT1294 BK1346:BK1352 BK1359 BK1374">
    <cfRule type="expression" dxfId="27" priority="867">
      <formula>$BK1294&lt;#REF!</formula>
    </cfRule>
  </conditionalFormatting>
  <conditionalFormatting sqref="CT1295:CT1513 BL1507:BL1513">
    <cfRule type="expression" dxfId="26" priority="82">
      <formula>$BL1295&lt;$BK1295</formula>
    </cfRule>
  </conditionalFormatting>
  <conditionalFormatting sqref="CT1514">
    <cfRule type="expression" dxfId="25" priority="1137">
      <formula>#REF!&lt;#REF!</formula>
    </cfRule>
  </conditionalFormatting>
  <conditionalFormatting sqref="CT1610">
    <cfRule type="expression" dxfId="24" priority="942">
      <formula>$BL1611&lt;$BK1610</formula>
    </cfRule>
  </conditionalFormatting>
  <conditionalFormatting sqref="CT1611">
    <cfRule type="expression" dxfId="23" priority="943">
      <formula>#REF!&lt;$BK1611</formula>
    </cfRule>
  </conditionalFormatting>
  <conditionalFormatting sqref="DD1513:DH1524 DI1513:DI1526 DD1258:DI1293 DO1258:DS1293 DJ1258:DN1374 DT1258:DT1374 DH1294:DI1360 DD1375:DT1475 DD1478:DS1490 V1478:AY1508 DD1493:DS1508 V1513:AY1524 AX1635:AX1649 BZ1635:CM1649 DV1720:DZ1731 EB1720:EM1731 AX1732 DV1732:EM1732 BG1513:BG1524 DO1513:DS1524 EC1513:EM1524 DV1635:EM1649">
    <cfRule type="cellIs" dxfId="22" priority="410" operator="equal">
      <formula>0</formula>
    </cfRule>
  </conditionalFormatting>
  <conditionalFormatting sqref="DD1533:DH1535 DI1533:DI1594 DG1536:DH1536 V1513:AY1636 DV1258:DZ1360 EC1258:EM1475 AX1732 V1478:BD1508 DO1258:DS1355 DD1258:DI1360 DJ1258:DN1450 DT1258:DT1475 U1295:U1345 DY1361:DZ1361 DD1451:DS1475 DD1478:DS1490 DT1478:DT1508 DD1493:DS1508 BZ1541:CM1549 DD1550:DG1590 BZ1595:CM1649 DV1720:DZ1731 EB1720:EM1731 DV1732:EM1732">
    <cfRule type="cellIs" dxfId="21" priority="357" operator="equal">
      <formula>0</formula>
    </cfRule>
  </conditionalFormatting>
  <conditionalFormatting sqref="DD1537:DH1549">
    <cfRule type="cellIs" dxfId="20" priority="368" operator="equal">
      <formula>0</formula>
    </cfRule>
  </conditionalFormatting>
  <conditionalFormatting sqref="DD1591:DH1594 DH1594:DH1647 DD1595:DT1648 AX1597:AX1649 AD1637:AH1637 V1637:AC1649 AJ1637:AY1649 AD1638:AI1649 DD1649:DG1649 DI1649:DT1649 DH1649:DH1650">
    <cfRule type="cellIs" dxfId="19" priority="332" operator="equal">
      <formula>0</formula>
    </cfRule>
  </conditionalFormatting>
  <conditionalFormatting sqref="DD1509:DI1512">
    <cfRule type="cellIs" dxfId="18" priority="89" operator="equal">
      <formula>0</formula>
    </cfRule>
  </conditionalFormatting>
  <conditionalFormatting sqref="DD1513:DI1532">
    <cfRule type="cellIs" dxfId="17" priority="360" operator="equal">
      <formula>0</formula>
    </cfRule>
  </conditionalFormatting>
  <conditionalFormatting sqref="DD1491:DP1492 DO1356:DS1450 DD1362:DI1450 BG1494:BG1505">
    <cfRule type="cellIs" dxfId="16" priority="412" operator="equal">
      <formula>0</formula>
    </cfRule>
  </conditionalFormatting>
  <conditionalFormatting sqref="DD8:DT459 T11 U14:U15">
    <cfRule type="cellIs" dxfId="15" priority="70" operator="equal">
      <formula>0</formula>
    </cfRule>
  </conditionalFormatting>
  <conditionalFormatting sqref="DD1242:DT1257 V1242:AY1360 AX1242:AX1475 AX1478:AX1508 AX1513:AX1596 AZ1513:BD1732 T1294">
    <cfRule type="cellIs" dxfId="14" priority="479" operator="equal">
      <formula>0</formula>
    </cfRule>
  </conditionalFormatting>
  <conditionalFormatting sqref="DD1509:DT1512 BZ1375:CM1524 V1509:AY1512 BG1507:BG1512 DV1509:DZ1524">
    <cfRule type="cellIs" dxfId="13" priority="93" operator="equal">
      <formula>0</formula>
    </cfRule>
  </conditionalFormatting>
  <conditionalFormatting sqref="DD1732:DT1732 V1732:AY1732">
    <cfRule type="cellIs" dxfId="12" priority="228" operator="equal">
      <formula>0</formula>
    </cfRule>
  </conditionalFormatting>
  <conditionalFormatting sqref="DD1732:DT1732">
    <cfRule type="cellIs" dxfId="11" priority="227" operator="equal">
      <formula>0</formula>
    </cfRule>
  </conditionalFormatting>
  <conditionalFormatting sqref="DH1525:DH1526 DH1527:DI1534 DH1535:DH1549">
    <cfRule type="cellIs" dxfId="10" priority="356" operator="equal">
      <formula>0</formula>
    </cfRule>
  </conditionalFormatting>
  <conditionalFormatting sqref="DH1653 DH1655:DH1660 DH1665:DH1670 DH1672:DH1731">
    <cfRule type="cellIs" dxfId="9" priority="273" operator="equal">
      <formula>0</formula>
    </cfRule>
    <cfRule type="cellIs" dxfId="8" priority="272" operator="equal">
      <formula>0</formula>
    </cfRule>
  </conditionalFormatting>
  <conditionalFormatting sqref="DH1362:DI1374">
    <cfRule type="cellIs" dxfId="7" priority="484" operator="equal">
      <formula>0</formula>
    </cfRule>
  </conditionalFormatting>
  <conditionalFormatting sqref="DT1478:DT1508 DI1535:DI1594 DJ1513:DN1594 DD1491:DP1492">
    <cfRule type="cellIs" dxfId="6" priority="411" operator="equal">
      <formula>0</formula>
    </cfRule>
  </conditionalFormatting>
  <conditionalFormatting sqref="DT1513:DT1649 DH1591:DH1647 DH1595:DN1648 V1635:AY1636 DD1635:DG1649 DO1635:DS1649 AD1637:AH1637 V1637:AC1649 AJ1637:AY1649 AD1638:AI1649 DI1649:DN1649 DH1649:DH1650">
    <cfRule type="cellIs" dxfId="5" priority="331" operator="equal">
      <formula>0</formula>
    </cfRule>
  </conditionalFormatting>
  <conditionalFormatting sqref="DV1242:DZ1293 EC1242:EM1293 V1720:BD1731 DD1720:DG1731 DI1720:DT1731 DV1478:EM1508 EA1513:EB1596 AZ1597:BD1719">
    <cfRule type="cellIs" dxfId="4" priority="285" operator="equal">
      <formula>0</formula>
    </cfRule>
  </conditionalFormatting>
  <conditionalFormatting sqref="DV1362:DZ1477 EC1476:EM1477">
    <cfRule type="cellIs" dxfId="3" priority="151" operator="equal">
      <formula>0</formula>
    </cfRule>
  </conditionalFormatting>
  <conditionalFormatting sqref="DV1478:EM1649">
    <cfRule type="cellIs" dxfId="2" priority="83" operator="equal">
      <formula>0</formula>
    </cfRule>
  </conditionalFormatting>
  <conditionalFormatting sqref="EA1242:EB1477 AX1242:AX1508">
    <cfRule type="cellIs" dxfId="1" priority="143" operator="equal">
      <formula>0</formula>
    </cfRule>
  </conditionalFormatting>
  <conditionalFormatting sqref="EC1248:EC1256 EC1249:ED1284 EG1252:EG1284 DD1536:DF1536">
    <cfRule type="cellIs" dxfId="0" priority="355" operator="equal">
      <formula>0</formula>
    </cfRule>
  </conditionalFormatting>
  <dataValidations disablePrompts="1" count="3">
    <dataValidation type="list" allowBlank="1" showInputMessage="1" showErrorMessage="1" sqref="BR1006:BR1029 BO1505:BO1506 BP1720:BP1731 BP1362:BP1649 BP469:BP539 BP954:BP1204 BP1242:BP1360" xr:uid="{00EA00FB-000A-4C71-8CC3-005600850013}">
      <formula1>"Sequestration positive, Emissions positive"</formula1>
    </dataValidation>
    <dataValidation type="list" allowBlank="1" showInputMessage="1" showErrorMessage="1" sqref="BG1362:BG1505 BG1535:BG1731 BG1507:BG1533 BG8:BG867 BG1140:BG1221 BG1242:BG1360" xr:uid="{00A3004F-0081-4EFA-904F-007B00CB008E}">
      <formula1>"Roundwood,HWP"</formula1>
    </dataValidation>
    <dataValidation type="list" allowBlank="1" showInputMessage="1" showErrorMessage="1" sqref="BG1222:BG1235" xr:uid="{9C8B96E0-52E9-B347-80D3-C6D6095ADE2F}"/>
  </dataValidations>
  <hyperlinks>
    <hyperlink ref="K131" r:id="rId1" xr:uid="{234DECE6-5DA0-184B-8644-8BDA2EAE2C87}"/>
    <hyperlink ref="K138" r:id="rId2" xr:uid="{DF6B5B33-E65C-CE40-8A22-582131215E2D}"/>
    <hyperlink ref="K427" r:id="rId3" xr:uid="{4A0E88A9-E1C7-3E40-982F-1D7CB1B0DEB9}"/>
    <hyperlink ref="K134" r:id="rId4" xr:uid="{19F58F5C-23B2-6042-A692-19499F1D4E8D}"/>
    <hyperlink ref="K140" r:id="rId5" xr:uid="{65E71C8C-8B4D-894D-A181-6958181AEF7F}"/>
    <hyperlink ref="K422" r:id="rId6" xr:uid="{66592C4F-8D89-1147-8135-B17F0EB59896}"/>
    <hyperlink ref="K136" r:id="rId7" xr:uid="{151A8410-F251-7149-A1AC-726887D0376F}"/>
    <hyperlink ref="K137" r:id="rId8" xr:uid="{F2372D1B-BEF5-8A48-9B35-B993F7777402}"/>
    <hyperlink ref="K423" r:id="rId9" xr:uid="{472970FD-C4EC-AE4F-88F4-B467D864A7F0}"/>
    <hyperlink ref="K426" r:id="rId10" xr:uid="{956D207C-2D2F-924C-BA23-188DF06FE247}"/>
    <hyperlink ref="K129" r:id="rId11" xr:uid="{C065CDE7-2023-A447-8521-D0F28AA40CC6}"/>
    <hyperlink ref="K419" r:id="rId12" xr:uid="{743B5599-DE79-7E44-A4EC-820E14AB9E91}"/>
    <hyperlink ref="K135" r:id="rId13" xr:uid="{396A741F-B175-114D-9B51-F39B1E439CE1}"/>
    <hyperlink ref="K139" r:id="rId14" xr:uid="{BC9372FB-9C29-6C49-B4DB-7C8AC5F95664}"/>
    <hyperlink ref="K130" r:id="rId15" xr:uid="{503278C0-E6F3-C34D-B63A-6548438FD66E}"/>
    <hyperlink ref="K418" r:id="rId16" xr:uid="{1A9AF777-2F1A-6444-A851-534468BA0B12}"/>
    <hyperlink ref="K133" r:id="rId17" xr:uid="{8022E0F0-93D8-8D48-B181-2D3A297D0623}"/>
    <hyperlink ref="K132" r:id="rId18" xr:uid="{EEBB5FE0-4379-E14C-B697-5AEA022FC405}"/>
    <hyperlink ref="K425" r:id="rId19" xr:uid="{CC1AC87E-F37F-4A43-9782-C557FA4F73A9}"/>
    <hyperlink ref="K421" r:id="rId20" xr:uid="{556CF1F3-07CE-F445-A477-E7CE4F4A6CA1}"/>
    <hyperlink ref="K420" r:id="rId21" xr:uid="{E35D0972-33F0-5842-8998-AAE318325355}"/>
    <hyperlink ref="K424" r:id="rId22" xr:uid="{4EAC3483-DD9B-EC44-BE6E-8441216D2783}"/>
    <hyperlink ref="K416" r:id="rId23" xr:uid="{F599DFA5-DDB7-614E-8FB9-F6DEA35C5EAF}"/>
    <hyperlink ref="K417" r:id="rId24" xr:uid="{A132F346-F09E-3D48-96AC-E9C7D4247C54}"/>
    <hyperlink ref="K580" r:id="rId25" tooltip="Persistent link using digital object identifier" xr:uid="{7DFC1F5B-8307-C045-889B-21616BE7D238}"/>
    <hyperlink ref="K1174" r:id="rId26" xr:uid="{E85B04B8-099E-DA49-A552-7593572C4CD7}"/>
    <hyperlink ref="K1173" r:id="rId27" tooltip="Persistent link using digital object identifier" xr:uid="{9C79DB45-C4C6-0E47-AF4E-3A841FA48F53}"/>
    <hyperlink ref="K1169" r:id="rId28" tooltip="Persistent link using digital object identifier" xr:uid="{42C82401-AA1F-3E42-918D-D45A2091C6A7}"/>
    <hyperlink ref="K1171" r:id="rId29" tooltip="Persistent link using digital object identifier" xr:uid="{12B29665-D503-644D-9D93-D1B2E7C183F2}"/>
    <hyperlink ref="K1167" r:id="rId30" tooltip="Persistent link using digital object identifier" xr:uid="{56EA397D-63CD-7344-9896-B06221F54EC1}"/>
    <hyperlink ref="K1170" r:id="rId31" tooltip="Persistent link using digital object identifier" xr:uid="{F9F5BE14-EBF0-6948-8295-637890EEF40D}"/>
    <hyperlink ref="K1172" r:id="rId32" tooltip="Persistent link using digital object identifier" xr:uid="{34B190E0-661C-3748-B840-ACA111C6EAAD}"/>
    <hyperlink ref="K1168" r:id="rId33" tooltip="Persistent link using digital object identifier" xr:uid="{E2C894C8-AF24-CF40-B27E-EED4FF3ED95A}"/>
    <hyperlink ref="K815" r:id="rId34" xr:uid="{171F3DC5-889D-DB4B-9329-41F9937CEF15}"/>
    <hyperlink ref="K1176" r:id="rId35" xr:uid="{6E0E1C2C-9975-B945-AC48-172502469A8F}"/>
    <hyperlink ref="K1162" r:id="rId36" xr:uid="{8FB7C482-431A-3146-8601-30FBA42ED83A}"/>
    <hyperlink ref="K1175" r:id="rId37" xr:uid="{A2DE14F7-5550-AF47-A9DE-98E4DA7F5D54}"/>
    <hyperlink ref="K1177" r:id="rId38" xr:uid="{A8040271-A136-674C-A1CA-5981C8BFFCF0}"/>
    <hyperlink ref="K1105:K1107" r:id="rId39" tooltip="Persistent link using digital object identifier" display="https://doi.org/10.1016/j.jenvman.2013.07.021" xr:uid="{A0A42070-D837-864F-BBA8-50928F0731D2}"/>
    <hyperlink ref="K385" r:id="rId40" display="https://doi.org/10.1139/X06-257" xr:uid="{521B6C7C-18BA-5648-8FF6-FF5293F50322}"/>
    <hyperlink ref="K957:K959" r:id="rId41" display="https://doi.org/10.1139/X06-257" xr:uid="{0749E2A5-34C6-BE40-81A2-EEEF9B514B14}"/>
    <hyperlink ref="K295" r:id="rId42" display="https://doi.org/10.1111/j.1757-1707.2012.01161.x" xr:uid="{3BBAD0BB-1CC1-A246-9A87-649D39BB25BC}"/>
  </hyperlinks>
  <pageMargins left="0.7" right="0.7" top="0.75" bottom="0.75" header="0.3" footer="0.3"/>
  <pageSetup paperSize="9" orientation="portrait"/>
  <legacyDrawing r:id="rId43"/>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00000000-0002-0000-0000-000001000000}">
          <x14:formula1>
            <xm:f>Conversions!$A$10:$A$16</xm:f>
          </x14:formula1>
          <xm:sqref>N1732 N1478:N1508 N1513:N1711 N1242:N1475</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workbookViewId="0"/>
  </sheetViews>
  <sheetFormatPr baseColWidth="10" defaultRowHeight="16"/>
  <sheetData/>
  <pageMargins left="0.7" right="0.7" top="0.75" bottom="0.75" header="0.3" footer="0.3"/>
  <pageSetup paperSize="9" orientation="portrai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16"/>
  <sheetViews>
    <sheetView workbookViewId="0">
      <selection activeCell="A17" sqref="A17"/>
    </sheetView>
  </sheetViews>
  <sheetFormatPr baseColWidth="10" defaultColWidth="10.6640625" defaultRowHeight="16"/>
  <cols>
    <col min="4" max="4" width="20" customWidth="1"/>
  </cols>
  <sheetData>
    <row r="1" spans="1:8">
      <c r="H1" t="s">
        <v>2446</v>
      </c>
    </row>
    <row r="2" spans="1:8">
      <c r="A2" t="s">
        <v>2589</v>
      </c>
      <c r="B2">
        <f>1000/E2</f>
        <v>2.0408163265306123</v>
      </c>
      <c r="D2" t="s">
        <v>2590</v>
      </c>
      <c r="E2">
        <f>AVERAGE(400,580)</f>
        <v>490</v>
      </c>
      <c r="F2" t="s">
        <v>680</v>
      </c>
      <c r="G2" t="s">
        <v>2591</v>
      </c>
      <c r="H2" t="s">
        <v>2592</v>
      </c>
    </row>
    <row r="3" spans="1:8">
      <c r="A3" t="s">
        <v>2593</v>
      </c>
      <c r="B3">
        <f>1/E2</f>
        <v>2.0408163265306124E-3</v>
      </c>
      <c r="D3" t="s">
        <v>2594</v>
      </c>
      <c r="E3">
        <v>0.47</v>
      </c>
      <c r="F3" t="s">
        <v>2595</v>
      </c>
      <c r="H3" t="s">
        <v>2592</v>
      </c>
    </row>
    <row r="4" spans="1:8">
      <c r="A4" t="s">
        <v>2596</v>
      </c>
      <c r="B4">
        <f>+B2/E3</f>
        <v>4.3421623968736434</v>
      </c>
    </row>
    <row r="5" spans="1:8">
      <c r="A5" t="s">
        <v>2597</v>
      </c>
      <c r="B5" s="199">
        <f>3.67</f>
        <v>3.67</v>
      </c>
    </row>
    <row r="9" spans="1:8">
      <c r="A9" t="s">
        <v>2598</v>
      </c>
    </row>
    <row r="10" spans="1:8">
      <c r="A10" t="s">
        <v>223</v>
      </c>
    </row>
    <row r="11" spans="1:8">
      <c r="A11" t="s">
        <v>2586</v>
      </c>
    </row>
    <row r="12" spans="1:8">
      <c r="A12" t="s">
        <v>2588</v>
      </c>
    </row>
    <row r="13" spans="1:8">
      <c r="A13" t="s">
        <v>2585</v>
      </c>
    </row>
    <row r="14" spans="1:8">
      <c r="A14" t="s">
        <v>2587</v>
      </c>
    </row>
    <row r="15" spans="1:8">
      <c r="A15" t="s">
        <v>1354</v>
      </c>
    </row>
    <row r="16" spans="1:8">
      <c r="A16" t="s">
        <v>2584</v>
      </c>
    </row>
  </sheetData>
  <pageMargins left="0.7" right="0.7" top="0.75" bottom="0.75" header="0.3" footer="0.3"/>
  <pageSetup paperSize="9" orientation="portrait"/>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223"/>
  <sheetViews>
    <sheetView workbookViewId="0">
      <selection activeCell="E2" sqref="E2"/>
    </sheetView>
  </sheetViews>
  <sheetFormatPr baseColWidth="10" defaultRowHeight="16"/>
  <cols>
    <col min="1" max="1" width="22.1640625" bestFit="1" customWidth="1"/>
    <col min="2" max="2" width="27.6640625" bestFit="1" customWidth="1"/>
    <col min="3" max="3" width="30.5" bestFit="1" customWidth="1"/>
    <col min="4" max="4" width="5.83203125" customWidth="1"/>
    <col min="5" max="5" width="19.33203125" customWidth="1"/>
    <col min="6" max="6" width="13.83203125" customWidth="1"/>
    <col min="8" max="8" width="9.5" style="149" customWidth="1"/>
    <col min="9" max="9" width="27.1640625" style="149" customWidth="1"/>
    <col min="11" max="114" width="5.83203125" customWidth="1"/>
  </cols>
  <sheetData>
    <row r="1" spans="1:11">
      <c r="E1" s="143" t="s">
        <v>2599</v>
      </c>
      <c r="F1" s="149" t="s">
        <v>2600</v>
      </c>
      <c r="G1" t="s">
        <v>2601</v>
      </c>
      <c r="H1" s="149" t="s">
        <v>2602</v>
      </c>
      <c r="I1" s="149" t="s">
        <v>2603</v>
      </c>
      <c r="J1" s="149" t="s">
        <v>2604</v>
      </c>
    </row>
    <row r="2" spans="1:11">
      <c r="A2" t="str">
        <f t="array" ref="A2:C119">TRANSPOSE(Sheet1!A2:'Sheet1'!BY7)</f>
        <v>Paper description</v>
      </c>
      <c r="B2">
        <v>0</v>
      </c>
      <c r="C2" t="str">
        <v>Publication</v>
      </c>
      <c r="E2" t="str">
        <f t="array" ref="E2">INDEX(Sheet1!$A$4:$CV$4,MATCH(0,COUNTIF($E$1:E1,Sheet1!$A$4:$CV$4),0))</f>
        <v>Publication</v>
      </c>
      <c r="F2" s="200" t="s">
        <v>2605</v>
      </c>
      <c r="G2" t="str">
        <f>INDEX(Sheet1!A$2:CV$2,MATCH($E2,Sheet1!A$4:CV$4,0))</f>
        <v>Paper description</v>
      </c>
      <c r="H2" s="200" t="s">
        <v>2605</v>
      </c>
      <c r="I2" t="str">
        <f>INDEX(Sheet1!C$1:EO$1,MATCH($E2,Sheet1!C$4:EO$4,0))</f>
        <v>Metadata</v>
      </c>
      <c r="K2" t="e">
        <f>INDEX($B$2:$B$193, MATCH(0, COUNTIF($E$1:E1, $B$2:$B$193), 0))</f>
        <v>#N/A</v>
      </c>
    </row>
    <row r="3" spans="1:11">
      <c r="A3" t="str">
        <v>Paper description</v>
      </c>
      <c r="B3">
        <v>0</v>
      </c>
      <c r="C3" t="str">
        <v>Topic</v>
      </c>
      <c r="E3" t="str">
        <f t="array" ref="E3">INDEX(Sheet1!$A$4:$CV$4,MATCH(0,COUNTIF($E$1:E2,Sheet1!$A$4:$CV$4),0))</f>
        <v>Topic</v>
      </c>
      <c r="F3" s="200" t="s">
        <v>2605</v>
      </c>
      <c r="G3" t="str">
        <f>INDEX(Sheet1!A$2:CV$2,MATCH($E3,Sheet1!A$4:CV$4,0))</f>
        <v>Paper description</v>
      </c>
      <c r="H3" s="200" t="s">
        <v>2605</v>
      </c>
      <c r="I3" t="str">
        <f>INDEX(Sheet1!C$1:EO$1,MATCH($E3,Sheet1!C$4:EO$4,0))</f>
        <v>Metadata</v>
      </c>
    </row>
    <row r="4" spans="1:11">
      <c r="A4" s="201" t="str">
        <v>Paper description</v>
      </c>
      <c r="B4" s="201">
        <v>0</v>
      </c>
      <c r="C4" s="201" t="str">
        <v>Topic</v>
      </c>
      <c r="D4" s="201"/>
      <c r="E4" t="str">
        <f t="array" ref="E4">INDEX(Sheet1!$A$4:$CV$4,MATCH(0,COUNTIF($E$1:E3,Sheet1!$A$4:$CV$4),0))</f>
        <v>Authors</v>
      </c>
      <c r="F4" s="200" t="s">
        <v>2605</v>
      </c>
      <c r="G4" t="str">
        <f>INDEX(Sheet1!A$2:CV$2,MATCH($E4,Sheet1!A$4:CV$4,0))</f>
        <v>Paper description</v>
      </c>
      <c r="H4" s="200" t="s">
        <v>2605</v>
      </c>
      <c r="I4" t="str">
        <f>INDEX(Sheet1!C$1:EO$1,MATCH($E4,Sheet1!C$4:EO$4,0))</f>
        <v>Metadata</v>
      </c>
    </row>
    <row r="5" spans="1:11">
      <c r="A5" s="201" t="str">
        <v>Paper description</v>
      </c>
      <c r="B5" s="201">
        <v>0</v>
      </c>
      <c r="C5" s="201" t="str">
        <v>Authors</v>
      </c>
      <c r="D5" s="201"/>
      <c r="E5" t="str">
        <f t="array" ref="E5">INDEX(Sheet1!$A$4:$CV$4,MATCH(0,COUNTIF($E$1:E4,Sheet1!$A$4:$CV$4),0))</f>
        <v>Journal</v>
      </c>
      <c r="F5" s="200" t="s">
        <v>2605</v>
      </c>
      <c r="G5" t="str">
        <f>INDEX(Sheet1!A$2:CV$2,MATCH($E5,Sheet1!A$4:CV$4,0))</f>
        <v>Paper description</v>
      </c>
      <c r="H5" s="200" t="s">
        <v>2605</v>
      </c>
      <c r="I5" t="str">
        <f>INDEX(Sheet1!C$1:EO$1,MATCH($E5,Sheet1!C$4:EO$4,0))</f>
        <v>Metadata</v>
      </c>
    </row>
    <row r="6" spans="1:11">
      <c r="A6" s="201" t="str">
        <v>Paper description</v>
      </c>
      <c r="B6" s="201">
        <v>0</v>
      </c>
      <c r="C6" s="201" t="str">
        <v>Topic</v>
      </c>
      <c r="D6" s="201"/>
      <c r="E6" t="str">
        <f t="array" ref="E6">INDEX(Sheet1!$A$4:$CV$4,MATCH(0,COUNTIF($E$1:E5,Sheet1!$A$4:$CV$4),0))</f>
        <v>Exclusion</v>
      </c>
      <c r="F6" s="200" t="s">
        <v>2605</v>
      </c>
      <c r="G6" t="str">
        <f>INDEX(Sheet1!A$2:CV$2,MATCH($E6,Sheet1!A$4:CV$4,0))</f>
        <v>Protocol</v>
      </c>
      <c r="H6" s="200" t="s">
        <v>2605</v>
      </c>
      <c r="I6" t="str">
        <f>INDEX(Sheet1!C$1:EO$1,MATCH($E6,Sheet1!C$4:EO$4,0))</f>
        <v>Metadata</v>
      </c>
    </row>
    <row r="7" spans="1:11">
      <c r="A7" s="201" t="str">
        <v>Paper description</v>
      </c>
      <c r="B7" s="201">
        <v>0</v>
      </c>
      <c r="C7" s="201" t="str">
        <v>Topic</v>
      </c>
      <c r="D7" s="201"/>
      <c r="E7" t="str">
        <f t="array" ref="E7">INDEX(Sheet1!$A$4:$CV$4,MATCH(0,COUNTIF($E$1:E6,Sheet1!$A$4:$CV$4),0))</f>
        <v>Full revision</v>
      </c>
      <c r="F7" s="200" t="s">
        <v>2605</v>
      </c>
      <c r="G7" t="str">
        <f>INDEX(Sheet1!A$2:CV$2,MATCH($E7,Sheet1!A$4:CV$4,0))</f>
        <v>Extraction</v>
      </c>
      <c r="H7" s="200" t="s">
        <v>2605</v>
      </c>
      <c r="I7" t="str">
        <f>INDEX(Sheet1!C$1:EO$1,MATCH($E7,Sheet1!C$4:EO$4,0))</f>
        <v>Protocol</v>
      </c>
    </row>
    <row r="8" spans="1:11">
      <c r="A8" s="201" t="str">
        <v>Paper description</v>
      </c>
      <c r="B8" s="201">
        <v>0</v>
      </c>
      <c r="C8" s="201" t="str">
        <v>Journal</v>
      </c>
      <c r="D8" s="201"/>
      <c r="E8" t="str">
        <f t="array" ref="E8">INDEX(Sheet1!$A$4:$CV$4,MATCH(0,COUNTIF($E$1:E7,Sheet1!$A$4:$CV$4),0))</f>
        <v>Revision</v>
      </c>
      <c r="F8" s="200" t="s">
        <v>2605</v>
      </c>
      <c r="G8" t="str">
        <f>INDEX(Sheet1!A$2:CV$2,MATCH($E8,Sheet1!A$4:CV$4,0))</f>
        <v>Post-extraction</v>
      </c>
      <c r="H8" s="200" t="s">
        <v>2605</v>
      </c>
      <c r="I8" t="str">
        <f>INDEX(Sheet1!C$1:EO$1,MATCH($E8,Sheet1!C$4:EO$4,0))</f>
        <v>Protocol</v>
      </c>
    </row>
    <row r="9" spans="1:11">
      <c r="A9" s="201" t="str">
        <v>Paper description</v>
      </c>
      <c r="B9" s="201">
        <v>0</v>
      </c>
      <c r="C9" s="201" t="str">
        <v>Publication</v>
      </c>
      <c r="D9" s="201"/>
      <c r="E9">
        <f t="array" ref="E9">INDEX(Sheet1!$A$4:$CV$4,MATCH(0,COUNTIF($E$1:E8,Sheet1!$A$4:$CV$4),0))</f>
        <v>0</v>
      </c>
      <c r="F9" s="200" t="s">
        <v>2605</v>
      </c>
      <c r="G9" t="e">
        <f>INDEX(Sheet1!A$2:CV$2,MATCH($E9,Sheet1!A$4:CV$4,0))</f>
        <v>#N/A</v>
      </c>
      <c r="H9" s="200" t="s">
        <v>2605</v>
      </c>
      <c r="I9" t="e">
        <f>INDEX(Sheet1!C$1:EO$1,MATCH($E9,Sheet1!C$4:EO$4,0))</f>
        <v>#N/A</v>
      </c>
    </row>
    <row r="10" spans="1:11">
      <c r="A10" s="201" t="str">
        <v>Paper description</v>
      </c>
      <c r="B10" s="201">
        <v>0</v>
      </c>
      <c r="C10" s="201" t="str">
        <v>Publication</v>
      </c>
      <c r="D10" s="201"/>
      <c r="E10" t="str">
        <f t="array" ref="E10">INDEX(Sheet1!$A$4:$CV$4,MATCH(0,COUNTIF($E$1:E9,Sheet1!$A$4:$CV$4),0))</f>
        <v>driver description</v>
      </c>
      <c r="F10" s="200" t="s">
        <v>2605</v>
      </c>
      <c r="G10" t="str">
        <f>INDEX(Sheet1!A$2:CV$2,MATCH($E10,Sheet1!A$4:CV$4,0))</f>
        <v>Driver</v>
      </c>
      <c r="H10" s="200" t="s">
        <v>2605</v>
      </c>
      <c r="I10" t="str">
        <f>INDEX(Sheet1!C$1:EO$1,MATCH($E10,Sheet1!C$4:EO$4,0))</f>
        <v>Drivers</v>
      </c>
    </row>
    <row r="11" spans="1:11">
      <c r="A11" s="201" t="str">
        <v>Paper description</v>
      </c>
      <c r="B11" s="201">
        <v>0</v>
      </c>
      <c r="C11" s="201" t="str">
        <v>Publication</v>
      </c>
      <c r="D11" s="201"/>
      <c r="E11" t="str">
        <f t="array" ref="E11">INDEX(Sheet1!$A$4:$CV$4,MATCH(0,COUNTIF($E$1:E10,Sheet1!$A$4:$CV$4),0))</f>
        <v>SilvicultureRemov</v>
      </c>
      <c r="F11" s="200" t="s">
        <v>2605</v>
      </c>
      <c r="G11" t="str">
        <f>INDEX(Sheet1!A$2:CV$2,MATCH($E11,Sheet1!A$4:CV$4,0))</f>
        <v>Change in practices</v>
      </c>
      <c r="H11" s="200" t="s">
        <v>2605</v>
      </c>
      <c r="I11" t="str">
        <f>INDEX(Sheet1!C$1:EO$1,MATCH($E11,Sheet1!C$4:EO$4,0))</f>
        <v>Drivers</v>
      </c>
    </row>
    <row r="12" spans="1:11">
      <c r="A12" s="201" t="str">
        <v>Paper description</v>
      </c>
      <c r="B12" s="201">
        <v>0</v>
      </c>
      <c r="C12" s="201" t="str">
        <v>Publication</v>
      </c>
      <c r="D12" s="201"/>
      <c r="E12" t="str">
        <f t="array" ref="E12">INDEX(Sheet1!$A$4:$CV$4,MATCH(0,COUNTIF($E$1:E11,Sheet1!$A$4:$CV$4),0))</f>
        <v>SilvicultureProd</v>
      </c>
      <c r="F12" s="200" t="s">
        <v>2605</v>
      </c>
      <c r="G12" t="str">
        <f>INDEX(Sheet1!A$2:CV$2,MATCH($E12,Sheet1!A$4:CV$4,0))</f>
        <v>Change in practices</v>
      </c>
      <c r="H12" s="200" t="s">
        <v>2605</v>
      </c>
      <c r="I12" t="str">
        <f>INDEX(Sheet1!C$1:EO$1,MATCH($E12,Sheet1!C$4:EO$4,0))</f>
        <v>Drivers</v>
      </c>
    </row>
    <row r="13" spans="1:11">
      <c r="A13" s="201" t="str">
        <v>Paper description</v>
      </c>
      <c r="B13" s="201">
        <v>0</v>
      </c>
      <c r="C13" s="201" t="str">
        <v>Publication</v>
      </c>
      <c r="D13" s="201"/>
      <c r="E13" t="str">
        <f t="array" ref="E13">INDEX(Sheet1!$A$4:$CV$4,MATCH(0,COUNTIF($E$1:E12,Sheet1!$A$4:$CV$4),0))</f>
        <v>Supply chain</v>
      </c>
      <c r="F13" s="200" t="s">
        <v>2605</v>
      </c>
      <c r="G13" t="str">
        <f>INDEX(Sheet1!A$2:CV$2,MATCH($E13,Sheet1!A$4:CV$4,0))</f>
        <v>Change in practices</v>
      </c>
      <c r="H13" s="200" t="s">
        <v>2605</v>
      </c>
      <c r="I13" t="str">
        <f>INDEX(Sheet1!C$1:EO$1,MATCH($E13,Sheet1!C$4:EO$4,0))</f>
        <v>Drivers</v>
      </c>
    </row>
    <row r="14" spans="1:11">
      <c r="A14" s="201" t="str">
        <v>Paper description</v>
      </c>
      <c r="B14" s="201">
        <v>0</v>
      </c>
      <c r="C14" s="201" t="str">
        <v>Authors</v>
      </c>
      <c r="D14" s="201"/>
      <c r="E14" t="str">
        <f t="array" ref="E14">INDEX(Sheet1!$A$4:$CV$4,MATCH(0,COUNTIF($E$1:E13,Sheet1!$A$4:$CV$4),0))</f>
        <v>Technology</v>
      </c>
      <c r="F14" s="200" t="s">
        <v>2605</v>
      </c>
      <c r="G14" t="str">
        <f>INDEX(Sheet1!A$2:CV$2,MATCH($E14,Sheet1!A$4:CV$4,0))</f>
        <v>Change in practices</v>
      </c>
      <c r="H14" s="200" t="s">
        <v>2605</v>
      </c>
      <c r="I14" t="str">
        <f>INDEX(Sheet1!C$1:EO$1,MATCH($E14,Sheet1!C$4:EO$4,0))</f>
        <v>Drivers</v>
      </c>
      <c r="J14" s="202" t="s">
        <v>22</v>
      </c>
    </row>
    <row r="15" spans="1:11">
      <c r="A15" s="201" t="str">
        <v>Protocol</v>
      </c>
      <c r="B15" s="201">
        <v>0</v>
      </c>
      <c r="C15" s="201" t="str">
        <v>Exclusion</v>
      </c>
      <c r="D15" s="201"/>
      <c r="E15" t="str">
        <f t="array" ref="E15">INDEX(Sheet1!$A$4:$CV$4,MATCH(0,COUNTIF($E$1:E14,Sheet1!$A$4:$CV$4),0))</f>
        <v>Environmental change</v>
      </c>
      <c r="F15" s="202" t="s">
        <v>23</v>
      </c>
      <c r="G15" t="str">
        <f>INDEX(Sheet1!A$2:CV$2,MATCH($E15,Sheet1!A$4:CV$4,0))</f>
        <v>Environmental change</v>
      </c>
      <c r="H15" s="202" t="s">
        <v>23</v>
      </c>
      <c r="I15" t="str">
        <f>INDEX(Sheet1!C$1:EO$1,MATCH($E15,Sheet1!C$4:EO$4,0))</f>
        <v>Drivers</v>
      </c>
      <c r="J15" s="202" t="s">
        <v>22</v>
      </c>
    </row>
    <row r="16" spans="1:11">
      <c r="A16" s="201" t="str">
        <v>Extraction</v>
      </c>
      <c r="B16" s="201">
        <v>0</v>
      </c>
      <c r="C16" s="201" t="str">
        <v>Full revision</v>
      </c>
      <c r="D16" s="201"/>
      <c r="E16" t="str">
        <f t="array" ref="E16">INDEX(Sheet1!$A$4:$CV$4,MATCH(0,COUNTIF($E$1:E15,Sheet1!$A$4:$CV$4),0))</f>
        <v>Demand</v>
      </c>
      <c r="F16" s="202" t="s">
        <v>23</v>
      </c>
      <c r="G16" t="str">
        <f>INDEX(Sheet1!A$2:CV$2,MATCH($E16,Sheet1!A$4:CV$4,0))</f>
        <v>Environmental change</v>
      </c>
      <c r="H16" s="202" t="s">
        <v>23</v>
      </c>
      <c r="I16" t="str">
        <f>INDEX(Sheet1!C$1:EO$1,MATCH($E16,Sheet1!C$4:EO$4,0))</f>
        <v>Drivers</v>
      </c>
      <c r="J16" s="202" t="s">
        <v>22</v>
      </c>
    </row>
    <row r="17" spans="1:10">
      <c r="A17" s="201" t="str">
        <v>Post-extraction</v>
      </c>
      <c r="B17" s="201">
        <v>0</v>
      </c>
      <c r="C17" s="201" t="str">
        <v>Revision</v>
      </c>
      <c r="D17" s="201"/>
      <c r="E17" t="str">
        <f t="array" ref="E17">INDEX(Sheet1!$A$4:$CV$4,MATCH(0,COUNTIF($E$1:E16,Sheet1!$A$4:$CV$4),0))</f>
        <v>QC</v>
      </c>
      <c r="F17" s="202" t="s">
        <v>23</v>
      </c>
      <c r="G17" t="str">
        <f>INDEX(Sheet1!A$2:CV$2,MATCH($E17,Sheet1!A$4:CV$4,0))</f>
        <v>Post-extraction</v>
      </c>
      <c r="H17" s="202" t="s">
        <v>23</v>
      </c>
      <c r="I17" t="str">
        <f>INDEX(Sheet1!C$1:EO$1,MATCH($E17,Sheet1!C$4:EO$4,0))</f>
        <v>Protocol</v>
      </c>
      <c r="J17" s="202" t="s">
        <v>22</v>
      </c>
    </row>
    <row r="18" spans="1:10">
      <c r="A18" s="201" t="str">
        <v>Extraction round</v>
      </c>
      <c r="B18" s="201">
        <v>0</v>
      </c>
      <c r="C18" s="201">
        <v>0</v>
      </c>
      <c r="D18" s="201"/>
      <c r="E18" t="str">
        <f t="array" ref="E18">INDEX(Sheet1!$A$4:$CV$4,MATCH(0,COUNTIF($E$1:E17,Sheet1!$A$4:$CV$4),0))</f>
        <v>All</v>
      </c>
      <c r="F18" s="202" t="s">
        <v>23</v>
      </c>
      <c r="G18" t="str">
        <f>INDEX(Sheet1!A$2:CV$2,MATCH($E18,Sheet1!A$4:CV$4,0))</f>
        <v>QC</v>
      </c>
      <c r="H18" s="202" t="s">
        <v>23</v>
      </c>
      <c r="I18" t="str">
        <f>INDEX(Sheet1!C$1:EO$1,MATCH($E18,Sheet1!C$4:EO$4,0))</f>
        <v>Protocol</v>
      </c>
      <c r="J18" s="202" t="s">
        <v>22</v>
      </c>
    </row>
    <row r="19" spans="1:10">
      <c r="A19" s="201">
        <v>0</v>
      </c>
      <c r="B19" s="201">
        <v>0</v>
      </c>
      <c r="C19" s="201">
        <v>0</v>
      </c>
      <c r="D19" s="201"/>
      <c r="E19" t="str">
        <f t="array" ref="E19">INDEX(Sheet1!$A$4:$CV$4,MATCH(0,COUNTIF($E$1:E18,Sheet1!$A$4:$CV$4),0))</f>
        <v>AllEnvir</v>
      </c>
      <c r="F19" s="200" t="s">
        <v>2605</v>
      </c>
      <c r="G19" t="str">
        <f>INDEX(Sheet1!A$2:CV$2,MATCH($E19,Sheet1!A$4:CV$4,0))</f>
        <v>QC</v>
      </c>
      <c r="H19" s="200" t="s">
        <v>2605</v>
      </c>
      <c r="I19" t="str">
        <f>INDEX(Sheet1!C$1:EO$1,MATCH($E19,Sheet1!C$4:EO$4,0))</f>
        <v>Protocol</v>
      </c>
      <c r="J19" s="202" t="s">
        <v>23</v>
      </c>
    </row>
    <row r="20" spans="1:10">
      <c r="A20" s="201" t="str">
        <v>Driver</v>
      </c>
      <c r="B20" s="201">
        <v>0</v>
      </c>
      <c r="C20" s="201" t="str">
        <v>driver description</v>
      </c>
      <c r="D20" s="201"/>
      <c r="E20" t="str">
        <f t="array" ref="E20">INDEX(Sheet1!$A$4:$CV$4,MATCH(0,COUNTIF($E$1:E19,Sheet1!$A$4:$CV$4),0))</f>
        <v>MainDriver</v>
      </c>
      <c r="F20" s="203" t="s">
        <v>62</v>
      </c>
      <c r="G20" t="str">
        <f>INDEX(Sheet1!A$2:CV$2,MATCH($E20,Sheet1!A$4:CV$4,0))</f>
        <v>Driver</v>
      </c>
      <c r="H20" s="203" t="s">
        <v>62</v>
      </c>
      <c r="I20" t="str">
        <f>INDEX(Sheet1!C$1:EO$1,MATCH($E20,Sheet1!C$4:EO$4,0))</f>
        <v>Drivers</v>
      </c>
      <c r="J20" s="202" t="s">
        <v>24</v>
      </c>
    </row>
    <row r="21" spans="1:10">
      <c r="A21" s="201" t="str">
        <v>Driver</v>
      </c>
      <c r="B21" s="201">
        <v>0</v>
      </c>
      <c r="C21" s="201" t="str">
        <v>driver description</v>
      </c>
      <c r="D21" s="201"/>
      <c r="E21" t="str">
        <f t="array" ref="E21">INDEX(Sheet1!$A$4:$CV$4,MATCH(0,COUNTIF($E$1:E20,Sheet1!$A$4:$CV$4),0))</f>
        <v>Wood amount</v>
      </c>
      <c r="F21" s="203" t="s">
        <v>62</v>
      </c>
      <c r="G21" t="str">
        <f>INDEX(Sheet1!A$2:CV$2,MATCH($E21,Sheet1!A$4:CV$4,0))</f>
        <v>Carbon_outcome</v>
      </c>
      <c r="H21" s="203" t="s">
        <v>62</v>
      </c>
      <c r="I21" t="str">
        <f>INDEX(Sheet1!C$1:EO$1,MATCH($E21,Sheet1!C$4:EO$4,0))</f>
        <v>Outcomes</v>
      </c>
      <c r="J21" s="202" t="s">
        <v>25</v>
      </c>
    </row>
    <row r="22" spans="1:10">
      <c r="A22" s="201" t="str">
        <v>Driver</v>
      </c>
      <c r="B22" s="201">
        <v>0</v>
      </c>
      <c r="C22" s="201" t="str">
        <v>driver description</v>
      </c>
      <c r="D22" s="201"/>
      <c r="E22" t="str">
        <f t="array" ref="E22">INDEX(Sheet1!$A$4:$CV$4,MATCH(0,COUNTIF($E$1:E21,Sheet1!$A$4:$CV$4),0))</f>
        <v>Cumulated C balance</v>
      </c>
      <c r="F22" s="204" t="s">
        <v>2606</v>
      </c>
      <c r="G22" t="str">
        <f>INDEX(Sheet1!A$2:CV$2,MATCH($E22,Sheet1!A$4:CV$4,0))</f>
        <v>Carbon_outcome</v>
      </c>
      <c r="H22" s="205" t="s">
        <v>2607</v>
      </c>
      <c r="I22" t="str">
        <f>INDEX(Sheet1!C$1:EO$1,MATCH($E22,Sheet1!C$4:EO$4,0))</f>
        <v>Outcomes</v>
      </c>
      <c r="J22" s="202" t="s">
        <v>26</v>
      </c>
    </row>
    <row r="23" spans="1:10">
      <c r="A23" s="201" t="str">
        <v>Change in practices</v>
      </c>
      <c r="B23" s="201" t="str">
        <v>#CAACCB</v>
      </c>
      <c r="C23" s="201" t="str">
        <v>SilvicultureRemov</v>
      </c>
      <c r="D23" s="201"/>
      <c r="E23" t="str">
        <f t="array" ref="E23">INDEX(Sheet1!$A$4:$CV$4,MATCH(0,COUNTIF($E$1:E22,Sheet1!$A$4:$CV$4),0))</f>
        <v>Substitution coefficient</v>
      </c>
      <c r="F23" s="206" t="s">
        <v>2608</v>
      </c>
      <c r="G23">
        <f>INDEX(Sheet1!A$2:CV$2,MATCH($E23,Sheet1!A$4:CV$4,0))</f>
        <v>0</v>
      </c>
      <c r="H23" s="205" t="s">
        <v>2607</v>
      </c>
      <c r="I23" t="str">
        <f>INDEX(Sheet1!C$1:EO$1,MATCH($E23,Sheet1!C$4:EO$4,0))</f>
        <v>Outcomes</v>
      </c>
    </row>
    <row r="24" spans="1:10">
      <c r="A24" s="201" t="str">
        <v>Change in practices</v>
      </c>
      <c r="B24" s="201" t="str">
        <v>#CAACCB</v>
      </c>
      <c r="C24" s="201" t="str">
        <v>SilvicultureRemov</v>
      </c>
      <c r="D24" s="201"/>
      <c r="E24" t="str">
        <f t="array" ref="E24">INDEX(Sheet1!$A$4:$CV$4,MATCH(0,COUNTIF($E$1:E23,Sheet1!$A$4:$CV$4),0))</f>
        <v>LCAOutcomes</v>
      </c>
      <c r="F24" s="205" t="s">
        <v>2607</v>
      </c>
      <c r="G24" t="str">
        <f>INDEX(Sheet1!A$2:CV$2,MATCH($E24,Sheet1!A$4:CV$4,0))</f>
        <v>Non_c_outcomes</v>
      </c>
      <c r="H24" s="205" t="s">
        <v>2607</v>
      </c>
      <c r="I24" t="str">
        <f>INDEX(Sheet1!C$1:EO$1,MATCH($E24,Sheet1!C$4:EO$4,0))</f>
        <v>Outcomes</v>
      </c>
      <c r="J24" s="207" t="s">
        <v>19</v>
      </c>
    </row>
    <row r="25" spans="1:10">
      <c r="A25" s="201" t="str">
        <v>Change in practices</v>
      </c>
      <c r="B25" s="201" t="str">
        <v>#CAACCB</v>
      </c>
      <c r="C25" s="201" t="str">
        <v>SilvicultureRemov</v>
      </c>
      <c r="D25" s="201"/>
      <c r="E25" t="str">
        <f t="array" ref="E25">INDEX(Sheet1!$A$4:$CV$4,MATCH(0,COUNTIF($E$1:E24,Sheet1!$A$4:$CV$4),0))</f>
        <v>biogeochemicalOutcomes</v>
      </c>
      <c r="F25" s="200" t="s">
        <v>2605</v>
      </c>
      <c r="G25" t="str">
        <f>INDEX(Sheet1!A$2:CV$2,MATCH($E25,Sheet1!A$4:CV$4,0))</f>
        <v>Non_c_outcomes</v>
      </c>
      <c r="H25" s="200" t="s">
        <v>2605</v>
      </c>
      <c r="I25" t="str">
        <f>INDEX(Sheet1!C$1:EO$1,MATCH($E25,Sheet1!C$4:EO$4,0))</f>
        <v>Outcomes</v>
      </c>
      <c r="J25" s="207" t="s">
        <v>19</v>
      </c>
    </row>
    <row r="26" spans="1:10">
      <c r="A26" s="201" t="str">
        <v>Change in practices</v>
      </c>
      <c r="B26" s="201" t="str">
        <v>#CAACCB</v>
      </c>
      <c r="C26" s="201" t="str">
        <v>SilvicultureRemov</v>
      </c>
      <c r="D26" s="201"/>
      <c r="E26" t="str">
        <f t="array" ref="E26">INDEX(Sheet1!$A$4:$CV$4,MATCH(0,COUNTIF($E$1:E25,Sheet1!$A$4:$CV$4),0))</f>
        <v>biophysicalOutcomes</v>
      </c>
      <c r="F26" s="200" t="s">
        <v>2605</v>
      </c>
      <c r="G26" t="str">
        <f>INDEX(Sheet1!A$2:CV$2,MATCH($E26,Sheet1!A$4:CV$4,0))</f>
        <v>Non_c_outcomes</v>
      </c>
      <c r="H26" s="200" t="s">
        <v>2605</v>
      </c>
      <c r="I26" t="str">
        <f>INDEX(Sheet1!C$1:EO$1,MATCH($E26,Sheet1!C$4:EO$4,0))</f>
        <v>Outcomes</v>
      </c>
      <c r="J26" s="207" t="s">
        <v>19</v>
      </c>
    </row>
    <row r="27" spans="1:10">
      <c r="A27" s="201" t="str">
        <v>Change in practices</v>
      </c>
      <c r="B27" s="201" t="str">
        <v>#CAACCB</v>
      </c>
      <c r="C27" s="201" t="str">
        <v>SilvicultureProd</v>
      </c>
      <c r="D27" s="201"/>
      <c r="E27" t="str">
        <f t="array" ref="E27">INDEX(Sheet1!$A$4:$CV$4,MATCH(0,COUNTIF($E$1:E26,Sheet1!$A$4:$CV$4),0))</f>
        <v>ecologicalOutcomes</v>
      </c>
      <c r="F27" s="208" t="s">
        <v>58</v>
      </c>
      <c r="G27" t="str">
        <f>INDEX(Sheet1!A$2:CV$2,MATCH($E27,Sheet1!A$4:CV$4,0))</f>
        <v>Non_c_outcomes</v>
      </c>
      <c r="H27" s="207" t="s">
        <v>19</v>
      </c>
      <c r="I27" t="str">
        <f>INDEX(Sheet1!C$1:EO$1,MATCH($E27,Sheet1!C$4:EO$4,0))</f>
        <v>Outcomes</v>
      </c>
      <c r="J27" s="207" t="s">
        <v>19</v>
      </c>
    </row>
    <row r="28" spans="1:10">
      <c r="A28" s="201" t="str">
        <v>Change in practices</v>
      </c>
      <c r="B28" s="201" t="str">
        <v>#CAACCB</v>
      </c>
      <c r="C28" s="201" t="str">
        <v>SilvicultureProd</v>
      </c>
      <c r="D28" s="201"/>
      <c r="E28" t="str">
        <f t="array" ref="E28">INDEX(Sheet1!$A$4:$CV$4,MATCH(0,COUNTIF($E$1:E27,Sheet1!$A$4:$CV$4),0))</f>
        <v>economicalOutcomes</v>
      </c>
      <c r="F28" s="207" t="s">
        <v>19</v>
      </c>
      <c r="G28" t="str">
        <f>INDEX(Sheet1!A$2:CV$2,MATCH($E28,Sheet1!A$4:CV$4,0))</f>
        <v>Non_c_outcomes</v>
      </c>
      <c r="H28" s="207" t="s">
        <v>19</v>
      </c>
      <c r="I28" t="str">
        <f>INDEX(Sheet1!C$1:EO$1,MATCH($E28,Sheet1!C$4:EO$4,0))</f>
        <v>Outcomes</v>
      </c>
      <c r="J28" s="207" t="s">
        <v>19</v>
      </c>
    </row>
    <row r="29" spans="1:10">
      <c r="A29" s="201" t="str">
        <v>Change in practices</v>
      </c>
      <c r="B29" s="201" t="str">
        <v>#CAACCB</v>
      </c>
      <c r="C29" s="201" t="str">
        <v>SilvicultureProd</v>
      </c>
      <c r="D29" s="201"/>
      <c r="E29" t="str">
        <f t="array" ref="E29">INDEX(Sheet1!$A$4:$CV$4,MATCH(0,COUNTIF($E$1:E28,Sheet1!$A$4:$CV$4),0))</f>
        <v>Carbon_outcome</v>
      </c>
      <c r="F29" s="209" t="s">
        <v>59</v>
      </c>
      <c r="G29" t="str">
        <f>INDEX(Sheet1!A$2:CV$2,MATCH($E29,Sheet1!A$4:CV$4,0))</f>
        <v>DataCorrection</v>
      </c>
      <c r="H29" s="207" t="s">
        <v>19</v>
      </c>
      <c r="I29" t="str">
        <f>INDEX(Sheet1!C$1:EO$1,MATCH($E29,Sheet1!C$4:EO$4,0))</f>
        <v>Outcomes</v>
      </c>
      <c r="J29" s="207" t="s">
        <v>19</v>
      </c>
    </row>
    <row r="30" spans="1:10">
      <c r="A30" s="201" t="str">
        <v>Change in practices</v>
      </c>
      <c r="B30" s="201" t="str">
        <v>#CAACCB</v>
      </c>
      <c r="C30" s="201" t="str">
        <v>SilvicultureProd</v>
      </c>
      <c r="D30" s="201"/>
      <c r="E30" t="e">
        <f t="array" ref="E30">INDEX(Sheet1!$A$4:$CV$4,MATCH(0,COUNTIF($E$1:E29,Sheet1!$A$4:$CV$4),0))</f>
        <v>#N/A</v>
      </c>
      <c r="F30" s="210" t="s">
        <v>60</v>
      </c>
      <c r="G30" t="e">
        <f>INDEX(Sheet1!A$2:CV$2,MATCH($E30,Sheet1!A$4:CV$4,0))</f>
        <v>#N/A</v>
      </c>
      <c r="H30" s="211" t="s">
        <v>61</v>
      </c>
      <c r="I30" t="e">
        <f>INDEX(Sheet1!C$1:EO$1,MATCH($E30,Sheet1!C$4:EO$4,0))</f>
        <v>#N/A</v>
      </c>
      <c r="J30" s="207" t="s">
        <v>19</v>
      </c>
    </row>
    <row r="31" spans="1:10">
      <c r="A31" s="201" t="str">
        <v>Change in practices</v>
      </c>
      <c r="B31" s="201" t="str">
        <v>#CAACCB</v>
      </c>
      <c r="C31" s="201" t="str">
        <v>Supply chain</v>
      </c>
      <c r="D31" s="201"/>
      <c r="E31" t="e">
        <f t="array" ref="E31">INDEX(Sheet1!$A$4:$CV$4,MATCH(0,COUNTIF($E$1:E30,Sheet1!$A$4:$CV$4),0))</f>
        <v>#N/A</v>
      </c>
      <c r="F31" s="211" t="s">
        <v>61</v>
      </c>
      <c r="G31" t="e">
        <f>INDEX(Sheet1!A$2:CV$2,MATCH($E31,Sheet1!A$4:CV$4,0))</f>
        <v>#N/A</v>
      </c>
      <c r="H31" s="211" t="s">
        <v>61</v>
      </c>
      <c r="I31" t="e">
        <f>INDEX(Sheet1!C$1:EO$1,MATCH($E31,Sheet1!C$4:EO$4,0))</f>
        <v>#N/A</v>
      </c>
    </row>
    <row r="32" spans="1:10">
      <c r="A32" s="201" t="str">
        <v>Change in practices</v>
      </c>
      <c r="B32" s="201" t="str">
        <v>#CAACCB</v>
      </c>
      <c r="C32" s="201" t="str">
        <v>Supply chain</v>
      </c>
      <c r="D32" s="201"/>
      <c r="E32" t="e">
        <f t="array" ref="E32">INDEX(Sheet1!$A$4:$CV$4,MATCH(0,COUNTIF($E$1:E31,Sheet1!$A$4:$CV$4),0))</f>
        <v>#N/A</v>
      </c>
      <c r="F32" s="211" t="s">
        <v>61</v>
      </c>
      <c r="G32" t="e">
        <f>INDEX(Sheet1!A$2:CV$2,MATCH($E32,Sheet1!A$4:CV$4,0))</f>
        <v>#N/A</v>
      </c>
      <c r="H32" s="211" t="s">
        <v>61</v>
      </c>
      <c r="I32" t="e">
        <f>INDEX(Sheet1!C$1:EO$1,MATCH($E32,Sheet1!C$4:EO$4,0))</f>
        <v>#N/A</v>
      </c>
    </row>
    <row r="33" spans="1:9">
      <c r="A33" s="201" t="str">
        <v>Change in practices</v>
      </c>
      <c r="B33" s="201" t="str">
        <v>#CAACCB</v>
      </c>
      <c r="C33" s="201" t="str">
        <v>Supply chain</v>
      </c>
      <c r="D33" s="201"/>
      <c r="E33" t="e">
        <f t="array" ref="E33">INDEX(Sheet1!$A$4:$CV$4,MATCH(0,COUNTIF($E$1:E32,Sheet1!$A$4:$CV$4),0))</f>
        <v>#N/A</v>
      </c>
      <c r="F33" s="212" t="s">
        <v>2609</v>
      </c>
      <c r="G33" t="e">
        <f>INDEX(Sheet1!A$2:CV$2,MATCH($E33,Sheet1!A$4:CV$4,0))</f>
        <v>#N/A</v>
      </c>
      <c r="H33" s="212" t="s">
        <v>2609</v>
      </c>
      <c r="I33" t="e">
        <f>INDEX(Sheet1!C$1:EO$1,MATCH($E33,Sheet1!C$4:EO$4,0))</f>
        <v>#N/A</v>
      </c>
    </row>
    <row r="34" spans="1:9">
      <c r="A34" s="201" t="str">
        <v>Change in practices</v>
      </c>
      <c r="B34" s="201" t="str">
        <v>#CAACCB</v>
      </c>
      <c r="C34" s="201" t="str">
        <v>Supply chain</v>
      </c>
      <c r="D34" s="201"/>
      <c r="E34" t="e">
        <f t="array" ref="E34">INDEX(Sheet1!$A$4:$CV$4,MATCH(0,COUNTIF($E$1:E33,Sheet1!$A$4:$CV$4),0))</f>
        <v>#N/A</v>
      </c>
      <c r="F34" s="212" t="s">
        <v>2609</v>
      </c>
      <c r="G34" t="e">
        <f>INDEX(Sheet1!A$2:CV$2,MATCH($E34,Sheet1!A$4:CV$4,0))</f>
        <v>#N/A</v>
      </c>
      <c r="H34" s="212" t="s">
        <v>2609</v>
      </c>
      <c r="I34" t="e">
        <f>INDEX(Sheet1!C$1:EO$1,MATCH($E34,Sheet1!C$4:EO$4,0))</f>
        <v>#N/A</v>
      </c>
    </row>
    <row r="35" spans="1:9">
      <c r="A35" s="201" t="str">
        <v>Change in practices</v>
      </c>
      <c r="B35" s="201" t="str">
        <v>#CAACCB</v>
      </c>
      <c r="C35" s="201" t="str">
        <v>Supply chain</v>
      </c>
      <c r="D35" s="201"/>
      <c r="E35" t="e">
        <f t="array" ref="E35">INDEX(Sheet1!$A$4:$CV$4,MATCH(0,COUNTIF($E$1:E34,Sheet1!$A$4:$CV$4),0))</f>
        <v>#N/A</v>
      </c>
      <c r="F35" s="212" t="s">
        <v>2609</v>
      </c>
      <c r="G35" t="e">
        <f>INDEX(Sheet1!A$2:CV$2,MATCH($E35,Sheet1!A$4:CV$4,0))</f>
        <v>#N/A</v>
      </c>
      <c r="H35" s="212" t="s">
        <v>2609</v>
      </c>
      <c r="I35" t="e">
        <f>INDEX(Sheet1!C$1:EO$1,MATCH($E35,Sheet1!C$4:EO$4,0))</f>
        <v>#N/A</v>
      </c>
    </row>
    <row r="36" spans="1:9">
      <c r="A36" s="201" t="str">
        <v>Change in practices</v>
      </c>
      <c r="B36" s="201" t="str">
        <v>#CAACCB</v>
      </c>
      <c r="C36" s="201" t="str">
        <v>Supply chain</v>
      </c>
      <c r="D36" s="201"/>
      <c r="E36" t="e">
        <f t="array" ref="E36">INDEX(Sheet1!$A$4:$CV$4,MATCH(0,COUNTIF($E$1:E35,Sheet1!$A$4:$CV$4),0))</f>
        <v>#N/A</v>
      </c>
      <c r="F36" s="212" t="s">
        <v>2609</v>
      </c>
      <c r="G36" t="e">
        <f>INDEX(Sheet1!A$2:CV$2,MATCH($E36,Sheet1!A$4:CV$4,0))</f>
        <v>#N/A</v>
      </c>
      <c r="H36" s="212" t="s">
        <v>2609</v>
      </c>
      <c r="I36" t="e">
        <f>INDEX(Sheet1!C$1:EO$1,MATCH($E36,Sheet1!C$4:EO$4,0))</f>
        <v>#N/A</v>
      </c>
    </row>
    <row r="37" spans="1:9">
      <c r="A37" s="201" t="str">
        <v>Change in practices</v>
      </c>
      <c r="B37" s="201" t="str">
        <v>#CAACCB</v>
      </c>
      <c r="C37" s="201" t="str">
        <v>Technology</v>
      </c>
      <c r="D37" s="201"/>
      <c r="E37" t="e">
        <f t="array" ref="E37">INDEX(Sheet1!$A$4:$CV$4,MATCH(0,COUNTIF($E$1:E36,Sheet1!$A$4:$CV$4),0))</f>
        <v>#N/A</v>
      </c>
      <c r="F37" s="213" t="s">
        <v>2610</v>
      </c>
      <c r="G37" t="e">
        <f>INDEX(Sheet1!A$2:CV$2,MATCH($E37,Sheet1!A$4:CV$4,0))</f>
        <v>#N/A</v>
      </c>
      <c r="H37" s="212" t="s">
        <v>2609</v>
      </c>
      <c r="I37" t="e">
        <f>INDEX(Sheet1!C$1:EO$1,MATCH($E37,Sheet1!C$4:EO$4,0))</f>
        <v>#N/A</v>
      </c>
    </row>
    <row r="38" spans="1:9">
      <c r="A38" s="201" t="str">
        <v>Change in practices</v>
      </c>
      <c r="B38" s="201" t="str">
        <v>#CAACCB</v>
      </c>
      <c r="C38" s="201" t="str">
        <v>Technology</v>
      </c>
      <c r="D38" s="201"/>
      <c r="E38" t="e">
        <f t="array" ref="E38">INDEX(Sheet1!$A$4:$CV$4,MATCH(0,COUNTIF($E$1:E37,Sheet1!$A$4:$CV$4),0))</f>
        <v>#N/A</v>
      </c>
      <c r="F38" s="214" t="s">
        <v>2611</v>
      </c>
      <c r="G38" t="e">
        <f>INDEX(Sheet1!A$2:CV$2,MATCH($E38,Sheet1!A$4:CV$4,0))</f>
        <v>#N/A</v>
      </c>
      <c r="H38" s="212" t="s">
        <v>2609</v>
      </c>
      <c r="I38" t="e">
        <f>INDEX(Sheet1!C$1:EO$1,MATCH($E38,Sheet1!C$4:EO$4,0))</f>
        <v>#N/A</v>
      </c>
    </row>
    <row r="39" spans="1:9">
      <c r="A39" s="201" t="str">
        <v>Change in practices</v>
      </c>
      <c r="B39" s="201" t="str">
        <v>#CAACCB</v>
      </c>
      <c r="C39" s="201" t="str">
        <v>Technology</v>
      </c>
      <c r="D39" s="201"/>
      <c r="E39" t="e">
        <f t="array" ref="E39">INDEX(Sheet1!$A$4:$CV$4,MATCH(0,COUNTIF($E$1:E38,Sheet1!$A$4:$CV$4),0))</f>
        <v>#N/A</v>
      </c>
      <c r="F39" s="215" t="s">
        <v>2612</v>
      </c>
      <c r="G39" t="e">
        <f>INDEX(Sheet1!A$2:CV$2,MATCH($E39,Sheet1!A$4:CV$4,0))</f>
        <v>#N/A</v>
      </c>
      <c r="H39" s="212" t="s">
        <v>2609</v>
      </c>
      <c r="I39" t="e">
        <f>INDEX(Sheet1!C$1:EO$1,MATCH($E39,Sheet1!C$4:EO$4,0))</f>
        <v>#N/A</v>
      </c>
    </row>
    <row r="40" spans="1:9">
      <c r="A40" s="201" t="str">
        <v>Environmental change</v>
      </c>
      <c r="B40" s="201" t="str">
        <v>#994F93</v>
      </c>
      <c r="C40" s="201" t="str">
        <v>Environmental change</v>
      </c>
      <c r="D40" s="201"/>
      <c r="E40" t="e">
        <f t="array" ref="E40">INDEX(Sheet1!$A$4:$CV$4,MATCH(0,COUNTIF($E$1:E39,Sheet1!$A$4:$CV$4),0))</f>
        <v>#N/A</v>
      </c>
      <c r="G40" t="e">
        <f>INDEX(Sheet1!A$2:CV$2,MATCH($E40,Sheet1!A$4:CV$4,0))</f>
        <v>#N/A</v>
      </c>
      <c r="I40" t="e">
        <f>INDEX(Sheet1!A$4:CV$4,MATCH($E40,Sheet1!A$7:CV$7,0))</f>
        <v>#N/A</v>
      </c>
    </row>
    <row r="41" spans="1:9">
      <c r="A41" s="201" t="str">
        <v>Environmental change</v>
      </c>
      <c r="B41" s="201" t="str">
        <v>#994F93</v>
      </c>
      <c r="C41" s="201" t="str">
        <v>Environmental change</v>
      </c>
      <c r="D41" s="201"/>
      <c r="E41" t="e">
        <f t="array" ref="E41">INDEX(Sheet1!$A$4:$CV$4,MATCH(0,COUNTIF($E$1:E40,Sheet1!$A$4:$CV$4),0))</f>
        <v>#N/A</v>
      </c>
      <c r="G41" t="e">
        <f>INDEX(Sheet1!A$2:CV$2,MATCH($E41,Sheet1!A$4:CV$4,0))</f>
        <v>#N/A</v>
      </c>
      <c r="I41" t="e">
        <f>INDEX(Sheet1!A$4:CV$4,MATCH($E41,Sheet1!A$7:CV$7,0))</f>
        <v>#N/A</v>
      </c>
    </row>
    <row r="42" spans="1:9">
      <c r="A42" s="201" t="str">
        <v>Environmental change</v>
      </c>
      <c r="B42" s="201" t="str">
        <v>#994F93</v>
      </c>
      <c r="C42" s="201" t="str">
        <v>Environmental change</v>
      </c>
      <c r="D42" s="201"/>
      <c r="E42" t="e">
        <f t="array" ref="E42">INDEX(Sheet1!$A$4:$CV$4,MATCH(0,COUNTIF($E$1:E41,Sheet1!$A$4:$CV$4),0))</f>
        <v>#N/A</v>
      </c>
      <c r="G42" t="e">
        <f>INDEX(Sheet1!A$2:CV$2,MATCH($E42,Sheet1!A$4:CV$4,0))</f>
        <v>#N/A</v>
      </c>
      <c r="I42" t="e">
        <f>INDEX(Sheet1!A$4:CV$4,MATCH($E42,Sheet1!A$7:CV$7,0))</f>
        <v>#N/A</v>
      </c>
    </row>
    <row r="43" spans="1:9">
      <c r="A43" s="201" t="str">
        <v>Environmental change</v>
      </c>
      <c r="B43" s="201" t="str">
        <v>#994F93</v>
      </c>
      <c r="C43" s="201" t="str">
        <v>Environmental change</v>
      </c>
      <c r="D43" s="201"/>
      <c r="E43" t="e">
        <f t="array" ref="E43">INDEX(Sheet1!$A$4:$CV$4,MATCH(0,COUNTIF($E$1:E42,Sheet1!$A$4:$CV$4),0))</f>
        <v>#N/A</v>
      </c>
      <c r="G43" t="e">
        <f>INDEX(Sheet1!A$2:CV$2,MATCH($E43,Sheet1!A$4:CV$4,0))</f>
        <v>#N/A</v>
      </c>
      <c r="I43" t="e">
        <f>INDEX(Sheet1!A$4:CV$4,MATCH($E43,Sheet1!A$7:CV$7,0))</f>
        <v>#N/A</v>
      </c>
    </row>
    <row r="44" spans="1:9">
      <c r="A44" s="201" t="str">
        <v>Environmental change</v>
      </c>
      <c r="B44" s="201" t="str">
        <v>#994F93</v>
      </c>
      <c r="C44" s="201" t="str">
        <v>Environmental change</v>
      </c>
      <c r="D44" s="201"/>
      <c r="E44" t="e">
        <f t="array" ref="E44">INDEX(Sheet1!$A$4:$CV$4,MATCH(0,COUNTIF($E$1:E43,Sheet1!$A$4:$CV$4),0))</f>
        <v>#N/A</v>
      </c>
      <c r="G44" t="e">
        <f>INDEX(Sheet1!A$2:CV$2,MATCH($E44,Sheet1!A$4:CV$4,0))</f>
        <v>#N/A</v>
      </c>
      <c r="I44" t="e">
        <f>INDEX(Sheet1!A$4:CV$4,MATCH($E44,Sheet1!A$7:CV$7,0))</f>
        <v>#N/A</v>
      </c>
    </row>
    <row r="45" spans="1:9">
      <c r="A45" s="201" t="str">
        <v>Environmental change</v>
      </c>
      <c r="B45" s="201" t="str">
        <v>#994F93</v>
      </c>
      <c r="C45" s="201" t="str">
        <v>Environmental change</v>
      </c>
      <c r="D45" s="201"/>
      <c r="E45" t="e">
        <f t="array" ref="E45">INDEX(Sheet1!$A$4:$CV$4,MATCH(0,COUNTIF($E$1:E44,Sheet1!$A$4:$CV$4),0))</f>
        <v>#N/A</v>
      </c>
      <c r="I45"/>
    </row>
    <row r="46" spans="1:9">
      <c r="A46" s="201" t="str">
        <v>Environmental change</v>
      </c>
      <c r="B46" s="201" t="str">
        <v>#994F93</v>
      </c>
      <c r="C46" s="201" t="str">
        <v>Demand</v>
      </c>
      <c r="D46" s="201"/>
      <c r="E46" t="e">
        <f t="array" ref="E46">INDEX(Sheet1!$A$4:$CV$4,MATCH(0,COUNTIF($E$1:E45,Sheet1!$A$4:$CV$4),0))</f>
        <v>#N/A</v>
      </c>
      <c r="I46"/>
    </row>
    <row r="47" spans="1:9">
      <c r="A47" s="201" t="str">
        <v>Environmental change</v>
      </c>
      <c r="B47" s="201" t="str">
        <v>#994F93</v>
      </c>
      <c r="C47" s="201" t="str">
        <v>Demand</v>
      </c>
      <c r="D47" s="201"/>
      <c r="I47"/>
    </row>
    <row r="48" spans="1:9">
      <c r="A48" s="201" t="str">
        <v>Environmental change</v>
      </c>
      <c r="B48" s="201" t="str">
        <v>#994F93</v>
      </c>
      <c r="C48" s="201" t="str">
        <v>Demand</v>
      </c>
      <c r="D48" s="201"/>
      <c r="I48"/>
    </row>
    <row r="49" spans="1:9">
      <c r="A49" s="201" t="str">
        <v>Environmental change</v>
      </c>
      <c r="B49" s="201" t="str">
        <v>#994F93</v>
      </c>
      <c r="C49" s="201" t="str">
        <v>Demand</v>
      </c>
      <c r="D49" s="201"/>
      <c r="I49"/>
    </row>
    <row r="50" spans="1:9">
      <c r="A50" s="201" t="str">
        <v>Environmental change</v>
      </c>
      <c r="B50" s="201" t="str">
        <v>#994F93</v>
      </c>
      <c r="C50" s="201" t="str">
        <v>Demand</v>
      </c>
      <c r="D50" s="201"/>
      <c r="I50"/>
    </row>
    <row r="51" spans="1:9">
      <c r="A51" s="201" t="str">
        <v>Post-extraction</v>
      </c>
      <c r="B51" s="201">
        <v>0</v>
      </c>
      <c r="C51" s="201" t="str">
        <v>QC</v>
      </c>
      <c r="D51" s="201"/>
      <c r="I51"/>
    </row>
    <row r="52" spans="1:9">
      <c r="A52" s="201" t="str">
        <v>QC</v>
      </c>
      <c r="B52" s="201">
        <v>0</v>
      </c>
      <c r="C52" s="201" t="str">
        <v>All</v>
      </c>
      <c r="D52" s="201"/>
      <c r="I52"/>
    </row>
    <row r="53" spans="1:9">
      <c r="A53" s="201">
        <v>0</v>
      </c>
      <c r="B53" s="201">
        <v>0</v>
      </c>
      <c r="C53" s="201">
        <v>0</v>
      </c>
      <c r="D53" s="201"/>
      <c r="I53"/>
    </row>
    <row r="54" spans="1:9">
      <c r="A54" s="201">
        <v>0</v>
      </c>
      <c r="B54" s="201">
        <v>0</v>
      </c>
      <c r="C54" s="201">
        <v>0</v>
      </c>
      <c r="D54" s="201"/>
      <c r="I54"/>
    </row>
    <row r="55" spans="1:9">
      <c r="A55" s="201">
        <v>0</v>
      </c>
      <c r="B55" s="201">
        <v>0</v>
      </c>
      <c r="C55" s="201">
        <v>0</v>
      </c>
      <c r="D55" s="201"/>
      <c r="I55"/>
    </row>
    <row r="56" spans="1:9">
      <c r="A56" s="201" t="str">
        <v>QC</v>
      </c>
      <c r="B56" s="201">
        <v>0</v>
      </c>
      <c r="C56" s="201" t="str">
        <v>AllEnvir</v>
      </c>
      <c r="D56" s="201"/>
      <c r="I56"/>
    </row>
    <row r="57" spans="1:9">
      <c r="A57" s="201" t="str">
        <v>QC</v>
      </c>
      <c r="B57" s="201">
        <v>0</v>
      </c>
      <c r="C57" s="201" t="str">
        <v>AllEnvir</v>
      </c>
      <c r="D57" s="201"/>
      <c r="I57"/>
    </row>
    <row r="58" spans="1:9">
      <c r="A58" s="201" t="str">
        <v>Driver</v>
      </c>
      <c r="B58" s="201">
        <v>0</v>
      </c>
      <c r="C58" s="201" t="str">
        <v>MainDriver</v>
      </c>
      <c r="D58" s="201"/>
      <c r="I58"/>
    </row>
    <row r="59" spans="1:9">
      <c r="A59" s="201" t="str">
        <v>Driver</v>
      </c>
      <c r="B59" s="201">
        <v>0</v>
      </c>
      <c r="C59" s="201" t="str">
        <v>MainDriver</v>
      </c>
      <c r="D59" s="201"/>
      <c r="I59"/>
    </row>
    <row r="60" spans="1:9">
      <c r="A60" s="201" t="str">
        <v>Carbon_outcome</v>
      </c>
      <c r="B60" s="201">
        <v>0</v>
      </c>
      <c r="C60" s="201" t="str">
        <v>Wood amount</v>
      </c>
      <c r="D60" s="201"/>
      <c r="I60"/>
    </row>
    <row r="61" spans="1:9">
      <c r="A61" s="201" t="str">
        <v>Carbon_outcome</v>
      </c>
      <c r="B61" s="201">
        <v>0</v>
      </c>
      <c r="C61" s="201" t="str">
        <v>Wood amount</v>
      </c>
      <c r="D61" s="201"/>
      <c r="I61"/>
    </row>
    <row r="62" spans="1:9">
      <c r="A62" s="201">
        <v>0</v>
      </c>
      <c r="B62" s="201">
        <v>0</v>
      </c>
      <c r="C62" s="201">
        <v>0</v>
      </c>
      <c r="D62" s="201"/>
      <c r="I62"/>
    </row>
    <row r="63" spans="1:9">
      <c r="A63" s="201" t="str">
        <v>Carbon_outcome</v>
      </c>
      <c r="B63" s="201">
        <v>0</v>
      </c>
      <c r="C63" s="201" t="str">
        <v>Wood amount</v>
      </c>
      <c r="D63" s="201"/>
      <c r="I63"/>
    </row>
    <row r="64" spans="1:9">
      <c r="A64" s="201" t="str">
        <v>Carbon_outcome</v>
      </c>
      <c r="B64" s="201">
        <v>0</v>
      </c>
      <c r="C64" s="201" t="str">
        <v>Wood amount</v>
      </c>
      <c r="D64" s="201"/>
      <c r="I64"/>
    </row>
    <row r="65" spans="1:9">
      <c r="A65" s="201" t="str">
        <v>Carbon_outcome</v>
      </c>
      <c r="B65" s="201">
        <v>0</v>
      </c>
      <c r="C65" s="201" t="str">
        <v>Wood amount</v>
      </c>
      <c r="D65" s="201"/>
      <c r="I65"/>
    </row>
    <row r="66" spans="1:9">
      <c r="A66" s="201" t="str">
        <v>Carbon_outcome</v>
      </c>
      <c r="B66" s="201">
        <v>0</v>
      </c>
      <c r="C66" s="201" t="str">
        <v>Wood amount</v>
      </c>
      <c r="D66" s="201"/>
      <c r="I66"/>
    </row>
    <row r="67" spans="1:9">
      <c r="A67" s="201" t="str">
        <v>Carbon_outcome</v>
      </c>
      <c r="B67" s="201">
        <v>0</v>
      </c>
      <c r="C67" s="201" t="str">
        <v>Wood amount</v>
      </c>
      <c r="D67" s="201"/>
      <c r="I67"/>
    </row>
    <row r="68" spans="1:9">
      <c r="A68" s="201" t="str">
        <v>Carbon_outcome</v>
      </c>
      <c r="B68" s="201">
        <v>0</v>
      </c>
      <c r="C68" s="201" t="str">
        <v>Wood amount</v>
      </c>
      <c r="D68" s="201"/>
      <c r="I68"/>
    </row>
    <row r="69" spans="1:9">
      <c r="A69" s="201" t="str">
        <v>Carbon_outcome</v>
      </c>
      <c r="B69" s="201">
        <v>0</v>
      </c>
      <c r="C69" s="201" t="str">
        <v>Cumulated C balance</v>
      </c>
      <c r="D69" s="201"/>
      <c r="I69"/>
    </row>
    <row r="70" spans="1:9">
      <c r="A70" s="201">
        <v>0</v>
      </c>
      <c r="B70" s="201">
        <v>0</v>
      </c>
      <c r="C70" s="201" t="str">
        <v>Cumulated C balance</v>
      </c>
      <c r="D70" s="201"/>
      <c r="I70"/>
    </row>
    <row r="71" spans="1:9">
      <c r="A71" s="201" t="str">
        <v>Carbon_outcome</v>
      </c>
      <c r="B71" s="201">
        <v>0</v>
      </c>
      <c r="C71" s="201" t="str">
        <v>Cumulated C balance</v>
      </c>
      <c r="D71" s="201"/>
      <c r="I71"/>
    </row>
    <row r="72" spans="1:9">
      <c r="A72" s="201" t="str">
        <v>Carbon_outcome</v>
      </c>
      <c r="B72" s="201">
        <v>0</v>
      </c>
      <c r="C72" s="201" t="str">
        <v>Cumulated C balance</v>
      </c>
      <c r="D72" s="201"/>
      <c r="I72"/>
    </row>
    <row r="73" spans="1:9">
      <c r="A73" s="201" t="str">
        <v>Carbon_outcome</v>
      </c>
      <c r="B73" s="201">
        <v>0</v>
      </c>
      <c r="C73" s="201" t="str">
        <v>Cumulated C balance</v>
      </c>
      <c r="D73" s="201"/>
      <c r="I73"/>
    </row>
    <row r="74" spans="1:9">
      <c r="A74" s="201" t="str">
        <v>Carbon_outcome</v>
      </c>
      <c r="B74" s="201">
        <v>0</v>
      </c>
      <c r="C74" s="201" t="str">
        <v>Cumulated C balance</v>
      </c>
      <c r="D74" s="201"/>
      <c r="I74"/>
    </row>
    <row r="75" spans="1:9">
      <c r="A75" s="201" t="str">
        <v>Carbon_outcome</v>
      </c>
      <c r="B75" s="201">
        <v>0</v>
      </c>
      <c r="C75" s="201" t="str">
        <v>Cumulated C balance</v>
      </c>
      <c r="D75" s="201"/>
      <c r="I75"/>
    </row>
    <row r="76" spans="1:9">
      <c r="A76" s="201">
        <v>0</v>
      </c>
      <c r="B76" s="201">
        <v>0</v>
      </c>
      <c r="C76" s="201">
        <v>0</v>
      </c>
      <c r="D76" s="201"/>
      <c r="I76"/>
    </row>
    <row r="77" spans="1:9">
      <c r="A77" s="201" t="str">
        <v>Carbon_outcome</v>
      </c>
      <c r="B77" s="201">
        <v>0</v>
      </c>
      <c r="C77" s="201" t="str">
        <v>Cumulated C balance</v>
      </c>
      <c r="D77" s="201"/>
      <c r="I77"/>
    </row>
    <row r="78" spans="1:9">
      <c r="A78" s="201">
        <v>0</v>
      </c>
      <c r="B78" s="201">
        <v>0</v>
      </c>
      <c r="C78" s="201" t="str">
        <v>Substitution coefficient</v>
      </c>
      <c r="D78" s="201"/>
      <c r="I78"/>
    </row>
    <row r="79" spans="1:9">
      <c r="A79" s="201" t="e">
        <v>#N/A</v>
      </c>
      <c r="B79" s="201" t="e">
        <v>#N/A</v>
      </c>
      <c r="C79" s="201" t="e">
        <v>#N/A</v>
      </c>
      <c r="D79" s="201"/>
      <c r="I79"/>
    </row>
    <row r="80" spans="1:9">
      <c r="A80" s="201" t="e">
        <v>#N/A</v>
      </c>
      <c r="B80" s="201" t="e">
        <v>#N/A</v>
      </c>
      <c r="C80" s="201" t="e">
        <v>#N/A</v>
      </c>
      <c r="D80" s="201"/>
      <c r="I80"/>
    </row>
    <row r="81" spans="1:9">
      <c r="A81" s="201" t="e">
        <v>#N/A</v>
      </c>
      <c r="B81" s="201" t="e">
        <v>#N/A</v>
      </c>
      <c r="C81" s="201" t="e">
        <v>#N/A</v>
      </c>
      <c r="D81" s="201"/>
      <c r="I81"/>
    </row>
    <row r="82" spans="1:9">
      <c r="A82" s="201" t="e">
        <v>#N/A</v>
      </c>
      <c r="B82" s="201" t="e">
        <v>#N/A</v>
      </c>
      <c r="C82" s="201" t="e">
        <v>#N/A</v>
      </c>
      <c r="D82" s="201"/>
      <c r="I82"/>
    </row>
    <row r="83" spans="1:9">
      <c r="A83" s="201" t="e">
        <v>#N/A</v>
      </c>
      <c r="B83" s="201" t="e">
        <v>#N/A</v>
      </c>
      <c r="C83" s="201" t="e">
        <v>#N/A</v>
      </c>
      <c r="D83" s="201"/>
      <c r="I83"/>
    </row>
    <row r="84" spans="1:9">
      <c r="A84" s="201" t="e">
        <v>#N/A</v>
      </c>
      <c r="B84" s="201" t="e">
        <v>#N/A</v>
      </c>
      <c r="C84" s="201" t="e">
        <v>#N/A</v>
      </c>
      <c r="D84" s="201"/>
      <c r="I84"/>
    </row>
    <row r="85" spans="1:9">
      <c r="A85" s="201" t="e">
        <v>#N/A</v>
      </c>
      <c r="B85" s="201" t="e">
        <v>#N/A</v>
      </c>
      <c r="C85" s="201" t="e">
        <v>#N/A</v>
      </c>
      <c r="D85" s="201"/>
      <c r="I85"/>
    </row>
    <row r="86" spans="1:9">
      <c r="A86" s="201" t="e">
        <v>#N/A</v>
      </c>
      <c r="B86" s="201" t="e">
        <v>#N/A</v>
      </c>
      <c r="C86" s="201" t="e">
        <v>#N/A</v>
      </c>
      <c r="D86" s="201"/>
      <c r="I86"/>
    </row>
    <row r="87" spans="1:9">
      <c r="A87" s="201" t="e">
        <v>#N/A</v>
      </c>
      <c r="B87" s="201" t="e">
        <v>#N/A</v>
      </c>
      <c r="C87" s="201" t="e">
        <v>#N/A</v>
      </c>
      <c r="D87" s="201"/>
      <c r="I87"/>
    </row>
    <row r="88" spans="1:9">
      <c r="A88" s="201" t="e">
        <v>#N/A</v>
      </c>
      <c r="B88" s="201" t="e">
        <v>#N/A</v>
      </c>
      <c r="C88" s="201" t="e">
        <v>#N/A</v>
      </c>
      <c r="D88" s="201"/>
      <c r="I88"/>
    </row>
    <row r="89" spans="1:9">
      <c r="A89" s="201" t="e">
        <v>#N/A</v>
      </c>
      <c r="B89" s="201" t="e">
        <v>#N/A</v>
      </c>
      <c r="C89" s="201" t="e">
        <v>#N/A</v>
      </c>
      <c r="D89" s="201"/>
      <c r="I89"/>
    </row>
    <row r="90" spans="1:9">
      <c r="A90" s="201" t="e">
        <v>#N/A</v>
      </c>
      <c r="B90" s="201" t="e">
        <v>#N/A</v>
      </c>
      <c r="C90" s="201" t="e">
        <v>#N/A</v>
      </c>
      <c r="D90" s="201"/>
      <c r="I90"/>
    </row>
    <row r="91" spans="1:9">
      <c r="A91" s="201" t="e">
        <v>#N/A</v>
      </c>
      <c r="B91" s="201" t="e">
        <v>#N/A</v>
      </c>
      <c r="C91" s="201" t="e">
        <v>#N/A</v>
      </c>
      <c r="D91" s="201"/>
      <c r="I91"/>
    </row>
    <row r="92" spans="1:9">
      <c r="A92" s="201" t="e">
        <v>#N/A</v>
      </c>
      <c r="B92" s="201" t="e">
        <v>#N/A</v>
      </c>
      <c r="C92" s="201" t="e">
        <v>#N/A</v>
      </c>
      <c r="D92" s="201"/>
      <c r="I92"/>
    </row>
    <row r="93" spans="1:9">
      <c r="A93" s="201" t="e">
        <v>#N/A</v>
      </c>
      <c r="B93" s="201" t="e">
        <v>#N/A</v>
      </c>
      <c r="C93" s="201" t="e">
        <v>#N/A</v>
      </c>
      <c r="D93" s="201"/>
      <c r="I93"/>
    </row>
    <row r="94" spans="1:9">
      <c r="A94" s="201" t="e">
        <v>#N/A</v>
      </c>
      <c r="B94" s="201" t="e">
        <v>#N/A</v>
      </c>
      <c r="C94" s="201" t="e">
        <v>#N/A</v>
      </c>
      <c r="D94" s="201"/>
      <c r="I94"/>
    </row>
    <row r="95" spans="1:9">
      <c r="A95" s="201" t="e">
        <v>#N/A</v>
      </c>
      <c r="B95" s="201" t="e">
        <v>#N/A</v>
      </c>
      <c r="C95" s="201" t="e">
        <v>#N/A</v>
      </c>
      <c r="D95" s="201"/>
      <c r="I95"/>
    </row>
    <row r="96" spans="1:9">
      <c r="A96" s="201" t="e">
        <v>#N/A</v>
      </c>
      <c r="B96" s="201" t="e">
        <v>#N/A</v>
      </c>
      <c r="C96" s="201" t="e">
        <v>#N/A</v>
      </c>
      <c r="D96" s="201"/>
      <c r="I96"/>
    </row>
    <row r="97" spans="1:9">
      <c r="A97" s="201" t="e">
        <v>#N/A</v>
      </c>
      <c r="B97" s="201" t="e">
        <v>#N/A</v>
      </c>
      <c r="C97" s="201" t="e">
        <v>#N/A</v>
      </c>
      <c r="D97" s="201"/>
      <c r="I97"/>
    </row>
    <row r="98" spans="1:9">
      <c r="A98" s="201" t="e">
        <v>#N/A</v>
      </c>
      <c r="B98" s="201" t="e">
        <v>#N/A</v>
      </c>
      <c r="C98" s="201" t="e">
        <v>#N/A</v>
      </c>
      <c r="D98" s="201"/>
      <c r="I98"/>
    </row>
    <row r="99" spans="1:9">
      <c r="A99" s="201" t="e">
        <v>#N/A</v>
      </c>
      <c r="B99" s="201" t="e">
        <v>#N/A</v>
      </c>
      <c r="C99" s="201" t="e">
        <v>#N/A</v>
      </c>
      <c r="D99" s="201"/>
      <c r="I99"/>
    </row>
    <row r="100" spans="1:9">
      <c r="A100" s="201" t="e">
        <v>#N/A</v>
      </c>
      <c r="B100" s="201" t="e">
        <v>#N/A</v>
      </c>
      <c r="C100" s="201" t="e">
        <v>#N/A</v>
      </c>
      <c r="D100" s="201"/>
      <c r="I100"/>
    </row>
    <row r="101" spans="1:9">
      <c r="A101" s="201" t="e">
        <v>#N/A</v>
      </c>
      <c r="B101" s="201" t="e">
        <v>#N/A</v>
      </c>
      <c r="C101" s="201" t="e">
        <v>#N/A</v>
      </c>
      <c r="D101" s="201"/>
      <c r="I101"/>
    </row>
    <row r="102" spans="1:9">
      <c r="A102" s="201" t="e">
        <v>#N/A</v>
      </c>
      <c r="B102" s="201" t="e">
        <v>#N/A</v>
      </c>
      <c r="C102" s="201" t="e">
        <v>#N/A</v>
      </c>
      <c r="D102" s="201"/>
      <c r="I102"/>
    </row>
    <row r="103" spans="1:9">
      <c r="A103" s="201" t="e">
        <v>#N/A</v>
      </c>
      <c r="B103" s="201" t="e">
        <v>#N/A</v>
      </c>
      <c r="C103" s="201" t="e">
        <v>#N/A</v>
      </c>
      <c r="D103" s="201"/>
      <c r="I103"/>
    </row>
    <row r="104" spans="1:9">
      <c r="A104" s="201" t="e">
        <v>#N/A</v>
      </c>
      <c r="B104" s="201" t="e">
        <v>#N/A</v>
      </c>
      <c r="C104" s="201" t="e">
        <v>#N/A</v>
      </c>
      <c r="D104" s="201"/>
      <c r="I104"/>
    </row>
    <row r="105" spans="1:9">
      <c r="A105" s="201" t="e">
        <v>#N/A</v>
      </c>
      <c r="B105" s="201" t="e">
        <v>#N/A</v>
      </c>
      <c r="C105" s="201" t="e">
        <v>#N/A</v>
      </c>
      <c r="D105" s="201"/>
      <c r="I105"/>
    </row>
    <row r="106" spans="1:9">
      <c r="A106" s="201" t="e">
        <v>#N/A</v>
      </c>
      <c r="B106" s="201" t="e">
        <v>#N/A</v>
      </c>
      <c r="C106" s="201" t="e">
        <v>#N/A</v>
      </c>
      <c r="D106" s="201"/>
      <c r="I106"/>
    </row>
    <row r="107" spans="1:9">
      <c r="A107" s="201" t="e">
        <v>#N/A</v>
      </c>
      <c r="B107" s="201" t="e">
        <v>#N/A</v>
      </c>
      <c r="C107" s="201" t="e">
        <v>#N/A</v>
      </c>
      <c r="D107" s="201"/>
      <c r="I107"/>
    </row>
    <row r="108" spans="1:9">
      <c r="A108" s="201" t="e">
        <v>#N/A</v>
      </c>
      <c r="B108" s="201" t="e">
        <v>#N/A</v>
      </c>
      <c r="C108" s="201" t="e">
        <v>#N/A</v>
      </c>
      <c r="D108" s="201"/>
      <c r="I108"/>
    </row>
    <row r="109" spans="1:9">
      <c r="A109" s="201" t="e">
        <v>#N/A</v>
      </c>
      <c r="B109" s="201" t="e">
        <v>#N/A</v>
      </c>
      <c r="C109" s="201" t="e">
        <v>#N/A</v>
      </c>
      <c r="D109" s="201"/>
      <c r="I109"/>
    </row>
    <row r="110" spans="1:9">
      <c r="A110" s="201" t="e">
        <v>#N/A</v>
      </c>
      <c r="B110" s="201" t="e">
        <v>#N/A</v>
      </c>
      <c r="C110" s="201" t="e">
        <v>#N/A</v>
      </c>
      <c r="D110" s="201"/>
      <c r="I110"/>
    </row>
    <row r="111" spans="1:9">
      <c r="A111" s="201" t="e">
        <v>#N/A</v>
      </c>
      <c r="B111" s="201" t="e">
        <v>#N/A</v>
      </c>
      <c r="C111" s="201" t="e">
        <v>#N/A</v>
      </c>
      <c r="D111" s="201"/>
      <c r="I111"/>
    </row>
    <row r="112" spans="1:9">
      <c r="A112" s="201" t="e">
        <v>#N/A</v>
      </c>
      <c r="B112" s="201" t="e">
        <v>#N/A</v>
      </c>
      <c r="C112" s="201" t="e">
        <v>#N/A</v>
      </c>
      <c r="D112" s="201"/>
      <c r="I112"/>
    </row>
    <row r="113" spans="1:9">
      <c r="A113" s="201" t="e">
        <v>#N/A</v>
      </c>
      <c r="B113" s="201" t="e">
        <v>#N/A</v>
      </c>
      <c r="C113" s="201" t="e">
        <v>#N/A</v>
      </c>
      <c r="D113" s="201"/>
      <c r="I113"/>
    </row>
    <row r="114" spans="1:9">
      <c r="A114" s="201" t="e">
        <v>#N/A</v>
      </c>
      <c r="B114" s="201" t="e">
        <v>#N/A</v>
      </c>
      <c r="C114" s="201" t="e">
        <v>#N/A</v>
      </c>
      <c r="D114" s="201"/>
      <c r="I114"/>
    </row>
    <row r="115" spans="1:9">
      <c r="A115" s="201" t="e">
        <v>#N/A</v>
      </c>
      <c r="B115" s="201" t="e">
        <v>#N/A</v>
      </c>
      <c r="C115" s="201" t="e">
        <v>#N/A</v>
      </c>
      <c r="D115" s="201"/>
      <c r="I115"/>
    </row>
    <row r="116" spans="1:9">
      <c r="A116" s="201" t="e">
        <v>#N/A</v>
      </c>
      <c r="B116" s="201" t="e">
        <v>#N/A</v>
      </c>
      <c r="C116" s="201" t="e">
        <v>#N/A</v>
      </c>
      <c r="D116" s="201"/>
      <c r="I116"/>
    </row>
    <row r="117" spans="1:9">
      <c r="A117" s="201" t="e">
        <v>#N/A</v>
      </c>
      <c r="B117" s="201" t="e">
        <v>#N/A</v>
      </c>
      <c r="C117" s="201" t="e">
        <v>#N/A</v>
      </c>
      <c r="D117" s="201"/>
      <c r="I117"/>
    </row>
    <row r="118" spans="1:9">
      <c r="A118" s="201" t="e">
        <v>#N/A</v>
      </c>
      <c r="B118" s="201" t="e">
        <v>#N/A</v>
      </c>
      <c r="C118" s="201" t="e">
        <v>#N/A</v>
      </c>
      <c r="D118" s="201"/>
      <c r="I118"/>
    </row>
    <row r="119" spans="1:9">
      <c r="A119" s="201" t="e">
        <v>#N/A</v>
      </c>
      <c r="B119" s="201" t="e">
        <v>#N/A</v>
      </c>
      <c r="C119" s="201" t="e">
        <v>#N/A</v>
      </c>
      <c r="D119" s="201"/>
      <c r="I119"/>
    </row>
    <row r="120" spans="1:9">
      <c r="A120" s="201"/>
      <c r="B120" s="201"/>
      <c r="C120" s="201"/>
      <c r="D120" s="201"/>
      <c r="I120"/>
    </row>
    <row r="121" spans="1:9">
      <c r="A121" s="201"/>
      <c r="B121" s="201"/>
      <c r="C121" s="201"/>
      <c r="D121" s="201"/>
      <c r="I121"/>
    </row>
    <row r="122" spans="1:9">
      <c r="A122" s="201"/>
      <c r="B122" s="201"/>
      <c r="C122" s="201"/>
      <c r="D122" s="201"/>
      <c r="I122"/>
    </row>
    <row r="123" spans="1:9">
      <c r="A123" s="201"/>
      <c r="B123" s="201"/>
      <c r="C123" s="201"/>
      <c r="D123" s="201"/>
      <c r="I123"/>
    </row>
    <row r="124" spans="1:9">
      <c r="A124" s="201"/>
      <c r="B124" s="201"/>
      <c r="C124" s="201"/>
      <c r="D124" s="201"/>
      <c r="I124"/>
    </row>
    <row r="125" spans="1:9">
      <c r="A125" s="201"/>
      <c r="B125" s="201"/>
      <c r="C125" s="201"/>
      <c r="D125" s="201"/>
      <c r="I125"/>
    </row>
    <row r="126" spans="1:9">
      <c r="A126" s="201"/>
      <c r="B126" s="201"/>
      <c r="C126" s="201"/>
      <c r="D126" s="201"/>
      <c r="I126"/>
    </row>
    <row r="127" spans="1:9">
      <c r="A127" s="201"/>
      <c r="B127" s="201"/>
      <c r="C127" s="201"/>
      <c r="D127" s="201"/>
      <c r="I127"/>
    </row>
    <row r="128" spans="1:9">
      <c r="A128" s="201"/>
      <c r="B128" s="201"/>
      <c r="C128" s="201"/>
      <c r="D128" s="201"/>
      <c r="I128"/>
    </row>
    <row r="129" spans="1:9">
      <c r="A129" s="201"/>
      <c r="B129" s="201"/>
      <c r="C129" s="201"/>
      <c r="D129" s="201"/>
      <c r="I129"/>
    </row>
    <row r="130" spans="1:9">
      <c r="A130" s="201"/>
      <c r="B130" s="201"/>
      <c r="C130" s="201"/>
      <c r="D130" s="201"/>
      <c r="I130"/>
    </row>
    <row r="131" spans="1:9">
      <c r="A131" s="201"/>
      <c r="B131" s="201"/>
      <c r="C131" s="201"/>
      <c r="D131" s="201"/>
      <c r="I131"/>
    </row>
    <row r="132" spans="1:9">
      <c r="A132" s="201"/>
      <c r="B132" s="201"/>
      <c r="C132" s="201"/>
      <c r="D132" s="201"/>
      <c r="I132"/>
    </row>
    <row r="133" spans="1:9">
      <c r="A133" s="201"/>
      <c r="B133" s="201"/>
      <c r="C133" s="201"/>
      <c r="D133" s="201"/>
      <c r="I133"/>
    </row>
    <row r="134" spans="1:9">
      <c r="A134" s="201"/>
      <c r="B134" s="201"/>
      <c r="C134" s="201"/>
      <c r="D134" s="201"/>
    </row>
    <row r="135" spans="1:9">
      <c r="A135" s="201"/>
      <c r="B135" s="201"/>
      <c r="C135" s="201"/>
      <c r="D135" s="201"/>
    </row>
    <row r="136" spans="1:9">
      <c r="A136" s="201"/>
      <c r="B136" s="201"/>
      <c r="C136" s="201"/>
      <c r="D136" s="201"/>
    </row>
    <row r="137" spans="1:9">
      <c r="A137" s="201"/>
      <c r="B137" s="201"/>
      <c r="C137" s="201"/>
      <c r="D137" s="201"/>
    </row>
    <row r="138" spans="1:9">
      <c r="A138" s="201"/>
      <c r="B138" s="201"/>
      <c r="C138" s="201"/>
      <c r="D138" s="201"/>
    </row>
    <row r="139" spans="1:9">
      <c r="A139" s="201"/>
      <c r="B139" s="201"/>
      <c r="C139" s="201"/>
      <c r="D139" s="201"/>
    </row>
    <row r="140" spans="1:9">
      <c r="A140" s="201"/>
      <c r="B140" s="201"/>
      <c r="C140" s="201"/>
      <c r="D140" s="201"/>
    </row>
    <row r="141" spans="1:9">
      <c r="A141" s="201"/>
      <c r="B141" s="201"/>
      <c r="C141" s="201"/>
      <c r="D141" s="201"/>
    </row>
    <row r="142" spans="1:9">
      <c r="A142" s="201"/>
      <c r="B142" s="201"/>
      <c r="C142" s="201"/>
      <c r="D142" s="201"/>
    </row>
    <row r="143" spans="1:9">
      <c r="A143" s="201"/>
      <c r="B143" s="201"/>
      <c r="C143" s="201"/>
      <c r="D143" s="201"/>
    </row>
    <row r="144" spans="1:9">
      <c r="A144" s="201"/>
      <c r="B144" s="201"/>
      <c r="C144" s="201"/>
      <c r="D144" s="201"/>
    </row>
    <row r="145" spans="1:4">
      <c r="A145" s="201"/>
      <c r="B145" s="201"/>
      <c r="C145" s="201"/>
      <c r="D145" s="201"/>
    </row>
    <row r="146" spans="1:4">
      <c r="A146" s="201"/>
      <c r="B146" s="201"/>
      <c r="C146" s="201"/>
      <c r="D146" s="201"/>
    </row>
    <row r="147" spans="1:4">
      <c r="A147" s="201"/>
      <c r="B147" s="201"/>
      <c r="C147" s="201"/>
      <c r="D147" s="201"/>
    </row>
    <row r="148" spans="1:4">
      <c r="A148" s="201"/>
      <c r="B148" s="201"/>
      <c r="C148" s="201"/>
      <c r="D148" s="201"/>
    </row>
    <row r="149" spans="1:4">
      <c r="A149" s="201"/>
      <c r="B149" s="201"/>
      <c r="C149" s="201"/>
      <c r="D149" s="201"/>
    </row>
    <row r="150" spans="1:4">
      <c r="A150" s="201"/>
      <c r="B150" s="201"/>
      <c r="C150" s="201"/>
      <c r="D150" s="201"/>
    </row>
    <row r="151" spans="1:4">
      <c r="A151" s="201"/>
      <c r="B151" s="201"/>
      <c r="C151" s="201"/>
      <c r="D151" s="201"/>
    </row>
    <row r="152" spans="1:4">
      <c r="A152" s="201"/>
      <c r="B152" s="201"/>
      <c r="C152" s="201"/>
      <c r="D152" s="201"/>
    </row>
    <row r="153" spans="1:4">
      <c r="A153" s="201"/>
      <c r="B153" s="201"/>
      <c r="C153" s="201"/>
      <c r="D153" s="201"/>
    </row>
    <row r="154" spans="1:4">
      <c r="A154" s="201"/>
      <c r="B154" s="201"/>
      <c r="C154" s="201"/>
      <c r="D154" s="201"/>
    </row>
    <row r="155" spans="1:4">
      <c r="A155" s="201"/>
      <c r="B155" s="201"/>
      <c r="C155" s="201"/>
      <c r="D155" s="201"/>
    </row>
    <row r="156" spans="1:4">
      <c r="A156" s="201"/>
      <c r="B156" s="201"/>
      <c r="C156" s="201"/>
      <c r="D156" s="201"/>
    </row>
    <row r="157" spans="1:4">
      <c r="A157" s="201"/>
      <c r="B157" s="201"/>
      <c r="C157" s="201"/>
      <c r="D157" s="201"/>
    </row>
    <row r="158" spans="1:4">
      <c r="A158" s="201"/>
      <c r="B158" s="201"/>
      <c r="C158" s="201"/>
      <c r="D158" s="201"/>
    </row>
    <row r="159" spans="1:4">
      <c r="A159" s="201"/>
      <c r="B159" s="201"/>
      <c r="C159" s="201"/>
      <c r="D159" s="201"/>
    </row>
    <row r="160" spans="1:4">
      <c r="A160" s="201"/>
      <c r="B160" s="201"/>
      <c r="C160" s="201"/>
      <c r="D160" s="201"/>
    </row>
    <row r="161" spans="1:4">
      <c r="A161" s="201"/>
      <c r="B161" s="201"/>
      <c r="C161" s="201"/>
      <c r="D161" s="201"/>
    </row>
    <row r="162" spans="1:4">
      <c r="A162" s="201"/>
      <c r="B162" s="201"/>
      <c r="C162" s="201"/>
      <c r="D162" s="201"/>
    </row>
    <row r="163" spans="1:4">
      <c r="A163" s="201"/>
      <c r="B163" s="201"/>
      <c r="C163" s="201"/>
      <c r="D163" s="201"/>
    </row>
    <row r="164" spans="1:4">
      <c r="A164" s="201"/>
      <c r="B164" s="201"/>
      <c r="C164" s="201"/>
      <c r="D164" s="201"/>
    </row>
    <row r="165" spans="1:4">
      <c r="A165" s="201"/>
      <c r="B165" s="201"/>
      <c r="C165" s="201"/>
      <c r="D165" s="201"/>
    </row>
    <row r="166" spans="1:4">
      <c r="A166" s="201"/>
      <c r="B166" s="201"/>
      <c r="C166" s="201"/>
      <c r="D166" s="201"/>
    </row>
    <row r="167" spans="1:4">
      <c r="A167" s="201"/>
      <c r="B167" s="201"/>
      <c r="C167" s="201"/>
      <c r="D167" s="201"/>
    </row>
    <row r="168" spans="1:4">
      <c r="A168" s="201"/>
      <c r="B168" s="201"/>
      <c r="C168" s="201"/>
      <c r="D168" s="201"/>
    </row>
    <row r="169" spans="1:4">
      <c r="A169" s="201"/>
      <c r="B169" s="201"/>
      <c r="C169" s="201"/>
      <c r="D169" s="201"/>
    </row>
    <row r="170" spans="1:4">
      <c r="A170" s="201"/>
      <c r="B170" s="201"/>
      <c r="C170" s="201"/>
      <c r="D170" s="201"/>
    </row>
    <row r="171" spans="1:4">
      <c r="A171" s="201"/>
      <c r="B171" s="201"/>
      <c r="C171" s="201"/>
      <c r="D171" s="201"/>
    </row>
    <row r="172" spans="1:4">
      <c r="A172" s="201"/>
      <c r="B172" s="201"/>
      <c r="C172" s="201"/>
      <c r="D172" s="201"/>
    </row>
    <row r="173" spans="1:4">
      <c r="A173" s="201"/>
      <c r="B173" s="201"/>
      <c r="C173" s="201"/>
      <c r="D173" s="201"/>
    </row>
    <row r="174" spans="1:4">
      <c r="A174" s="201"/>
      <c r="B174" s="201"/>
      <c r="C174" s="201"/>
      <c r="D174" s="201"/>
    </row>
    <row r="175" spans="1:4">
      <c r="A175" s="201"/>
      <c r="B175" s="201"/>
      <c r="C175" s="201"/>
      <c r="D175" s="201"/>
    </row>
    <row r="176" spans="1:4">
      <c r="A176" s="201"/>
      <c r="B176" s="201"/>
      <c r="C176" s="201"/>
      <c r="D176" s="201"/>
    </row>
    <row r="177" spans="1:4">
      <c r="A177" s="201"/>
      <c r="B177" s="201"/>
      <c r="C177" s="201"/>
      <c r="D177" s="201"/>
    </row>
    <row r="178" spans="1:4">
      <c r="A178" s="201"/>
      <c r="B178" s="201"/>
      <c r="C178" s="201"/>
      <c r="D178" s="201"/>
    </row>
    <row r="179" spans="1:4">
      <c r="A179" s="201"/>
      <c r="B179" s="201"/>
      <c r="C179" s="201"/>
      <c r="D179" s="201"/>
    </row>
    <row r="180" spans="1:4">
      <c r="A180" s="201"/>
      <c r="B180" s="201"/>
      <c r="C180" s="201"/>
      <c r="D180" s="201"/>
    </row>
    <row r="181" spans="1:4">
      <c r="A181" s="201"/>
      <c r="B181" s="201"/>
      <c r="C181" s="201"/>
      <c r="D181" s="201"/>
    </row>
    <row r="182" spans="1:4">
      <c r="A182" s="201"/>
      <c r="B182" s="201"/>
      <c r="C182" s="201"/>
      <c r="D182" s="201"/>
    </row>
    <row r="183" spans="1:4">
      <c r="A183" s="201"/>
      <c r="B183" s="201"/>
      <c r="C183" s="201"/>
      <c r="D183" s="201"/>
    </row>
    <row r="184" spans="1:4">
      <c r="A184" s="201"/>
      <c r="B184" s="201"/>
      <c r="C184" s="201"/>
      <c r="D184" s="201"/>
    </row>
    <row r="185" spans="1:4">
      <c r="A185" s="201"/>
      <c r="B185" s="201"/>
      <c r="C185" s="201"/>
      <c r="D185" s="201"/>
    </row>
    <row r="186" spans="1:4">
      <c r="A186" s="201"/>
      <c r="B186" s="201"/>
      <c r="C186" s="201"/>
      <c r="D186" s="201"/>
    </row>
    <row r="187" spans="1:4">
      <c r="A187" s="201"/>
      <c r="B187" s="201"/>
      <c r="C187" s="201"/>
      <c r="D187" s="201"/>
    </row>
    <row r="188" spans="1:4">
      <c r="A188" s="201"/>
      <c r="B188" s="201"/>
      <c r="C188" s="201"/>
      <c r="D188" s="201"/>
    </row>
    <row r="189" spans="1:4">
      <c r="A189" s="201"/>
      <c r="B189" s="201"/>
      <c r="C189" s="201"/>
      <c r="D189" s="201"/>
    </row>
    <row r="190" spans="1:4">
      <c r="A190" s="201"/>
      <c r="B190" s="201"/>
      <c r="C190" s="201"/>
      <c r="D190" s="201"/>
    </row>
    <row r="191" spans="1:4">
      <c r="A191" s="201"/>
      <c r="B191" s="201"/>
      <c r="C191" s="201"/>
      <c r="D191" s="201"/>
    </row>
    <row r="192" spans="1:4">
      <c r="A192" s="201"/>
      <c r="B192" s="201"/>
      <c r="C192" s="201"/>
      <c r="D192" s="201"/>
    </row>
    <row r="193" spans="1:4">
      <c r="A193" s="201"/>
      <c r="B193" s="201"/>
      <c r="C193" s="201"/>
      <c r="D193" s="201"/>
    </row>
    <row r="194" spans="1:4">
      <c r="A194" s="201"/>
      <c r="B194" s="201"/>
      <c r="C194" s="201"/>
      <c r="D194" s="201"/>
    </row>
    <row r="195" spans="1:4">
      <c r="A195" s="201"/>
      <c r="B195" s="201"/>
      <c r="C195" s="201"/>
      <c r="D195" s="201"/>
    </row>
    <row r="196" spans="1:4">
      <c r="A196" s="201"/>
      <c r="B196" s="201"/>
      <c r="C196" s="201"/>
      <c r="D196" s="201"/>
    </row>
    <row r="197" spans="1:4">
      <c r="A197" s="201"/>
      <c r="B197" s="201"/>
      <c r="C197" s="201"/>
      <c r="D197" s="201"/>
    </row>
    <row r="198" spans="1:4">
      <c r="A198" s="201"/>
      <c r="B198" s="201"/>
      <c r="C198" s="201"/>
      <c r="D198" s="201"/>
    </row>
    <row r="199" spans="1:4">
      <c r="A199" s="201"/>
      <c r="B199" s="201"/>
      <c r="C199" s="201"/>
      <c r="D199" s="201"/>
    </row>
    <row r="200" spans="1:4">
      <c r="A200" s="201"/>
      <c r="B200" s="201"/>
      <c r="C200" s="201"/>
      <c r="D200" s="201"/>
    </row>
    <row r="201" spans="1:4">
      <c r="A201" s="201"/>
      <c r="B201" s="201"/>
      <c r="C201" s="201"/>
      <c r="D201" s="201"/>
    </row>
    <row r="202" spans="1:4">
      <c r="A202" s="201"/>
      <c r="B202" s="201"/>
      <c r="C202" s="201"/>
      <c r="D202" s="201"/>
    </row>
    <row r="203" spans="1:4">
      <c r="A203" s="201"/>
      <c r="B203" s="201"/>
      <c r="C203" s="201"/>
      <c r="D203" s="201"/>
    </row>
    <row r="204" spans="1:4">
      <c r="A204" s="201"/>
      <c r="B204" s="201"/>
      <c r="C204" s="201"/>
      <c r="D204" s="201"/>
    </row>
    <row r="205" spans="1:4">
      <c r="A205" s="201"/>
      <c r="B205" s="201"/>
      <c r="C205" s="201"/>
      <c r="D205" s="201"/>
    </row>
    <row r="206" spans="1:4">
      <c r="A206" s="201"/>
      <c r="B206" s="201"/>
      <c r="C206" s="201"/>
      <c r="D206" s="201"/>
    </row>
    <row r="207" spans="1:4">
      <c r="A207" s="201"/>
      <c r="B207" s="201"/>
      <c r="C207" s="201"/>
      <c r="D207" s="201"/>
    </row>
    <row r="208" spans="1:4">
      <c r="A208" s="201"/>
      <c r="B208" s="201"/>
      <c r="C208" s="201"/>
      <c r="D208" s="201"/>
    </row>
    <row r="209" spans="1:4">
      <c r="A209" s="201"/>
      <c r="B209" s="201"/>
      <c r="C209" s="201"/>
      <c r="D209" s="201"/>
    </row>
    <row r="210" spans="1:4">
      <c r="A210" s="201"/>
      <c r="B210" s="201"/>
      <c r="C210" s="201"/>
      <c r="D210" s="201"/>
    </row>
    <row r="211" spans="1:4">
      <c r="A211" s="201"/>
      <c r="B211" s="201"/>
      <c r="C211" s="201"/>
      <c r="D211" s="201"/>
    </row>
    <row r="212" spans="1:4">
      <c r="A212" s="201"/>
      <c r="B212" s="201"/>
      <c r="C212" s="201"/>
      <c r="D212" s="201"/>
    </row>
    <row r="213" spans="1:4">
      <c r="A213" s="201"/>
      <c r="B213" s="201"/>
      <c r="C213" s="201"/>
      <c r="D213" s="201"/>
    </row>
    <row r="214" spans="1:4">
      <c r="A214" s="201"/>
      <c r="B214" s="201"/>
      <c r="C214" s="201"/>
      <c r="D214" s="201"/>
    </row>
    <row r="215" spans="1:4">
      <c r="A215" s="201"/>
      <c r="B215" s="201"/>
      <c r="C215" s="201"/>
      <c r="D215" s="201"/>
    </row>
    <row r="216" spans="1:4">
      <c r="A216" s="201"/>
      <c r="B216" s="201"/>
      <c r="C216" s="201"/>
      <c r="D216" s="201"/>
    </row>
    <row r="217" spans="1:4">
      <c r="A217" s="201"/>
      <c r="B217" s="201"/>
      <c r="C217" s="201"/>
      <c r="D217" s="201"/>
    </row>
    <row r="218" spans="1:4">
      <c r="A218" s="201"/>
      <c r="B218" s="201"/>
      <c r="C218" s="201"/>
      <c r="D218" s="201"/>
    </row>
    <row r="219" spans="1:4">
      <c r="A219" s="201"/>
      <c r="B219" s="201"/>
      <c r="C219" s="201"/>
      <c r="D219" s="201"/>
    </row>
    <row r="220" spans="1:4">
      <c r="A220" s="201"/>
      <c r="B220" s="201"/>
      <c r="C220" s="201"/>
      <c r="D220" s="201"/>
    </row>
    <row r="221" spans="1:4">
      <c r="A221" s="201"/>
      <c r="B221" s="201"/>
      <c r="C221" s="201"/>
      <c r="D221" s="201"/>
    </row>
    <row r="222" spans="1:4">
      <c r="A222" s="201"/>
      <c r="B222" s="201"/>
      <c r="C222" s="201"/>
      <c r="D222" s="201"/>
    </row>
    <row r="223" spans="1:4">
      <c r="A223" s="201"/>
      <c r="B223" s="201"/>
      <c r="C223" s="201"/>
      <c r="D223" s="201"/>
    </row>
  </sheetData>
  <pageMargins left="0.7" right="0.7" top="0.75" bottom="0.75" header="0.3" footer="0.3"/>
  <pageSetup paperSize="9"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H51"/>
  <sheetViews>
    <sheetView topLeftCell="A15" workbookViewId="0">
      <selection activeCell="B10" sqref="B10"/>
    </sheetView>
  </sheetViews>
  <sheetFormatPr baseColWidth="10" defaultRowHeight="16"/>
  <sheetData>
    <row r="1" spans="1:8">
      <c r="A1" s="141" t="s">
        <v>2613</v>
      </c>
      <c r="B1" s="141"/>
      <c r="C1" s="141"/>
      <c r="D1" s="141"/>
      <c r="E1" s="141"/>
      <c r="F1" s="141"/>
      <c r="G1" s="141"/>
      <c r="H1" t="s">
        <v>2614</v>
      </c>
    </row>
    <row r="2" spans="1:8">
      <c r="A2" s="141"/>
      <c r="B2" s="141">
        <v>68.510639999999995</v>
      </c>
      <c r="C2" s="141">
        <v>72.765960000000007</v>
      </c>
      <c r="D2" s="141">
        <v>78.723404259999995</v>
      </c>
      <c r="E2" s="141">
        <v>80.851063830000001</v>
      </c>
      <c r="F2" s="141">
        <v>96.170212770000006</v>
      </c>
      <c r="G2" s="141"/>
      <c r="H2" s="216" t="s">
        <v>2615</v>
      </c>
    </row>
    <row r="3" spans="1:8">
      <c r="A3" s="141"/>
      <c r="B3" s="141">
        <v>70.638300000000001</v>
      </c>
      <c r="C3" s="141">
        <v>74.468090000000004</v>
      </c>
      <c r="D3" s="141">
        <v>80.425531910000004</v>
      </c>
      <c r="E3" s="141">
        <v>83.404255320000004</v>
      </c>
      <c r="F3" s="141">
        <v>94.468085110000004</v>
      </c>
      <c r="G3" s="141"/>
    </row>
    <row r="4" spans="1:8">
      <c r="A4" s="141"/>
      <c r="B4" s="141">
        <v>70.638300000000001</v>
      </c>
      <c r="C4" s="141">
        <v>71.489360000000005</v>
      </c>
      <c r="D4" s="141">
        <v>76.595744679999996</v>
      </c>
      <c r="E4" s="141">
        <v>79.148936169999999</v>
      </c>
      <c r="F4" s="141">
        <v>93.617021280000003</v>
      </c>
      <c r="G4" s="141"/>
    </row>
    <row r="5" spans="1:8">
      <c r="A5" s="141"/>
      <c r="B5" s="141">
        <v>70.638300000000001</v>
      </c>
      <c r="C5" s="141">
        <v>73.617019999999997</v>
      </c>
      <c r="D5" s="141">
        <v>79.574468089999996</v>
      </c>
      <c r="E5" s="141">
        <v>81.702127660000002</v>
      </c>
      <c r="F5" s="141">
        <v>89.361702129999998</v>
      </c>
      <c r="G5" s="141"/>
    </row>
    <row r="6" spans="1:8">
      <c r="A6" s="141"/>
      <c r="B6" s="141">
        <v>73.617019999999997</v>
      </c>
      <c r="C6" s="141">
        <v>70.638300000000001</v>
      </c>
      <c r="D6" s="141">
        <v>76.170212770000006</v>
      </c>
      <c r="E6" s="141">
        <v>78.297872339999998</v>
      </c>
      <c r="F6" s="141">
        <v>85.957446809999993</v>
      </c>
      <c r="G6" s="141"/>
    </row>
    <row r="7" spans="1:8">
      <c r="A7" s="141"/>
      <c r="B7" s="141">
        <v>74.893619999999999</v>
      </c>
      <c r="C7" s="141">
        <v>68.936170000000004</v>
      </c>
      <c r="D7" s="141">
        <v>74.042553190000007</v>
      </c>
      <c r="E7" s="141">
        <v>75.744680849999995</v>
      </c>
      <c r="F7" s="141">
        <v>76.595744679999996</v>
      </c>
      <c r="G7" s="141"/>
    </row>
    <row r="8" spans="1:8">
      <c r="A8" s="141"/>
      <c r="B8" s="141">
        <v>78.297870000000003</v>
      </c>
      <c r="C8" s="141">
        <v>73.617019999999997</v>
      </c>
      <c r="D8" s="141">
        <v>79.574468089999996</v>
      </c>
      <c r="E8" s="141">
        <v>82.553191490000003</v>
      </c>
      <c r="F8" s="141">
        <v>80.851063830000001</v>
      </c>
      <c r="G8" s="141"/>
    </row>
    <row r="9" spans="1:8">
      <c r="A9" s="141" t="s">
        <v>2616</v>
      </c>
      <c r="B9" s="141">
        <v>72.462010000000006</v>
      </c>
      <c r="C9" s="141">
        <v>72.21884</v>
      </c>
      <c r="D9" s="141">
        <v>77.872340429999994</v>
      </c>
      <c r="E9" s="141">
        <v>80.243161090000001</v>
      </c>
      <c r="F9" s="141">
        <v>88.145896660000005</v>
      </c>
      <c r="G9" s="141"/>
    </row>
    <row r="10" spans="1:8">
      <c r="A10" s="141"/>
      <c r="B10" s="141"/>
      <c r="C10" s="141"/>
      <c r="D10" s="141"/>
      <c r="E10" s="141"/>
      <c r="F10" s="141"/>
      <c r="G10" s="141"/>
    </row>
    <row r="11" spans="1:8">
      <c r="A11" s="217" t="s">
        <v>2617</v>
      </c>
      <c r="B11" s="141">
        <v>1</v>
      </c>
      <c r="C11" s="141">
        <v>4</v>
      </c>
      <c r="D11" s="141">
        <v>3</v>
      </c>
      <c r="E11" s="141">
        <v>0</v>
      </c>
      <c r="F11" s="141">
        <v>2</v>
      </c>
      <c r="G11" s="141"/>
    </row>
    <row r="12" spans="1:8">
      <c r="A12" s="141"/>
      <c r="B12" s="217">
        <v>1</v>
      </c>
      <c r="C12" s="217"/>
      <c r="D12" s="217">
        <v>3</v>
      </c>
      <c r="E12" s="217"/>
      <c r="F12" s="217">
        <v>2</v>
      </c>
      <c r="G12" s="141"/>
    </row>
    <row r="13" spans="1:8">
      <c r="A13" s="141" t="s">
        <v>2618</v>
      </c>
      <c r="B13" s="218" t="s">
        <v>2619</v>
      </c>
      <c r="C13" s="218" t="s">
        <v>2620</v>
      </c>
      <c r="D13" s="218" t="s">
        <v>2621</v>
      </c>
      <c r="E13" s="141"/>
      <c r="F13" s="218" t="s">
        <v>2622</v>
      </c>
      <c r="G13" s="141"/>
    </row>
    <row r="14" spans="1:8">
      <c r="A14" s="217" t="s">
        <v>2623</v>
      </c>
      <c r="B14" s="219">
        <v>-17.840900000000001</v>
      </c>
      <c r="C14" s="220">
        <v>-8.9655199999999997</v>
      </c>
      <c r="D14" s="219">
        <v>-2.5858585860000001</v>
      </c>
      <c r="E14" s="141"/>
      <c r="F14" s="221">
        <v>-16.788990829999999</v>
      </c>
      <c r="G14" s="141"/>
    </row>
    <row r="15" spans="1:8">
      <c r="A15" s="141"/>
      <c r="B15" s="219">
        <v>-16.818200000000001</v>
      </c>
      <c r="C15" s="220">
        <v>-8.9655199999999997</v>
      </c>
      <c r="D15" s="219">
        <v>-2.6565656569999998</v>
      </c>
      <c r="E15" s="141"/>
      <c r="F15" s="221">
        <v>-13.119266059999999</v>
      </c>
      <c r="G15" s="141"/>
    </row>
    <row r="16" spans="1:8">
      <c r="A16" s="141"/>
      <c r="B16" s="219">
        <v>-12.045500000000001</v>
      </c>
      <c r="C16" s="220">
        <v>-8.5862099999999995</v>
      </c>
      <c r="D16" s="219">
        <v>-2.5151515149999999</v>
      </c>
      <c r="E16" s="141"/>
      <c r="F16" s="221">
        <v>-15.41284404</v>
      </c>
      <c r="G16" s="141"/>
    </row>
    <row r="17" spans="1:7">
      <c r="A17" s="141"/>
      <c r="B17" s="219">
        <v>-18.5227</v>
      </c>
      <c r="C17" s="220">
        <v>-9.34483</v>
      </c>
      <c r="D17" s="219">
        <v>-2.9393939389999999</v>
      </c>
      <c r="E17" s="141"/>
      <c r="F17" s="221">
        <v>-8.5321100919999999</v>
      </c>
      <c r="G17" s="141"/>
    </row>
    <row r="18" spans="1:7">
      <c r="A18" s="141"/>
      <c r="B18" s="219">
        <v>-5.2272699999999999</v>
      </c>
      <c r="C18" s="220">
        <v>-8.2068999999999992</v>
      </c>
      <c r="D18" s="219">
        <v>-2.5151515149999999</v>
      </c>
      <c r="E18" s="141"/>
      <c r="F18" s="221">
        <v>-7.6146788990000003</v>
      </c>
      <c r="G18" s="141"/>
    </row>
    <row r="19" spans="1:7">
      <c r="A19" s="141"/>
      <c r="B19" s="219">
        <v>0.227273</v>
      </c>
      <c r="C19" s="220">
        <v>-8.0172399999999993</v>
      </c>
      <c r="D19" s="219">
        <v>-2.3737373740000001</v>
      </c>
      <c r="E19" s="141"/>
      <c r="F19" s="221">
        <v>-0.27522935799999998</v>
      </c>
      <c r="G19" s="141"/>
    </row>
    <row r="20" spans="1:7">
      <c r="A20" s="141"/>
      <c r="B20" s="219">
        <v>-0.45455000000000001</v>
      </c>
      <c r="C20" s="220">
        <v>-8.9655199999999997</v>
      </c>
      <c r="D20" s="219">
        <v>-2.7979797980000001</v>
      </c>
      <c r="E20" s="141"/>
      <c r="F20" s="221">
        <v>1.5596330279999999</v>
      </c>
      <c r="G20" s="141"/>
    </row>
    <row r="21" spans="1:7">
      <c r="A21" s="217" t="s">
        <v>2616</v>
      </c>
      <c r="B21" s="217">
        <v>-10.0974</v>
      </c>
      <c r="C21" s="217">
        <v>-8.7216699999999996</v>
      </c>
      <c r="D21" s="217">
        <v>-2.6262626259999999</v>
      </c>
      <c r="E21" s="141"/>
      <c r="F21" s="217">
        <v>-8.5976408909999993</v>
      </c>
      <c r="G21" s="141"/>
    </row>
    <row r="22" spans="1:7">
      <c r="A22" s="141"/>
      <c r="B22" s="141"/>
      <c r="C22" s="222"/>
      <c r="D22" s="141"/>
      <c r="E22" s="141"/>
      <c r="F22" s="141"/>
      <c r="G22" s="141"/>
    </row>
    <row r="23" spans="1:7">
      <c r="A23" s="217" t="s">
        <v>2624</v>
      </c>
      <c r="B23" s="223">
        <v>2.2727270000000002</v>
      </c>
      <c r="C23" s="224">
        <v>4.3103400000000001</v>
      </c>
      <c r="D23" s="223">
        <v>1.3030303029999999</v>
      </c>
      <c r="E23" s="141"/>
      <c r="F23" s="225">
        <v>-7.6146788990000003</v>
      </c>
      <c r="G23" s="141"/>
    </row>
    <row r="24" spans="1:7">
      <c r="A24" s="217" t="s">
        <v>2625</v>
      </c>
      <c r="B24" s="223">
        <v>-0.45455000000000001</v>
      </c>
      <c r="C24" s="224">
        <v>4.3103400000000001</v>
      </c>
      <c r="D24" s="223">
        <v>1.3030303029999999</v>
      </c>
      <c r="E24" s="141"/>
      <c r="F24" s="225">
        <v>-3.944954128</v>
      </c>
      <c r="G24" s="141"/>
    </row>
    <row r="25" spans="1:7">
      <c r="A25" s="141"/>
      <c r="B25" s="223">
        <v>-1.4772700000000001</v>
      </c>
      <c r="C25" s="224">
        <v>2.60345</v>
      </c>
      <c r="D25" s="223">
        <v>0.87878787899999999</v>
      </c>
      <c r="E25" s="141"/>
      <c r="F25" s="225">
        <v>-3.4862385319999998</v>
      </c>
      <c r="G25" s="141"/>
    </row>
    <row r="26" spans="1:7">
      <c r="A26" s="141"/>
      <c r="B26" s="223">
        <v>-4.2045500000000002</v>
      </c>
      <c r="C26" s="224">
        <v>2.60345</v>
      </c>
      <c r="D26" s="223">
        <v>0.87878787899999999</v>
      </c>
      <c r="E26" s="141"/>
      <c r="F26" s="225">
        <v>-0.73394495400000004</v>
      </c>
      <c r="G26" s="141"/>
    </row>
    <row r="27" spans="1:7">
      <c r="A27" s="141"/>
      <c r="B27" s="223">
        <v>-0.79544999999999999</v>
      </c>
      <c r="C27" s="224">
        <v>2.0344799999999998</v>
      </c>
      <c r="D27" s="223">
        <v>0.66666666699999999</v>
      </c>
      <c r="E27" s="141"/>
      <c r="F27" s="225">
        <v>0.183486239</v>
      </c>
      <c r="G27" s="141"/>
    </row>
    <row r="28" spans="1:7">
      <c r="A28" s="141"/>
      <c r="B28" s="223">
        <v>0.90909099999999998</v>
      </c>
      <c r="C28" s="224">
        <v>2.0344799999999998</v>
      </c>
      <c r="D28" s="223">
        <v>0.66666666699999999</v>
      </c>
      <c r="E28" s="141"/>
      <c r="F28" s="225">
        <v>2.9357798169999998</v>
      </c>
      <c r="G28" s="141"/>
    </row>
    <row r="29" spans="1:7">
      <c r="A29" s="141"/>
      <c r="B29" s="223">
        <v>3.6363639999999999</v>
      </c>
      <c r="C29" s="224">
        <v>1.27586</v>
      </c>
      <c r="D29" s="223">
        <v>0.31313131300000002</v>
      </c>
      <c r="E29" s="141"/>
      <c r="F29" s="225">
        <v>2.0183486240000001</v>
      </c>
      <c r="G29" s="141"/>
    </row>
    <row r="30" spans="1:7">
      <c r="A30" s="217" t="s">
        <v>2616</v>
      </c>
      <c r="B30" s="217">
        <v>-1.6230000000000001E-2</v>
      </c>
      <c r="C30" s="217">
        <v>2.7389160000000001</v>
      </c>
      <c r="D30" s="217">
        <v>0.85858585899999995</v>
      </c>
      <c r="E30" s="141"/>
      <c r="F30" s="217">
        <v>-1.520314548</v>
      </c>
      <c r="G30" s="141"/>
    </row>
    <row r="31" spans="1:7">
      <c r="A31" s="141"/>
      <c r="B31" s="141"/>
      <c r="C31" s="222"/>
      <c r="D31" s="141"/>
      <c r="E31" s="141"/>
      <c r="F31" s="141"/>
      <c r="G31" s="141"/>
    </row>
    <row r="32" spans="1:7">
      <c r="A32" s="217" t="s">
        <v>230</v>
      </c>
      <c r="B32" s="225">
        <v>7.0454549999999996</v>
      </c>
      <c r="C32" s="222">
        <v>2.0344799999999998</v>
      </c>
      <c r="D32" s="141">
        <v>0.66666666699999999</v>
      </c>
      <c r="E32" s="141"/>
      <c r="F32" s="223">
        <v>0.64220183500000005</v>
      </c>
      <c r="G32" s="141"/>
    </row>
    <row r="33" spans="1:7">
      <c r="A33" s="141"/>
      <c r="B33" s="225">
        <v>3.6363639999999999</v>
      </c>
      <c r="C33" s="222">
        <v>1.65517</v>
      </c>
      <c r="D33" s="141">
        <v>0.45454545499999999</v>
      </c>
      <c r="E33" s="141"/>
      <c r="F33" s="223">
        <v>7.0642201829999998</v>
      </c>
      <c r="G33" s="141"/>
    </row>
    <row r="34" spans="1:7">
      <c r="A34" s="141"/>
      <c r="B34" s="225">
        <v>1.931818</v>
      </c>
      <c r="C34" s="222">
        <v>1.65517</v>
      </c>
      <c r="D34" s="141">
        <v>0.45454545499999999</v>
      </c>
      <c r="E34" s="141"/>
      <c r="F34" s="223">
        <v>6.1467889910000002</v>
      </c>
      <c r="G34" s="141"/>
    </row>
    <row r="35" spans="1:7">
      <c r="A35" s="141"/>
      <c r="B35" s="225">
        <v>1.931818</v>
      </c>
      <c r="C35" s="222">
        <v>1.65517</v>
      </c>
      <c r="D35" s="141">
        <v>0.45454545499999999</v>
      </c>
      <c r="E35" s="141"/>
      <c r="F35" s="223">
        <v>2.4770642199999999</v>
      </c>
      <c r="G35" s="141"/>
    </row>
    <row r="36" spans="1:7">
      <c r="A36" s="141"/>
      <c r="B36" s="225">
        <v>-0.45455000000000001</v>
      </c>
      <c r="C36" s="222">
        <v>1.65517</v>
      </c>
      <c r="D36" s="141">
        <v>0.45454545499999999</v>
      </c>
      <c r="E36" s="141"/>
      <c r="F36" s="223">
        <v>6.1467889910000002</v>
      </c>
      <c r="G36" s="141"/>
    </row>
    <row r="37" spans="1:7">
      <c r="A37" s="141"/>
      <c r="B37" s="225">
        <v>-0.79544999999999999</v>
      </c>
      <c r="C37" s="222">
        <v>1.4655199999999999</v>
      </c>
      <c r="D37" s="141">
        <v>0.31313131300000002</v>
      </c>
      <c r="E37" s="141"/>
      <c r="F37" s="223">
        <v>3.8532110089999998</v>
      </c>
      <c r="G37" s="141"/>
    </row>
    <row r="38" spans="1:7">
      <c r="A38" s="141"/>
      <c r="B38" s="225">
        <v>0.56818199999999996</v>
      </c>
      <c r="C38" s="222">
        <v>1.4655199999999999</v>
      </c>
      <c r="D38" s="141">
        <v>0.52525252499999997</v>
      </c>
      <c r="E38" s="141"/>
      <c r="F38" s="223">
        <v>1.5596330279999999</v>
      </c>
      <c r="G38" s="141"/>
    </row>
    <row r="39" spans="1:7">
      <c r="A39" s="217" t="s">
        <v>2616</v>
      </c>
      <c r="B39" s="217">
        <v>1.9805189999999999</v>
      </c>
      <c r="C39" s="217">
        <v>1.6551720000000001</v>
      </c>
      <c r="D39" s="217">
        <v>0.47474747499999997</v>
      </c>
      <c r="E39" s="141"/>
      <c r="F39" s="217">
        <v>3.9842726079999999</v>
      </c>
      <c r="G39" s="141"/>
    </row>
    <row r="40" spans="1:7">
      <c r="A40" s="217"/>
      <c r="B40" s="217"/>
      <c r="C40" s="217"/>
      <c r="D40" s="217"/>
      <c r="E40" s="141"/>
      <c r="F40" s="217"/>
      <c r="G40" s="141"/>
    </row>
    <row r="41" spans="1:7">
      <c r="A41" s="217" t="s">
        <v>2626</v>
      </c>
      <c r="B41" s="221">
        <v>13.18182</v>
      </c>
      <c r="C41" s="226">
        <v>8.4827600000000007</v>
      </c>
      <c r="D41" s="221">
        <v>2.575757576</v>
      </c>
      <c r="E41" s="141"/>
      <c r="F41" s="219">
        <v>24.49541284</v>
      </c>
      <c r="G41" s="141"/>
    </row>
    <row r="42" spans="1:7">
      <c r="A42" s="141"/>
      <c r="B42" s="221">
        <v>13.18182</v>
      </c>
      <c r="C42" s="226">
        <v>8.8620699999999992</v>
      </c>
      <c r="D42" s="221">
        <v>2.6464646460000001</v>
      </c>
      <c r="E42" s="141"/>
      <c r="F42" s="219">
        <v>23.577981650000002</v>
      </c>
      <c r="G42" s="141"/>
    </row>
    <row r="43" spans="1:7">
      <c r="A43" s="141"/>
      <c r="B43" s="221">
        <v>8.4090910000000001</v>
      </c>
      <c r="C43" s="226">
        <v>8.4827600000000007</v>
      </c>
      <c r="D43" s="221">
        <v>2.575757576</v>
      </c>
      <c r="E43" s="141"/>
      <c r="F43" s="219">
        <v>25.41284404</v>
      </c>
      <c r="G43" s="141"/>
    </row>
    <row r="44" spans="1:7">
      <c r="A44" s="141"/>
      <c r="B44" s="221">
        <v>11.81818</v>
      </c>
      <c r="C44" s="226">
        <v>8.4827600000000007</v>
      </c>
      <c r="D44" s="221">
        <v>2.575757576</v>
      </c>
      <c r="E44" s="141"/>
      <c r="F44" s="219">
        <v>11.651376150000001</v>
      </c>
      <c r="G44" s="141"/>
    </row>
    <row r="45" spans="1:7">
      <c r="A45" s="141"/>
      <c r="B45" s="221">
        <v>5.3409089999999999</v>
      </c>
      <c r="C45" s="226">
        <v>8.2931000000000008</v>
      </c>
      <c r="D45" s="221">
        <v>2.5050505049999998</v>
      </c>
      <c r="E45" s="141"/>
      <c r="F45" s="219">
        <v>13.48623853</v>
      </c>
      <c r="G45" s="141"/>
    </row>
    <row r="46" spans="1:7">
      <c r="A46" s="141"/>
      <c r="B46" s="221">
        <v>1.5909089999999999</v>
      </c>
      <c r="C46" s="226">
        <v>8.1034500000000005</v>
      </c>
      <c r="D46" s="221">
        <v>2.4343434340000001</v>
      </c>
      <c r="E46" s="141"/>
      <c r="F46" s="219">
        <v>1.1009174310000001</v>
      </c>
      <c r="G46" s="141"/>
    </row>
    <row r="47" spans="1:7">
      <c r="A47" s="141"/>
      <c r="B47" s="221">
        <v>3.9772729999999998</v>
      </c>
      <c r="C47" s="226">
        <v>8.6724099999999993</v>
      </c>
      <c r="D47" s="221">
        <v>2.6464646460000001</v>
      </c>
      <c r="E47" s="141"/>
      <c r="F47" s="219">
        <v>-2.1100917429999999</v>
      </c>
      <c r="G47" s="141"/>
    </row>
    <row r="48" spans="1:7">
      <c r="A48" s="217" t="s">
        <v>2616</v>
      </c>
      <c r="B48" s="217">
        <v>8.2142859999999995</v>
      </c>
      <c r="C48" s="217">
        <v>8.4827589999999997</v>
      </c>
      <c r="D48" s="217">
        <v>2.5656565659999999</v>
      </c>
      <c r="E48" s="141"/>
      <c r="F48" s="217">
        <v>13.944954129999999</v>
      </c>
      <c r="G48" s="141"/>
    </row>
    <row r="49" spans="1:7">
      <c r="A49" s="141"/>
      <c r="B49" s="141">
        <v>2.8990000000000001E-3</v>
      </c>
      <c r="C49" s="141">
        <v>4.5455000000000002E-2</v>
      </c>
      <c r="D49" s="141">
        <v>4.5454544999999999E-2</v>
      </c>
      <c r="E49" s="141"/>
      <c r="F49" s="141">
        <v>0.27897397499999999</v>
      </c>
      <c r="G49" s="217" t="s">
        <v>2627</v>
      </c>
    </row>
    <row r="50" spans="1:7">
      <c r="A50" s="141"/>
      <c r="B50" s="141"/>
      <c r="C50" s="141"/>
      <c r="D50" s="141"/>
      <c r="E50" s="141"/>
      <c r="F50" s="141"/>
      <c r="G50" s="141"/>
    </row>
    <row r="51" spans="1:7">
      <c r="A51" s="141"/>
      <c r="B51" s="217"/>
      <c r="C51" s="217"/>
      <c r="D51" s="217"/>
      <c r="E51" s="217"/>
      <c r="F51" s="141"/>
      <c r="G51" s="141"/>
    </row>
  </sheetData>
  <pageMargins left="0.7" right="0.7" top="0.75" bottom="0.75" header="0.3" footer="0.3"/>
  <pageSetup paperSize="9"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P481"/>
  <sheetViews>
    <sheetView topLeftCell="A460" zoomScale="50" workbookViewId="0">
      <selection activeCell="A474" sqref="A474:Q485"/>
    </sheetView>
  </sheetViews>
  <sheetFormatPr baseColWidth="10" defaultRowHeight="16"/>
  <cols>
    <col min="12" max="12" width="10.1640625" customWidth="1"/>
    <col min="29" max="29" width="18" customWidth="1"/>
  </cols>
  <sheetData>
    <row r="1" spans="1:16">
      <c r="A1" t="s">
        <v>2628</v>
      </c>
    </row>
    <row r="2" spans="1:16">
      <c r="I2" t="s">
        <v>1310</v>
      </c>
      <c r="J2" t="s">
        <v>1312</v>
      </c>
      <c r="K2" t="s">
        <v>1306</v>
      </c>
      <c r="N2" t="s">
        <v>1310</v>
      </c>
      <c r="O2" t="s">
        <v>1312</v>
      </c>
      <c r="P2" t="s">
        <v>1306</v>
      </c>
    </row>
    <row r="3" spans="1:16">
      <c r="H3" s="144"/>
      <c r="I3" s="144">
        <v>7159.9699870874601</v>
      </c>
      <c r="J3" s="144">
        <v>7199.6672987215397</v>
      </c>
      <c r="K3" s="144">
        <v>3200.1122575991999</v>
      </c>
      <c r="M3" t="s">
        <v>1324</v>
      </c>
      <c r="N3">
        <v>4402.9850746268603</v>
      </c>
      <c r="O3">
        <v>4029.8507462686498</v>
      </c>
      <c r="P3">
        <v>3208.95522388059</v>
      </c>
    </row>
    <row r="4" spans="1:16">
      <c r="H4" s="144"/>
      <c r="I4" s="144">
        <v>15705.2743622256</v>
      </c>
      <c r="J4" s="144">
        <v>14574.002768633</v>
      </c>
      <c r="K4" s="144">
        <v>11803.741144445799</v>
      </c>
      <c r="M4" t="s">
        <v>2629</v>
      </c>
      <c r="N4">
        <v>7835.8208955223799</v>
      </c>
      <c r="O4">
        <v>7089.5522388059699</v>
      </c>
      <c r="P4">
        <v>5298.5074626865598</v>
      </c>
    </row>
    <row r="5" spans="1:16">
      <c r="H5" s="144"/>
      <c r="I5" s="144">
        <v>24015.448506915702</v>
      </c>
      <c r="J5" s="144">
        <v>22416.5629398694</v>
      </c>
      <c r="K5" s="144">
        <v>19294.7256377743</v>
      </c>
      <c r="M5" t="s">
        <v>2630</v>
      </c>
      <c r="N5">
        <v>32089.5522388059</v>
      </c>
      <c r="O5">
        <v>29776.119402985001</v>
      </c>
      <c r="P5">
        <v>23507.462686567102</v>
      </c>
    </row>
    <row r="6" spans="1:16">
      <c r="H6" s="144"/>
      <c r="I6" s="144">
        <v>31272.931377452998</v>
      </c>
      <c r="J6" s="144">
        <v>28502.873329222999</v>
      </c>
      <c r="K6" s="144">
        <v>22924.0778009143</v>
      </c>
    </row>
    <row r="7" spans="1:16">
      <c r="H7" s="144" t="s">
        <v>2630</v>
      </c>
      <c r="I7" s="144">
        <v>32092.528180728899</v>
      </c>
      <c r="J7" s="144">
        <v>29322.470132498798</v>
      </c>
      <c r="K7" s="144">
        <v>23743.471028233002</v>
      </c>
      <c r="M7" t="s">
        <v>2631</v>
      </c>
      <c r="N7">
        <f>N5-N3</f>
        <v>27686.56716417904</v>
      </c>
      <c r="O7">
        <f t="shared" ref="O7:P7" si="0">O5-O3</f>
        <v>25746.268656716351</v>
      </c>
      <c r="P7">
        <f t="shared" si="0"/>
        <v>20298.50746268651</v>
      </c>
    </row>
    <row r="8" spans="1:16">
      <c r="H8" s="144" t="s">
        <v>2632</v>
      </c>
    </row>
    <row r="9" spans="1:16">
      <c r="H9" s="144" t="s">
        <v>2633</v>
      </c>
      <c r="I9" s="144">
        <f>I3</f>
        <v>7159.9699870874601</v>
      </c>
      <c r="J9" s="144">
        <f t="shared" ref="J9:K9" si="1">J3</f>
        <v>7199.6672987215397</v>
      </c>
      <c r="K9" s="144">
        <f t="shared" si="1"/>
        <v>3200.1122575991999</v>
      </c>
    </row>
    <row r="10" spans="1:16">
      <c r="H10" s="144" t="s">
        <v>2634</v>
      </c>
      <c r="I10" s="144">
        <f t="shared" ref="I10:K13" si="2">I4-I3</f>
        <v>8545.304375138141</v>
      </c>
      <c r="J10" s="144">
        <f t="shared" ref="J10:K10" si="3">J4-J3</f>
        <v>7374.3354699114598</v>
      </c>
      <c r="K10" s="144">
        <f t="shared" si="3"/>
        <v>8603.6288868465999</v>
      </c>
    </row>
    <row r="11" spans="1:16">
      <c r="H11" s="144" t="s">
        <v>2635</v>
      </c>
      <c r="I11" s="144">
        <f t="shared" si="2"/>
        <v>8310.1741446901015</v>
      </c>
      <c r="J11" s="144">
        <f t="shared" si="2"/>
        <v>7842.5601712364005</v>
      </c>
      <c r="K11" s="144">
        <f t="shared" si="2"/>
        <v>7490.9844933285003</v>
      </c>
    </row>
    <row r="12" spans="1:16">
      <c r="H12" s="144" t="s">
        <v>2636</v>
      </c>
      <c r="I12" s="144">
        <f t="shared" si="2"/>
        <v>7257.4828705372965</v>
      </c>
      <c r="J12" s="144">
        <f t="shared" si="2"/>
        <v>6086.310389353599</v>
      </c>
      <c r="K12" s="144">
        <f t="shared" si="2"/>
        <v>3629.3521631399999</v>
      </c>
    </row>
    <row r="13" spans="1:16">
      <c r="H13" s="144" t="s">
        <v>2637</v>
      </c>
      <c r="I13" s="144">
        <f t="shared" si="2"/>
        <v>819.59680327590104</v>
      </c>
      <c r="J13" s="144">
        <f t="shared" si="2"/>
        <v>819.59680327579918</v>
      </c>
      <c r="K13" s="144">
        <f t="shared" si="2"/>
        <v>819.39322731870197</v>
      </c>
    </row>
    <row r="14" spans="1:16">
      <c r="H14" s="144"/>
    </row>
    <row r="15" spans="1:16">
      <c r="H15" s="144"/>
    </row>
    <row r="16" spans="1:16">
      <c r="H16" s="144"/>
    </row>
    <row r="17" spans="1:10">
      <c r="A17" t="s">
        <v>2638</v>
      </c>
      <c r="H17" s="144"/>
      <c r="I17" t="s">
        <v>2639</v>
      </c>
      <c r="J17">
        <v>65.3101736972704</v>
      </c>
    </row>
    <row r="18" spans="1:10">
      <c r="I18" t="s">
        <v>2640</v>
      </c>
      <c r="J18">
        <v>40.297766749379598</v>
      </c>
    </row>
    <row r="19" spans="1:10">
      <c r="I19" t="s">
        <v>2641</v>
      </c>
      <c r="J19">
        <v>-53.796526054590501</v>
      </c>
    </row>
    <row r="20" spans="1:10">
      <c r="I20" t="s">
        <v>2642</v>
      </c>
      <c r="J20">
        <v>45.232815964523198</v>
      </c>
    </row>
    <row r="21" spans="1:10">
      <c r="I21" t="s">
        <v>2643</v>
      </c>
      <c r="J21">
        <v>31.929046563192902</v>
      </c>
    </row>
    <row r="22" spans="1:10">
      <c r="I22" t="s">
        <v>2644</v>
      </c>
      <c r="J22">
        <v>17.1840354767184</v>
      </c>
    </row>
    <row r="23" spans="1:10">
      <c r="I23" t="s">
        <v>2645</v>
      </c>
      <c r="J23">
        <v>803.28358208955206</v>
      </c>
    </row>
    <row r="24" spans="1:10">
      <c r="I24" t="s">
        <v>2646</v>
      </c>
      <c r="J24">
        <v>588.35820895522397</v>
      </c>
    </row>
    <row r="25" spans="1:10">
      <c r="I25" t="s">
        <v>2647</v>
      </c>
      <c r="J25">
        <v>303.58208955223802</v>
      </c>
    </row>
    <row r="37" spans="1:14">
      <c r="A37" t="s">
        <v>2648</v>
      </c>
      <c r="I37" t="s">
        <v>2649</v>
      </c>
    </row>
    <row r="38" spans="1:14">
      <c r="H38" t="s">
        <v>2650</v>
      </c>
      <c r="I38">
        <v>-248.01428213480301</v>
      </c>
    </row>
    <row r="39" spans="1:14">
      <c r="H39" t="s">
        <v>2651</v>
      </c>
      <c r="I39">
        <v>-251.81345527436699</v>
      </c>
    </row>
    <row r="40" spans="1:14">
      <c r="H40" t="s">
        <v>2652</v>
      </c>
      <c r="I40">
        <v>-240.22801302931501</v>
      </c>
    </row>
    <row r="42" spans="1:14">
      <c r="I42" t="s">
        <v>2653</v>
      </c>
      <c r="M42" t="s">
        <v>2654</v>
      </c>
    </row>
    <row r="43" spans="1:14">
      <c r="I43" t="s">
        <v>2655</v>
      </c>
      <c r="J43" t="s">
        <v>971</v>
      </c>
      <c r="K43" t="s">
        <v>2656</v>
      </c>
      <c r="M43" t="s">
        <v>971</v>
      </c>
      <c r="N43" t="s">
        <v>2656</v>
      </c>
    </row>
    <row r="44" spans="1:14">
      <c r="H44" t="s">
        <v>2657</v>
      </c>
      <c r="I44">
        <v>-1.0064516129032199</v>
      </c>
      <c r="J44">
        <v>-0.91428571428571304</v>
      </c>
      <c r="K44">
        <v>-0.69750889679731798</v>
      </c>
    </row>
    <row r="45" spans="1:14">
      <c r="H45" t="s">
        <v>2658</v>
      </c>
      <c r="I45">
        <v>-1.0064516129032199</v>
      </c>
      <c r="J45">
        <v>-0.91428571428571304</v>
      </c>
      <c r="K45">
        <v>-0.69750889679731798</v>
      </c>
    </row>
    <row r="46" spans="1:14">
      <c r="H46" t="s">
        <v>2659</v>
      </c>
      <c r="I46">
        <v>-1.0064516129032199</v>
      </c>
      <c r="J46">
        <v>-0.91428571428571304</v>
      </c>
      <c r="K46">
        <v>-0.69750889679731798</v>
      </c>
    </row>
    <row r="47" spans="1:14">
      <c r="H47" t="s">
        <v>2660</v>
      </c>
      <c r="I47">
        <v>-1.10967741935483</v>
      </c>
      <c r="J47">
        <v>-0.999999999999999</v>
      </c>
      <c r="K47">
        <v>-0.78291814946635796</v>
      </c>
    </row>
    <row r="48" spans="1:14">
      <c r="H48" t="s">
        <v>2661</v>
      </c>
      <c r="I48">
        <v>-3.2774193548386998</v>
      </c>
      <c r="J48">
        <v>-2.6857142857142802</v>
      </c>
      <c r="K48">
        <v>-2.0925266903916202</v>
      </c>
    </row>
    <row r="49" spans="8:13">
      <c r="H49" t="s">
        <v>2662</v>
      </c>
      <c r="I49">
        <v>-3.2774193548386998</v>
      </c>
      <c r="J49">
        <v>-2.6857142857142802</v>
      </c>
      <c r="K49">
        <v>-2.0925266903916202</v>
      </c>
    </row>
    <row r="50" spans="8:13">
      <c r="H50" t="s">
        <v>2663</v>
      </c>
      <c r="I50">
        <v>-3.5096774193548299</v>
      </c>
      <c r="J50">
        <v>-2.8</v>
      </c>
      <c r="K50">
        <v>-2.20640569395034</v>
      </c>
    </row>
    <row r="51" spans="8:13">
      <c r="H51" t="s">
        <v>2664</v>
      </c>
      <c r="I51">
        <v>-3.5870967741935398</v>
      </c>
      <c r="J51">
        <v>-2.94285714285714</v>
      </c>
      <c r="K51">
        <v>-2.2918149466193798</v>
      </c>
    </row>
    <row r="64" spans="8:13">
      <c r="I64" t="s">
        <v>1217</v>
      </c>
      <c r="J64" t="s">
        <v>1157</v>
      </c>
      <c r="K64" t="s">
        <v>2665</v>
      </c>
      <c r="M64" t="s">
        <v>2666</v>
      </c>
    </row>
    <row r="65" spans="1:13">
      <c r="A65" t="s">
        <v>2667</v>
      </c>
      <c r="I65" t="s">
        <v>230</v>
      </c>
      <c r="J65">
        <v>-0.83333333333333204</v>
      </c>
      <c r="K65">
        <v>0.55348837209267598</v>
      </c>
      <c r="M65">
        <f t="shared" ref="M65:M68" si="4">K65-J65</f>
        <v>1.3868217054260081</v>
      </c>
    </row>
    <row r="66" spans="1:13">
      <c r="I66" t="s">
        <v>2630</v>
      </c>
      <c r="J66">
        <v>1.2916666666666601</v>
      </c>
      <c r="K66">
        <v>4.9488372093022104</v>
      </c>
      <c r="M66">
        <f t="shared" si="4"/>
        <v>3.6571705426355505</v>
      </c>
    </row>
    <row r="67" spans="1:13">
      <c r="I67" t="s">
        <v>2668</v>
      </c>
      <c r="J67">
        <v>2.0833333333333299</v>
      </c>
      <c r="K67">
        <v>2.4372093023253298</v>
      </c>
      <c r="M67">
        <f t="shared" si="4"/>
        <v>0.35387596899199991</v>
      </c>
    </row>
    <row r="68" spans="1:13">
      <c r="I68" t="s">
        <v>2669</v>
      </c>
      <c r="K68">
        <v>1.8930232558136699</v>
      </c>
      <c r="M68">
        <f t="shared" si="4"/>
        <v>1.8930232558136699</v>
      </c>
    </row>
    <row r="88" spans="1:9">
      <c r="A88" t="s">
        <v>2670</v>
      </c>
      <c r="E88" t="s">
        <v>2671</v>
      </c>
      <c r="F88" t="s">
        <v>1046</v>
      </c>
      <c r="G88" t="s">
        <v>183</v>
      </c>
      <c r="H88" t="s">
        <v>2672</v>
      </c>
    </row>
    <row r="89" spans="1:9">
      <c r="E89" t="s">
        <v>2673</v>
      </c>
      <c r="F89">
        <v>272.77999999999997</v>
      </c>
      <c r="G89">
        <v>221.89</v>
      </c>
      <c r="H89">
        <f>G89-C94+C93</f>
        <v>200.18999999999997</v>
      </c>
    </row>
    <row r="90" spans="1:9">
      <c r="B90" t="s">
        <v>2674</v>
      </c>
      <c r="C90">
        <f>+C93/(C91*C92)</f>
        <v>0.27407407407407408</v>
      </c>
      <c r="E90" t="s">
        <v>2675</v>
      </c>
      <c r="F90">
        <v>0</v>
      </c>
      <c r="G90">
        <v>0</v>
      </c>
      <c r="H90">
        <f t="shared" ref="H90:H92" si="5">G90</f>
        <v>0</v>
      </c>
    </row>
    <row r="91" spans="1:9">
      <c r="B91" t="s">
        <v>2676</v>
      </c>
      <c r="C91">
        <v>150</v>
      </c>
      <c r="E91" t="s">
        <v>2677</v>
      </c>
      <c r="F91">
        <v>9.0299999999999994</v>
      </c>
      <c r="G91">
        <v>8.64</v>
      </c>
      <c r="H91">
        <f t="shared" si="5"/>
        <v>8.64</v>
      </c>
    </row>
    <row r="92" spans="1:9">
      <c r="B92" t="s">
        <v>2678</v>
      </c>
      <c r="C92">
        <v>0.09</v>
      </c>
      <c r="E92" t="s">
        <v>2679</v>
      </c>
      <c r="F92">
        <v>-63</v>
      </c>
      <c r="G92">
        <v>-102</v>
      </c>
      <c r="H92">
        <f t="shared" si="5"/>
        <v>-102</v>
      </c>
    </row>
    <row r="93" spans="1:9">
      <c r="B93" t="s">
        <v>2680</v>
      </c>
      <c r="C93">
        <v>3.7</v>
      </c>
      <c r="E93" t="s">
        <v>2681</v>
      </c>
      <c r="F93">
        <f>-SUM(F91:F92)</f>
        <v>53.97</v>
      </c>
      <c r="G93">
        <f t="shared" ref="G93:H93" si="6">-SUM(G91:G92)</f>
        <v>93.36</v>
      </c>
      <c r="H93">
        <f t="shared" si="6"/>
        <v>93.36</v>
      </c>
    </row>
    <row r="94" spans="1:9">
      <c r="B94" t="s">
        <v>2682</v>
      </c>
      <c r="C94">
        <v>25.4</v>
      </c>
      <c r="E94" t="s">
        <v>2630</v>
      </c>
      <c r="F94">
        <f>-SUM(F89:F92)</f>
        <v>-218.80999999999995</v>
      </c>
      <c r="G94">
        <f t="shared" ref="G94:H94" si="7">-SUM(G89:G92)</f>
        <v>-128.52999999999997</v>
      </c>
      <c r="H94">
        <f t="shared" si="7"/>
        <v>-106.82999999999998</v>
      </c>
    </row>
    <row r="96" spans="1:9">
      <c r="A96" t="s">
        <v>2683</v>
      </c>
      <c r="D96" t="s">
        <v>2684</v>
      </c>
      <c r="E96" t="s">
        <v>2685</v>
      </c>
      <c r="F96" t="s">
        <v>2686</v>
      </c>
      <c r="G96" t="s">
        <v>2687</v>
      </c>
      <c r="H96" t="s">
        <v>2688</v>
      </c>
      <c r="I96" t="s">
        <v>2689</v>
      </c>
    </row>
    <row r="97" spans="3:9">
      <c r="C97" t="s">
        <v>2690</v>
      </c>
      <c r="D97">
        <v>-1516</v>
      </c>
      <c r="E97">
        <v>-1516</v>
      </c>
      <c r="F97">
        <v>-1516</v>
      </c>
      <c r="G97">
        <v>-1516</v>
      </c>
      <c r="H97">
        <v>-1516</v>
      </c>
      <c r="I97">
        <v>1516</v>
      </c>
    </row>
    <row r="98" spans="3:9">
      <c r="C98" t="s">
        <v>2691</v>
      </c>
      <c r="D98">
        <v>273</v>
      </c>
      <c r="E98">
        <v>273</v>
      </c>
      <c r="F98">
        <v>273</v>
      </c>
      <c r="G98">
        <v>273</v>
      </c>
      <c r="H98">
        <v>273</v>
      </c>
      <c r="I98">
        <v>273</v>
      </c>
    </row>
    <row r="99" spans="3:9">
      <c r="C99" t="s">
        <v>2692</v>
      </c>
      <c r="D99">
        <v>100</v>
      </c>
      <c r="E99">
        <v>100</v>
      </c>
      <c r="F99">
        <v>100</v>
      </c>
      <c r="G99">
        <v>100</v>
      </c>
      <c r="H99">
        <v>100</v>
      </c>
      <c r="I99">
        <v>100</v>
      </c>
    </row>
    <row r="100" spans="3:9">
      <c r="C100" t="s">
        <v>2693</v>
      </c>
      <c r="D100">
        <v>52</v>
      </c>
      <c r="E100">
        <v>52</v>
      </c>
      <c r="F100">
        <v>52</v>
      </c>
      <c r="G100">
        <v>52</v>
      </c>
      <c r="H100">
        <v>171</v>
      </c>
      <c r="I100">
        <v>52</v>
      </c>
    </row>
    <row r="101" spans="3:9">
      <c r="C101" t="s">
        <v>2694</v>
      </c>
      <c r="D101">
        <v>41</v>
      </c>
      <c r="E101">
        <v>41</v>
      </c>
      <c r="F101">
        <v>43</v>
      </c>
      <c r="G101">
        <v>43</v>
      </c>
      <c r="H101">
        <v>43</v>
      </c>
      <c r="I101">
        <v>43</v>
      </c>
    </row>
    <row r="102" spans="3:9">
      <c r="C102" t="s">
        <v>728</v>
      </c>
      <c r="D102">
        <v>0</v>
      </c>
      <c r="E102">
        <v>0</v>
      </c>
      <c r="F102">
        <v>800</v>
      </c>
      <c r="G102">
        <v>800</v>
      </c>
      <c r="H102">
        <v>800</v>
      </c>
      <c r="I102">
        <v>800</v>
      </c>
    </row>
    <row r="103" spans="3:9">
      <c r="C103" t="s">
        <v>2695</v>
      </c>
      <c r="D103">
        <v>0</v>
      </c>
      <c r="E103">
        <v>0</v>
      </c>
      <c r="F103">
        <v>-490</v>
      </c>
      <c r="G103">
        <v>-662</v>
      </c>
      <c r="H103">
        <v>-490</v>
      </c>
      <c r="I103">
        <v>-490</v>
      </c>
    </row>
    <row r="104" spans="3:9">
      <c r="C104" t="s">
        <v>2696</v>
      </c>
      <c r="D104">
        <v>1076</v>
      </c>
      <c r="E104">
        <v>1150</v>
      </c>
      <c r="F104">
        <v>0</v>
      </c>
      <c r="G104">
        <v>0</v>
      </c>
      <c r="H104">
        <v>0</v>
      </c>
      <c r="I104">
        <v>0</v>
      </c>
    </row>
    <row r="105" spans="3:9">
      <c r="C105" t="s">
        <v>2697</v>
      </c>
      <c r="E105">
        <v>-811</v>
      </c>
      <c r="F105">
        <v>0</v>
      </c>
      <c r="G105">
        <v>0</v>
      </c>
      <c r="H105">
        <v>0</v>
      </c>
      <c r="I105">
        <v>0</v>
      </c>
    </row>
    <row r="106" spans="3:9">
      <c r="C106" t="s">
        <v>2630</v>
      </c>
      <c r="D106">
        <v>26</v>
      </c>
      <c r="E106">
        <v>-711</v>
      </c>
      <c r="F106">
        <v>-738</v>
      </c>
      <c r="G106">
        <v>-910</v>
      </c>
      <c r="H106">
        <v>-619</v>
      </c>
      <c r="I106">
        <v>2294</v>
      </c>
    </row>
    <row r="107" spans="3:9">
      <c r="C107" t="s">
        <v>2698</v>
      </c>
      <c r="D107">
        <v>0.09</v>
      </c>
      <c r="E107">
        <v>-2.4300000000000002</v>
      </c>
      <c r="F107">
        <v>-2.52</v>
      </c>
      <c r="G107">
        <v>-3.11</v>
      </c>
      <c r="H107">
        <v>-2.12</v>
      </c>
      <c r="I107">
        <v>7.84</v>
      </c>
    </row>
    <row r="109" spans="3:9">
      <c r="C109" t="s">
        <v>2699</v>
      </c>
      <c r="D109">
        <f t="shared" ref="D109:D110" si="8">-D97</f>
        <v>1516</v>
      </c>
      <c r="E109">
        <f t="shared" ref="E109:I110" si="9">-E97</f>
        <v>1516</v>
      </c>
      <c r="F109">
        <f t="shared" si="9"/>
        <v>1516</v>
      </c>
      <c r="G109">
        <f t="shared" si="9"/>
        <v>1516</v>
      </c>
      <c r="H109">
        <f t="shared" si="9"/>
        <v>1516</v>
      </c>
      <c r="I109">
        <f t="shared" si="9"/>
        <v>-1516</v>
      </c>
    </row>
    <row r="110" spans="3:9">
      <c r="C110" t="s">
        <v>1356</v>
      </c>
      <c r="D110">
        <f t="shared" si="8"/>
        <v>-273</v>
      </c>
      <c r="E110">
        <f t="shared" si="9"/>
        <v>-273</v>
      </c>
      <c r="F110">
        <f t="shared" si="9"/>
        <v>-273</v>
      </c>
      <c r="G110">
        <f t="shared" si="9"/>
        <v>-273</v>
      </c>
      <c r="H110">
        <f t="shared" si="9"/>
        <v>-273</v>
      </c>
      <c r="I110">
        <f t="shared" si="9"/>
        <v>-273</v>
      </c>
    </row>
    <row r="111" spans="3:9">
      <c r="C111" t="s">
        <v>2700</v>
      </c>
      <c r="D111">
        <f>-SUM(D99:D101)</f>
        <v>-193</v>
      </c>
      <c r="E111">
        <f t="shared" ref="E111:I111" si="10">-SUM(E99:E101)</f>
        <v>-193</v>
      </c>
      <c r="F111">
        <f t="shared" si="10"/>
        <v>-195</v>
      </c>
      <c r="G111">
        <f t="shared" si="10"/>
        <v>-195</v>
      </c>
      <c r="H111">
        <f t="shared" si="10"/>
        <v>-314</v>
      </c>
      <c r="I111">
        <f t="shared" si="10"/>
        <v>-195</v>
      </c>
    </row>
    <row r="112" spans="3:9">
      <c r="C112" t="s">
        <v>2701</v>
      </c>
      <c r="D112">
        <f>-SUM(D102:D105)</f>
        <v>-1076</v>
      </c>
      <c r="E112">
        <f t="shared" ref="E112:I112" si="11">-SUM(E102:E105)</f>
        <v>-339</v>
      </c>
      <c r="F112">
        <f t="shared" si="11"/>
        <v>-310</v>
      </c>
      <c r="G112">
        <f t="shared" si="11"/>
        <v>-138</v>
      </c>
      <c r="H112">
        <f t="shared" si="11"/>
        <v>-310</v>
      </c>
      <c r="I112">
        <f t="shared" si="11"/>
        <v>-310</v>
      </c>
    </row>
    <row r="113" spans="1:37">
      <c r="C113" t="s">
        <v>2630</v>
      </c>
      <c r="D113">
        <f>-D106</f>
        <v>-26</v>
      </c>
      <c r="E113">
        <f t="shared" ref="E113:I113" si="12">-E106</f>
        <v>711</v>
      </c>
      <c r="F113">
        <f t="shared" si="12"/>
        <v>738</v>
      </c>
      <c r="G113">
        <f t="shared" si="12"/>
        <v>910</v>
      </c>
      <c r="H113">
        <f t="shared" si="12"/>
        <v>619</v>
      </c>
      <c r="I113">
        <f t="shared" si="12"/>
        <v>-2294</v>
      </c>
    </row>
    <row r="114" spans="1:37">
      <c r="C114" t="s">
        <v>2702</v>
      </c>
      <c r="D114">
        <f>D112+D111</f>
        <v>-1269</v>
      </c>
      <c r="E114">
        <f t="shared" ref="E114:I114" si="13">E112+E111</f>
        <v>-532</v>
      </c>
      <c r="F114">
        <f t="shared" si="13"/>
        <v>-505</v>
      </c>
      <c r="G114">
        <f t="shared" si="13"/>
        <v>-333</v>
      </c>
      <c r="H114">
        <f t="shared" si="13"/>
        <v>-624</v>
      </c>
      <c r="I114">
        <f t="shared" si="13"/>
        <v>-505</v>
      </c>
    </row>
    <row r="115" spans="1:37">
      <c r="C115" t="s">
        <v>2703</v>
      </c>
      <c r="D115">
        <f>SUM(D110:D112)</f>
        <v>-1542</v>
      </c>
      <c r="E115">
        <f t="shared" ref="E115:I115" si="14">SUM(E110:E112)</f>
        <v>-805</v>
      </c>
      <c r="F115">
        <f t="shared" si="14"/>
        <v>-778</v>
      </c>
      <c r="G115">
        <f t="shared" si="14"/>
        <v>-606</v>
      </c>
      <c r="H115">
        <f t="shared" si="14"/>
        <v>-897</v>
      </c>
      <c r="I115">
        <f t="shared" si="14"/>
        <v>-778</v>
      </c>
    </row>
    <row r="116" spans="1:37">
      <c r="C116" t="s">
        <v>2704</v>
      </c>
      <c r="F116">
        <f>SUM(F109:F110)</f>
        <v>1243</v>
      </c>
      <c r="I116">
        <f>SUM(I109:I110)</f>
        <v>-1789</v>
      </c>
    </row>
    <row r="117" spans="1:37">
      <c r="C117" t="s">
        <v>2705</v>
      </c>
      <c r="F117">
        <f>SUM(F109:F111)</f>
        <v>1048</v>
      </c>
      <c r="I117">
        <f>SUM(I109:I111)</f>
        <v>-1984</v>
      </c>
    </row>
    <row r="120" spans="1:37">
      <c r="A120" t="s">
        <v>2706</v>
      </c>
    </row>
    <row r="121" spans="1:37">
      <c r="H121" t="s">
        <v>2327</v>
      </c>
      <c r="I121" t="s">
        <v>2707</v>
      </c>
      <c r="O121" t="s">
        <v>2708</v>
      </c>
      <c r="U121" t="s">
        <v>2709</v>
      </c>
      <c r="AA121" t="s">
        <v>2710</v>
      </c>
      <c r="AG121" t="s">
        <v>2711</v>
      </c>
    </row>
    <row r="122" spans="1:37">
      <c r="H122" t="s">
        <v>2712</v>
      </c>
      <c r="I122" t="s">
        <v>1157</v>
      </c>
      <c r="J122" t="s">
        <v>2490</v>
      </c>
      <c r="K122" t="s">
        <v>2488</v>
      </c>
      <c r="L122" t="s">
        <v>2489</v>
      </c>
      <c r="M122" t="s">
        <v>2484</v>
      </c>
      <c r="O122" t="s">
        <v>1157</v>
      </c>
      <c r="P122" t="s">
        <v>2490</v>
      </c>
      <c r="Q122" t="s">
        <v>2488</v>
      </c>
      <c r="R122" t="s">
        <v>2489</v>
      </c>
      <c r="S122" t="s">
        <v>2484</v>
      </c>
      <c r="U122" t="s">
        <v>1157</v>
      </c>
      <c r="V122" t="s">
        <v>2490</v>
      </c>
      <c r="W122" t="s">
        <v>2488</v>
      </c>
      <c r="X122" t="s">
        <v>2489</v>
      </c>
      <c r="Y122" t="s">
        <v>2484</v>
      </c>
      <c r="AA122" t="s">
        <v>1157</v>
      </c>
      <c r="AB122" t="s">
        <v>2490</v>
      </c>
      <c r="AC122" t="s">
        <v>2488</v>
      </c>
      <c r="AD122" t="s">
        <v>2489</v>
      </c>
      <c r="AE122" t="s">
        <v>2484</v>
      </c>
      <c r="AG122" t="s">
        <v>1157</v>
      </c>
      <c r="AH122" t="s">
        <v>2490</v>
      </c>
      <c r="AI122" t="s">
        <v>2488</v>
      </c>
      <c r="AJ122" t="s">
        <v>2489</v>
      </c>
      <c r="AK122" t="s">
        <v>2484</v>
      </c>
    </row>
    <row r="123" spans="1:37">
      <c r="G123" t="e">
        <f>VLOOKUP($H123,$G$133:$I$147,3,FALSE)</f>
        <v>#N/A</v>
      </c>
      <c r="H123">
        <v>2010</v>
      </c>
      <c r="I123">
        <v>-79.911750082863705</v>
      </c>
      <c r="J123">
        <v>-88.840321511435207</v>
      </c>
      <c r="K123">
        <v>-93.304607225720801</v>
      </c>
      <c r="L123">
        <v>-91.072464368577997</v>
      </c>
      <c r="M123">
        <v>-91.072464368577997</v>
      </c>
      <c r="O123">
        <v>-3.4228063240000002</v>
      </c>
      <c r="P123">
        <v>-4.3718253599999999</v>
      </c>
      <c r="Q123">
        <v>-6.05365565176049</v>
      </c>
      <c r="R123">
        <v>-6.05365565176049</v>
      </c>
      <c r="S123">
        <v>-3.8156926666783</v>
      </c>
      <c r="T123">
        <v>2010</v>
      </c>
      <c r="U123">
        <v>-7.5664411605007098</v>
      </c>
      <c r="V123">
        <v>-7.56578078452665</v>
      </c>
      <c r="W123">
        <v>-8.6507785098983092</v>
      </c>
      <c r="X123">
        <v>-8.6507785098983092</v>
      </c>
      <c r="Y123">
        <v>-5.7834385346675203</v>
      </c>
      <c r="Z123">
        <v>2010</v>
      </c>
      <c r="AA123">
        <v>-18.691551147654099</v>
      </c>
      <c r="AB123">
        <v>-22.501966898584101</v>
      </c>
      <c r="AC123">
        <v>-30.005522629337001</v>
      </c>
      <c r="AD123">
        <v>-22.501966898584101</v>
      </c>
      <c r="AE123">
        <v>-35.188484584546799</v>
      </c>
      <c r="AG123">
        <v>-37.155963302752298</v>
      </c>
      <c r="AH123">
        <v>-37.155963302752298</v>
      </c>
      <c r="AI123">
        <v>-35.287694609040798</v>
      </c>
      <c r="AJ123">
        <v>-35.287694609040798</v>
      </c>
      <c r="AK123">
        <v>-38.1598933469554</v>
      </c>
    </row>
    <row r="124" spans="1:37">
      <c r="H124">
        <v>2020</v>
      </c>
      <c r="I124">
        <v>-174.89574422583399</v>
      </c>
      <c r="J124">
        <v>-191.783843028229</v>
      </c>
      <c r="K124">
        <v>-201.434185201026</v>
      </c>
      <c r="L124">
        <v>-202.23421445144101</v>
      </c>
      <c r="M124">
        <v>-242.44813943541399</v>
      </c>
      <c r="O124">
        <v>-7.4793023720000003</v>
      </c>
      <c r="P124">
        <v>-7.6969451549999999</v>
      </c>
      <c r="Q124">
        <v>-13.1140422522215</v>
      </c>
      <c r="R124">
        <v>-13.1140422522215</v>
      </c>
      <c r="S124">
        <v>-7.1435188083272196</v>
      </c>
      <c r="T124">
        <v>2020</v>
      </c>
      <c r="U124">
        <v>-14.569752670924</v>
      </c>
      <c r="V124">
        <v>-17.871387146394898</v>
      </c>
      <c r="W124">
        <v>-23.911132302076499</v>
      </c>
      <c r="X124">
        <v>-23.911132302076499</v>
      </c>
      <c r="Y124">
        <v>-5.7966717315364198</v>
      </c>
      <c r="Z124">
        <v>2020</v>
      </c>
      <c r="AA124">
        <v>-51.753527655772103</v>
      </c>
      <c r="AB124">
        <v>-55.548440362193297</v>
      </c>
      <c r="AC124">
        <v>-58.956730626566099</v>
      </c>
      <c r="AD124">
        <v>-55.548440362193297</v>
      </c>
      <c r="AE124">
        <v>-136.63451857430701</v>
      </c>
      <c r="AG124">
        <v>-74.094218276761396</v>
      </c>
      <c r="AH124">
        <v>-73.279816513761403</v>
      </c>
      <c r="AI124">
        <v>-76.968013331651093</v>
      </c>
      <c r="AJ124">
        <v>-76.968013331651093</v>
      </c>
      <c r="AK124">
        <v>-66.459183360346103</v>
      </c>
    </row>
    <row r="125" spans="1:37">
      <c r="H125">
        <v>2030</v>
      </c>
      <c r="I125">
        <v>-266.57399486740798</v>
      </c>
      <c r="J125">
        <v>-288.61473481608198</v>
      </c>
      <c r="K125">
        <v>-319.65087681779301</v>
      </c>
      <c r="L125">
        <v>-329.01578554855797</v>
      </c>
      <c r="M125">
        <v>-370.31517322497803</v>
      </c>
      <c r="O125">
        <v>-11.61255261</v>
      </c>
      <c r="P125">
        <v>-11.57624373</v>
      </c>
      <c r="Q125">
        <v>-23.379237880929601</v>
      </c>
      <c r="R125">
        <v>-23.379237880929601</v>
      </c>
      <c r="S125">
        <v>-9.9473622279573899</v>
      </c>
      <c r="T125">
        <v>2030</v>
      </c>
      <c r="U125">
        <v>-22.8212002382616</v>
      </c>
      <c r="V125">
        <v>-22.218630507198998</v>
      </c>
      <c r="W125">
        <v>-44.790201408851402</v>
      </c>
      <c r="X125">
        <v>-44.790201408851402</v>
      </c>
      <c r="Y125">
        <v>-4.1490035239972203</v>
      </c>
      <c r="Z125">
        <v>2030</v>
      </c>
      <c r="AA125">
        <v>-74.937586702500695</v>
      </c>
      <c r="AB125">
        <v>-76.966731236946401</v>
      </c>
      <c r="AC125">
        <v>-79.643362017116502</v>
      </c>
      <c r="AD125">
        <v>-76.966731236946401</v>
      </c>
      <c r="AE125">
        <v>-223.834792619919</v>
      </c>
      <c r="AG125">
        <v>-110.02313103467</v>
      </c>
      <c r="AH125">
        <v>-107.199838087114</v>
      </c>
      <c r="AI125">
        <v>-118.16700482998201</v>
      </c>
      <c r="AJ125">
        <v>-118.16700482998201</v>
      </c>
      <c r="AK125">
        <v>-94.764973268048493</v>
      </c>
    </row>
    <row r="126" spans="1:37">
      <c r="H126">
        <v>2040</v>
      </c>
      <c r="I126">
        <v>-358.25224550898201</v>
      </c>
      <c r="J126">
        <v>-375.14034431137702</v>
      </c>
      <c r="K126">
        <v>-432.86195466210398</v>
      </c>
      <c r="L126">
        <v>-437.94539277427799</v>
      </c>
      <c r="M126">
        <v>-478.88152266894798</v>
      </c>
      <c r="O126">
        <v>-16.033774959999999</v>
      </c>
      <c r="P126">
        <v>-14.624262359999999</v>
      </c>
      <c r="Q126">
        <v>-35.146969545120101</v>
      </c>
      <c r="R126">
        <v>-35.146969545120101</v>
      </c>
      <c r="S126">
        <v>-12.670394491153999</v>
      </c>
      <c r="T126">
        <v>2040</v>
      </c>
      <c r="U126">
        <v>-28.314179013492801</v>
      </c>
      <c r="V126">
        <v>-25.585051641920199</v>
      </c>
      <c r="W126">
        <v>-61.842838403222601</v>
      </c>
      <c r="X126">
        <v>-61.842838403222601</v>
      </c>
      <c r="Y126">
        <v>-3.0547328907452198</v>
      </c>
      <c r="Z126">
        <v>2040</v>
      </c>
      <c r="AA126">
        <v>-103.128697225499</v>
      </c>
      <c r="AB126">
        <v>-85.880029919208596</v>
      </c>
      <c r="AC126">
        <v>-94.842276202986298</v>
      </c>
      <c r="AD126">
        <v>-85.880029919208596</v>
      </c>
      <c r="AE126">
        <v>-300.79605909268503</v>
      </c>
      <c r="AG126">
        <v>-148.17936495958699</v>
      </c>
      <c r="AH126">
        <v>-142.68006583602499</v>
      </c>
      <c r="AI126">
        <v>-160.009227130916</v>
      </c>
      <c r="AJ126">
        <v>-160.009227130916</v>
      </c>
      <c r="AK126">
        <v>-123.18759220940601</v>
      </c>
    </row>
    <row r="127" spans="1:37">
      <c r="H127">
        <v>2050</v>
      </c>
      <c r="I127">
        <v>-444.74443969204401</v>
      </c>
      <c r="J127">
        <v>-457.92343883661198</v>
      </c>
      <c r="K127">
        <v>-541.24786142001699</v>
      </c>
      <c r="L127">
        <v>-544.642857142857</v>
      </c>
      <c r="M127">
        <v>-575.024059024807</v>
      </c>
      <c r="O127">
        <v>-21.021863880000002</v>
      </c>
      <c r="P127">
        <v>-17.672284350000002</v>
      </c>
      <c r="Q127">
        <v>-46.846647670599197</v>
      </c>
      <c r="R127">
        <v>-46.846647670599197</v>
      </c>
      <c r="S127">
        <v>-14.907508054462699</v>
      </c>
      <c r="T127">
        <v>2050</v>
      </c>
      <c r="U127">
        <v>-33.279161305621301</v>
      </c>
      <c r="V127">
        <v>-26.665391740362399</v>
      </c>
      <c r="W127">
        <v>-76.645883575091005</v>
      </c>
      <c r="X127">
        <v>-76.645883575091005</v>
      </c>
      <c r="Y127">
        <v>-0.83981993161341895</v>
      </c>
      <c r="Z127">
        <v>2050</v>
      </c>
      <c r="AA127">
        <v>-119.709197910017</v>
      </c>
      <c r="AB127">
        <v>-89.934505989888095</v>
      </c>
      <c r="AC127">
        <v>-105.685944766357</v>
      </c>
      <c r="AD127">
        <v>-89.934505989888095</v>
      </c>
      <c r="AE127">
        <v>-353.40571494908198</v>
      </c>
      <c r="AG127">
        <v>-184.06566486446999</v>
      </c>
      <c r="AH127">
        <v>-178.74915183526599</v>
      </c>
      <c r="AI127">
        <v>-205.17764717771101</v>
      </c>
      <c r="AJ127">
        <v>-205.17764717771101</v>
      </c>
      <c r="AK127">
        <v>-150.32297830844701</v>
      </c>
    </row>
    <row r="128" spans="1:37">
      <c r="H128">
        <v>2060</v>
      </c>
      <c r="I128">
        <v>-516.00593455945204</v>
      </c>
      <c r="J128">
        <v>-521.87603579714903</v>
      </c>
      <c r="K128">
        <v>-650.17509623609897</v>
      </c>
      <c r="L128">
        <v>-626.98486954662098</v>
      </c>
      <c r="M128">
        <v>-644.05341103507203</v>
      </c>
      <c r="O128">
        <v>-25.391129490000001</v>
      </c>
      <c r="P128">
        <v>-21.274481770000001</v>
      </c>
      <c r="Q128">
        <v>-59.771474596120001</v>
      </c>
      <c r="R128">
        <v>-59.771474596120001</v>
      </c>
      <c r="S128">
        <v>-18.262619851211401</v>
      </c>
      <c r="T128">
        <v>2060</v>
      </c>
      <c r="U128">
        <v>-36.530488452445297</v>
      </c>
      <c r="V128">
        <v>-28.3273660020776</v>
      </c>
      <c r="W128">
        <v>-89.336401163736497</v>
      </c>
      <c r="X128">
        <v>-89.336401163736497</v>
      </c>
      <c r="Y128">
        <v>0.259786493257323</v>
      </c>
      <c r="Z128">
        <v>2060</v>
      </c>
      <c r="AA128">
        <v>-124.386230701242</v>
      </c>
      <c r="AB128">
        <v>-74.657916514909303</v>
      </c>
      <c r="AC128">
        <v>-116.07299548902699</v>
      </c>
      <c r="AD128">
        <v>-74.657916514909303</v>
      </c>
      <c r="AE128">
        <v>-385.778591846273</v>
      </c>
      <c r="AG128">
        <v>-221.13917530304801</v>
      </c>
      <c r="AH128">
        <v>-213.605706748692</v>
      </c>
      <c r="AI128">
        <v>-247.07342243655299</v>
      </c>
      <c r="AJ128">
        <v>-247.07342243655299</v>
      </c>
      <c r="AK128">
        <v>-177.57799178463</v>
      </c>
    </row>
    <row r="129" spans="7:37">
      <c r="H129">
        <v>2070</v>
      </c>
      <c r="I129">
        <v>-572.791916167664</v>
      </c>
      <c r="J129">
        <v>-575.00207159429795</v>
      </c>
      <c r="K129">
        <v>-749.09110350727099</v>
      </c>
      <c r="L129">
        <v>-703.25197818648405</v>
      </c>
      <c r="M129">
        <v>-692.30512189905903</v>
      </c>
      <c r="O129">
        <v>-31.510434700000001</v>
      </c>
      <c r="P129">
        <v>-25.153773619999999</v>
      </c>
      <c r="Q129">
        <v>-73.376751985525999</v>
      </c>
      <c r="R129">
        <v>-73.376751985525999</v>
      </c>
      <c r="S129">
        <v>-21.048230996466199</v>
      </c>
      <c r="T129">
        <v>2070</v>
      </c>
      <c r="U129">
        <v>-39.875010485705502</v>
      </c>
      <c r="V129">
        <v>-28.8165119295703</v>
      </c>
      <c r="W129">
        <v>-99.747887335988906</v>
      </c>
      <c r="X129">
        <v>-99.747887335988906</v>
      </c>
      <c r="Y129">
        <v>1.9089209332364101</v>
      </c>
      <c r="Z129">
        <v>2070</v>
      </c>
      <c r="AA129">
        <v>-115.728548549046</v>
      </c>
      <c r="AB129">
        <v>-52.442931781406401</v>
      </c>
      <c r="AC129">
        <v>-119.33632070471501</v>
      </c>
      <c r="AD129">
        <v>-52.442931781406401</v>
      </c>
      <c r="AE129">
        <v>-395.94685625437501</v>
      </c>
      <c r="AG129">
        <v>-258.14936499743197</v>
      </c>
      <c r="AH129">
        <v>-250.34574023021401</v>
      </c>
      <c r="AI129">
        <v>-291.49069938582102</v>
      </c>
      <c r="AJ129">
        <v>-291.49069938582102</v>
      </c>
      <c r="AK129">
        <v>-204.70583316168401</v>
      </c>
    </row>
    <row r="130" spans="7:37">
      <c r="H130">
        <v>2080</v>
      </c>
      <c r="I130">
        <v>-622.34014114627803</v>
      </c>
      <c r="J130">
        <v>-650.17509623609897</v>
      </c>
      <c r="K130">
        <v>-847.82666809238594</v>
      </c>
      <c r="L130">
        <v>-805.69664242942599</v>
      </c>
      <c r="M130">
        <v>-722.55266253207799</v>
      </c>
      <c r="O130">
        <v>-36.638989899999999</v>
      </c>
      <c r="P130">
        <v>-29.03312266</v>
      </c>
      <c r="Q130">
        <v>-86.636333200959797</v>
      </c>
      <c r="R130">
        <v>-86.636333200959797</v>
      </c>
      <c r="S130">
        <v>-24.3636075670011</v>
      </c>
      <c r="T130">
        <v>2080</v>
      </c>
      <c r="U130">
        <v>-42.0734160854416</v>
      </c>
      <c r="V130">
        <v>-29.978340327602599</v>
      </c>
      <c r="W130">
        <v>-109.161063025307</v>
      </c>
      <c r="X130">
        <v>-109.161063025307</v>
      </c>
      <c r="Y130">
        <v>3.0086669296324202</v>
      </c>
      <c r="Z130">
        <v>2080</v>
      </c>
      <c r="AA130">
        <v>-97.317437193511296</v>
      </c>
      <c r="AB130">
        <v>-51.423686546173698</v>
      </c>
      <c r="AC130">
        <v>-116.827619921744</v>
      </c>
      <c r="AD130">
        <v>-51.423686546173698</v>
      </c>
      <c r="AE130">
        <v>-384.54733170913198</v>
      </c>
      <c r="AG130">
        <v>-294.198484850022</v>
      </c>
      <c r="AH130">
        <v>-284.20119272567501</v>
      </c>
      <c r="AI130">
        <v>-337.303775255039</v>
      </c>
      <c r="AJ130">
        <v>-337.303775255039</v>
      </c>
      <c r="AK130">
        <v>-231.99149250786101</v>
      </c>
    </row>
    <row r="131" spans="7:37">
      <c r="H131">
        <v>2090</v>
      </c>
      <c r="I131">
        <v>-662.23802395209498</v>
      </c>
      <c r="J131">
        <v>-717.72749144568002</v>
      </c>
      <c r="K131">
        <v>-932.44760479041895</v>
      </c>
      <c r="L131">
        <v>-894.96230752780104</v>
      </c>
      <c r="M131">
        <v>-728.49390504704797</v>
      </c>
      <c r="O131">
        <v>-42.191044900000001</v>
      </c>
      <c r="P131">
        <v>-32.63530325</v>
      </c>
      <c r="Q131">
        <v>-100.58230379807701</v>
      </c>
      <c r="R131">
        <v>-100.58230379807701</v>
      </c>
      <c r="S131">
        <v>-25.369211739549801</v>
      </c>
      <c r="T131">
        <v>2090</v>
      </c>
      <c r="U131">
        <v>-43.190097364479698</v>
      </c>
      <c r="V131">
        <v>-30.5281857532113</v>
      </c>
      <c r="W131">
        <v>-115.718908409535</v>
      </c>
      <c r="X131">
        <v>-115.718908409535</v>
      </c>
      <c r="Y131">
        <v>4.6577826244725804</v>
      </c>
      <c r="Z131">
        <v>2090</v>
      </c>
      <c r="AA131">
        <v>-73.410781675763403</v>
      </c>
      <c r="AB131">
        <v>-39.211061963691201</v>
      </c>
      <c r="AC131">
        <v>-103.43853301218</v>
      </c>
      <c r="AD131">
        <v>-39.211061963691201</v>
      </c>
      <c r="AE131">
        <v>-350.30815678968798</v>
      </c>
      <c r="AG131">
        <v>-329.95572118793598</v>
      </c>
      <c r="AH131">
        <v>-321.11705951978701</v>
      </c>
      <c r="AI131">
        <v>-379.72080327579602</v>
      </c>
      <c r="AJ131">
        <v>-379.72080327579602</v>
      </c>
      <c r="AK131">
        <v>-258.36007020915201</v>
      </c>
    </row>
    <row r="133" spans="7:37">
      <c r="I133" t="s">
        <v>2630</v>
      </c>
      <c r="O133" t="s">
        <v>2623</v>
      </c>
      <c r="U133" t="s">
        <v>2713</v>
      </c>
    </row>
    <row r="134" spans="7:37">
      <c r="I134" t="s">
        <v>1157</v>
      </c>
      <c r="J134" t="s">
        <v>2490</v>
      </c>
      <c r="K134" t="s">
        <v>2488</v>
      </c>
      <c r="L134" t="s">
        <v>2489</v>
      </c>
      <c r="M134" t="s">
        <v>2484</v>
      </c>
      <c r="O134" t="s">
        <v>1157</v>
      </c>
      <c r="P134" t="s">
        <v>2490</v>
      </c>
      <c r="Q134" t="s">
        <v>2488</v>
      </c>
      <c r="R134" t="s">
        <v>2489</v>
      </c>
      <c r="S134" t="s">
        <v>2484</v>
      </c>
      <c r="U134" t="s">
        <v>1157</v>
      </c>
      <c r="V134" t="s">
        <v>2490</v>
      </c>
      <c r="W134" t="s">
        <v>2488</v>
      </c>
      <c r="X134" t="s">
        <v>2489</v>
      </c>
      <c r="Y134" t="s">
        <v>2484</v>
      </c>
    </row>
    <row r="135" spans="7:37">
      <c r="H135">
        <v>2030</v>
      </c>
      <c r="I135">
        <f t="shared" ref="I135:M137" si="15">-VLOOKUP($H135,$H$122:$M$131,MATCH(I$134,$H$122:$M$122,0),FALSE)</f>
        <v>266.57399486740798</v>
      </c>
      <c r="J135">
        <f t="shared" si="15"/>
        <v>288.61473481608198</v>
      </c>
      <c r="K135">
        <f t="shared" si="15"/>
        <v>319.65087681779301</v>
      </c>
      <c r="L135">
        <f t="shared" si="15"/>
        <v>329.01578554855797</v>
      </c>
      <c r="M135">
        <f t="shared" si="15"/>
        <v>370.31517322497803</v>
      </c>
      <c r="O135">
        <f t="shared" ref="O135:S137" si="16">-VLOOKUP($H135,$Z$122:$AE$131,MATCH(O$134,$H$122:$M$122,0),FALSE)</f>
        <v>74.937586702500695</v>
      </c>
      <c r="P135">
        <f t="shared" si="16"/>
        <v>76.966731236946401</v>
      </c>
      <c r="Q135">
        <f t="shared" si="16"/>
        <v>79.643362017116502</v>
      </c>
      <c r="R135">
        <f t="shared" si="16"/>
        <v>76.966731236946401</v>
      </c>
      <c r="S135">
        <f t="shared" si="16"/>
        <v>223.834792619919</v>
      </c>
      <c r="U135">
        <f t="shared" ref="U135:Y137" si="17">O135-VLOOKUP($H135,$T$122:$Y$131,MATCH(U$134,$H$122:$M$122,0),FALSE)</f>
        <v>97.758786940762292</v>
      </c>
      <c r="V135">
        <f t="shared" si="17"/>
        <v>99.185361744145396</v>
      </c>
      <c r="W135">
        <f t="shared" si="17"/>
        <v>124.4335634259679</v>
      </c>
      <c r="X135">
        <f t="shared" si="17"/>
        <v>121.7569326457978</v>
      </c>
      <c r="Y135">
        <f t="shared" si="17"/>
        <v>227.98379614391621</v>
      </c>
    </row>
    <row r="136" spans="7:37">
      <c r="H136">
        <v>2060</v>
      </c>
      <c r="I136">
        <f t="shared" si="15"/>
        <v>516.00593455945204</v>
      </c>
      <c r="J136">
        <f t="shared" si="15"/>
        <v>521.87603579714903</v>
      </c>
      <c r="K136">
        <f t="shared" si="15"/>
        <v>650.17509623609897</v>
      </c>
      <c r="L136">
        <f t="shared" si="15"/>
        <v>626.98486954662098</v>
      </c>
      <c r="M136">
        <f t="shared" si="15"/>
        <v>644.05341103507203</v>
      </c>
      <c r="O136">
        <f t="shared" si="16"/>
        <v>124.386230701242</v>
      </c>
      <c r="P136">
        <f t="shared" si="16"/>
        <v>74.657916514909303</v>
      </c>
      <c r="Q136">
        <f t="shared" si="16"/>
        <v>116.07299548902699</v>
      </c>
      <c r="R136">
        <f t="shared" si="16"/>
        <v>74.657916514909303</v>
      </c>
      <c r="S136">
        <f t="shared" si="16"/>
        <v>385.778591846273</v>
      </c>
      <c r="U136">
        <f t="shared" si="17"/>
        <v>160.9167191536873</v>
      </c>
      <c r="V136">
        <f t="shared" si="17"/>
        <v>102.9852825169869</v>
      </c>
      <c r="W136">
        <f t="shared" si="17"/>
        <v>205.40939665276349</v>
      </c>
      <c r="X136">
        <f t="shared" si="17"/>
        <v>163.99431767864581</v>
      </c>
      <c r="Y136">
        <f t="shared" si="17"/>
        <v>385.51880535301569</v>
      </c>
    </row>
    <row r="137" spans="7:37">
      <c r="H137">
        <v>2090</v>
      </c>
      <c r="I137">
        <f t="shared" si="15"/>
        <v>662.23802395209498</v>
      </c>
      <c r="J137">
        <f t="shared" si="15"/>
        <v>717.72749144568002</v>
      </c>
      <c r="K137">
        <f t="shared" si="15"/>
        <v>932.44760479041895</v>
      </c>
      <c r="L137">
        <f t="shared" si="15"/>
        <v>894.96230752780104</v>
      </c>
      <c r="M137">
        <f t="shared" si="15"/>
        <v>728.49390504704797</v>
      </c>
      <c r="O137">
        <f t="shared" si="16"/>
        <v>73.410781675763403</v>
      </c>
      <c r="P137">
        <f t="shared" si="16"/>
        <v>39.211061963691201</v>
      </c>
      <c r="Q137">
        <f t="shared" si="16"/>
        <v>103.43853301218</v>
      </c>
      <c r="R137">
        <f t="shared" si="16"/>
        <v>39.211061963691201</v>
      </c>
      <c r="S137">
        <f t="shared" si="16"/>
        <v>350.30815678968798</v>
      </c>
      <c r="U137">
        <f t="shared" si="17"/>
        <v>116.6008790402431</v>
      </c>
      <c r="V137">
        <f t="shared" si="17"/>
        <v>69.739247716902497</v>
      </c>
      <c r="W137">
        <f t="shared" si="17"/>
        <v>219.15744142171502</v>
      </c>
      <c r="X137">
        <f t="shared" si="17"/>
        <v>154.92997037322621</v>
      </c>
      <c r="Y137">
        <f t="shared" si="17"/>
        <v>345.6503741652154</v>
      </c>
    </row>
    <row r="139" spans="7:37">
      <c r="G139" t="s">
        <v>2714</v>
      </c>
      <c r="I139" t="s">
        <v>1157</v>
      </c>
      <c r="J139" t="s">
        <v>2490</v>
      </c>
      <c r="K139" t="s">
        <v>2488</v>
      </c>
      <c r="L139" t="s">
        <v>2489</v>
      </c>
      <c r="M139" t="s">
        <v>2484</v>
      </c>
    </row>
    <row r="140" spans="7:37">
      <c r="G140">
        <v>5</v>
      </c>
      <c r="H140" t="s">
        <v>2715</v>
      </c>
      <c r="I140">
        <v>5.9</v>
      </c>
      <c r="J140">
        <v>9.1999999999999993</v>
      </c>
      <c r="K140">
        <v>8.5</v>
      </c>
      <c r="L140">
        <v>9.1999999999999993</v>
      </c>
      <c r="M140">
        <v>3</v>
      </c>
    </row>
    <row r="141" spans="7:37">
      <c r="H141" t="s">
        <v>2716</v>
      </c>
    </row>
    <row r="142" spans="7:37">
      <c r="H142">
        <v>2030</v>
      </c>
      <c r="I142">
        <f>($H142-2000)*AVERAGE(I140,$G$140)</f>
        <v>163.5</v>
      </c>
      <c r="J142">
        <f>($H142-2000)*AVERAGE(J140,$G$140)</f>
        <v>213</v>
      </c>
      <c r="K142">
        <f>($H142-2000)*AVERAGE(K140,$G$140)</f>
        <v>202.5</v>
      </c>
      <c r="L142">
        <f>($H142-2000)*AVERAGE(L140,$G$140)</f>
        <v>213</v>
      </c>
      <c r="M142">
        <f>($H142-2000)*AVERAGE(M140,$G$140)</f>
        <v>120</v>
      </c>
    </row>
    <row r="143" spans="7:37">
      <c r="H143">
        <v>2060</v>
      </c>
      <c r="I143">
        <f t="shared" ref="I143:M144" si="18">($H143-$H$142)*I$140+I$142</f>
        <v>340.5</v>
      </c>
      <c r="J143">
        <f t="shared" si="18"/>
        <v>489</v>
      </c>
      <c r="K143">
        <f t="shared" si="18"/>
        <v>457.5</v>
      </c>
      <c r="L143">
        <f t="shared" si="18"/>
        <v>489</v>
      </c>
      <c r="M143">
        <f t="shared" si="18"/>
        <v>210</v>
      </c>
    </row>
    <row r="144" spans="7:37">
      <c r="H144">
        <v>2090</v>
      </c>
      <c r="I144">
        <f t="shared" si="18"/>
        <v>517.5</v>
      </c>
      <c r="J144">
        <f t="shared" si="18"/>
        <v>765</v>
      </c>
      <c r="K144">
        <f t="shared" si="18"/>
        <v>712.5</v>
      </c>
      <c r="L144">
        <f t="shared" si="18"/>
        <v>765</v>
      </c>
      <c r="M144">
        <f t="shared" si="18"/>
        <v>300</v>
      </c>
    </row>
    <row r="146" spans="1:14">
      <c r="A146" t="s">
        <v>2717</v>
      </c>
      <c r="G146" t="s">
        <v>2718</v>
      </c>
      <c r="H146">
        <v>0.245</v>
      </c>
    </row>
    <row r="147" spans="1:14">
      <c r="J147" t="s">
        <v>2719</v>
      </c>
      <c r="K147" t="s">
        <v>2720</v>
      </c>
      <c r="L147" t="s">
        <v>2721</v>
      </c>
    </row>
    <row r="148" spans="1:14">
      <c r="G148" t="s">
        <v>2722</v>
      </c>
      <c r="H148">
        <v>0.116751269035533</v>
      </c>
      <c r="I148">
        <v>-13.5465116279069</v>
      </c>
      <c r="J148">
        <f>+I149-I148</f>
        <v>7.3255813953487605</v>
      </c>
      <c r="K148">
        <f>J148/C_to_CO2*1000/$H$146</f>
        <v>8147.2294893496755</v>
      </c>
      <c r="L148">
        <f>-(I150+I148)</f>
        <v>-59.593023255813996</v>
      </c>
      <c r="N148">
        <f>221*0.06</f>
        <v>13.26</v>
      </c>
    </row>
    <row r="149" spans="1:14">
      <c r="H149">
        <v>0.116751269035533</v>
      </c>
      <c r="I149">
        <v>-6.2209302325581399</v>
      </c>
    </row>
    <row r="150" spans="1:14">
      <c r="H150">
        <v>0.121827411167512</v>
      </c>
      <c r="I150">
        <v>73.139534883720899</v>
      </c>
    </row>
    <row r="151" spans="1:14">
      <c r="G151" t="s">
        <v>2723</v>
      </c>
      <c r="H151">
        <v>0.38324873096446699</v>
      </c>
      <c r="I151">
        <v>-20.058139534883701</v>
      </c>
      <c r="J151">
        <f>+I152-I151</f>
        <v>14.244186046511601</v>
      </c>
      <c r="K151">
        <f>J151/C_to_CO2*1000/$H$146</f>
        <v>15841.835118180061</v>
      </c>
      <c r="L151">
        <f>-(I153+I151)</f>
        <v>-31.918604651162703</v>
      </c>
    </row>
    <row r="152" spans="1:14">
      <c r="H152">
        <v>0.38324873096446699</v>
      </c>
      <c r="I152">
        <v>-5.8139534883720998</v>
      </c>
    </row>
    <row r="153" spans="1:14">
      <c r="H153">
        <v>0.38071065989847702</v>
      </c>
      <c r="I153">
        <v>51.976744186046403</v>
      </c>
    </row>
    <row r="154" spans="1:14">
      <c r="G154" t="s">
        <v>2724</v>
      </c>
      <c r="H154">
        <v>0.62690355329949199</v>
      </c>
      <c r="I154">
        <v>-16.802325581395301</v>
      </c>
      <c r="J154">
        <f>+I155-I154</f>
        <v>12.616279069767382</v>
      </c>
      <c r="K154">
        <f>J154/C_to_CO2*1000/$H$146</f>
        <v>14031.339676102298</v>
      </c>
      <c r="L154">
        <f>-(I156+I154)</f>
        <v>-59.999999999999993</v>
      </c>
    </row>
    <row r="155" spans="1:14">
      <c r="H155">
        <v>0.62690355329949199</v>
      </c>
      <c r="I155">
        <v>-4.1860465116279197</v>
      </c>
    </row>
    <row r="156" spans="1:14">
      <c r="H156">
        <v>0.62690355329949199</v>
      </c>
      <c r="I156">
        <v>76.802325581395294</v>
      </c>
    </row>
    <row r="157" spans="1:14">
      <c r="G157" t="s">
        <v>2725</v>
      </c>
      <c r="H157">
        <v>0.87309644670050701</v>
      </c>
      <c r="I157">
        <v>-22.5</v>
      </c>
      <c r="J157">
        <f>+I158-I157</f>
        <v>19.127906976744178</v>
      </c>
      <c r="K157">
        <f>J157/C_to_CO2*1000/$H$146</f>
        <v>21273.321444413257</v>
      </c>
      <c r="L157">
        <f>-(I159+I157)</f>
        <v>-26.6279069767441</v>
      </c>
    </row>
    <row r="158" spans="1:14">
      <c r="H158">
        <v>0.87563451776649703</v>
      </c>
      <c r="I158">
        <v>-3.3720930232558199</v>
      </c>
    </row>
    <row r="159" spans="1:14">
      <c r="H159">
        <v>0.87817258883248706</v>
      </c>
      <c r="I159">
        <v>49.1279069767441</v>
      </c>
    </row>
    <row r="161" spans="1:10">
      <c r="A161" t="s">
        <v>2726</v>
      </c>
    </row>
    <row r="162" spans="1:10">
      <c r="H162" t="s">
        <v>2727</v>
      </c>
      <c r="I162">
        <v>8.2467708777782006E-2</v>
      </c>
    </row>
    <row r="163" spans="1:10">
      <c r="H163" t="s">
        <v>2728</v>
      </c>
      <c r="I163">
        <v>0.50808347232457995</v>
      </c>
    </row>
    <row r="164" spans="1:10">
      <c r="H164" t="s">
        <v>2729</v>
      </c>
      <c r="I164">
        <v>1.0992164772506801</v>
      </c>
    </row>
    <row r="172" spans="1:10">
      <c r="A172" t="s">
        <v>2730</v>
      </c>
      <c r="E172" t="s">
        <v>2731</v>
      </c>
      <c r="F172" t="s">
        <v>2732</v>
      </c>
      <c r="G172" t="s">
        <v>2733</v>
      </c>
      <c r="H172" t="s">
        <v>2734</v>
      </c>
      <c r="I172" t="s">
        <v>2735</v>
      </c>
    </row>
    <row r="173" spans="1:10">
      <c r="A173" t="s">
        <v>2736</v>
      </c>
      <c r="B173" t="s">
        <v>2737</v>
      </c>
      <c r="C173">
        <v>0.53500000000000003</v>
      </c>
      <c r="E173" t="s">
        <v>2738</v>
      </c>
      <c r="F173" s="227">
        <f>-SUM($C$173,$C$175)</f>
        <v>-2.665</v>
      </c>
      <c r="G173" s="227">
        <f>-SUM($C$173,$C$174)</f>
        <v>-1.9969999999999999</v>
      </c>
      <c r="H173" s="227">
        <f>-SUM($C$173,$C$175)</f>
        <v>-2.665</v>
      </c>
      <c r="I173" s="227">
        <f>-SUM($C$173,$C$174)</f>
        <v>-1.9969999999999999</v>
      </c>
      <c r="J173" s="227"/>
    </row>
    <row r="174" spans="1:10">
      <c r="A174" t="s">
        <v>2739</v>
      </c>
      <c r="B174" t="s">
        <v>1200</v>
      </c>
      <c r="C174">
        <v>1.462</v>
      </c>
      <c r="E174" t="s">
        <v>2692</v>
      </c>
      <c r="F174">
        <f>-SUM($C$176,$C$177,$C$179)</f>
        <v>-12.636000000000001</v>
      </c>
      <c r="G174">
        <f>-SUM($C$176,$C$177,$C$179)</f>
        <v>-12.636000000000001</v>
      </c>
      <c r="H174">
        <f>-SUM($C$176,$C$178,$C$179)</f>
        <v>-9.6009999999999991</v>
      </c>
      <c r="I174">
        <f>-SUM($C$176,$C$178,$C$179)</f>
        <v>-9.6009999999999991</v>
      </c>
    </row>
    <row r="175" spans="1:10">
      <c r="A175" t="s">
        <v>1199</v>
      </c>
      <c r="C175">
        <v>2.13</v>
      </c>
      <c r="E175" t="s">
        <v>39</v>
      </c>
      <c r="F175" s="227">
        <f>SUM(F173:F174)</f>
        <v>-15.301000000000002</v>
      </c>
      <c r="G175" s="227">
        <f t="shared" ref="G175:I175" si="19">SUM(G173:G174)</f>
        <v>-14.633000000000001</v>
      </c>
      <c r="H175" s="227">
        <f t="shared" si="19"/>
        <v>-12.265999999999998</v>
      </c>
      <c r="I175" s="227">
        <f t="shared" si="19"/>
        <v>-11.597999999999999</v>
      </c>
      <c r="J175" s="227"/>
    </row>
    <row r="176" spans="1:10">
      <c r="A176" t="s">
        <v>2740</v>
      </c>
      <c r="B176" t="s">
        <v>2741</v>
      </c>
      <c r="C176">
        <v>0.38200000000000001</v>
      </c>
    </row>
    <row r="177" spans="1:42">
      <c r="A177" t="s">
        <v>2742</v>
      </c>
      <c r="B177" t="s">
        <v>2743</v>
      </c>
      <c r="C177">
        <v>10.582000000000001</v>
      </c>
    </row>
    <row r="178" spans="1:42">
      <c r="A178" t="s">
        <v>2744</v>
      </c>
      <c r="B178" t="s">
        <v>2745</v>
      </c>
      <c r="C178">
        <v>7.5469999999999997</v>
      </c>
    </row>
    <row r="179" spans="1:42">
      <c r="A179" t="s">
        <v>2746</v>
      </c>
      <c r="B179" t="s">
        <v>2747</v>
      </c>
      <c r="C179">
        <v>1.6719999999999999</v>
      </c>
      <c r="H179" s="228" t="s">
        <v>427</v>
      </c>
      <c r="I179" s="228" t="s">
        <v>427</v>
      </c>
      <c r="J179" t="s">
        <v>2748</v>
      </c>
      <c r="K179" s="229" t="s">
        <v>430</v>
      </c>
      <c r="L179" s="230" t="s">
        <v>430</v>
      </c>
      <c r="M179" s="231" t="s">
        <v>430</v>
      </c>
      <c r="N179" t="s">
        <v>2748</v>
      </c>
      <c r="O179" s="229" t="s">
        <v>430</v>
      </c>
      <c r="P179" s="230" t="s">
        <v>430</v>
      </c>
      <c r="Q179" s="231" t="s">
        <v>430</v>
      </c>
      <c r="R179" s="229"/>
      <c r="S179" s="230" t="s">
        <v>1592</v>
      </c>
      <c r="T179" s="230"/>
      <c r="U179" s="230"/>
      <c r="V179" s="231"/>
      <c r="W179" s="229"/>
      <c r="X179" s="230"/>
      <c r="Y179" s="230"/>
      <c r="Z179" s="230"/>
      <c r="AA179" s="230"/>
      <c r="AB179" s="231"/>
      <c r="AC179" t="s">
        <v>2749</v>
      </c>
      <c r="AD179" s="232" t="s">
        <v>2750</v>
      </c>
      <c r="AK179" s="233" t="s">
        <v>2751</v>
      </c>
    </row>
    <row r="180" spans="1:42">
      <c r="H180" s="234" t="s">
        <v>2752</v>
      </c>
      <c r="I180" s="234" t="s">
        <v>2753</v>
      </c>
      <c r="K180" s="235" t="s">
        <v>2752</v>
      </c>
      <c r="L180" t="s">
        <v>2752</v>
      </c>
      <c r="M180" s="236" t="s">
        <v>2752</v>
      </c>
      <c r="O180" s="235" t="s">
        <v>2753</v>
      </c>
      <c r="P180" t="s">
        <v>2753</v>
      </c>
      <c r="Q180" s="236" t="s">
        <v>2753</v>
      </c>
      <c r="R180" s="235" t="s">
        <v>2752</v>
      </c>
      <c r="S180" t="s">
        <v>2752</v>
      </c>
      <c r="T180" t="s">
        <v>2752</v>
      </c>
      <c r="U180" t="s">
        <v>2752</v>
      </c>
      <c r="V180" s="236" t="s">
        <v>2752</v>
      </c>
      <c r="W180" s="235" t="s">
        <v>2753</v>
      </c>
      <c r="X180" t="s">
        <v>2753</v>
      </c>
      <c r="Y180" t="s">
        <v>2753</v>
      </c>
      <c r="Z180" t="s">
        <v>2753</v>
      </c>
      <c r="AA180" t="s">
        <v>2753</v>
      </c>
      <c r="AB180" s="236"/>
      <c r="AC180">
        <v>60</v>
      </c>
      <c r="AD180" s="237" t="s">
        <v>2752</v>
      </c>
      <c r="AF180" t="s">
        <v>2754</v>
      </c>
      <c r="AG180">
        <v>950</v>
      </c>
      <c r="AK180" t="s">
        <v>2752</v>
      </c>
      <c r="AM180" t="s">
        <v>2754</v>
      </c>
      <c r="AN180">
        <v>950</v>
      </c>
    </row>
    <row r="181" spans="1:42">
      <c r="A181" t="s">
        <v>2755</v>
      </c>
      <c r="F181" t="s">
        <v>2756</v>
      </c>
      <c r="G181" t="s">
        <v>2757</v>
      </c>
      <c r="H181" s="234" t="s">
        <v>2758</v>
      </c>
      <c r="I181" s="234" t="s">
        <v>2758</v>
      </c>
      <c r="K181" s="235" t="s">
        <v>2759</v>
      </c>
      <c r="L181" t="s">
        <v>2760</v>
      </c>
      <c r="M181" s="236" t="s">
        <v>230</v>
      </c>
      <c r="O181" s="235" t="s">
        <v>2759</v>
      </c>
      <c r="P181" t="s">
        <v>2760</v>
      </c>
      <c r="Q181" s="236" t="s">
        <v>230</v>
      </c>
      <c r="R181" s="235" t="s">
        <v>2761</v>
      </c>
      <c r="S181" t="s">
        <v>2762</v>
      </c>
      <c r="T181" t="s">
        <v>2763</v>
      </c>
      <c r="U181" t="s">
        <v>2764</v>
      </c>
      <c r="V181" s="236" t="s">
        <v>2765</v>
      </c>
      <c r="W181" s="235" t="s">
        <v>2766</v>
      </c>
      <c r="X181" t="s">
        <v>2762</v>
      </c>
      <c r="Y181" t="s">
        <v>2763</v>
      </c>
      <c r="Z181" t="s">
        <v>2764</v>
      </c>
      <c r="AA181" t="s">
        <v>2765</v>
      </c>
      <c r="AB181" s="236"/>
      <c r="AD181" s="143" t="s">
        <v>2767</v>
      </c>
      <c r="AE181" s="143" t="s">
        <v>2768</v>
      </c>
      <c r="AF181" s="143" t="s">
        <v>2769</v>
      </c>
      <c r="AG181" s="143" t="s">
        <v>2770</v>
      </c>
      <c r="AH181" s="143" t="s">
        <v>2771</v>
      </c>
      <c r="AI181" s="143" t="s">
        <v>2772</v>
      </c>
      <c r="AK181" t="s">
        <v>2767</v>
      </c>
      <c r="AL181" t="s">
        <v>2768</v>
      </c>
      <c r="AM181" t="s">
        <v>2769</v>
      </c>
      <c r="AN181" t="s">
        <v>2770</v>
      </c>
      <c r="AO181" t="s">
        <v>2771</v>
      </c>
      <c r="AP181" t="s">
        <v>2772</v>
      </c>
    </row>
    <row r="182" spans="1:42">
      <c r="E182" t="str">
        <f t="shared" ref="E182:E193" si="20">F182&amp;G182</f>
        <v>Current climateTB1</v>
      </c>
      <c r="F182" t="s">
        <v>2750</v>
      </c>
      <c r="G182" t="s">
        <v>2767</v>
      </c>
      <c r="H182" s="234">
        <v>6.0354648667628699E-2</v>
      </c>
      <c r="I182" s="234">
        <v>-0.112849162011173</v>
      </c>
      <c r="J182" s="238">
        <v>-0.41789137380191699</v>
      </c>
      <c r="K182" s="235">
        <f>+J182-J183</f>
        <v>-0.23003194888178999</v>
      </c>
      <c r="L182">
        <f>+J183</f>
        <v>-0.187859424920127</v>
      </c>
      <c r="M182" s="236">
        <f>+J184</f>
        <v>0.31054313099041497</v>
      </c>
      <c r="N182">
        <v>-0.46592178770949699</v>
      </c>
      <c r="O182" s="235">
        <f>+N182-N183</f>
        <v>-0.11731843575419099</v>
      </c>
      <c r="P182">
        <f>+N183</f>
        <v>-0.34860335195530601</v>
      </c>
      <c r="Q182" s="236">
        <f>+N184</f>
        <v>0.27569832402234601</v>
      </c>
      <c r="R182" s="235"/>
      <c r="S182">
        <v>82.634271099744197</v>
      </c>
      <c r="T182">
        <v>23.248081841432199</v>
      </c>
      <c r="U182">
        <f>+S182-T182</f>
        <v>59.386189258312001</v>
      </c>
      <c r="V182" s="236">
        <v>0</v>
      </c>
      <c r="W182" s="235"/>
      <c r="X182">
        <v>82.946708463949804</v>
      </c>
      <c r="Y182">
        <v>40.344827586206897</v>
      </c>
      <c r="Z182">
        <f>+X182-Y182</f>
        <v>42.601880877742907</v>
      </c>
      <c r="AA182">
        <v>0</v>
      </c>
      <c r="AB182" s="236"/>
      <c r="AC182" t="s">
        <v>2773</v>
      </c>
      <c r="AD182">
        <f>VLOOKUP($AD$179&amp;AD$181,$E$182:$AA$192,4,FALSE)*$AC$180*$AG$180*C_to_CO2</f>
        <v>12625.588954781248</v>
      </c>
      <c r="AE182">
        <f t="shared" ref="AE182:AI182" si="21">VLOOKUP($AD$179&amp;AE$181,$E$182:$AA$192,4,FALSE)*$AC$180*$AG$180*C_to_CO2</f>
        <v>20883.088954780931</v>
      </c>
      <c r="AF182">
        <f t="shared" si="21"/>
        <v>72024.702186804221</v>
      </c>
      <c r="AG182">
        <f t="shared" si="21"/>
        <v>105771.90289102923</v>
      </c>
      <c r="AH182">
        <f t="shared" si="21"/>
        <v>120401.57301704831</v>
      </c>
      <c r="AI182">
        <f t="shared" si="21"/>
        <v>128079.5993328375</v>
      </c>
      <c r="AK182">
        <f t="shared" ref="AK182:AP182" si="22">VLOOKUP($AK$179&amp;AK$181,$E$182:$AA$193,4,FALSE)*$AC$180*$AG$180*C_to_CO2</f>
        <v>29471.133802816759</v>
      </c>
      <c r="AL182">
        <f t="shared" si="22"/>
        <v>37149.160118605767</v>
      </c>
      <c r="AM182">
        <f t="shared" si="22"/>
        <v>88283.631949591363</v>
      </c>
      <c r="AN182">
        <f t="shared" si="22"/>
        <v>125518.89696071042</v>
      </c>
      <c r="AO182">
        <f t="shared" si="22"/>
        <v>144211.00407709272</v>
      </c>
      <c r="AP182">
        <f t="shared" si="22"/>
        <v>147828.63380281517</v>
      </c>
    </row>
    <row r="183" spans="1:42">
      <c r="E183" t="str">
        <f t="shared" si="20"/>
        <v>A1BTB1</v>
      </c>
      <c r="F183" t="s">
        <v>2751</v>
      </c>
      <c r="G183" t="s">
        <v>2767</v>
      </c>
      <c r="H183" s="234">
        <v>0.14088213491475099</v>
      </c>
      <c r="I183" s="234">
        <v>-5.6983240223463502E-2</v>
      </c>
      <c r="J183">
        <v>-0.187859424920127</v>
      </c>
      <c r="K183" s="235">
        <f>+J200-J201</f>
        <v>-0.2396166134185298</v>
      </c>
      <c r="L183">
        <f>+J201</f>
        <v>-9.6805111821086198E-2</v>
      </c>
      <c r="M183" s="236">
        <f>+J202</f>
        <v>0.32012779552715598</v>
      </c>
      <c r="N183">
        <v>-0.34860335195530601</v>
      </c>
      <c r="O183" s="235">
        <f>+N198-N199</f>
        <v>-0.15083798882681498</v>
      </c>
      <c r="P183">
        <f>+N199</f>
        <v>-0.27318435754189901</v>
      </c>
      <c r="Q183" s="236">
        <f>+N200</f>
        <v>0.27988826815642398</v>
      </c>
      <c r="R183" s="235"/>
      <c r="V183" s="236"/>
      <c r="W183" s="235"/>
      <c r="AB183" s="236"/>
      <c r="AC183" t="s">
        <v>2774</v>
      </c>
      <c r="AD183">
        <f t="shared" ref="AD183:AI183" si="23">(VLOOKUP($AD$179&amp;AD$181,$E$182:$AA$192,COLUMN($K$181)-4,FALSE)+VLOOKUP($AD$179&amp;AD$181,$E$182:$AA$192,COLUMN($L$181)-4,FALSE))*$AC$180*$AG$180*C_to_CO2</f>
        <v>-87418.696485623019</v>
      </c>
      <c r="AE183">
        <f t="shared" si="23"/>
        <v>-82406.156549520776</v>
      </c>
      <c r="AF183">
        <f t="shared" si="23"/>
        <v>-14436.115015974412</v>
      </c>
      <c r="AG183">
        <f t="shared" si="23"/>
        <v>15639.124600638877</v>
      </c>
      <c r="AH183">
        <f t="shared" si="23"/>
        <v>10626.584664536607</v>
      </c>
      <c r="AI183">
        <f t="shared" si="23"/>
        <v>10626.584664536607</v>
      </c>
      <c r="AK183">
        <f t="shared" ref="AK183:AP183" si="24">(VLOOKUP($AK$179&amp;AK$181,$E$182:$AA$193,COLUMN($K$181)-4,FALSE)+VLOOKUP($AK$179&amp;AK$181,$E$182:$AA$193,COLUMN($L$181)-4,FALSE))*$AC$180*$AG$180*C_to_CO2</f>
        <v>-70376.060702875271</v>
      </c>
      <c r="AL183">
        <f t="shared" si="24"/>
        <v>-69373.552715654951</v>
      </c>
      <c r="AM183">
        <f t="shared" si="24"/>
        <v>-4411.0351437700365</v>
      </c>
      <c r="AN183">
        <f t="shared" si="24"/>
        <v>30676.744408945775</v>
      </c>
      <c r="AO183">
        <f t="shared" si="24"/>
        <v>29674.236421725247</v>
      </c>
      <c r="AP183">
        <f t="shared" si="24"/>
        <v>26666.712460063867</v>
      </c>
    </row>
    <row r="184" spans="1:42">
      <c r="E184" t="str">
        <f t="shared" si="20"/>
        <v>Current climateTB2</v>
      </c>
      <c r="F184" t="s">
        <v>2750</v>
      </c>
      <c r="G184" t="s">
        <v>2768</v>
      </c>
      <c r="H184" s="234">
        <v>9.98283328781535E-2</v>
      </c>
      <c r="I184" s="234">
        <v>-6.2569832402234501E-2</v>
      </c>
      <c r="J184">
        <v>0.31054313099041497</v>
      </c>
      <c r="K184" s="235">
        <f>+J185-J186</f>
        <v>-0.20127795527156597</v>
      </c>
      <c r="L184">
        <f>+J186</f>
        <v>-0.192651757188498</v>
      </c>
      <c r="M184" s="236">
        <f>+J187</f>
        <v>0.368051118210862</v>
      </c>
      <c r="N184">
        <v>0.27569832402234601</v>
      </c>
      <c r="O184" s="235">
        <f>+N185-N186</f>
        <v>-0.11731843575418999</v>
      </c>
      <c r="P184">
        <f>+N186</f>
        <v>-0.34022346368715001</v>
      </c>
      <c r="Q184" s="236">
        <f>+N187</f>
        <v>0.342737430167597</v>
      </c>
      <c r="R184" s="235">
        <v>76.419437340153394</v>
      </c>
      <c r="S184">
        <v>84.015345268542205</v>
      </c>
      <c r="T184">
        <v>23.248081841432199</v>
      </c>
      <c r="U184">
        <f>+R184-T184</f>
        <v>53.171355498721198</v>
      </c>
      <c r="V184" s="236">
        <f>+S184-R184</f>
        <v>7.5959079283888116</v>
      </c>
      <c r="W184" s="235">
        <v>73.636363636363598</v>
      </c>
      <c r="X184">
        <v>84.921630094043806</v>
      </c>
      <c r="Y184">
        <v>40.909090909090899</v>
      </c>
      <c r="Z184">
        <f>+W184-Y184</f>
        <v>32.727272727272698</v>
      </c>
      <c r="AA184">
        <f>+X184-W184</f>
        <v>11.285266457680208</v>
      </c>
      <c r="AB184" s="236"/>
      <c r="AC184" t="s">
        <v>2775</v>
      </c>
      <c r="AD184">
        <f t="shared" ref="AD184:AI184" si="25">VLOOKUP($AD$179&amp;AD$181,$E$182:$AA$192,COLUMN($M$181)-4,FALSE)*$AC$180*$AG$180*C_to_CO2+AD183</f>
        <v>-22456.178913738113</v>
      </c>
      <c r="AE184">
        <f t="shared" si="25"/>
        <v>-5413.5431309905543</v>
      </c>
      <c r="AF184">
        <f t="shared" si="25"/>
        <v>52731.920127795442</v>
      </c>
      <c r="AG184">
        <f t="shared" si="25"/>
        <v>82807.159744408913</v>
      </c>
      <c r="AH184">
        <f t="shared" si="25"/>
        <v>103859.82747603832</v>
      </c>
      <c r="AI184">
        <f t="shared" si="25"/>
        <v>113884.90734824278</v>
      </c>
      <c r="AK184">
        <f t="shared" ref="AK184:AP184" si="26">VLOOKUP($AK$179&amp;AK$181,$E$182:$AA$193,COLUMN($M$181)-4,FALSE)*$AC$180*$AG$180*C_to_CO2+AK183</f>
        <v>-3408.5271565495204</v>
      </c>
      <c r="AL184">
        <f t="shared" si="26"/>
        <v>8621.5686900957953</v>
      </c>
      <c r="AM184">
        <f t="shared" si="26"/>
        <v>65764.523961661384</v>
      </c>
      <c r="AN184">
        <f t="shared" si="26"/>
        <v>96842.271565495292</v>
      </c>
      <c r="AO184">
        <f t="shared" si="26"/>
        <v>121904.97124600642</v>
      </c>
      <c r="AP184">
        <f t="shared" si="26"/>
        <v>130927.54313099037</v>
      </c>
    </row>
    <row r="185" spans="1:42">
      <c r="E185" t="str">
        <f t="shared" si="20"/>
        <v>A1BTB2</v>
      </c>
      <c r="F185" t="s">
        <v>2751</v>
      </c>
      <c r="G185" t="s">
        <v>2768</v>
      </c>
      <c r="H185" s="234">
        <v>0.17758573602278199</v>
      </c>
      <c r="I185" s="234">
        <v>-6.70391061452513E-3</v>
      </c>
      <c r="J185" s="238">
        <v>-0.39392971246006397</v>
      </c>
      <c r="K185" s="235">
        <f>+J203-J204</f>
        <v>-0.24440894568690091</v>
      </c>
      <c r="L185">
        <f>+J204</f>
        <v>-8.7220447284345096E-2</v>
      </c>
      <c r="M185" s="236">
        <f>+J205</f>
        <v>0.37284345047923301</v>
      </c>
      <c r="N185">
        <v>-0.45754189944133999</v>
      </c>
      <c r="O185" s="235">
        <f>+N201-N202</f>
        <v>-0.15502793296089401</v>
      </c>
      <c r="P185">
        <f>+N202</f>
        <v>-0.27318435754189901</v>
      </c>
      <c r="Q185" s="236">
        <f>+N203</f>
        <v>0.351117318435754</v>
      </c>
      <c r="R185" s="235"/>
      <c r="V185" s="236"/>
      <c r="W185" s="235"/>
      <c r="AB185" s="236"/>
      <c r="AC185" t="s">
        <v>2776</v>
      </c>
    </row>
    <row r="186" spans="1:42">
      <c r="E186" t="str">
        <f t="shared" si="20"/>
        <v>Current climateTB3</v>
      </c>
      <c r="F186" t="s">
        <v>2750</v>
      </c>
      <c r="G186" t="s">
        <v>2769</v>
      </c>
      <c r="H186" s="234">
        <v>0.344302797393777</v>
      </c>
      <c r="I186" s="234">
        <v>9.1061452513966495E-2</v>
      </c>
      <c r="J186">
        <v>-0.192651757188498</v>
      </c>
      <c r="K186" s="235">
        <f>+J188</f>
        <v>-8.2428115015974399E-2</v>
      </c>
      <c r="L186">
        <f>+J189</f>
        <v>1.34185303514378E-2</v>
      </c>
      <c r="M186" s="236">
        <f>+J190-J189</f>
        <v>0.32108626198083018</v>
      </c>
      <c r="N186">
        <v>-0.34022346368715001</v>
      </c>
      <c r="O186" s="235">
        <f>+N188-N189</f>
        <v>-4.1899441340781995E-2</v>
      </c>
      <c r="P186">
        <f>+N189</f>
        <v>-0.172625698324022</v>
      </c>
      <c r="Q186" s="236">
        <f>+N190</f>
        <v>0.30502793296089398</v>
      </c>
      <c r="R186" s="235">
        <v>67.902813299232704</v>
      </c>
      <c r="S186">
        <v>74.117647058823493</v>
      </c>
      <c r="T186">
        <v>23.248081841432199</v>
      </c>
      <c r="U186">
        <f>+R186-T186</f>
        <v>44.654731457800509</v>
      </c>
      <c r="V186" s="236">
        <f>+S186-R186</f>
        <v>6.214833759590789</v>
      </c>
      <c r="W186" s="235">
        <v>68.840125391849497</v>
      </c>
      <c r="X186">
        <v>77.868338557993695</v>
      </c>
      <c r="Y186">
        <v>39.780564263322802</v>
      </c>
      <c r="Z186">
        <f>+W186-Y186</f>
        <v>29.059561128526695</v>
      </c>
      <c r="AA186">
        <f>+X186-W186</f>
        <v>9.028213166144198</v>
      </c>
      <c r="AB186" s="236"/>
      <c r="AC186" t="s">
        <v>2777</v>
      </c>
      <c r="AD186">
        <f>VLOOKUP($AD$179&amp;AD$181,$E$182:$AA$192,COLUMN($S$181)-4,FALSE)+AD185</f>
        <v>82.634271099744197</v>
      </c>
      <c r="AE186">
        <f t="shared" ref="AE186:AI186" si="27">VLOOKUP($AD$179&amp;AE$181,$E$182:$AA$192,COLUMN($S$181)-4,FALSE)+AE185</f>
        <v>84.015345268542205</v>
      </c>
      <c r="AF186">
        <f t="shared" si="27"/>
        <v>74.117647058823493</v>
      </c>
      <c r="AG186">
        <f t="shared" si="27"/>
        <v>70.434782608695599</v>
      </c>
      <c r="AH186">
        <f t="shared" si="27"/>
        <v>64.910485933503793</v>
      </c>
      <c r="AI186">
        <f t="shared" si="27"/>
        <v>71.585677749360599</v>
      </c>
    </row>
    <row r="187" spans="1:42">
      <c r="E187" t="str">
        <f t="shared" si="20"/>
        <v>A1BTB3</v>
      </c>
      <c r="F187" t="s">
        <v>2751</v>
      </c>
      <c r="G187" t="s">
        <v>2769</v>
      </c>
      <c r="H187" s="234">
        <v>0.42202606219031202</v>
      </c>
      <c r="I187" s="234">
        <v>0.14972067039106099</v>
      </c>
      <c r="J187">
        <v>0.368051118210862</v>
      </c>
      <c r="K187" s="235">
        <f>+J206</f>
        <v>-0.13035143769968</v>
      </c>
      <c r="L187">
        <f>+J207</f>
        <v>0.109265175718849</v>
      </c>
      <c r="M187" s="236">
        <f>+J208-J207</f>
        <v>0.33546325878594296</v>
      </c>
      <c r="N187">
        <v>0.342737430167597</v>
      </c>
      <c r="O187" s="235">
        <f>+N204-N205</f>
        <v>-7.1229050279329201E-2</v>
      </c>
      <c r="P187">
        <f>+N205</f>
        <v>-8.4636871508379799E-2</v>
      </c>
      <c r="Q187" s="236">
        <f>+N206</f>
        <v>0.309217877094972</v>
      </c>
      <c r="R187" s="235"/>
      <c r="V187" s="236"/>
      <c r="W187" s="235"/>
      <c r="AB187" s="236"/>
    </row>
    <row r="188" spans="1:42">
      <c r="E188" t="str">
        <f t="shared" si="20"/>
        <v>Current climateTA4</v>
      </c>
      <c r="F188" t="s">
        <v>2750</v>
      </c>
      <c r="G188" t="s">
        <v>2770</v>
      </c>
      <c r="H188" s="234">
        <v>0.50562599976590294</v>
      </c>
      <c r="I188" s="234">
        <v>0.267039106145251</v>
      </c>
      <c r="J188" s="238">
        <v>-8.2428115015974399E-2</v>
      </c>
      <c r="K188" s="235">
        <f>+J191</f>
        <v>-6.3258785942491999E-2</v>
      </c>
      <c r="L188">
        <f>+J192</f>
        <v>0.13801916932907299</v>
      </c>
      <c r="M188" s="236">
        <f>+J193-J192</f>
        <v>0.32108626198083101</v>
      </c>
      <c r="N188">
        <v>-0.21452513966480399</v>
      </c>
      <c r="O188" s="235">
        <v>0</v>
      </c>
      <c r="P188">
        <f>+N191</f>
        <v>-3.0167597765363E-2</v>
      </c>
      <c r="Q188" s="236">
        <f>+N192</f>
        <v>0.29245810055865901</v>
      </c>
      <c r="R188" s="235">
        <v>64.910485933503793</v>
      </c>
      <c r="S188">
        <v>70.434782608695599</v>
      </c>
      <c r="T188">
        <v>23.248081841432199</v>
      </c>
      <c r="U188">
        <f>+R188-T188</f>
        <v>41.662404092071597</v>
      </c>
      <c r="V188" s="236">
        <f>+S188-R188</f>
        <v>5.5242966751918061</v>
      </c>
      <c r="W188" s="235">
        <v>63.479623824451402</v>
      </c>
      <c r="X188">
        <v>70.532915360501505</v>
      </c>
      <c r="Y188">
        <v>37.523510971786799</v>
      </c>
      <c r="Z188">
        <f>+W188-Y188</f>
        <v>25.956112852664603</v>
      </c>
      <c r="AA188">
        <f>+X188-W188</f>
        <v>7.0532915360501036</v>
      </c>
      <c r="AB188" s="236"/>
      <c r="AD188" s="239" t="s">
        <v>2778</v>
      </c>
      <c r="AF188" t="s">
        <v>2754</v>
      </c>
      <c r="AG188">
        <v>1117</v>
      </c>
      <c r="AK188" t="s">
        <v>2778</v>
      </c>
      <c r="AM188" t="s">
        <v>2754</v>
      </c>
      <c r="AN188">
        <v>1117</v>
      </c>
    </row>
    <row r="189" spans="1:42">
      <c r="E189" t="str">
        <f t="shared" si="20"/>
        <v>A1BTA4</v>
      </c>
      <c r="F189" t="s">
        <v>2751</v>
      </c>
      <c r="G189" t="s">
        <v>2770</v>
      </c>
      <c r="H189" s="234">
        <v>0.60002340915297303</v>
      </c>
      <c r="I189" s="234">
        <v>0.339664804469273</v>
      </c>
      <c r="J189">
        <v>1.34185303514378E-2</v>
      </c>
      <c r="K189" s="235">
        <f>+J209</f>
        <v>-0.106389776357827</v>
      </c>
      <c r="L189">
        <f>+J210</f>
        <v>0.253035143769968</v>
      </c>
      <c r="M189" s="236">
        <f>+J211-J210</f>
        <v>0.31629392971246001</v>
      </c>
      <c r="N189">
        <v>-0.172625698324022</v>
      </c>
      <c r="O189" s="235">
        <f>+N207</f>
        <v>-3.4357541899440999E-2</v>
      </c>
      <c r="P189">
        <f>+N208</f>
        <v>7.4581005586592294E-2</v>
      </c>
      <c r="Q189" s="236">
        <f>+N209-N208</f>
        <v>0.29748603351955272</v>
      </c>
      <c r="R189" s="235"/>
      <c r="V189" s="236"/>
      <c r="W189" s="235"/>
      <c r="AB189" s="236"/>
      <c r="AC189" t="s">
        <v>2630</v>
      </c>
      <c r="AD189">
        <f t="shared" ref="AD189:AI189" si="28">VLOOKUP($AD$179&amp;AD$181,$E$182:$AA$192,5,FALSE)*$AC$180*$AG$188*C_to_CO2</f>
        <v>-27756.76357541895</v>
      </c>
      <c r="AE189">
        <f t="shared" si="28"/>
        <v>-15389.888715083767</v>
      </c>
      <c r="AF189">
        <f t="shared" si="28"/>
        <v>22397.784469273742</v>
      </c>
      <c r="AG189">
        <f t="shared" si="28"/>
        <v>65681.846480446824</v>
      </c>
      <c r="AH189">
        <f t="shared" si="28"/>
        <v>79079.294245810015</v>
      </c>
      <c r="AI189">
        <f t="shared" si="28"/>
        <v>84232.158770949667</v>
      </c>
      <c r="AK189">
        <f t="shared" ref="AK189:AP189" si="29">VLOOKUP($AK$179&amp;AK$181,$E$182:$AA$193,5,FALSE)*$AC$180*$AG$188*C_to_CO2</f>
        <v>-14015.791508379843</v>
      </c>
      <c r="AL189">
        <f t="shared" si="29"/>
        <v>-1648.9166480446902</v>
      </c>
      <c r="AM189">
        <f t="shared" si="29"/>
        <v>36825.805139664684</v>
      </c>
      <c r="AN189">
        <f t="shared" si="29"/>
        <v>83545.110167597581</v>
      </c>
      <c r="AO189">
        <f t="shared" si="29"/>
        <v>88354.450391061444</v>
      </c>
      <c r="AP189">
        <f t="shared" si="29"/>
        <v>96599.033631284721</v>
      </c>
    </row>
    <row r="190" spans="1:42">
      <c r="E190" t="str">
        <f t="shared" si="20"/>
        <v>Current climateTA5</v>
      </c>
      <c r="F190" t="s">
        <v>2750</v>
      </c>
      <c r="G190" t="s">
        <v>2771</v>
      </c>
      <c r="H190" s="234">
        <v>0.57556084429011101</v>
      </c>
      <c r="I190" s="234">
        <v>0.32150837988826803</v>
      </c>
      <c r="J190">
        <v>0.33450479233226799</v>
      </c>
      <c r="K190" s="235">
        <f>+J194</f>
        <v>-7.2843450479233199E-2</v>
      </c>
      <c r="L190">
        <f>+J195</f>
        <v>0.12364217252396099</v>
      </c>
      <c r="M190" s="236">
        <f>+J196-J195</f>
        <v>0.44568690095846702</v>
      </c>
      <c r="N190">
        <v>0.30502793296089398</v>
      </c>
      <c r="O190" s="235">
        <v>0</v>
      </c>
      <c r="P190">
        <f>+N193</f>
        <v>-1.7597765363128199E-2</v>
      </c>
      <c r="Q190" s="236">
        <f>+N194</f>
        <v>0.33854748603351897</v>
      </c>
      <c r="R190" s="235"/>
      <c r="S190">
        <v>64.910485933503793</v>
      </c>
      <c r="T190">
        <v>23.248081841432199</v>
      </c>
      <c r="U190">
        <v>0</v>
      </c>
      <c r="V190" s="236">
        <f>+S190-T190</f>
        <v>41.662404092071597</v>
      </c>
      <c r="W190" s="235"/>
      <c r="X190">
        <v>71.379310344827502</v>
      </c>
      <c r="Y190">
        <v>40.626959247648898</v>
      </c>
      <c r="Z190">
        <v>0</v>
      </c>
      <c r="AA190">
        <f>+X190-Y190</f>
        <v>30.752351097178604</v>
      </c>
      <c r="AB190" s="236"/>
      <c r="AC190" t="s">
        <v>2779</v>
      </c>
      <c r="AD190" s="143">
        <f t="shared" ref="AD190:AI190" si="30">(VLOOKUP($AD$179&amp;AD$181,$E$182:$AA$192,COLUMN($O$181)-4,FALSE)+VLOOKUP($AD$179&amp;AD$181,$E$182:$AA$192,COLUMN($P$181)-4,FALSE))*$AC$180*$AG$188*C_to_CO2</f>
        <v>-114599.70703910608</v>
      </c>
      <c r="AE190">
        <f t="shared" si="30"/>
        <v>-112538.56122905009</v>
      </c>
      <c r="AF190">
        <f t="shared" si="30"/>
        <v>-52765.33273743005</v>
      </c>
      <c r="AG190" s="143">
        <f t="shared" si="30"/>
        <v>-7420.1249162010854</v>
      </c>
      <c r="AH190">
        <f t="shared" si="30"/>
        <v>-4328.4062011172464</v>
      </c>
      <c r="AI190">
        <f t="shared" si="30"/>
        <v>-5358.9791061452015</v>
      </c>
      <c r="AK190">
        <f t="shared" ref="AK190:AP190" si="31">(VLOOKUP($AK$179&amp;AK$181,$E$182:$AA$193,COLUMN($O$181)-4,FALSE)+VLOOKUP($AK$179&amp;AK$181,$E$182:$AA$193,COLUMN($P$181)-4,FALSE))*$AC$180*$AG$188*C_to_CO2</f>
        <v>-104293.97798882655</v>
      </c>
      <c r="AL190">
        <f t="shared" si="31"/>
        <v>-105324.55089385468</v>
      </c>
      <c r="AM190">
        <f t="shared" si="31"/>
        <v>-38337.312067038984</v>
      </c>
      <c r="AN190">
        <f t="shared" si="31"/>
        <v>9893.4998882682703</v>
      </c>
      <c r="AO190">
        <f t="shared" si="31"/>
        <v>12985.218603352034</v>
      </c>
      <c r="AP190">
        <f t="shared" si="31"/>
        <v>14015.791508379965</v>
      </c>
    </row>
    <row r="191" spans="1:42">
      <c r="E191" t="str">
        <f t="shared" si="20"/>
        <v>A1BTA5</v>
      </c>
      <c r="F191" t="s">
        <v>2751</v>
      </c>
      <c r="G191" t="s">
        <v>2771</v>
      </c>
      <c r="H191" s="234">
        <v>0.68937809683585605</v>
      </c>
      <c r="I191" s="234">
        <v>0.35921787709497199</v>
      </c>
      <c r="J191" s="238">
        <v>-6.3258785942491999E-2</v>
      </c>
      <c r="K191" s="235">
        <f>+J212</f>
        <v>-0.120766773162939</v>
      </c>
      <c r="L191">
        <f>+J213</f>
        <v>0.262619808306709</v>
      </c>
      <c r="M191" s="236">
        <f>+J214-J213</f>
        <v>0.44089456869009597</v>
      </c>
      <c r="N191">
        <v>-3.0167597765363E-2</v>
      </c>
      <c r="O191" s="235">
        <f>+N210</f>
        <v>-3.0167597765363E-2</v>
      </c>
      <c r="P191">
        <f>+N211</f>
        <v>8.2960893854748793E-2</v>
      </c>
      <c r="Q191" s="236">
        <f>+N212-N211</f>
        <v>0.35195530726256918</v>
      </c>
      <c r="R191" s="235"/>
      <c r="V191" s="236"/>
      <c r="W191" s="235"/>
      <c r="AB191" s="236"/>
      <c r="AC191" t="s">
        <v>2780</v>
      </c>
      <c r="AD191">
        <f t="shared" ref="AD191:AI191" si="32">VLOOKUP($AD$179&amp;AD$181,$E$182:$AA$192,COLUMN($Q$181)-4,FALSE)*$AC$180*$AG$188*C_to_CO2+AD190</f>
        <v>-46788.009888268192</v>
      </c>
      <c r="AE191">
        <f t="shared" si="32"/>
        <v>-28237.697597765364</v>
      </c>
      <c r="AF191">
        <f t="shared" si="32"/>
        <v>22260.374748603492</v>
      </c>
      <c r="AG191">
        <f t="shared" si="32"/>
        <v>64513.863854748583</v>
      </c>
      <c r="AH191">
        <f t="shared" si="32"/>
        <v>78941.884525139583</v>
      </c>
      <c r="AI191">
        <f t="shared" si="32"/>
        <v>87186.467765363064</v>
      </c>
      <c r="AK191">
        <f t="shared" ref="AK191:AP191" si="33">VLOOKUP($AK$179&amp;AK$181,$E$182:$AA$193,COLUMN($Q$181)-4,FALSE)*$AC$180*$AG$188*C_to_CO2+AK190</f>
        <v>-35451.70793296078</v>
      </c>
      <c r="AL191">
        <f t="shared" si="33"/>
        <v>-18962.541452513949</v>
      </c>
      <c r="AM191">
        <f t="shared" si="33"/>
        <v>37718.968324022448</v>
      </c>
      <c r="AN191">
        <f t="shared" si="33"/>
        <v>83064.176145251418</v>
      </c>
      <c r="AO191">
        <f t="shared" si="33"/>
        <v>99553.342625698249</v>
      </c>
      <c r="AP191">
        <f t="shared" si="33"/>
        <v>105736.78005586576</v>
      </c>
    </row>
    <row r="192" spans="1:42">
      <c r="E192" t="str">
        <f t="shared" si="20"/>
        <v>Current climateTA6</v>
      </c>
      <c r="F192" t="s">
        <v>2750</v>
      </c>
      <c r="G192" t="s">
        <v>2772</v>
      </c>
      <c r="H192" s="234">
        <v>0.61226444539814295</v>
      </c>
      <c r="I192" s="234">
        <v>0.342458100558659</v>
      </c>
      <c r="J192">
        <v>0.13801916932907299</v>
      </c>
      <c r="K192" s="235">
        <f>+J197</f>
        <v>-9.6805111821086198E-2</v>
      </c>
      <c r="L192">
        <f>+J198</f>
        <v>0.14760383386581399</v>
      </c>
      <c r="M192" s="236">
        <f>+J199-J198</f>
        <v>0.493610223642173</v>
      </c>
      <c r="N192">
        <v>0.29245810055865901</v>
      </c>
      <c r="O192" s="235">
        <f>+N195-N196</f>
        <v>-1.256983240223449E-2</v>
      </c>
      <c r="P192">
        <f>+N196</f>
        <v>-9.2178770949720105E-3</v>
      </c>
      <c r="Q192" s="236">
        <f>+N197</f>
        <v>0.376256983240223</v>
      </c>
      <c r="R192" s="235"/>
      <c r="S192">
        <v>71.585677749360599</v>
      </c>
      <c r="T192">
        <v>23.248081841432199</v>
      </c>
      <c r="U192">
        <v>0</v>
      </c>
      <c r="V192" s="236">
        <f>+S192-T192</f>
        <v>48.337595907928403</v>
      </c>
      <c r="W192" s="235"/>
      <c r="X192">
        <v>77.586206896551701</v>
      </c>
      <c r="Y192">
        <v>40.626959247648898</v>
      </c>
      <c r="Z192">
        <v>0</v>
      </c>
      <c r="AA192">
        <f>+X192-Y192</f>
        <v>36.959247648902803</v>
      </c>
      <c r="AB192" s="236"/>
      <c r="AC192" t="s">
        <v>2776</v>
      </c>
    </row>
    <row r="193" spans="5:35">
      <c r="E193" t="str">
        <f t="shared" si="20"/>
        <v>A1BTA6</v>
      </c>
      <c r="F193" t="s">
        <v>2751</v>
      </c>
      <c r="G193" t="s">
        <v>2772</v>
      </c>
      <c r="H193" s="240">
        <v>0.70667160859895395</v>
      </c>
      <c r="I193" s="240">
        <v>0.39273743016759699</v>
      </c>
      <c r="J193">
        <v>0.459105431309904</v>
      </c>
      <c r="K193" s="241">
        <f>+J215</f>
        <v>-0.13035143769968</v>
      </c>
      <c r="L193" s="242">
        <f>+J216</f>
        <v>0.257827476038338</v>
      </c>
      <c r="M193" s="243">
        <f>+J217-J216</f>
        <v>0.49840255591054305</v>
      </c>
      <c r="N193">
        <v>-1.7597765363128199E-2</v>
      </c>
      <c r="O193" s="241">
        <f>+N213</f>
        <v>-3.4357541899440999E-2</v>
      </c>
      <c r="P193" s="242">
        <f>+N214</f>
        <v>9.1340782122905001E-2</v>
      </c>
      <c r="Q193" s="243">
        <f>+N215-N214</f>
        <v>0.37290502793295999</v>
      </c>
      <c r="R193" s="241"/>
      <c r="S193" s="242"/>
      <c r="T193" s="242"/>
      <c r="U193" s="242"/>
      <c r="V193" s="243"/>
      <c r="W193" s="241"/>
      <c r="X193" s="242"/>
      <c r="Y193" s="242"/>
      <c r="Z193" s="242"/>
      <c r="AA193" s="242"/>
      <c r="AB193" s="243"/>
      <c r="AC193" t="s">
        <v>2781</v>
      </c>
      <c r="AD193">
        <f>VLOOKUP($AD$179&amp;AD$181,$E$182:$AA$192,COLUMN($X$181)-4,FALSE)+AD192</f>
        <v>82.946708463949804</v>
      </c>
      <c r="AE193">
        <f t="shared" ref="AE193:AI193" si="34">VLOOKUP($AD$179&amp;AE$181,$E$182:$AA$192,COLUMN($X$181)-4,FALSE)+AE192</f>
        <v>84.921630094043806</v>
      </c>
      <c r="AF193">
        <f t="shared" si="34"/>
        <v>77.868338557993695</v>
      </c>
      <c r="AG193">
        <f t="shared" si="34"/>
        <v>70.532915360501505</v>
      </c>
      <c r="AH193">
        <f t="shared" si="34"/>
        <v>71.379310344827502</v>
      </c>
      <c r="AI193">
        <f t="shared" si="34"/>
        <v>77.586206896551701</v>
      </c>
    </row>
    <row r="194" spans="5:35">
      <c r="J194" s="238">
        <v>-7.2843450479233199E-2</v>
      </c>
      <c r="N194">
        <v>0.33854748603351897</v>
      </c>
    </row>
    <row r="195" spans="5:35">
      <c r="J195">
        <v>0.12364217252396099</v>
      </c>
      <c r="N195">
        <v>-2.1787709497206501E-2</v>
      </c>
    </row>
    <row r="196" spans="5:35">
      <c r="J196">
        <v>0.56932907348242801</v>
      </c>
      <c r="N196">
        <v>-9.2178770949720105E-3</v>
      </c>
    </row>
    <row r="197" spans="5:35">
      <c r="J197" s="238">
        <v>-9.6805111821086198E-2</v>
      </c>
      <c r="N197">
        <v>0.376256983240223</v>
      </c>
    </row>
    <row r="198" spans="5:35">
      <c r="J198">
        <v>0.14760383386581399</v>
      </c>
      <c r="N198">
        <v>-0.424022346368714</v>
      </c>
    </row>
    <row r="199" spans="5:35">
      <c r="J199">
        <v>0.64121405750798699</v>
      </c>
      <c r="N199">
        <v>-0.27318435754189901</v>
      </c>
    </row>
    <row r="200" spans="5:35">
      <c r="J200">
        <v>-0.336421725239616</v>
      </c>
      <c r="N200">
        <v>0.27988826815642398</v>
      </c>
    </row>
    <row r="201" spans="5:35">
      <c r="J201">
        <v>-9.6805111821086198E-2</v>
      </c>
      <c r="N201">
        <v>-0.42821229050279302</v>
      </c>
    </row>
    <row r="202" spans="5:35">
      <c r="J202">
        <v>0.32012779552715598</v>
      </c>
      <c r="N202">
        <v>-0.27318435754189901</v>
      </c>
    </row>
    <row r="203" spans="5:35">
      <c r="J203">
        <v>-0.331629392971246</v>
      </c>
      <c r="N203">
        <v>0.351117318435754</v>
      </c>
    </row>
    <row r="204" spans="5:35">
      <c r="J204">
        <v>-8.7220447284345096E-2</v>
      </c>
      <c r="N204">
        <v>-0.155865921787709</v>
      </c>
    </row>
    <row r="205" spans="5:35">
      <c r="J205">
        <v>0.37284345047923301</v>
      </c>
      <c r="N205">
        <v>-8.4636871508379799E-2</v>
      </c>
    </row>
    <row r="206" spans="5:35">
      <c r="J206">
        <v>-0.13035143769968</v>
      </c>
      <c r="N206">
        <v>0.309217877094972</v>
      </c>
    </row>
    <row r="207" spans="5:35">
      <c r="J207">
        <v>0.109265175718849</v>
      </c>
      <c r="N207">
        <v>-3.4357541899440999E-2</v>
      </c>
    </row>
    <row r="208" spans="5:35">
      <c r="J208">
        <v>0.44472843450479199</v>
      </c>
      <c r="N208">
        <v>7.4581005586592294E-2</v>
      </c>
    </row>
    <row r="209" spans="1:16">
      <c r="J209">
        <v>-0.106389776357827</v>
      </c>
      <c r="N209">
        <v>0.37206703910614503</v>
      </c>
    </row>
    <row r="210" spans="1:16">
      <c r="J210">
        <v>0.253035143769968</v>
      </c>
      <c r="N210">
        <v>-3.0167597765363E-2</v>
      </c>
    </row>
    <row r="211" spans="1:16">
      <c r="J211">
        <v>0.56932907348242801</v>
      </c>
      <c r="N211">
        <v>8.2960893854748793E-2</v>
      </c>
    </row>
    <row r="212" spans="1:16">
      <c r="J212">
        <v>-0.120766773162939</v>
      </c>
      <c r="N212">
        <v>0.43491620111731799</v>
      </c>
    </row>
    <row r="213" spans="1:16">
      <c r="J213">
        <v>0.262619808306709</v>
      </c>
      <c r="N213">
        <v>-3.4357541899440999E-2</v>
      </c>
    </row>
    <row r="214" spans="1:16">
      <c r="J214">
        <v>0.70351437699680497</v>
      </c>
      <c r="N214">
        <v>9.1340782122905001E-2</v>
      </c>
    </row>
    <row r="215" spans="1:16">
      <c r="J215">
        <v>-0.13035143769968</v>
      </c>
      <c r="N215">
        <v>0.46424581005586502</v>
      </c>
    </row>
    <row r="216" spans="1:16">
      <c r="J216">
        <v>0.257827476038338</v>
      </c>
    </row>
    <row r="217" spans="1:16">
      <c r="J217">
        <v>0.75623003194888105</v>
      </c>
    </row>
    <row r="219" spans="1:16">
      <c r="A219" t="s">
        <v>2782</v>
      </c>
    </row>
    <row r="220" spans="1:16">
      <c r="I220" t="s">
        <v>2783</v>
      </c>
    </row>
    <row r="221" spans="1:16">
      <c r="J221" t="s">
        <v>2712</v>
      </c>
      <c r="K221" t="s">
        <v>2623</v>
      </c>
      <c r="L221" t="s">
        <v>2709</v>
      </c>
      <c r="M221" t="s">
        <v>2784</v>
      </c>
      <c r="N221" t="s">
        <v>2785</v>
      </c>
      <c r="O221" t="s">
        <v>2786</v>
      </c>
      <c r="P221" t="s">
        <v>2787</v>
      </c>
    </row>
    <row r="222" spans="1:16">
      <c r="I222" t="s">
        <v>2788</v>
      </c>
      <c r="J222">
        <v>2050</v>
      </c>
      <c r="K222">
        <v>2.93861691668666</v>
      </c>
      <c r="L222">
        <v>3.28547008547008</v>
      </c>
      <c r="M222">
        <v>-1.0446735395189</v>
      </c>
      <c r="N222">
        <v>-3.34102141680395</v>
      </c>
      <c r="O222">
        <f t="shared" ref="O222:O229" si="35">-M222*$M$231-N222*$N$231</f>
        <v>3.6025765836149812</v>
      </c>
    </row>
    <row r="223" spans="1:16">
      <c r="I223" t="s">
        <v>2789</v>
      </c>
      <c r="J223">
        <v>2050</v>
      </c>
      <c r="K223">
        <v>2.93861691668666</v>
      </c>
      <c r="L223">
        <v>6.82735042735042</v>
      </c>
      <c r="M223">
        <v>-6.0721649484536098</v>
      </c>
      <c r="N223">
        <v>0</v>
      </c>
      <c r="O223">
        <f t="shared" si="35"/>
        <v>5.4042268041237129</v>
      </c>
    </row>
    <row r="224" spans="1:16">
      <c r="I224" t="s">
        <v>2790</v>
      </c>
      <c r="J224">
        <v>2050</v>
      </c>
      <c r="K224">
        <v>-4.6286109425494901</v>
      </c>
      <c r="L224">
        <v>-3.3196581196581101</v>
      </c>
      <c r="M224">
        <v>1.0532646048109899</v>
      </c>
      <c r="N224">
        <v>3.3937397034596302</v>
      </c>
      <c r="O224">
        <f t="shared" si="35"/>
        <v>-3.6523972610494857</v>
      </c>
    </row>
    <row r="225" spans="9:18">
      <c r="I225" t="s">
        <v>2791</v>
      </c>
      <c r="J225">
        <v>2050</v>
      </c>
      <c r="K225">
        <v>-4.7403037872266296</v>
      </c>
      <c r="L225">
        <v>7.3059829059828996</v>
      </c>
      <c r="M225">
        <v>-6.5068728522336698</v>
      </c>
      <c r="N225">
        <v>0</v>
      </c>
      <c r="O225">
        <f t="shared" si="35"/>
        <v>5.7911168384879659</v>
      </c>
    </row>
    <row r="226" spans="9:18">
      <c r="I226" t="s">
        <v>1418</v>
      </c>
      <c r="J226">
        <v>2050</v>
      </c>
      <c r="K226">
        <v>-1.4453648692510599</v>
      </c>
      <c r="L226">
        <v>0</v>
      </c>
      <c r="M226">
        <v>0</v>
      </c>
      <c r="N226">
        <v>0</v>
      </c>
      <c r="O226">
        <f t="shared" si="35"/>
        <v>0</v>
      </c>
    </row>
    <row r="227" spans="9:18">
      <c r="I227" t="s">
        <v>1411</v>
      </c>
      <c r="J227">
        <v>2050</v>
      </c>
      <c r="K227">
        <v>-10.1853675975971</v>
      </c>
      <c r="L227">
        <v>3.11794871794871</v>
      </c>
      <c r="M227">
        <v>-4.6924398625429502</v>
      </c>
      <c r="N227">
        <v>3.3937397034596302</v>
      </c>
      <c r="O227">
        <f t="shared" si="35"/>
        <v>1.4612797148955217</v>
      </c>
    </row>
    <row r="228" spans="9:18">
      <c r="I228" t="s">
        <v>2792</v>
      </c>
      <c r="J228">
        <v>2050</v>
      </c>
      <c r="K228">
        <v>0</v>
      </c>
      <c r="L228">
        <v>0.70085470085469903</v>
      </c>
      <c r="M228">
        <v>-5.5807560137456997</v>
      </c>
      <c r="N228">
        <v>0</v>
      </c>
      <c r="O228">
        <f t="shared" si="35"/>
        <v>4.9668728522336725</v>
      </c>
    </row>
    <row r="229" spans="9:18">
      <c r="I229" t="s">
        <v>1401</v>
      </c>
      <c r="J229">
        <v>2050</v>
      </c>
      <c r="K229">
        <v>0</v>
      </c>
      <c r="L229">
        <v>-4.3247863247863201</v>
      </c>
      <c r="M229">
        <v>0</v>
      </c>
      <c r="N229">
        <v>-4.9785831960461202</v>
      </c>
      <c r="O229">
        <f t="shared" si="35"/>
        <v>3.9828665568368962</v>
      </c>
    </row>
    <row r="231" spans="9:18">
      <c r="I231" t="s">
        <v>2793</v>
      </c>
      <c r="M231">
        <v>0.89</v>
      </c>
      <c r="N231">
        <v>0.8</v>
      </c>
    </row>
    <row r="233" spans="9:18">
      <c r="R233" t="s">
        <v>2794</v>
      </c>
    </row>
    <row r="234" spans="9:18">
      <c r="I234" t="s">
        <v>2795</v>
      </c>
      <c r="P234" t="s">
        <v>2796</v>
      </c>
      <c r="Q234" t="s">
        <v>2797</v>
      </c>
    </row>
    <row r="235" spans="9:18">
      <c r="I235" t="s">
        <v>1113</v>
      </c>
      <c r="J235" t="s">
        <v>2788</v>
      </c>
      <c r="K235">
        <f>K222</f>
        <v>2.93861691668666</v>
      </c>
      <c r="L235">
        <f t="shared" ref="L235:O235" si="36">L222</f>
        <v>3.28547008547008</v>
      </c>
      <c r="M235">
        <f t="shared" si="36"/>
        <v>-1.0446735395189</v>
      </c>
      <c r="N235">
        <f t="shared" si="36"/>
        <v>-3.34102141680395</v>
      </c>
      <c r="O235">
        <f t="shared" si="36"/>
        <v>3.6025765836149812</v>
      </c>
      <c r="P235" s="152">
        <v>-66.252507530000003</v>
      </c>
      <c r="Q235" s="152">
        <f t="shared" ref="Q235:Q242" si="37">P235+SUM(K235:N235)</f>
        <v>-64.414115484166118</v>
      </c>
      <c r="R235">
        <f t="shared" ref="R235:R242" si="38">SUM(K235:L235)</f>
        <v>6.2240870021567396</v>
      </c>
    </row>
    <row r="236" spans="9:18">
      <c r="I236" t="s">
        <v>2789</v>
      </c>
      <c r="J236" t="s">
        <v>2788</v>
      </c>
      <c r="K236">
        <f>K222-K223</f>
        <v>0</v>
      </c>
      <c r="L236">
        <f t="shared" ref="L236:O236" si="39">L222-L223</f>
        <v>-3.54188034188034</v>
      </c>
      <c r="M236">
        <f t="shared" si="39"/>
        <v>5.0274914089347096</v>
      </c>
      <c r="N236">
        <f t="shared" si="39"/>
        <v>-3.34102141680395</v>
      </c>
      <c r="O236">
        <f t="shared" si="39"/>
        <v>-1.8016502205087317</v>
      </c>
      <c r="P236" s="152">
        <f>P235+SUM(K223:N223)</f>
        <v>-62.558705134416535</v>
      </c>
      <c r="Q236" s="152">
        <f t="shared" si="37"/>
        <v>-64.414115484166118</v>
      </c>
      <c r="R236">
        <f t="shared" si="38"/>
        <v>-3.54188034188034</v>
      </c>
    </row>
    <row r="237" spans="9:18">
      <c r="I237" t="s">
        <v>2790</v>
      </c>
      <c r="J237" t="s">
        <v>1113</v>
      </c>
      <c r="K237">
        <f>-K224</f>
        <v>4.6286109425494901</v>
      </c>
      <c r="L237">
        <f t="shared" ref="L237:O237" si="40">-L224</f>
        <v>3.3196581196581101</v>
      </c>
      <c r="M237">
        <f t="shared" si="40"/>
        <v>-1.0532646048109899</v>
      </c>
      <c r="N237">
        <f t="shared" si="40"/>
        <v>-3.3937397034596302</v>
      </c>
      <c r="O237">
        <f t="shared" si="40"/>
        <v>3.6523972610494857</v>
      </c>
      <c r="P237" s="152">
        <f>Q237+SUM(K237:N237)</f>
        <v>-62.751242776063023</v>
      </c>
      <c r="Q237" s="152">
        <v>-66.252507530000003</v>
      </c>
      <c r="R237">
        <f t="shared" si="38"/>
        <v>7.9482690622076007</v>
      </c>
    </row>
    <row r="238" spans="9:18">
      <c r="I238" t="s">
        <v>1113</v>
      </c>
      <c r="J238" t="s">
        <v>2791</v>
      </c>
      <c r="K238">
        <f t="shared" ref="K238:O240" si="41">K225</f>
        <v>-4.7403037872266296</v>
      </c>
      <c r="L238">
        <f t="shared" si="41"/>
        <v>7.3059829059828996</v>
      </c>
      <c r="M238">
        <f t="shared" si="41"/>
        <v>-6.5068728522336698</v>
      </c>
      <c r="N238">
        <f t="shared" si="41"/>
        <v>0</v>
      </c>
      <c r="O238">
        <f t="shared" si="41"/>
        <v>5.7911168384879659</v>
      </c>
      <c r="P238" s="152">
        <v>-66.252507530000003</v>
      </c>
      <c r="Q238" s="152">
        <f t="shared" si="37"/>
        <v>-70.193701263477408</v>
      </c>
      <c r="R238">
        <f t="shared" si="38"/>
        <v>2.56567911875627</v>
      </c>
    </row>
    <row r="239" spans="9:18">
      <c r="I239" t="s">
        <v>1113</v>
      </c>
      <c r="J239" t="s">
        <v>1418</v>
      </c>
      <c r="K239">
        <f t="shared" si="41"/>
        <v>-1.4453648692510599</v>
      </c>
      <c r="L239">
        <f t="shared" si="41"/>
        <v>0</v>
      </c>
      <c r="M239">
        <f t="shared" si="41"/>
        <v>0</v>
      </c>
      <c r="N239">
        <f t="shared" si="41"/>
        <v>0</v>
      </c>
      <c r="O239">
        <f t="shared" si="41"/>
        <v>0</v>
      </c>
      <c r="P239" s="152">
        <v>-66.252507530000003</v>
      </c>
      <c r="Q239" s="152">
        <f t="shared" si="37"/>
        <v>-67.697872399251068</v>
      </c>
      <c r="R239">
        <f t="shared" si="38"/>
        <v>-1.4453648692510599</v>
      </c>
    </row>
    <row r="240" spans="9:18">
      <c r="I240" t="s">
        <v>1113</v>
      </c>
      <c r="J240" t="s">
        <v>1411</v>
      </c>
      <c r="K240">
        <f t="shared" si="41"/>
        <v>-10.1853675975971</v>
      </c>
      <c r="L240">
        <f t="shared" si="41"/>
        <v>3.11794871794871</v>
      </c>
      <c r="M240">
        <f t="shared" si="41"/>
        <v>-4.6924398625429502</v>
      </c>
      <c r="N240">
        <f t="shared" si="41"/>
        <v>3.3937397034596302</v>
      </c>
      <c r="O240">
        <f t="shared" si="41"/>
        <v>1.4612797148955217</v>
      </c>
      <c r="P240" s="152">
        <v>-66.252507530000003</v>
      </c>
      <c r="Q240" s="152">
        <f t="shared" si="37"/>
        <v>-74.618626568731713</v>
      </c>
      <c r="R240">
        <f t="shared" si="38"/>
        <v>-7.0674188796483897</v>
      </c>
    </row>
    <row r="241" spans="1:18">
      <c r="I241" t="s">
        <v>2792</v>
      </c>
      <c r="J241" t="s">
        <v>1113</v>
      </c>
      <c r="K241">
        <f>-K228</f>
        <v>0</v>
      </c>
      <c r="L241">
        <f t="shared" ref="L241:O241" si="42">-L228</f>
        <v>-0.70085470085469903</v>
      </c>
      <c r="M241">
        <f t="shared" si="42"/>
        <v>5.5807560137456997</v>
      </c>
      <c r="N241">
        <f t="shared" si="42"/>
        <v>0</v>
      </c>
      <c r="O241">
        <f t="shared" si="42"/>
        <v>-4.9668728522336725</v>
      </c>
      <c r="P241" s="152">
        <f>Q241+SUM(K241:N241)</f>
        <v>-61.372606217109002</v>
      </c>
      <c r="Q241" s="152">
        <v>-66.252507530000003</v>
      </c>
      <c r="R241">
        <f t="shared" si="38"/>
        <v>-0.70085470085469903</v>
      </c>
    </row>
    <row r="242" spans="1:18">
      <c r="I242" t="s">
        <v>1113</v>
      </c>
      <c r="J242" t="s">
        <v>1401</v>
      </c>
      <c r="K242">
        <f t="shared" ref="K242:O242" si="43">K229</f>
        <v>0</v>
      </c>
      <c r="L242">
        <f t="shared" si="43"/>
        <v>-4.3247863247863201</v>
      </c>
      <c r="M242">
        <f t="shared" si="43"/>
        <v>0</v>
      </c>
      <c r="N242">
        <f t="shared" si="43"/>
        <v>-4.9785831960461202</v>
      </c>
      <c r="O242">
        <f t="shared" si="43"/>
        <v>3.9828665568368962</v>
      </c>
      <c r="P242" s="152">
        <v>-66.252507530000003</v>
      </c>
      <c r="Q242" s="152">
        <f t="shared" si="37"/>
        <v>-75.555877050832436</v>
      </c>
      <c r="R242">
        <f t="shared" si="38"/>
        <v>-4.3247863247863201</v>
      </c>
    </row>
    <row r="246" spans="1:18">
      <c r="A246" t="s">
        <v>2798</v>
      </c>
      <c r="J246" t="s">
        <v>1444</v>
      </c>
      <c r="K246" t="s">
        <v>2799</v>
      </c>
      <c r="L246" t="s">
        <v>2800</v>
      </c>
      <c r="M246" t="s">
        <v>2801</v>
      </c>
      <c r="O246" t="s">
        <v>2802</v>
      </c>
      <c r="P246" t="s">
        <v>2626</v>
      </c>
      <c r="Q246" t="s">
        <v>2803</v>
      </c>
    </row>
    <row r="247" spans="1:18">
      <c r="J247">
        <v>1200</v>
      </c>
      <c r="K247">
        <v>0</v>
      </c>
      <c r="L247">
        <v>0</v>
      </c>
      <c r="M247">
        <f t="shared" ref="M247:M252" si="44">K247+L247*10^-3*t_to_m3</f>
        <v>0</v>
      </c>
      <c r="O247">
        <v>2.0588235294117601</v>
      </c>
      <c r="P247">
        <f t="shared" ref="P247:P252" si="45">Q247-O247</f>
        <v>0</v>
      </c>
      <c r="Q247">
        <v>2.0588235294117601</v>
      </c>
    </row>
    <row r="248" spans="1:18">
      <c r="J248">
        <v>600</v>
      </c>
      <c r="K248">
        <v>1.66</v>
      </c>
      <c r="L248">
        <v>76.150556841093902</v>
      </c>
      <c r="M248">
        <f t="shared" si="44"/>
        <v>1.8154092996757019</v>
      </c>
      <c r="O248">
        <v>1.98823529411764</v>
      </c>
      <c r="P248">
        <f t="shared" si="45"/>
        <v>4.7058823529409821E-2</v>
      </c>
      <c r="Q248">
        <v>2.0352941176470498</v>
      </c>
    </row>
    <row r="249" spans="1:18">
      <c r="J249">
        <v>300</v>
      </c>
      <c r="K249">
        <v>4.7300000000000004</v>
      </c>
      <c r="L249">
        <v>149.13665949471499</v>
      </c>
      <c r="M249">
        <f t="shared" si="44"/>
        <v>5.0343605295810514</v>
      </c>
      <c r="O249">
        <v>1.5941176470588201</v>
      </c>
      <c r="P249">
        <f t="shared" si="45"/>
        <v>8.2352941176469852E-2</v>
      </c>
      <c r="Q249">
        <v>1.6764705882352899</v>
      </c>
    </row>
    <row r="250" spans="1:18">
      <c r="J250">
        <v>150</v>
      </c>
      <c r="K250">
        <v>5.21</v>
      </c>
      <c r="L250">
        <v>156.09006887779199</v>
      </c>
      <c r="M250">
        <f t="shared" si="44"/>
        <v>5.5285511609750859</v>
      </c>
      <c r="O250">
        <v>1.51176470588235</v>
      </c>
      <c r="P250">
        <f t="shared" si="45"/>
        <v>7.6470588235290071E-2</v>
      </c>
      <c r="Q250">
        <v>1.5882352941176401</v>
      </c>
    </row>
    <row r="251" spans="1:18">
      <c r="J251">
        <v>75</v>
      </c>
      <c r="K251">
        <v>5.28</v>
      </c>
      <c r="L251">
        <v>155.73079473335201</v>
      </c>
      <c r="M251">
        <f t="shared" si="44"/>
        <v>5.5978179484354129</v>
      </c>
      <c r="O251">
        <v>1.48823529411764</v>
      </c>
      <c r="P251">
        <f t="shared" si="45"/>
        <v>8.2352941176470074E-2</v>
      </c>
      <c r="Q251">
        <v>1.5705882352941101</v>
      </c>
    </row>
    <row r="252" spans="1:18">
      <c r="J252">
        <v>0</v>
      </c>
      <c r="K252">
        <v>5.3</v>
      </c>
      <c r="L252">
        <v>154.986535677072</v>
      </c>
      <c r="M252">
        <f t="shared" si="44"/>
        <v>5.6162990524021872</v>
      </c>
      <c r="O252">
        <v>1.47058823529411</v>
      </c>
      <c r="P252">
        <f t="shared" si="45"/>
        <v>7.6470588235300063E-2</v>
      </c>
      <c r="Q252">
        <v>1.54705882352941</v>
      </c>
    </row>
    <row r="273" spans="1:36">
      <c r="J273" t="s">
        <v>2804</v>
      </c>
    </row>
    <row r="274" spans="1:36">
      <c r="A274" t="s">
        <v>2805</v>
      </c>
      <c r="C274" t="s">
        <v>2806</v>
      </c>
      <c r="I274" t="s">
        <v>2807</v>
      </c>
      <c r="J274" t="s">
        <v>327</v>
      </c>
      <c r="K274" t="s">
        <v>328</v>
      </c>
      <c r="L274" t="s">
        <v>292</v>
      </c>
      <c r="M274" t="s">
        <v>277</v>
      </c>
      <c r="N274" t="s">
        <v>321</v>
      </c>
      <c r="O274" t="s">
        <v>329</v>
      </c>
      <c r="P274" t="s">
        <v>294</v>
      </c>
      <c r="Q274" t="s">
        <v>276</v>
      </c>
      <c r="R274" t="s">
        <v>2808</v>
      </c>
      <c r="S274" t="s">
        <v>2809</v>
      </c>
      <c r="T274" t="s">
        <v>2810</v>
      </c>
      <c r="U274" t="s">
        <v>2811</v>
      </c>
      <c r="V274" t="s">
        <v>2812</v>
      </c>
      <c r="W274" t="s">
        <v>2813</v>
      </c>
      <c r="X274" t="s">
        <v>2814</v>
      </c>
      <c r="Y274" t="s">
        <v>2815</v>
      </c>
      <c r="Z274" t="s">
        <v>2816</v>
      </c>
      <c r="AA274" t="s">
        <v>2817</v>
      </c>
      <c r="AB274" t="s">
        <v>2818</v>
      </c>
      <c r="AC274" t="s">
        <v>2819</v>
      </c>
      <c r="AD274" t="s">
        <v>303</v>
      </c>
      <c r="AE274" t="s">
        <v>306</v>
      </c>
      <c r="AF274" t="s">
        <v>304</v>
      </c>
      <c r="AG274" t="s">
        <v>285</v>
      </c>
      <c r="AH274" t="s">
        <v>313</v>
      </c>
      <c r="AI274" t="s">
        <v>284</v>
      </c>
    </row>
    <row r="275" spans="1:36">
      <c r="I275">
        <v>0</v>
      </c>
      <c r="J275">
        <v>812.03931203931199</v>
      </c>
      <c r="K275">
        <v>590.90124106098494</v>
      </c>
      <c r="L275">
        <v>458.23095823095798</v>
      </c>
      <c r="M275">
        <v>369.77886977886902</v>
      </c>
      <c r="N275">
        <v>812.03931203931199</v>
      </c>
      <c r="O275">
        <v>590.90909090909099</v>
      </c>
      <c r="P275">
        <v>453.316953316953</v>
      </c>
      <c r="Q275">
        <v>355.036855036855</v>
      </c>
      <c r="R275">
        <v>813.13131313131305</v>
      </c>
      <c r="S275">
        <v>585.85858585858603</v>
      </c>
      <c r="T275">
        <v>464.64646464646501</v>
      </c>
      <c r="U275">
        <v>459.59595959595902</v>
      </c>
      <c r="V275">
        <v>454.54545454545399</v>
      </c>
      <c r="W275">
        <v>358.58585858585798</v>
      </c>
      <c r="X275">
        <v>0</v>
      </c>
      <c r="Y275">
        <v>0</v>
      </c>
      <c r="Z275">
        <v>0</v>
      </c>
      <c r="AA275">
        <v>0</v>
      </c>
      <c r="AB275">
        <v>0</v>
      </c>
      <c r="AC275">
        <v>0</v>
      </c>
      <c r="AD275">
        <v>0</v>
      </c>
      <c r="AE275">
        <v>0</v>
      </c>
      <c r="AF275">
        <v>0</v>
      </c>
      <c r="AG275">
        <v>0</v>
      </c>
      <c r="AH275">
        <v>0</v>
      </c>
      <c r="AI275">
        <v>0</v>
      </c>
    </row>
    <row r="276" spans="1:36">
      <c r="I276">
        <v>25</v>
      </c>
      <c r="J276">
        <v>850.73906319912703</v>
      </c>
      <c r="K276">
        <v>580.46879292885603</v>
      </c>
      <c r="L276">
        <v>447.79066025072399</v>
      </c>
      <c r="M276">
        <v>437.96265042271398</v>
      </c>
      <c r="N276">
        <v>733.41523341523305</v>
      </c>
      <c r="O276">
        <v>541.769041769041</v>
      </c>
      <c r="P276">
        <v>404.17690417690397</v>
      </c>
      <c r="Q276">
        <v>315.72481572481502</v>
      </c>
      <c r="R276">
        <v>808.08080808080797</v>
      </c>
      <c r="S276">
        <v>555.55555555555497</v>
      </c>
      <c r="T276">
        <v>444.44444444444503</v>
      </c>
      <c r="U276">
        <v>454.54545454545399</v>
      </c>
      <c r="V276">
        <v>398.98989898989902</v>
      </c>
      <c r="W276">
        <v>358.58585858585798</v>
      </c>
      <c r="X276">
        <v>48.223350253806899</v>
      </c>
      <c r="Y276">
        <v>12.690355329949099</v>
      </c>
      <c r="Z276">
        <v>0</v>
      </c>
      <c r="AA276">
        <v>-58.375634517766599</v>
      </c>
      <c r="AB276">
        <v>-83.756345177664997</v>
      </c>
      <c r="AC276">
        <v>-215.73604060913701</v>
      </c>
      <c r="AD276">
        <v>-28.151381008790899</v>
      </c>
      <c r="AE276">
        <v>-30.296153126753399</v>
      </c>
      <c r="AF276">
        <v>-30.296153126753399</v>
      </c>
      <c r="AG276">
        <v>-45.3095579524906</v>
      </c>
      <c r="AH276">
        <v>-73.191595486002697</v>
      </c>
      <c r="AI276">
        <v>-90.349772429702398</v>
      </c>
    </row>
    <row r="277" spans="1:36">
      <c r="I277">
        <v>50</v>
      </c>
      <c r="J277">
        <v>928.75085367098097</v>
      </c>
      <c r="K277">
        <v>599.50467458454602</v>
      </c>
      <c r="L277">
        <v>456.99853207840403</v>
      </c>
      <c r="M277">
        <v>653.55872863859997</v>
      </c>
      <c r="N277">
        <v>689.18918918918905</v>
      </c>
      <c r="O277">
        <v>492.62899262899202</v>
      </c>
      <c r="P277">
        <v>359.95085995085901</v>
      </c>
      <c r="Q277">
        <v>428.74692874692801</v>
      </c>
      <c r="R277">
        <v>813.13131313131305</v>
      </c>
      <c r="S277">
        <v>570.70707070706999</v>
      </c>
      <c r="T277">
        <v>616.16161616161605</v>
      </c>
      <c r="U277">
        <v>510.10101010100999</v>
      </c>
      <c r="V277">
        <v>353.53535353535398</v>
      </c>
      <c r="W277">
        <v>454.54545454545399</v>
      </c>
      <c r="X277">
        <v>159.89847715735999</v>
      </c>
      <c r="Y277">
        <v>78.680203045685104</v>
      </c>
      <c r="Z277">
        <v>-2.5380710659899202</v>
      </c>
      <c r="AA277">
        <v>-73.604060913705695</v>
      </c>
      <c r="AB277">
        <v>-170.05076142131901</v>
      </c>
      <c r="AC277">
        <v>-256.34517766497402</v>
      </c>
      <c r="AD277">
        <v>-69.171394725356805</v>
      </c>
      <c r="AE277">
        <v>-77.750483197206606</v>
      </c>
      <c r="AF277">
        <v>-84.184799551094102</v>
      </c>
      <c r="AG277">
        <v>-101.339651266703</v>
      </c>
      <c r="AH277">
        <v>-167.82758692354</v>
      </c>
      <c r="AI277">
        <v>-184.98576386724</v>
      </c>
    </row>
    <row r="278" spans="1:36">
      <c r="I278">
        <v>75</v>
      </c>
      <c r="J278">
        <v>992.01277955271496</v>
      </c>
      <c r="K278">
        <v>618.54840608834195</v>
      </c>
      <c r="L278">
        <v>466.21425375418897</v>
      </c>
      <c r="M278">
        <v>820.02260756254304</v>
      </c>
      <c r="N278">
        <v>635.13513513513499</v>
      </c>
      <c r="O278">
        <v>438.57493857493802</v>
      </c>
      <c r="P278">
        <v>310.81081081080998</v>
      </c>
      <c r="Q278">
        <v>497.542997542997</v>
      </c>
      <c r="R278">
        <v>818.18181818181802</v>
      </c>
      <c r="S278">
        <v>590.90909090909099</v>
      </c>
      <c r="T278">
        <v>702.02020202020196</v>
      </c>
      <c r="U278">
        <v>570.70707070706999</v>
      </c>
      <c r="V278">
        <v>358.58585858585798</v>
      </c>
      <c r="W278">
        <v>535.35353535353499</v>
      </c>
      <c r="X278">
        <v>266.49746192893298</v>
      </c>
      <c r="Y278">
        <v>149.746192893401</v>
      </c>
      <c r="Z278">
        <v>53.2994923857866</v>
      </c>
      <c r="AA278">
        <v>-68.527918781726299</v>
      </c>
      <c r="AB278">
        <v>-205.58375634517699</v>
      </c>
      <c r="AC278">
        <v>-230.96446700507599</v>
      </c>
      <c r="AD278">
        <v>-110.188083213832</v>
      </c>
      <c r="AE278">
        <v>-120.911943803645</v>
      </c>
      <c r="AF278">
        <v>-133.78057651142001</v>
      </c>
      <c r="AG278">
        <v>-146.64920921919401</v>
      </c>
      <c r="AH278">
        <v>-262.46357836107802</v>
      </c>
      <c r="AI278">
        <v>-277.48030841490498</v>
      </c>
    </row>
    <row r="279" spans="1:36">
      <c r="I279">
        <v>100</v>
      </c>
      <c r="J279">
        <v>1045.45454545454</v>
      </c>
      <c r="K279">
        <v>642.50614250614206</v>
      </c>
      <c r="L279">
        <v>475.429975429975</v>
      </c>
      <c r="M279">
        <v>917.69826753852306</v>
      </c>
      <c r="N279">
        <v>585.99508599508601</v>
      </c>
      <c r="O279">
        <v>389.43488943488899</v>
      </c>
      <c r="P279">
        <v>256.75675675675598</v>
      </c>
      <c r="Q279">
        <v>502.45700245700198</v>
      </c>
      <c r="R279">
        <v>838.383838383838</v>
      </c>
      <c r="S279">
        <v>621.21212121212102</v>
      </c>
      <c r="T279">
        <v>767.67676767676801</v>
      </c>
      <c r="U279">
        <v>641.414141414141</v>
      </c>
      <c r="V279">
        <v>348.48484848484799</v>
      </c>
      <c r="W279">
        <v>560.60606060606096</v>
      </c>
      <c r="X279">
        <v>388.32487309644603</v>
      </c>
      <c r="Y279">
        <v>236.04060913705499</v>
      </c>
      <c r="Z279">
        <v>93.9086294416242</v>
      </c>
      <c r="AA279">
        <v>-43.147208121827497</v>
      </c>
      <c r="AB279">
        <v>-225.888324873096</v>
      </c>
      <c r="AC279">
        <v>-185.27918781725899</v>
      </c>
      <c r="AD279">
        <v>-153.34954382027101</v>
      </c>
      <c r="AE279">
        <v>-166.218176528046</v>
      </c>
      <c r="AF279">
        <v>-179.08680923582</v>
      </c>
      <c r="AG279">
        <v>-194.10021406155801</v>
      </c>
      <c r="AH279">
        <v>-352.81335079078002</v>
      </c>
      <c r="AI279">
        <v>-369.97152773447999</v>
      </c>
    </row>
    <row r="280" spans="1:36">
      <c r="I280">
        <v>125</v>
      </c>
      <c r="J280">
        <v>1103.8024664222701</v>
      </c>
      <c r="K280">
        <v>661.54987400993696</v>
      </c>
      <c r="L280">
        <v>484.64569710576097</v>
      </c>
      <c r="M280">
        <v>1000.61621307627</v>
      </c>
      <c r="N280">
        <v>551.59705159705095</v>
      </c>
      <c r="O280">
        <v>335.38083538083498</v>
      </c>
      <c r="P280">
        <v>202.702702702702</v>
      </c>
      <c r="Q280">
        <v>487.71498771498699</v>
      </c>
      <c r="R280">
        <v>833.33333333333303</v>
      </c>
      <c r="S280">
        <v>641.414141414141</v>
      </c>
      <c r="T280">
        <v>823.23232323232298</v>
      </c>
      <c r="U280">
        <v>707.07070707070704</v>
      </c>
      <c r="V280">
        <v>328.28282828282801</v>
      </c>
      <c r="W280">
        <v>580.80808080808094</v>
      </c>
      <c r="X280">
        <v>500</v>
      </c>
      <c r="Y280">
        <v>307.10659898477098</v>
      </c>
      <c r="Z280">
        <v>124.36548223350199</v>
      </c>
      <c r="AA280">
        <v>-48.223350253807403</v>
      </c>
      <c r="AB280">
        <v>-225.888324873096</v>
      </c>
      <c r="AC280">
        <v>-144.67005076142101</v>
      </c>
      <c r="AD280">
        <v>-194.36955753683699</v>
      </c>
      <c r="AE280">
        <v>-209.38296236257401</v>
      </c>
      <c r="AF280">
        <v>-224.399692416401</v>
      </c>
      <c r="AG280">
        <v>-239.409772014049</v>
      </c>
      <c r="AH280">
        <v>-447.45266745640799</v>
      </c>
      <c r="AI280">
        <v>-462.46607228214498</v>
      </c>
    </row>
    <row r="281" spans="1:36">
      <c r="I281">
        <v>150</v>
      </c>
      <c r="J281">
        <v>1162.1582372380999</v>
      </c>
      <c r="K281">
        <v>675.67175075162299</v>
      </c>
      <c r="L281">
        <v>493.85356893344101</v>
      </c>
      <c r="M281">
        <v>1068.79214387201</v>
      </c>
      <c r="N281">
        <v>517.19901719901702</v>
      </c>
      <c r="O281">
        <v>286.24078624078601</v>
      </c>
      <c r="P281">
        <v>148.64864864864799</v>
      </c>
      <c r="Q281">
        <v>472.972972972972</v>
      </c>
      <c r="R281">
        <v>848.48484848484804</v>
      </c>
      <c r="S281">
        <v>676.76767676767702</v>
      </c>
      <c r="T281">
        <v>868.68686868686905</v>
      </c>
      <c r="U281">
        <v>772.72727272727298</v>
      </c>
      <c r="V281">
        <v>338.383838383838</v>
      </c>
      <c r="W281">
        <v>601.01010101010104</v>
      </c>
      <c r="X281">
        <v>616.751269035532</v>
      </c>
      <c r="Y281">
        <v>393.40101522842599</v>
      </c>
      <c r="Z281">
        <v>185.27918781725799</v>
      </c>
      <c r="AA281">
        <v>-22.842639593908601</v>
      </c>
      <c r="AB281">
        <v>-225.888324873096</v>
      </c>
      <c r="AC281">
        <v>-109.137055837563</v>
      </c>
      <c r="AD281">
        <v>-235.38957125340301</v>
      </c>
      <c r="AE281">
        <v>-252.54774819710201</v>
      </c>
      <c r="AF281">
        <v>-273.99879460481702</v>
      </c>
      <c r="AG281">
        <v>-286.86742731259199</v>
      </c>
      <c r="AH281">
        <v>-539.94721200407298</v>
      </c>
      <c r="AI281">
        <v>-554.9639420579</v>
      </c>
    </row>
    <row r="282" spans="1:36">
      <c r="I282">
        <v>175</v>
      </c>
      <c r="J282">
        <v>1220.51400805394</v>
      </c>
      <c r="K282">
        <v>694.71548225541801</v>
      </c>
      <c r="L282">
        <v>503.06929060922602</v>
      </c>
      <c r="M282">
        <v>1136.97592451586</v>
      </c>
      <c r="N282">
        <v>477.88697788697698</v>
      </c>
      <c r="O282">
        <v>237.10073710073701</v>
      </c>
      <c r="P282">
        <v>99.508599508599204</v>
      </c>
      <c r="Q282">
        <v>453.316953316953</v>
      </c>
      <c r="R282">
        <v>853.53535353535403</v>
      </c>
      <c r="S282">
        <v>707.07070707070704</v>
      </c>
      <c r="T282">
        <v>919.19191919191906</v>
      </c>
      <c r="U282">
        <v>843.43434343434296</v>
      </c>
      <c r="V282">
        <v>318.18181818181802</v>
      </c>
      <c r="W282">
        <v>606.06060606060601</v>
      </c>
      <c r="X282">
        <v>733.50253807106503</v>
      </c>
      <c r="Y282">
        <v>474.61928934010098</v>
      </c>
      <c r="Z282">
        <v>220.812182741116</v>
      </c>
      <c r="AA282">
        <v>-12.690355329949099</v>
      </c>
      <c r="AB282">
        <v>-225.888324873096</v>
      </c>
      <c r="AC282">
        <v>-63.451776649746002</v>
      </c>
      <c r="AD282">
        <v>-276.40958496996899</v>
      </c>
      <c r="AE282">
        <v>-295.709208803541</v>
      </c>
      <c r="AF282">
        <v>-319.30502732921798</v>
      </c>
      <c r="AG282">
        <v>-332.17033480890302</v>
      </c>
      <c r="AH282">
        <v>-634.58652866969999</v>
      </c>
      <c r="AI282">
        <v>-647.45516137747495</v>
      </c>
    </row>
    <row r="283" spans="1:36">
      <c r="I283">
        <v>200</v>
      </c>
      <c r="J283">
        <v>1273.96362380387</v>
      </c>
      <c r="K283">
        <v>718.66536882511298</v>
      </c>
      <c r="L283">
        <v>507.378857219113</v>
      </c>
      <c r="M283">
        <v>1200.2457002456999</v>
      </c>
      <c r="N283">
        <v>448.40294840294803</v>
      </c>
      <c r="O283">
        <v>187.96068796068701</v>
      </c>
      <c r="P283">
        <v>50.368550368550302</v>
      </c>
      <c r="Q283">
        <v>438.57493857493802</v>
      </c>
      <c r="R283">
        <v>858.585858585859</v>
      </c>
      <c r="S283">
        <v>732.32323232323199</v>
      </c>
      <c r="T283">
        <v>954.54545454545496</v>
      </c>
      <c r="U283">
        <v>904.04040404040404</v>
      </c>
      <c r="V283">
        <v>323.23232323232298</v>
      </c>
      <c r="W283">
        <v>621.21212121212102</v>
      </c>
      <c r="X283">
        <v>855.32994923857802</v>
      </c>
      <c r="Y283">
        <v>545.68527918781695</v>
      </c>
      <c r="Z283">
        <v>276.64974619289302</v>
      </c>
      <c r="AA283">
        <v>-2.5380710659899202</v>
      </c>
      <c r="AB283">
        <v>-225.888324873096</v>
      </c>
      <c r="AC283">
        <v>-22.842639593908601</v>
      </c>
      <c r="AD283">
        <v>-319.57104557640702</v>
      </c>
      <c r="AE283">
        <v>-338.87399463806901</v>
      </c>
      <c r="AF283">
        <v>-364.60793482552901</v>
      </c>
      <c r="AG283">
        <v>-377.47656753330398</v>
      </c>
      <c r="AH283">
        <v>-727.08107321736497</v>
      </c>
      <c r="AI283">
        <v>-737.801608579088</v>
      </c>
    </row>
    <row r="285" spans="1:36">
      <c r="I285" t="s">
        <v>2807</v>
      </c>
      <c r="J285" t="s">
        <v>2820</v>
      </c>
      <c r="K285" t="s">
        <v>2821</v>
      </c>
      <c r="L285" t="s">
        <v>2822</v>
      </c>
      <c r="M285" t="s">
        <v>2823</v>
      </c>
      <c r="N285" t="s">
        <v>2824</v>
      </c>
      <c r="O285" t="s">
        <v>2825</v>
      </c>
      <c r="P285" t="s">
        <v>2826</v>
      </c>
      <c r="Q285" t="s">
        <v>2827</v>
      </c>
      <c r="R285" t="s">
        <v>2828</v>
      </c>
      <c r="S285" t="s">
        <v>2829</v>
      </c>
      <c r="T285" t="s">
        <v>2830</v>
      </c>
      <c r="U285" t="s">
        <v>2831</v>
      </c>
      <c r="W285" t="s">
        <v>2823</v>
      </c>
      <c r="X285" t="s">
        <v>2824</v>
      </c>
      <c r="Y285" t="s">
        <v>2832</v>
      </c>
      <c r="Z285" t="s">
        <v>2833</v>
      </c>
      <c r="AA285" t="s">
        <v>2827</v>
      </c>
      <c r="AB285" t="s">
        <v>2828</v>
      </c>
      <c r="AC285" t="s">
        <v>2829</v>
      </c>
      <c r="AD285" t="s">
        <v>2830</v>
      </c>
      <c r="AE285" t="s">
        <v>2831</v>
      </c>
      <c r="AG285" t="s">
        <v>2827</v>
      </c>
      <c r="AH285" t="s">
        <v>2828</v>
      </c>
    </row>
    <row r="286" spans="1:36">
      <c r="I286">
        <v>50</v>
      </c>
      <c r="J286" t="s">
        <v>292</v>
      </c>
      <c r="K286" s="2" t="s">
        <v>277</v>
      </c>
      <c r="M286">
        <v>0</v>
      </c>
      <c r="N286">
        <v>264.61872586084911</v>
      </c>
      <c r="O286">
        <v>0</v>
      </c>
      <c r="P286">
        <v>145.3587976415094</v>
      </c>
      <c r="Q286">
        <v>-456.78692783823215</v>
      </c>
      <c r="R286">
        <v>-654.85817268246092</v>
      </c>
      <c r="S286">
        <v>1</v>
      </c>
      <c r="T286">
        <v>1</v>
      </c>
      <c r="U286" t="s">
        <v>2834</v>
      </c>
      <c r="W286">
        <v>0</v>
      </c>
      <c r="X286" t="e">
        <f t="shared" ref="X286:X349" ca="1" si="46">SUM(INDIRECT("'[2022 - Aryapratama &amp; Pauliuk - STE - AppD.xlsx]"&amp;$K286&amp;"'!D2:D"&amp;$I286+1))</f>
        <v>#REF!</v>
      </c>
      <c r="Y286">
        <v>0</v>
      </c>
      <c r="Z286" t="e">
        <f t="shared" ref="Z286:Z349" ca="1" si="47">SUM(INDIRECT("'[2022 - Aryapratama &amp; Pauliuk - STE - AppD.xlsx]"&amp;$K286&amp;"'!H2:H"&amp;$I286+1))</f>
        <v>#REF!</v>
      </c>
      <c r="AA286" s="152" t="e">
        <f t="shared" ref="AA286:AA291" ca="1" si="48">INDIRECT($AE286&amp;$I286+2&amp;"C"&amp;MATCH(RIGHT(J286,$AC286+3)&amp;" (t-CO2eq)",INDIRECT($AE286&amp;$AD286,FALSE),0),FALSE)</f>
        <v>#REF!</v>
      </c>
      <c r="AB286" s="152" t="e">
        <f t="shared" ref="AB286:AB291" ca="1" si="49">INDIRECT($AE286&amp;$I286+2&amp;"C"&amp;MATCH(RIGHT(K286,$AC286)&amp;" (t-CO2eq)",INDIRECT($AE286&amp;$AD286,FALSE),0),FALSE)</f>
        <v>#REF!</v>
      </c>
      <c r="AC286">
        <v>1</v>
      </c>
      <c r="AD286">
        <v>1</v>
      </c>
      <c r="AE286" t="str">
        <f t="shared" ref="AE286:AE291" si="50">"'[2022 - Aryapratama &amp; Pauliuk - STE - AppF.xlsx]GWPdyn_"&amp;LEFT(K286,5)&amp;" - Fig.4(f)'!L"</f>
        <v>'[2022 - Aryapratama &amp; Pauliuk - STE - AppF.xlsx]GWPdyn_PF_PO - Fig.4(f)'!L</v>
      </c>
      <c r="AG286">
        <v>456.78692783823215</v>
      </c>
      <c r="AH286">
        <v>654.85817268246092</v>
      </c>
      <c r="AI286">
        <f t="shared" ref="AI286:AJ349" si="51">-AG286</f>
        <v>-456.78692783823215</v>
      </c>
      <c r="AJ286">
        <f>-AH286</f>
        <v>-654.85817268246092</v>
      </c>
    </row>
    <row r="287" spans="1:36">
      <c r="I287">
        <v>100</v>
      </c>
      <c r="J287" t="s">
        <v>292</v>
      </c>
      <c r="K287" s="2" t="s">
        <v>277</v>
      </c>
      <c r="M287">
        <v>0</v>
      </c>
      <c r="N287">
        <v>341.92410211084911</v>
      </c>
      <c r="O287">
        <v>0</v>
      </c>
      <c r="P287">
        <v>164.91714764150942</v>
      </c>
      <c r="Q287">
        <v>-476.23317385650159</v>
      </c>
      <c r="R287">
        <v>-922.29525217943831</v>
      </c>
      <c r="S287">
        <v>1</v>
      </c>
      <c r="T287">
        <v>1</v>
      </c>
      <c r="U287" t="s">
        <v>2834</v>
      </c>
      <c r="W287">
        <v>0</v>
      </c>
      <c r="X287" t="e">
        <f t="shared" ca="1" si="46"/>
        <v>#REF!</v>
      </c>
      <c r="Y287">
        <v>0</v>
      </c>
      <c r="Z287" t="e">
        <f t="shared" ca="1" si="47"/>
        <v>#REF!</v>
      </c>
      <c r="AA287" s="152" t="e">
        <f t="shared" ca="1" si="48"/>
        <v>#REF!</v>
      </c>
      <c r="AB287" s="152" t="e">
        <f t="shared" ca="1" si="49"/>
        <v>#REF!</v>
      </c>
      <c r="AC287">
        <v>1</v>
      </c>
      <c r="AD287">
        <v>1</v>
      </c>
      <c r="AE287" t="str">
        <f t="shared" si="50"/>
        <v>'[2022 - Aryapratama &amp; Pauliuk - STE - AppF.xlsx]GWPdyn_PF_PO - Fig.4(f)'!L</v>
      </c>
      <c r="AG287">
        <v>476.23317385650159</v>
      </c>
      <c r="AH287">
        <v>922.29525217943831</v>
      </c>
      <c r="AI287">
        <f t="shared" si="51"/>
        <v>-476.23317385650159</v>
      </c>
      <c r="AJ287">
        <f t="shared" si="51"/>
        <v>-922.29525217943831</v>
      </c>
    </row>
    <row r="288" spans="1:36">
      <c r="I288">
        <v>200</v>
      </c>
      <c r="J288" t="s">
        <v>292</v>
      </c>
      <c r="K288" s="2" t="s">
        <v>277</v>
      </c>
      <c r="M288">
        <v>0</v>
      </c>
      <c r="N288">
        <v>496.5348546108491</v>
      </c>
      <c r="O288">
        <v>0</v>
      </c>
      <c r="P288">
        <v>204.03384764150945</v>
      </c>
      <c r="Q288">
        <v>-514.73759172333291</v>
      </c>
      <c r="R288">
        <v>-1206.3347109067272</v>
      </c>
      <c r="S288">
        <v>1</v>
      </c>
      <c r="T288">
        <v>1</v>
      </c>
      <c r="U288" t="s">
        <v>2834</v>
      </c>
      <c r="W288">
        <v>0</v>
      </c>
      <c r="X288" t="e">
        <f t="shared" ca="1" si="46"/>
        <v>#REF!</v>
      </c>
      <c r="Y288">
        <v>0</v>
      </c>
      <c r="Z288" t="e">
        <f t="shared" ca="1" si="47"/>
        <v>#REF!</v>
      </c>
      <c r="AA288" s="152" t="e">
        <f t="shared" ca="1" si="48"/>
        <v>#REF!</v>
      </c>
      <c r="AB288" s="152" t="e">
        <f t="shared" ca="1" si="49"/>
        <v>#REF!</v>
      </c>
      <c r="AC288">
        <v>1</v>
      </c>
      <c r="AD288">
        <v>1</v>
      </c>
      <c r="AE288" t="str">
        <f t="shared" si="50"/>
        <v>'[2022 - Aryapratama &amp; Pauliuk - STE - AppF.xlsx]GWPdyn_PF_PO - Fig.4(f)'!L</v>
      </c>
      <c r="AG288">
        <v>514.73759172333291</v>
      </c>
      <c r="AH288">
        <v>1206.3347109067272</v>
      </c>
      <c r="AI288">
        <f t="shared" si="51"/>
        <v>-514.73759172333291</v>
      </c>
      <c r="AJ288">
        <f t="shared" si="51"/>
        <v>-1206.3347109067272</v>
      </c>
    </row>
    <row r="289" spans="9:36">
      <c r="I289">
        <v>50</v>
      </c>
      <c r="J289" t="s">
        <v>328</v>
      </c>
      <c r="K289" s="2" t="s">
        <v>327</v>
      </c>
      <c r="M289">
        <v>0</v>
      </c>
      <c r="N289">
        <v>263.98307948584909</v>
      </c>
      <c r="O289">
        <v>0</v>
      </c>
      <c r="P289">
        <v>196.41951018867931</v>
      </c>
      <c r="Q289">
        <v>-601.12201901040225</v>
      </c>
      <c r="R289">
        <v>-930.07336759388943</v>
      </c>
      <c r="S289">
        <v>1</v>
      </c>
      <c r="T289">
        <v>1</v>
      </c>
      <c r="U289" t="s">
        <v>2834</v>
      </c>
      <c r="W289">
        <v>0</v>
      </c>
      <c r="X289" t="e">
        <f t="shared" ca="1" si="46"/>
        <v>#REF!</v>
      </c>
      <c r="Y289">
        <v>0</v>
      </c>
      <c r="Z289" t="e">
        <f t="shared" ca="1" si="47"/>
        <v>#REF!</v>
      </c>
      <c r="AA289" s="152" t="e">
        <f t="shared" ca="1" si="48"/>
        <v>#REF!</v>
      </c>
      <c r="AB289" s="152" t="e">
        <f t="shared" ca="1" si="49"/>
        <v>#REF!</v>
      </c>
      <c r="AC289">
        <v>1</v>
      </c>
      <c r="AD289">
        <v>1</v>
      </c>
      <c r="AE289" t="str">
        <f t="shared" si="50"/>
        <v>'[2022 - Aryapratama &amp; Pauliuk - STE - AppF.xlsx]GWPdyn_PF_PO - Fig.4(f)'!L</v>
      </c>
      <c r="AG289">
        <v>601.12201901040225</v>
      </c>
      <c r="AH289">
        <v>930.07336759388943</v>
      </c>
      <c r="AI289">
        <f t="shared" si="51"/>
        <v>-601.12201901040225</v>
      </c>
      <c r="AJ289">
        <f t="shared" si="51"/>
        <v>-930.07336759388943</v>
      </c>
    </row>
    <row r="290" spans="9:36">
      <c r="I290">
        <v>100</v>
      </c>
      <c r="J290" t="s">
        <v>328</v>
      </c>
      <c r="K290" s="2" t="s">
        <v>327</v>
      </c>
      <c r="M290">
        <v>0</v>
      </c>
      <c r="N290">
        <v>340.01716298584904</v>
      </c>
      <c r="O290">
        <v>0</v>
      </c>
      <c r="P290">
        <v>227.71287018867932</v>
      </c>
      <c r="Q290">
        <v>-640.9681065668517</v>
      </c>
      <c r="R290">
        <v>-1049.6296143500765</v>
      </c>
      <c r="S290">
        <v>1</v>
      </c>
      <c r="T290">
        <v>1</v>
      </c>
      <c r="U290" t="s">
        <v>2834</v>
      </c>
      <c r="W290">
        <v>0</v>
      </c>
      <c r="X290" t="e">
        <f t="shared" ca="1" si="46"/>
        <v>#REF!</v>
      </c>
      <c r="Y290">
        <v>0</v>
      </c>
      <c r="Z290" t="e">
        <f t="shared" ca="1" si="47"/>
        <v>#REF!</v>
      </c>
      <c r="AA290" s="152" t="e">
        <f t="shared" ca="1" si="48"/>
        <v>#REF!</v>
      </c>
      <c r="AB290" s="152" t="e">
        <f t="shared" ca="1" si="49"/>
        <v>#REF!</v>
      </c>
      <c r="AC290">
        <v>1</v>
      </c>
      <c r="AD290">
        <v>1</v>
      </c>
      <c r="AE290" t="str">
        <f t="shared" si="50"/>
        <v>'[2022 - Aryapratama &amp; Pauliuk - STE - AppF.xlsx]GWPdyn_PF_PO - Fig.4(f)'!L</v>
      </c>
      <c r="AG290">
        <v>640.9681065668517</v>
      </c>
      <c r="AH290">
        <v>1049.6296143500765</v>
      </c>
      <c r="AI290">
        <f t="shared" si="51"/>
        <v>-640.9681065668517</v>
      </c>
      <c r="AJ290">
        <f t="shared" si="51"/>
        <v>-1049.6296143500765</v>
      </c>
    </row>
    <row r="291" spans="9:36">
      <c r="I291">
        <v>200</v>
      </c>
      <c r="J291" t="s">
        <v>328</v>
      </c>
      <c r="K291" s="2" t="s">
        <v>327</v>
      </c>
      <c r="M291">
        <v>0</v>
      </c>
      <c r="N291">
        <v>492.08532998584894</v>
      </c>
      <c r="O291">
        <v>0</v>
      </c>
      <c r="P291">
        <v>290.2995901886793</v>
      </c>
      <c r="Q291">
        <v>-719.97535000585367</v>
      </c>
      <c r="R291">
        <v>-1282.169207878547</v>
      </c>
      <c r="S291">
        <v>1</v>
      </c>
      <c r="T291">
        <v>1</v>
      </c>
      <c r="U291" t="s">
        <v>2834</v>
      </c>
      <c r="W291">
        <v>0</v>
      </c>
      <c r="X291" t="e">
        <f t="shared" ca="1" si="46"/>
        <v>#REF!</v>
      </c>
      <c r="Y291">
        <v>0</v>
      </c>
      <c r="Z291" t="e">
        <f t="shared" ca="1" si="47"/>
        <v>#REF!</v>
      </c>
      <c r="AA291" s="152" t="e">
        <f t="shared" ca="1" si="48"/>
        <v>#REF!</v>
      </c>
      <c r="AB291" s="152" t="e">
        <f t="shared" ca="1" si="49"/>
        <v>#REF!</v>
      </c>
      <c r="AC291">
        <v>1</v>
      </c>
      <c r="AD291">
        <v>1</v>
      </c>
      <c r="AE291" t="str">
        <f t="shared" si="50"/>
        <v>'[2022 - Aryapratama &amp; Pauliuk - STE - AppF.xlsx]GWPdyn_PF_PO - Fig.4(f)'!L</v>
      </c>
      <c r="AG291">
        <v>719.97535000585367</v>
      </c>
      <c r="AH291">
        <v>1282.169207878547</v>
      </c>
      <c r="AI291">
        <f t="shared" si="51"/>
        <v>-719.97535000585367</v>
      </c>
      <c r="AJ291">
        <f t="shared" si="51"/>
        <v>-1282.169207878547</v>
      </c>
    </row>
    <row r="292" spans="9:36">
      <c r="I292">
        <v>50</v>
      </c>
      <c r="J292" t="s">
        <v>294</v>
      </c>
      <c r="K292" s="2" t="s">
        <v>276</v>
      </c>
      <c r="M292">
        <v>0</v>
      </c>
      <c r="N292">
        <v>225.96603773584911</v>
      </c>
      <c r="O292">
        <v>0</v>
      </c>
      <c r="P292">
        <v>135.57962264150939</v>
      </c>
      <c r="Q292">
        <v>-358.5631578083391</v>
      </c>
      <c r="R292">
        <v>-430.22235574765915</v>
      </c>
      <c r="S292">
        <v>1</v>
      </c>
      <c r="T292">
        <v>1</v>
      </c>
      <c r="U292" t="s">
        <v>2835</v>
      </c>
      <c r="W292">
        <v>0</v>
      </c>
      <c r="X292" t="e">
        <f t="shared" ca="1" si="46"/>
        <v>#REF!</v>
      </c>
      <c r="Y292">
        <v>0</v>
      </c>
      <c r="Z292" t="e">
        <f t="shared" ca="1" si="47"/>
        <v>#REF!</v>
      </c>
      <c r="AA292" s="152" t="e">
        <f t="shared" ref="AA292:AA333" ca="1" si="52">INDIRECT($AE292&amp;$I292+2&amp;"C"&amp;MATCH(RIGHT(J292,$AC292+3)&amp;" (t-CO2-eq)",INDIRECT($AE292&amp;$AD292,FALSE),0),FALSE)</f>
        <v>#REF!</v>
      </c>
      <c r="AB292" s="152" t="e">
        <f t="shared" ref="AB292:AB333" ca="1" si="53">INDIRECT($AE292&amp;$I292+2&amp;"C"&amp;MATCH(RIGHT(K292,$AC292)&amp;" (t-CO2-eq)",INDIRECT($AE292&amp;$AD292,FALSE),0),FALSE)</f>
        <v>#REF!</v>
      </c>
      <c r="AC292">
        <v>1</v>
      </c>
      <c r="AD292">
        <v>1</v>
      </c>
      <c r="AE292" t="str">
        <f t="shared" ref="AE292:AE297" si="54">"'[2022 - Aryapratama &amp; Pauliuk - STE - AppF.xlsx]GWPdyn_"&amp;LEFT(K292,5)&amp;" - Fig.4(g)'!L"</f>
        <v>'[2022 - Aryapratama &amp; Pauliuk - STE - AppF.xlsx]GWPdyn_PF_SF - Fig.4(g)'!L</v>
      </c>
      <c r="AG292">
        <v>358.5631578083391</v>
      </c>
      <c r="AH292">
        <v>430.22235574765915</v>
      </c>
      <c r="AI292">
        <f t="shared" si="51"/>
        <v>-358.5631578083391</v>
      </c>
      <c r="AJ292">
        <f t="shared" si="51"/>
        <v>-430.22235574765915</v>
      </c>
    </row>
    <row r="293" spans="9:36">
      <c r="I293">
        <v>100</v>
      </c>
      <c r="J293" t="s">
        <v>294</v>
      </c>
      <c r="K293" s="2" t="s">
        <v>276</v>
      </c>
      <c r="M293">
        <v>0</v>
      </c>
      <c r="N293">
        <v>225.96603773584911</v>
      </c>
      <c r="O293">
        <v>0</v>
      </c>
      <c r="P293">
        <v>135.57962264150939</v>
      </c>
      <c r="Q293">
        <v>-256.36341951965699</v>
      </c>
      <c r="R293">
        <v>-502.68675849347369</v>
      </c>
      <c r="S293">
        <v>1</v>
      </c>
      <c r="T293">
        <v>1</v>
      </c>
      <c r="U293" t="s">
        <v>2835</v>
      </c>
      <c r="W293">
        <v>0</v>
      </c>
      <c r="X293" t="e">
        <f t="shared" ca="1" si="46"/>
        <v>#REF!</v>
      </c>
      <c r="Y293">
        <v>0</v>
      </c>
      <c r="Z293" t="e">
        <f t="shared" ca="1" si="47"/>
        <v>#REF!</v>
      </c>
      <c r="AA293" s="152" t="e">
        <f t="shared" ca="1" si="52"/>
        <v>#REF!</v>
      </c>
      <c r="AB293" s="152" t="e">
        <f t="shared" ca="1" si="53"/>
        <v>#REF!</v>
      </c>
      <c r="AC293">
        <v>1</v>
      </c>
      <c r="AD293">
        <v>1</v>
      </c>
      <c r="AE293" t="str">
        <f t="shared" si="54"/>
        <v>'[2022 - Aryapratama &amp; Pauliuk - STE - AppF.xlsx]GWPdyn_PF_SF - Fig.4(g)'!L</v>
      </c>
      <c r="AG293">
        <v>256.36341951965699</v>
      </c>
      <c r="AH293">
        <v>502.68675849347369</v>
      </c>
      <c r="AI293">
        <f t="shared" si="51"/>
        <v>-256.36341951965699</v>
      </c>
      <c r="AJ293">
        <f t="shared" si="51"/>
        <v>-502.68675849347369</v>
      </c>
    </row>
    <row r="294" spans="9:36">
      <c r="I294">
        <v>200</v>
      </c>
      <c r="J294" t="s">
        <v>294</v>
      </c>
      <c r="K294" s="2" t="s">
        <v>276</v>
      </c>
      <c r="M294">
        <v>0</v>
      </c>
      <c r="N294">
        <v>225.96603773584911</v>
      </c>
      <c r="O294">
        <v>0</v>
      </c>
      <c r="P294">
        <v>135.57962264150939</v>
      </c>
      <c r="Q294">
        <v>-51.111049251716672</v>
      </c>
      <c r="R294">
        <v>-435.66826611219864</v>
      </c>
      <c r="S294">
        <v>1</v>
      </c>
      <c r="T294">
        <v>1</v>
      </c>
      <c r="U294" t="s">
        <v>2835</v>
      </c>
      <c r="W294">
        <v>0</v>
      </c>
      <c r="X294" t="e">
        <f t="shared" ca="1" si="46"/>
        <v>#REF!</v>
      </c>
      <c r="Y294">
        <v>0</v>
      </c>
      <c r="Z294" t="e">
        <f t="shared" ca="1" si="47"/>
        <v>#REF!</v>
      </c>
      <c r="AA294" s="152" t="e">
        <f t="shared" ca="1" si="52"/>
        <v>#REF!</v>
      </c>
      <c r="AB294" s="152" t="e">
        <f t="shared" ca="1" si="53"/>
        <v>#REF!</v>
      </c>
      <c r="AC294">
        <v>1</v>
      </c>
      <c r="AD294">
        <v>1</v>
      </c>
      <c r="AE294" t="str">
        <f t="shared" si="54"/>
        <v>'[2022 - Aryapratama &amp; Pauliuk - STE - AppF.xlsx]GWPdyn_PF_SF - Fig.4(g)'!L</v>
      </c>
      <c r="AG294">
        <v>51.111049251716672</v>
      </c>
      <c r="AH294">
        <v>435.66826611219864</v>
      </c>
      <c r="AI294">
        <f t="shared" si="51"/>
        <v>-51.111049251716672</v>
      </c>
      <c r="AJ294">
        <f t="shared" si="51"/>
        <v>-435.66826611219864</v>
      </c>
    </row>
    <row r="295" spans="9:36">
      <c r="I295">
        <v>50</v>
      </c>
      <c r="J295" t="s">
        <v>329</v>
      </c>
      <c r="K295" s="2" t="s">
        <v>321</v>
      </c>
      <c r="M295">
        <v>0</v>
      </c>
      <c r="N295">
        <v>225.96603773584911</v>
      </c>
      <c r="O295">
        <v>0</v>
      </c>
      <c r="P295">
        <v>180.77283018867931</v>
      </c>
      <c r="Q295">
        <v>-492.14170694588267</v>
      </c>
      <c r="R295">
        <v>-683.46368424028469</v>
      </c>
      <c r="S295">
        <v>1</v>
      </c>
      <c r="T295">
        <v>1</v>
      </c>
      <c r="U295" t="s">
        <v>2835</v>
      </c>
      <c r="W295">
        <v>0</v>
      </c>
      <c r="X295" t="e">
        <f t="shared" ca="1" si="46"/>
        <v>#REF!</v>
      </c>
      <c r="Y295">
        <v>0</v>
      </c>
      <c r="Z295" t="e">
        <f t="shared" ca="1" si="47"/>
        <v>#REF!</v>
      </c>
      <c r="AA295" s="152" t="e">
        <f t="shared" ca="1" si="52"/>
        <v>#REF!</v>
      </c>
      <c r="AB295" s="152" t="e">
        <f t="shared" ca="1" si="53"/>
        <v>#REF!</v>
      </c>
      <c r="AC295">
        <v>1</v>
      </c>
      <c r="AD295">
        <v>1</v>
      </c>
      <c r="AE295" t="str">
        <f t="shared" si="54"/>
        <v>'[2022 - Aryapratama &amp; Pauliuk - STE - AppF.xlsx]GWPdyn_PF_SF - Fig.4(g)'!L</v>
      </c>
      <c r="AG295">
        <v>492.14170694588267</v>
      </c>
      <c r="AH295">
        <v>683.46368424028469</v>
      </c>
      <c r="AI295">
        <f t="shared" si="51"/>
        <v>-492.14170694588267</v>
      </c>
      <c r="AJ295">
        <f t="shared" si="51"/>
        <v>-683.46368424028469</v>
      </c>
    </row>
    <row r="296" spans="9:36">
      <c r="I296">
        <v>100</v>
      </c>
      <c r="J296" t="s">
        <v>329</v>
      </c>
      <c r="K296" s="2" t="s">
        <v>321</v>
      </c>
      <c r="M296">
        <v>0</v>
      </c>
      <c r="N296">
        <v>225.96603773584911</v>
      </c>
      <c r="O296">
        <v>0</v>
      </c>
      <c r="P296">
        <v>180.77283018867931</v>
      </c>
      <c r="Q296">
        <v>-389.94196865720068</v>
      </c>
      <c r="R296">
        <v>-588.42624598329485</v>
      </c>
      <c r="S296">
        <v>1</v>
      </c>
      <c r="T296">
        <v>1</v>
      </c>
      <c r="U296" t="s">
        <v>2835</v>
      </c>
      <c r="W296">
        <v>0</v>
      </c>
      <c r="X296" t="e">
        <f t="shared" ca="1" si="46"/>
        <v>#REF!</v>
      </c>
      <c r="Y296">
        <v>0</v>
      </c>
      <c r="Z296" t="e">
        <f t="shared" ca="1" si="47"/>
        <v>#REF!</v>
      </c>
      <c r="AA296" s="152" t="e">
        <f t="shared" ca="1" si="52"/>
        <v>#REF!</v>
      </c>
      <c r="AB296" s="152" t="e">
        <f t="shared" ca="1" si="53"/>
        <v>#REF!</v>
      </c>
      <c r="AC296">
        <v>1</v>
      </c>
      <c r="AD296">
        <v>1</v>
      </c>
      <c r="AE296" t="str">
        <f t="shared" si="54"/>
        <v>'[2022 - Aryapratama &amp; Pauliuk - STE - AppF.xlsx]GWPdyn_PF_SF - Fig.4(g)'!L</v>
      </c>
      <c r="AG296">
        <v>389.94196865720068</v>
      </c>
      <c r="AH296">
        <v>588.42624598329485</v>
      </c>
      <c r="AI296">
        <f t="shared" si="51"/>
        <v>-389.94196865720068</v>
      </c>
      <c r="AJ296">
        <f t="shared" si="51"/>
        <v>-588.42624598329485</v>
      </c>
    </row>
    <row r="297" spans="9:36">
      <c r="I297">
        <v>200</v>
      </c>
      <c r="J297" t="s">
        <v>329</v>
      </c>
      <c r="K297" s="2" t="s">
        <v>321</v>
      </c>
      <c r="M297">
        <v>0</v>
      </c>
      <c r="N297">
        <v>225.96603773584911</v>
      </c>
      <c r="O297">
        <v>0</v>
      </c>
      <c r="P297">
        <v>180.77283018867931</v>
      </c>
      <c r="Q297">
        <v>-184.68959838926031</v>
      </c>
      <c r="R297">
        <v>-448.98121307248744</v>
      </c>
      <c r="S297">
        <v>1</v>
      </c>
      <c r="T297">
        <v>1</v>
      </c>
      <c r="U297" t="s">
        <v>2835</v>
      </c>
      <c r="W297">
        <v>0</v>
      </c>
      <c r="X297" t="e">
        <f t="shared" ca="1" si="46"/>
        <v>#REF!</v>
      </c>
      <c r="Y297">
        <v>0</v>
      </c>
      <c r="Z297" t="e">
        <f t="shared" ca="1" si="47"/>
        <v>#REF!</v>
      </c>
      <c r="AA297" s="152" t="e">
        <f t="shared" ca="1" si="52"/>
        <v>#REF!</v>
      </c>
      <c r="AB297" s="152" t="e">
        <f t="shared" ca="1" si="53"/>
        <v>#REF!</v>
      </c>
      <c r="AC297">
        <v>1</v>
      </c>
      <c r="AD297">
        <v>1</v>
      </c>
      <c r="AE297" t="str">
        <f t="shared" si="54"/>
        <v>'[2022 - Aryapratama &amp; Pauliuk - STE - AppF.xlsx]GWPdyn_PF_SF - Fig.4(g)'!L</v>
      </c>
      <c r="AG297">
        <v>184.68959838926031</v>
      </c>
      <c r="AH297">
        <v>448.98121307248744</v>
      </c>
      <c r="AI297">
        <f t="shared" si="51"/>
        <v>-184.68959838926031</v>
      </c>
      <c r="AJ297">
        <f t="shared" si="51"/>
        <v>-448.98121307248744</v>
      </c>
    </row>
    <row r="298" spans="9:36">
      <c r="I298">
        <v>50</v>
      </c>
      <c r="J298" t="s">
        <v>2836</v>
      </c>
      <c r="K298" s="2" t="s">
        <v>2837</v>
      </c>
      <c r="M298">
        <v>0</v>
      </c>
      <c r="N298">
        <v>590.46886193540468</v>
      </c>
      <c r="O298">
        <v>0</v>
      </c>
      <c r="P298">
        <v>265.71098787093206</v>
      </c>
      <c r="Q298">
        <v>-559.28752781846788</v>
      </c>
      <c r="R298">
        <v>-870.70033536556764</v>
      </c>
      <c r="S298">
        <v>7</v>
      </c>
      <c r="T298">
        <v>2</v>
      </c>
      <c r="U298" t="s">
        <v>2838</v>
      </c>
      <c r="W298">
        <v>0</v>
      </c>
      <c r="X298" t="e">
        <f t="shared" ca="1" si="46"/>
        <v>#REF!</v>
      </c>
      <c r="Y298">
        <v>0</v>
      </c>
      <c r="Z298" t="e">
        <f t="shared" ca="1" si="47"/>
        <v>#REF!</v>
      </c>
      <c r="AA298" s="152" t="e">
        <f t="shared" ca="1" si="52"/>
        <v>#REF!</v>
      </c>
      <c r="AB298" s="152" t="e">
        <f t="shared" ca="1" si="53"/>
        <v>#REF!</v>
      </c>
      <c r="AC298">
        <v>7</v>
      </c>
      <c r="AD298">
        <v>2</v>
      </c>
      <c r="AE298" t="str">
        <f t="shared" ref="AE298:AE309" si="55">"'[2022 - Aryapratama &amp; Pauliuk - STE - AppF.xlsx]GWPdyn_"&amp;LEFT(K298,5)&amp;" - Fig.4(h)'!L"</f>
        <v>'[2022 - Aryapratama &amp; Pauliuk - STE - AppF.xlsx]GWPdyn_PF_FP - Fig.4(h)'!L</v>
      </c>
      <c r="AG298">
        <v>559.28752781846788</v>
      </c>
      <c r="AH298">
        <v>870.70033536556764</v>
      </c>
      <c r="AI298">
        <f t="shared" si="51"/>
        <v>-559.28752781846788</v>
      </c>
      <c r="AJ298">
        <f t="shared" si="51"/>
        <v>-870.70033536556764</v>
      </c>
    </row>
    <row r="299" spans="9:36">
      <c r="I299">
        <v>100</v>
      </c>
      <c r="J299" t="s">
        <v>2836</v>
      </c>
      <c r="K299" s="2" t="s">
        <v>2837</v>
      </c>
      <c r="M299">
        <v>0</v>
      </c>
      <c r="N299">
        <v>954.97168613496024</v>
      </c>
      <c r="O299">
        <v>0</v>
      </c>
      <c r="P299">
        <v>429.73725876073206</v>
      </c>
      <c r="Q299">
        <v>-808.82207371160791</v>
      </c>
      <c r="R299">
        <v>-990.65809626676389</v>
      </c>
      <c r="S299">
        <v>7</v>
      </c>
      <c r="T299">
        <v>2</v>
      </c>
      <c r="U299" t="s">
        <v>2838</v>
      </c>
      <c r="W299">
        <v>0</v>
      </c>
      <c r="X299" t="e">
        <f t="shared" ca="1" si="46"/>
        <v>#REF!</v>
      </c>
      <c r="Y299">
        <v>0</v>
      </c>
      <c r="Z299" t="e">
        <f t="shared" ca="1" si="47"/>
        <v>#REF!</v>
      </c>
      <c r="AA299" s="152" t="e">
        <f t="shared" ca="1" si="52"/>
        <v>#REF!</v>
      </c>
      <c r="AB299" s="152" t="e">
        <f t="shared" ca="1" si="53"/>
        <v>#REF!</v>
      </c>
      <c r="AC299">
        <v>7</v>
      </c>
      <c r="AD299">
        <v>2</v>
      </c>
      <c r="AE299" t="str">
        <f t="shared" si="55"/>
        <v>'[2022 - Aryapratama &amp; Pauliuk - STE - AppF.xlsx]GWPdyn_PF_FP - Fig.4(h)'!L</v>
      </c>
      <c r="AG299">
        <v>808.82207371160791</v>
      </c>
      <c r="AH299">
        <v>990.65809626676389</v>
      </c>
      <c r="AI299">
        <f t="shared" si="51"/>
        <v>-808.82207371160791</v>
      </c>
      <c r="AJ299">
        <f t="shared" si="51"/>
        <v>-990.65809626676389</v>
      </c>
    </row>
    <row r="300" spans="9:36">
      <c r="I300">
        <v>200</v>
      </c>
      <c r="J300" t="s">
        <v>2836</v>
      </c>
      <c r="K300" s="2" t="s">
        <v>2837</v>
      </c>
      <c r="M300">
        <v>0</v>
      </c>
      <c r="N300">
        <v>1683.9773345340714</v>
      </c>
      <c r="O300">
        <v>0</v>
      </c>
      <c r="P300">
        <v>757.78980054033161</v>
      </c>
      <c r="Q300">
        <v>-1308.953389930055</v>
      </c>
      <c r="R300">
        <v>-1160.011828609915</v>
      </c>
      <c r="S300">
        <v>7</v>
      </c>
      <c r="T300">
        <v>2</v>
      </c>
      <c r="U300" t="s">
        <v>2838</v>
      </c>
      <c r="W300">
        <v>0</v>
      </c>
      <c r="X300" t="e">
        <f t="shared" ca="1" si="46"/>
        <v>#REF!</v>
      </c>
      <c r="Y300">
        <v>0</v>
      </c>
      <c r="Z300" t="e">
        <f t="shared" ca="1" si="47"/>
        <v>#REF!</v>
      </c>
      <c r="AA300" s="152" t="e">
        <f t="shared" ca="1" si="52"/>
        <v>#REF!</v>
      </c>
      <c r="AB300" s="152" t="e">
        <f t="shared" ca="1" si="53"/>
        <v>#REF!</v>
      </c>
      <c r="AC300">
        <v>7</v>
      </c>
      <c r="AD300">
        <v>2</v>
      </c>
      <c r="AE300" t="str">
        <f t="shared" si="55"/>
        <v>'[2022 - Aryapratama &amp; Pauliuk - STE - AppF.xlsx]GWPdyn_PF_FP - Fig.4(h)'!L</v>
      </c>
      <c r="AG300">
        <v>1308.953389930055</v>
      </c>
      <c r="AH300">
        <v>1160.011828609915</v>
      </c>
      <c r="AI300">
        <f t="shared" si="51"/>
        <v>-1308.953389930055</v>
      </c>
      <c r="AJ300">
        <f t="shared" si="51"/>
        <v>-1160.011828609915</v>
      </c>
    </row>
    <row r="301" spans="9:36">
      <c r="I301">
        <v>50</v>
      </c>
      <c r="J301" t="s">
        <v>2839</v>
      </c>
      <c r="K301" s="2" t="s">
        <v>2840</v>
      </c>
      <c r="M301">
        <v>0</v>
      </c>
      <c r="N301">
        <v>377.88189133326432</v>
      </c>
      <c r="O301">
        <v>0</v>
      </c>
      <c r="P301">
        <v>226.7291347999585</v>
      </c>
      <c r="Q301">
        <v>-515.07151116792033</v>
      </c>
      <c r="R301">
        <v>-617.93246272463909</v>
      </c>
      <c r="S301">
        <v>8</v>
      </c>
      <c r="T301">
        <v>2</v>
      </c>
      <c r="U301" t="s">
        <v>2838</v>
      </c>
      <c r="W301">
        <v>0</v>
      </c>
      <c r="X301" t="e">
        <f t="shared" ca="1" si="46"/>
        <v>#REF!</v>
      </c>
      <c r="Y301">
        <v>0</v>
      </c>
      <c r="Z301" t="e">
        <f t="shared" ca="1" si="47"/>
        <v>#REF!</v>
      </c>
      <c r="AA301" s="152" t="e">
        <f t="shared" ca="1" si="52"/>
        <v>#REF!</v>
      </c>
      <c r="AB301" s="152" t="e">
        <f t="shared" ca="1" si="53"/>
        <v>#REF!</v>
      </c>
      <c r="AC301">
        <v>8</v>
      </c>
      <c r="AD301">
        <v>2</v>
      </c>
      <c r="AE301" t="str">
        <f t="shared" si="55"/>
        <v>'[2022 - Aryapratama &amp; Pauliuk - STE - AppF.xlsx]GWPdyn_PF_FP - Fig.4(h)'!L</v>
      </c>
      <c r="AG301">
        <v>515.07151116792033</v>
      </c>
      <c r="AH301">
        <v>617.93246272463909</v>
      </c>
      <c r="AI301">
        <f t="shared" si="51"/>
        <v>-515.07151116792033</v>
      </c>
      <c r="AJ301">
        <f t="shared" si="51"/>
        <v>-617.93246272463909</v>
      </c>
    </row>
    <row r="302" spans="9:36">
      <c r="I302">
        <v>100</v>
      </c>
      <c r="J302" t="s">
        <v>2839</v>
      </c>
      <c r="K302" s="2" t="s">
        <v>2840</v>
      </c>
      <c r="M302">
        <v>0</v>
      </c>
      <c r="N302">
        <v>605.75567172938713</v>
      </c>
      <c r="O302">
        <v>0</v>
      </c>
      <c r="P302">
        <v>363.45340303763226</v>
      </c>
      <c r="Q302">
        <v>-642.71245617211093</v>
      </c>
      <c r="R302">
        <v>-768.12774512252213</v>
      </c>
      <c r="S302">
        <v>8</v>
      </c>
      <c r="T302">
        <v>2</v>
      </c>
      <c r="U302" t="s">
        <v>2838</v>
      </c>
      <c r="W302">
        <v>0</v>
      </c>
      <c r="X302" t="e">
        <f t="shared" ca="1" si="46"/>
        <v>#REF!</v>
      </c>
      <c r="Y302">
        <v>0</v>
      </c>
      <c r="Z302" t="e">
        <f t="shared" ca="1" si="47"/>
        <v>#REF!</v>
      </c>
      <c r="AA302" s="152" t="e">
        <f t="shared" ca="1" si="52"/>
        <v>#REF!</v>
      </c>
      <c r="AB302" s="152" t="e">
        <f t="shared" ca="1" si="53"/>
        <v>#REF!</v>
      </c>
      <c r="AC302">
        <v>8</v>
      </c>
      <c r="AD302">
        <v>2</v>
      </c>
      <c r="AE302" t="str">
        <f t="shared" si="55"/>
        <v>'[2022 - Aryapratama &amp; Pauliuk - STE - AppF.xlsx]GWPdyn_PF_FP - Fig.4(h)'!L</v>
      </c>
      <c r="AG302">
        <v>642.71245617211093</v>
      </c>
      <c r="AH302">
        <v>768.12774512252213</v>
      </c>
      <c r="AI302">
        <f t="shared" si="51"/>
        <v>-642.71245617211093</v>
      </c>
      <c r="AJ302">
        <f t="shared" si="51"/>
        <v>-768.12774512252213</v>
      </c>
    </row>
    <row r="303" spans="9:36">
      <c r="I303">
        <v>200</v>
      </c>
      <c r="J303" t="s">
        <v>2839</v>
      </c>
      <c r="K303" s="2" t="s">
        <v>2840</v>
      </c>
      <c r="M303">
        <v>0</v>
      </c>
      <c r="N303">
        <v>985.54530572292515</v>
      </c>
      <c r="O303">
        <v>0</v>
      </c>
      <c r="P303">
        <v>591.32718343375518</v>
      </c>
      <c r="Q303">
        <v>-904.95784112113733</v>
      </c>
      <c r="R303">
        <v>-956.54496754124091</v>
      </c>
      <c r="S303">
        <v>8</v>
      </c>
      <c r="T303">
        <v>2</v>
      </c>
      <c r="U303" t="s">
        <v>2838</v>
      </c>
      <c r="W303">
        <v>0</v>
      </c>
      <c r="X303" t="e">
        <f t="shared" ca="1" si="46"/>
        <v>#REF!</v>
      </c>
      <c r="Y303">
        <v>0</v>
      </c>
      <c r="Z303" t="e">
        <f t="shared" ca="1" si="47"/>
        <v>#REF!</v>
      </c>
      <c r="AA303" s="152" t="e">
        <f t="shared" ca="1" si="52"/>
        <v>#REF!</v>
      </c>
      <c r="AB303" s="152" t="e">
        <f t="shared" ca="1" si="53"/>
        <v>#REF!</v>
      </c>
      <c r="AC303">
        <v>8</v>
      </c>
      <c r="AD303">
        <v>2</v>
      </c>
      <c r="AE303" t="str">
        <f t="shared" si="55"/>
        <v>'[2022 - Aryapratama &amp; Pauliuk - STE - AppF.xlsx]GWPdyn_PF_FP - Fig.4(h)'!L</v>
      </c>
      <c r="AG303">
        <v>904.95784112113733</v>
      </c>
      <c r="AH303">
        <v>956.54496754124091</v>
      </c>
      <c r="AI303">
        <f t="shared" si="51"/>
        <v>-904.95784112113733</v>
      </c>
      <c r="AJ303">
        <f t="shared" si="51"/>
        <v>-956.54496754124091</v>
      </c>
    </row>
    <row r="304" spans="9:36">
      <c r="I304">
        <v>50</v>
      </c>
      <c r="J304" t="s">
        <v>2841</v>
      </c>
      <c r="K304" s="2" t="s">
        <v>2842</v>
      </c>
      <c r="M304">
        <v>0</v>
      </c>
      <c r="N304">
        <v>225.96603773584911</v>
      </c>
      <c r="O304">
        <v>0</v>
      </c>
      <c r="P304">
        <v>135.57962264150939</v>
      </c>
      <c r="Q304">
        <v>-360.60902005912311</v>
      </c>
      <c r="R304">
        <v>-458.81565081209919</v>
      </c>
      <c r="S304">
        <v>9</v>
      </c>
      <c r="T304">
        <v>2</v>
      </c>
      <c r="U304" t="s">
        <v>2838</v>
      </c>
      <c r="W304">
        <v>0</v>
      </c>
      <c r="X304" t="e">
        <f t="shared" ca="1" si="46"/>
        <v>#REF!</v>
      </c>
      <c r="Y304">
        <v>0</v>
      </c>
      <c r="Z304" t="e">
        <f t="shared" ca="1" si="47"/>
        <v>#REF!</v>
      </c>
      <c r="AA304" s="152" t="e">
        <f t="shared" ca="1" si="52"/>
        <v>#REF!</v>
      </c>
      <c r="AB304" s="152" t="e">
        <f t="shared" ca="1" si="53"/>
        <v>#REF!</v>
      </c>
      <c r="AC304">
        <v>9</v>
      </c>
      <c r="AD304">
        <v>2</v>
      </c>
      <c r="AE304" t="str">
        <f t="shared" si="55"/>
        <v>'[2022 - Aryapratama &amp; Pauliuk - STE - AppF.xlsx]GWPdyn_PF_FP - Fig.4(h)'!L</v>
      </c>
      <c r="AG304">
        <v>360.60902005912311</v>
      </c>
      <c r="AH304">
        <v>458.81565081209919</v>
      </c>
      <c r="AI304">
        <f t="shared" si="51"/>
        <v>-360.60902005912311</v>
      </c>
      <c r="AJ304">
        <f t="shared" si="51"/>
        <v>-458.81565081209919</v>
      </c>
    </row>
    <row r="305" spans="9:36">
      <c r="I305">
        <v>100</v>
      </c>
      <c r="J305" t="s">
        <v>2841</v>
      </c>
      <c r="K305" s="2" t="s">
        <v>2842</v>
      </c>
      <c r="M305">
        <v>0</v>
      </c>
      <c r="N305">
        <v>322.5783683718746</v>
      </c>
      <c r="O305">
        <v>0</v>
      </c>
      <c r="P305">
        <v>193.54702102312467</v>
      </c>
      <c r="Q305">
        <v>-354.25011993341019</v>
      </c>
      <c r="R305">
        <v>-567.94520592120887</v>
      </c>
      <c r="S305">
        <v>9</v>
      </c>
      <c r="T305">
        <v>2</v>
      </c>
      <c r="U305" t="s">
        <v>2838</v>
      </c>
      <c r="W305">
        <v>0</v>
      </c>
      <c r="X305" t="e">
        <f t="shared" ca="1" si="46"/>
        <v>#REF!</v>
      </c>
      <c r="Y305">
        <v>0</v>
      </c>
      <c r="Z305" t="e">
        <f t="shared" ca="1" si="47"/>
        <v>#REF!</v>
      </c>
      <c r="AA305" s="152" t="e">
        <f t="shared" ca="1" si="52"/>
        <v>#REF!</v>
      </c>
      <c r="AB305" s="152" t="e">
        <f t="shared" ca="1" si="53"/>
        <v>#REF!</v>
      </c>
      <c r="AC305">
        <v>9</v>
      </c>
      <c r="AD305">
        <v>2</v>
      </c>
      <c r="AE305" t="str">
        <f t="shared" si="55"/>
        <v>'[2022 - Aryapratama &amp; Pauliuk - STE - AppF.xlsx]GWPdyn_PF_FP - Fig.4(h)'!L</v>
      </c>
      <c r="AG305">
        <v>354.25011993341019</v>
      </c>
      <c r="AH305">
        <v>567.94520592120887</v>
      </c>
      <c r="AI305">
        <f t="shared" si="51"/>
        <v>-354.25011993341019</v>
      </c>
      <c r="AJ305">
        <f t="shared" si="51"/>
        <v>-567.94520592120887</v>
      </c>
    </row>
    <row r="306" spans="9:36">
      <c r="I306">
        <v>200</v>
      </c>
      <c r="J306" t="s">
        <v>2841</v>
      </c>
      <c r="K306" s="2" t="s">
        <v>2842</v>
      </c>
      <c r="M306">
        <v>0</v>
      </c>
      <c r="N306">
        <v>515.80302964392558</v>
      </c>
      <c r="O306">
        <v>0</v>
      </c>
      <c r="P306">
        <v>309.48181778635524</v>
      </c>
      <c r="Q306">
        <v>-329.48380978417958</v>
      </c>
      <c r="R306">
        <v>-628.19875545968</v>
      </c>
      <c r="S306">
        <v>9</v>
      </c>
      <c r="T306">
        <v>2</v>
      </c>
      <c r="U306" t="s">
        <v>2838</v>
      </c>
      <c r="W306">
        <v>0</v>
      </c>
      <c r="X306" t="e">
        <f t="shared" ca="1" si="46"/>
        <v>#REF!</v>
      </c>
      <c r="Y306">
        <v>0</v>
      </c>
      <c r="Z306" t="e">
        <f t="shared" ca="1" si="47"/>
        <v>#REF!</v>
      </c>
      <c r="AA306" s="152" t="e">
        <f t="shared" ca="1" si="52"/>
        <v>#REF!</v>
      </c>
      <c r="AB306" s="152" t="e">
        <f t="shared" ca="1" si="53"/>
        <v>#REF!</v>
      </c>
      <c r="AC306">
        <v>9</v>
      </c>
      <c r="AD306">
        <v>2</v>
      </c>
      <c r="AE306" t="str">
        <f t="shared" si="55"/>
        <v>'[2022 - Aryapratama &amp; Pauliuk - STE - AppF.xlsx]GWPdyn_PF_FP - Fig.4(h)'!L</v>
      </c>
      <c r="AG306">
        <v>329.48380978417958</v>
      </c>
      <c r="AH306">
        <v>628.19875545968</v>
      </c>
      <c r="AI306">
        <f t="shared" si="51"/>
        <v>-329.48380978417958</v>
      </c>
      <c r="AJ306">
        <f t="shared" si="51"/>
        <v>-628.19875545968</v>
      </c>
    </row>
    <row r="307" spans="9:36">
      <c r="I307">
        <v>50</v>
      </c>
      <c r="J307" t="s">
        <v>2843</v>
      </c>
      <c r="K307" s="2" t="s">
        <v>2844</v>
      </c>
      <c r="M307">
        <v>0</v>
      </c>
      <c r="N307">
        <v>286.09433962264143</v>
      </c>
      <c r="O307">
        <v>0</v>
      </c>
      <c r="P307">
        <v>228.87547169811316</v>
      </c>
      <c r="Q307">
        <v>-574.00406694837011</v>
      </c>
      <c r="R307">
        <v>-811.16014590587781</v>
      </c>
      <c r="S307">
        <v>9</v>
      </c>
      <c r="T307">
        <v>2</v>
      </c>
      <c r="U307" t="s">
        <v>2838</v>
      </c>
      <c r="W307">
        <v>0</v>
      </c>
      <c r="X307" t="e">
        <f t="shared" ca="1" si="46"/>
        <v>#REF!</v>
      </c>
      <c r="Y307">
        <v>0</v>
      </c>
      <c r="Z307" t="e">
        <f t="shared" ca="1" si="47"/>
        <v>#REF!</v>
      </c>
      <c r="AA307" s="152" t="e">
        <f t="shared" ca="1" si="52"/>
        <v>#REF!</v>
      </c>
      <c r="AB307" s="152" t="e">
        <f t="shared" ca="1" si="53"/>
        <v>#REF!</v>
      </c>
      <c r="AC307">
        <v>9</v>
      </c>
      <c r="AD307">
        <v>2</v>
      </c>
      <c r="AE307" t="str">
        <f t="shared" si="55"/>
        <v>'[2022 - Aryapratama &amp; Pauliuk - STE - AppF.xlsx]GWPdyn_PF_FP - Fig.4(h)'!L</v>
      </c>
      <c r="AG307">
        <v>574.00406694837011</v>
      </c>
      <c r="AH307">
        <v>811.16014590587781</v>
      </c>
      <c r="AI307">
        <f t="shared" si="51"/>
        <v>-574.00406694837011</v>
      </c>
      <c r="AJ307">
        <f t="shared" si="51"/>
        <v>-811.16014590587781</v>
      </c>
    </row>
    <row r="308" spans="9:36">
      <c r="I308">
        <v>100</v>
      </c>
      <c r="J308" t="s">
        <v>2843</v>
      </c>
      <c r="K308" s="2" t="s">
        <v>2844</v>
      </c>
      <c r="M308">
        <v>0</v>
      </c>
      <c r="N308">
        <v>346.22264150943386</v>
      </c>
      <c r="O308">
        <v>0</v>
      </c>
      <c r="P308">
        <v>276.97811320754715</v>
      </c>
      <c r="Q308">
        <v>-627.22269789912832</v>
      </c>
      <c r="R308">
        <v>-832.29941220987405</v>
      </c>
      <c r="S308">
        <v>9</v>
      </c>
      <c r="T308">
        <v>2</v>
      </c>
      <c r="U308" t="s">
        <v>2838</v>
      </c>
      <c r="W308">
        <v>0</v>
      </c>
      <c r="X308" t="e">
        <f t="shared" ca="1" si="46"/>
        <v>#REF!</v>
      </c>
      <c r="Y308">
        <v>0</v>
      </c>
      <c r="Z308" t="e">
        <f t="shared" ca="1" si="47"/>
        <v>#REF!</v>
      </c>
      <c r="AA308" s="152" t="e">
        <f t="shared" ca="1" si="52"/>
        <v>#REF!</v>
      </c>
      <c r="AB308" s="152" t="e">
        <f t="shared" ca="1" si="53"/>
        <v>#REF!</v>
      </c>
      <c r="AC308">
        <v>9</v>
      </c>
      <c r="AD308">
        <v>2</v>
      </c>
      <c r="AE308" t="str">
        <f t="shared" si="55"/>
        <v>'[2022 - Aryapratama &amp; Pauliuk - STE - AppF.xlsx]GWPdyn_PF_FP - Fig.4(h)'!L</v>
      </c>
      <c r="AG308">
        <v>627.22269789912832</v>
      </c>
      <c r="AH308">
        <v>832.29941220987405</v>
      </c>
      <c r="AI308">
        <f t="shared" si="51"/>
        <v>-627.22269789912832</v>
      </c>
      <c r="AJ308">
        <f t="shared" si="51"/>
        <v>-832.29941220987405</v>
      </c>
    </row>
    <row r="309" spans="9:36">
      <c r="I309">
        <v>200</v>
      </c>
      <c r="J309" t="s">
        <v>2843</v>
      </c>
      <c r="K309" s="2" t="s">
        <v>2844</v>
      </c>
      <c r="M309">
        <v>0</v>
      </c>
      <c r="N309">
        <v>466.47924528301871</v>
      </c>
      <c r="O309">
        <v>0</v>
      </c>
      <c r="P309">
        <v>373.18339622641508</v>
      </c>
      <c r="Q309">
        <v>-729.83506452863935</v>
      </c>
      <c r="R309">
        <v>-858.14682671510911</v>
      </c>
      <c r="S309">
        <v>9</v>
      </c>
      <c r="T309">
        <v>2</v>
      </c>
      <c r="U309" t="s">
        <v>2838</v>
      </c>
      <c r="W309">
        <v>0</v>
      </c>
      <c r="X309" t="e">
        <f t="shared" ca="1" si="46"/>
        <v>#REF!</v>
      </c>
      <c r="Y309">
        <v>0</v>
      </c>
      <c r="Z309" t="e">
        <f t="shared" ca="1" si="47"/>
        <v>#REF!</v>
      </c>
      <c r="AA309" s="152" t="e">
        <f t="shared" ca="1" si="52"/>
        <v>#REF!</v>
      </c>
      <c r="AB309" s="152" t="e">
        <f t="shared" ca="1" si="53"/>
        <v>#REF!</v>
      </c>
      <c r="AC309">
        <v>9</v>
      </c>
      <c r="AD309">
        <v>2</v>
      </c>
      <c r="AE309" t="str">
        <f t="shared" si="55"/>
        <v>'[2022 - Aryapratama &amp; Pauliuk - STE - AppF.xlsx]GWPdyn_PF_FP - Fig.4(h)'!L</v>
      </c>
      <c r="AG309">
        <v>729.83506452863935</v>
      </c>
      <c r="AH309">
        <v>858.14682671510911</v>
      </c>
      <c r="AI309">
        <f t="shared" si="51"/>
        <v>-729.83506452863935</v>
      </c>
      <c r="AJ309">
        <f t="shared" si="51"/>
        <v>-858.14682671510911</v>
      </c>
    </row>
    <row r="310" spans="9:36">
      <c r="I310">
        <v>50</v>
      </c>
      <c r="J310" t="s">
        <v>2845</v>
      </c>
      <c r="K310" s="2" t="s">
        <v>2846</v>
      </c>
      <c r="M310">
        <v>0</v>
      </c>
      <c r="N310">
        <v>367.50282419955545</v>
      </c>
      <c r="O310">
        <v>0</v>
      </c>
      <c r="P310">
        <v>164.02627088979997</v>
      </c>
      <c r="Q310">
        <v>-293.93651380696792</v>
      </c>
      <c r="R310">
        <v>77.331302173432363</v>
      </c>
      <c r="S310">
        <v>7</v>
      </c>
      <c r="T310">
        <v>2</v>
      </c>
      <c r="U310" t="s">
        <v>2847</v>
      </c>
      <c r="W310">
        <v>0</v>
      </c>
      <c r="X310" t="e">
        <f t="shared" ca="1" si="46"/>
        <v>#REF!</v>
      </c>
      <c r="Y310">
        <v>0</v>
      </c>
      <c r="Z310" t="e">
        <f t="shared" ca="1" si="47"/>
        <v>#REF!</v>
      </c>
      <c r="AA310" s="152" t="e">
        <f t="shared" ca="1" si="52"/>
        <v>#REF!</v>
      </c>
      <c r="AB310" s="152" t="e">
        <f t="shared" ca="1" si="53"/>
        <v>#REF!</v>
      </c>
      <c r="AC310">
        <v>7</v>
      </c>
      <c r="AD310">
        <v>2</v>
      </c>
      <c r="AE310" t="str">
        <f t="shared" ref="AE310:AE321" si="56">"'[2022 - Aryapratama &amp; Pauliuk - STE - AppF.xlsx]GWPdyn_"&amp;LEFT(K310,5)&amp;" - Fig.4(i)'!L"</f>
        <v>'[2022 - Aryapratama &amp; Pauliuk - STE - AppF.xlsx]GWPdyn_DL_FP - Fig.4(i)'!L</v>
      </c>
      <c r="AG310">
        <v>293.93651380696792</v>
      </c>
      <c r="AH310">
        <v>-77.331302173432363</v>
      </c>
      <c r="AI310">
        <f t="shared" si="51"/>
        <v>-293.93651380696792</v>
      </c>
      <c r="AJ310">
        <f t="shared" si="51"/>
        <v>77.331302173432363</v>
      </c>
    </row>
    <row r="311" spans="9:36">
      <c r="I311">
        <v>100</v>
      </c>
      <c r="J311" t="s">
        <v>2845</v>
      </c>
      <c r="K311" s="2" t="s">
        <v>2846</v>
      </c>
      <c r="M311">
        <v>0</v>
      </c>
      <c r="N311">
        <v>732.00564839911101</v>
      </c>
      <c r="O311">
        <v>0</v>
      </c>
      <c r="P311">
        <v>328.05254177959995</v>
      </c>
      <c r="Q311">
        <v>-645.67518499586413</v>
      </c>
      <c r="R311">
        <v>-41.927947193381058</v>
      </c>
      <c r="S311">
        <v>7</v>
      </c>
      <c r="T311">
        <v>2</v>
      </c>
      <c r="U311" t="s">
        <v>2847</v>
      </c>
      <c r="W311">
        <v>0</v>
      </c>
      <c r="X311" t="e">
        <f t="shared" ca="1" si="46"/>
        <v>#REF!</v>
      </c>
      <c r="Y311">
        <v>0</v>
      </c>
      <c r="Z311" t="e">
        <f t="shared" ca="1" si="47"/>
        <v>#REF!</v>
      </c>
      <c r="AA311" s="152" t="e">
        <f t="shared" ca="1" si="52"/>
        <v>#REF!</v>
      </c>
      <c r="AB311" s="152" t="e">
        <f t="shared" ca="1" si="53"/>
        <v>#REF!</v>
      </c>
      <c r="AC311">
        <v>7</v>
      </c>
      <c r="AD311">
        <v>2</v>
      </c>
      <c r="AE311" t="str">
        <f t="shared" si="56"/>
        <v>'[2022 - Aryapratama &amp; Pauliuk - STE - AppF.xlsx]GWPdyn_DL_FP - Fig.4(i)'!L</v>
      </c>
      <c r="AG311">
        <v>645.67518499586413</v>
      </c>
      <c r="AH311">
        <v>41.927947193381058</v>
      </c>
      <c r="AI311">
        <f t="shared" si="51"/>
        <v>-645.67518499586413</v>
      </c>
      <c r="AJ311">
        <f t="shared" si="51"/>
        <v>-41.927947193381058</v>
      </c>
    </row>
    <row r="312" spans="9:36">
      <c r="I312">
        <v>200</v>
      </c>
      <c r="J312" t="s">
        <v>2845</v>
      </c>
      <c r="K312" s="2" t="s">
        <v>2846</v>
      </c>
      <c r="M312">
        <v>0</v>
      </c>
      <c r="N312">
        <v>1461.011296798222</v>
      </c>
      <c r="O312">
        <v>0</v>
      </c>
      <c r="P312">
        <v>656.10508355919967</v>
      </c>
      <c r="Q312">
        <v>-1351.032773953493</v>
      </c>
      <c r="R312">
        <v>-227.6520247861325</v>
      </c>
      <c r="S312">
        <v>7</v>
      </c>
      <c r="T312">
        <v>2</v>
      </c>
      <c r="U312" t="s">
        <v>2847</v>
      </c>
      <c r="W312">
        <v>0</v>
      </c>
      <c r="X312" t="e">
        <f t="shared" ca="1" si="46"/>
        <v>#REF!</v>
      </c>
      <c r="Y312">
        <v>0</v>
      </c>
      <c r="Z312" t="e">
        <f t="shared" ca="1" si="47"/>
        <v>#REF!</v>
      </c>
      <c r="AA312" s="152" t="e">
        <f t="shared" ca="1" si="52"/>
        <v>#REF!</v>
      </c>
      <c r="AB312" s="152" t="e">
        <f t="shared" ca="1" si="53"/>
        <v>#REF!</v>
      </c>
      <c r="AC312">
        <v>7</v>
      </c>
      <c r="AD312">
        <v>2</v>
      </c>
      <c r="AE312" t="str">
        <f t="shared" si="56"/>
        <v>'[2022 - Aryapratama &amp; Pauliuk - STE - AppF.xlsx]GWPdyn_DL_FP - Fig.4(i)'!L</v>
      </c>
      <c r="AG312">
        <v>1351.032773953493</v>
      </c>
      <c r="AH312">
        <v>227.6520247861325</v>
      </c>
      <c r="AI312">
        <f t="shared" si="51"/>
        <v>-1351.032773953493</v>
      </c>
      <c r="AJ312">
        <f t="shared" si="51"/>
        <v>-227.6520247861325</v>
      </c>
    </row>
    <row r="313" spans="9:36">
      <c r="I313">
        <v>50</v>
      </c>
      <c r="J313" t="s">
        <v>2848</v>
      </c>
      <c r="K313" s="2" t="s">
        <v>2849</v>
      </c>
      <c r="M313">
        <v>0</v>
      </c>
      <c r="N313">
        <v>154.91585359741521</v>
      </c>
      <c r="O313">
        <v>0</v>
      </c>
      <c r="P313">
        <v>91.149512158449113</v>
      </c>
      <c r="Q313">
        <v>-155.15650615919409</v>
      </c>
      <c r="R313">
        <v>254.21120760929861</v>
      </c>
      <c r="S313">
        <v>8</v>
      </c>
      <c r="T313">
        <v>2</v>
      </c>
      <c r="U313" t="s">
        <v>2847</v>
      </c>
      <c r="W313">
        <v>0</v>
      </c>
      <c r="X313" t="e">
        <f t="shared" ca="1" si="46"/>
        <v>#REF!</v>
      </c>
      <c r="Y313">
        <v>0</v>
      </c>
      <c r="Z313" t="e">
        <f t="shared" ca="1" si="47"/>
        <v>#REF!</v>
      </c>
      <c r="AA313" s="152" t="e">
        <f t="shared" ca="1" si="52"/>
        <v>#REF!</v>
      </c>
      <c r="AB313" s="152" t="e">
        <f t="shared" ca="1" si="53"/>
        <v>#REF!</v>
      </c>
      <c r="AC313">
        <v>8</v>
      </c>
      <c r="AD313">
        <v>2</v>
      </c>
      <c r="AE313" t="str">
        <f t="shared" si="56"/>
        <v>'[2022 - Aryapratama &amp; Pauliuk - STE - AppF.xlsx]GWPdyn_DL_FP - Fig.4(i)'!L</v>
      </c>
      <c r="AG313">
        <v>155.15650615919409</v>
      </c>
      <c r="AH313">
        <v>-254.21120760929861</v>
      </c>
      <c r="AI313">
        <f t="shared" si="51"/>
        <v>-155.15650615919409</v>
      </c>
      <c r="AJ313">
        <f t="shared" si="51"/>
        <v>254.21120760929861</v>
      </c>
    </row>
    <row r="314" spans="9:36">
      <c r="I314">
        <v>100</v>
      </c>
      <c r="J314" t="s">
        <v>2848</v>
      </c>
      <c r="K314" s="2" t="s">
        <v>2849</v>
      </c>
      <c r="M314">
        <v>0</v>
      </c>
      <c r="N314">
        <v>382.78963399353802</v>
      </c>
      <c r="O314">
        <v>0</v>
      </c>
      <c r="P314">
        <v>227.87378039612278</v>
      </c>
      <c r="Q314">
        <v>-385.00157645914061</v>
      </c>
      <c r="R314">
        <v>185.53811788022131</v>
      </c>
      <c r="S314">
        <v>8</v>
      </c>
      <c r="T314">
        <v>2</v>
      </c>
      <c r="U314" t="s">
        <v>2847</v>
      </c>
      <c r="W314">
        <v>0</v>
      </c>
      <c r="X314" t="e">
        <f t="shared" ca="1" si="46"/>
        <v>#REF!</v>
      </c>
      <c r="Y314">
        <v>0</v>
      </c>
      <c r="Z314" t="e">
        <f t="shared" ca="1" si="47"/>
        <v>#REF!</v>
      </c>
      <c r="AA314" s="152" t="e">
        <f t="shared" ca="1" si="52"/>
        <v>#REF!</v>
      </c>
      <c r="AB314" s="152" t="e">
        <f t="shared" ca="1" si="53"/>
        <v>#REF!</v>
      </c>
      <c r="AC314">
        <v>8</v>
      </c>
      <c r="AD314">
        <v>2</v>
      </c>
      <c r="AE314" t="str">
        <f t="shared" si="56"/>
        <v>'[2022 - Aryapratama &amp; Pauliuk - STE - AppF.xlsx]GWPdyn_DL_FP - Fig.4(i)'!L</v>
      </c>
      <c r="AG314">
        <v>385.00157645914061</v>
      </c>
      <c r="AH314">
        <v>-185.53811788022131</v>
      </c>
      <c r="AI314">
        <f t="shared" si="51"/>
        <v>-385.00157645914061</v>
      </c>
      <c r="AJ314">
        <f t="shared" si="51"/>
        <v>185.53811788022131</v>
      </c>
    </row>
    <row r="315" spans="9:36">
      <c r="I315">
        <v>200</v>
      </c>
      <c r="J315" t="s">
        <v>2848</v>
      </c>
      <c r="K315" s="2" t="s">
        <v>2849</v>
      </c>
      <c r="M315">
        <v>0</v>
      </c>
      <c r="N315">
        <v>762.57926798707604</v>
      </c>
      <c r="O315">
        <v>0</v>
      </c>
      <c r="P315">
        <v>455.74756079224562</v>
      </c>
      <c r="Q315">
        <v>-852.47323414734842</v>
      </c>
      <c r="R315">
        <v>23.49403951814293</v>
      </c>
      <c r="S315">
        <v>8</v>
      </c>
      <c r="T315">
        <v>2</v>
      </c>
      <c r="U315" t="s">
        <v>2847</v>
      </c>
      <c r="W315">
        <v>0</v>
      </c>
      <c r="X315" t="e">
        <f t="shared" ca="1" si="46"/>
        <v>#REF!</v>
      </c>
      <c r="Y315">
        <v>0</v>
      </c>
      <c r="Z315" t="e">
        <f t="shared" ca="1" si="47"/>
        <v>#REF!</v>
      </c>
      <c r="AA315" s="152" t="e">
        <f t="shared" ca="1" si="52"/>
        <v>#REF!</v>
      </c>
      <c r="AB315" s="152" t="e">
        <f t="shared" ca="1" si="53"/>
        <v>#REF!</v>
      </c>
      <c r="AC315">
        <v>8</v>
      </c>
      <c r="AD315">
        <v>2</v>
      </c>
      <c r="AE315" t="str">
        <f t="shared" si="56"/>
        <v>'[2022 - Aryapratama &amp; Pauliuk - STE - AppF.xlsx]GWPdyn_DL_FP - Fig.4(i)'!L</v>
      </c>
      <c r="AG315">
        <v>852.47323414734842</v>
      </c>
      <c r="AH315">
        <v>-23.49403951814293</v>
      </c>
      <c r="AI315">
        <f t="shared" si="51"/>
        <v>-852.47323414734842</v>
      </c>
      <c r="AJ315">
        <f t="shared" si="51"/>
        <v>23.49403951814293</v>
      </c>
    </row>
    <row r="316" spans="9:36">
      <c r="I316">
        <v>50</v>
      </c>
      <c r="J316" t="s">
        <v>2850</v>
      </c>
      <c r="K316" s="2" t="s">
        <v>2851</v>
      </c>
      <c r="M316">
        <v>0</v>
      </c>
      <c r="N316">
        <v>3</v>
      </c>
      <c r="O316">
        <v>0</v>
      </c>
      <c r="P316">
        <v>0</v>
      </c>
      <c r="Q316">
        <v>0</v>
      </c>
      <c r="R316">
        <v>161.1445967933179</v>
      </c>
      <c r="S316">
        <v>9</v>
      </c>
      <c r="T316">
        <v>2</v>
      </c>
      <c r="U316" t="s">
        <v>2847</v>
      </c>
      <c r="W316">
        <v>0</v>
      </c>
      <c r="X316" t="e">
        <f t="shared" ca="1" si="46"/>
        <v>#REF!</v>
      </c>
      <c r="Y316">
        <v>0</v>
      </c>
      <c r="Z316" t="e">
        <f t="shared" ca="1" si="47"/>
        <v>#REF!</v>
      </c>
      <c r="AA316" s="152" t="e">
        <f t="shared" ca="1" si="52"/>
        <v>#REF!</v>
      </c>
      <c r="AB316" s="152" t="e">
        <f t="shared" ca="1" si="53"/>
        <v>#REF!</v>
      </c>
      <c r="AC316">
        <v>9</v>
      </c>
      <c r="AD316">
        <v>2</v>
      </c>
      <c r="AE316" t="str">
        <f t="shared" si="56"/>
        <v>'[2022 - Aryapratama &amp; Pauliuk - STE - AppF.xlsx]GWPdyn_DL_FP - Fig.4(i)'!L</v>
      </c>
      <c r="AG316">
        <v>0</v>
      </c>
      <c r="AH316">
        <v>-161.1445967933179</v>
      </c>
      <c r="AI316">
        <f t="shared" si="51"/>
        <v>0</v>
      </c>
      <c r="AJ316">
        <f t="shared" si="51"/>
        <v>161.1445967933179</v>
      </c>
    </row>
    <row r="317" spans="9:36">
      <c r="I317">
        <v>100</v>
      </c>
      <c r="J317" t="s">
        <v>2850</v>
      </c>
      <c r="K317" s="2" t="s">
        <v>2851</v>
      </c>
      <c r="M317">
        <v>0</v>
      </c>
      <c r="N317">
        <v>99.61233063602549</v>
      </c>
      <c r="O317">
        <v>0</v>
      </c>
      <c r="P317">
        <v>57.967398381615283</v>
      </c>
      <c r="Q317">
        <v>-95.845225170043378</v>
      </c>
      <c r="R317">
        <v>219.23948667931481</v>
      </c>
      <c r="S317">
        <v>9</v>
      </c>
      <c r="T317">
        <v>2</v>
      </c>
      <c r="U317" t="s">
        <v>2847</v>
      </c>
      <c r="W317">
        <v>0</v>
      </c>
      <c r="X317" t="e">
        <f t="shared" ca="1" si="46"/>
        <v>#REF!</v>
      </c>
      <c r="Y317">
        <v>0</v>
      </c>
      <c r="Z317" t="e">
        <f t="shared" ca="1" si="47"/>
        <v>#REF!</v>
      </c>
      <c r="AA317" s="152" t="e">
        <f t="shared" ca="1" si="52"/>
        <v>#REF!</v>
      </c>
      <c r="AB317" s="152" t="e">
        <f t="shared" ca="1" si="53"/>
        <v>#REF!</v>
      </c>
      <c r="AC317">
        <v>9</v>
      </c>
      <c r="AD317">
        <v>2</v>
      </c>
      <c r="AE317" t="str">
        <f t="shared" si="56"/>
        <v>'[2022 - Aryapratama &amp; Pauliuk - STE - AppF.xlsx]GWPdyn_DL_FP - Fig.4(i)'!L</v>
      </c>
      <c r="AG317">
        <v>95.845225170043378</v>
      </c>
      <c r="AH317">
        <v>-219.23948667931481</v>
      </c>
      <c r="AI317">
        <f t="shared" si="51"/>
        <v>-95.845225170043378</v>
      </c>
      <c r="AJ317">
        <f t="shared" si="51"/>
        <v>219.23948667931481</v>
      </c>
    </row>
    <row r="318" spans="9:36">
      <c r="I318">
        <v>200</v>
      </c>
      <c r="J318" t="s">
        <v>2850</v>
      </c>
      <c r="K318" s="2" t="s">
        <v>2851</v>
      </c>
      <c r="M318">
        <v>0</v>
      </c>
      <c r="N318">
        <v>292.83699190807647</v>
      </c>
      <c r="O318">
        <v>0</v>
      </c>
      <c r="P318">
        <v>173.90219514484585</v>
      </c>
      <c r="Q318">
        <v>-276.3051877599944</v>
      </c>
      <c r="R318">
        <v>218.48492658306861</v>
      </c>
      <c r="S318">
        <v>9</v>
      </c>
      <c r="T318">
        <v>2</v>
      </c>
      <c r="U318" t="s">
        <v>2847</v>
      </c>
      <c r="W318">
        <v>0</v>
      </c>
      <c r="X318" t="e">
        <f t="shared" ca="1" si="46"/>
        <v>#REF!</v>
      </c>
      <c r="Y318">
        <v>0</v>
      </c>
      <c r="Z318" t="e">
        <f t="shared" ca="1" si="47"/>
        <v>#REF!</v>
      </c>
      <c r="AA318" s="152" t="e">
        <f t="shared" ca="1" si="52"/>
        <v>#REF!</v>
      </c>
      <c r="AB318" s="152" t="e">
        <f t="shared" ca="1" si="53"/>
        <v>#REF!</v>
      </c>
      <c r="AC318">
        <v>9</v>
      </c>
      <c r="AD318">
        <v>2</v>
      </c>
      <c r="AE318" t="str">
        <f t="shared" si="56"/>
        <v>'[2022 - Aryapratama &amp; Pauliuk - STE - AppF.xlsx]GWPdyn_DL_FP - Fig.4(i)'!L</v>
      </c>
      <c r="AG318">
        <v>276.3051877599944</v>
      </c>
      <c r="AH318">
        <v>-218.48492658306861</v>
      </c>
      <c r="AI318">
        <f t="shared" si="51"/>
        <v>-276.3051877599944</v>
      </c>
      <c r="AJ318">
        <f t="shared" si="51"/>
        <v>218.48492658306861</v>
      </c>
    </row>
    <row r="319" spans="9:36">
      <c r="I319">
        <v>50</v>
      </c>
      <c r="J319" t="s">
        <v>2852</v>
      </c>
      <c r="K319" s="2" t="s">
        <v>2853</v>
      </c>
      <c r="M319">
        <v>0</v>
      </c>
      <c r="N319">
        <v>63.128301886792457</v>
      </c>
      <c r="O319">
        <v>0</v>
      </c>
      <c r="P319">
        <v>48.102641509433973</v>
      </c>
      <c r="Q319">
        <v>-79.816497751704446</v>
      </c>
      <c r="R319">
        <v>69.07494766906801</v>
      </c>
      <c r="S319">
        <v>9</v>
      </c>
      <c r="T319">
        <v>2</v>
      </c>
      <c r="U319" t="s">
        <v>2847</v>
      </c>
      <c r="W319">
        <v>0</v>
      </c>
      <c r="X319" t="e">
        <f t="shared" ca="1" si="46"/>
        <v>#REF!</v>
      </c>
      <c r="Y319">
        <v>0</v>
      </c>
      <c r="Z319" t="e">
        <f t="shared" ca="1" si="47"/>
        <v>#REF!</v>
      </c>
      <c r="AA319" s="152" t="e">
        <f t="shared" ca="1" si="52"/>
        <v>#REF!</v>
      </c>
      <c r="AB319" s="152" t="e">
        <f t="shared" ca="1" si="53"/>
        <v>#REF!</v>
      </c>
      <c r="AC319">
        <v>9</v>
      </c>
      <c r="AD319">
        <v>2</v>
      </c>
      <c r="AE319" t="str">
        <f t="shared" si="56"/>
        <v>'[2022 - Aryapratama &amp; Pauliuk - STE - AppF.xlsx]GWPdyn_DL_FP - Fig.4(i)'!L</v>
      </c>
      <c r="AG319">
        <v>79.816497751704446</v>
      </c>
      <c r="AH319">
        <v>-69.07494766906801</v>
      </c>
      <c r="AI319">
        <f t="shared" si="51"/>
        <v>-79.816497751704446</v>
      </c>
      <c r="AJ319">
        <f t="shared" si="51"/>
        <v>69.07494766906801</v>
      </c>
    </row>
    <row r="320" spans="9:36">
      <c r="I320">
        <v>100</v>
      </c>
      <c r="J320" t="s">
        <v>2852</v>
      </c>
      <c r="K320" s="2" t="s">
        <v>2853</v>
      </c>
      <c r="M320">
        <v>0</v>
      </c>
      <c r="N320">
        <v>123.25660377358491</v>
      </c>
      <c r="O320">
        <v>0</v>
      </c>
      <c r="P320">
        <v>96.205283018867945</v>
      </c>
      <c r="Q320">
        <v>-235.2392539982188</v>
      </c>
      <c r="R320">
        <v>42.123869249720393</v>
      </c>
      <c r="S320">
        <v>9</v>
      </c>
      <c r="T320">
        <v>2</v>
      </c>
      <c r="U320" t="s">
        <v>2847</v>
      </c>
      <c r="W320">
        <v>0</v>
      </c>
      <c r="X320" t="e">
        <f t="shared" ca="1" si="46"/>
        <v>#REF!</v>
      </c>
      <c r="Y320">
        <v>0</v>
      </c>
      <c r="Z320" t="e">
        <f t="shared" ca="1" si="47"/>
        <v>#REF!</v>
      </c>
      <c r="AA320" s="152" t="e">
        <f t="shared" ca="1" si="52"/>
        <v>#REF!</v>
      </c>
      <c r="AB320" s="152" t="e">
        <f t="shared" ca="1" si="53"/>
        <v>#REF!</v>
      </c>
      <c r="AC320">
        <v>9</v>
      </c>
      <c r="AD320">
        <v>2</v>
      </c>
      <c r="AE320" t="str">
        <f t="shared" si="56"/>
        <v>'[2022 - Aryapratama &amp; Pauliuk - STE - AppF.xlsx]GWPdyn_DL_FP - Fig.4(i)'!L</v>
      </c>
      <c r="AG320">
        <v>235.2392539982188</v>
      </c>
      <c r="AH320">
        <v>-42.123869249720393</v>
      </c>
      <c r="AI320">
        <f t="shared" si="51"/>
        <v>-235.2392539982188</v>
      </c>
      <c r="AJ320">
        <f t="shared" si="51"/>
        <v>42.123869249720393</v>
      </c>
    </row>
    <row r="321" spans="9:36">
      <c r="I321">
        <v>200</v>
      </c>
      <c r="J321" t="s">
        <v>2852</v>
      </c>
      <c r="K321" s="2" t="s">
        <v>2853</v>
      </c>
      <c r="M321">
        <v>0</v>
      </c>
      <c r="N321">
        <v>243.51320754716983</v>
      </c>
      <c r="O321">
        <v>0</v>
      </c>
      <c r="P321">
        <v>192.41056603773589</v>
      </c>
      <c r="Q321">
        <v>-543.07789336691178</v>
      </c>
      <c r="R321">
        <v>2.2086925350061422</v>
      </c>
      <c r="S321">
        <v>9</v>
      </c>
      <c r="T321">
        <v>2</v>
      </c>
      <c r="U321" t="s">
        <v>2847</v>
      </c>
      <c r="W321">
        <v>0</v>
      </c>
      <c r="X321" t="e">
        <f t="shared" ca="1" si="46"/>
        <v>#REF!</v>
      </c>
      <c r="Y321">
        <v>0</v>
      </c>
      <c r="Z321" t="e">
        <f t="shared" ca="1" si="47"/>
        <v>#REF!</v>
      </c>
      <c r="AA321" s="152" t="e">
        <f t="shared" ca="1" si="52"/>
        <v>#REF!</v>
      </c>
      <c r="AB321" s="152" t="e">
        <f t="shared" ca="1" si="53"/>
        <v>#REF!</v>
      </c>
      <c r="AC321">
        <v>9</v>
      </c>
      <c r="AD321">
        <v>2</v>
      </c>
      <c r="AE321" t="str">
        <f t="shared" si="56"/>
        <v>'[2022 - Aryapratama &amp; Pauliuk - STE - AppF.xlsx]GWPdyn_DL_FP - Fig.4(i)'!L</v>
      </c>
      <c r="AG321">
        <v>543.07789336691178</v>
      </c>
      <c r="AH321">
        <v>-2.2086925350061422</v>
      </c>
      <c r="AI321">
        <f t="shared" si="51"/>
        <v>-543.07789336691178</v>
      </c>
      <c r="AJ321">
        <f t="shared" si="51"/>
        <v>2.2086925350061422</v>
      </c>
    </row>
    <row r="322" spans="9:36">
      <c r="I322">
        <v>50</v>
      </c>
      <c r="J322" t="str">
        <f t="shared" ref="J322:J327" si="57">"NR_"&amp;K322</f>
        <v>NR_RIL_M</v>
      </c>
      <c r="K322" s="2" t="s">
        <v>285</v>
      </c>
      <c r="M322">
        <v>0</v>
      </c>
      <c r="N322">
        <v>19.274226580798832</v>
      </c>
      <c r="O322">
        <v>0</v>
      </c>
      <c r="P322">
        <v>11.564535948479303</v>
      </c>
      <c r="Q322">
        <v>75.991198542896527</v>
      </c>
      <c r="R322">
        <v>100.2569126004381</v>
      </c>
      <c r="S322">
        <v>5</v>
      </c>
      <c r="T322">
        <v>1</v>
      </c>
      <c r="U322" t="s">
        <v>2854</v>
      </c>
      <c r="W322">
        <v>0</v>
      </c>
      <c r="X322" t="e">
        <f t="shared" ca="1" si="46"/>
        <v>#REF!</v>
      </c>
      <c r="Y322">
        <v>0</v>
      </c>
      <c r="Z322" t="e">
        <f t="shared" ca="1" si="47"/>
        <v>#REF!</v>
      </c>
      <c r="AA322" s="152" t="e">
        <f t="shared" ca="1" si="52"/>
        <v>#REF!</v>
      </c>
      <c r="AB322" s="152" t="e">
        <f t="shared" ca="1" si="53"/>
        <v>#REF!</v>
      </c>
      <c r="AC322">
        <v>5</v>
      </c>
      <c r="AD322">
        <v>1</v>
      </c>
      <c r="AE322" t="str">
        <f t="shared" ref="AE322:AE333" si="58">"'[2022 - Aryapratama &amp; Pauliuk - STE - AppF.xlsx]GWPdyn_"&amp;LEFT(K322,3)&amp;" - Fig.4(j)'!L"</f>
        <v>'[2022 - Aryapratama &amp; Pauliuk - STE - AppF.xlsx]GWPdyn_RIL - Fig.4(j)'!L</v>
      </c>
      <c r="AG322">
        <v>-75.991198542896527</v>
      </c>
      <c r="AH322">
        <v>-100.2569126004381</v>
      </c>
      <c r="AI322">
        <f t="shared" si="51"/>
        <v>75.991198542896527</v>
      </c>
      <c r="AJ322">
        <f t="shared" si="51"/>
        <v>100.2569126004381</v>
      </c>
    </row>
    <row r="323" spans="9:36">
      <c r="I323">
        <v>100</v>
      </c>
      <c r="J323" t="str">
        <f t="shared" si="57"/>
        <v>NR_RIL_M</v>
      </c>
      <c r="K323" s="2" t="s">
        <v>285</v>
      </c>
      <c r="M323">
        <v>0</v>
      </c>
      <c r="N323">
        <v>28.911339871198248</v>
      </c>
      <c r="O323">
        <v>0</v>
      </c>
      <c r="P323">
        <v>17.346803922718955</v>
      </c>
      <c r="Q323">
        <v>163.96310441836951</v>
      </c>
      <c r="R323">
        <v>192.24097622198209</v>
      </c>
      <c r="S323">
        <v>5</v>
      </c>
      <c r="T323">
        <v>1</v>
      </c>
      <c r="U323" t="s">
        <v>2854</v>
      </c>
      <c r="W323">
        <v>0</v>
      </c>
      <c r="X323" t="e">
        <f t="shared" ca="1" si="46"/>
        <v>#REF!</v>
      </c>
      <c r="Y323">
        <v>0</v>
      </c>
      <c r="Z323" t="e">
        <f t="shared" ca="1" si="47"/>
        <v>#REF!</v>
      </c>
      <c r="AA323" s="152" t="e">
        <f t="shared" ca="1" si="52"/>
        <v>#REF!</v>
      </c>
      <c r="AB323" s="152" t="e">
        <f t="shared" ca="1" si="53"/>
        <v>#REF!</v>
      </c>
      <c r="AC323">
        <v>5</v>
      </c>
      <c r="AD323">
        <v>1</v>
      </c>
      <c r="AE323" t="str">
        <f t="shared" si="58"/>
        <v>'[2022 - Aryapratama &amp; Pauliuk - STE - AppF.xlsx]GWPdyn_RIL - Fig.4(j)'!L</v>
      </c>
      <c r="AG323">
        <v>-163.96310441836951</v>
      </c>
      <c r="AH323">
        <v>-192.24097622198209</v>
      </c>
      <c r="AI323">
        <f t="shared" si="51"/>
        <v>163.96310441836951</v>
      </c>
      <c r="AJ323">
        <f t="shared" si="51"/>
        <v>192.24097622198209</v>
      </c>
    </row>
    <row r="324" spans="9:36">
      <c r="I324">
        <v>200</v>
      </c>
      <c r="J324" t="str">
        <f t="shared" si="57"/>
        <v>NR_RIL_M</v>
      </c>
      <c r="K324" s="2" t="s">
        <v>285</v>
      </c>
      <c r="M324">
        <v>0</v>
      </c>
      <c r="N324">
        <v>57.822679742396488</v>
      </c>
      <c r="O324">
        <v>0</v>
      </c>
      <c r="P324">
        <v>34.69360784543791</v>
      </c>
      <c r="Q324">
        <v>337.64037255698202</v>
      </c>
      <c r="R324">
        <v>377.50107760210591</v>
      </c>
      <c r="S324">
        <v>5</v>
      </c>
      <c r="T324">
        <v>1</v>
      </c>
      <c r="U324" t="s">
        <v>2854</v>
      </c>
      <c r="W324">
        <v>0</v>
      </c>
      <c r="X324" t="e">
        <f t="shared" ca="1" si="46"/>
        <v>#REF!</v>
      </c>
      <c r="Y324">
        <v>0</v>
      </c>
      <c r="Z324" t="e">
        <f t="shared" ca="1" si="47"/>
        <v>#REF!</v>
      </c>
      <c r="AA324" s="152" t="e">
        <f t="shared" ca="1" si="52"/>
        <v>#REF!</v>
      </c>
      <c r="AB324" s="152" t="e">
        <f t="shared" ca="1" si="53"/>
        <v>#REF!</v>
      </c>
      <c r="AC324">
        <v>5</v>
      </c>
      <c r="AD324">
        <v>1</v>
      </c>
      <c r="AE324" t="str">
        <f t="shared" si="58"/>
        <v>'[2022 - Aryapratama &amp; Pauliuk - STE - AppF.xlsx]GWPdyn_RIL - Fig.4(j)'!L</v>
      </c>
      <c r="AG324">
        <v>-337.64037255698202</v>
      </c>
      <c r="AH324">
        <v>-377.50107760210591</v>
      </c>
      <c r="AI324">
        <f t="shared" si="51"/>
        <v>337.64037255698202</v>
      </c>
      <c r="AJ324">
        <f t="shared" si="51"/>
        <v>377.50107760210591</v>
      </c>
    </row>
    <row r="325" spans="9:36">
      <c r="I325">
        <v>50</v>
      </c>
      <c r="J325" t="str">
        <f t="shared" si="57"/>
        <v>NR_RIL_E</v>
      </c>
      <c r="K325" s="2" t="s">
        <v>304</v>
      </c>
      <c r="M325">
        <v>0</v>
      </c>
      <c r="N325">
        <v>19.274226580798839</v>
      </c>
      <c r="O325">
        <v>0</v>
      </c>
      <c r="P325">
        <v>15.419381264639073</v>
      </c>
      <c r="Q325">
        <v>68.167571816623862</v>
      </c>
      <c r="R325">
        <v>82.450615050179124</v>
      </c>
      <c r="S325">
        <v>5</v>
      </c>
      <c r="T325">
        <v>1</v>
      </c>
      <c r="U325" t="s">
        <v>2854</v>
      </c>
      <c r="W325">
        <v>0</v>
      </c>
      <c r="X325" t="e">
        <f t="shared" ca="1" si="46"/>
        <v>#REF!</v>
      </c>
      <c r="Y325">
        <v>0</v>
      </c>
      <c r="Z325" t="e">
        <f t="shared" ca="1" si="47"/>
        <v>#REF!</v>
      </c>
      <c r="AA325" s="152" t="e">
        <f t="shared" ca="1" si="52"/>
        <v>#REF!</v>
      </c>
      <c r="AB325" s="152" t="e">
        <f t="shared" ca="1" si="53"/>
        <v>#REF!</v>
      </c>
      <c r="AC325">
        <v>5</v>
      </c>
      <c r="AD325">
        <v>1</v>
      </c>
      <c r="AE325" t="str">
        <f t="shared" si="58"/>
        <v>'[2022 - Aryapratama &amp; Pauliuk - STE - AppF.xlsx]GWPdyn_RIL - Fig.4(j)'!L</v>
      </c>
      <c r="AG325">
        <v>-68.167571816623862</v>
      </c>
      <c r="AH325">
        <v>-82.450615050179124</v>
      </c>
      <c r="AI325">
        <f t="shared" si="51"/>
        <v>68.167571816623862</v>
      </c>
      <c r="AJ325">
        <f t="shared" si="51"/>
        <v>82.450615050179124</v>
      </c>
    </row>
    <row r="326" spans="9:36">
      <c r="I326">
        <v>100</v>
      </c>
      <c r="J326" t="str">
        <f t="shared" si="57"/>
        <v>NR_RIL_E</v>
      </c>
      <c r="K326" s="2" t="s">
        <v>304</v>
      </c>
      <c r="M326">
        <v>0</v>
      </c>
      <c r="N326">
        <v>28.911339871198258</v>
      </c>
      <c r="O326">
        <v>0</v>
      </c>
      <c r="P326">
        <v>23.12907189695861</v>
      </c>
      <c r="Q326">
        <v>152.02211024415089</v>
      </c>
      <c r="R326">
        <v>176.62110895178901</v>
      </c>
      <c r="S326">
        <v>5</v>
      </c>
      <c r="T326">
        <v>1</v>
      </c>
      <c r="U326" t="s">
        <v>2854</v>
      </c>
      <c r="W326">
        <v>0</v>
      </c>
      <c r="X326" t="e">
        <f t="shared" ca="1" si="46"/>
        <v>#REF!</v>
      </c>
      <c r="Y326">
        <v>0</v>
      </c>
      <c r="Z326" t="e">
        <f t="shared" ca="1" si="47"/>
        <v>#REF!</v>
      </c>
      <c r="AA326" s="152" t="e">
        <f t="shared" ca="1" si="52"/>
        <v>#REF!</v>
      </c>
      <c r="AB326" s="152" t="e">
        <f t="shared" ca="1" si="53"/>
        <v>#REF!</v>
      </c>
      <c r="AC326">
        <v>5</v>
      </c>
      <c r="AD326">
        <v>1</v>
      </c>
      <c r="AE326" t="str">
        <f t="shared" si="58"/>
        <v>'[2022 - Aryapratama &amp; Pauliuk - STE - AppF.xlsx]GWPdyn_RIL - Fig.4(j)'!L</v>
      </c>
      <c r="AG326">
        <v>-152.02211024415089</v>
      </c>
      <c r="AH326">
        <v>-176.62110895178901</v>
      </c>
      <c r="AI326">
        <f t="shared" si="51"/>
        <v>152.02211024415089</v>
      </c>
      <c r="AJ326">
        <f t="shared" si="51"/>
        <v>176.62110895178901</v>
      </c>
    </row>
    <row r="327" spans="9:36">
      <c r="I327">
        <v>200</v>
      </c>
      <c r="J327" t="str">
        <f t="shared" si="57"/>
        <v>NR_RIL_E</v>
      </c>
      <c r="K327" s="2" t="s">
        <v>304</v>
      </c>
      <c r="M327">
        <v>0</v>
      </c>
      <c r="N327">
        <v>57.822679742396517</v>
      </c>
      <c r="O327">
        <v>0</v>
      </c>
      <c r="P327">
        <v>46.25814379391722</v>
      </c>
      <c r="Q327">
        <v>316.56191500133059</v>
      </c>
      <c r="R327">
        <v>365.10563504552567</v>
      </c>
      <c r="S327">
        <v>5</v>
      </c>
      <c r="T327">
        <v>1</v>
      </c>
      <c r="U327" t="s">
        <v>2854</v>
      </c>
      <c r="W327">
        <v>0</v>
      </c>
      <c r="X327" t="e">
        <f t="shared" ca="1" si="46"/>
        <v>#REF!</v>
      </c>
      <c r="Y327">
        <v>0</v>
      </c>
      <c r="Z327" t="e">
        <f t="shared" ca="1" si="47"/>
        <v>#REF!</v>
      </c>
      <c r="AA327" s="152" t="e">
        <f t="shared" ca="1" si="52"/>
        <v>#REF!</v>
      </c>
      <c r="AB327" s="152" t="e">
        <f t="shared" ca="1" si="53"/>
        <v>#REF!</v>
      </c>
      <c r="AC327">
        <v>5</v>
      </c>
      <c r="AD327">
        <v>1</v>
      </c>
      <c r="AE327" t="str">
        <f t="shared" si="58"/>
        <v>'[2022 - Aryapratama &amp; Pauliuk - STE - AppF.xlsx]GWPdyn_RIL - Fig.4(j)'!L</v>
      </c>
      <c r="AG327">
        <v>-316.56191500133059</v>
      </c>
      <c r="AH327">
        <v>-365.10563504552567</v>
      </c>
      <c r="AI327">
        <f t="shared" si="51"/>
        <v>316.56191500133059</v>
      </c>
      <c r="AJ327">
        <f t="shared" si="51"/>
        <v>365.10563504552567</v>
      </c>
    </row>
    <row r="328" spans="9:36">
      <c r="I328">
        <v>50</v>
      </c>
      <c r="J328" t="s">
        <v>2855</v>
      </c>
      <c r="K328" s="2" t="s">
        <v>284</v>
      </c>
      <c r="M328">
        <v>0</v>
      </c>
      <c r="N328">
        <v>19.274226580798832</v>
      </c>
      <c r="O328">
        <v>0</v>
      </c>
      <c r="P328">
        <v>11.564535948479303</v>
      </c>
      <c r="Q328">
        <v>75.991198542896527</v>
      </c>
      <c r="R328">
        <v>185.09042564065231</v>
      </c>
      <c r="S328">
        <v>7</v>
      </c>
      <c r="T328">
        <v>1</v>
      </c>
      <c r="U328" t="s">
        <v>2854</v>
      </c>
      <c r="W328">
        <v>0</v>
      </c>
      <c r="X328" t="e">
        <f t="shared" ca="1" si="46"/>
        <v>#REF!</v>
      </c>
      <c r="Y328">
        <v>0</v>
      </c>
      <c r="Z328" t="e">
        <f t="shared" ca="1" si="47"/>
        <v>#REF!</v>
      </c>
      <c r="AA328" s="152" t="e">
        <f t="shared" ca="1" si="52"/>
        <v>#REF!</v>
      </c>
      <c r="AB328" s="152" t="e">
        <f t="shared" ca="1" si="53"/>
        <v>#REF!</v>
      </c>
      <c r="AC328">
        <v>7</v>
      </c>
      <c r="AD328">
        <v>1</v>
      </c>
      <c r="AE328" t="str">
        <f t="shared" si="58"/>
        <v>'[2022 - Aryapratama &amp; Pauliuk - STE - AppF.xlsx]GWPdyn_RIL - Fig.4(j)'!L</v>
      </c>
      <c r="AG328">
        <v>-75.991198542896527</v>
      </c>
      <c r="AH328">
        <v>-185.09042564065231</v>
      </c>
      <c r="AI328">
        <f t="shared" si="51"/>
        <v>75.991198542896527</v>
      </c>
      <c r="AJ328">
        <f t="shared" si="51"/>
        <v>185.09042564065231</v>
      </c>
    </row>
    <row r="329" spans="9:36">
      <c r="I329">
        <v>100</v>
      </c>
      <c r="J329" t="s">
        <v>2855</v>
      </c>
      <c r="K329" s="2" t="s">
        <v>284</v>
      </c>
      <c r="M329">
        <v>0</v>
      </c>
      <c r="N329">
        <v>28.911339871198248</v>
      </c>
      <c r="O329">
        <v>0</v>
      </c>
      <c r="P329">
        <v>17.346803922718955</v>
      </c>
      <c r="Q329">
        <v>163.96310441836951</v>
      </c>
      <c r="R329">
        <v>369.9239668180054</v>
      </c>
      <c r="S329">
        <v>7</v>
      </c>
      <c r="T329">
        <v>1</v>
      </c>
      <c r="U329" t="s">
        <v>2854</v>
      </c>
      <c r="W329">
        <v>0</v>
      </c>
      <c r="X329" t="e">
        <f t="shared" ca="1" si="46"/>
        <v>#REF!</v>
      </c>
      <c r="Y329">
        <v>0</v>
      </c>
      <c r="Z329" t="e">
        <f t="shared" ca="1" si="47"/>
        <v>#REF!</v>
      </c>
      <c r="AA329" s="152" t="e">
        <f t="shared" ca="1" si="52"/>
        <v>#REF!</v>
      </c>
      <c r="AB329" s="152" t="e">
        <f t="shared" ca="1" si="53"/>
        <v>#REF!</v>
      </c>
      <c r="AC329">
        <v>7</v>
      </c>
      <c r="AD329">
        <v>1</v>
      </c>
      <c r="AE329" t="str">
        <f t="shared" si="58"/>
        <v>'[2022 - Aryapratama &amp; Pauliuk - STE - AppF.xlsx]GWPdyn_RIL - Fig.4(j)'!L</v>
      </c>
      <c r="AG329">
        <v>-163.96310441836951</v>
      </c>
      <c r="AH329">
        <v>-369.9239668180054</v>
      </c>
      <c r="AI329">
        <f t="shared" si="51"/>
        <v>163.96310441836951</v>
      </c>
      <c r="AJ329">
        <f t="shared" si="51"/>
        <v>369.9239668180054</v>
      </c>
    </row>
    <row r="330" spans="9:36">
      <c r="I330">
        <v>200</v>
      </c>
      <c r="J330" t="s">
        <v>2855</v>
      </c>
      <c r="K330" s="2" t="s">
        <v>284</v>
      </c>
      <c r="M330">
        <v>0</v>
      </c>
      <c r="N330">
        <v>57.822679742396488</v>
      </c>
      <c r="O330">
        <v>0</v>
      </c>
      <c r="P330">
        <v>34.69360784543791</v>
      </c>
      <c r="Q330">
        <v>337.64037255698202</v>
      </c>
      <c r="R330">
        <v>739.24076084648095</v>
      </c>
      <c r="S330">
        <v>7</v>
      </c>
      <c r="T330">
        <v>1</v>
      </c>
      <c r="U330" t="s">
        <v>2854</v>
      </c>
      <c r="W330">
        <v>0</v>
      </c>
      <c r="X330" t="e">
        <f t="shared" ca="1" si="46"/>
        <v>#REF!</v>
      </c>
      <c r="Y330">
        <v>0</v>
      </c>
      <c r="Z330" t="e">
        <f t="shared" ca="1" si="47"/>
        <v>#REF!</v>
      </c>
      <c r="AA330" s="152" t="e">
        <f t="shared" ca="1" si="52"/>
        <v>#REF!</v>
      </c>
      <c r="AB330" s="152" t="e">
        <f t="shared" ca="1" si="53"/>
        <v>#REF!</v>
      </c>
      <c r="AC330">
        <v>7</v>
      </c>
      <c r="AD330">
        <v>1</v>
      </c>
      <c r="AE330" t="str">
        <f t="shared" si="58"/>
        <v>'[2022 - Aryapratama &amp; Pauliuk - STE - AppF.xlsx]GWPdyn_RIL - Fig.4(j)'!L</v>
      </c>
      <c r="AG330">
        <v>-337.64037255698202</v>
      </c>
      <c r="AH330">
        <v>-739.24076084648095</v>
      </c>
      <c r="AI330">
        <f t="shared" si="51"/>
        <v>337.64037255698202</v>
      </c>
      <c r="AJ330">
        <f t="shared" si="51"/>
        <v>739.24076084648095</v>
      </c>
    </row>
    <row r="331" spans="9:36">
      <c r="I331">
        <v>50</v>
      </c>
      <c r="J331" t="s">
        <v>2856</v>
      </c>
      <c r="K331" s="2" t="s">
        <v>313</v>
      </c>
      <c r="M331">
        <v>0</v>
      </c>
      <c r="N331">
        <v>19.274226580798839</v>
      </c>
      <c r="O331">
        <v>0</v>
      </c>
      <c r="P331">
        <v>15.419381264639073</v>
      </c>
      <c r="Q331">
        <v>68.167571816623862</v>
      </c>
      <c r="R331">
        <v>167.28412809039341</v>
      </c>
      <c r="S331">
        <v>7</v>
      </c>
      <c r="T331">
        <v>1</v>
      </c>
      <c r="U331" t="s">
        <v>2854</v>
      </c>
      <c r="W331">
        <v>0</v>
      </c>
      <c r="X331" t="e">
        <f t="shared" ca="1" si="46"/>
        <v>#REF!</v>
      </c>
      <c r="Y331">
        <v>0</v>
      </c>
      <c r="Z331" t="e">
        <f t="shared" ca="1" si="47"/>
        <v>#REF!</v>
      </c>
      <c r="AA331" s="152" t="e">
        <f t="shared" ca="1" si="52"/>
        <v>#REF!</v>
      </c>
      <c r="AB331" s="152" t="e">
        <f t="shared" ca="1" si="53"/>
        <v>#REF!</v>
      </c>
      <c r="AC331">
        <v>7</v>
      </c>
      <c r="AD331">
        <v>1</v>
      </c>
      <c r="AE331" t="str">
        <f t="shared" si="58"/>
        <v>'[2022 - Aryapratama &amp; Pauliuk - STE - AppF.xlsx]GWPdyn_RIL - Fig.4(j)'!L</v>
      </c>
      <c r="AG331">
        <v>-68.167571816623862</v>
      </c>
      <c r="AH331">
        <v>-167.28412809039341</v>
      </c>
      <c r="AI331">
        <f t="shared" si="51"/>
        <v>68.167571816623862</v>
      </c>
      <c r="AJ331">
        <f t="shared" si="51"/>
        <v>167.28412809039341</v>
      </c>
    </row>
    <row r="332" spans="9:36">
      <c r="I332">
        <v>100</v>
      </c>
      <c r="J332" t="s">
        <v>2856</v>
      </c>
      <c r="K332" s="2" t="s">
        <v>313</v>
      </c>
      <c r="M332">
        <v>0</v>
      </c>
      <c r="N332">
        <v>28.911339871198258</v>
      </c>
      <c r="O332">
        <v>0</v>
      </c>
      <c r="P332">
        <v>23.12907189695861</v>
      </c>
      <c r="Q332">
        <v>152.02211024415089</v>
      </c>
      <c r="R332">
        <v>354.30409954781243</v>
      </c>
      <c r="S332">
        <v>7</v>
      </c>
      <c r="T332">
        <v>1</v>
      </c>
      <c r="U332" t="s">
        <v>2854</v>
      </c>
      <c r="W332">
        <v>0</v>
      </c>
      <c r="X332" t="e">
        <f t="shared" ca="1" si="46"/>
        <v>#REF!</v>
      </c>
      <c r="Y332">
        <v>0</v>
      </c>
      <c r="Z332" t="e">
        <f t="shared" ca="1" si="47"/>
        <v>#REF!</v>
      </c>
      <c r="AA332" s="152" t="e">
        <f t="shared" ca="1" si="52"/>
        <v>#REF!</v>
      </c>
      <c r="AB332" s="152" t="e">
        <f t="shared" ca="1" si="53"/>
        <v>#REF!</v>
      </c>
      <c r="AC332">
        <v>7</v>
      </c>
      <c r="AD332">
        <v>1</v>
      </c>
      <c r="AE332" t="str">
        <f t="shared" si="58"/>
        <v>'[2022 - Aryapratama &amp; Pauliuk - STE - AppF.xlsx]GWPdyn_RIL - Fig.4(j)'!L</v>
      </c>
      <c r="AG332">
        <v>-152.02211024415089</v>
      </c>
      <c r="AH332">
        <v>-354.30409954781243</v>
      </c>
      <c r="AI332">
        <f t="shared" si="51"/>
        <v>152.02211024415089</v>
      </c>
      <c r="AJ332">
        <f t="shared" si="51"/>
        <v>354.30409954781243</v>
      </c>
    </row>
    <row r="333" spans="9:36">
      <c r="I333">
        <v>200</v>
      </c>
      <c r="J333" t="s">
        <v>2856</v>
      </c>
      <c r="K333" s="2" t="s">
        <v>313</v>
      </c>
      <c r="M333">
        <v>0</v>
      </c>
      <c r="N333">
        <v>57.822679742396517</v>
      </c>
      <c r="O333">
        <v>0</v>
      </c>
      <c r="P333">
        <v>46.25814379391722</v>
      </c>
      <c r="Q333">
        <v>316.56191500133059</v>
      </c>
      <c r="R333">
        <v>726.845318289901</v>
      </c>
      <c r="S333">
        <v>7</v>
      </c>
      <c r="T333">
        <v>1</v>
      </c>
      <c r="U333" t="s">
        <v>2854</v>
      </c>
      <c r="W333">
        <v>0</v>
      </c>
      <c r="X333" t="e">
        <f t="shared" ca="1" si="46"/>
        <v>#REF!</v>
      </c>
      <c r="Y333">
        <v>0</v>
      </c>
      <c r="Z333" t="e">
        <f t="shared" ca="1" si="47"/>
        <v>#REF!</v>
      </c>
      <c r="AA333" s="152" t="e">
        <f t="shared" ca="1" si="52"/>
        <v>#REF!</v>
      </c>
      <c r="AB333" s="152" t="e">
        <f t="shared" ca="1" si="53"/>
        <v>#REF!</v>
      </c>
      <c r="AC333">
        <v>7</v>
      </c>
      <c r="AD333">
        <v>1</v>
      </c>
      <c r="AE333" t="str">
        <f t="shared" si="58"/>
        <v>'[2022 - Aryapratama &amp; Pauliuk - STE - AppF.xlsx]GWPdyn_RIL - Fig.4(j)'!L</v>
      </c>
      <c r="AG333">
        <v>-316.56191500133059</v>
      </c>
      <c r="AH333">
        <v>-726.845318289901</v>
      </c>
      <c r="AI333">
        <f t="shared" si="51"/>
        <v>316.56191500133059</v>
      </c>
      <c r="AJ333">
        <f t="shared" si="51"/>
        <v>726.845318289901</v>
      </c>
    </row>
    <row r="334" spans="9:36">
      <c r="I334">
        <v>50</v>
      </c>
      <c r="J334" t="s">
        <v>277</v>
      </c>
      <c r="K334" s="2" t="s">
        <v>327</v>
      </c>
      <c r="M334">
        <v>264.61872586084911</v>
      </c>
      <c r="N334">
        <v>263.98307948584909</v>
      </c>
      <c r="O334">
        <v>145.3587976415094</v>
      </c>
      <c r="P334">
        <v>196.41951018867931</v>
      </c>
      <c r="Q334">
        <v>-654.85817268246092</v>
      </c>
      <c r="R334">
        <v>-930.07336759388943</v>
      </c>
      <c r="S334">
        <v>1</v>
      </c>
      <c r="T334">
        <v>1</v>
      </c>
      <c r="U334" t="s">
        <v>2834</v>
      </c>
      <c r="W334" t="e">
        <f t="shared" ref="W334:W357" ca="1" si="59">SUM(INDIRECT("'[2022 - Aryapratama &amp; Pauliuk - STE - AppD.xlsx]"&amp;$J334&amp;"'!D2:D"&amp;$I334+1))</f>
        <v>#REF!</v>
      </c>
      <c r="X334" t="e">
        <f t="shared" ca="1" si="46"/>
        <v>#REF!</v>
      </c>
      <c r="Y334" t="e">
        <f t="shared" ref="Y334:Y357" ca="1" si="60">SUM(INDIRECT("'[2022 - Aryapratama &amp; Pauliuk - STE - AppD.xlsx]"&amp;$J334&amp;"'!H2:H"&amp;$I334+1))</f>
        <v>#REF!</v>
      </c>
      <c r="Z334" t="e">
        <f t="shared" ca="1" si="47"/>
        <v>#REF!</v>
      </c>
      <c r="AA334" s="152" t="e">
        <f t="shared" ref="AA334:AB336" ca="1" si="61">INDIRECT($AE334&amp;$I334+2&amp;"C"&amp;MATCH(RIGHT(J334,$AC334)&amp;" (t-CO2eq)",INDIRECT($AE334&amp;$AD334,FALSE),0),FALSE)</f>
        <v>#REF!</v>
      </c>
      <c r="AB334" s="152" t="e">
        <f t="shared" ca="1" si="61"/>
        <v>#REF!</v>
      </c>
      <c r="AC334">
        <v>1</v>
      </c>
      <c r="AD334">
        <v>1</v>
      </c>
      <c r="AE334" t="str">
        <f t="shared" ref="AE334:AE336" si="62">"'[2022 - Aryapratama &amp; Pauliuk - STE - AppF.xlsx]GWPdyn_"&amp;LEFT(K334,5)&amp;" - Fig.4(f)'!L"</f>
        <v>'[2022 - Aryapratama &amp; Pauliuk - STE - AppF.xlsx]GWPdyn_PF_PO - Fig.4(f)'!L</v>
      </c>
      <c r="AG334">
        <v>654.85817268246092</v>
      </c>
      <c r="AH334">
        <v>930.07336759388943</v>
      </c>
      <c r="AI334">
        <f t="shared" si="51"/>
        <v>-654.85817268246092</v>
      </c>
      <c r="AJ334">
        <f t="shared" si="51"/>
        <v>-930.07336759388943</v>
      </c>
    </row>
    <row r="335" spans="9:36">
      <c r="I335">
        <v>100</v>
      </c>
      <c r="J335" t="s">
        <v>277</v>
      </c>
      <c r="K335" s="2" t="s">
        <v>327</v>
      </c>
      <c r="M335">
        <v>341.92410211084911</v>
      </c>
      <c r="N335">
        <v>340.01716298584904</v>
      </c>
      <c r="O335">
        <v>164.91714764150942</v>
      </c>
      <c r="P335">
        <v>227.71287018867932</v>
      </c>
      <c r="Q335">
        <v>-922.29525217943831</v>
      </c>
      <c r="R335">
        <v>-1049.6296143500765</v>
      </c>
      <c r="S335">
        <v>1</v>
      </c>
      <c r="T335">
        <v>1</v>
      </c>
      <c r="U335" t="s">
        <v>2834</v>
      </c>
      <c r="W335" t="e">
        <f t="shared" ca="1" si="59"/>
        <v>#REF!</v>
      </c>
      <c r="X335" t="e">
        <f t="shared" ca="1" si="46"/>
        <v>#REF!</v>
      </c>
      <c r="Y335" t="e">
        <f t="shared" ca="1" si="60"/>
        <v>#REF!</v>
      </c>
      <c r="Z335" t="e">
        <f t="shared" ca="1" si="47"/>
        <v>#REF!</v>
      </c>
      <c r="AA335" s="152" t="e">
        <f t="shared" ca="1" si="61"/>
        <v>#REF!</v>
      </c>
      <c r="AB335" s="152" t="e">
        <f t="shared" ca="1" si="61"/>
        <v>#REF!</v>
      </c>
      <c r="AC335">
        <v>1</v>
      </c>
      <c r="AD335">
        <v>1</v>
      </c>
      <c r="AE335" t="str">
        <f t="shared" si="62"/>
        <v>'[2022 - Aryapratama &amp; Pauliuk - STE - AppF.xlsx]GWPdyn_PF_PO - Fig.4(f)'!L</v>
      </c>
      <c r="AG335">
        <v>922.29525217943831</v>
      </c>
      <c r="AH335">
        <v>1049.6296143500765</v>
      </c>
      <c r="AI335">
        <f t="shared" si="51"/>
        <v>-922.29525217943831</v>
      </c>
      <c r="AJ335">
        <f t="shared" si="51"/>
        <v>-1049.6296143500765</v>
      </c>
    </row>
    <row r="336" spans="9:36">
      <c r="I336">
        <v>200</v>
      </c>
      <c r="J336" t="s">
        <v>277</v>
      </c>
      <c r="K336" s="2" t="s">
        <v>327</v>
      </c>
      <c r="M336">
        <v>496.5348546108491</v>
      </c>
      <c r="N336">
        <v>492.08532998584894</v>
      </c>
      <c r="O336">
        <v>204.03384764150945</v>
      </c>
      <c r="P336">
        <v>290.2995901886793</v>
      </c>
      <c r="Q336">
        <v>-1206.3347109067272</v>
      </c>
      <c r="R336">
        <v>-1282.169207878547</v>
      </c>
      <c r="S336">
        <v>1</v>
      </c>
      <c r="T336">
        <v>1</v>
      </c>
      <c r="U336" t="s">
        <v>2834</v>
      </c>
      <c r="W336" t="e">
        <f t="shared" ca="1" si="59"/>
        <v>#REF!</v>
      </c>
      <c r="X336" t="e">
        <f t="shared" ca="1" si="46"/>
        <v>#REF!</v>
      </c>
      <c r="Y336" t="e">
        <f t="shared" ca="1" si="60"/>
        <v>#REF!</v>
      </c>
      <c r="Z336" t="e">
        <f t="shared" ca="1" si="47"/>
        <v>#REF!</v>
      </c>
      <c r="AA336" s="152" t="e">
        <f t="shared" ca="1" si="61"/>
        <v>#REF!</v>
      </c>
      <c r="AB336" s="152" t="e">
        <f t="shared" ca="1" si="61"/>
        <v>#REF!</v>
      </c>
      <c r="AC336">
        <v>1</v>
      </c>
      <c r="AD336">
        <v>1</v>
      </c>
      <c r="AE336" t="str">
        <f t="shared" si="62"/>
        <v>'[2022 - Aryapratama &amp; Pauliuk - STE - AppF.xlsx]GWPdyn_PF_PO - Fig.4(f)'!L</v>
      </c>
      <c r="AG336">
        <v>1206.3347109067272</v>
      </c>
      <c r="AH336">
        <v>1282.169207878547</v>
      </c>
      <c r="AI336">
        <f t="shared" si="51"/>
        <v>-1206.3347109067272</v>
      </c>
      <c r="AJ336">
        <f t="shared" si="51"/>
        <v>-1282.169207878547</v>
      </c>
    </row>
    <row r="337" spans="9:36">
      <c r="I337">
        <v>50</v>
      </c>
      <c r="J337" t="s">
        <v>276</v>
      </c>
      <c r="K337" s="2" t="s">
        <v>321</v>
      </c>
      <c r="M337">
        <v>225.96603773584911</v>
      </c>
      <c r="N337">
        <v>225.96603773584911</v>
      </c>
      <c r="O337">
        <v>135.57962264150939</v>
      </c>
      <c r="P337">
        <v>180.77283018867931</v>
      </c>
      <c r="Q337">
        <v>-430.22235574765915</v>
      </c>
      <c r="R337">
        <v>-683.46368424028469</v>
      </c>
      <c r="S337">
        <v>1</v>
      </c>
      <c r="T337">
        <v>1</v>
      </c>
      <c r="U337" t="s">
        <v>2835</v>
      </c>
      <c r="W337" t="e">
        <f t="shared" ca="1" si="59"/>
        <v>#REF!</v>
      </c>
      <c r="X337" t="e">
        <f t="shared" ca="1" si="46"/>
        <v>#REF!</v>
      </c>
      <c r="Y337" t="e">
        <f t="shared" ca="1" si="60"/>
        <v>#REF!</v>
      </c>
      <c r="Z337" t="e">
        <f t="shared" ca="1" si="47"/>
        <v>#REF!</v>
      </c>
      <c r="AA337" s="152" t="e">
        <f t="shared" ref="AA337:AB339" ca="1" si="63">INDIRECT($AE337&amp;$I337+2&amp;"C"&amp;MATCH(RIGHT(J337,$AC337)&amp;" (t-CO2-eq)",INDIRECT($AE337&amp;$AD337,FALSE),0),FALSE)</f>
        <v>#REF!</v>
      </c>
      <c r="AB337" s="152" t="e">
        <f t="shared" ca="1" si="63"/>
        <v>#REF!</v>
      </c>
      <c r="AC337">
        <v>1</v>
      </c>
      <c r="AD337">
        <v>1</v>
      </c>
      <c r="AE337" t="str">
        <f t="shared" ref="AE337:AE339" si="64">"'[2022 - Aryapratama &amp; Pauliuk - STE - AppF.xlsx]GWPdyn_"&amp;LEFT(K337,5)&amp;" - Fig.4(g)'!L"</f>
        <v>'[2022 - Aryapratama &amp; Pauliuk - STE - AppF.xlsx]GWPdyn_PF_SF - Fig.4(g)'!L</v>
      </c>
      <c r="AG337">
        <v>430.22235574765915</v>
      </c>
      <c r="AH337">
        <v>683.46368424028469</v>
      </c>
      <c r="AI337">
        <f t="shared" si="51"/>
        <v>-430.22235574765915</v>
      </c>
      <c r="AJ337">
        <f t="shared" si="51"/>
        <v>-683.46368424028469</v>
      </c>
    </row>
    <row r="338" spans="9:36">
      <c r="I338">
        <v>100</v>
      </c>
      <c r="J338" t="s">
        <v>276</v>
      </c>
      <c r="K338" s="2" t="s">
        <v>321</v>
      </c>
      <c r="M338">
        <v>225.96603773584911</v>
      </c>
      <c r="N338">
        <v>225.96603773584911</v>
      </c>
      <c r="O338">
        <v>135.57962264150939</v>
      </c>
      <c r="P338">
        <v>180.77283018867931</v>
      </c>
      <c r="Q338">
        <v>-502.68675849347369</v>
      </c>
      <c r="R338">
        <v>-588.42624598329485</v>
      </c>
      <c r="S338">
        <v>1</v>
      </c>
      <c r="T338">
        <v>1</v>
      </c>
      <c r="U338" t="s">
        <v>2835</v>
      </c>
      <c r="W338" t="e">
        <f t="shared" ca="1" si="59"/>
        <v>#REF!</v>
      </c>
      <c r="X338" t="e">
        <f t="shared" ca="1" si="46"/>
        <v>#REF!</v>
      </c>
      <c r="Y338" t="e">
        <f t="shared" ca="1" si="60"/>
        <v>#REF!</v>
      </c>
      <c r="Z338" t="e">
        <f t="shared" ca="1" si="47"/>
        <v>#REF!</v>
      </c>
      <c r="AA338" s="152" t="e">
        <f t="shared" ca="1" si="63"/>
        <v>#REF!</v>
      </c>
      <c r="AB338" s="152" t="e">
        <f t="shared" ca="1" si="63"/>
        <v>#REF!</v>
      </c>
      <c r="AC338">
        <v>1</v>
      </c>
      <c r="AD338">
        <v>1</v>
      </c>
      <c r="AE338" t="str">
        <f t="shared" si="64"/>
        <v>'[2022 - Aryapratama &amp; Pauliuk - STE - AppF.xlsx]GWPdyn_PF_SF - Fig.4(g)'!L</v>
      </c>
      <c r="AG338">
        <v>502.68675849347369</v>
      </c>
      <c r="AH338">
        <v>588.42624598329485</v>
      </c>
      <c r="AI338">
        <f t="shared" si="51"/>
        <v>-502.68675849347369</v>
      </c>
      <c r="AJ338">
        <f t="shared" si="51"/>
        <v>-588.42624598329485</v>
      </c>
    </row>
    <row r="339" spans="9:36">
      <c r="I339">
        <v>200</v>
      </c>
      <c r="J339" t="s">
        <v>276</v>
      </c>
      <c r="K339" s="2" t="s">
        <v>321</v>
      </c>
      <c r="M339">
        <v>225.96603773584911</v>
      </c>
      <c r="N339">
        <v>225.96603773584911</v>
      </c>
      <c r="O339">
        <v>135.57962264150939</v>
      </c>
      <c r="P339">
        <v>180.77283018867931</v>
      </c>
      <c r="Q339">
        <v>-435.66826611219864</v>
      </c>
      <c r="R339">
        <v>-448.98121307248744</v>
      </c>
      <c r="S339">
        <v>1</v>
      </c>
      <c r="T339">
        <v>1</v>
      </c>
      <c r="U339" t="s">
        <v>2835</v>
      </c>
      <c r="W339" t="e">
        <f t="shared" ca="1" si="59"/>
        <v>#REF!</v>
      </c>
      <c r="X339" t="e">
        <f t="shared" ca="1" si="46"/>
        <v>#REF!</v>
      </c>
      <c r="Y339" t="e">
        <f t="shared" ca="1" si="60"/>
        <v>#REF!</v>
      </c>
      <c r="Z339" t="e">
        <f t="shared" ca="1" si="47"/>
        <v>#REF!</v>
      </c>
      <c r="AA339" s="152" t="e">
        <f t="shared" ca="1" si="63"/>
        <v>#REF!</v>
      </c>
      <c r="AB339" s="152" t="e">
        <f t="shared" ca="1" si="63"/>
        <v>#REF!</v>
      </c>
      <c r="AC339">
        <v>1</v>
      </c>
      <c r="AD339">
        <v>1</v>
      </c>
      <c r="AE339" t="str">
        <f t="shared" si="64"/>
        <v>'[2022 - Aryapratama &amp; Pauliuk - STE - AppF.xlsx]GWPdyn_PF_SF - Fig.4(g)'!L</v>
      </c>
      <c r="AG339">
        <v>435.66826611219864</v>
      </c>
      <c r="AH339">
        <v>448.98121307248744</v>
      </c>
      <c r="AI339">
        <f t="shared" si="51"/>
        <v>-435.66826611219864</v>
      </c>
      <c r="AJ339">
        <f t="shared" si="51"/>
        <v>-448.98121307248744</v>
      </c>
    </row>
    <row r="340" spans="9:36">
      <c r="I340">
        <v>50</v>
      </c>
      <c r="J340" t="s">
        <v>2840</v>
      </c>
      <c r="K340" s="2" t="s">
        <v>2837</v>
      </c>
      <c r="M340">
        <v>377.88189133326432</v>
      </c>
      <c r="N340">
        <v>590.46886193540468</v>
      </c>
      <c r="O340">
        <v>226.7291347999585</v>
      </c>
      <c r="P340">
        <v>265.71098787093206</v>
      </c>
      <c r="Q340">
        <v>-617.93246272463909</v>
      </c>
      <c r="R340">
        <v>-870.70033536556764</v>
      </c>
      <c r="S340">
        <v>7</v>
      </c>
      <c r="T340">
        <v>2</v>
      </c>
      <c r="U340" t="s">
        <v>2838</v>
      </c>
      <c r="W340" t="e">
        <f t="shared" ca="1" si="59"/>
        <v>#REF!</v>
      </c>
      <c r="X340" t="e">
        <f t="shared" ca="1" si="46"/>
        <v>#REF!</v>
      </c>
      <c r="Y340" t="e">
        <f t="shared" ca="1" si="60"/>
        <v>#REF!</v>
      </c>
      <c r="Z340" t="e">
        <f t="shared" ca="1" si="47"/>
        <v>#REF!</v>
      </c>
      <c r="AA340" s="152" t="e">
        <f t="shared" ref="AA340:AA345" ca="1" si="65">INDIRECT($AE340&amp;$I340+2&amp;"C"&amp;MATCH(RIGHT(J340,$AC340+1)&amp;" (t-CO2-eq)",INDIRECT($AE340&amp;$AD340,FALSE),0),FALSE)</f>
        <v>#REF!</v>
      </c>
      <c r="AB340" s="152" t="e">
        <f t="shared" ref="AB340:AB357" ca="1" si="66">INDIRECT($AE340&amp;$I340+2&amp;"C"&amp;MATCH(RIGHT(K340,$AC340)&amp;" (t-CO2-eq)",INDIRECT($AE340&amp;$AD340,FALSE),0),FALSE)</f>
        <v>#REF!</v>
      </c>
      <c r="AC340">
        <v>7</v>
      </c>
      <c r="AD340">
        <v>2</v>
      </c>
      <c r="AE340" t="str">
        <f t="shared" ref="AE340:AE342" si="67">"'[2022 - Aryapratama &amp; Pauliuk - STE - AppF.xlsx]GWPdyn_"&amp;LEFT(K340,5)&amp;" - Fig.4(h)'!L"</f>
        <v>'[2022 - Aryapratama &amp; Pauliuk - STE - AppF.xlsx]GWPdyn_PF_FP - Fig.4(h)'!L</v>
      </c>
      <c r="AG340">
        <v>617.93246272463909</v>
      </c>
      <c r="AH340">
        <v>870.70033536556764</v>
      </c>
      <c r="AI340">
        <f t="shared" si="51"/>
        <v>-617.93246272463909</v>
      </c>
      <c r="AJ340">
        <f t="shared" si="51"/>
        <v>-870.70033536556764</v>
      </c>
    </row>
    <row r="341" spans="9:36">
      <c r="I341">
        <v>100</v>
      </c>
      <c r="J341" t="s">
        <v>2840</v>
      </c>
      <c r="K341" s="2" t="s">
        <v>2837</v>
      </c>
      <c r="M341">
        <v>605.75567172938713</v>
      </c>
      <c r="N341">
        <v>954.97168613496024</v>
      </c>
      <c r="O341">
        <v>363.45340303763226</v>
      </c>
      <c r="P341">
        <v>429.73725876073206</v>
      </c>
      <c r="Q341">
        <v>-768.12774512252213</v>
      </c>
      <c r="R341">
        <v>-990.65809626676389</v>
      </c>
      <c r="S341">
        <v>7</v>
      </c>
      <c r="T341">
        <v>2</v>
      </c>
      <c r="U341" t="s">
        <v>2838</v>
      </c>
      <c r="W341" t="e">
        <f t="shared" ca="1" si="59"/>
        <v>#REF!</v>
      </c>
      <c r="X341" t="e">
        <f t="shared" ca="1" si="46"/>
        <v>#REF!</v>
      </c>
      <c r="Y341" t="e">
        <f t="shared" ca="1" si="60"/>
        <v>#REF!</v>
      </c>
      <c r="Z341" t="e">
        <f t="shared" ca="1" si="47"/>
        <v>#REF!</v>
      </c>
      <c r="AA341" s="152" t="e">
        <f t="shared" ca="1" si="65"/>
        <v>#REF!</v>
      </c>
      <c r="AB341" s="152" t="e">
        <f t="shared" ca="1" si="66"/>
        <v>#REF!</v>
      </c>
      <c r="AC341">
        <v>7</v>
      </c>
      <c r="AD341">
        <v>2</v>
      </c>
      <c r="AE341" t="str">
        <f t="shared" si="67"/>
        <v>'[2022 - Aryapratama &amp; Pauliuk - STE - AppF.xlsx]GWPdyn_PF_FP - Fig.4(h)'!L</v>
      </c>
      <c r="AG341">
        <v>768.12774512252213</v>
      </c>
      <c r="AH341">
        <v>990.65809626676389</v>
      </c>
      <c r="AI341">
        <f t="shared" si="51"/>
        <v>-768.12774512252213</v>
      </c>
      <c r="AJ341">
        <f t="shared" si="51"/>
        <v>-990.65809626676389</v>
      </c>
    </row>
    <row r="342" spans="9:36">
      <c r="I342">
        <v>200</v>
      </c>
      <c r="J342" t="s">
        <v>2840</v>
      </c>
      <c r="K342" s="2" t="s">
        <v>2837</v>
      </c>
      <c r="M342">
        <v>985.54530572292515</v>
      </c>
      <c r="N342">
        <v>1683.9773345340714</v>
      </c>
      <c r="O342">
        <v>591.32718343375518</v>
      </c>
      <c r="P342">
        <v>757.78980054033161</v>
      </c>
      <c r="Q342">
        <v>-956.54496754124091</v>
      </c>
      <c r="R342">
        <v>-1160.011828609915</v>
      </c>
      <c r="S342">
        <v>7</v>
      </c>
      <c r="T342">
        <v>2</v>
      </c>
      <c r="U342" t="s">
        <v>2838</v>
      </c>
      <c r="W342" t="e">
        <f t="shared" ca="1" si="59"/>
        <v>#REF!</v>
      </c>
      <c r="X342" t="e">
        <f t="shared" ca="1" si="46"/>
        <v>#REF!</v>
      </c>
      <c r="Y342" t="e">
        <f t="shared" ca="1" si="60"/>
        <v>#REF!</v>
      </c>
      <c r="Z342" t="e">
        <f t="shared" ca="1" si="47"/>
        <v>#REF!</v>
      </c>
      <c r="AA342" s="152" t="e">
        <f t="shared" ca="1" si="65"/>
        <v>#REF!</v>
      </c>
      <c r="AB342" s="152" t="e">
        <f t="shared" ca="1" si="66"/>
        <v>#REF!</v>
      </c>
      <c r="AC342">
        <v>7</v>
      </c>
      <c r="AD342">
        <v>2</v>
      </c>
      <c r="AE342" t="str">
        <f t="shared" si="67"/>
        <v>'[2022 - Aryapratama &amp; Pauliuk - STE - AppF.xlsx]GWPdyn_PF_FP - Fig.4(h)'!L</v>
      </c>
      <c r="AG342">
        <v>956.54496754124091</v>
      </c>
      <c r="AH342">
        <v>1160.011828609915</v>
      </c>
      <c r="AI342">
        <f t="shared" si="51"/>
        <v>-956.54496754124091</v>
      </c>
      <c r="AJ342">
        <f t="shared" si="51"/>
        <v>-1160.011828609915</v>
      </c>
    </row>
    <row r="343" spans="9:36">
      <c r="I343">
        <v>50</v>
      </c>
      <c r="J343" t="s">
        <v>2849</v>
      </c>
      <c r="K343" s="2" t="s">
        <v>2846</v>
      </c>
      <c r="M343">
        <v>154.91585359741521</v>
      </c>
      <c r="N343">
        <v>367.50282419955545</v>
      </c>
      <c r="O343">
        <v>91.149512158449113</v>
      </c>
      <c r="P343">
        <v>164.02627088979997</v>
      </c>
      <c r="Q343">
        <v>254.21120760929861</v>
      </c>
      <c r="R343">
        <v>77.331302173432363</v>
      </c>
      <c r="S343">
        <v>7</v>
      </c>
      <c r="T343">
        <v>2</v>
      </c>
      <c r="U343" t="s">
        <v>2847</v>
      </c>
      <c r="W343" t="e">
        <f t="shared" ca="1" si="59"/>
        <v>#REF!</v>
      </c>
      <c r="X343" t="e">
        <f t="shared" ca="1" si="46"/>
        <v>#REF!</v>
      </c>
      <c r="Y343" t="e">
        <f t="shared" ca="1" si="60"/>
        <v>#REF!</v>
      </c>
      <c r="Z343" t="e">
        <f t="shared" ca="1" si="47"/>
        <v>#REF!</v>
      </c>
      <c r="AA343" s="152" t="e">
        <f t="shared" ca="1" si="65"/>
        <v>#REF!</v>
      </c>
      <c r="AB343" s="152" t="e">
        <f t="shared" ca="1" si="66"/>
        <v>#REF!</v>
      </c>
      <c r="AC343">
        <v>7</v>
      </c>
      <c r="AD343">
        <v>2</v>
      </c>
      <c r="AE343" t="str">
        <f t="shared" ref="AE343:AE345" si="68">"'[2022 - Aryapratama &amp; Pauliuk - STE - AppF.xlsx]GWPdyn_"&amp;LEFT(K343,5)&amp;" - Fig.4(i)'!L"</f>
        <v>'[2022 - Aryapratama &amp; Pauliuk - STE - AppF.xlsx]GWPdyn_DL_FP - Fig.4(i)'!L</v>
      </c>
      <c r="AG343">
        <v>-254.21120760929861</v>
      </c>
      <c r="AH343">
        <v>-77.331302173432363</v>
      </c>
      <c r="AI343">
        <f t="shared" si="51"/>
        <v>254.21120760929861</v>
      </c>
      <c r="AJ343">
        <f t="shared" si="51"/>
        <v>77.331302173432363</v>
      </c>
    </row>
    <row r="344" spans="9:36">
      <c r="I344">
        <v>100</v>
      </c>
      <c r="J344" t="s">
        <v>2849</v>
      </c>
      <c r="K344" s="2" t="s">
        <v>2846</v>
      </c>
      <c r="M344">
        <v>382.78963399353802</v>
      </c>
      <c r="N344">
        <v>732.00564839911101</v>
      </c>
      <c r="O344">
        <v>227.87378039612278</v>
      </c>
      <c r="P344">
        <v>328.05254177959995</v>
      </c>
      <c r="Q344">
        <v>185.53811788022131</v>
      </c>
      <c r="R344">
        <v>-41.927947193381058</v>
      </c>
      <c r="S344">
        <v>7</v>
      </c>
      <c r="T344">
        <v>2</v>
      </c>
      <c r="U344" t="s">
        <v>2847</v>
      </c>
      <c r="W344" t="e">
        <f t="shared" ca="1" si="59"/>
        <v>#REF!</v>
      </c>
      <c r="X344" t="e">
        <f t="shared" ca="1" si="46"/>
        <v>#REF!</v>
      </c>
      <c r="Y344" t="e">
        <f t="shared" ca="1" si="60"/>
        <v>#REF!</v>
      </c>
      <c r="Z344" t="e">
        <f t="shared" ca="1" si="47"/>
        <v>#REF!</v>
      </c>
      <c r="AA344" s="152" t="e">
        <f t="shared" ca="1" si="65"/>
        <v>#REF!</v>
      </c>
      <c r="AB344" s="152" t="e">
        <f t="shared" ca="1" si="66"/>
        <v>#REF!</v>
      </c>
      <c r="AC344">
        <v>7</v>
      </c>
      <c r="AD344">
        <v>2</v>
      </c>
      <c r="AE344" t="str">
        <f t="shared" si="68"/>
        <v>'[2022 - Aryapratama &amp; Pauliuk - STE - AppF.xlsx]GWPdyn_DL_FP - Fig.4(i)'!L</v>
      </c>
      <c r="AG344">
        <v>-185.53811788022131</v>
      </c>
      <c r="AH344">
        <v>41.927947193381058</v>
      </c>
      <c r="AI344">
        <f t="shared" si="51"/>
        <v>185.53811788022131</v>
      </c>
      <c r="AJ344">
        <f t="shared" si="51"/>
        <v>-41.927947193381058</v>
      </c>
    </row>
    <row r="345" spans="9:36">
      <c r="I345">
        <v>200</v>
      </c>
      <c r="J345" t="s">
        <v>2849</v>
      </c>
      <c r="K345" s="2" t="s">
        <v>2846</v>
      </c>
      <c r="M345">
        <v>762.57926798707604</v>
      </c>
      <c r="N345">
        <v>1461.011296798222</v>
      </c>
      <c r="O345">
        <v>455.74756079224562</v>
      </c>
      <c r="P345">
        <v>656.10508355919967</v>
      </c>
      <c r="Q345">
        <v>23.49403951814293</v>
      </c>
      <c r="R345">
        <v>-227.6520247861325</v>
      </c>
      <c r="S345">
        <v>7</v>
      </c>
      <c r="T345">
        <v>2</v>
      </c>
      <c r="U345" t="s">
        <v>2847</v>
      </c>
      <c r="W345" t="e">
        <f t="shared" ca="1" si="59"/>
        <v>#REF!</v>
      </c>
      <c r="X345" t="e">
        <f t="shared" ca="1" si="46"/>
        <v>#REF!</v>
      </c>
      <c r="Y345" t="e">
        <f t="shared" ca="1" si="60"/>
        <v>#REF!</v>
      </c>
      <c r="Z345" t="e">
        <f t="shared" ca="1" si="47"/>
        <v>#REF!</v>
      </c>
      <c r="AA345" s="152" t="e">
        <f t="shared" ca="1" si="65"/>
        <v>#REF!</v>
      </c>
      <c r="AB345" s="152" t="e">
        <f t="shared" ca="1" si="66"/>
        <v>#REF!</v>
      </c>
      <c r="AC345">
        <v>7</v>
      </c>
      <c r="AD345">
        <v>2</v>
      </c>
      <c r="AE345" t="str">
        <f t="shared" si="68"/>
        <v>'[2022 - Aryapratama &amp; Pauliuk - STE - AppF.xlsx]GWPdyn_DL_FP - Fig.4(i)'!L</v>
      </c>
      <c r="AG345">
        <v>-23.49403951814293</v>
      </c>
      <c r="AH345">
        <v>227.6520247861325</v>
      </c>
      <c r="AI345">
        <f t="shared" si="51"/>
        <v>23.49403951814293</v>
      </c>
      <c r="AJ345">
        <f t="shared" si="51"/>
        <v>-227.6520247861325</v>
      </c>
    </row>
    <row r="346" spans="9:36">
      <c r="I346">
        <v>50</v>
      </c>
      <c r="J346" t="s">
        <v>285</v>
      </c>
      <c r="K346" s="2" t="s">
        <v>304</v>
      </c>
      <c r="M346">
        <v>19.274226580798832</v>
      </c>
      <c r="N346">
        <v>19.274226580798839</v>
      </c>
      <c r="O346">
        <v>11.564535948479303</v>
      </c>
      <c r="P346">
        <v>15.419381264639073</v>
      </c>
      <c r="Q346">
        <v>100.2569126004381</v>
      </c>
      <c r="R346">
        <v>82.450615050179124</v>
      </c>
      <c r="S346">
        <v>5</v>
      </c>
      <c r="T346">
        <v>1</v>
      </c>
      <c r="U346" t="s">
        <v>2854</v>
      </c>
      <c r="W346" t="e">
        <f t="shared" ca="1" si="59"/>
        <v>#REF!</v>
      </c>
      <c r="X346" t="e">
        <f t="shared" ca="1" si="46"/>
        <v>#REF!</v>
      </c>
      <c r="Y346" t="e">
        <f t="shared" ca="1" si="60"/>
        <v>#REF!</v>
      </c>
      <c r="Z346" t="e">
        <f t="shared" ca="1" si="47"/>
        <v>#REF!</v>
      </c>
      <c r="AA346" s="152" t="e">
        <f t="shared" ref="AA346:AA357" ca="1" si="69">INDIRECT($AE346&amp;$I346+2&amp;"C"&amp;MATCH(RIGHT(J346,$AC346+3)&amp;" (t-CO2-eq)",INDIRECT($AE346&amp;$AD346,FALSE),0),FALSE)</f>
        <v>#REF!</v>
      </c>
      <c r="AB346" s="152" t="e">
        <f t="shared" ca="1" si="66"/>
        <v>#REF!</v>
      </c>
      <c r="AC346">
        <v>5</v>
      </c>
      <c r="AD346">
        <v>1</v>
      </c>
      <c r="AE346" t="str">
        <f t="shared" ref="AE346:AE357" si="70">"'[2022 - Aryapratama &amp; Pauliuk - STE - AppF.xlsx]GWPdyn_"&amp;LEFT(K346,3)&amp;" - Fig.4(j)'!L"</f>
        <v>'[2022 - Aryapratama &amp; Pauliuk - STE - AppF.xlsx]GWPdyn_RIL - Fig.4(j)'!L</v>
      </c>
      <c r="AG346">
        <v>-100.2569126004381</v>
      </c>
      <c r="AH346">
        <v>-82.450615050179124</v>
      </c>
      <c r="AI346">
        <f t="shared" si="51"/>
        <v>100.2569126004381</v>
      </c>
      <c r="AJ346">
        <f t="shared" si="51"/>
        <v>82.450615050179124</v>
      </c>
    </row>
    <row r="347" spans="9:36">
      <c r="I347">
        <v>100</v>
      </c>
      <c r="J347" t="s">
        <v>285</v>
      </c>
      <c r="K347" s="2" t="s">
        <v>304</v>
      </c>
      <c r="M347">
        <v>28.911339871198248</v>
      </c>
      <c r="N347">
        <v>28.911339871198258</v>
      </c>
      <c r="O347">
        <v>17.346803922718955</v>
      </c>
      <c r="P347">
        <v>23.12907189695861</v>
      </c>
      <c r="Q347">
        <v>192.24097622198209</v>
      </c>
      <c r="R347">
        <v>176.62110895178901</v>
      </c>
      <c r="S347">
        <v>5</v>
      </c>
      <c r="T347">
        <v>1</v>
      </c>
      <c r="U347" t="s">
        <v>2854</v>
      </c>
      <c r="W347" t="e">
        <f t="shared" ca="1" si="59"/>
        <v>#REF!</v>
      </c>
      <c r="X347" t="e">
        <f t="shared" ca="1" si="46"/>
        <v>#REF!</v>
      </c>
      <c r="Y347" t="e">
        <f t="shared" ca="1" si="60"/>
        <v>#REF!</v>
      </c>
      <c r="Z347" t="e">
        <f t="shared" ca="1" si="47"/>
        <v>#REF!</v>
      </c>
      <c r="AA347" s="152" t="e">
        <f t="shared" ca="1" si="69"/>
        <v>#REF!</v>
      </c>
      <c r="AB347" s="152" t="e">
        <f t="shared" ca="1" si="66"/>
        <v>#REF!</v>
      </c>
      <c r="AC347">
        <v>5</v>
      </c>
      <c r="AD347">
        <v>1</v>
      </c>
      <c r="AE347" t="str">
        <f t="shared" si="70"/>
        <v>'[2022 - Aryapratama &amp; Pauliuk - STE - AppF.xlsx]GWPdyn_RIL - Fig.4(j)'!L</v>
      </c>
      <c r="AG347">
        <v>-192.24097622198209</v>
      </c>
      <c r="AH347">
        <v>-176.62110895178901</v>
      </c>
      <c r="AI347">
        <f t="shared" si="51"/>
        <v>192.24097622198209</v>
      </c>
      <c r="AJ347">
        <f t="shared" si="51"/>
        <v>176.62110895178901</v>
      </c>
    </row>
    <row r="348" spans="9:36">
      <c r="I348">
        <v>200</v>
      </c>
      <c r="J348" t="s">
        <v>285</v>
      </c>
      <c r="K348" s="2" t="s">
        <v>304</v>
      </c>
      <c r="M348">
        <v>57.822679742396488</v>
      </c>
      <c r="N348">
        <v>57.822679742396517</v>
      </c>
      <c r="O348">
        <v>34.69360784543791</v>
      </c>
      <c r="P348">
        <v>46.25814379391722</v>
      </c>
      <c r="Q348">
        <v>377.50107760210591</v>
      </c>
      <c r="R348">
        <v>365.10563504552567</v>
      </c>
      <c r="S348">
        <v>5</v>
      </c>
      <c r="T348">
        <v>1</v>
      </c>
      <c r="U348" t="s">
        <v>2854</v>
      </c>
      <c r="W348" t="e">
        <f t="shared" ca="1" si="59"/>
        <v>#REF!</v>
      </c>
      <c r="X348" t="e">
        <f t="shared" ca="1" si="46"/>
        <v>#REF!</v>
      </c>
      <c r="Y348" t="e">
        <f t="shared" ca="1" si="60"/>
        <v>#REF!</v>
      </c>
      <c r="Z348" t="e">
        <f t="shared" ca="1" si="47"/>
        <v>#REF!</v>
      </c>
      <c r="AA348" s="152" t="e">
        <f t="shared" ca="1" si="69"/>
        <v>#REF!</v>
      </c>
      <c r="AB348" s="152" t="e">
        <f t="shared" ca="1" si="66"/>
        <v>#REF!</v>
      </c>
      <c r="AC348">
        <v>5</v>
      </c>
      <c r="AD348">
        <v>1</v>
      </c>
      <c r="AE348" t="str">
        <f t="shared" si="70"/>
        <v>'[2022 - Aryapratama &amp; Pauliuk - STE - AppF.xlsx]GWPdyn_RIL - Fig.4(j)'!L</v>
      </c>
      <c r="AG348">
        <v>-377.50107760210591</v>
      </c>
      <c r="AH348">
        <v>-365.10563504552567</v>
      </c>
      <c r="AI348">
        <f t="shared" si="51"/>
        <v>377.50107760210591</v>
      </c>
      <c r="AJ348">
        <f t="shared" si="51"/>
        <v>365.10563504552567</v>
      </c>
    </row>
    <row r="349" spans="9:36">
      <c r="I349">
        <v>50</v>
      </c>
      <c r="J349" t="s">
        <v>284</v>
      </c>
      <c r="K349" s="2" t="s">
        <v>313</v>
      </c>
      <c r="M349">
        <v>19.274226580798832</v>
      </c>
      <c r="N349">
        <v>19.274226580798839</v>
      </c>
      <c r="O349">
        <v>11.564535948479303</v>
      </c>
      <c r="P349">
        <v>15.419381264639073</v>
      </c>
      <c r="Q349">
        <v>185.09042564065231</v>
      </c>
      <c r="R349">
        <v>167.28412809039341</v>
      </c>
      <c r="S349">
        <v>7</v>
      </c>
      <c r="T349">
        <v>1</v>
      </c>
      <c r="U349" t="s">
        <v>2854</v>
      </c>
      <c r="W349" t="e">
        <f t="shared" ca="1" si="59"/>
        <v>#REF!</v>
      </c>
      <c r="X349" t="e">
        <f t="shared" ca="1" si="46"/>
        <v>#REF!</v>
      </c>
      <c r="Y349" t="e">
        <f t="shared" ca="1" si="60"/>
        <v>#REF!</v>
      </c>
      <c r="Z349" t="e">
        <f t="shared" ca="1" si="47"/>
        <v>#REF!</v>
      </c>
      <c r="AA349" s="152" t="e">
        <f t="shared" ca="1" si="69"/>
        <v>#REF!</v>
      </c>
      <c r="AB349" s="152" t="e">
        <f t="shared" ca="1" si="66"/>
        <v>#REF!</v>
      </c>
      <c r="AC349">
        <v>7</v>
      </c>
      <c r="AD349">
        <v>1</v>
      </c>
      <c r="AE349" t="str">
        <f t="shared" si="70"/>
        <v>'[2022 - Aryapratama &amp; Pauliuk - STE - AppF.xlsx]GWPdyn_RIL - Fig.4(j)'!L</v>
      </c>
      <c r="AG349">
        <v>-185.09042564065231</v>
      </c>
      <c r="AH349">
        <v>-167.28412809039341</v>
      </c>
      <c r="AI349">
        <f t="shared" si="51"/>
        <v>185.09042564065231</v>
      </c>
      <c r="AJ349">
        <f t="shared" si="51"/>
        <v>167.28412809039341</v>
      </c>
    </row>
    <row r="350" spans="9:36">
      <c r="I350">
        <v>100</v>
      </c>
      <c r="J350" t="s">
        <v>284</v>
      </c>
      <c r="K350" s="2" t="s">
        <v>313</v>
      </c>
      <c r="M350">
        <v>28.911339871198248</v>
      </c>
      <c r="N350">
        <v>28.911339871198258</v>
      </c>
      <c r="O350">
        <v>17.346803922718955</v>
      </c>
      <c r="P350">
        <v>23.12907189695861</v>
      </c>
      <c r="Q350">
        <v>369.9239668180054</v>
      </c>
      <c r="R350">
        <v>354.30409954781243</v>
      </c>
      <c r="S350">
        <v>7</v>
      </c>
      <c r="T350">
        <v>1</v>
      </c>
      <c r="U350" t="s">
        <v>2854</v>
      </c>
      <c r="W350" t="e">
        <f t="shared" ca="1" si="59"/>
        <v>#REF!</v>
      </c>
      <c r="X350" t="e">
        <f t="shared" ref="X350:X357" ca="1" si="71">SUM(INDIRECT("'[2022 - Aryapratama &amp; Pauliuk - STE - AppD.xlsx]"&amp;$K350&amp;"'!D2:D"&amp;$I350+1))</f>
        <v>#REF!</v>
      </c>
      <c r="Y350" t="e">
        <f t="shared" ca="1" si="60"/>
        <v>#REF!</v>
      </c>
      <c r="Z350" t="e">
        <f t="shared" ref="Z350:Z357" ca="1" si="72">SUM(INDIRECT("'[2022 - Aryapratama &amp; Pauliuk - STE - AppD.xlsx]"&amp;$K350&amp;"'!H2:H"&amp;$I350+1))</f>
        <v>#REF!</v>
      </c>
      <c r="AA350" s="152" t="e">
        <f t="shared" ca="1" si="69"/>
        <v>#REF!</v>
      </c>
      <c r="AB350" s="152" t="e">
        <f t="shared" ca="1" si="66"/>
        <v>#REF!</v>
      </c>
      <c r="AC350">
        <v>7</v>
      </c>
      <c r="AD350">
        <v>1</v>
      </c>
      <c r="AE350" t="str">
        <f t="shared" si="70"/>
        <v>'[2022 - Aryapratama &amp; Pauliuk - STE - AppF.xlsx]GWPdyn_RIL - Fig.4(j)'!L</v>
      </c>
      <c r="AG350">
        <v>-369.9239668180054</v>
      </c>
      <c r="AH350">
        <v>-354.30409954781243</v>
      </c>
      <c r="AI350">
        <f t="shared" ref="AI350:AJ357" si="73">-AG350</f>
        <v>369.9239668180054</v>
      </c>
      <c r="AJ350">
        <f t="shared" si="73"/>
        <v>354.30409954781243</v>
      </c>
    </row>
    <row r="351" spans="9:36">
      <c r="I351">
        <v>200</v>
      </c>
      <c r="J351" t="s">
        <v>284</v>
      </c>
      <c r="K351" s="2" t="s">
        <v>313</v>
      </c>
      <c r="M351">
        <v>57.822679742396488</v>
      </c>
      <c r="N351">
        <v>57.822679742396517</v>
      </c>
      <c r="O351">
        <v>34.69360784543791</v>
      </c>
      <c r="P351">
        <v>46.25814379391722</v>
      </c>
      <c r="Q351">
        <v>739.24076084648095</v>
      </c>
      <c r="R351">
        <v>726.845318289901</v>
      </c>
      <c r="S351">
        <v>7</v>
      </c>
      <c r="T351">
        <v>1</v>
      </c>
      <c r="U351" t="s">
        <v>2854</v>
      </c>
      <c r="W351" t="e">
        <f t="shared" ca="1" si="59"/>
        <v>#REF!</v>
      </c>
      <c r="X351" t="e">
        <f t="shared" ca="1" si="71"/>
        <v>#REF!</v>
      </c>
      <c r="Y351" t="e">
        <f t="shared" ca="1" si="60"/>
        <v>#REF!</v>
      </c>
      <c r="Z351" t="e">
        <f t="shared" ca="1" si="72"/>
        <v>#REF!</v>
      </c>
      <c r="AA351" s="152" t="e">
        <f t="shared" ca="1" si="69"/>
        <v>#REF!</v>
      </c>
      <c r="AB351" s="152" t="e">
        <f t="shared" ca="1" si="66"/>
        <v>#REF!</v>
      </c>
      <c r="AC351">
        <v>7</v>
      </c>
      <c r="AD351">
        <v>1</v>
      </c>
      <c r="AE351" t="str">
        <f t="shared" si="70"/>
        <v>'[2022 - Aryapratama &amp; Pauliuk - STE - AppF.xlsx]GWPdyn_RIL - Fig.4(j)'!L</v>
      </c>
      <c r="AG351">
        <v>-739.24076084648095</v>
      </c>
      <c r="AH351">
        <v>-726.845318289901</v>
      </c>
      <c r="AI351">
        <f t="shared" si="73"/>
        <v>739.24076084648095</v>
      </c>
      <c r="AJ351">
        <f t="shared" si="73"/>
        <v>726.845318289901</v>
      </c>
    </row>
    <row r="352" spans="9:36">
      <c r="I352">
        <v>50</v>
      </c>
      <c r="J352" t="s">
        <v>284</v>
      </c>
      <c r="K352" s="2" t="s">
        <v>285</v>
      </c>
      <c r="M352">
        <v>19.274226580798832</v>
      </c>
      <c r="N352">
        <v>19.274226580798832</v>
      </c>
      <c r="O352">
        <v>11.564535948479303</v>
      </c>
      <c r="P352">
        <v>11.564535948479303</v>
      </c>
      <c r="Q352">
        <v>185.09042564065231</v>
      </c>
      <c r="R352">
        <v>100.2569126004381</v>
      </c>
      <c r="S352">
        <v>5</v>
      </c>
      <c r="T352">
        <v>1</v>
      </c>
      <c r="U352" t="s">
        <v>2854</v>
      </c>
      <c r="W352" t="e">
        <f t="shared" ca="1" si="59"/>
        <v>#REF!</v>
      </c>
      <c r="X352" t="e">
        <f t="shared" ca="1" si="71"/>
        <v>#REF!</v>
      </c>
      <c r="Y352" t="e">
        <f t="shared" ca="1" si="60"/>
        <v>#REF!</v>
      </c>
      <c r="Z352" t="e">
        <f t="shared" ca="1" si="72"/>
        <v>#REF!</v>
      </c>
      <c r="AA352" s="152" t="e">
        <f t="shared" ca="1" si="69"/>
        <v>#REF!</v>
      </c>
      <c r="AB352" s="152" t="e">
        <f t="shared" ca="1" si="66"/>
        <v>#REF!</v>
      </c>
      <c r="AC352">
        <v>5</v>
      </c>
      <c r="AD352">
        <v>1</v>
      </c>
      <c r="AE352" t="str">
        <f t="shared" si="70"/>
        <v>'[2022 - Aryapratama &amp; Pauliuk - STE - AppF.xlsx]GWPdyn_RIL - Fig.4(j)'!L</v>
      </c>
      <c r="AG352">
        <v>-185.09042564065231</v>
      </c>
      <c r="AH352">
        <v>-100.2569126004381</v>
      </c>
      <c r="AI352">
        <f t="shared" si="73"/>
        <v>185.09042564065231</v>
      </c>
      <c r="AJ352">
        <f t="shared" si="73"/>
        <v>100.2569126004381</v>
      </c>
    </row>
    <row r="353" spans="1:36">
      <c r="I353">
        <v>100</v>
      </c>
      <c r="J353" t="s">
        <v>284</v>
      </c>
      <c r="K353" s="2" t="s">
        <v>285</v>
      </c>
      <c r="M353">
        <v>28.911339871198248</v>
      </c>
      <c r="N353">
        <v>28.911339871198248</v>
      </c>
      <c r="O353">
        <v>17.346803922718955</v>
      </c>
      <c r="P353">
        <v>17.346803922718955</v>
      </c>
      <c r="Q353">
        <v>369.9239668180054</v>
      </c>
      <c r="R353">
        <v>192.24097622198209</v>
      </c>
      <c r="S353">
        <v>5</v>
      </c>
      <c r="T353">
        <v>1</v>
      </c>
      <c r="U353" t="s">
        <v>2854</v>
      </c>
      <c r="W353" t="e">
        <f t="shared" ca="1" si="59"/>
        <v>#REF!</v>
      </c>
      <c r="X353" t="e">
        <f t="shared" ca="1" si="71"/>
        <v>#REF!</v>
      </c>
      <c r="Y353" t="e">
        <f t="shared" ca="1" si="60"/>
        <v>#REF!</v>
      </c>
      <c r="Z353" t="e">
        <f t="shared" ca="1" si="72"/>
        <v>#REF!</v>
      </c>
      <c r="AA353" s="152" t="e">
        <f t="shared" ca="1" si="69"/>
        <v>#REF!</v>
      </c>
      <c r="AB353" s="152" t="e">
        <f t="shared" ca="1" si="66"/>
        <v>#REF!</v>
      </c>
      <c r="AC353">
        <v>5</v>
      </c>
      <c r="AD353">
        <v>1</v>
      </c>
      <c r="AE353" t="str">
        <f t="shared" si="70"/>
        <v>'[2022 - Aryapratama &amp; Pauliuk - STE - AppF.xlsx]GWPdyn_RIL - Fig.4(j)'!L</v>
      </c>
      <c r="AG353">
        <v>-369.9239668180054</v>
      </c>
      <c r="AH353">
        <v>-192.24097622198209</v>
      </c>
      <c r="AI353">
        <f t="shared" si="73"/>
        <v>369.9239668180054</v>
      </c>
      <c r="AJ353">
        <f t="shared" si="73"/>
        <v>192.24097622198209</v>
      </c>
    </row>
    <row r="354" spans="1:36">
      <c r="I354">
        <v>200</v>
      </c>
      <c r="J354" t="s">
        <v>284</v>
      </c>
      <c r="K354" s="2" t="s">
        <v>285</v>
      </c>
      <c r="M354">
        <v>57.822679742396488</v>
      </c>
      <c r="N354">
        <v>57.822679742396488</v>
      </c>
      <c r="O354">
        <v>34.69360784543791</v>
      </c>
      <c r="P354">
        <v>34.69360784543791</v>
      </c>
      <c r="Q354">
        <v>739.24076084648095</v>
      </c>
      <c r="R354">
        <v>377.50107760210591</v>
      </c>
      <c r="S354">
        <v>5</v>
      </c>
      <c r="T354">
        <v>1</v>
      </c>
      <c r="U354" t="s">
        <v>2854</v>
      </c>
      <c r="W354" t="e">
        <f t="shared" ca="1" si="59"/>
        <v>#REF!</v>
      </c>
      <c r="X354" t="e">
        <f t="shared" ca="1" si="71"/>
        <v>#REF!</v>
      </c>
      <c r="Y354" t="e">
        <f t="shared" ca="1" si="60"/>
        <v>#REF!</v>
      </c>
      <c r="Z354" t="e">
        <f t="shared" ca="1" si="72"/>
        <v>#REF!</v>
      </c>
      <c r="AA354" s="152" t="e">
        <f t="shared" ca="1" si="69"/>
        <v>#REF!</v>
      </c>
      <c r="AB354" s="152" t="e">
        <f t="shared" ca="1" si="66"/>
        <v>#REF!</v>
      </c>
      <c r="AC354">
        <v>5</v>
      </c>
      <c r="AD354">
        <v>1</v>
      </c>
      <c r="AE354" t="str">
        <f t="shared" si="70"/>
        <v>'[2022 - Aryapratama &amp; Pauliuk - STE - AppF.xlsx]GWPdyn_RIL - Fig.4(j)'!L</v>
      </c>
      <c r="AG354">
        <v>-739.24076084648095</v>
      </c>
      <c r="AH354">
        <v>-377.50107760210591</v>
      </c>
      <c r="AI354">
        <f t="shared" si="73"/>
        <v>739.24076084648095</v>
      </c>
      <c r="AJ354">
        <f t="shared" si="73"/>
        <v>377.50107760210591</v>
      </c>
    </row>
    <row r="355" spans="1:36">
      <c r="I355">
        <v>50</v>
      </c>
      <c r="J355" t="s">
        <v>313</v>
      </c>
      <c r="K355" s="2" t="s">
        <v>304</v>
      </c>
      <c r="M355">
        <v>19.274226580798839</v>
      </c>
      <c r="N355">
        <v>19.274226580798839</v>
      </c>
      <c r="O355">
        <v>15.419381264639073</v>
      </c>
      <c r="P355">
        <v>15.419381264639073</v>
      </c>
      <c r="Q355">
        <v>167.28412809039341</v>
      </c>
      <c r="R355">
        <v>82.450615050179124</v>
      </c>
      <c r="S355">
        <v>5</v>
      </c>
      <c r="T355">
        <v>1</v>
      </c>
      <c r="U355" t="s">
        <v>2854</v>
      </c>
      <c r="W355" t="e">
        <f t="shared" ca="1" si="59"/>
        <v>#REF!</v>
      </c>
      <c r="X355" t="e">
        <f t="shared" ca="1" si="71"/>
        <v>#REF!</v>
      </c>
      <c r="Y355" t="e">
        <f t="shared" ca="1" si="60"/>
        <v>#REF!</v>
      </c>
      <c r="Z355" t="e">
        <f t="shared" ca="1" si="72"/>
        <v>#REF!</v>
      </c>
      <c r="AA355" s="152" t="e">
        <f t="shared" ca="1" si="69"/>
        <v>#REF!</v>
      </c>
      <c r="AB355" s="152" t="e">
        <f t="shared" ca="1" si="66"/>
        <v>#REF!</v>
      </c>
      <c r="AC355">
        <v>5</v>
      </c>
      <c r="AD355">
        <v>1</v>
      </c>
      <c r="AE355" t="str">
        <f t="shared" si="70"/>
        <v>'[2022 - Aryapratama &amp; Pauliuk - STE - AppF.xlsx]GWPdyn_RIL - Fig.4(j)'!L</v>
      </c>
      <c r="AG355">
        <v>-167.28412809039341</v>
      </c>
      <c r="AH355">
        <v>-82.450615050179124</v>
      </c>
      <c r="AI355">
        <f t="shared" si="73"/>
        <v>167.28412809039341</v>
      </c>
      <c r="AJ355">
        <f t="shared" si="73"/>
        <v>82.450615050179124</v>
      </c>
    </row>
    <row r="356" spans="1:36">
      <c r="I356">
        <v>100</v>
      </c>
      <c r="J356" t="s">
        <v>313</v>
      </c>
      <c r="K356" s="2" t="s">
        <v>304</v>
      </c>
      <c r="M356">
        <v>28.911339871198258</v>
      </c>
      <c r="N356">
        <v>28.911339871198258</v>
      </c>
      <c r="O356">
        <v>23.12907189695861</v>
      </c>
      <c r="P356">
        <v>23.12907189695861</v>
      </c>
      <c r="Q356">
        <v>354.30409954781243</v>
      </c>
      <c r="R356">
        <v>176.62110895178901</v>
      </c>
      <c r="S356">
        <v>5</v>
      </c>
      <c r="T356">
        <v>1</v>
      </c>
      <c r="U356" t="s">
        <v>2854</v>
      </c>
      <c r="W356" t="e">
        <f t="shared" ca="1" si="59"/>
        <v>#REF!</v>
      </c>
      <c r="X356" t="e">
        <f t="shared" ca="1" si="71"/>
        <v>#REF!</v>
      </c>
      <c r="Y356" t="e">
        <f t="shared" ca="1" si="60"/>
        <v>#REF!</v>
      </c>
      <c r="Z356" t="e">
        <f t="shared" ca="1" si="72"/>
        <v>#REF!</v>
      </c>
      <c r="AA356" s="152" t="e">
        <f t="shared" ca="1" si="69"/>
        <v>#REF!</v>
      </c>
      <c r="AB356" s="152" t="e">
        <f t="shared" ca="1" si="66"/>
        <v>#REF!</v>
      </c>
      <c r="AC356">
        <v>5</v>
      </c>
      <c r="AD356">
        <v>1</v>
      </c>
      <c r="AE356" t="str">
        <f t="shared" si="70"/>
        <v>'[2022 - Aryapratama &amp; Pauliuk - STE - AppF.xlsx]GWPdyn_RIL - Fig.4(j)'!L</v>
      </c>
      <c r="AG356">
        <v>-354.30409954781243</v>
      </c>
      <c r="AH356">
        <v>-176.62110895178901</v>
      </c>
      <c r="AI356">
        <f t="shared" si="73"/>
        <v>354.30409954781243</v>
      </c>
      <c r="AJ356">
        <f t="shared" si="73"/>
        <v>176.62110895178901</v>
      </c>
    </row>
    <row r="357" spans="1:36">
      <c r="I357">
        <v>200</v>
      </c>
      <c r="J357" t="s">
        <v>313</v>
      </c>
      <c r="K357" s="2" t="s">
        <v>304</v>
      </c>
      <c r="M357">
        <v>57.822679742396517</v>
      </c>
      <c r="N357">
        <v>57.822679742396517</v>
      </c>
      <c r="O357">
        <v>46.25814379391722</v>
      </c>
      <c r="P357">
        <v>46.25814379391722</v>
      </c>
      <c r="Q357">
        <v>726.845318289901</v>
      </c>
      <c r="R357">
        <v>365.10563504552567</v>
      </c>
      <c r="S357">
        <v>5</v>
      </c>
      <c r="T357">
        <v>1</v>
      </c>
      <c r="U357" t="s">
        <v>2854</v>
      </c>
      <c r="W357" t="e">
        <f t="shared" ca="1" si="59"/>
        <v>#REF!</v>
      </c>
      <c r="X357" t="e">
        <f t="shared" ca="1" si="71"/>
        <v>#REF!</v>
      </c>
      <c r="Y357" t="e">
        <f t="shared" ca="1" si="60"/>
        <v>#REF!</v>
      </c>
      <c r="Z357" t="e">
        <f t="shared" ca="1" si="72"/>
        <v>#REF!</v>
      </c>
      <c r="AA357" s="152" t="e">
        <f t="shared" ca="1" si="69"/>
        <v>#REF!</v>
      </c>
      <c r="AB357" s="152" t="e">
        <f t="shared" ca="1" si="66"/>
        <v>#REF!</v>
      </c>
      <c r="AC357">
        <v>5</v>
      </c>
      <c r="AD357">
        <v>1</v>
      </c>
      <c r="AE357" t="str">
        <f t="shared" si="70"/>
        <v>'[2022 - Aryapratama &amp; Pauliuk - STE - AppF.xlsx]GWPdyn_RIL - Fig.4(j)'!L</v>
      </c>
      <c r="AG357">
        <v>-726.845318289901</v>
      </c>
      <c r="AH357">
        <v>-365.10563504552567</v>
      </c>
      <c r="AI357">
        <f t="shared" si="73"/>
        <v>726.845318289901</v>
      </c>
      <c r="AJ357">
        <f t="shared" si="73"/>
        <v>365.10563504552567</v>
      </c>
    </row>
    <row r="359" spans="1:36">
      <c r="A359" t="s">
        <v>2857</v>
      </c>
      <c r="R359" t="s">
        <v>2858</v>
      </c>
      <c r="U359" t="s">
        <v>2859</v>
      </c>
      <c r="X359" t="s">
        <v>2860</v>
      </c>
      <c r="AA359" t="s">
        <v>1282</v>
      </c>
    </row>
    <row r="360" spans="1:36">
      <c r="N360" t="s">
        <v>2820</v>
      </c>
      <c r="O360" t="s">
        <v>2821</v>
      </c>
      <c r="R360" t="s">
        <v>1113</v>
      </c>
      <c r="S360" t="s">
        <v>1281</v>
      </c>
      <c r="T360" t="s">
        <v>1287</v>
      </c>
      <c r="U360" t="s">
        <v>1113</v>
      </c>
      <c r="V360" t="s">
        <v>1281</v>
      </c>
      <c r="W360" t="s">
        <v>1287</v>
      </c>
      <c r="X360" t="s">
        <v>1113</v>
      </c>
      <c r="Y360" t="s">
        <v>1281</v>
      </c>
      <c r="Z360" t="s">
        <v>1287</v>
      </c>
      <c r="AA360" t="s">
        <v>1113</v>
      </c>
      <c r="AB360" t="s">
        <v>1281</v>
      </c>
      <c r="AC360" t="s">
        <v>1287</v>
      </c>
    </row>
    <row r="361" spans="1:36">
      <c r="K361" t="s">
        <v>1281</v>
      </c>
      <c r="L361">
        <v>50</v>
      </c>
      <c r="M361" t="s">
        <v>2861</v>
      </c>
      <c r="N361">
        <f>R$366</f>
        <v>30.8433734939759</v>
      </c>
      <c r="O361">
        <f>S$366</f>
        <v>30.8433734939759</v>
      </c>
      <c r="Q361">
        <v>2009.6774193548299</v>
      </c>
      <c r="R361">
        <v>17.951807228915602</v>
      </c>
      <c r="S361">
        <v>16.867469879518001</v>
      </c>
      <c r="T361">
        <v>15.1857198378768</v>
      </c>
      <c r="U361">
        <v>9.3160377358490507</v>
      </c>
      <c r="V361">
        <v>9.3160377358490507</v>
      </c>
      <c r="W361">
        <v>9.3160377358490507</v>
      </c>
      <c r="X361">
        <v>0</v>
      </c>
      <c r="Y361">
        <v>0</v>
      </c>
      <c r="Z361">
        <v>0</v>
      </c>
      <c r="AA361">
        <v>0</v>
      </c>
      <c r="AB361">
        <v>0</v>
      </c>
      <c r="AC361">
        <v>0</v>
      </c>
    </row>
    <row r="362" spans="1:36">
      <c r="K362" t="s">
        <v>1281</v>
      </c>
      <c r="L362">
        <v>50</v>
      </c>
      <c r="M362" t="s">
        <v>2713</v>
      </c>
      <c r="N362">
        <f>R$365+U$365</f>
        <v>33.994657876790122</v>
      </c>
      <c r="O362">
        <f>S$365+V$365</f>
        <v>34.185894521482062</v>
      </c>
      <c r="Q362">
        <v>2020</v>
      </c>
      <c r="R362">
        <v>21.445783132530099</v>
      </c>
      <c r="S362">
        <v>20.361445783132499</v>
      </c>
      <c r="T362">
        <v>19.1771695075231</v>
      </c>
      <c r="U362">
        <v>7.9481132075471601</v>
      </c>
      <c r="V362">
        <v>7.9009433962264097</v>
      </c>
      <c r="W362">
        <v>7.8066037735849001</v>
      </c>
      <c r="X362">
        <v>0.49740932642487001</v>
      </c>
      <c r="Y362">
        <v>0.51813471502590502</v>
      </c>
      <c r="Z362">
        <v>0.51813471502590502</v>
      </c>
      <c r="AA362">
        <f t="shared" ref="AA362:AA370" si="74">(SUM(M$402:M402)*5)</f>
        <v>1.6995073891625601</v>
      </c>
      <c r="AB362">
        <f t="shared" ref="AB362:AB370" si="75">(SUM(N$402:N402)*5)</f>
        <v>1.5763546798029551</v>
      </c>
      <c r="AC362">
        <f t="shared" ref="AC362:AC370" si="76">(SUM(O$402:O402)*5)</f>
        <v>1.600985221674875</v>
      </c>
    </row>
    <row r="363" spans="1:36">
      <c r="K363" t="s">
        <v>1281</v>
      </c>
      <c r="L363">
        <v>50</v>
      </c>
      <c r="M363" t="s">
        <v>2862</v>
      </c>
      <c r="N363">
        <f>+R$366+U$366+X$366</f>
        <v>38.33684792940457</v>
      </c>
      <c r="O363">
        <f>+S$366+V$366+Y$366</f>
        <v>39.060818992069535</v>
      </c>
      <c r="Q363">
        <v>2029.9539170506901</v>
      </c>
      <c r="R363">
        <v>20.722891566265002</v>
      </c>
      <c r="S363">
        <v>20.120481927710799</v>
      </c>
      <c r="T363">
        <v>20.034978624174101</v>
      </c>
      <c r="U363">
        <v>6.9575471698113196</v>
      </c>
      <c r="V363">
        <v>6.8867924528301803</v>
      </c>
      <c r="W363">
        <v>6.8396226415094299</v>
      </c>
      <c r="X363">
        <v>1.0777202072538801</v>
      </c>
      <c r="Y363">
        <v>1.1191709844559501</v>
      </c>
      <c r="Z363">
        <v>1.09844559585492</v>
      </c>
      <c r="AA363">
        <f t="shared" si="74"/>
        <v>3.6206896551724101</v>
      </c>
      <c r="AB363">
        <f t="shared" si="75"/>
        <v>3.3374384236453203</v>
      </c>
      <c r="AC363">
        <f t="shared" si="76"/>
        <v>3.2142857142857095</v>
      </c>
    </row>
    <row r="364" spans="1:36">
      <c r="K364" t="s">
        <v>1281</v>
      </c>
      <c r="L364">
        <v>90</v>
      </c>
      <c r="M364" t="s">
        <v>2861</v>
      </c>
      <c r="N364">
        <f>R$370</f>
        <v>32.530120481927703</v>
      </c>
      <c r="O364">
        <f>S$370</f>
        <v>35.060240963855399</v>
      </c>
      <c r="Q364">
        <v>2039.17050691244</v>
      </c>
      <c r="R364">
        <v>23.855421686746901</v>
      </c>
      <c r="S364">
        <v>24.216867469879499</v>
      </c>
      <c r="T364">
        <v>24.508356004663799</v>
      </c>
      <c r="U364">
        <v>5.9198113207547101</v>
      </c>
      <c r="V364">
        <v>6.0141509433962197</v>
      </c>
      <c r="W364">
        <v>6.2264150943396199</v>
      </c>
      <c r="X364">
        <v>1.36787564766839</v>
      </c>
      <c r="Y364">
        <v>1.5129533678756399</v>
      </c>
      <c r="Z364">
        <v>1.6580310880828999</v>
      </c>
      <c r="AA364">
        <f t="shared" si="74"/>
        <v>5.2216748768472847</v>
      </c>
      <c r="AB364">
        <f t="shared" si="75"/>
        <v>5.0985221674876851</v>
      </c>
      <c r="AC364">
        <f t="shared" si="76"/>
        <v>5.1600985221674804</v>
      </c>
    </row>
    <row r="365" spans="1:36">
      <c r="K365" t="s">
        <v>1281</v>
      </c>
      <c r="L365">
        <v>90</v>
      </c>
      <c r="M365" t="s">
        <v>2713</v>
      </c>
      <c r="N365">
        <f>R$365+U$365</f>
        <v>33.994657876790122</v>
      </c>
      <c r="O365">
        <f>S$365+V$365</f>
        <v>34.185894521482062</v>
      </c>
      <c r="Q365">
        <v>2049.4930875576001</v>
      </c>
      <c r="R365">
        <v>28.192771084337299</v>
      </c>
      <c r="S365">
        <v>28.313253012048101</v>
      </c>
      <c r="T365">
        <v>28.619177169507498</v>
      </c>
      <c r="U365">
        <v>5.8018867924528204</v>
      </c>
      <c r="V365">
        <v>5.8726415094339597</v>
      </c>
      <c r="W365">
        <v>6.2028301886792399</v>
      </c>
      <c r="X365">
        <v>2.1554404145077699</v>
      </c>
      <c r="Y365">
        <v>2.4870466321243501</v>
      </c>
      <c r="Z365">
        <v>2.7150259067357401</v>
      </c>
      <c r="AA365">
        <f t="shared" si="74"/>
        <v>8.1403940886699448</v>
      </c>
      <c r="AB365">
        <f t="shared" si="75"/>
        <v>8.091133004926105</v>
      </c>
      <c r="AC365">
        <f t="shared" si="76"/>
        <v>8.3990147783251157</v>
      </c>
    </row>
    <row r="366" spans="1:36">
      <c r="K366" t="s">
        <v>1281</v>
      </c>
      <c r="L366">
        <v>90</v>
      </c>
      <c r="M366" t="s">
        <v>2862</v>
      </c>
      <c r="N366">
        <f>+R$370+U$370+X$370</f>
        <v>42.123971298234274</v>
      </c>
      <c r="O366">
        <f>+S$370+V$370+Y$370</f>
        <v>45.12148839762213</v>
      </c>
      <c r="Q366">
        <v>2059.8156682027602</v>
      </c>
      <c r="R366">
        <v>30.8433734939759</v>
      </c>
      <c r="S366">
        <v>30.8433734939759</v>
      </c>
      <c r="T366">
        <v>31.526844706012898</v>
      </c>
      <c r="U366">
        <v>4.8820754716981103</v>
      </c>
      <c r="V366">
        <v>5.2122641509433896</v>
      </c>
      <c r="W366">
        <v>5.75471698113207</v>
      </c>
      <c r="X366">
        <v>2.6113989637305601</v>
      </c>
      <c r="Y366">
        <v>3.0051813471502502</v>
      </c>
      <c r="Z366">
        <v>3.3989637305699398</v>
      </c>
      <c r="AA366">
        <f t="shared" si="74"/>
        <v>10.270935960591125</v>
      </c>
      <c r="AB366">
        <f t="shared" si="75"/>
        <v>10.566502463054182</v>
      </c>
      <c r="AC366">
        <f t="shared" si="76"/>
        <v>11.20689655172413</v>
      </c>
    </row>
    <row r="367" spans="1:36">
      <c r="K367" t="s">
        <v>1287</v>
      </c>
      <c r="L367">
        <v>50</v>
      </c>
      <c r="M367" t="s">
        <v>2861</v>
      </c>
      <c r="N367">
        <f>R$366</f>
        <v>30.8433734939759</v>
      </c>
      <c r="O367">
        <f>T$366</f>
        <v>31.526844706012898</v>
      </c>
      <c r="Q367">
        <v>2070.1382488479198</v>
      </c>
      <c r="R367">
        <v>32.048192771084302</v>
      </c>
      <c r="S367">
        <v>31.927710843373401</v>
      </c>
      <c r="T367">
        <v>33.347954028093902</v>
      </c>
      <c r="U367">
        <v>5.3537735849056496</v>
      </c>
      <c r="V367">
        <v>5.2594339622641497</v>
      </c>
      <c r="W367">
        <v>5.5660377358490498</v>
      </c>
      <c r="X367">
        <v>3.8134715025906698</v>
      </c>
      <c r="Y367">
        <v>4.1243523316062101</v>
      </c>
      <c r="Z367">
        <v>4.4145077720207198</v>
      </c>
      <c r="AA367">
        <f t="shared" si="74"/>
        <v>14.347290640394078</v>
      </c>
      <c r="AB367">
        <f t="shared" si="75"/>
        <v>14.039408866995068</v>
      </c>
      <c r="AC367">
        <f t="shared" si="76"/>
        <v>14.310344827586196</v>
      </c>
    </row>
    <row r="368" spans="1:36">
      <c r="K368" t="s">
        <v>1287</v>
      </c>
      <c r="L368">
        <v>50</v>
      </c>
      <c r="M368" t="s">
        <v>2713</v>
      </c>
      <c r="N368">
        <f>R$365+U$365</f>
        <v>33.994657876790122</v>
      </c>
      <c r="O368">
        <f>T$365+W$365</f>
        <v>34.822007358186738</v>
      </c>
      <c r="Q368">
        <v>2080.82949308755</v>
      </c>
      <c r="R368">
        <v>31.6867469879518</v>
      </c>
      <c r="S368">
        <v>32.289156626505999</v>
      </c>
      <c r="T368">
        <v>36.3761034923102</v>
      </c>
      <c r="U368">
        <v>4.8820754716981103</v>
      </c>
      <c r="V368">
        <v>4.9056603773584797</v>
      </c>
      <c r="W368">
        <v>5.2122641509433896</v>
      </c>
      <c r="X368">
        <v>4.6217616580310796</v>
      </c>
      <c r="Y368">
        <v>4.9326424870466301</v>
      </c>
      <c r="Z368">
        <v>5.2642487046632098</v>
      </c>
      <c r="AA368">
        <f t="shared" si="74"/>
        <v>17.573891625615751</v>
      </c>
      <c r="AB368">
        <f t="shared" si="75"/>
        <v>16.871921182266</v>
      </c>
      <c r="AC368">
        <f t="shared" si="76"/>
        <v>17.068965517241367</v>
      </c>
    </row>
    <row r="369" spans="11:29">
      <c r="K369" t="s">
        <v>1287</v>
      </c>
      <c r="L369">
        <v>50</v>
      </c>
      <c r="M369" t="s">
        <v>2862</v>
      </c>
      <c r="N369">
        <f>+R$366+U$366+X$366</f>
        <v>38.33684792940457</v>
      </c>
      <c r="O369">
        <f>+T$366+W$366+Z$366</f>
        <v>40.680525417714911</v>
      </c>
      <c r="Q369">
        <v>2091.8894009216501</v>
      </c>
      <c r="R369">
        <v>32.289156626505999</v>
      </c>
      <c r="S369">
        <v>33.734939759036102</v>
      </c>
      <c r="T369">
        <v>39.642995946921303</v>
      </c>
      <c r="U369">
        <v>4.2924528301886697</v>
      </c>
      <c r="V369">
        <v>4.3396226415094299</v>
      </c>
      <c r="W369">
        <v>4.8584905660377302</v>
      </c>
      <c r="X369">
        <v>5.1606217616580201</v>
      </c>
      <c r="Y369">
        <v>5.5129533678756397</v>
      </c>
      <c r="Z369">
        <v>5.9689119170984402</v>
      </c>
      <c r="AA369">
        <f t="shared" si="74"/>
        <v>19.950738916256142</v>
      </c>
      <c r="AB369">
        <f t="shared" si="75"/>
        <v>19.088669950738904</v>
      </c>
      <c r="AC369">
        <f t="shared" si="76"/>
        <v>19.51970443349752</v>
      </c>
    </row>
    <row r="370" spans="11:29">
      <c r="K370" t="s">
        <v>1287</v>
      </c>
      <c r="L370">
        <v>90</v>
      </c>
      <c r="M370" t="s">
        <v>2861</v>
      </c>
      <c r="N370">
        <f>R$370</f>
        <v>32.530120481927703</v>
      </c>
      <c r="O370">
        <f>T$370</f>
        <v>42.671145411137601</v>
      </c>
      <c r="Q370">
        <v>2100</v>
      </c>
      <c r="R370">
        <v>32.530120481927703</v>
      </c>
      <c r="S370">
        <v>35.060240963855399</v>
      </c>
      <c r="T370">
        <v>42.671145411137601</v>
      </c>
      <c r="U370">
        <v>3.9150943396226401</v>
      </c>
      <c r="V370">
        <v>4.0094339622641497</v>
      </c>
      <c r="W370">
        <v>4.7877358490565998</v>
      </c>
      <c r="X370">
        <v>5.6787564766839296</v>
      </c>
      <c r="Y370">
        <v>6.0518134715025802</v>
      </c>
      <c r="Z370">
        <v>6.7564766839378203</v>
      </c>
      <c r="AA370">
        <f t="shared" si="74"/>
        <v>22.204433497536925</v>
      </c>
      <c r="AB370">
        <f t="shared" si="75"/>
        <v>21.305418719211811</v>
      </c>
      <c r="AC370">
        <f t="shared" si="76"/>
        <v>22.426108374384221</v>
      </c>
    </row>
    <row r="371" spans="11:29">
      <c r="K371" t="s">
        <v>1287</v>
      </c>
      <c r="L371">
        <v>90</v>
      </c>
      <c r="M371" t="s">
        <v>2713</v>
      </c>
      <c r="N371">
        <f>R$365+U$365</f>
        <v>33.994657876790122</v>
      </c>
      <c r="O371">
        <f>T$365+W$365</f>
        <v>34.822007358186738</v>
      </c>
    </row>
    <row r="372" spans="11:29">
      <c r="K372" t="s">
        <v>1287</v>
      </c>
      <c r="L372">
        <v>90</v>
      </c>
      <c r="M372" t="s">
        <v>2862</v>
      </c>
      <c r="N372">
        <f>+R$370+U$370+X$370</f>
        <v>42.123971298234274</v>
      </c>
      <c r="O372">
        <f>+T$370+W$370+Z$370</f>
        <v>54.215357944132023</v>
      </c>
      <c r="V372" t="s">
        <v>2785</v>
      </c>
    </row>
    <row r="373" spans="11:29">
      <c r="L373" t="s">
        <v>2863</v>
      </c>
      <c r="N373" t="s">
        <v>230</v>
      </c>
      <c r="O373" t="s">
        <v>181</v>
      </c>
      <c r="P373" t="s">
        <v>2864</v>
      </c>
      <c r="Q373" t="s">
        <v>2865</v>
      </c>
      <c r="R373" t="s">
        <v>2866</v>
      </c>
      <c r="U373">
        <v>2020</v>
      </c>
      <c r="V373">
        <v>0.135593220338982</v>
      </c>
    </row>
    <row r="374" spans="11:29">
      <c r="L374">
        <v>2024.4169524193701</v>
      </c>
      <c r="M374">
        <v>2.9256594724220601E-2</v>
      </c>
      <c r="N374">
        <f>M375*5</f>
        <v>0.16546762589928049</v>
      </c>
      <c r="O374">
        <f>(M376-M375)*5</f>
        <v>2.39808153477215E-2</v>
      </c>
      <c r="P374">
        <f>V374-V373</f>
        <v>0.250325945241201</v>
      </c>
      <c r="Q374">
        <f>X363-X362-P374</f>
        <v>0.32998493558780906</v>
      </c>
      <c r="R374">
        <f>P374/N374</f>
        <v>1.5128394081968242</v>
      </c>
      <c r="S374">
        <f>Q374/O374</f>
        <v>13.760371814011823</v>
      </c>
      <c r="U374">
        <v>2030.6403940886601</v>
      </c>
      <c r="V374">
        <v>0.38591916558018302</v>
      </c>
    </row>
    <row r="375" spans="11:29">
      <c r="L375">
        <v>2024.78361236244</v>
      </c>
      <c r="M375">
        <v>3.3093525179856101E-2</v>
      </c>
      <c r="U375">
        <v>2039.7044334975301</v>
      </c>
      <c r="V375">
        <v>0.44850065189048199</v>
      </c>
    </row>
    <row r="376" spans="11:29">
      <c r="L376">
        <v>2024.7746475716599</v>
      </c>
      <c r="M376">
        <v>3.7889688249400401E-2</v>
      </c>
      <c r="U376">
        <v>2049.95073891625</v>
      </c>
      <c r="V376">
        <v>0.677966101694915</v>
      </c>
    </row>
    <row r="377" spans="11:29">
      <c r="L377">
        <v>2044.97501064568</v>
      </c>
      <c r="M377">
        <v>3.0695443645083899E-2</v>
      </c>
      <c r="N377">
        <f>M378*5</f>
        <v>0.17026378896882449</v>
      </c>
      <c r="O377">
        <f>(M379-M378)*5</f>
        <v>2.6378896882494514E-2</v>
      </c>
      <c r="P377">
        <f>V376-V375</f>
        <v>0.22946544980443301</v>
      </c>
      <c r="Q377">
        <f>X365-X364-P377</f>
        <v>0.55809931703494686</v>
      </c>
      <c r="R377">
        <f>P377/N377</f>
        <v>1.3477055291330819</v>
      </c>
      <c r="S377">
        <f>Q377/O377</f>
        <v>21.15703774577894</v>
      </c>
      <c r="U377">
        <v>2059.8029556650199</v>
      </c>
      <c r="V377">
        <v>0.74054758800521503</v>
      </c>
    </row>
    <row r="378" spans="11:29">
      <c r="L378">
        <v>2044.5949035164299</v>
      </c>
      <c r="M378">
        <v>3.4052757793764897E-2</v>
      </c>
      <c r="U378">
        <v>2070.04926108374</v>
      </c>
      <c r="V378">
        <v>1.22033898305084</v>
      </c>
    </row>
    <row r="379" spans="11:29">
      <c r="L379">
        <v>2044.95887402227</v>
      </c>
      <c r="M379">
        <v>3.93285371702638E-2</v>
      </c>
      <c r="U379">
        <v>2080.2955665024601</v>
      </c>
      <c r="V379">
        <v>1.4498044328552799</v>
      </c>
    </row>
    <row r="380" spans="11:29">
      <c r="L380">
        <v>2064.7378919294401</v>
      </c>
      <c r="M380">
        <v>5.7553956834532301E-2</v>
      </c>
      <c r="N380">
        <f>M381*5</f>
        <v>0.32853717026378898</v>
      </c>
      <c r="O380">
        <f>(M382-M381)*5</f>
        <v>4.0767386091127011E-2</v>
      </c>
      <c r="P380">
        <f>V378-V377</f>
        <v>0.47979139504562496</v>
      </c>
      <c r="Q380">
        <f>X367-X366-P380</f>
        <v>0.72228114381448472</v>
      </c>
      <c r="R380">
        <f>P380/N380</f>
        <v>1.4603869469636905</v>
      </c>
      <c r="S380">
        <f>Q380/O380</f>
        <v>17.71713158650828</v>
      </c>
      <c r="U380">
        <v>2090.1477832512301</v>
      </c>
      <c r="V380">
        <v>1.63754889178618</v>
      </c>
    </row>
    <row r="381" spans="11:29">
      <c r="L381">
        <v>2065.0964835608102</v>
      </c>
      <c r="M381">
        <v>6.5707434052757793E-2</v>
      </c>
      <c r="U381">
        <v>2100</v>
      </c>
      <c r="V381">
        <v>1.8044328552803099</v>
      </c>
    </row>
    <row r="382" spans="11:29">
      <c r="L382">
        <v>2064.7074116407798</v>
      </c>
      <c r="M382">
        <v>7.3860911270983196E-2</v>
      </c>
    </row>
    <row r="384" spans="11:29">
      <c r="L384" t="s">
        <v>2867</v>
      </c>
      <c r="N384" t="s">
        <v>2868</v>
      </c>
      <c r="O384" t="s">
        <v>2764</v>
      </c>
      <c r="P384" t="s">
        <v>2791</v>
      </c>
      <c r="Q384" t="s">
        <v>2869</v>
      </c>
      <c r="R384" t="s">
        <v>181</v>
      </c>
      <c r="S384" t="s">
        <v>2864</v>
      </c>
      <c r="T384" t="s">
        <v>2865</v>
      </c>
      <c r="U384" t="s">
        <v>2866</v>
      </c>
    </row>
    <row r="385" spans="12:22">
      <c r="L385">
        <v>2024.4859813084099</v>
      </c>
      <c r="M385">
        <v>7.3891625615763498E-2</v>
      </c>
      <c r="N385">
        <f>M385</f>
        <v>7.3891625615763498E-2</v>
      </c>
      <c r="O385">
        <f>M386-M385</f>
        <v>0.1305418719211815</v>
      </c>
      <c r="P385">
        <f>M389-M386</f>
        <v>0.17980295566502497</v>
      </c>
      <c r="Q385">
        <f>0.1*SUM(N385:O385)*5</f>
        <v>0.1022167487684725</v>
      </c>
      <c r="R385">
        <f>5*(0.1*SUM(N385:O385)+0.2*P385)</f>
        <v>0.2820197044334975</v>
      </c>
      <c r="S385">
        <v>0.250325945241201</v>
      </c>
      <c r="T385">
        <v>0.32998493558780906</v>
      </c>
      <c r="U385">
        <f>S385/Q385</f>
        <v>2.4489718980223616</v>
      </c>
      <c r="V385">
        <f>T385/R385</f>
        <v>1.1700775881978209</v>
      </c>
    </row>
    <row r="386" spans="12:22">
      <c r="L386">
        <v>2023.738317757</v>
      </c>
      <c r="M386">
        <v>0.20443349753694501</v>
      </c>
    </row>
    <row r="387" spans="12:22">
      <c r="L387">
        <v>2024.4859813084099</v>
      </c>
      <c r="M387">
        <v>0.32512315270935899</v>
      </c>
    </row>
    <row r="388" spans="12:22">
      <c r="L388">
        <v>2024.4859813084099</v>
      </c>
      <c r="M388">
        <v>0.35467980295566498</v>
      </c>
    </row>
    <row r="389" spans="12:22">
      <c r="L389">
        <v>2024.8598130841101</v>
      </c>
      <c r="M389">
        <v>0.38423645320196997</v>
      </c>
    </row>
    <row r="390" spans="12:22">
      <c r="L390">
        <v>2044.67289719626</v>
      </c>
      <c r="M390">
        <v>7.6354679802955697E-2</v>
      </c>
      <c r="N390">
        <f>M390</f>
        <v>7.6354679802955697E-2</v>
      </c>
      <c r="O390">
        <f>M391-M390</f>
        <v>0.22906403940886633</v>
      </c>
      <c r="P390">
        <f>M394-M391</f>
        <v>0.27832512315271002</v>
      </c>
      <c r="Q390">
        <f>0.1*SUM(N390:O390)*5</f>
        <v>0.152709359605911</v>
      </c>
      <c r="R390">
        <f>5*(0.1*SUM(N390:O390)+0.2*P390)</f>
        <v>0.43103448275862105</v>
      </c>
      <c r="S390">
        <v>0.22946544980443301</v>
      </c>
      <c r="T390">
        <v>0.55809931703494686</v>
      </c>
      <c r="U390">
        <f>S390/Q390</f>
        <v>1.5026285906548387</v>
      </c>
      <c r="V390">
        <f>T390/R390</f>
        <v>1.2947904155210757</v>
      </c>
    </row>
    <row r="391" spans="12:22">
      <c r="L391">
        <v>2045.04672897196</v>
      </c>
      <c r="M391">
        <v>0.30541871921182201</v>
      </c>
    </row>
    <row r="392" spans="12:22">
      <c r="L392">
        <v>2045.04672897196</v>
      </c>
      <c r="M392">
        <v>0.49014778325123098</v>
      </c>
    </row>
    <row r="393" spans="12:22">
      <c r="L393">
        <v>2045.04672897196</v>
      </c>
      <c r="M393">
        <v>0.53694581280788101</v>
      </c>
    </row>
    <row r="394" spans="12:22">
      <c r="L394">
        <v>2044.67289719626</v>
      </c>
      <c r="M394">
        <v>0.58374384236453203</v>
      </c>
    </row>
    <row r="395" spans="12:22">
      <c r="L395">
        <v>2064.8598130841101</v>
      </c>
      <c r="M395">
        <v>0.14285714285714199</v>
      </c>
      <c r="N395">
        <f>M395</f>
        <v>0.14285714285714199</v>
      </c>
      <c r="O395">
        <f>M396-M395</f>
        <v>0.27586206896551801</v>
      </c>
      <c r="P395">
        <f>M399-M396</f>
        <v>0.39655172413793099</v>
      </c>
      <c r="Q395">
        <f>0.1*SUM(N395:O395)*5</f>
        <v>0.20935960591133004</v>
      </c>
      <c r="R395">
        <f>5*(0.1*SUM(N395:O395)+0.2*P395)</f>
        <v>0.60591133004926112</v>
      </c>
      <c r="S395">
        <v>0.47979139504562496</v>
      </c>
      <c r="T395">
        <v>0.72228114381448472</v>
      </c>
      <c r="U395">
        <f>S395/Q395</f>
        <v>2.2917094869238088</v>
      </c>
      <c r="V395">
        <f>T395/R395</f>
        <v>1.1920574975149625</v>
      </c>
    </row>
    <row r="396" spans="12:22">
      <c r="L396">
        <v>2064.4859813084099</v>
      </c>
      <c r="M396">
        <v>0.41871921182265998</v>
      </c>
    </row>
    <row r="397" spans="12:22">
      <c r="L397">
        <v>2064.4859813084099</v>
      </c>
      <c r="M397">
        <v>0.68965517241379304</v>
      </c>
    </row>
    <row r="398" spans="12:22">
      <c r="L398">
        <v>2064.8598130841101</v>
      </c>
      <c r="M398">
        <v>0.75123152709359597</v>
      </c>
    </row>
    <row r="399" spans="12:22">
      <c r="L399">
        <v>2064.8598130841101</v>
      </c>
      <c r="M399">
        <v>0.81527093596059097</v>
      </c>
    </row>
    <row r="401" spans="12:20">
      <c r="L401" t="s">
        <v>2870</v>
      </c>
      <c r="M401" t="s">
        <v>1113</v>
      </c>
      <c r="N401" t="s">
        <v>1281</v>
      </c>
      <c r="O401" t="s">
        <v>1287</v>
      </c>
      <c r="Q401" t="s">
        <v>2871</v>
      </c>
      <c r="R401" t="s">
        <v>1113</v>
      </c>
      <c r="S401" t="s">
        <v>1281</v>
      </c>
      <c r="T401" t="s">
        <v>1287</v>
      </c>
    </row>
    <row r="402" spans="12:20">
      <c r="L402">
        <v>2014.7663551401799</v>
      </c>
      <c r="M402">
        <v>0.33990147783251201</v>
      </c>
      <c r="N402">
        <v>0.31527093596059103</v>
      </c>
      <c r="O402">
        <v>0.32019704433497498</v>
      </c>
      <c r="R402">
        <f>0.2*$N$395+0.2*$O$395+0.2*$P$395/(SUM($N$395:$P$395))</f>
        <v>0.18102480913190361</v>
      </c>
      <c r="S402">
        <f>0.4*$N$395+0.45*$O$395+0.3*$P$395/(SUM($N$395:$P$395))</f>
        <v>0.32720223832839734</v>
      </c>
      <c r="T402">
        <f>0.6*$N$395+0.6*$O$395+0.4*$P$395/(SUM($N$395:$P$395))</f>
        <v>0.44579346062833919</v>
      </c>
    </row>
    <row r="403" spans="12:20">
      <c r="L403">
        <v>2024.4859813084099</v>
      </c>
      <c r="M403">
        <v>0.38423645320196997</v>
      </c>
      <c r="N403">
        <v>0.35221674876847298</v>
      </c>
      <c r="O403">
        <v>0.32266009852216698</v>
      </c>
    </row>
    <row r="404" spans="12:20">
      <c r="L404">
        <v>2034.5794392523301</v>
      </c>
      <c r="M404">
        <v>0.32019704433497498</v>
      </c>
      <c r="N404">
        <v>0.35221674876847298</v>
      </c>
      <c r="O404">
        <v>0.38916256157635398</v>
      </c>
    </row>
    <row r="405" spans="12:20">
      <c r="L405">
        <v>2044.67289719626</v>
      </c>
      <c r="M405">
        <v>0.58374384236453203</v>
      </c>
      <c r="N405">
        <v>0.59852216748768405</v>
      </c>
      <c r="O405">
        <v>0.64778325123152702</v>
      </c>
    </row>
    <row r="406" spans="12:20">
      <c r="L406">
        <v>2054.7663551401802</v>
      </c>
      <c r="M406">
        <v>0.42610837438423599</v>
      </c>
      <c r="N406">
        <v>0.49507389162561499</v>
      </c>
      <c r="O406">
        <v>0.56157635467980305</v>
      </c>
    </row>
    <row r="407" spans="12:20">
      <c r="L407">
        <v>2064.8598130841101</v>
      </c>
      <c r="M407">
        <v>0.81527093596059097</v>
      </c>
      <c r="N407">
        <v>0.69458128078817705</v>
      </c>
      <c r="O407">
        <v>0.62068965517241304</v>
      </c>
    </row>
    <row r="408" spans="12:20">
      <c r="M408">
        <f>AVERAGE(M407,M409)</f>
        <v>0.64532019704433452</v>
      </c>
      <c r="N408">
        <v>0.56650246305418706</v>
      </c>
      <c r="O408">
        <v>0.55172413793103403</v>
      </c>
    </row>
    <row r="409" spans="12:20">
      <c r="L409">
        <v>2085.04672897196</v>
      </c>
      <c r="M409">
        <v>0.47536945812807802</v>
      </c>
      <c r="N409">
        <v>0.44334975369458102</v>
      </c>
      <c r="O409">
        <v>0.49014778325123098</v>
      </c>
    </row>
    <row r="410" spans="12:20">
      <c r="L410">
        <v>2094.7663551401802</v>
      </c>
      <c r="M410">
        <v>0.45073891625615697</v>
      </c>
      <c r="N410">
        <v>0.44334975369458102</v>
      </c>
      <c r="O410">
        <v>0.58128078817733997</v>
      </c>
    </row>
    <row r="417" spans="1:39">
      <c r="A417" t="s">
        <v>2872</v>
      </c>
    </row>
    <row r="418" spans="1:39">
      <c r="Z418" s="244" t="s">
        <v>2821</v>
      </c>
      <c r="AA418" s="244"/>
      <c r="AB418" s="244" t="s">
        <v>2873</v>
      </c>
      <c r="AC418" s="244" t="s">
        <v>2874</v>
      </c>
      <c r="AD418" s="244" t="s">
        <v>2875</v>
      </c>
      <c r="AE418" s="244" t="s">
        <v>2876</v>
      </c>
      <c r="AF418" s="244" t="s">
        <v>2877</v>
      </c>
      <c r="AG418" s="244" t="s">
        <v>2878</v>
      </c>
      <c r="AH418" s="244"/>
      <c r="AI418" s="244"/>
      <c r="AJ418" s="244"/>
      <c r="AK418" s="244"/>
      <c r="AL418" s="244" t="s">
        <v>2879</v>
      </c>
      <c r="AM418" s="244" t="s">
        <v>2865</v>
      </c>
    </row>
    <row r="419" spans="1:39">
      <c r="J419" t="s">
        <v>2821</v>
      </c>
      <c r="K419" t="s">
        <v>2880</v>
      </c>
      <c r="L419" t="s">
        <v>2873</v>
      </c>
      <c r="M419" t="s">
        <v>2874</v>
      </c>
      <c r="N419" t="s">
        <v>2875</v>
      </c>
      <c r="O419" t="s">
        <v>2876</v>
      </c>
      <c r="P419" t="s">
        <v>2881</v>
      </c>
      <c r="R419" t="s">
        <v>2713</v>
      </c>
      <c r="Z419" s="244"/>
      <c r="AA419" s="244">
        <v>2010</v>
      </c>
      <c r="AB419" s="244">
        <v>2.49382716049382</v>
      </c>
      <c r="AC419" s="244">
        <v>0</v>
      </c>
      <c r="AD419" s="244">
        <f>AL419+AM419</f>
        <v>1.23458213256484E-2</v>
      </c>
      <c r="AE419" s="244"/>
      <c r="AF419" s="244">
        <f>AL419</f>
        <v>1.2507204610950999E-3</v>
      </c>
      <c r="AG419" s="244">
        <f>AM419</f>
        <v>1.1095100864553301E-2</v>
      </c>
      <c r="AH419" s="244"/>
      <c r="AI419" s="244"/>
      <c r="AJ419" s="244">
        <v>2</v>
      </c>
      <c r="AK419" s="244">
        <v>2010</v>
      </c>
      <c r="AL419" s="244">
        <v>1.2507204610950999E-3</v>
      </c>
      <c r="AM419" s="244">
        <v>1.1095100864553301E-2</v>
      </c>
    </row>
    <row r="420" spans="1:39">
      <c r="J420">
        <v>2</v>
      </c>
      <c r="K420">
        <f t="shared" ref="K420:K424" si="77">N420/P420</f>
        <v>1.1674521913429727</v>
      </c>
      <c r="L420">
        <v>1.0255972696245701</v>
      </c>
      <c r="M420">
        <v>0.17576791808873701</v>
      </c>
      <c r="N420">
        <v>0.73549488054607282</v>
      </c>
      <c r="O420">
        <v>1.93686006825938</v>
      </c>
      <c r="P420">
        <v>0.63</v>
      </c>
      <c r="R420">
        <f t="shared" ref="R420:R424" si="78">+L420+M420</f>
        <v>1.2013651877133071</v>
      </c>
      <c r="Z420" s="244">
        <v>2</v>
      </c>
      <c r="AA420" s="244">
        <v>2020</v>
      </c>
      <c r="AB420" s="244">
        <v>2.57226012562269</v>
      </c>
      <c r="AC420" s="244">
        <v>5.18399277869716E-2</v>
      </c>
      <c r="AD420" s="244">
        <f t="shared" ref="AD420:AD424" si="79">AD419+10*(AVERAGE($AF$419,AF420)+AVERAGE($AG$419,AG420))</f>
        <v>0.13015561959654165</v>
      </c>
      <c r="AE420" s="244"/>
      <c r="AF420" s="244">
        <f t="shared" ref="AF420:AF424" si="80">$AL$419+(VLOOKUP(Z420&amp;"_"&amp;2025,$AI$418:$AM$443,4,FALSE)-$AL$419)*10/15</f>
        <v>1.2776176753121933E-3</v>
      </c>
      <c r="AG420" s="244">
        <f t="shared" ref="AG420:AG424" si="81">+$AM$419+(VLOOKUP(Z420&amp;"_"&amp;2025,$AI$418:$AM$443,5,FALSE)-$AM$419)*10/15</f>
        <v>9.9385206532180536E-3</v>
      </c>
      <c r="AH420" s="244"/>
      <c r="AI420" s="244" t="str">
        <f t="shared" ref="AI420:AI443" si="82">AJ420&amp;"_"&amp;AK420</f>
        <v>2_2025</v>
      </c>
      <c r="AJ420" s="244">
        <v>2</v>
      </c>
      <c r="AK420" s="244">
        <v>2025</v>
      </c>
      <c r="AL420" s="244">
        <v>1.29106628242074E-3</v>
      </c>
      <c r="AM420" s="244">
        <v>9.3602305475504292E-3</v>
      </c>
    </row>
    <row r="421" spans="1:39">
      <c r="J421" t="s">
        <v>1045</v>
      </c>
      <c r="K421">
        <f t="shared" si="77"/>
        <v>1.8051407849829213</v>
      </c>
      <c r="L421">
        <v>2.21843003412973E-2</v>
      </c>
      <c r="M421">
        <v>0.23720136518771301</v>
      </c>
      <c r="N421">
        <v>1.1552901023890696</v>
      </c>
      <c r="O421">
        <v>1.4146757679180799</v>
      </c>
      <c r="P421">
        <v>0.64</v>
      </c>
      <c r="R421">
        <f t="shared" si="78"/>
        <v>0.25938566552901032</v>
      </c>
      <c r="Z421" s="244" t="s">
        <v>1045</v>
      </c>
      <c r="AA421" s="244">
        <v>2020</v>
      </c>
      <c r="AB421" s="244">
        <v>2.52203811999133</v>
      </c>
      <c r="AC421" s="244">
        <v>5.6470588235294099E-2</v>
      </c>
      <c r="AD421" s="244">
        <f t="shared" si="79"/>
        <v>0.2552276657060516</v>
      </c>
      <c r="AE421" s="244"/>
      <c r="AF421" s="244">
        <f t="shared" si="80"/>
        <v>1.3583093179634932E-3</v>
      </c>
      <c r="AG421" s="244">
        <f t="shared" si="81"/>
        <v>1.13102785782901E-2</v>
      </c>
      <c r="AH421" s="244"/>
      <c r="AI421" s="244" t="str">
        <f t="shared" si="82"/>
        <v>2_2050</v>
      </c>
      <c r="AJ421" s="244">
        <v>2</v>
      </c>
      <c r="AK421" s="244">
        <v>2050</v>
      </c>
      <c r="AL421" s="244">
        <v>1.2507204610950999E-3</v>
      </c>
      <c r="AM421" s="244">
        <v>9.3602305475504292E-3</v>
      </c>
    </row>
    <row r="422" spans="1:39">
      <c r="J422" t="s">
        <v>1351</v>
      </c>
      <c r="K422">
        <f t="shared" si="77"/>
        <v>1.9442734851451886</v>
      </c>
      <c r="L422">
        <v>-0.16211604095563101</v>
      </c>
      <c r="M422">
        <v>0.19624573378839599</v>
      </c>
      <c r="N422">
        <v>1.186006825938565</v>
      </c>
      <c r="O422">
        <v>1.22013651877133</v>
      </c>
      <c r="P422">
        <v>0.61</v>
      </c>
      <c r="R422">
        <f t="shared" si="78"/>
        <v>3.4129692832764985E-2</v>
      </c>
      <c r="Z422" s="244" t="s">
        <v>1351</v>
      </c>
      <c r="AA422" s="244">
        <v>2020</v>
      </c>
      <c r="AB422" s="244">
        <v>2.4861652588260701</v>
      </c>
      <c r="AC422" s="244">
        <v>5.6470588235294099E-2</v>
      </c>
      <c r="AD422" s="244">
        <f t="shared" si="79"/>
        <v>0.38272046109510027</v>
      </c>
      <c r="AE422" s="244"/>
      <c r="AF422" s="244">
        <f t="shared" si="80"/>
        <v>1.3583093179634932E-3</v>
      </c>
      <c r="AG422" s="244">
        <f t="shared" si="81"/>
        <v>1.1794428434197833E-2</v>
      </c>
      <c r="AH422" s="244"/>
      <c r="AI422" s="244" t="str">
        <f t="shared" si="82"/>
        <v>2_2075</v>
      </c>
      <c r="AJ422" s="244">
        <v>2</v>
      </c>
      <c r="AK422" s="244">
        <v>2075</v>
      </c>
      <c r="AL422" s="244">
        <v>1.29106628242074E-3</v>
      </c>
      <c r="AM422" s="244">
        <v>9.4005763688760798E-3</v>
      </c>
    </row>
    <row r="423" spans="1:39">
      <c r="J423" t="s">
        <v>1352</v>
      </c>
      <c r="K423">
        <f t="shared" si="77"/>
        <v>1.8344709897610794</v>
      </c>
      <c r="L423">
        <v>-0.32593856655289999</v>
      </c>
      <c r="M423">
        <v>0.33959044368600599</v>
      </c>
      <c r="N423">
        <v>1.247440273037534</v>
      </c>
      <c r="O423">
        <v>1.26109215017064</v>
      </c>
      <c r="P423">
        <v>0.68</v>
      </c>
      <c r="R423">
        <f t="shared" si="78"/>
        <v>1.3651877133106005E-2</v>
      </c>
      <c r="Z423" s="244" t="s">
        <v>1352</v>
      </c>
      <c r="AA423" s="244">
        <v>2020</v>
      </c>
      <c r="AB423" s="244">
        <v>2.4861652588260701</v>
      </c>
      <c r="AC423" s="244">
        <v>5.6470588235294099E-2</v>
      </c>
      <c r="AD423" s="244">
        <f t="shared" si="79"/>
        <v>0.50913736791546493</v>
      </c>
      <c r="AE423" s="244"/>
      <c r="AF423" s="244">
        <f t="shared" si="80"/>
        <v>1.3583093179634932E-3</v>
      </c>
      <c r="AG423" s="244">
        <f t="shared" si="81"/>
        <v>1.1579250720461034E-2</v>
      </c>
      <c r="AH423" s="244"/>
      <c r="AI423" s="244" t="str">
        <f t="shared" si="82"/>
        <v>2_2100</v>
      </c>
      <c r="AJ423" s="244">
        <v>2</v>
      </c>
      <c r="AK423" s="244">
        <v>2100</v>
      </c>
      <c r="AL423" s="244">
        <v>1.3314121037463901E-3</v>
      </c>
      <c r="AM423" s="244">
        <v>9.8847262247838599E-3</v>
      </c>
    </row>
    <row r="424" spans="1:39">
      <c r="J424" t="s">
        <v>1353</v>
      </c>
      <c r="K424">
        <f t="shared" si="77"/>
        <v>1.8900610197538394</v>
      </c>
      <c r="L424">
        <v>-0.26450511945392402</v>
      </c>
      <c r="M424">
        <v>0.28839590443685997</v>
      </c>
      <c r="N424">
        <v>1.247440273037534</v>
      </c>
      <c r="O424">
        <v>1.27133105802047</v>
      </c>
      <c r="P424">
        <v>0.66</v>
      </c>
      <c r="R424">
        <f t="shared" si="78"/>
        <v>2.3890784982935953E-2</v>
      </c>
      <c r="Z424" s="244" t="s">
        <v>1353</v>
      </c>
      <c r="AA424" s="244">
        <v>2020</v>
      </c>
      <c r="AB424" s="244">
        <v>2.4861652588260701</v>
      </c>
      <c r="AC424" s="244">
        <v>5.6470588235294099E-2</v>
      </c>
      <c r="AD424" s="244">
        <f t="shared" si="79"/>
        <v>0.63420941402497488</v>
      </c>
      <c r="AE424" s="244"/>
      <c r="AF424" s="244">
        <f t="shared" si="80"/>
        <v>1.3583093179634932E-3</v>
      </c>
      <c r="AG424" s="244">
        <f t="shared" si="81"/>
        <v>1.13102785782901E-2</v>
      </c>
      <c r="AH424" s="244"/>
      <c r="AI424" s="244" t="str">
        <f t="shared" si="82"/>
        <v>R_2010</v>
      </c>
      <c r="AJ424" s="244" t="s">
        <v>1045</v>
      </c>
      <c r="AK424" s="244">
        <v>2010</v>
      </c>
      <c r="AL424" s="244">
        <v>1.2507204610950999E-3</v>
      </c>
      <c r="AM424" s="244">
        <v>1.1095100864553301E-2</v>
      </c>
    </row>
    <row r="425" spans="1:39">
      <c r="Z425" s="244">
        <v>2</v>
      </c>
      <c r="AA425" s="244">
        <v>2030</v>
      </c>
      <c r="AB425" s="244">
        <v>2.7037037037037002</v>
      </c>
      <c r="AC425" s="244">
        <v>9.2759139461411094E-2</v>
      </c>
      <c r="AD425" s="244">
        <f t="shared" ref="AD425:AD464" si="83">AD420+10*(AVERAGE($AF420,AF425)+AVERAGE($AG420,AG425))</f>
        <v>0.23945244956772307</v>
      </c>
      <c r="AE425" s="244"/>
      <c r="AF425" s="244">
        <f t="shared" ref="AF425:AF429" si="84">VLOOKUP(Z425&amp;"_"&amp;2025,$AI$418:$AM$443,4,FALSE)+(VLOOKUP(Z425&amp;"_"&amp;2050,$AI$418:$AM$443,4,FALSE)-VLOOKUP(Z425&amp;"_"&amp;2025,$AI$418:$AM$443,4,FALSE))*5/25</f>
        <v>1.2829971181556119E-3</v>
      </c>
      <c r="AG425" s="244">
        <f t="shared" ref="AG425:AG429" si="85">VLOOKUP(Z425&amp;"_"&amp;2025,$AI$418:$AM$443,5,FALSE)+(VLOOKUP(Z425&amp;"_"&amp;2050,$AI$418:$AM$443,5,FALSE)-VLOOKUP(Z425&amp;"_"&amp;2025,$AI$418:$AM$443,5,FALSE))*5/25</f>
        <v>9.3602305475504292E-3</v>
      </c>
      <c r="AH425" s="244"/>
      <c r="AI425" s="244" t="str">
        <f t="shared" si="82"/>
        <v>R_2025</v>
      </c>
      <c r="AJ425" s="244" t="s">
        <v>1045</v>
      </c>
      <c r="AK425" s="244">
        <v>2025</v>
      </c>
      <c r="AL425" s="244">
        <v>1.41210374639769E-3</v>
      </c>
      <c r="AM425" s="244">
        <v>1.1417867435158499E-2</v>
      </c>
    </row>
    <row r="426" spans="1:39">
      <c r="Z426" s="244" t="s">
        <v>1045</v>
      </c>
      <c r="AA426" s="244">
        <v>2030</v>
      </c>
      <c r="AB426" s="244">
        <v>2.55073640892354</v>
      </c>
      <c r="AC426" s="244">
        <v>0.106630058673085</v>
      </c>
      <c r="AD426" s="244">
        <f t="shared" si="83"/>
        <v>0.3828414985590774</v>
      </c>
      <c r="AE426" s="244"/>
      <c r="AF426" s="244">
        <f t="shared" si="84"/>
        <v>1.41210374639769E-3</v>
      </c>
      <c r="AG426" s="244">
        <f t="shared" si="85"/>
        <v>1.144207492795388E-2</v>
      </c>
      <c r="AH426" s="244"/>
      <c r="AI426" s="244" t="str">
        <f t="shared" si="82"/>
        <v>R_2050</v>
      </c>
      <c r="AJ426" s="244" t="s">
        <v>1045</v>
      </c>
      <c r="AK426" s="244">
        <v>2050</v>
      </c>
      <c r="AL426" s="244">
        <v>1.41210374639769E-3</v>
      </c>
      <c r="AM426" s="244">
        <v>1.1538904899135401E-2</v>
      </c>
    </row>
    <row r="427" spans="1:39">
      <c r="Z427" s="244" t="s">
        <v>1351</v>
      </c>
      <c r="AA427" s="244">
        <v>2030</v>
      </c>
      <c r="AB427" s="244">
        <v>2.4861652588260701</v>
      </c>
      <c r="AC427" s="244">
        <v>0.106630058673085</v>
      </c>
      <c r="AD427" s="244">
        <f t="shared" si="83"/>
        <v>0.51723342939481143</v>
      </c>
      <c r="AE427" s="244"/>
      <c r="AF427" s="244">
        <f t="shared" si="84"/>
        <v>1.41210374639769E-3</v>
      </c>
      <c r="AG427" s="244">
        <f t="shared" si="85"/>
        <v>1.233775216138322E-2</v>
      </c>
      <c r="AH427" s="244"/>
      <c r="AI427" s="244" t="str">
        <f t="shared" si="82"/>
        <v>R_2075</v>
      </c>
      <c r="AJ427" s="244" t="s">
        <v>1045</v>
      </c>
      <c r="AK427" s="244">
        <v>2075</v>
      </c>
      <c r="AL427" s="244">
        <v>1.4499999999999999E-3</v>
      </c>
      <c r="AM427" s="244">
        <v>1.1538904899135401E-2</v>
      </c>
    </row>
    <row r="428" spans="1:39">
      <c r="Z428" s="244" t="s">
        <v>1352</v>
      </c>
      <c r="AA428" s="244">
        <v>2030</v>
      </c>
      <c r="AB428" s="244">
        <v>2.4861652588260701</v>
      </c>
      <c r="AC428" s="244">
        <v>0.111764705882352</v>
      </c>
      <c r="AD428" s="244">
        <f t="shared" si="83"/>
        <v>0.64096061479346611</v>
      </c>
      <c r="AE428" s="244"/>
      <c r="AF428" s="244">
        <f t="shared" si="84"/>
        <v>1.4524495677233379E-3</v>
      </c>
      <c r="AG428" s="244">
        <f t="shared" si="85"/>
        <v>1.1974639769452381E-2</v>
      </c>
      <c r="AH428" s="244"/>
      <c r="AI428" s="244" t="str">
        <f t="shared" si="82"/>
        <v>R_2100</v>
      </c>
      <c r="AJ428" s="244" t="s">
        <v>1045</v>
      </c>
      <c r="AK428" s="244">
        <v>2100</v>
      </c>
      <c r="AL428" s="244">
        <v>1.3314121037463901E-3</v>
      </c>
      <c r="AM428" s="244">
        <v>1.0449567723342899E-2</v>
      </c>
    </row>
    <row r="429" spans="1:39">
      <c r="Z429" s="244" t="s">
        <v>1353</v>
      </c>
      <c r="AA429" s="244">
        <v>2030</v>
      </c>
      <c r="AB429" s="244">
        <v>2.4861652588260701</v>
      </c>
      <c r="AC429" s="244">
        <v>0.111764705882352</v>
      </c>
      <c r="AD429" s="244">
        <f t="shared" si="83"/>
        <v>0.76347742555235232</v>
      </c>
      <c r="AE429" s="244"/>
      <c r="AF429" s="244">
        <f t="shared" si="84"/>
        <v>1.4605187319884679E-3</v>
      </c>
      <c r="AG429" s="244">
        <f t="shared" si="85"/>
        <v>1.172449567723342E-2</v>
      </c>
      <c r="AH429" s="244"/>
      <c r="AI429" s="244" t="str">
        <f t="shared" si="82"/>
        <v>1a_2010</v>
      </c>
      <c r="AJ429" s="244" t="s">
        <v>1351</v>
      </c>
      <c r="AK429" s="244">
        <v>2010</v>
      </c>
      <c r="AL429" s="244">
        <v>1.2507204610950999E-3</v>
      </c>
      <c r="AM429" s="244">
        <v>1.1095100864553301E-2</v>
      </c>
    </row>
    <row r="430" spans="1:39">
      <c r="Z430" s="244">
        <v>2</v>
      </c>
      <c r="AA430" s="244">
        <v>2040</v>
      </c>
      <c r="AB430" s="244">
        <v>2.8448938704786602</v>
      </c>
      <c r="AC430" s="244">
        <v>0.11980743192417601</v>
      </c>
      <c r="AD430" s="244">
        <f t="shared" si="83"/>
        <v>0.34580403458213221</v>
      </c>
      <c r="AE430" s="244"/>
      <c r="AF430" s="244">
        <f t="shared" ref="AF430:AF434" si="86">VLOOKUP(Z430&amp;"_"&amp;2025,$AI$418:$AM$443,4,FALSE)+(VLOOKUP(Z430&amp;"_"&amp;2050,$AI$418:$AM$443,4,FALSE)-VLOOKUP(Z430&amp;"_"&amp;2025,$AI$418:$AM$443,4,FALSE))*15/25</f>
        <v>1.266858789625356E-3</v>
      </c>
      <c r="AG430" s="244">
        <f t="shared" ref="AG430:AG434" si="87">VLOOKUP(Z430&amp;"_"&amp;2025,$AI$418:$AM$443,5,FALSE)+(VLOOKUP(Z430&amp;"_"&amp;2050,$AI$418:$AM$443,5,FALSE)-VLOOKUP(Z430&amp;"_"&amp;2025,$AI$418:$AM$443,5,FALSE))*15/25</f>
        <v>9.3602305475504292E-3</v>
      </c>
      <c r="AH430" s="244"/>
      <c r="AI430" s="244" t="str">
        <f t="shared" si="82"/>
        <v>1a_2025</v>
      </c>
      <c r="AJ430" s="244" t="s">
        <v>1351</v>
      </c>
      <c r="AK430" s="244">
        <v>2025</v>
      </c>
      <c r="AL430" s="244">
        <v>1.41210374639769E-3</v>
      </c>
      <c r="AM430" s="244">
        <v>1.2144092219020099E-2</v>
      </c>
    </row>
    <row r="431" spans="1:39">
      <c r="Z431" s="244" t="s">
        <v>1045</v>
      </c>
      <c r="AA431" s="244">
        <v>2040</v>
      </c>
      <c r="AB431" s="244">
        <v>2.5937838423218502</v>
      </c>
      <c r="AC431" s="244">
        <v>0.14470588235294099</v>
      </c>
      <c r="AD431" s="244">
        <f t="shared" si="83"/>
        <v>0.51162536023054694</v>
      </c>
      <c r="AE431" s="244"/>
      <c r="AF431" s="244">
        <f t="shared" si="86"/>
        <v>1.41210374639769E-3</v>
      </c>
      <c r="AG431" s="244">
        <f t="shared" si="87"/>
        <v>1.1490489913544641E-2</v>
      </c>
      <c r="AH431" s="244"/>
      <c r="AI431" s="244" t="str">
        <f t="shared" si="82"/>
        <v>1a_2050</v>
      </c>
      <c r="AJ431" s="244" t="s">
        <v>1351</v>
      </c>
      <c r="AK431" s="244">
        <v>2050</v>
      </c>
      <c r="AL431" s="244">
        <v>1.41210374639769E-3</v>
      </c>
      <c r="AM431" s="244">
        <v>1.3112391930835699E-2</v>
      </c>
    </row>
    <row r="432" spans="1:39">
      <c r="Z432" s="244" t="s">
        <v>1351</v>
      </c>
      <c r="AA432" s="244">
        <v>2040</v>
      </c>
      <c r="AB432" s="244">
        <v>2.55073640892354</v>
      </c>
      <c r="AC432" s="244">
        <v>0.14470588235294099</v>
      </c>
      <c r="AD432" s="244">
        <f t="shared" si="83"/>
        <v>0.65666858789625171</v>
      </c>
      <c r="AE432" s="244"/>
      <c r="AF432" s="244">
        <f t="shared" si="86"/>
        <v>1.41210374639769E-3</v>
      </c>
      <c r="AG432" s="244">
        <f t="shared" si="87"/>
        <v>1.2725072046109459E-2</v>
      </c>
      <c r="AH432" s="244"/>
      <c r="AI432" s="244" t="str">
        <f t="shared" si="82"/>
        <v>1a_2075</v>
      </c>
      <c r="AJ432" s="244" t="s">
        <v>1351</v>
      </c>
      <c r="AK432" s="244">
        <v>2075</v>
      </c>
      <c r="AL432" s="244">
        <v>1.3314121037463901E-3</v>
      </c>
      <c r="AM432" s="244">
        <v>1.06109510086455E-2</v>
      </c>
    </row>
    <row r="433" spans="26:39">
      <c r="Z433" s="244" t="s">
        <v>1352</v>
      </c>
      <c r="AA433" s="244">
        <v>2040</v>
      </c>
      <c r="AB433" s="244">
        <v>2.55073640892354</v>
      </c>
      <c r="AC433" s="244">
        <v>0.148936362268692</v>
      </c>
      <c r="AD433" s="244">
        <f t="shared" si="83"/>
        <v>0.77716810758885457</v>
      </c>
      <c r="AE433" s="244"/>
      <c r="AF433" s="244">
        <f t="shared" si="86"/>
        <v>1.533141210374634E-3</v>
      </c>
      <c r="AG433" s="244">
        <f t="shared" si="87"/>
        <v>1.228126801152734E-2</v>
      </c>
      <c r="AH433" s="244"/>
      <c r="AI433" s="244" t="str">
        <f t="shared" si="82"/>
        <v>1a_2100</v>
      </c>
      <c r="AJ433" s="244" t="s">
        <v>1351</v>
      </c>
      <c r="AK433" s="244">
        <v>2100</v>
      </c>
      <c r="AL433" s="244">
        <v>1.1296829971181499E-3</v>
      </c>
      <c r="AM433" s="244">
        <v>1.0570605187319801E-2</v>
      </c>
    </row>
    <row r="434" spans="26:39">
      <c r="Z434" s="244" t="s">
        <v>1353</v>
      </c>
      <c r="AA434" s="244">
        <v>2040</v>
      </c>
      <c r="AB434" s="244">
        <v>2.55073640892354</v>
      </c>
      <c r="AC434" s="244">
        <v>0.151764705882352</v>
      </c>
      <c r="AD434" s="244">
        <f t="shared" si="83"/>
        <v>0.89887800192122813</v>
      </c>
      <c r="AE434" s="244"/>
      <c r="AF434" s="244">
        <f t="shared" si="86"/>
        <v>1.557348703170024E-3</v>
      </c>
      <c r="AG434" s="244">
        <f t="shared" si="87"/>
        <v>1.233775216138326E-2</v>
      </c>
      <c r="AH434" s="244"/>
      <c r="AI434" s="244" t="str">
        <f t="shared" si="82"/>
        <v>1b_2010</v>
      </c>
      <c r="AJ434" s="244" t="s">
        <v>1352</v>
      </c>
      <c r="AK434" s="244">
        <v>2010</v>
      </c>
      <c r="AL434" s="244">
        <v>1.2507204610950999E-3</v>
      </c>
      <c r="AM434" s="244">
        <v>1.1095100864553301E-2</v>
      </c>
    </row>
    <row r="435" spans="26:39">
      <c r="Z435" s="244">
        <v>2</v>
      </c>
      <c r="AA435" s="244">
        <v>2050</v>
      </c>
      <c r="AB435" s="244">
        <v>3.0170836040719</v>
      </c>
      <c r="AC435" s="244">
        <v>0.13714608093876901</v>
      </c>
      <c r="AD435" s="244">
        <f t="shared" si="83"/>
        <v>0.45199423631123881</v>
      </c>
      <c r="AE435" s="244"/>
      <c r="AF435" s="244">
        <f t="shared" ref="AF435:AF439" si="88">VLOOKUP($Z435&amp;"_"&amp;2050,$AI$418:$AM$443,4,FALSE)</f>
        <v>1.2507204610950999E-3</v>
      </c>
      <c r="AG435" s="244">
        <f t="shared" ref="AG435:AG439" si="89">VLOOKUP($Z435&amp;"_"&amp;2050,$AI$418:$AM$443,5,FALSE)</f>
        <v>9.3602305475504292E-3</v>
      </c>
      <c r="AH435" s="244"/>
      <c r="AI435" s="244" t="str">
        <f t="shared" si="82"/>
        <v>1b_2025</v>
      </c>
      <c r="AJ435" s="244" t="s">
        <v>1352</v>
      </c>
      <c r="AK435" s="244">
        <v>2025</v>
      </c>
      <c r="AL435" s="244">
        <v>1.41210374639769E-3</v>
      </c>
      <c r="AM435" s="244">
        <v>1.18213256484149E-2</v>
      </c>
    </row>
    <row r="436" spans="26:39">
      <c r="Z436" s="244" t="s">
        <v>1045</v>
      </c>
      <c r="AA436" s="244">
        <v>2050</v>
      </c>
      <c r="AB436" s="244">
        <v>2.6081329867879499</v>
      </c>
      <c r="AC436" s="244">
        <v>0.17764705882352899</v>
      </c>
      <c r="AD436" s="244">
        <f t="shared" si="83"/>
        <v>0.64089337175792405</v>
      </c>
      <c r="AE436" s="244"/>
      <c r="AF436" s="244">
        <f t="shared" si="88"/>
        <v>1.41210374639769E-3</v>
      </c>
      <c r="AG436" s="244">
        <f t="shared" si="89"/>
        <v>1.1538904899135401E-2</v>
      </c>
      <c r="AH436" s="244"/>
      <c r="AI436" s="244" t="str">
        <f t="shared" si="82"/>
        <v>1b_2050</v>
      </c>
      <c r="AJ436" s="244" t="s">
        <v>1352</v>
      </c>
      <c r="AK436" s="244">
        <v>2050</v>
      </c>
      <c r="AL436" s="244">
        <v>1.61383285302593E-3</v>
      </c>
      <c r="AM436" s="244">
        <v>1.25878962536023E-2</v>
      </c>
    </row>
    <row r="437" spans="26:39">
      <c r="Z437" s="244" t="s">
        <v>1351</v>
      </c>
      <c r="AA437" s="244">
        <v>2050</v>
      </c>
      <c r="AB437" s="244">
        <v>2.55073640892354</v>
      </c>
      <c r="AC437" s="244">
        <v>0.174114638182638</v>
      </c>
      <c r="AD437" s="244">
        <f t="shared" si="83"/>
        <v>0.79997694524495433</v>
      </c>
      <c r="AE437" s="244"/>
      <c r="AF437" s="244">
        <f t="shared" si="88"/>
        <v>1.41210374639769E-3</v>
      </c>
      <c r="AG437" s="244">
        <f t="shared" si="89"/>
        <v>1.3112391930835699E-2</v>
      </c>
      <c r="AH437" s="244"/>
      <c r="AI437" s="244" t="str">
        <f t="shared" si="82"/>
        <v>1b_2075</v>
      </c>
      <c r="AJ437" s="244" t="s">
        <v>1352</v>
      </c>
      <c r="AK437" s="244">
        <v>2075</v>
      </c>
      <c r="AL437" s="244">
        <v>1.7752161383285301E-3</v>
      </c>
      <c r="AM437" s="244">
        <v>1.2829971181556101E-2</v>
      </c>
    </row>
    <row r="438" spans="26:39">
      <c r="Z438" s="244" t="s">
        <v>1352</v>
      </c>
      <c r="AA438" s="244">
        <v>2050</v>
      </c>
      <c r="AB438" s="244">
        <v>2.55073640892354</v>
      </c>
      <c r="AC438" s="244">
        <v>0.189411764705882</v>
      </c>
      <c r="AD438" s="244">
        <f t="shared" si="83"/>
        <v>0.9172487992315056</v>
      </c>
      <c r="AE438" s="244"/>
      <c r="AF438" s="244">
        <f t="shared" si="88"/>
        <v>1.61383285302593E-3</v>
      </c>
      <c r="AG438" s="244">
        <f t="shared" si="89"/>
        <v>1.25878962536023E-2</v>
      </c>
      <c r="AH438" s="244"/>
      <c r="AI438" s="244" t="str">
        <f t="shared" si="82"/>
        <v>1b_2100</v>
      </c>
      <c r="AJ438" s="244" t="s">
        <v>1352</v>
      </c>
      <c r="AK438" s="244">
        <v>2100</v>
      </c>
      <c r="AL438" s="244">
        <v>1.6945244956772299E-3</v>
      </c>
      <c r="AM438" s="244">
        <v>1.1740634005763599E-2</v>
      </c>
    </row>
    <row r="439" spans="26:39">
      <c r="Z439" s="244" t="s">
        <v>1353</v>
      </c>
      <c r="AA439" s="244">
        <v>2050</v>
      </c>
      <c r="AB439" s="244">
        <v>2.55073640892354</v>
      </c>
      <c r="AC439" s="244">
        <v>0.19471039566721801</v>
      </c>
      <c r="AD439" s="244">
        <f t="shared" si="83"/>
        <v>1.041379442843418</v>
      </c>
      <c r="AE439" s="244"/>
      <c r="AF439" s="244">
        <f t="shared" si="88"/>
        <v>1.6541786743515801E-3</v>
      </c>
      <c r="AG439" s="244">
        <f t="shared" si="89"/>
        <v>1.2951008645533099E-2</v>
      </c>
      <c r="AH439" s="244"/>
      <c r="AI439" s="244" t="str">
        <f t="shared" si="82"/>
        <v>1c_2010</v>
      </c>
      <c r="AJ439" s="244" t="s">
        <v>1353</v>
      </c>
      <c r="AK439" s="244">
        <v>2010</v>
      </c>
      <c r="AL439" s="244">
        <v>1.2507204610950999E-3</v>
      </c>
      <c r="AM439" s="244">
        <v>1.1095100864553301E-2</v>
      </c>
    </row>
    <row r="440" spans="26:39">
      <c r="Z440" s="244">
        <v>2</v>
      </c>
      <c r="AA440" s="244">
        <v>2060</v>
      </c>
      <c r="AB440" s="244">
        <v>3.1749241931990402</v>
      </c>
      <c r="AC440" s="244">
        <v>0.146855724386941</v>
      </c>
      <c r="AD440" s="244">
        <f t="shared" si="83"/>
        <v>0.55826512968299669</v>
      </c>
      <c r="AE440" s="244"/>
      <c r="AF440" s="244">
        <f t="shared" ref="AF440:AF444" si="90">VLOOKUP(Z440&amp;"_"&amp;2050,$AI$418:$AM$443,4,FALSE)+(VLOOKUP(Z440&amp;"_"&amp;2075,$AI$418:$AM$443,4,FALSE)-VLOOKUP(Z440&amp;"_"&amp;2050,$AI$418:$AM$443,4,FALSE))*10/25</f>
        <v>1.266858789625356E-3</v>
      </c>
      <c r="AG440" s="244">
        <f t="shared" ref="AG440:AG444" si="91">VLOOKUP(Z440&amp;"_"&amp;2050,$AI$418:$AM$443,5,FALSE)+(VLOOKUP(Z440&amp;"_"&amp;2075,$AI$418:$AM$443,5,FALSE)-VLOOKUP(Z440&amp;"_"&amp;2050,$AI$418:$AM$443,5,FALSE))*10/25</f>
        <v>9.3763688760806901E-3</v>
      </c>
      <c r="AH440" s="244"/>
      <c r="AI440" s="244" t="str">
        <f t="shared" si="82"/>
        <v>1c_2025</v>
      </c>
      <c r="AJ440" s="244" t="s">
        <v>1353</v>
      </c>
      <c r="AK440" s="244">
        <v>2025</v>
      </c>
      <c r="AL440" s="244">
        <v>1.41210374639769E-3</v>
      </c>
      <c r="AM440" s="244">
        <v>1.1417867435158499E-2</v>
      </c>
    </row>
    <row r="441" spans="26:39">
      <c r="Z441" s="244" t="s">
        <v>1045</v>
      </c>
      <c r="AA441" s="244">
        <v>2060</v>
      </c>
      <c r="AB441" s="244">
        <v>2.5937838423218502</v>
      </c>
      <c r="AC441" s="244">
        <v>0.200258763351888</v>
      </c>
      <c r="AD441" s="244">
        <f t="shared" si="83"/>
        <v>0.77047925072045964</v>
      </c>
      <c r="AE441" s="244"/>
      <c r="AF441" s="244">
        <f t="shared" si="90"/>
        <v>1.4272622478386139E-3</v>
      </c>
      <c r="AG441" s="244">
        <f t="shared" si="91"/>
        <v>1.1538904899135401E-2</v>
      </c>
      <c r="AH441" s="244"/>
      <c r="AI441" s="244" t="str">
        <f t="shared" si="82"/>
        <v>1c_2050</v>
      </c>
      <c r="AJ441" s="244" t="s">
        <v>1353</v>
      </c>
      <c r="AK441" s="244">
        <v>2050</v>
      </c>
      <c r="AL441" s="244">
        <v>1.6541786743515801E-3</v>
      </c>
      <c r="AM441" s="244">
        <v>1.2951008645533099E-2</v>
      </c>
    </row>
    <row r="442" spans="26:39">
      <c r="Z442" s="244" t="s">
        <v>1351</v>
      </c>
      <c r="AA442" s="244">
        <v>2060</v>
      </c>
      <c r="AB442" s="244">
        <v>2.50051440329218</v>
      </c>
      <c r="AC442" s="244">
        <v>0.19411764705882301</v>
      </c>
      <c r="AD442" s="244">
        <f t="shared" si="83"/>
        <v>0.94005763688760524</v>
      </c>
      <c r="AE442" s="244"/>
      <c r="AF442" s="244">
        <f t="shared" si="90"/>
        <v>1.37982708933717E-3</v>
      </c>
      <c r="AG442" s="244">
        <f t="shared" si="91"/>
        <v>1.2111815561959619E-2</v>
      </c>
      <c r="AH442" s="244"/>
      <c r="AI442" s="244" t="str">
        <f t="shared" si="82"/>
        <v>1c_2075</v>
      </c>
      <c r="AJ442" s="244" t="s">
        <v>1353</v>
      </c>
      <c r="AK442" s="244">
        <v>2075</v>
      </c>
      <c r="AL442" s="244">
        <v>1.8962536023054699E-3</v>
      </c>
      <c r="AM442" s="244">
        <v>1.2951008645533099E-2</v>
      </c>
    </row>
    <row r="443" spans="26:39">
      <c r="Z443" s="244" t="s">
        <v>1352</v>
      </c>
      <c r="AA443" s="244">
        <v>2060</v>
      </c>
      <c r="AB443" s="244">
        <v>2.50051440329218</v>
      </c>
      <c r="AC443" s="244">
        <v>0.22383932601173401</v>
      </c>
      <c r="AD443" s="244">
        <f t="shared" si="83"/>
        <v>1.0600730067243007</v>
      </c>
      <c r="AE443" s="244"/>
      <c r="AF443" s="244">
        <f t="shared" si="90"/>
        <v>1.6783861671469701E-3</v>
      </c>
      <c r="AG443" s="244">
        <f t="shared" si="91"/>
        <v>1.268472622478382E-2</v>
      </c>
      <c r="AH443" s="244"/>
      <c r="AI443" s="244" t="str">
        <f t="shared" si="82"/>
        <v>1c_2100</v>
      </c>
      <c r="AJ443" s="244" t="s">
        <v>1353</v>
      </c>
      <c r="AK443" s="244">
        <v>2100</v>
      </c>
      <c r="AL443" s="244">
        <v>1.85590778097982E-3</v>
      </c>
      <c r="AM443" s="244">
        <v>1.1740634005763599E-2</v>
      </c>
    </row>
    <row r="444" spans="26:39">
      <c r="Z444" s="244" t="s">
        <v>1353</v>
      </c>
      <c r="AA444" s="244">
        <v>2060</v>
      </c>
      <c r="AB444" s="244">
        <v>2.55073640892354</v>
      </c>
      <c r="AC444" s="244">
        <v>0.23285542349932301</v>
      </c>
      <c r="AD444" s="244">
        <f t="shared" si="83"/>
        <v>1.1879154658981725</v>
      </c>
      <c r="AE444" s="244"/>
      <c r="AF444" s="244">
        <f t="shared" si="90"/>
        <v>1.7510086455331359E-3</v>
      </c>
      <c r="AG444" s="244">
        <f t="shared" si="91"/>
        <v>1.2951008645533099E-2</v>
      </c>
      <c r="AH444" s="244"/>
      <c r="AI444" s="244"/>
      <c r="AJ444" s="244"/>
      <c r="AK444" s="244"/>
      <c r="AL444" s="244"/>
      <c r="AM444" s="244"/>
    </row>
    <row r="445" spans="26:39">
      <c r="Z445" s="244">
        <v>2</v>
      </c>
      <c r="AA445" s="244">
        <v>2070</v>
      </c>
      <c r="AB445" s="244">
        <v>3.3086419753086398</v>
      </c>
      <c r="AC445" s="244">
        <v>0.157952459756281</v>
      </c>
      <c r="AD445" s="244">
        <f t="shared" si="83"/>
        <v>0.66485878962535971</v>
      </c>
      <c r="AE445" s="244"/>
      <c r="AF445" s="244">
        <f t="shared" ref="AF445:AF449" si="92">VLOOKUP(Z445&amp;"_"&amp;2050,$AI$418:$AM$443,4,FALSE)+(VLOOKUP(Z445&amp;"_"&amp;2075,$AI$418:$AM$443,4,FALSE)-VLOOKUP(Z445&amp;"_"&amp;2050,$AI$418:$AM$443,4,FALSE))*20/25</f>
        <v>1.2829971181556119E-3</v>
      </c>
      <c r="AG445" s="244">
        <f t="shared" ref="AG445:AG449" si="93">VLOOKUP(Z445&amp;"_"&amp;2050,$AI$418:$AM$443,5,FALSE)+(VLOOKUP(Z445&amp;"_"&amp;2075,$AI$418:$AM$443,5,FALSE)-VLOOKUP(Z445&amp;"_"&amp;2050,$AI$418:$AM$443,5,FALSE))*20/25</f>
        <v>9.3925072046109493E-3</v>
      </c>
      <c r="AH445" s="244"/>
      <c r="AI445" s="244"/>
      <c r="AJ445" s="244"/>
      <c r="AK445" s="244"/>
      <c r="AL445" s="244"/>
      <c r="AM445" s="244"/>
    </row>
    <row r="446" spans="26:39">
      <c r="Z446" s="244" t="s">
        <v>1045</v>
      </c>
      <c r="AA446" s="244">
        <v>2070</v>
      </c>
      <c r="AB446" s="244">
        <v>2.5925925925925899</v>
      </c>
      <c r="AC446" s="244">
        <v>0.219678050248232</v>
      </c>
      <c r="AD446" s="244">
        <f t="shared" si="83"/>
        <v>0.90021671469740439</v>
      </c>
      <c r="AE446" s="244"/>
      <c r="AF446" s="244">
        <f t="shared" si="92"/>
        <v>1.442420749279538E-3</v>
      </c>
      <c r="AG446" s="244">
        <f t="shared" si="93"/>
        <v>1.1538904899135401E-2</v>
      </c>
      <c r="AH446" s="244"/>
      <c r="AI446" s="244"/>
      <c r="AJ446" s="244"/>
      <c r="AK446" s="244"/>
      <c r="AL446" s="244"/>
      <c r="AM446" s="244"/>
    </row>
    <row r="447" spans="26:39">
      <c r="Z447" s="244" t="s">
        <v>1351</v>
      </c>
      <c r="AA447" s="244">
        <v>2070</v>
      </c>
      <c r="AB447" s="244">
        <v>2.5363872644574399</v>
      </c>
      <c r="AC447" s="244">
        <v>0.20996840680005999</v>
      </c>
      <c r="AD447" s="244">
        <f t="shared" si="83"/>
        <v>1.0698097982708901</v>
      </c>
      <c r="AE447" s="244"/>
      <c r="AF447" s="244">
        <f t="shared" si="92"/>
        <v>1.3475504322766501E-3</v>
      </c>
      <c r="AG447" s="244">
        <f t="shared" si="93"/>
        <v>1.1111239193083541E-2</v>
      </c>
      <c r="AH447" s="244"/>
      <c r="AI447" s="244"/>
      <c r="AJ447" s="244"/>
      <c r="AK447" s="244"/>
      <c r="AL447" s="244"/>
      <c r="AM447" s="244"/>
    </row>
    <row r="448" spans="26:39">
      <c r="Z448" s="244" t="s">
        <v>1352</v>
      </c>
      <c r="AA448" s="244">
        <v>2070</v>
      </c>
      <c r="AB448" s="244">
        <v>2.4431178254277599</v>
      </c>
      <c r="AC448" s="244">
        <v>0.25296825635625098</v>
      </c>
      <c r="AD448" s="244">
        <f t="shared" si="83"/>
        <v>1.2045110470701215</v>
      </c>
      <c r="AE448" s="244"/>
      <c r="AF448" s="244">
        <f t="shared" si="92"/>
        <v>1.74293948126801E-3</v>
      </c>
      <c r="AG448" s="244">
        <f t="shared" si="93"/>
        <v>1.2781556195965341E-2</v>
      </c>
      <c r="AH448" s="244"/>
      <c r="AI448" s="244"/>
      <c r="AJ448" s="244"/>
      <c r="AK448" s="244"/>
      <c r="AL448" s="244"/>
      <c r="AM448" s="244"/>
    </row>
    <row r="449" spans="1:39">
      <c r="Z449" s="244" t="s">
        <v>1353</v>
      </c>
      <c r="AA449" s="244">
        <v>2070</v>
      </c>
      <c r="AB449" s="244">
        <v>2.4431178254277599</v>
      </c>
      <c r="AC449" s="244">
        <v>0.26614562960734101</v>
      </c>
      <c r="AD449" s="244">
        <f t="shared" si="83"/>
        <v>1.3354197886647428</v>
      </c>
      <c r="AE449" s="244"/>
      <c r="AF449" s="244">
        <f t="shared" si="92"/>
        <v>1.847838616714692E-3</v>
      </c>
      <c r="AG449" s="244">
        <f t="shared" si="93"/>
        <v>1.2951008645533099E-2</v>
      </c>
      <c r="AH449" s="244"/>
      <c r="AI449" s="244"/>
      <c r="AJ449" s="244"/>
      <c r="AK449" s="244"/>
      <c r="AL449" s="244"/>
      <c r="AM449" s="244"/>
    </row>
    <row r="450" spans="1:39">
      <c r="Z450" s="244">
        <v>2</v>
      </c>
      <c r="AA450" s="244">
        <v>2080</v>
      </c>
      <c r="AB450" s="244">
        <v>3.4188596491227998</v>
      </c>
      <c r="AC450" s="244">
        <v>0.164887919362118</v>
      </c>
      <c r="AD450" s="244">
        <f t="shared" si="83"/>
        <v>0.77221902017291</v>
      </c>
      <c r="AE450" s="244"/>
      <c r="AF450" s="244">
        <f t="shared" ref="AF450:AF454" si="94">VLOOKUP(Z450&amp;"_"&amp;2075,$AI$418:$AM$443,4,FALSE)+(VLOOKUP(Z450&amp;"_"&amp;2100,$AI$418:$AM$443,4,FALSE)-VLOOKUP(Z450&amp;"_"&amp;2075,$AI$418:$AM$443,4,FALSE))*5/25</f>
        <v>1.29913544668587E-3</v>
      </c>
      <c r="AG450" s="244">
        <f t="shared" ref="AG450:AG454" si="95">VLOOKUP(Z450&amp;"_"&amp;2075,$AI$418:$AM$443,5,FALSE)+(VLOOKUP(Z450&amp;"_"&amp;2100,$AI$418:$AM$443,5,FALSE)-VLOOKUP(Z450&amp;"_"&amp;2075,$AI$418:$AM$443,5,FALSE))*5/25</f>
        <v>9.4974063400576365E-3</v>
      </c>
      <c r="AH450" s="244"/>
      <c r="AI450" s="244"/>
      <c r="AJ450" s="244"/>
      <c r="AK450" s="244"/>
      <c r="AL450" s="244"/>
      <c r="AM450" s="244"/>
    </row>
    <row r="451" spans="1:39">
      <c r="Z451" s="244" t="s">
        <v>1045</v>
      </c>
      <c r="AA451" s="244">
        <v>2080</v>
      </c>
      <c r="AB451" s="244">
        <v>2.5679012345679002</v>
      </c>
      <c r="AC451" s="244">
        <v>0.23632315330224099</v>
      </c>
      <c r="AD451" s="244">
        <f t="shared" si="83"/>
        <v>1.02885994236311</v>
      </c>
      <c r="AE451" s="244"/>
      <c r="AF451" s="244">
        <f t="shared" si="94"/>
        <v>1.4262824207492779E-3</v>
      </c>
      <c r="AG451" s="244">
        <f t="shared" si="95"/>
        <v>1.1321037463976901E-2</v>
      </c>
      <c r="AH451" s="244"/>
      <c r="AI451" s="244"/>
      <c r="AJ451" s="244"/>
      <c r="AK451" s="244"/>
      <c r="AL451" s="244"/>
      <c r="AM451" s="244"/>
    </row>
    <row r="452" spans="1:39">
      <c r="N452" t="s">
        <v>1444</v>
      </c>
      <c r="P452" t="s">
        <v>2882</v>
      </c>
      <c r="R452" t="s">
        <v>2883</v>
      </c>
      <c r="Z452" s="244" t="s">
        <v>1351</v>
      </c>
      <c r="AA452" s="244">
        <v>2080</v>
      </c>
      <c r="AB452" s="244">
        <v>2.3928958197963999</v>
      </c>
      <c r="AC452" s="244">
        <v>0.219678050248232</v>
      </c>
      <c r="AD452" s="244">
        <f t="shared" si="83"/>
        <v>1.1915734870316965</v>
      </c>
      <c r="AE452" s="244"/>
      <c r="AF452" s="244">
        <f t="shared" si="94"/>
        <v>1.291066282420742E-3</v>
      </c>
      <c r="AG452" s="244">
        <f t="shared" si="95"/>
        <v>1.0602881844380361E-2</v>
      </c>
      <c r="AH452" s="244"/>
      <c r="AI452" s="244"/>
      <c r="AJ452" s="244"/>
      <c r="AK452" s="244"/>
      <c r="AL452" s="244"/>
      <c r="AM452" s="244"/>
    </row>
    <row r="453" spans="1:39">
      <c r="A453" t="s">
        <v>2884</v>
      </c>
      <c r="N453" t="s">
        <v>2885</v>
      </c>
      <c r="P453" t="s">
        <v>1325</v>
      </c>
      <c r="Z453" s="244" t="s">
        <v>1352</v>
      </c>
      <c r="AA453" s="244">
        <v>2080</v>
      </c>
      <c r="AB453" s="244">
        <v>2.4359432531947101</v>
      </c>
      <c r="AC453" s="244">
        <v>0.27516172709492998</v>
      </c>
      <c r="AD453" s="244">
        <f t="shared" si="83"/>
        <v>1.3489894332372676</v>
      </c>
      <c r="AE453" s="244"/>
      <c r="AF453" s="244">
        <f t="shared" si="94"/>
        <v>1.7590778097982701E-3</v>
      </c>
      <c r="AG453" s="244">
        <f t="shared" si="95"/>
        <v>1.2612103746397601E-2</v>
      </c>
      <c r="AH453" s="244"/>
      <c r="AI453" s="244"/>
      <c r="AJ453" s="244"/>
      <c r="AK453" s="244"/>
      <c r="AL453" s="244"/>
      <c r="AM453" s="244"/>
    </row>
    <row r="454" spans="1:39">
      <c r="K454">
        <v>5.5160735818553502E-3</v>
      </c>
      <c r="L454">
        <v>98.499320111860797</v>
      </c>
      <c r="N454">
        <v>25</v>
      </c>
      <c r="O454">
        <v>0</v>
      </c>
      <c r="P454">
        <v>0</v>
      </c>
      <c r="Q454">
        <f>SUM(L454:L456)</f>
        <v>286.60902583574921</v>
      </c>
      <c r="R454">
        <v>269.14893617021198</v>
      </c>
      <c r="S454">
        <v>217.87234042553101</v>
      </c>
      <c r="Z454" s="244" t="s">
        <v>1353</v>
      </c>
      <c r="AA454" s="244">
        <v>2080</v>
      </c>
      <c r="AB454" s="244">
        <v>2.4359432531947101</v>
      </c>
      <c r="AC454" s="244">
        <v>0.30082292763652702</v>
      </c>
      <c r="AD454" s="244">
        <f t="shared" si="83"/>
        <v>1.4823996157540793</v>
      </c>
      <c r="AE454" s="244"/>
      <c r="AF454" s="244">
        <f t="shared" si="94"/>
        <v>1.8881844380403399E-3</v>
      </c>
      <c r="AG454" s="244">
        <f t="shared" si="95"/>
        <v>1.27089337175792E-2</v>
      </c>
      <c r="AH454" s="244"/>
      <c r="AI454" s="244"/>
      <c r="AJ454" s="244"/>
      <c r="AK454" s="244"/>
      <c r="AL454" s="244"/>
      <c r="AM454" s="244"/>
    </row>
    <row r="455" spans="1:39">
      <c r="K455">
        <v>6.0291967057484099E-3</v>
      </c>
      <c r="L455">
        <v>96.524001334120101</v>
      </c>
      <c r="N455">
        <v>25</v>
      </c>
      <c r="O455">
        <v>1</v>
      </c>
      <c r="P455">
        <v>0</v>
      </c>
      <c r="Q455">
        <f>SUM(L457:L459)</f>
        <v>279.58580701439303</v>
      </c>
      <c r="R455">
        <v>269.14893617021198</v>
      </c>
      <c r="S455">
        <v>221.063829787234</v>
      </c>
      <c r="Z455" s="244">
        <v>2</v>
      </c>
      <c r="AA455" s="244">
        <v>2090</v>
      </c>
      <c r="AB455" s="244">
        <v>3.4906053714533201</v>
      </c>
      <c r="AC455" s="244">
        <v>0.17294117647058799</v>
      </c>
      <c r="AD455" s="244">
        <f t="shared" si="83"/>
        <v>0.88123342939481197</v>
      </c>
      <c r="AE455" s="244"/>
      <c r="AF455" s="244">
        <f t="shared" ref="AF455:AF459" si="96">VLOOKUP(Z455&amp;"_"&amp;2075,$AI$418:$AM$443,4,FALSE)+(VLOOKUP(Z455&amp;"_"&amp;2100,$AI$418:$AM$443,4,FALSE)-VLOOKUP(Z455&amp;"_"&amp;2075,$AI$418:$AM$443,4,FALSE))*15/25</f>
        <v>1.3152737752161301E-3</v>
      </c>
      <c r="AG455" s="244">
        <f t="shared" ref="AG455:AG459" si="97">VLOOKUP(Z455&amp;"_"&amp;2075,$AI$418:$AM$443,5,FALSE)+(VLOOKUP(Z455&amp;"_"&amp;2100,$AI$418:$AM$443,5,FALSE)-VLOOKUP(Z455&amp;"_"&amp;2075,$AI$418:$AM$443,5,FALSE))*15/25</f>
        <v>9.6910662824207482E-3</v>
      </c>
      <c r="AH455" s="244"/>
      <c r="AI455" s="244"/>
      <c r="AJ455" s="244"/>
      <c r="AK455" s="244"/>
      <c r="AL455" s="244"/>
      <c r="AM455" s="244"/>
    </row>
    <row r="456" spans="1:39">
      <c r="K456">
        <v>7.3120045154828599E-3</v>
      </c>
      <c r="L456">
        <v>91.585704389768296</v>
      </c>
      <c r="N456">
        <v>25</v>
      </c>
      <c r="O456">
        <v>9</v>
      </c>
      <c r="P456">
        <v>0</v>
      </c>
      <c r="Q456">
        <f>SUM(L460:L461)</f>
        <v>161.3345306206223</v>
      </c>
      <c r="R456">
        <v>269.14893617021198</v>
      </c>
      <c r="S456">
        <v>261.063829787234</v>
      </c>
      <c r="Z456" s="244" t="s">
        <v>1045</v>
      </c>
      <c r="AA456" s="244">
        <v>2090</v>
      </c>
      <c r="AB456" s="244">
        <v>2.5308641975308599</v>
      </c>
      <c r="AC456" s="244">
        <v>0.24533925078982999</v>
      </c>
      <c r="AD456" s="244">
        <f t="shared" si="83"/>
        <v>1.1539172910662796</v>
      </c>
      <c r="AE456" s="244"/>
      <c r="AF456" s="244">
        <f t="shared" si="96"/>
        <v>1.378847262247834E-3</v>
      </c>
      <c r="AG456" s="244">
        <f t="shared" si="97"/>
        <v>1.08853025936599E-2</v>
      </c>
      <c r="AH456" s="244"/>
      <c r="AI456" s="244"/>
      <c r="AJ456" s="244"/>
      <c r="AK456" s="244"/>
      <c r="AL456" s="244"/>
      <c r="AM456" s="244"/>
    </row>
    <row r="457" spans="1:39">
      <c r="K457">
        <v>1.90785591502681</v>
      </c>
      <c r="L457">
        <v>95.251866485363095</v>
      </c>
      <c r="Z457" s="244" t="s">
        <v>1351</v>
      </c>
      <c r="AA457" s="244">
        <v>2090</v>
      </c>
      <c r="AB457" s="244">
        <v>2.3283246696989299</v>
      </c>
      <c r="AC457" s="244">
        <v>0.22235294117647</v>
      </c>
      <c r="AD457" s="244">
        <f t="shared" si="83"/>
        <v>1.3100288184437996</v>
      </c>
      <c r="AE457" s="244"/>
      <c r="AF457" s="244">
        <f t="shared" si="96"/>
        <v>1.2103746397694459E-3</v>
      </c>
      <c r="AG457" s="244">
        <f t="shared" si="97"/>
        <v>1.0586743515850081E-2</v>
      </c>
      <c r="AH457" s="244"/>
      <c r="AI457" s="244"/>
      <c r="AJ457" s="244"/>
      <c r="AK457" s="244"/>
      <c r="AL457" s="244"/>
      <c r="AM457" s="244"/>
    </row>
    <row r="458" spans="1:39">
      <c r="K458">
        <v>1.8457680170356801</v>
      </c>
      <c r="L458">
        <v>94.265438591990105</v>
      </c>
      <c r="Z458" s="244" t="s">
        <v>1352</v>
      </c>
      <c r="AA458" s="244">
        <v>2090</v>
      </c>
      <c r="AB458" s="244">
        <v>2.2781026640675699</v>
      </c>
      <c r="AC458" s="244">
        <v>0.28695200842485302</v>
      </c>
      <c r="AD458" s="244">
        <f t="shared" si="83"/>
        <v>1.4903611911623387</v>
      </c>
      <c r="AE458" s="244"/>
      <c r="AF458" s="244">
        <f t="shared" si="96"/>
        <v>1.72680115273775E-3</v>
      </c>
      <c r="AG458" s="244">
        <f t="shared" si="97"/>
        <v>1.21763688760806E-2</v>
      </c>
      <c r="AH458" s="244"/>
      <c r="AI458" s="244"/>
      <c r="AJ458" s="244"/>
      <c r="AK458" s="244"/>
      <c r="AL458" s="244"/>
      <c r="AM458" s="244"/>
    </row>
    <row r="459" spans="1:39">
      <c r="K459">
        <v>1.8156861738974199</v>
      </c>
      <c r="L459">
        <v>90.068501937039798</v>
      </c>
      <c r="Z459" s="244" t="s">
        <v>1353</v>
      </c>
      <c r="AA459" s="244">
        <v>2090</v>
      </c>
      <c r="AB459" s="244">
        <v>2.2781026640675699</v>
      </c>
      <c r="AC459" s="244">
        <v>0.326484128178125</v>
      </c>
      <c r="AD459" s="244">
        <f t="shared" si="83"/>
        <v>1.6258693563880844</v>
      </c>
      <c r="AE459" s="244"/>
      <c r="AF459" s="244">
        <f t="shared" si="96"/>
        <v>1.8720461095100801E-3</v>
      </c>
      <c r="AG459" s="244">
        <f t="shared" si="97"/>
        <v>1.2224783861671399E-2</v>
      </c>
      <c r="AH459" s="244"/>
      <c r="AI459" s="244"/>
      <c r="AJ459" s="244"/>
      <c r="AK459" s="244"/>
      <c r="AL459" s="244"/>
      <c r="AM459" s="244"/>
    </row>
    <row r="460" spans="1:39">
      <c r="K460">
        <v>8.9851707417194699</v>
      </c>
      <c r="L460">
        <v>90.420709649280298</v>
      </c>
      <c r="Z460" s="244">
        <v>2</v>
      </c>
      <c r="AA460" s="244">
        <v>2100</v>
      </c>
      <c r="AB460" s="244">
        <v>3.5432098765432101</v>
      </c>
      <c r="AC460" s="244">
        <v>0.18</v>
      </c>
      <c r="AD460" s="244">
        <f t="shared" si="83"/>
        <v>0.99234582132564764</v>
      </c>
      <c r="AE460" s="244"/>
      <c r="AF460" s="244">
        <f t="shared" ref="AF460:AF464" si="98">VLOOKUP($Z460&amp;"_"&amp;$AA460,$AI$418:$AM$443,4,FALSE)</f>
        <v>1.3314121037463901E-3</v>
      </c>
      <c r="AG460" s="244">
        <f t="shared" ref="AG460:AG464" si="99">VLOOKUP($Z460&amp;"_"&amp;$AA460,$AI$418:$AM$443,5,FALSE)</f>
        <v>9.8847262247838599E-3</v>
      </c>
      <c r="AH460" s="244"/>
      <c r="AI460" s="244"/>
      <c r="AJ460" s="244"/>
      <c r="AK460" s="244"/>
      <c r="AL460" s="244"/>
      <c r="AM460" s="244"/>
    </row>
    <row r="461" spans="1:39">
      <c r="K461">
        <v>9.0214100623444597</v>
      </c>
      <c r="L461">
        <v>70.913820971342005</v>
      </c>
      <c r="Z461" s="244" t="s">
        <v>1045</v>
      </c>
      <c r="AA461" s="244">
        <v>2100</v>
      </c>
      <c r="AB461" s="244">
        <v>2.49382716049382</v>
      </c>
      <c r="AC461" s="244">
        <v>0.24741988867158099</v>
      </c>
      <c r="AD461" s="244">
        <f t="shared" si="83"/>
        <v>1.2741429394812647</v>
      </c>
      <c r="AE461" s="244"/>
      <c r="AF461" s="244">
        <f t="shared" si="98"/>
        <v>1.3314121037463901E-3</v>
      </c>
      <c r="AG461" s="244">
        <f t="shared" si="99"/>
        <v>1.0449567723342899E-2</v>
      </c>
      <c r="AH461" s="244"/>
      <c r="AI461" s="244"/>
      <c r="AJ461" s="244"/>
      <c r="AK461" s="244"/>
      <c r="AL461" s="244"/>
      <c r="AM461" s="244"/>
    </row>
    <row r="462" spans="1:39">
      <c r="Z462" s="244" t="s">
        <v>1351</v>
      </c>
      <c r="AA462" s="244">
        <v>2100</v>
      </c>
      <c r="AB462" s="244">
        <v>2.3209876543209802</v>
      </c>
      <c r="AC462" s="244">
        <v>0.20788776891830901</v>
      </c>
      <c r="AD462" s="244">
        <f t="shared" si="83"/>
        <v>1.427515850144087</v>
      </c>
      <c r="AE462" s="244"/>
      <c r="AF462" s="244">
        <f t="shared" si="98"/>
        <v>1.1296829971181499E-3</v>
      </c>
      <c r="AG462" s="244">
        <f t="shared" si="99"/>
        <v>1.0570605187319801E-2</v>
      </c>
      <c r="AH462" s="244"/>
      <c r="AI462" s="244"/>
      <c r="AJ462" s="244"/>
      <c r="AK462" s="244"/>
      <c r="AL462" s="244"/>
      <c r="AM462" s="244"/>
    </row>
    <row r="463" spans="1:39">
      <c r="Z463" s="244" t="s">
        <v>1352</v>
      </c>
      <c r="AA463" s="244">
        <v>2100</v>
      </c>
      <c r="AB463" s="244">
        <v>2.2098765432098699</v>
      </c>
      <c r="AC463" s="244">
        <v>0.29458101399127401</v>
      </c>
      <c r="AD463" s="244">
        <f t="shared" si="83"/>
        <v>1.6270528338136345</v>
      </c>
      <c r="AE463" s="244"/>
      <c r="AF463" s="244">
        <f t="shared" si="98"/>
        <v>1.6945244956772299E-3</v>
      </c>
      <c r="AG463" s="244">
        <f t="shared" si="99"/>
        <v>1.1740634005763599E-2</v>
      </c>
      <c r="AH463" s="244"/>
      <c r="AI463" s="244"/>
      <c r="AJ463" s="244"/>
      <c r="AK463" s="244"/>
      <c r="AL463" s="244"/>
      <c r="AM463" s="244"/>
    </row>
    <row r="464" spans="1:39">
      <c r="Z464" s="244" t="s">
        <v>1353</v>
      </c>
      <c r="AA464" s="244">
        <v>2100</v>
      </c>
      <c r="AB464" s="244">
        <v>2.1604938271604901</v>
      </c>
      <c r="AC464" s="244">
        <v>0.34243568527155099</v>
      </c>
      <c r="AD464" s="244">
        <f t="shared" si="83"/>
        <v>1.7643362151777089</v>
      </c>
      <c r="AE464" s="244"/>
      <c r="AF464" s="244">
        <f t="shared" si="98"/>
        <v>1.85590778097982E-3</v>
      </c>
      <c r="AG464" s="244">
        <f t="shared" si="99"/>
        <v>1.1740634005763599E-2</v>
      </c>
      <c r="AH464" s="244"/>
      <c r="AI464" s="244"/>
      <c r="AJ464" s="244"/>
      <c r="AK464" s="244"/>
      <c r="AL464" s="244"/>
      <c r="AM464" s="244"/>
    </row>
    <row r="474" spans="1:16">
      <c r="A474" t="s">
        <v>2886</v>
      </c>
      <c r="K474" t="s">
        <v>2887</v>
      </c>
      <c r="L474" t="s">
        <v>2888</v>
      </c>
      <c r="M474" t="s">
        <v>1532</v>
      </c>
      <c r="N474" t="s">
        <v>2889</v>
      </c>
      <c r="O474" t="s">
        <v>2890</v>
      </c>
      <c r="P474" t="s">
        <v>2630</v>
      </c>
    </row>
    <row r="475" spans="1:16">
      <c r="J475" t="s">
        <v>2891</v>
      </c>
      <c r="K475">
        <v>0.32</v>
      </c>
      <c r="L475">
        <v>0.44</v>
      </c>
      <c r="M475">
        <v>0.32</v>
      </c>
      <c r="N475">
        <v>0.12</v>
      </c>
      <c r="O475">
        <v>0.09</v>
      </c>
      <c r="P475">
        <v>1.29</v>
      </c>
    </row>
    <row r="476" spans="1:16">
      <c r="J476" t="s">
        <v>2892</v>
      </c>
      <c r="K476">
        <v>8</v>
      </c>
      <c r="L476">
        <v>219</v>
      </c>
      <c r="M476">
        <v>223</v>
      </c>
      <c r="N476">
        <v>219</v>
      </c>
      <c r="O476">
        <v>77</v>
      </c>
      <c r="P476">
        <v>745</v>
      </c>
    </row>
    <row r="477" spans="1:16">
      <c r="J477" t="s">
        <v>2893</v>
      </c>
      <c r="K477">
        <v>3</v>
      </c>
      <c r="L477">
        <v>263</v>
      </c>
      <c r="M477">
        <v>147</v>
      </c>
      <c r="N477">
        <v>76</v>
      </c>
      <c r="O477">
        <v>25</v>
      </c>
      <c r="P477">
        <v>514</v>
      </c>
    </row>
    <row r="478" spans="1:16">
      <c r="J478" t="s">
        <v>2894</v>
      </c>
      <c r="K478">
        <v>0</v>
      </c>
      <c r="L478">
        <v>10</v>
      </c>
      <c r="M478">
        <v>8</v>
      </c>
      <c r="N478">
        <v>5</v>
      </c>
      <c r="O478">
        <v>3</v>
      </c>
      <c r="P478">
        <v>26</v>
      </c>
    </row>
    <row r="479" spans="1:16">
      <c r="J479" t="s">
        <v>2895</v>
      </c>
      <c r="K479">
        <f>K476+0.0279*K477+0.273*K478</f>
        <v>8.0837000000000003</v>
      </c>
      <c r="L479">
        <f t="shared" ref="L479:P479" si="100">L476+0.0279*L477+0.273*L478</f>
        <v>229.0677</v>
      </c>
      <c r="M479">
        <f t="shared" si="100"/>
        <v>229.28530000000001</v>
      </c>
      <c r="N479">
        <f t="shared" si="100"/>
        <v>222.4854</v>
      </c>
      <c r="O479">
        <f t="shared" si="100"/>
        <v>78.516500000000008</v>
      </c>
      <c r="P479">
        <f t="shared" si="100"/>
        <v>766.43859999999995</v>
      </c>
    </row>
    <row r="481" spans="10:16">
      <c r="J481" t="s">
        <v>2896</v>
      </c>
      <c r="K481">
        <f>K479/(K475*10^3)</f>
        <v>2.5261562500000001E-2</v>
      </c>
      <c r="L481">
        <f t="shared" ref="L481:P481" si="101">L479/(L475*10^3)</f>
        <v>0.52060840909090911</v>
      </c>
      <c r="M481">
        <f t="shared" si="101"/>
        <v>0.71651656250000006</v>
      </c>
      <c r="N481">
        <f t="shared" si="101"/>
        <v>1.8540449999999999</v>
      </c>
      <c r="O481">
        <f t="shared" si="101"/>
        <v>0.87240555555555566</v>
      </c>
      <c r="P481">
        <f t="shared" si="101"/>
        <v>0.59413844961240303</v>
      </c>
    </row>
  </sheetData>
  <pageMargins left="0.7" right="0.7" top="0.75" bottom="0.75" header="0.3" footer="0.3"/>
  <pageSetup paperSize="9" orientation="portrait"/>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B368"/>
  <sheetViews>
    <sheetView topLeftCell="A370" workbookViewId="0">
      <selection activeCell="A338" sqref="A338:XFD369"/>
    </sheetView>
  </sheetViews>
  <sheetFormatPr baseColWidth="10" defaultRowHeight="16"/>
  <cols>
    <col min="2" max="2" width="11.1640625" bestFit="1" customWidth="1"/>
    <col min="3" max="3" width="20.83203125" customWidth="1"/>
    <col min="7" max="8" width="18.5" customWidth="1"/>
    <col min="9" max="9" width="26.83203125" customWidth="1"/>
    <col min="10" max="10" width="15.33203125" customWidth="1"/>
    <col min="11" max="11" width="16.5" customWidth="1"/>
    <col min="12" max="12" width="14.83203125" customWidth="1"/>
    <col min="15" max="15" width="27.1640625" bestFit="1" customWidth="1"/>
    <col min="16" max="16" width="26.83203125" bestFit="1" customWidth="1"/>
    <col min="17" max="17" width="13.33203125" bestFit="1" customWidth="1"/>
    <col min="18" max="18" width="27.1640625" bestFit="1" customWidth="1"/>
    <col min="19" max="19" width="26.83203125" bestFit="1" customWidth="1"/>
  </cols>
  <sheetData>
    <row r="1" spans="1:7">
      <c r="A1" s="143" t="s">
        <v>2897</v>
      </c>
      <c r="B1" s="143" t="s">
        <v>2898</v>
      </c>
    </row>
    <row r="2" spans="1:7">
      <c r="A2" s="141" t="s">
        <v>515</v>
      </c>
      <c r="B2" s="141" t="s">
        <v>2899</v>
      </c>
      <c r="C2" s="141" t="s">
        <v>653</v>
      </c>
      <c r="D2" s="141" t="s">
        <v>2900</v>
      </c>
      <c r="E2" s="199" t="s">
        <v>2901</v>
      </c>
      <c r="F2" s="141" t="s">
        <v>2902</v>
      </c>
      <c r="G2" s="141" t="s">
        <v>2903</v>
      </c>
    </row>
    <row r="3" spans="1:7">
      <c r="A3" s="141" t="s">
        <v>2904</v>
      </c>
      <c r="B3" s="141" t="s">
        <v>2905</v>
      </c>
      <c r="C3" s="141">
        <v>0</v>
      </c>
      <c r="D3" s="141">
        <v>107.01820499999999</v>
      </c>
      <c r="E3" s="141"/>
    </row>
    <row r="4" spans="1:7">
      <c r="A4" s="141" t="s">
        <v>2906</v>
      </c>
      <c r="B4" s="141" t="s">
        <v>2905</v>
      </c>
      <c r="C4" s="141">
        <v>0</v>
      </c>
      <c r="D4" s="141">
        <v>105.21369900000001</v>
      </c>
      <c r="E4" s="141"/>
    </row>
    <row r="5" spans="1:7">
      <c r="A5" s="141" t="s">
        <v>2904</v>
      </c>
      <c r="B5" s="141" t="s">
        <v>2907</v>
      </c>
      <c r="C5" s="141">
        <v>0</v>
      </c>
      <c r="D5" s="141">
        <v>107.01820499999999</v>
      </c>
      <c r="E5" s="141"/>
      <c r="G5" s="199"/>
    </row>
    <row r="6" spans="1:7">
      <c r="A6" s="141" t="s">
        <v>2906</v>
      </c>
      <c r="B6" s="141" t="s">
        <v>2907</v>
      </c>
      <c r="C6" s="141">
        <v>0</v>
      </c>
      <c r="D6" s="141">
        <v>107.01820499999999</v>
      </c>
      <c r="E6" s="141"/>
    </row>
    <row r="7" spans="1:7">
      <c r="A7" s="141" t="s">
        <v>2904</v>
      </c>
      <c r="B7" s="141" t="s">
        <v>2908</v>
      </c>
      <c r="C7" s="141">
        <v>0</v>
      </c>
      <c r="D7" s="141">
        <v>106.216202</v>
      </c>
      <c r="E7" s="141"/>
    </row>
    <row r="8" spans="1:7">
      <c r="A8" s="141" t="s">
        <v>2906</v>
      </c>
      <c r="B8" s="141" t="s">
        <v>2908</v>
      </c>
      <c r="C8" s="141">
        <v>0</v>
      </c>
      <c r="D8" s="141">
        <v>106.216202</v>
      </c>
      <c r="E8" s="141"/>
    </row>
    <row r="9" spans="1:7">
      <c r="A9" s="141" t="s">
        <v>2904</v>
      </c>
      <c r="B9" s="141" t="s">
        <v>2905</v>
      </c>
      <c r="C9" s="141">
        <v>20</v>
      </c>
      <c r="D9" s="141">
        <v>91.619616399999998</v>
      </c>
      <c r="E9" s="245"/>
    </row>
    <row r="10" spans="1:7">
      <c r="A10" s="141" t="s">
        <v>2906</v>
      </c>
      <c r="B10" s="141" t="s">
        <v>2905</v>
      </c>
      <c r="C10" s="141">
        <v>20</v>
      </c>
      <c r="D10" s="141">
        <v>86.005597199999997</v>
      </c>
      <c r="E10" s="141"/>
    </row>
    <row r="11" spans="1:7">
      <c r="A11" s="141" t="s">
        <v>2904</v>
      </c>
      <c r="B11" s="141" t="s">
        <v>2907</v>
      </c>
      <c r="C11" s="141">
        <v>20</v>
      </c>
      <c r="D11" s="141">
        <v>81.193580800000007</v>
      </c>
      <c r="E11" s="245"/>
      <c r="F11" s="199"/>
      <c r="G11" s="199"/>
    </row>
    <row r="12" spans="1:7">
      <c r="A12" s="141" t="s">
        <v>2906</v>
      </c>
      <c r="B12" s="141" t="s">
        <v>2907</v>
      </c>
      <c r="C12" s="141">
        <v>20</v>
      </c>
      <c r="D12" s="141">
        <v>72.973052800000005</v>
      </c>
      <c r="E12" s="141"/>
      <c r="F12" s="199"/>
    </row>
    <row r="13" spans="1:7">
      <c r="A13" s="141" t="s">
        <v>2904</v>
      </c>
      <c r="B13" s="141" t="s">
        <v>2908</v>
      </c>
      <c r="C13" s="141">
        <v>20</v>
      </c>
      <c r="D13" s="141">
        <v>52.1209816</v>
      </c>
      <c r="E13" s="245"/>
    </row>
    <row r="14" spans="1:7">
      <c r="A14" s="141" t="s">
        <v>2906</v>
      </c>
      <c r="B14" s="141" t="s">
        <v>2908</v>
      </c>
      <c r="C14" s="141">
        <v>20</v>
      </c>
      <c r="D14" s="141">
        <v>45.1034577</v>
      </c>
      <c r="E14" s="141"/>
    </row>
    <row r="15" spans="1:7">
      <c r="A15" s="141" t="s">
        <v>2904</v>
      </c>
      <c r="B15" s="141" t="s">
        <v>2905</v>
      </c>
      <c r="C15" s="141">
        <v>60</v>
      </c>
      <c r="D15" s="141">
        <v>71.248701499999996</v>
      </c>
      <c r="E15" s="141"/>
    </row>
    <row r="16" spans="1:7">
      <c r="A16" s="141" t="s">
        <v>2906</v>
      </c>
      <c r="B16" s="141" t="s">
        <v>2905</v>
      </c>
      <c r="C16" s="141">
        <v>60</v>
      </c>
      <c r="D16" s="141">
        <v>62.827672700000001</v>
      </c>
      <c r="E16" s="141"/>
    </row>
    <row r="17" spans="1:7">
      <c r="A17" s="141" t="s">
        <v>2904</v>
      </c>
      <c r="B17" s="141" t="s">
        <v>2907</v>
      </c>
      <c r="C17" s="141">
        <v>60</v>
      </c>
      <c r="D17" s="141">
        <v>56.411650799999997</v>
      </c>
      <c r="E17" s="141"/>
      <c r="G17" s="199"/>
    </row>
    <row r="18" spans="1:7">
      <c r="A18" s="141" t="s">
        <v>2906</v>
      </c>
      <c r="B18" s="141" t="s">
        <v>2907</v>
      </c>
      <c r="C18" s="141">
        <v>60</v>
      </c>
      <c r="D18" s="141">
        <v>49.394126900000003</v>
      </c>
      <c r="E18" s="141"/>
    </row>
    <row r="19" spans="1:7">
      <c r="A19" s="141" t="s">
        <v>2904</v>
      </c>
      <c r="B19" s="141" t="s">
        <v>2908</v>
      </c>
      <c r="C19" s="141">
        <v>60</v>
      </c>
      <c r="D19" s="141">
        <v>33.153571499999998</v>
      </c>
      <c r="E19" s="141"/>
    </row>
    <row r="20" spans="1:7">
      <c r="A20" s="141" t="s">
        <v>2906</v>
      </c>
      <c r="B20" s="141" t="s">
        <v>2908</v>
      </c>
      <c r="C20" s="141">
        <v>60</v>
      </c>
      <c r="D20" s="141">
        <v>27.740053</v>
      </c>
      <c r="E20" s="141"/>
    </row>
    <row r="21" spans="1:7">
      <c r="A21" s="141" t="s">
        <v>2904</v>
      </c>
      <c r="B21" s="141" t="s">
        <v>2905</v>
      </c>
      <c r="C21" s="141">
        <v>100</v>
      </c>
      <c r="D21" s="141">
        <v>59.701633200000003</v>
      </c>
      <c r="E21" s="246"/>
    </row>
    <row r="22" spans="1:7">
      <c r="A22" s="141" t="s">
        <v>2906</v>
      </c>
      <c r="B22" s="141" t="s">
        <v>2905</v>
      </c>
      <c r="C22" s="141">
        <v>100</v>
      </c>
      <c r="D22" s="141">
        <v>51.881879400000003</v>
      </c>
      <c r="E22" s="141"/>
    </row>
    <row r="23" spans="1:7">
      <c r="A23" s="141" t="s">
        <v>2904</v>
      </c>
      <c r="B23" s="141" t="s">
        <v>2907</v>
      </c>
      <c r="C23" s="141">
        <v>100</v>
      </c>
      <c r="D23" s="141">
        <v>46.669542900000003</v>
      </c>
      <c r="E23" s="246"/>
      <c r="F23" s="245"/>
    </row>
    <row r="24" spans="1:7">
      <c r="A24" s="141" t="s">
        <v>2906</v>
      </c>
      <c r="B24" s="141" t="s">
        <v>2907</v>
      </c>
      <c r="C24" s="141">
        <v>100</v>
      </c>
      <c r="D24" s="141">
        <v>40.2526127</v>
      </c>
      <c r="E24" s="141"/>
      <c r="F24" s="245"/>
    </row>
    <row r="25" spans="1:7">
      <c r="A25" s="141" t="s">
        <v>2904</v>
      </c>
      <c r="B25" s="141" t="s">
        <v>2908</v>
      </c>
      <c r="C25" s="141">
        <v>100</v>
      </c>
      <c r="D25" s="141">
        <v>25.616516900000001</v>
      </c>
      <c r="E25" s="246"/>
    </row>
    <row r="26" spans="1:7">
      <c r="A26" s="141" t="s">
        <v>2906</v>
      </c>
      <c r="B26" s="141" t="s">
        <v>2908</v>
      </c>
      <c r="C26" s="141">
        <v>100</v>
      </c>
      <c r="D26" s="141">
        <v>20.6039998</v>
      </c>
      <c r="E26" s="141"/>
    </row>
    <row r="27" spans="1:7">
      <c r="B27" s="141" t="s">
        <v>800</v>
      </c>
      <c r="C27" t="s">
        <v>1400</v>
      </c>
      <c r="D27" s="141">
        <v>110</v>
      </c>
      <c r="G27" s="199"/>
    </row>
    <row r="28" spans="1:7">
      <c r="B28" s="141" t="s">
        <v>2909</v>
      </c>
      <c r="C28" t="s">
        <v>1400</v>
      </c>
      <c r="D28" s="141">
        <v>89</v>
      </c>
    </row>
    <row r="29" spans="1:7">
      <c r="B29" s="141" t="s">
        <v>2910</v>
      </c>
      <c r="C29" t="s">
        <v>1400</v>
      </c>
      <c r="D29" s="141">
        <v>78</v>
      </c>
      <c r="G29" s="199"/>
    </row>
    <row r="33" spans="1:6">
      <c r="A33" t="s">
        <v>2911</v>
      </c>
    </row>
    <row r="34" spans="1:6">
      <c r="A34" s="141"/>
      <c r="B34" s="141" t="s">
        <v>2912</v>
      </c>
      <c r="C34" s="141" t="s">
        <v>2913</v>
      </c>
      <c r="D34" s="141" t="s">
        <v>2914</v>
      </c>
      <c r="E34" s="141" t="s">
        <v>2915</v>
      </c>
      <c r="F34" s="141" t="s">
        <v>2170</v>
      </c>
    </row>
    <row r="35" spans="1:6">
      <c r="A35" s="141"/>
      <c r="B35" s="141"/>
      <c r="C35" s="141"/>
      <c r="D35" s="141"/>
      <c r="E35" s="141"/>
      <c r="F35" t="s">
        <v>2916</v>
      </c>
    </row>
    <row r="36" spans="1:6">
      <c r="A36" s="141">
        <v>2015</v>
      </c>
      <c r="B36" s="141">
        <v>18.57</v>
      </c>
      <c r="C36" s="141">
        <v>18.569151600000001</v>
      </c>
      <c r="D36" s="141">
        <v>18.57</v>
      </c>
      <c r="E36" s="141">
        <v>18.57</v>
      </c>
    </row>
    <row r="37" spans="1:6">
      <c r="A37" s="141">
        <v>2016</v>
      </c>
      <c r="B37" s="141">
        <v>18.579999999999998</v>
      </c>
      <c r="C37" s="141">
        <v>18.573927600000001</v>
      </c>
      <c r="D37" s="141">
        <v>18.579999999999998</v>
      </c>
      <c r="E37" s="141">
        <v>18.57</v>
      </c>
    </row>
    <row r="38" spans="1:6">
      <c r="A38" s="141">
        <v>2017</v>
      </c>
      <c r="B38" s="141">
        <v>18.57</v>
      </c>
      <c r="C38" s="141">
        <v>18.568878600000001</v>
      </c>
      <c r="D38" s="141">
        <v>18.592622500000001</v>
      </c>
      <c r="E38" s="141">
        <v>18.559999999999999</v>
      </c>
    </row>
    <row r="39" spans="1:6">
      <c r="A39" s="141">
        <v>2018</v>
      </c>
      <c r="B39" s="141">
        <v>18.71</v>
      </c>
      <c r="C39" s="141">
        <v>18.703791299999999</v>
      </c>
      <c r="D39" s="141">
        <v>18.684118399999999</v>
      </c>
      <c r="E39" s="141">
        <v>18.71</v>
      </c>
    </row>
    <row r="40" spans="1:6">
      <c r="A40" s="141">
        <v>2019</v>
      </c>
      <c r="B40" s="141">
        <v>18.77</v>
      </c>
      <c r="C40" s="141">
        <v>18.756290100000001</v>
      </c>
      <c r="D40" s="141">
        <v>18.753371399999999</v>
      </c>
      <c r="E40" s="141">
        <v>18.77</v>
      </c>
    </row>
    <row r="41" spans="1:6">
      <c r="A41" s="141">
        <v>2020</v>
      </c>
      <c r="B41" s="141">
        <v>18.873455499999999</v>
      </c>
      <c r="C41" s="141">
        <v>18.118988000000002</v>
      </c>
      <c r="D41" s="141">
        <v>18.1547056</v>
      </c>
      <c r="E41" s="141">
        <v>19.471593200000001</v>
      </c>
    </row>
    <row r="42" spans="1:6">
      <c r="A42" s="141">
        <v>2021</v>
      </c>
      <c r="B42" s="141"/>
      <c r="C42" s="141">
        <v>18.148857400000001</v>
      </c>
      <c r="D42" s="141">
        <v>18.191283800000001</v>
      </c>
      <c r="E42" s="141">
        <v>19.529575900000001</v>
      </c>
    </row>
    <row r="43" spans="1:6">
      <c r="A43" s="141">
        <v>2022</v>
      </c>
      <c r="B43" s="141">
        <v>18.918486999999999</v>
      </c>
      <c r="C43" s="141">
        <v>18.240739900000001</v>
      </c>
      <c r="D43" s="141">
        <v>18.246084499999998</v>
      </c>
      <c r="E43" s="141">
        <v>19.602271399999999</v>
      </c>
    </row>
    <row r="44" spans="1:6">
      <c r="A44" s="141">
        <v>2023</v>
      </c>
      <c r="B44" s="141">
        <v>18.989999999999998</v>
      </c>
      <c r="C44" s="141">
        <v>18.321614700000001</v>
      </c>
      <c r="D44" s="141">
        <v>18.3139729</v>
      </c>
      <c r="E44" s="141">
        <v>19.6780683</v>
      </c>
    </row>
    <row r="45" spans="1:6">
      <c r="A45" s="141">
        <v>2024</v>
      </c>
      <c r="B45" s="141">
        <v>19.11</v>
      </c>
      <c r="C45" s="141">
        <v>18.309879200000001</v>
      </c>
      <c r="D45" s="141">
        <v>18.448521700000001</v>
      </c>
      <c r="E45" s="141">
        <v>19.731919999999999</v>
      </c>
    </row>
    <row r="46" spans="1:6">
      <c r="A46" s="141">
        <v>2025</v>
      </c>
      <c r="B46" s="141">
        <v>18.34</v>
      </c>
      <c r="C46" s="141">
        <v>17.809756400000001</v>
      </c>
      <c r="D46" s="141">
        <v>17.710004699999999</v>
      </c>
      <c r="E46" s="141">
        <v>19.056037799999999</v>
      </c>
    </row>
    <row r="47" spans="1:6">
      <c r="A47" s="141">
        <v>2026</v>
      </c>
      <c r="B47" s="141">
        <v>18.349452299999999</v>
      </c>
      <c r="C47" s="141">
        <v>17.836322599999999</v>
      </c>
      <c r="D47" s="141">
        <v>17.7486909</v>
      </c>
      <c r="E47" s="141">
        <v>18.992174899999998</v>
      </c>
    </row>
    <row r="48" spans="1:6">
      <c r="A48" s="141">
        <v>2027</v>
      </c>
      <c r="B48" s="141">
        <v>18.390390100000001</v>
      </c>
      <c r="C48" s="141">
        <v>17.873564300000002</v>
      </c>
      <c r="D48" s="141">
        <v>17.819122400000001</v>
      </c>
      <c r="E48" s="141">
        <v>19.042044600000001</v>
      </c>
    </row>
    <row r="49" spans="1:5">
      <c r="A49" s="141">
        <v>2028</v>
      </c>
      <c r="B49" s="141">
        <v>18.484546900000002</v>
      </c>
      <c r="C49" s="141">
        <v>18.0037144</v>
      </c>
      <c r="D49" s="141">
        <v>17.932910799999998</v>
      </c>
      <c r="E49" s="141">
        <v>19.158903200000001</v>
      </c>
    </row>
    <row r="50" spans="1:5">
      <c r="A50" s="141">
        <v>2029</v>
      </c>
      <c r="B50" s="141">
        <v>18.611453900000001</v>
      </c>
      <c r="C50" s="141">
        <v>18.115424900000001</v>
      </c>
      <c r="D50" s="141">
        <v>18.039007699999999</v>
      </c>
      <c r="E50" s="141">
        <v>19.270551600000001</v>
      </c>
    </row>
    <row r="51" spans="1:5">
      <c r="A51" s="141">
        <v>2030</v>
      </c>
      <c r="B51" s="141">
        <v>18.73</v>
      </c>
      <c r="C51" s="141">
        <v>18.192121100000001</v>
      </c>
      <c r="D51" s="141">
        <v>18.104937</v>
      </c>
      <c r="E51" s="141">
        <v>19.36843</v>
      </c>
    </row>
    <row r="52" spans="1:5">
      <c r="A52" s="141">
        <v>2031</v>
      </c>
      <c r="B52" s="141">
        <v>18.816142599999999</v>
      </c>
      <c r="C52" s="141">
        <v>18.265840099999998</v>
      </c>
      <c r="D52" s="141">
        <v>18.189662200000001</v>
      </c>
      <c r="E52" s="141">
        <v>19.4462118</v>
      </c>
    </row>
    <row r="53" spans="1:5">
      <c r="A53" s="141">
        <v>2032</v>
      </c>
      <c r="B53" s="141">
        <v>18.8898306</v>
      </c>
      <c r="C53" s="141">
        <v>18.3131418</v>
      </c>
      <c r="D53" s="141">
        <v>18.235305100000001</v>
      </c>
      <c r="E53" s="141">
        <v>19.500175200000001</v>
      </c>
    </row>
    <row r="54" spans="1:5">
      <c r="A54" s="141">
        <v>2033</v>
      </c>
      <c r="B54" s="141">
        <v>18.963518499999999</v>
      </c>
      <c r="C54" s="141">
        <v>18.417557800000001</v>
      </c>
      <c r="D54" s="141">
        <v>18.314203299999999</v>
      </c>
      <c r="E54" s="141">
        <v>19.610334900000002</v>
      </c>
    </row>
    <row r="55" spans="1:5">
      <c r="A55" s="141">
        <v>2034</v>
      </c>
      <c r="B55" s="141">
        <v>19.07</v>
      </c>
      <c r="C55" s="141">
        <v>18.541700200000001</v>
      </c>
      <c r="D55" s="141">
        <v>18.440684999999998</v>
      </c>
      <c r="E55" s="141">
        <v>19.691391599999999</v>
      </c>
    </row>
    <row r="56" spans="1:5">
      <c r="A56" s="141">
        <v>2035</v>
      </c>
      <c r="B56" s="141">
        <v>18.144763600000001</v>
      </c>
      <c r="C56" s="141">
        <v>17.755036199999999</v>
      </c>
      <c r="D56" s="141">
        <v>17.637866599999999</v>
      </c>
      <c r="E56" s="141">
        <v>18.797311300000001</v>
      </c>
    </row>
    <row r="57" spans="1:5">
      <c r="A57" s="141">
        <v>2036</v>
      </c>
      <c r="B57" s="141">
        <v>18.136576000000002</v>
      </c>
      <c r="C57" s="141">
        <v>17.7538701</v>
      </c>
      <c r="D57" s="141">
        <v>17.603020799999999</v>
      </c>
      <c r="E57" s="141">
        <v>18.7156591</v>
      </c>
    </row>
    <row r="58" spans="1:5">
      <c r="A58" s="141">
        <v>2037</v>
      </c>
      <c r="B58" s="141">
        <v>18.2184515</v>
      </c>
      <c r="C58" s="141">
        <v>17.8441051</v>
      </c>
      <c r="D58" s="141">
        <v>17.686633</v>
      </c>
      <c r="E58" s="141">
        <v>18.806466400000001</v>
      </c>
    </row>
    <row r="59" spans="1:5">
      <c r="A59" s="141">
        <v>2038</v>
      </c>
      <c r="B59" s="141">
        <v>18.341264800000001</v>
      </c>
      <c r="C59" s="141">
        <v>17.892190100000001</v>
      </c>
      <c r="D59" s="141">
        <v>17.779053099999999</v>
      </c>
      <c r="E59" s="141">
        <v>18.887597599999999</v>
      </c>
    </row>
    <row r="60" spans="1:5">
      <c r="A60" s="141">
        <v>2039</v>
      </c>
      <c r="B60" s="141">
        <v>18.41</v>
      </c>
      <c r="C60" s="141">
        <v>18.012008300000002</v>
      </c>
      <c r="D60" s="141">
        <v>17.8626653</v>
      </c>
      <c r="E60" s="141">
        <v>19.024553000000001</v>
      </c>
    </row>
    <row r="61" spans="1:5">
      <c r="A61" s="141">
        <v>2040</v>
      </c>
      <c r="B61" s="141">
        <v>18.5213909</v>
      </c>
      <c r="C61" s="141">
        <v>18.1446395</v>
      </c>
      <c r="D61" s="141">
        <v>18.0104878</v>
      </c>
      <c r="E61" s="141">
        <v>19.1179655</v>
      </c>
    </row>
    <row r="62" spans="1:5">
      <c r="A62" s="141">
        <v>2041</v>
      </c>
      <c r="B62" s="141">
        <v>18.488640700000001</v>
      </c>
      <c r="C62" s="141">
        <v>18.1332266</v>
      </c>
      <c r="D62" s="141">
        <v>18.001561200000001</v>
      </c>
      <c r="E62" s="141">
        <v>19.111564300000001</v>
      </c>
    </row>
    <row r="63" spans="1:5">
      <c r="A63" s="141">
        <v>2042</v>
      </c>
      <c r="B63" s="141">
        <v>18.52</v>
      </c>
      <c r="C63" s="141">
        <v>18.1600222</v>
      </c>
      <c r="D63" s="141">
        <v>18.018228700000002</v>
      </c>
      <c r="E63" s="141">
        <v>19.150839699999999</v>
      </c>
    </row>
    <row r="64" spans="1:5">
      <c r="A64" s="141">
        <v>2043</v>
      </c>
      <c r="B64" s="141">
        <v>18.611453900000001</v>
      </c>
      <c r="C64" s="141">
        <v>18.205053700000001</v>
      </c>
      <c r="D64" s="141">
        <v>18.063037000000001</v>
      </c>
      <c r="E64" s="141">
        <v>19.2232871</v>
      </c>
    </row>
    <row r="65" spans="1:5">
      <c r="A65" s="141">
        <v>2044</v>
      </c>
      <c r="B65" s="141">
        <v>18.480453099999998</v>
      </c>
      <c r="C65" s="141">
        <v>18.326096799999998</v>
      </c>
      <c r="D65" s="141">
        <v>18.183602</v>
      </c>
      <c r="E65" s="141">
        <v>19.278056899999999</v>
      </c>
    </row>
    <row r="66" spans="1:5">
      <c r="A66" s="141">
        <v>2045</v>
      </c>
      <c r="B66" s="141">
        <v>17.989200199999999</v>
      </c>
      <c r="C66" s="141">
        <v>17.6413534</v>
      </c>
      <c r="D66" s="141">
        <v>17.534232899999999</v>
      </c>
      <c r="E66" s="141">
        <v>18.614524200000002</v>
      </c>
    </row>
    <row r="67" spans="1:5">
      <c r="A67" s="141">
        <v>2046</v>
      </c>
      <c r="B67" s="141">
        <v>18.0301379</v>
      </c>
      <c r="C67" s="141">
        <v>17.703864100000001</v>
      </c>
      <c r="D67" s="141">
        <v>17.620016100000001</v>
      </c>
      <c r="E67" s="141">
        <v>18.6148034</v>
      </c>
    </row>
    <row r="68" spans="1:5">
      <c r="A68" s="141">
        <v>2047</v>
      </c>
      <c r="B68" s="141">
        <v>18.095638300000001</v>
      </c>
      <c r="C68" s="141">
        <v>17.7776885</v>
      </c>
      <c r="D68" s="141">
        <v>17.667280600000002</v>
      </c>
      <c r="E68" s="141">
        <v>18.697423199999999</v>
      </c>
    </row>
    <row r="69" spans="1:5">
      <c r="A69" s="141">
        <v>2048</v>
      </c>
      <c r="B69" s="141">
        <v>18.152951099999999</v>
      </c>
      <c r="C69" s="141">
        <v>17.828426499999999</v>
      </c>
      <c r="D69" s="141">
        <v>17.731292400000001</v>
      </c>
      <c r="E69" s="141">
        <v>18.767017299999999</v>
      </c>
    </row>
    <row r="70" spans="1:5">
      <c r="A70" s="141">
        <v>2049</v>
      </c>
      <c r="B70" s="141">
        <v>18.251201699999999</v>
      </c>
      <c r="C70" s="141">
        <v>17.888716599999999</v>
      </c>
      <c r="D70" s="141">
        <v>17.791582500000001</v>
      </c>
      <c r="E70" s="141">
        <v>18.839960999999999</v>
      </c>
    </row>
    <row r="71" spans="1:5">
      <c r="A71" s="141">
        <v>2050</v>
      </c>
      <c r="B71" s="141">
        <v>18.309999999999999</v>
      </c>
      <c r="C71" s="141">
        <v>17.976387200000001</v>
      </c>
      <c r="D71" s="141">
        <v>17.875691</v>
      </c>
      <c r="E71" s="141">
        <v>18.915881899999999</v>
      </c>
    </row>
    <row r="72" spans="1:5">
      <c r="A72" s="141">
        <v>2051</v>
      </c>
      <c r="B72" s="141">
        <v>18.3248897</v>
      </c>
      <c r="C72" s="141">
        <v>17.981384800000001</v>
      </c>
      <c r="D72" s="141">
        <v>17.873457999999999</v>
      </c>
      <c r="E72" s="141">
        <v>18.927418899999999</v>
      </c>
    </row>
    <row r="73" spans="1:5">
      <c r="A73" s="141">
        <v>2052</v>
      </c>
      <c r="B73" s="141">
        <v>18.316702100000001</v>
      </c>
      <c r="C73" s="141">
        <v>18.0030942</v>
      </c>
      <c r="D73" s="141">
        <v>17.909557599999999</v>
      </c>
      <c r="E73" s="141">
        <v>18.9714828</v>
      </c>
    </row>
    <row r="74" spans="1:5">
      <c r="A74" s="141">
        <v>2053</v>
      </c>
      <c r="B74" s="141">
        <v>18.398577599999999</v>
      </c>
      <c r="C74" s="141">
        <v>18.059645</v>
      </c>
      <c r="D74" s="141">
        <v>17.960196400000001</v>
      </c>
      <c r="E74" s="141">
        <v>19.0219478</v>
      </c>
    </row>
    <row r="75" spans="1:5">
      <c r="A75" s="141">
        <v>2054</v>
      </c>
      <c r="B75" s="141">
        <v>18.4231403</v>
      </c>
      <c r="C75" s="141">
        <v>18.1202009</v>
      </c>
      <c r="D75" s="141">
        <v>17.995673199999999</v>
      </c>
      <c r="E75" s="141">
        <v>19.0372065</v>
      </c>
    </row>
    <row r="76" spans="1:5">
      <c r="A76" s="141">
        <v>2055</v>
      </c>
      <c r="B76" s="141">
        <v>17.89</v>
      </c>
      <c r="C76" s="141">
        <v>17.555669399999999</v>
      </c>
      <c r="D76" s="141">
        <v>17.611828599999999</v>
      </c>
      <c r="E76" s="141">
        <v>18.462031100000001</v>
      </c>
    </row>
    <row r="77" spans="1:5">
      <c r="A77" s="141">
        <v>2056</v>
      </c>
      <c r="B77" s="141">
        <v>17.899999999999999</v>
      </c>
      <c r="C77" s="141">
        <v>17.572407999999999</v>
      </c>
      <c r="D77" s="141">
        <v>17.6474458</v>
      </c>
      <c r="E77" s="141">
        <v>18.480453099999998</v>
      </c>
    </row>
    <row r="78" spans="1:5">
      <c r="A78" s="141">
        <v>2057</v>
      </c>
      <c r="B78" s="141">
        <v>17.948262400000001</v>
      </c>
      <c r="C78" s="141">
        <v>17.5950813</v>
      </c>
      <c r="D78" s="141">
        <v>17.673979500000002</v>
      </c>
      <c r="E78" s="141">
        <v>18.532183499999999</v>
      </c>
    </row>
    <row r="79" spans="1:5">
      <c r="A79" s="141">
        <v>2058</v>
      </c>
      <c r="B79" s="141">
        <v>17.97</v>
      </c>
      <c r="C79" s="141">
        <v>17.644808300000001</v>
      </c>
      <c r="D79" s="141">
        <v>17.721740199999999</v>
      </c>
      <c r="E79" s="141">
        <v>18.589124200000001</v>
      </c>
    </row>
    <row r="80" spans="1:5">
      <c r="A80" s="141">
        <v>2059</v>
      </c>
      <c r="B80" s="141">
        <v>18.05</v>
      </c>
      <c r="C80" s="141">
        <v>17.7130151</v>
      </c>
      <c r="D80" s="141">
        <v>17.7737187</v>
      </c>
      <c r="E80" s="141">
        <v>18.660331100000001</v>
      </c>
    </row>
    <row r="81" spans="1:7">
      <c r="A81" s="141">
        <v>2060</v>
      </c>
      <c r="B81" s="141">
        <v>18.046513000000001</v>
      </c>
      <c r="C81" s="141">
        <v>17.700403000000001</v>
      </c>
      <c r="D81" s="141">
        <v>17.763670399999999</v>
      </c>
      <c r="E81" s="141">
        <v>18.645320600000002</v>
      </c>
    </row>
    <row r="82" spans="1:7">
      <c r="A82" s="141">
        <v>2061</v>
      </c>
      <c r="B82" s="141">
        <v>18.062888099999999</v>
      </c>
      <c r="C82" s="141">
        <v>17.714545099999999</v>
      </c>
      <c r="D82" s="141">
        <v>17.7599488</v>
      </c>
      <c r="E82" s="141">
        <v>18.670999699999999</v>
      </c>
    </row>
    <row r="83" spans="1:7">
      <c r="A83" s="141">
        <v>2062</v>
      </c>
      <c r="B83" s="141">
        <v>18.013762799999999</v>
      </c>
      <c r="C83" s="141">
        <v>17.691843299999999</v>
      </c>
      <c r="D83" s="141">
        <v>17.739479899999999</v>
      </c>
      <c r="E83" s="141">
        <v>18.659462699999999</v>
      </c>
    </row>
    <row r="84" spans="1:7">
      <c r="A84" s="141">
        <v>2063</v>
      </c>
      <c r="B84" s="141">
        <v>18.046513000000001</v>
      </c>
      <c r="C84" s="141">
        <v>17.7082184</v>
      </c>
      <c r="D84" s="141">
        <v>17.7599488</v>
      </c>
      <c r="E84" s="141">
        <v>18.688491299999999</v>
      </c>
    </row>
    <row r="85" spans="1:7">
      <c r="A85" s="141">
        <v>2064</v>
      </c>
      <c r="B85" s="141">
        <v>18.095638300000001</v>
      </c>
      <c r="C85" s="141">
        <v>17.722360500000001</v>
      </c>
      <c r="D85" s="141">
        <v>17.775914499999999</v>
      </c>
      <c r="E85" s="141">
        <v>18.699470099999999</v>
      </c>
    </row>
    <row r="86" spans="1:7">
      <c r="A86" s="141">
        <v>2065</v>
      </c>
      <c r="B86" s="141">
        <v>17.510000000000002</v>
      </c>
      <c r="C86" s="141">
        <v>17.3137273</v>
      </c>
      <c r="D86" s="141">
        <v>17.512173099999998</v>
      </c>
      <c r="E86" s="141">
        <v>18.1195807</v>
      </c>
    </row>
    <row r="87" spans="1:7">
      <c r="A87" s="141">
        <v>2066</v>
      </c>
      <c r="B87" s="141">
        <v>17.52</v>
      </c>
      <c r="C87" s="141">
        <v>17.316286000000002</v>
      </c>
      <c r="D87" s="141">
        <v>17.5035296</v>
      </c>
      <c r="E87" s="141">
        <v>18.1153628</v>
      </c>
    </row>
    <row r="88" spans="1:7">
      <c r="A88" s="141">
        <v>2067</v>
      </c>
      <c r="B88" s="141">
        <v>17.52</v>
      </c>
      <c r="C88" s="141">
        <v>17.3308468</v>
      </c>
      <c r="D88" s="141">
        <v>17.5076234</v>
      </c>
      <c r="E88" s="141">
        <v>18.1283885</v>
      </c>
    </row>
    <row r="89" spans="1:7">
      <c r="A89" s="141">
        <v>2068</v>
      </c>
      <c r="B89" s="141">
        <v>17.53</v>
      </c>
      <c r="C89" s="141">
        <v>17.350385200000002</v>
      </c>
      <c r="D89" s="141">
        <v>17.501668800000001</v>
      </c>
      <c r="E89" s="141">
        <v>18.1466244</v>
      </c>
    </row>
    <row r="90" spans="1:7">
      <c r="A90" s="141">
        <v>2069</v>
      </c>
      <c r="B90" s="141">
        <v>17.54</v>
      </c>
      <c r="C90" s="141">
        <v>17.3509435</v>
      </c>
      <c r="D90" s="141">
        <v>17.537396300000001</v>
      </c>
      <c r="E90" s="141">
        <v>18.187562100000001</v>
      </c>
    </row>
    <row r="91" spans="1:7">
      <c r="A91" s="141">
        <v>2070</v>
      </c>
      <c r="B91" s="141">
        <v>17.61</v>
      </c>
      <c r="C91" s="141">
        <v>17.404609099999998</v>
      </c>
      <c r="D91" s="141">
        <v>17.5787993</v>
      </c>
      <c r="E91" s="141">
        <v>18.2136134</v>
      </c>
    </row>
    <row r="92" spans="1:7">
      <c r="A92" s="141"/>
      <c r="B92" s="141" t="s">
        <v>2912</v>
      </c>
      <c r="C92" s="141" t="s">
        <v>2913</v>
      </c>
      <c r="D92" s="141" t="s">
        <v>2914</v>
      </c>
      <c r="E92" s="141" t="s">
        <v>2915</v>
      </c>
      <c r="F92" s="141" t="s">
        <v>2917</v>
      </c>
      <c r="G92" t="s">
        <v>2918</v>
      </c>
    </row>
    <row r="93" spans="1:7">
      <c r="A93" s="141" t="s">
        <v>2919</v>
      </c>
      <c r="B93" s="141">
        <v>1007.15629</v>
      </c>
      <c r="C93" s="141">
        <v>1005.5734200000001</v>
      </c>
      <c r="D93" s="141">
        <v>1004.24321</v>
      </c>
      <c r="E93" s="141">
        <v>1057.8496500000001</v>
      </c>
      <c r="F93">
        <f>B93+4.2/tC_to_m3*55</f>
        <v>1060.3555900000001</v>
      </c>
      <c r="G93">
        <f>E93+4.2/tC_to_m3*55</f>
        <v>1111.0489500000001</v>
      </c>
    </row>
    <row r="96" spans="1:7">
      <c r="A96" t="s">
        <v>2920</v>
      </c>
    </row>
    <row r="97" spans="1:8">
      <c r="B97" s="141" t="s">
        <v>1217</v>
      </c>
      <c r="D97" s="141"/>
      <c r="F97" s="141"/>
      <c r="H97" s="141"/>
    </row>
    <row r="98" spans="1:8">
      <c r="A98" s="141" t="s">
        <v>2921</v>
      </c>
      <c r="B98" s="141" t="s">
        <v>2298</v>
      </c>
      <c r="C98" s="141" t="s">
        <v>1648</v>
      </c>
      <c r="D98" s="141" t="s">
        <v>2922</v>
      </c>
      <c r="E98" s="141" t="s">
        <v>2923</v>
      </c>
      <c r="G98" s="141"/>
    </row>
    <row r="99" spans="1:8">
      <c r="A99" s="141">
        <v>2015</v>
      </c>
      <c r="B99" s="141">
        <v>8.1847507299999993</v>
      </c>
      <c r="C99" s="141">
        <v>8.1964809400000007</v>
      </c>
      <c r="D99" s="141">
        <v>8.1906158399999995</v>
      </c>
      <c r="E99" s="141">
        <v>8.1906158399999995</v>
      </c>
      <c r="G99" s="141"/>
    </row>
    <row r="100" spans="1:8">
      <c r="A100" s="141">
        <v>2016</v>
      </c>
      <c r="B100" s="141">
        <v>8.2551319599999999</v>
      </c>
      <c r="C100" s="141">
        <v>8.2492668600000005</v>
      </c>
      <c r="D100" s="141">
        <v>8.2609970700000002</v>
      </c>
      <c r="E100" s="141">
        <v>8.2492668600000005</v>
      </c>
      <c r="G100" s="141"/>
    </row>
    <row r="101" spans="1:8">
      <c r="A101" s="141">
        <v>2017</v>
      </c>
      <c r="B101" s="141">
        <v>8.2727272700000007</v>
      </c>
      <c r="C101" s="141">
        <v>8.2668621699999996</v>
      </c>
      <c r="D101" s="141">
        <v>8.2727272700000007</v>
      </c>
      <c r="E101" s="141">
        <v>8.2727272700000007</v>
      </c>
      <c r="G101" s="141"/>
    </row>
    <row r="102" spans="1:8">
      <c r="A102" s="141">
        <v>2018</v>
      </c>
      <c r="B102" s="141">
        <v>8.3665689099999998</v>
      </c>
      <c r="C102" s="141">
        <v>8.3841642200000006</v>
      </c>
      <c r="D102" s="141">
        <v>8.3841642200000006</v>
      </c>
      <c r="E102" s="141">
        <v>8.3665689099999998</v>
      </c>
      <c r="G102" s="141"/>
    </row>
    <row r="103" spans="1:8">
      <c r="A103" s="141">
        <v>2019</v>
      </c>
      <c r="B103" s="141">
        <v>8.4134897399999993</v>
      </c>
      <c r="C103" s="141">
        <v>8.4252199399999999</v>
      </c>
      <c r="D103" s="141">
        <v>8.4134897399999993</v>
      </c>
      <c r="E103" s="141">
        <v>8.4252199399999999</v>
      </c>
      <c r="G103" s="141"/>
    </row>
    <row r="104" spans="1:8">
      <c r="A104" s="141">
        <v>2020</v>
      </c>
      <c r="B104" s="141">
        <v>7.7448680400000001</v>
      </c>
      <c r="C104" s="141">
        <v>8.4545454499999995</v>
      </c>
      <c r="D104" s="141">
        <v>7.7214076199999999</v>
      </c>
      <c r="E104" s="141">
        <v>9.1114369499999999</v>
      </c>
      <c r="G104" s="141"/>
    </row>
    <row r="105" spans="1:8">
      <c r="A105" s="141">
        <v>2021</v>
      </c>
      <c r="B105" s="141">
        <v>7.8211143700000001</v>
      </c>
      <c r="C105" s="141">
        <v>8.5190615800000007</v>
      </c>
      <c r="D105" s="141">
        <v>7.7683284500000003</v>
      </c>
      <c r="E105" s="141">
        <v>9.1642228699999997</v>
      </c>
      <c r="G105" s="141"/>
    </row>
    <row r="106" spans="1:8">
      <c r="A106" s="141">
        <v>2022</v>
      </c>
      <c r="B106" s="141">
        <v>7.8856305000000004</v>
      </c>
      <c r="C106" s="141">
        <v>8.6011730199999992</v>
      </c>
      <c r="D106" s="141">
        <v>7.8621700900000002</v>
      </c>
      <c r="E106" s="141">
        <v>9.2463343099999999</v>
      </c>
      <c r="G106" s="141"/>
    </row>
    <row r="107" spans="1:8">
      <c r="A107" s="141">
        <v>2023</v>
      </c>
      <c r="B107" s="141">
        <v>7.8856305000000004</v>
      </c>
      <c r="C107" s="141">
        <v>8.6422287400000002</v>
      </c>
      <c r="D107" s="141">
        <v>7.8797654000000001</v>
      </c>
      <c r="E107" s="141">
        <v>9.2991202299999998</v>
      </c>
      <c r="G107" s="141"/>
    </row>
    <row r="108" spans="1:8">
      <c r="A108" s="141">
        <v>2024</v>
      </c>
      <c r="B108" s="141">
        <v>7.9560117300000002</v>
      </c>
      <c r="C108" s="141">
        <v>8.6715542499999998</v>
      </c>
      <c r="D108" s="141">
        <v>7.93255132</v>
      </c>
      <c r="E108" s="141">
        <v>9.3343108499999996</v>
      </c>
      <c r="G108" s="141"/>
    </row>
    <row r="109" spans="1:8">
      <c r="A109" s="141">
        <v>2025</v>
      </c>
      <c r="B109" s="141">
        <v>7.228739</v>
      </c>
      <c r="C109" s="141">
        <v>7.91495601</v>
      </c>
      <c r="D109" s="141">
        <v>7.3460410600000001</v>
      </c>
      <c r="E109" s="141">
        <v>8.4956011700000005</v>
      </c>
      <c r="G109" s="141"/>
    </row>
    <row r="110" spans="1:8">
      <c r="A110" s="141">
        <v>2026</v>
      </c>
      <c r="B110" s="141">
        <v>7.2932551300000004</v>
      </c>
      <c r="C110" s="141">
        <v>7.9736070400000001</v>
      </c>
      <c r="D110" s="141">
        <v>7.3988269799999999</v>
      </c>
      <c r="E110" s="141">
        <v>8.5777126100000007</v>
      </c>
      <c r="G110" s="141"/>
    </row>
    <row r="111" spans="1:8">
      <c r="A111" s="141">
        <v>2027</v>
      </c>
      <c r="B111" s="141">
        <v>7.3695014700000003</v>
      </c>
      <c r="C111" s="141">
        <v>8.0439882699999998</v>
      </c>
      <c r="D111" s="141">
        <v>7.4868035199999996</v>
      </c>
      <c r="E111" s="141">
        <v>8.6539589400000008</v>
      </c>
      <c r="G111" s="141"/>
    </row>
    <row r="112" spans="1:8">
      <c r="A112" s="141">
        <v>2028</v>
      </c>
      <c r="B112" s="141">
        <v>7.4340175999999998</v>
      </c>
      <c r="C112" s="141">
        <v>8.1026392999999999</v>
      </c>
      <c r="D112" s="141">
        <v>7.5630498499999996</v>
      </c>
      <c r="E112" s="141">
        <v>8.7302052799999998</v>
      </c>
      <c r="G112" s="141"/>
    </row>
    <row r="113" spans="1:7">
      <c r="A113" s="141">
        <v>2029</v>
      </c>
      <c r="B113" s="141">
        <v>7.5043988300000004</v>
      </c>
      <c r="C113" s="141">
        <v>8.1964809400000007</v>
      </c>
      <c r="D113" s="141">
        <v>7.6334310900000002</v>
      </c>
      <c r="E113" s="141">
        <v>8.8123167200000001</v>
      </c>
      <c r="G113" s="141"/>
    </row>
    <row r="114" spans="1:7">
      <c r="A114" s="141">
        <v>2030</v>
      </c>
      <c r="B114" s="141">
        <v>7.5454545499999996</v>
      </c>
      <c r="C114" s="141">
        <v>8.23753666</v>
      </c>
      <c r="D114" s="141">
        <v>7.6803519099999997</v>
      </c>
      <c r="E114" s="141">
        <v>8.8709677399999993</v>
      </c>
      <c r="G114" s="141"/>
    </row>
    <row r="115" spans="1:7">
      <c r="A115" s="141">
        <v>2031</v>
      </c>
      <c r="B115" s="141">
        <v>7.6803519099999997</v>
      </c>
      <c r="C115" s="141">
        <v>8.3607038100000004</v>
      </c>
      <c r="D115" s="141">
        <v>7.8093841599999996</v>
      </c>
      <c r="E115" s="141">
        <v>9.0058650999999994</v>
      </c>
      <c r="G115" s="141"/>
    </row>
    <row r="116" spans="1:7">
      <c r="A116" s="141">
        <v>2032</v>
      </c>
      <c r="B116" s="141">
        <v>7.7448680400000001</v>
      </c>
      <c r="C116" s="141">
        <v>8.4428152500000007</v>
      </c>
      <c r="D116" s="141">
        <v>7.8797654000000001</v>
      </c>
      <c r="E116" s="141">
        <v>9.07624633</v>
      </c>
      <c r="G116" s="141"/>
    </row>
    <row r="117" spans="1:7">
      <c r="A117" s="141">
        <v>2033</v>
      </c>
      <c r="B117" s="141">
        <v>7.8093841599999996</v>
      </c>
      <c r="C117" s="141">
        <v>8.5425219899999991</v>
      </c>
      <c r="D117" s="141">
        <v>7.9618768299999996</v>
      </c>
      <c r="E117" s="141">
        <v>9.1818181800000005</v>
      </c>
      <c r="G117" s="141"/>
    </row>
    <row r="118" spans="1:7">
      <c r="A118" s="141">
        <v>2034</v>
      </c>
      <c r="B118" s="141">
        <v>7.9090909099999998</v>
      </c>
      <c r="C118" s="141">
        <v>8.6480938399999996</v>
      </c>
      <c r="D118" s="141">
        <v>8.0557184799999995</v>
      </c>
      <c r="E118" s="141">
        <v>9.2815249299999998</v>
      </c>
      <c r="G118" s="141"/>
    </row>
    <row r="119" spans="1:7">
      <c r="A119" s="141">
        <v>2035</v>
      </c>
      <c r="B119" s="141">
        <v>7.0527859199999998</v>
      </c>
      <c r="C119" s="141">
        <v>7.7096774200000002</v>
      </c>
      <c r="D119" s="141">
        <v>7.2639296199999999</v>
      </c>
      <c r="E119" s="141">
        <v>8.2903225799999998</v>
      </c>
      <c r="G119" s="141"/>
    </row>
    <row r="120" spans="1:7">
      <c r="A120" s="141">
        <v>2036</v>
      </c>
      <c r="B120" s="141">
        <v>7.0527859199999998</v>
      </c>
      <c r="C120" s="141">
        <v>7.7155425199999996</v>
      </c>
      <c r="D120" s="141">
        <v>7.2991202299999998</v>
      </c>
      <c r="E120" s="141">
        <v>8.2961876799999992</v>
      </c>
      <c r="G120" s="141"/>
    </row>
    <row r="121" spans="1:7">
      <c r="A121" s="141">
        <v>2037</v>
      </c>
      <c r="B121" s="141">
        <v>7.1759530800000002</v>
      </c>
      <c r="C121" s="141">
        <v>7.83870968</v>
      </c>
      <c r="D121" s="141">
        <v>7.4281524900000004</v>
      </c>
      <c r="E121" s="141">
        <v>8.4193548400000005</v>
      </c>
      <c r="G121" s="141"/>
    </row>
    <row r="122" spans="1:7">
      <c r="A122" s="141">
        <v>2038</v>
      </c>
      <c r="B122" s="141">
        <v>7.1642228699999997</v>
      </c>
      <c r="C122" s="141">
        <v>7.8739002899999999</v>
      </c>
      <c r="D122" s="141">
        <v>7.4340175999999998</v>
      </c>
      <c r="E122" s="141">
        <v>8.4486803500000001</v>
      </c>
      <c r="G122" s="141"/>
    </row>
    <row r="123" spans="1:7">
      <c r="A123" s="141">
        <v>2039</v>
      </c>
      <c r="B123" s="141">
        <v>7.2991202299999998</v>
      </c>
      <c r="C123" s="141">
        <v>7.9794721400000004</v>
      </c>
      <c r="D123" s="141">
        <v>7.5571847500000002</v>
      </c>
      <c r="E123" s="141">
        <v>8.5777126100000007</v>
      </c>
      <c r="G123" s="141"/>
    </row>
    <row r="124" spans="1:7">
      <c r="A124" s="141">
        <v>2040</v>
      </c>
      <c r="B124" s="141">
        <v>7.38123167</v>
      </c>
      <c r="C124" s="141">
        <v>8.0615835800000006</v>
      </c>
      <c r="D124" s="141">
        <v>7.6510263900000002</v>
      </c>
      <c r="E124" s="141">
        <v>8.6891495600000006</v>
      </c>
      <c r="G124" s="141"/>
    </row>
    <row r="125" spans="1:7">
      <c r="A125" s="141">
        <v>2041</v>
      </c>
      <c r="B125" s="141">
        <v>7.4398827000000001</v>
      </c>
      <c r="C125" s="141">
        <v>8.1085043999999993</v>
      </c>
      <c r="D125" s="141">
        <v>7.7038123199999999</v>
      </c>
      <c r="E125" s="141">
        <v>8.7302052799999998</v>
      </c>
      <c r="G125" s="141"/>
    </row>
    <row r="126" spans="1:7">
      <c r="A126" s="141">
        <v>2042</v>
      </c>
      <c r="B126" s="141">
        <v>7.4985337200000002</v>
      </c>
      <c r="C126" s="141">
        <v>8.2140762499999997</v>
      </c>
      <c r="D126" s="141">
        <v>7.7976539599999999</v>
      </c>
      <c r="E126" s="141">
        <v>8.8416422299999997</v>
      </c>
      <c r="G126" s="141"/>
    </row>
    <row r="127" spans="1:7">
      <c r="A127" s="141">
        <v>2043</v>
      </c>
      <c r="B127" s="141">
        <v>7.6041055699999998</v>
      </c>
      <c r="C127" s="141">
        <v>8.31378299</v>
      </c>
      <c r="D127" s="141">
        <v>7.8739002899999999</v>
      </c>
      <c r="E127" s="141">
        <v>8.9472140800000002</v>
      </c>
      <c r="G127" s="141"/>
    </row>
    <row r="128" spans="1:7">
      <c r="A128" s="141">
        <v>2044</v>
      </c>
      <c r="B128" s="141">
        <v>7.6392961899999996</v>
      </c>
      <c r="C128" s="141">
        <v>8.3607038100000004</v>
      </c>
      <c r="D128" s="141">
        <v>7.9090909099999998</v>
      </c>
      <c r="E128" s="141">
        <v>8.9882697900000004</v>
      </c>
      <c r="G128" s="141"/>
    </row>
    <row r="129" spans="1:7">
      <c r="A129" s="141">
        <v>2045</v>
      </c>
      <c r="B129" s="141">
        <v>6.9296187700000003</v>
      </c>
      <c r="C129" s="141">
        <v>7.60997067</v>
      </c>
      <c r="D129" s="141">
        <v>7.1935483900000001</v>
      </c>
      <c r="E129" s="141">
        <v>8.1847507299999993</v>
      </c>
      <c r="G129" s="141"/>
    </row>
    <row r="130" spans="1:7">
      <c r="A130" s="141">
        <v>2046</v>
      </c>
      <c r="B130" s="141">
        <v>7.0293255099999996</v>
      </c>
      <c r="C130" s="141">
        <v>7.6334310900000002</v>
      </c>
      <c r="D130" s="141">
        <v>7.2521994100000002</v>
      </c>
      <c r="E130" s="141">
        <v>8.2258064500000003</v>
      </c>
      <c r="G130" s="141"/>
    </row>
    <row r="131" spans="1:7">
      <c r="A131" s="141">
        <v>2047</v>
      </c>
      <c r="B131" s="141">
        <v>7.1231671600000004</v>
      </c>
      <c r="C131" s="141">
        <v>7.7683284500000003</v>
      </c>
      <c r="D131" s="141">
        <v>7.3519061600000004</v>
      </c>
      <c r="E131" s="141">
        <v>8.3782991199999994</v>
      </c>
      <c r="G131" s="141"/>
    </row>
    <row r="132" spans="1:7">
      <c r="A132" s="141">
        <v>2048</v>
      </c>
      <c r="B132" s="141">
        <v>7.1642228699999997</v>
      </c>
      <c r="C132" s="141">
        <v>7.8211143700000001</v>
      </c>
      <c r="D132" s="141">
        <v>7.4281524900000004</v>
      </c>
      <c r="E132" s="141">
        <v>8.4252199399999999</v>
      </c>
      <c r="G132" s="141"/>
    </row>
    <row r="133" spans="1:7">
      <c r="A133" s="141">
        <v>2049</v>
      </c>
      <c r="B133" s="141">
        <v>7.228739</v>
      </c>
      <c r="C133" s="141">
        <v>7.8914955999999998</v>
      </c>
      <c r="D133" s="141">
        <v>7.4926686199999999</v>
      </c>
      <c r="E133" s="141">
        <v>8.4956011700000005</v>
      </c>
      <c r="G133" s="141"/>
    </row>
    <row r="134" spans="1:7">
      <c r="A134" s="141">
        <v>2050</v>
      </c>
      <c r="B134" s="141">
        <v>7.2932551300000004</v>
      </c>
      <c r="C134" s="141">
        <v>7.9677419399999998</v>
      </c>
      <c r="D134" s="141">
        <v>7.5689149599999999</v>
      </c>
      <c r="E134" s="141">
        <v>8.5835777100000001</v>
      </c>
      <c r="G134" s="141"/>
    </row>
    <row r="135" spans="1:7">
      <c r="A135" s="141">
        <v>2051</v>
      </c>
      <c r="B135" s="141">
        <v>7.3460410600000001</v>
      </c>
      <c r="C135" s="141">
        <v>8.0263929600000008</v>
      </c>
      <c r="D135" s="141">
        <v>7.6334310900000002</v>
      </c>
      <c r="E135" s="141">
        <v>8.6539589400000008</v>
      </c>
      <c r="G135" s="141"/>
    </row>
    <row r="136" spans="1:7">
      <c r="A136" s="141">
        <v>2052</v>
      </c>
      <c r="B136" s="141">
        <v>7.4516128999999998</v>
      </c>
      <c r="C136" s="141">
        <v>8.1378299100000007</v>
      </c>
      <c r="D136" s="141">
        <v>7.7331378300000004</v>
      </c>
      <c r="E136" s="141">
        <v>8.7771261000000003</v>
      </c>
      <c r="G136" s="141"/>
    </row>
    <row r="137" spans="1:7">
      <c r="A137" s="141">
        <v>2053</v>
      </c>
      <c r="B137" s="141">
        <v>7.5395894400000003</v>
      </c>
      <c r="C137" s="141">
        <v>8.2140762499999997</v>
      </c>
      <c r="D137" s="141">
        <v>7.8211143700000001</v>
      </c>
      <c r="E137" s="141">
        <v>8.8592375400000005</v>
      </c>
      <c r="G137" s="141"/>
    </row>
    <row r="138" spans="1:7">
      <c r="A138" s="141">
        <v>2054</v>
      </c>
      <c r="B138" s="141">
        <v>7.6158357800000003</v>
      </c>
      <c r="C138" s="141">
        <v>8.2961876799999992</v>
      </c>
      <c r="D138" s="141">
        <v>7.9032258100000004</v>
      </c>
      <c r="E138" s="141">
        <v>8.9354838700000006</v>
      </c>
      <c r="G138" s="141"/>
    </row>
    <row r="139" spans="1:7">
      <c r="A139" s="141">
        <v>2055</v>
      </c>
      <c r="B139" s="141">
        <v>7.2170088000000003</v>
      </c>
      <c r="C139" s="141">
        <v>7.7390029299999998</v>
      </c>
      <c r="D139" s="141">
        <v>7.3695014700000003</v>
      </c>
      <c r="E139" s="141">
        <v>8.3489736099999998</v>
      </c>
      <c r="G139" s="141"/>
    </row>
    <row r="140" spans="1:7">
      <c r="A140" s="141">
        <v>2056</v>
      </c>
      <c r="B140" s="141">
        <v>7.3108504400000003</v>
      </c>
      <c r="C140" s="141">
        <v>7.8211143700000001</v>
      </c>
      <c r="D140" s="141">
        <v>7.4340175999999998</v>
      </c>
      <c r="E140" s="141">
        <v>8.4076246300000008</v>
      </c>
      <c r="G140" s="141"/>
    </row>
    <row r="141" spans="1:7">
      <c r="A141" s="141">
        <v>2057</v>
      </c>
      <c r="B141" s="141">
        <v>7.3988269799999999</v>
      </c>
      <c r="C141" s="141">
        <v>7.91495601</v>
      </c>
      <c r="D141" s="141">
        <v>7.5161290300000001</v>
      </c>
      <c r="E141" s="141">
        <v>8.5249266899999991</v>
      </c>
      <c r="G141" s="141"/>
    </row>
    <row r="142" spans="1:7">
      <c r="A142" s="141">
        <v>2058</v>
      </c>
      <c r="B142" s="141">
        <v>7.4457478000000004</v>
      </c>
      <c r="C142" s="141">
        <v>7.9794721400000004</v>
      </c>
      <c r="D142" s="141">
        <v>7.5806451600000004</v>
      </c>
      <c r="E142" s="141">
        <v>8.5835777100000001</v>
      </c>
      <c r="G142" s="141"/>
    </row>
    <row r="143" spans="1:7">
      <c r="A143" s="141">
        <v>2059</v>
      </c>
      <c r="B143" s="141">
        <v>7.5571847500000002</v>
      </c>
      <c r="C143" s="141">
        <v>8.0967741899999996</v>
      </c>
      <c r="D143" s="141">
        <v>7.6744868000000004</v>
      </c>
      <c r="E143" s="141">
        <v>8.7126099700000008</v>
      </c>
      <c r="G143" s="141"/>
    </row>
    <row r="144" spans="1:7">
      <c r="A144" s="141">
        <v>2060</v>
      </c>
      <c r="B144" s="141">
        <v>7.5513196499999999</v>
      </c>
      <c r="C144" s="141">
        <v>8.0967741899999996</v>
      </c>
      <c r="D144" s="141">
        <v>7.6979472099999997</v>
      </c>
      <c r="E144" s="141">
        <v>8.7184750700000002</v>
      </c>
      <c r="G144" s="141"/>
    </row>
    <row r="145" spans="1:7">
      <c r="A145" s="141">
        <v>2061</v>
      </c>
      <c r="B145" s="141">
        <v>7.6451612899999999</v>
      </c>
      <c r="C145" s="141">
        <v>8.2258064500000003</v>
      </c>
      <c r="D145" s="141">
        <v>7.8269794700000004</v>
      </c>
      <c r="E145" s="141">
        <v>8.8533724300000003</v>
      </c>
      <c r="G145" s="141"/>
    </row>
    <row r="146" spans="1:7">
      <c r="A146" s="141">
        <v>2062</v>
      </c>
      <c r="B146" s="141">
        <v>7.7096774200000002</v>
      </c>
      <c r="C146" s="141">
        <v>8.2961876799999992</v>
      </c>
      <c r="D146" s="141">
        <v>7.8973607000000001</v>
      </c>
      <c r="E146" s="141">
        <v>8.9296187699999994</v>
      </c>
      <c r="G146" s="141"/>
    </row>
    <row r="147" spans="1:7">
      <c r="A147" s="141">
        <v>2063</v>
      </c>
      <c r="B147" s="141">
        <v>7.8211143700000001</v>
      </c>
      <c r="C147" s="141">
        <v>8.3782991199999994</v>
      </c>
      <c r="D147" s="141">
        <v>7.9736070400000001</v>
      </c>
      <c r="E147" s="141">
        <v>9.0117302099999996</v>
      </c>
      <c r="G147" s="141"/>
    </row>
    <row r="148" spans="1:7">
      <c r="A148" s="141">
        <v>2064</v>
      </c>
      <c r="B148" s="141">
        <v>7.8797654000000001</v>
      </c>
      <c r="C148" s="141">
        <v>8.4662756600000009</v>
      </c>
      <c r="D148" s="141">
        <v>8.0439882699999998</v>
      </c>
      <c r="E148" s="141">
        <v>9.1055718500000005</v>
      </c>
      <c r="G148" s="141"/>
    </row>
    <row r="149" spans="1:7">
      <c r="A149" s="141">
        <v>2065</v>
      </c>
      <c r="B149" s="141">
        <v>7.6920821100000003</v>
      </c>
      <c r="C149" s="141">
        <v>7.9501466299999999</v>
      </c>
      <c r="D149" s="141">
        <v>7.6979472099999997</v>
      </c>
      <c r="E149" s="141">
        <v>8.5483870999999994</v>
      </c>
      <c r="G149" s="141"/>
    </row>
    <row r="150" spans="1:7">
      <c r="A150" s="141">
        <v>2066</v>
      </c>
      <c r="B150" s="141">
        <v>7.7976539599999999</v>
      </c>
      <c r="C150" s="141">
        <v>8.0733137799999994</v>
      </c>
      <c r="D150" s="141">
        <v>7.8269794700000004</v>
      </c>
      <c r="E150" s="141">
        <v>8.6656891500000004</v>
      </c>
      <c r="G150" s="141"/>
    </row>
    <row r="151" spans="1:7">
      <c r="A151" s="141">
        <v>2067</v>
      </c>
      <c r="B151" s="141">
        <v>7.8797654000000001</v>
      </c>
      <c r="C151" s="141">
        <v>8.1671554299999993</v>
      </c>
      <c r="D151" s="141">
        <v>7.9501466299999999</v>
      </c>
      <c r="E151" s="141">
        <v>8.7888563000000008</v>
      </c>
      <c r="G151" s="141"/>
    </row>
    <row r="152" spans="1:7">
      <c r="A152" s="141">
        <v>2068</v>
      </c>
      <c r="B152" s="141">
        <v>7.9384164200000003</v>
      </c>
      <c r="C152" s="141">
        <v>8.2551319599999999</v>
      </c>
      <c r="D152" s="141">
        <v>8.0322580600000002</v>
      </c>
      <c r="E152" s="141">
        <v>8.8475073299999991</v>
      </c>
      <c r="G152" s="141"/>
    </row>
    <row r="153" spans="1:7">
      <c r="A153" s="141">
        <v>2069</v>
      </c>
      <c r="B153" s="141">
        <v>8.0439882699999998</v>
      </c>
      <c r="C153" s="141">
        <v>8.3489736099999998</v>
      </c>
      <c r="D153" s="141">
        <v>8.0909090900000002</v>
      </c>
      <c r="E153" s="141">
        <v>8.9648093800000002</v>
      </c>
      <c r="G153" s="141"/>
    </row>
    <row r="154" spans="1:7">
      <c r="A154" s="141">
        <v>2070</v>
      </c>
      <c r="B154" s="141">
        <v>8.1671554299999993</v>
      </c>
      <c r="C154" s="141">
        <v>8.4604105599999997</v>
      </c>
      <c r="D154" s="141">
        <v>8.2258064500000003</v>
      </c>
      <c r="E154" s="141">
        <v>9.07624633</v>
      </c>
      <c r="G154" s="141"/>
    </row>
    <row r="155" spans="1:7">
      <c r="A155" s="141"/>
      <c r="B155" s="141" t="s">
        <v>2912</v>
      </c>
      <c r="C155" s="141" t="s">
        <v>2913</v>
      </c>
      <c r="D155" s="141" t="s">
        <v>2914</v>
      </c>
      <c r="E155" s="141" t="s">
        <v>2915</v>
      </c>
      <c r="F155" s="141" t="s">
        <v>2917</v>
      </c>
      <c r="G155" t="s">
        <v>2918</v>
      </c>
    </row>
    <row r="156" spans="1:7">
      <c r="A156" s="141" t="s">
        <v>2919</v>
      </c>
      <c r="B156" s="141">
        <f>SUM(B99:B154)</f>
        <v>425.39002932999989</v>
      </c>
      <c r="C156" s="141">
        <f t="shared" ref="C156:E156" si="0">SUM(C99:C154)</f>
        <v>456.68621698999988</v>
      </c>
      <c r="D156" s="141">
        <f t="shared" si="0"/>
        <v>433.63636364999991</v>
      </c>
      <c r="E156" s="141">
        <f t="shared" si="0"/>
        <v>488.18181812999984</v>
      </c>
      <c r="F156">
        <f>B156+4.2/tC_to_m3*55</f>
        <v>478.58932932999988</v>
      </c>
      <c r="G156">
        <f>E156+4.2/tC_to_m3*55</f>
        <v>541.38111812999989</v>
      </c>
    </row>
    <row r="158" spans="1:7">
      <c r="A158" t="s">
        <v>2924</v>
      </c>
      <c r="B158" s="317" t="s">
        <v>430</v>
      </c>
      <c r="C158" s="317"/>
      <c r="E158" s="317" t="s">
        <v>1590</v>
      </c>
      <c r="F158" s="317"/>
    </row>
    <row r="159" spans="1:7">
      <c r="B159" t="s">
        <v>2925</v>
      </c>
      <c r="C159" t="s">
        <v>2926</v>
      </c>
      <c r="D159" t="s">
        <v>2927</v>
      </c>
      <c r="E159" t="s">
        <v>2928</v>
      </c>
      <c r="F159" t="s">
        <v>2929</v>
      </c>
      <c r="G159" t="s">
        <v>2930</v>
      </c>
    </row>
    <row r="160" spans="1:7">
      <c r="D160" t="s">
        <v>443</v>
      </c>
      <c r="E160" t="s">
        <v>499</v>
      </c>
      <c r="F160" t="s">
        <v>499</v>
      </c>
      <c r="G160" t="s">
        <v>499</v>
      </c>
    </row>
    <row r="161" spans="1:7">
      <c r="A161" t="s">
        <v>2931</v>
      </c>
      <c r="B161">
        <v>66.7</v>
      </c>
      <c r="C161">
        <v>141.19999999999999</v>
      </c>
      <c r="D161">
        <v>0</v>
      </c>
      <c r="E161">
        <v>636.6</v>
      </c>
      <c r="F161">
        <v>0</v>
      </c>
      <c r="G161">
        <f t="shared" ref="G161:G164" si="1">SUM(E161:F161)</f>
        <v>636.6</v>
      </c>
    </row>
    <row r="162" spans="1:7">
      <c r="A162" t="s">
        <v>2932</v>
      </c>
      <c r="B162">
        <v>66.5</v>
      </c>
      <c r="C162">
        <v>110.4</v>
      </c>
      <c r="D162">
        <v>18.5</v>
      </c>
      <c r="E162">
        <v>484.9</v>
      </c>
      <c r="F162">
        <f>50.9*tC_to_m3</f>
        <v>221.01606600086845</v>
      </c>
      <c r="G162">
        <f t="shared" si="1"/>
        <v>705.91606600086845</v>
      </c>
    </row>
    <row r="163" spans="1:7">
      <c r="A163" t="s">
        <v>2933</v>
      </c>
      <c r="B163">
        <v>82.6</v>
      </c>
      <c r="C163">
        <v>139.5</v>
      </c>
      <c r="D163">
        <v>0</v>
      </c>
      <c r="E163">
        <v>625.20000000000005</v>
      </c>
      <c r="F163">
        <v>0</v>
      </c>
      <c r="G163">
        <f t="shared" si="1"/>
        <v>625.20000000000005</v>
      </c>
    </row>
    <row r="164" spans="1:7">
      <c r="A164" t="s">
        <v>2934</v>
      </c>
      <c r="B164">
        <v>82</v>
      </c>
      <c r="C164">
        <v>99</v>
      </c>
      <c r="D164">
        <v>19.2</v>
      </c>
      <c r="E164">
        <v>514.29999999999995</v>
      </c>
      <c r="F164">
        <f>52.7*tC_to_m3</f>
        <v>228.83195831524102</v>
      </c>
      <c r="G164">
        <f t="shared" si="1"/>
        <v>743.13195831524104</v>
      </c>
    </row>
    <row r="166" spans="1:7">
      <c r="A166" t="s">
        <v>2935</v>
      </c>
    </row>
    <row r="167" spans="1:7">
      <c r="A167" t="s">
        <v>2936</v>
      </c>
      <c r="C167" t="s">
        <v>151</v>
      </c>
      <c r="D167" t="s">
        <v>2937</v>
      </c>
      <c r="E167" t="s">
        <v>2938</v>
      </c>
    </row>
    <row r="168" spans="1:7">
      <c r="B168">
        <v>2020</v>
      </c>
      <c r="C168">
        <v>924444.44444444403</v>
      </c>
      <c r="D168">
        <v>426666.66666666401</v>
      </c>
      <c r="E168">
        <v>53333.333333331997</v>
      </c>
    </row>
    <row r="169" spans="1:7">
      <c r="B169">
        <f t="shared" ref="B169:B180" si="2">B168+10</f>
        <v>2030</v>
      </c>
      <c r="C169">
        <v>1493333.33333333</v>
      </c>
      <c r="D169">
        <v>711111.11111111101</v>
      </c>
      <c r="E169">
        <v>177777.777777779</v>
      </c>
    </row>
    <row r="170" spans="1:7">
      <c r="B170">
        <f t="shared" si="2"/>
        <v>2040</v>
      </c>
      <c r="C170">
        <v>2168888.8888888801</v>
      </c>
      <c r="D170">
        <v>1031111.1111110999</v>
      </c>
      <c r="E170">
        <v>320000</v>
      </c>
    </row>
    <row r="171" spans="1:7">
      <c r="B171">
        <f t="shared" si="2"/>
        <v>2050</v>
      </c>
      <c r="C171">
        <v>2826666.66666666</v>
      </c>
      <c r="D171">
        <v>1333333.33333333</v>
      </c>
      <c r="E171">
        <v>480000</v>
      </c>
    </row>
    <row r="172" spans="1:7">
      <c r="B172">
        <f t="shared" si="2"/>
        <v>2060</v>
      </c>
      <c r="C172">
        <v>3413333.3333333302</v>
      </c>
      <c r="D172">
        <v>1440000</v>
      </c>
      <c r="E172">
        <v>551111.11111111101</v>
      </c>
    </row>
    <row r="173" spans="1:7">
      <c r="B173" t="s">
        <v>2939</v>
      </c>
      <c r="C173">
        <f>SUM(C168:C172)</f>
        <v>10826666.666666646</v>
      </c>
      <c r="D173">
        <f>SUM(D168:D172)</f>
        <v>4942222.2222222053</v>
      </c>
      <c r="E173">
        <f>SUM(E168:E172)</f>
        <v>1582222.222222222</v>
      </c>
    </row>
    <row r="174" spans="1:7">
      <c r="A174" t="s">
        <v>2940</v>
      </c>
    </row>
    <row r="175" spans="1:7">
      <c r="C175" t="s">
        <v>151</v>
      </c>
      <c r="D175" t="s">
        <v>2937</v>
      </c>
      <c r="E175" t="s">
        <v>2938</v>
      </c>
    </row>
    <row r="176" spans="1:7">
      <c r="B176">
        <v>2020</v>
      </c>
      <c r="C176">
        <v>186666.66666666599</v>
      </c>
      <c r="D176">
        <v>160000</v>
      </c>
      <c r="E176">
        <v>166666.66666666599</v>
      </c>
    </row>
    <row r="177" spans="1:7">
      <c r="B177">
        <f t="shared" si="2"/>
        <v>2030</v>
      </c>
      <c r="C177">
        <v>208000</v>
      </c>
      <c r="D177">
        <v>149333.33333333299</v>
      </c>
      <c r="E177">
        <v>166666.66666666599</v>
      </c>
    </row>
    <row r="178" spans="1:7">
      <c r="B178">
        <f t="shared" si="2"/>
        <v>2040</v>
      </c>
      <c r="C178">
        <v>232000</v>
      </c>
      <c r="D178">
        <v>137333.33333333299</v>
      </c>
      <c r="E178">
        <v>166666.66666666599</v>
      </c>
    </row>
    <row r="179" spans="1:7">
      <c r="B179">
        <f t="shared" si="2"/>
        <v>2050</v>
      </c>
      <c r="C179">
        <v>249333.33333333299</v>
      </c>
      <c r="D179">
        <v>121333.33333333299</v>
      </c>
      <c r="E179">
        <v>166666.66666666599</v>
      </c>
    </row>
    <row r="180" spans="1:7">
      <c r="B180">
        <f t="shared" si="2"/>
        <v>2060</v>
      </c>
      <c r="C180">
        <v>260000</v>
      </c>
      <c r="D180">
        <v>102666.666666666</v>
      </c>
      <c r="E180">
        <v>164000</v>
      </c>
    </row>
    <row r="181" spans="1:7">
      <c r="B181" t="s">
        <v>2939</v>
      </c>
      <c r="C181">
        <f>SUM(C176:C180)</f>
        <v>1135999.9999999991</v>
      </c>
      <c r="D181">
        <f>SUM(D176:D180)</f>
        <v>670666.66666666511</v>
      </c>
      <c r="E181">
        <f>SUM(E176:E180)</f>
        <v>830666.66666666395</v>
      </c>
    </row>
    <row r="184" spans="1:7">
      <c r="A184" t="s">
        <v>2941</v>
      </c>
      <c r="F184" s="317" t="s">
        <v>2942</v>
      </c>
      <c r="G184" s="317"/>
    </row>
    <row r="185" spans="1:7">
      <c r="A185" t="s">
        <v>2943</v>
      </c>
      <c r="D185" t="s">
        <v>756</v>
      </c>
      <c r="E185" t="s">
        <v>755</v>
      </c>
      <c r="F185" t="s">
        <v>756</v>
      </c>
      <c r="G185" t="s">
        <v>755</v>
      </c>
    </row>
    <row r="186" spans="1:7">
      <c r="C186" t="s">
        <v>2944</v>
      </c>
      <c r="D186">
        <v>30.321361058601099</v>
      </c>
      <c r="E186">
        <v>33.4</v>
      </c>
    </row>
    <row r="187" spans="1:7">
      <c r="C187" t="s">
        <v>2945</v>
      </c>
      <c r="D187">
        <v>23.3648393194707</v>
      </c>
      <c r="E187">
        <v>26.3</v>
      </c>
      <c r="F187">
        <f>SUM(D$186:D$191)-D187-D186</f>
        <v>-97.912098298676767</v>
      </c>
      <c r="G187">
        <f>SUM(E$186:E$191)-E187-E186</f>
        <v>-76.199999999999989</v>
      </c>
    </row>
    <row r="188" spans="1:7">
      <c r="C188" t="s">
        <v>2946</v>
      </c>
      <c r="D188">
        <v>2.9</v>
      </c>
      <c r="E188">
        <v>14.2</v>
      </c>
    </row>
    <row r="189" spans="1:7">
      <c r="C189" t="s">
        <v>2947</v>
      </c>
      <c r="D189">
        <v>1.5879017013232299</v>
      </c>
      <c r="E189">
        <v>1.5</v>
      </c>
      <c r="F189">
        <f>SUM(D$186:D$191)-D189</f>
        <v>-45.813799621928204</v>
      </c>
      <c r="G189">
        <f>SUM(E$186:E$191)-E189</f>
        <v>-17.999999999999993</v>
      </c>
    </row>
    <row r="190" spans="1:7">
      <c r="C190" t="s">
        <v>2948</v>
      </c>
      <c r="D190">
        <v>-102.4</v>
      </c>
      <c r="E190">
        <v>-66</v>
      </c>
    </row>
    <row r="191" spans="1:7">
      <c r="C191" t="s">
        <v>2949</v>
      </c>
      <c r="E191">
        <v>-25.9</v>
      </c>
      <c r="F191">
        <f>SUM(D$186:D$191)-D191</f>
        <v>-44.225897920604972</v>
      </c>
      <c r="G191">
        <f>SUM(E$186:E$191)-E191</f>
        <v>9.4000000000000057</v>
      </c>
    </row>
    <row r="192" spans="1:7">
      <c r="C192" t="s">
        <v>2950</v>
      </c>
      <c r="D192">
        <v>-44.2</v>
      </c>
      <c r="E192">
        <v>-16.5</v>
      </c>
    </row>
    <row r="194" spans="1:19">
      <c r="A194" t="s">
        <v>2951</v>
      </c>
      <c r="C194" t="s">
        <v>2952</v>
      </c>
      <c r="L194" t="s">
        <v>2953</v>
      </c>
      <c r="N194" s="317" t="s">
        <v>2954</v>
      </c>
      <c r="O194" s="317"/>
      <c r="P194" s="317"/>
      <c r="Q194" s="317" t="s">
        <v>2955</v>
      </c>
      <c r="R194" s="317"/>
      <c r="S194" s="317"/>
    </row>
    <row r="195" spans="1:19">
      <c r="C195" t="s">
        <v>2956</v>
      </c>
      <c r="E195" t="s">
        <v>2957</v>
      </c>
      <c r="F195" t="s">
        <v>2958</v>
      </c>
      <c r="G195" t="s">
        <v>2959</v>
      </c>
      <c r="H195" t="s">
        <v>2960</v>
      </c>
      <c r="N195" t="s">
        <v>2961</v>
      </c>
      <c r="O195" t="s">
        <v>2962</v>
      </c>
      <c r="P195" t="s">
        <v>2963</v>
      </c>
      <c r="Q195" t="s">
        <v>2961</v>
      </c>
      <c r="R195" t="s">
        <v>2962</v>
      </c>
      <c r="S195" t="s">
        <v>2963</v>
      </c>
    </row>
    <row r="196" spans="1:19">
      <c r="D196" t="s">
        <v>2964</v>
      </c>
      <c r="E196">
        <v>0</v>
      </c>
      <c r="M196" t="s">
        <v>2965</v>
      </c>
      <c r="N196">
        <v>593</v>
      </c>
      <c r="O196">
        <v>383</v>
      </c>
      <c r="P196">
        <v>1474</v>
      </c>
      <c r="Q196">
        <v>876</v>
      </c>
      <c r="R196">
        <v>172</v>
      </c>
      <c r="S196">
        <v>3821</v>
      </c>
    </row>
    <row r="197" spans="1:19">
      <c r="D197" t="s">
        <v>2966</v>
      </c>
      <c r="E197">
        <v>70</v>
      </c>
      <c r="F197">
        <v>60</v>
      </c>
      <c r="G197">
        <v>15.3</v>
      </c>
      <c r="H197">
        <v>5</v>
      </c>
      <c r="M197" t="s">
        <v>2967</v>
      </c>
      <c r="N197">
        <v>1113</v>
      </c>
      <c r="O197">
        <v>649</v>
      </c>
      <c r="P197">
        <v>649</v>
      </c>
      <c r="Q197">
        <v>1606</v>
      </c>
      <c r="R197">
        <v>255</v>
      </c>
      <c r="S197">
        <v>255</v>
      </c>
    </row>
    <row r="198" spans="1:19">
      <c r="D198" t="s">
        <v>2968</v>
      </c>
      <c r="E198">
        <v>100</v>
      </c>
      <c r="F198">
        <v>60</v>
      </c>
      <c r="G198">
        <v>15.3</v>
      </c>
      <c r="H198">
        <v>1</v>
      </c>
      <c r="M198" t="s">
        <v>2969</v>
      </c>
      <c r="N198">
        <v>171</v>
      </c>
      <c r="O198">
        <v>122</v>
      </c>
      <c r="P198">
        <v>122</v>
      </c>
      <c r="Q198">
        <v>250</v>
      </c>
      <c r="R198">
        <v>55</v>
      </c>
      <c r="S198">
        <v>55</v>
      </c>
    </row>
    <row r="199" spans="1:19">
      <c r="D199" t="s">
        <v>2970</v>
      </c>
      <c r="E199">
        <v>100</v>
      </c>
      <c r="F199">
        <v>50</v>
      </c>
      <c r="G199">
        <v>16.600000000000001</v>
      </c>
      <c r="H199">
        <v>1</v>
      </c>
      <c r="M199" t="s">
        <v>2971</v>
      </c>
      <c r="N199">
        <v>1332</v>
      </c>
      <c r="O199">
        <v>934</v>
      </c>
      <c r="P199">
        <v>934</v>
      </c>
      <c r="Q199">
        <v>1968</v>
      </c>
      <c r="R199">
        <v>434</v>
      </c>
      <c r="S199">
        <v>434</v>
      </c>
    </row>
    <row r="200" spans="1:19">
      <c r="D200" t="s">
        <v>2969</v>
      </c>
      <c r="E200">
        <v>100</v>
      </c>
      <c r="F200">
        <v>15</v>
      </c>
      <c r="G200">
        <v>18.600000000000001</v>
      </c>
      <c r="H200">
        <v>1</v>
      </c>
      <c r="M200" t="s">
        <v>2972</v>
      </c>
      <c r="N200">
        <v>3209</v>
      </c>
      <c r="O200">
        <v>2087</v>
      </c>
      <c r="P200">
        <v>3178</v>
      </c>
      <c r="Q200">
        <v>4700</v>
      </c>
      <c r="R200">
        <v>916</v>
      </c>
      <c r="S200">
        <v>4565</v>
      </c>
    </row>
    <row r="201" spans="1:19">
      <c r="D201" t="s">
        <v>2973</v>
      </c>
      <c r="E201">
        <v>90</v>
      </c>
      <c r="F201">
        <v>15</v>
      </c>
      <c r="G201">
        <v>18.600000000000001</v>
      </c>
      <c r="H201">
        <v>1</v>
      </c>
      <c r="M201" t="s">
        <v>2974</v>
      </c>
      <c r="N201">
        <v>289</v>
      </c>
      <c r="O201">
        <v>281</v>
      </c>
      <c r="P201">
        <v>281</v>
      </c>
      <c r="Q201">
        <v>428</v>
      </c>
      <c r="R201">
        <v>146</v>
      </c>
      <c r="S201">
        <v>146</v>
      </c>
    </row>
    <row r="202" spans="1:19">
      <c r="C202" t="s">
        <v>2975</v>
      </c>
    </row>
    <row r="203" spans="1:19">
      <c r="D203" t="s">
        <v>2964</v>
      </c>
      <c r="E203">
        <v>0</v>
      </c>
      <c r="L203" t="s">
        <v>2976</v>
      </c>
      <c r="M203" t="s">
        <v>2977</v>
      </c>
      <c r="N203" s="317" t="s">
        <v>2954</v>
      </c>
      <c r="O203" s="317"/>
      <c r="P203" s="317"/>
      <c r="Q203" s="317" t="s">
        <v>2955</v>
      </c>
      <c r="R203" s="317"/>
      <c r="S203" s="317"/>
    </row>
    <row r="204" spans="1:19">
      <c r="D204" t="s">
        <v>2968</v>
      </c>
      <c r="E204">
        <v>100</v>
      </c>
      <c r="F204">
        <v>60</v>
      </c>
      <c r="G204">
        <v>15.3</v>
      </c>
      <c r="H204">
        <v>3</v>
      </c>
      <c r="N204" t="s">
        <v>2961</v>
      </c>
      <c r="O204" t="s">
        <v>2962</v>
      </c>
      <c r="P204" t="s">
        <v>2963</v>
      </c>
      <c r="Q204" t="s">
        <v>2961</v>
      </c>
      <c r="R204" t="s">
        <v>2962</v>
      </c>
      <c r="S204" t="s">
        <v>2963</v>
      </c>
    </row>
    <row r="205" spans="1:19">
      <c r="D205" t="s">
        <v>2978</v>
      </c>
      <c r="E205">
        <v>100</v>
      </c>
      <c r="F205">
        <v>60</v>
      </c>
      <c r="G205">
        <v>15.3</v>
      </c>
      <c r="H205">
        <v>3</v>
      </c>
      <c r="M205" t="s">
        <v>2965</v>
      </c>
      <c r="N205">
        <f t="shared" ref="N205:S208" si="3">N196*10^3/$G197/10^3</f>
        <v>38.75816993464052</v>
      </c>
      <c r="O205">
        <f t="shared" ref="O205:S205" si="4">O196*10^3/$G197/10^3</f>
        <v>25.032679738562091</v>
      </c>
      <c r="P205">
        <f t="shared" si="4"/>
        <v>96.339869281045736</v>
      </c>
      <c r="Q205">
        <f t="shared" si="4"/>
        <v>57.254901960784309</v>
      </c>
      <c r="R205">
        <f t="shared" si="4"/>
        <v>11.241830065359476</v>
      </c>
      <c r="S205">
        <f t="shared" si="4"/>
        <v>249.73856209150327</v>
      </c>
    </row>
    <row r="206" spans="1:19">
      <c r="D206" t="s">
        <v>2966</v>
      </c>
      <c r="E206">
        <v>70</v>
      </c>
      <c r="F206">
        <v>60</v>
      </c>
      <c r="G206">
        <v>15.3</v>
      </c>
      <c r="H206">
        <v>5</v>
      </c>
      <c r="M206" t="s">
        <v>2967</v>
      </c>
      <c r="N206">
        <f t="shared" si="3"/>
        <v>72.745098039215677</v>
      </c>
      <c r="O206">
        <f t="shared" si="3"/>
        <v>42.41830065359477</v>
      </c>
      <c r="P206">
        <f t="shared" si="3"/>
        <v>42.41830065359477</v>
      </c>
      <c r="Q206">
        <f t="shared" si="3"/>
        <v>104.96732026143789</v>
      </c>
      <c r="R206">
        <f t="shared" si="3"/>
        <v>16.666666666666664</v>
      </c>
      <c r="S206">
        <f t="shared" si="3"/>
        <v>16.666666666666664</v>
      </c>
    </row>
    <row r="207" spans="1:19">
      <c r="M207" t="s">
        <v>2969</v>
      </c>
      <c r="N207">
        <f t="shared" si="3"/>
        <v>10.301204819277107</v>
      </c>
      <c r="O207">
        <f t="shared" si="3"/>
        <v>7.3493975903614457</v>
      </c>
      <c r="P207">
        <f t="shared" si="3"/>
        <v>7.3493975903614457</v>
      </c>
      <c r="Q207">
        <f t="shared" si="3"/>
        <v>15.060240963855421</v>
      </c>
      <c r="R207">
        <f t="shared" si="3"/>
        <v>3.3132530120481922</v>
      </c>
      <c r="S207">
        <f t="shared" si="3"/>
        <v>3.3132530120481922</v>
      </c>
    </row>
    <row r="208" spans="1:19">
      <c r="M208" t="s">
        <v>2971</v>
      </c>
      <c r="N208">
        <f t="shared" si="3"/>
        <v>71.612903225806434</v>
      </c>
      <c r="O208">
        <f t="shared" si="3"/>
        <v>50.215053763440856</v>
      </c>
      <c r="P208">
        <f t="shared" si="3"/>
        <v>50.215053763440856</v>
      </c>
      <c r="Q208">
        <f t="shared" si="3"/>
        <v>105.80645161290322</v>
      </c>
      <c r="R208">
        <f t="shared" si="3"/>
        <v>23.333333333333332</v>
      </c>
      <c r="S208">
        <f t="shared" si="3"/>
        <v>23.333333333333332</v>
      </c>
    </row>
    <row r="209" spans="1:19">
      <c r="M209" t="s">
        <v>2972</v>
      </c>
      <c r="N209">
        <f>SUM(N205:N208)</f>
        <v>193.41737601893973</v>
      </c>
      <c r="O209">
        <f t="shared" ref="O209:S209" si="5">SUM(O205:O208)</f>
        <v>125.01543174595918</v>
      </c>
      <c r="P209">
        <f t="shared" si="5"/>
        <v>196.3226212884428</v>
      </c>
      <c r="Q209">
        <f t="shared" si="5"/>
        <v>283.08891479898085</v>
      </c>
      <c r="R209">
        <f t="shared" si="5"/>
        <v>54.555083077407666</v>
      </c>
      <c r="S209">
        <f t="shared" si="5"/>
        <v>293.05181510355141</v>
      </c>
    </row>
    <row r="210" spans="1:19">
      <c r="M210" t="s">
        <v>2974</v>
      </c>
    </row>
    <row r="212" spans="1:19">
      <c r="C212" t="s">
        <v>764</v>
      </c>
      <c r="D212" t="s">
        <v>2979</v>
      </c>
      <c r="L212" t="s">
        <v>2980</v>
      </c>
    </row>
    <row r="213" spans="1:19">
      <c r="D213" s="317" t="s">
        <v>2954</v>
      </c>
      <c r="E213" s="317"/>
      <c r="F213" s="317"/>
      <c r="G213" s="317" t="s">
        <v>2955</v>
      </c>
      <c r="H213" s="317"/>
      <c r="I213" s="317"/>
      <c r="N213" s="318" t="s">
        <v>2954</v>
      </c>
      <c r="O213" s="318"/>
      <c r="P213" s="318"/>
      <c r="Q213" s="318" t="s">
        <v>2955</v>
      </c>
      <c r="R213" s="318"/>
      <c r="S213" s="318"/>
    </row>
    <row r="214" spans="1:19">
      <c r="D214" t="s">
        <v>2961</v>
      </c>
      <c r="E214" t="s">
        <v>2981</v>
      </c>
      <c r="G214" t="s">
        <v>2961</v>
      </c>
      <c r="H214" t="s">
        <v>2981</v>
      </c>
      <c r="N214" s="141" t="s">
        <v>2961</v>
      </c>
      <c r="O214" s="141" t="s">
        <v>2962</v>
      </c>
      <c r="P214" s="141" t="s">
        <v>2963</v>
      </c>
      <c r="Q214" s="141" t="s">
        <v>2961</v>
      </c>
      <c r="R214" s="141" t="s">
        <v>2962</v>
      </c>
      <c r="S214" s="141" t="s">
        <v>2963</v>
      </c>
    </row>
    <row r="215" spans="1:19">
      <c r="C215" t="s">
        <v>1358</v>
      </c>
      <c r="D215">
        <v>59</v>
      </c>
      <c r="E215">
        <v>33</v>
      </c>
      <c r="F215">
        <v>33</v>
      </c>
      <c r="G215">
        <v>103</v>
      </c>
      <c r="H215">
        <v>23</v>
      </c>
      <c r="I215">
        <v>23</v>
      </c>
      <c r="N215">
        <f>N209+D218</f>
        <v>291.41737601893976</v>
      </c>
      <c r="O215">
        <f t="shared" ref="O215:S215" si="6">O209+E218</f>
        <v>195.01543174595918</v>
      </c>
      <c r="P215">
        <f t="shared" si="6"/>
        <v>266.3226212884428</v>
      </c>
      <c r="Q215">
        <f t="shared" si="6"/>
        <v>428.08891479898085</v>
      </c>
      <c r="R215">
        <f t="shared" si="6"/>
        <v>86.555083077407659</v>
      </c>
      <c r="S215">
        <f t="shared" si="6"/>
        <v>325.05181510355141</v>
      </c>
    </row>
    <row r="216" spans="1:19">
      <c r="C216" t="s">
        <v>2974</v>
      </c>
      <c r="D216">
        <v>18</v>
      </c>
      <c r="E216">
        <v>17</v>
      </c>
      <c r="F216">
        <v>17</v>
      </c>
      <c r="G216">
        <v>27</v>
      </c>
      <c r="H216">
        <v>9</v>
      </c>
      <c r="I216">
        <v>9</v>
      </c>
    </row>
    <row r="217" spans="1:19">
      <c r="C217" t="s">
        <v>2982</v>
      </c>
      <c r="D217">
        <v>21</v>
      </c>
      <c r="E217">
        <v>20</v>
      </c>
      <c r="F217">
        <v>20</v>
      </c>
      <c r="G217">
        <v>15</v>
      </c>
      <c r="H217">
        <v>0</v>
      </c>
      <c r="I217">
        <v>0</v>
      </c>
    </row>
    <row r="218" spans="1:19">
      <c r="C218" t="s">
        <v>2983</v>
      </c>
      <c r="D218">
        <f>SUM(D215:D217)</f>
        <v>98</v>
      </c>
      <c r="E218">
        <f t="shared" ref="E218:I218" si="7">SUM(E215:E217)</f>
        <v>70</v>
      </c>
      <c r="F218">
        <f t="shared" si="7"/>
        <v>70</v>
      </c>
      <c r="G218">
        <f t="shared" si="7"/>
        <v>145</v>
      </c>
      <c r="H218">
        <f t="shared" si="7"/>
        <v>32</v>
      </c>
      <c r="I218">
        <f t="shared" si="7"/>
        <v>32</v>
      </c>
    </row>
    <row r="221" spans="1:19">
      <c r="A221" t="s">
        <v>2984</v>
      </c>
    </row>
    <row r="222" spans="1:19">
      <c r="A222" t="s">
        <v>2985</v>
      </c>
      <c r="B222" t="s">
        <v>2613</v>
      </c>
      <c r="C222" t="s">
        <v>2986</v>
      </c>
    </row>
    <row r="223" spans="1:19">
      <c r="C223" s="141" t="s">
        <v>2987</v>
      </c>
      <c r="D223" s="141" t="s">
        <v>2988</v>
      </c>
      <c r="E223" s="141" t="s">
        <v>2491</v>
      </c>
      <c r="F223" s="141" t="s">
        <v>1345</v>
      </c>
      <c r="G223" s="141" t="s">
        <v>2989</v>
      </c>
      <c r="H223" s="141" t="s">
        <v>2990</v>
      </c>
    </row>
    <row r="224" spans="1:19">
      <c r="C224" s="141" t="s">
        <v>2991</v>
      </c>
      <c r="D224" s="141">
        <v>80.877193000000005</v>
      </c>
      <c r="E224" s="141">
        <v>68.070175399999997</v>
      </c>
      <c r="F224" s="141">
        <v>96.140350900000001</v>
      </c>
      <c r="G224" s="141">
        <v>78.245614000000003</v>
      </c>
      <c r="H224" s="141">
        <v>72.543859600000005</v>
      </c>
    </row>
    <row r="225" spans="2:8">
      <c r="C225" s="141" t="s">
        <v>2992</v>
      </c>
      <c r="D225" s="141">
        <v>82.719298199999997</v>
      </c>
      <c r="E225" s="141">
        <v>70.175438600000007</v>
      </c>
      <c r="F225" s="141">
        <v>94.736842100000004</v>
      </c>
      <c r="G225" s="141">
        <v>80.175438600000007</v>
      </c>
      <c r="H225" s="141">
        <v>74.298245600000001</v>
      </c>
    </row>
    <row r="226" spans="2:8">
      <c r="C226" s="141" t="s">
        <v>2993</v>
      </c>
      <c r="D226" s="141">
        <v>79.122806999999995</v>
      </c>
      <c r="E226" s="141">
        <v>70.964912299999995</v>
      </c>
      <c r="F226" s="141">
        <v>93.596491200000003</v>
      </c>
      <c r="G226" s="141">
        <v>76.754385999999997</v>
      </c>
      <c r="H226" s="141">
        <v>71.140350900000001</v>
      </c>
    </row>
    <row r="227" spans="2:8">
      <c r="C227" s="141" t="s">
        <v>2994</v>
      </c>
      <c r="D227" s="141">
        <v>81.666666699999993</v>
      </c>
      <c r="E227" s="141">
        <v>70.350877199999999</v>
      </c>
      <c r="F227" s="141">
        <v>89.649122800000001</v>
      </c>
      <c r="G227" s="141">
        <v>79.122806999999995</v>
      </c>
      <c r="H227" s="141">
        <v>73.333333300000007</v>
      </c>
    </row>
    <row r="228" spans="2:8">
      <c r="C228" s="141" t="s">
        <v>2995</v>
      </c>
      <c r="D228" s="141">
        <v>78.508771899999999</v>
      </c>
      <c r="E228" s="141">
        <v>73.421052599999996</v>
      </c>
      <c r="F228" s="141">
        <v>85.789473700000002</v>
      </c>
      <c r="G228" s="141">
        <v>76.052631599999998</v>
      </c>
      <c r="H228" s="141">
        <v>70.438596500000003</v>
      </c>
    </row>
    <row r="229" spans="2:8">
      <c r="C229" s="141" t="s">
        <v>2996</v>
      </c>
      <c r="D229" s="141">
        <v>76.315789499999994</v>
      </c>
      <c r="E229" s="141">
        <v>74.736842100000004</v>
      </c>
      <c r="F229" s="141">
        <v>76.140350900000001</v>
      </c>
      <c r="G229" s="141">
        <v>73.947368400000002</v>
      </c>
      <c r="H229" s="141">
        <v>68.508771899999999</v>
      </c>
    </row>
    <row r="230" spans="2:8">
      <c r="C230" s="141" t="s">
        <v>2997</v>
      </c>
      <c r="D230" s="141">
        <v>81.929824600000003</v>
      </c>
      <c r="E230" s="141">
        <v>77.982456099999993</v>
      </c>
      <c r="F230" s="141">
        <v>80.438596500000003</v>
      </c>
      <c r="G230" s="141">
        <v>79.473684199999994</v>
      </c>
      <c r="H230" s="141">
        <v>73.596491200000003</v>
      </c>
    </row>
    <row r="231" spans="2:8">
      <c r="C231" s="163" t="s">
        <v>2998</v>
      </c>
      <c r="D231" s="143">
        <f>SUM(D224:D230)*5</f>
        <v>2805.7017544999999</v>
      </c>
      <c r="E231" s="143">
        <f t="shared" ref="E231:H275" si="8">SUM(E224:E230)*5</f>
        <v>2528.5087715</v>
      </c>
      <c r="F231" s="143">
        <f t="shared" si="8"/>
        <v>3082.4561405000004</v>
      </c>
      <c r="G231" s="143">
        <f t="shared" si="8"/>
        <v>2718.859649</v>
      </c>
      <c r="H231" s="143">
        <f t="shared" si="8"/>
        <v>2519.298245</v>
      </c>
    </row>
    <row r="233" spans="2:8">
      <c r="B233" t="s">
        <v>703</v>
      </c>
      <c r="C233" s="141" t="s">
        <v>2999</v>
      </c>
      <c r="D233" s="247" t="s">
        <v>3000</v>
      </c>
    </row>
    <row r="234" spans="2:8">
      <c r="C234" s="141" t="s">
        <v>2987</v>
      </c>
      <c r="D234" s="141" t="s">
        <v>3001</v>
      </c>
      <c r="E234" s="141" t="s">
        <v>3002</v>
      </c>
      <c r="F234" s="141" t="s">
        <v>164</v>
      </c>
      <c r="G234" s="141" t="s">
        <v>3003</v>
      </c>
      <c r="H234" s="141" t="s">
        <v>3004</v>
      </c>
    </row>
    <row r="235" spans="2:8">
      <c r="C235" s="141" t="s">
        <v>2991</v>
      </c>
      <c r="D235" s="141">
        <v>-17.975708999999998</v>
      </c>
      <c r="E235" s="141">
        <v>6.6396761099999999</v>
      </c>
      <c r="F235" s="141">
        <v>13.441295500000001</v>
      </c>
      <c r="G235">
        <f t="shared" ref="G235:G241" si="9">SUM(D235:F235)</f>
        <v>2.1052626100000023</v>
      </c>
      <c r="H235">
        <f t="shared" ref="H235:H241" si="10">D235+E235</f>
        <v>-11.336032889999998</v>
      </c>
    </row>
    <row r="236" spans="2:8">
      <c r="C236" s="141" t="s">
        <v>2992</v>
      </c>
      <c r="D236" s="141">
        <v>-17.08502</v>
      </c>
      <c r="E236" s="141">
        <v>3.7246963599999998</v>
      </c>
      <c r="F236" s="141">
        <v>13.1983806</v>
      </c>
      <c r="G236">
        <f t="shared" si="9"/>
        <v>-0.16194304000000059</v>
      </c>
      <c r="H236">
        <f t="shared" si="10"/>
        <v>-13.360323640000001</v>
      </c>
    </row>
    <row r="237" spans="2:8">
      <c r="C237" s="141" t="s">
        <v>2993</v>
      </c>
      <c r="D237" s="141">
        <v>-12.064776999999999</v>
      </c>
      <c r="E237" s="141">
        <v>1.94331984</v>
      </c>
      <c r="F237" s="141">
        <v>8.6639676100000003</v>
      </c>
      <c r="G237">
        <f t="shared" si="9"/>
        <v>-1.4574895499999982</v>
      </c>
      <c r="H237">
        <f t="shared" si="10"/>
        <v>-10.121457159999999</v>
      </c>
    </row>
    <row r="238" spans="2:8">
      <c r="C238" s="141" t="s">
        <v>2994</v>
      </c>
      <c r="D238" s="141">
        <v>-18.704453000000001</v>
      </c>
      <c r="E238" s="141">
        <v>2.26720648</v>
      </c>
      <c r="F238" s="141">
        <v>12.145749</v>
      </c>
      <c r="G238">
        <f t="shared" si="9"/>
        <v>-4.2914975200000018</v>
      </c>
      <c r="H238">
        <f t="shared" si="10"/>
        <v>-16.437246520000002</v>
      </c>
    </row>
    <row r="239" spans="2:8">
      <c r="C239" s="141" t="s">
        <v>2995</v>
      </c>
      <c r="D239" s="141">
        <v>-5.3441295999999996</v>
      </c>
      <c r="E239" s="141">
        <v>-0.72874490000000003</v>
      </c>
      <c r="F239" s="141">
        <v>5.4251012100000002</v>
      </c>
      <c r="G239">
        <f t="shared" si="9"/>
        <v>-0.64777328999999906</v>
      </c>
      <c r="H239">
        <f t="shared" si="10"/>
        <v>-6.0728744999999993</v>
      </c>
    </row>
    <row r="240" spans="2:8">
      <c r="C240" s="141" t="s">
        <v>2996</v>
      </c>
      <c r="D240" s="141">
        <v>0</v>
      </c>
      <c r="E240" s="141">
        <v>-1.0526316</v>
      </c>
      <c r="F240" s="141">
        <v>1.6194332</v>
      </c>
      <c r="G240">
        <f t="shared" si="9"/>
        <v>0.56680160000000002</v>
      </c>
      <c r="H240">
        <f t="shared" si="10"/>
        <v>-1.0526316</v>
      </c>
    </row>
    <row r="241" spans="2:8">
      <c r="C241" s="141" t="s">
        <v>2997</v>
      </c>
      <c r="D241" s="141">
        <v>-0.32388660000000002</v>
      </c>
      <c r="E241" s="141">
        <v>0.32388664</v>
      </c>
      <c r="F241" s="141">
        <v>4.1295546600000002</v>
      </c>
      <c r="G241">
        <f t="shared" si="9"/>
        <v>4.1295546999999999</v>
      </c>
      <c r="H241">
        <f t="shared" si="10"/>
        <v>3.9999999978945766E-8</v>
      </c>
    </row>
    <row r="242" spans="2:8">
      <c r="C242" s="163" t="s">
        <v>2998</v>
      </c>
      <c r="D242" s="143">
        <f>SUM(D235:D241)*5</f>
        <v>-357.48987599999998</v>
      </c>
      <c r="E242" s="143">
        <f t="shared" si="8"/>
        <v>65.587044649999996</v>
      </c>
      <c r="F242" s="143">
        <f t="shared" ref="F242:H275" si="11">SUM(F235:F241)*5</f>
        <v>293.11740890000004</v>
      </c>
      <c r="G242" s="143">
        <f t="shared" si="11"/>
        <v>1.2145775500000111</v>
      </c>
      <c r="H242" s="143">
        <f t="shared" si="11"/>
        <v>-291.90283134999993</v>
      </c>
    </row>
    <row r="244" spans="2:8">
      <c r="B244" t="s">
        <v>427</v>
      </c>
      <c r="C244" s="141" t="s">
        <v>3005</v>
      </c>
      <c r="D244" t="s">
        <v>3006</v>
      </c>
    </row>
    <row r="245" spans="2:8">
      <c r="D245" t="s">
        <v>3007</v>
      </c>
      <c r="E245" t="s">
        <v>3008</v>
      </c>
      <c r="F245" t="s">
        <v>3009</v>
      </c>
      <c r="G245" s="141" t="s">
        <v>3003</v>
      </c>
      <c r="H245" s="141" t="s">
        <v>3004</v>
      </c>
    </row>
    <row r="246" spans="2:8">
      <c r="C246" s="141" t="s">
        <v>2991</v>
      </c>
      <c r="D246">
        <v>24.693140794223801</v>
      </c>
      <c r="E246">
        <v>-7.6895306859205599</v>
      </c>
      <c r="F246">
        <v>-16.462093862815799</v>
      </c>
      <c r="G246">
        <f t="shared" ref="G246:G252" si="12">SUM(D246:F246)</f>
        <v>0.54151624548744337</v>
      </c>
      <c r="H246">
        <f t="shared" ref="H246:H252" si="13">D246+E246</f>
        <v>17.003610108303242</v>
      </c>
    </row>
    <row r="247" spans="2:8">
      <c r="C247" s="141" t="s">
        <v>2992</v>
      </c>
      <c r="D247">
        <v>23.826714801443998</v>
      </c>
      <c r="E247">
        <v>-4.0072202166064903</v>
      </c>
      <c r="F247">
        <v>-12.8880866425992</v>
      </c>
      <c r="G247">
        <f t="shared" si="12"/>
        <v>6.931407942238307</v>
      </c>
      <c r="H247">
        <f t="shared" si="13"/>
        <v>19.819494584837507</v>
      </c>
    </row>
    <row r="248" spans="2:8">
      <c r="C248" s="141" t="s">
        <v>2993</v>
      </c>
      <c r="D248">
        <v>25.667870036101</v>
      </c>
      <c r="E248">
        <v>-3.35740072202164</v>
      </c>
      <c r="F248">
        <v>-15.270758122743599</v>
      </c>
      <c r="G248">
        <f t="shared" si="12"/>
        <v>7.0397111913357602</v>
      </c>
      <c r="H248">
        <f t="shared" si="13"/>
        <v>22.310469314079359</v>
      </c>
    </row>
    <row r="249" spans="2:8">
      <c r="C249" s="141" t="s">
        <v>2994</v>
      </c>
      <c r="D249">
        <v>11.588447653429601</v>
      </c>
      <c r="E249">
        <v>-0.54151624548733002</v>
      </c>
      <c r="F249">
        <v>-8.5559566787003192</v>
      </c>
      <c r="G249">
        <f t="shared" si="12"/>
        <v>2.4909747292419517</v>
      </c>
      <c r="H249">
        <f t="shared" si="13"/>
        <v>11.046931407942271</v>
      </c>
    </row>
    <row r="250" spans="2:8">
      <c r="C250" s="141" t="s">
        <v>2995</v>
      </c>
      <c r="D250">
        <v>13.6462093862815</v>
      </c>
      <c r="E250">
        <v>0.21660649819495001</v>
      </c>
      <c r="F250">
        <v>-7.9061371841155097</v>
      </c>
      <c r="G250">
        <f t="shared" si="12"/>
        <v>5.9566787003609409</v>
      </c>
      <c r="H250">
        <f t="shared" si="13"/>
        <v>13.862815884476451</v>
      </c>
    </row>
    <row r="251" spans="2:8">
      <c r="C251" s="141" t="s">
        <v>2996</v>
      </c>
      <c r="D251">
        <v>0.649819494584852</v>
      </c>
      <c r="E251">
        <v>2.59927797833936</v>
      </c>
      <c r="F251">
        <v>0</v>
      </c>
      <c r="G251">
        <f t="shared" si="12"/>
        <v>3.2490974729242121</v>
      </c>
      <c r="H251">
        <f t="shared" si="13"/>
        <v>3.2490974729242121</v>
      </c>
    </row>
    <row r="252" spans="2:8">
      <c r="C252" s="141" t="s">
        <v>2997</v>
      </c>
      <c r="D252">
        <v>-2.5992779783393098</v>
      </c>
      <c r="E252">
        <v>2.16606498194946</v>
      </c>
      <c r="F252">
        <v>1.40794223826717</v>
      </c>
      <c r="G252">
        <f t="shared" si="12"/>
        <v>0.97472924187732013</v>
      </c>
      <c r="H252">
        <f t="shared" si="13"/>
        <v>-0.43321299638984989</v>
      </c>
    </row>
    <row r="253" spans="2:8">
      <c r="C253" s="163" t="s">
        <v>2998</v>
      </c>
      <c r="D253" s="143">
        <f>SUM(D246:D252)*5</f>
        <v>487.36462093862713</v>
      </c>
      <c r="E253" s="143">
        <f t="shared" si="8"/>
        <v>-53.068592057761244</v>
      </c>
      <c r="F253" s="143">
        <f t="shared" si="11"/>
        <v>-298.37545126353626</v>
      </c>
      <c r="G253" s="143">
        <f t="shared" si="11"/>
        <v>135.92057761732968</v>
      </c>
      <c r="H253" s="143">
        <f t="shared" si="11"/>
        <v>434.29602888086583</v>
      </c>
    </row>
    <row r="255" spans="2:8">
      <c r="B255" t="s">
        <v>430</v>
      </c>
      <c r="C255" t="s">
        <v>3010</v>
      </c>
      <c r="D255" t="s">
        <v>3006</v>
      </c>
    </row>
    <row r="256" spans="2:8">
      <c r="D256" t="s">
        <v>3011</v>
      </c>
      <c r="E256" t="s">
        <v>3012</v>
      </c>
      <c r="F256" t="s">
        <v>3013</v>
      </c>
      <c r="G256" s="141" t="s">
        <v>3003</v>
      </c>
      <c r="H256" s="141" t="s">
        <v>3004</v>
      </c>
    </row>
    <row r="257" spans="2:8">
      <c r="C257" s="141" t="s">
        <v>2991</v>
      </c>
      <c r="D257">
        <v>-2.6409266409266401</v>
      </c>
      <c r="E257">
        <v>1.3088803088803</v>
      </c>
      <c r="F257">
        <v>2.6061776061775999</v>
      </c>
      <c r="G257">
        <f t="shared" ref="G257:G263" si="14">SUM(D257:F257)</f>
        <v>1.2741312741312598</v>
      </c>
      <c r="H257">
        <f t="shared" ref="H257:H263" si="15">D257+E257</f>
        <v>-1.33204633204634</v>
      </c>
    </row>
    <row r="258" spans="2:8">
      <c r="C258" s="141" t="s">
        <v>2992</v>
      </c>
      <c r="D258">
        <v>-2.7104247104247099</v>
      </c>
      <c r="E258">
        <v>0.84555984555984498</v>
      </c>
      <c r="F258">
        <v>2.6525096525096501</v>
      </c>
      <c r="G258">
        <f t="shared" si="14"/>
        <v>0.78764478764478518</v>
      </c>
      <c r="H258">
        <f t="shared" si="15"/>
        <v>-1.8648648648648649</v>
      </c>
    </row>
    <row r="259" spans="2:8">
      <c r="C259" s="141" t="s">
        <v>2993</v>
      </c>
      <c r="D259">
        <v>-2.5945945945945899</v>
      </c>
      <c r="E259">
        <v>0.70656370656370604</v>
      </c>
      <c r="F259">
        <v>2.5482625482625401</v>
      </c>
      <c r="G259">
        <f t="shared" si="14"/>
        <v>0.66023166023165625</v>
      </c>
      <c r="H259">
        <f t="shared" si="15"/>
        <v>-1.8880308880308838</v>
      </c>
    </row>
    <row r="260" spans="2:8">
      <c r="C260" s="141" t="s">
        <v>2994</v>
      </c>
      <c r="D260">
        <v>-2.9420849420849402</v>
      </c>
      <c r="E260">
        <v>0.63706563706563601</v>
      </c>
      <c r="F260">
        <v>2.6177606177606099</v>
      </c>
      <c r="G260">
        <f t="shared" si="14"/>
        <v>0.31274131274130568</v>
      </c>
      <c r="H260">
        <f t="shared" si="15"/>
        <v>-2.3050193050193042</v>
      </c>
    </row>
    <row r="261" spans="2:8">
      <c r="C261" s="141" t="s">
        <v>2995</v>
      </c>
      <c r="D261">
        <v>-2.4440154440154398</v>
      </c>
      <c r="E261">
        <v>0.49806949806949802</v>
      </c>
      <c r="F261">
        <v>2.5366795366795301</v>
      </c>
      <c r="G261">
        <f t="shared" si="14"/>
        <v>0.59073359073358822</v>
      </c>
      <c r="H261">
        <f t="shared" si="15"/>
        <v>-1.9459459459459418</v>
      </c>
    </row>
    <row r="262" spans="2:8">
      <c r="C262" s="141" t="s">
        <v>2996</v>
      </c>
      <c r="D262">
        <v>-2.37451737451737</v>
      </c>
      <c r="E262">
        <v>0.451737451737451</v>
      </c>
      <c r="F262">
        <v>2.4555984555984498</v>
      </c>
      <c r="G262">
        <f t="shared" si="14"/>
        <v>0.53281853281853087</v>
      </c>
      <c r="H262">
        <f t="shared" si="15"/>
        <v>-1.9227799227799189</v>
      </c>
    </row>
    <row r="263" spans="2:8">
      <c r="C263" s="141" t="s">
        <v>2997</v>
      </c>
      <c r="D263">
        <v>-2.7799227799227801</v>
      </c>
      <c r="E263">
        <v>0.48648648648648601</v>
      </c>
      <c r="F263">
        <v>2.6293436293436199</v>
      </c>
      <c r="G263">
        <f t="shared" si="14"/>
        <v>0.33590733590732569</v>
      </c>
      <c r="H263">
        <f t="shared" si="15"/>
        <v>-2.2934362934362942</v>
      </c>
    </row>
    <row r="264" spans="2:8">
      <c r="C264" s="163" t="s">
        <v>2998</v>
      </c>
      <c r="D264" s="143">
        <f>SUM(D257:D263)*5</f>
        <v>-92.43243243243235</v>
      </c>
      <c r="E264" s="143">
        <f t="shared" si="8"/>
        <v>24.671814671814612</v>
      </c>
      <c r="F264" s="143">
        <f t="shared" si="11"/>
        <v>90.231660231660001</v>
      </c>
      <c r="G264" s="143">
        <f t="shared" si="11"/>
        <v>22.47104247104226</v>
      </c>
      <c r="H264" s="143">
        <f t="shared" si="11"/>
        <v>-67.760617760617734</v>
      </c>
    </row>
    <row r="266" spans="2:8">
      <c r="B266" t="s">
        <v>788</v>
      </c>
      <c r="C266" t="s">
        <v>3014</v>
      </c>
      <c r="D266" t="s">
        <v>3006</v>
      </c>
    </row>
    <row r="267" spans="2:8">
      <c r="D267" s="141" t="s">
        <v>3015</v>
      </c>
      <c r="E267" s="141" t="s">
        <v>3016</v>
      </c>
      <c r="F267" s="141" t="s">
        <v>3017</v>
      </c>
      <c r="G267" s="141" t="s">
        <v>3003</v>
      </c>
      <c r="H267" s="141" t="s">
        <v>3004</v>
      </c>
    </row>
    <row r="268" spans="2:8">
      <c r="C268" s="141" t="s">
        <v>2991</v>
      </c>
      <c r="D268" s="141">
        <v>-15.694981</v>
      </c>
      <c r="E268" s="141">
        <v>-10.783784000000001</v>
      </c>
      <c r="F268" s="141">
        <v>-9.1505791999999992</v>
      </c>
      <c r="G268">
        <f t="shared" ref="G268:G274" si="16">SUM(D268:F268)</f>
        <v>-35.629344200000006</v>
      </c>
      <c r="H268">
        <f t="shared" ref="H268:H274" si="17">D268+E268</f>
        <v>-26.478765000000003</v>
      </c>
    </row>
    <row r="269" spans="2:8">
      <c r="C269" s="141" t="s">
        <v>2992</v>
      </c>
      <c r="D269" s="141">
        <v>-15.752896</v>
      </c>
      <c r="E269" s="141">
        <v>-11.258687</v>
      </c>
      <c r="F269" s="141">
        <v>-9.0579151000000007</v>
      </c>
      <c r="G269">
        <f t="shared" si="16"/>
        <v>-36.069498100000004</v>
      </c>
      <c r="H269">
        <f t="shared" si="17"/>
        <v>-27.011583000000002</v>
      </c>
    </row>
    <row r="270" spans="2:8">
      <c r="C270" s="141" t="s">
        <v>2993</v>
      </c>
      <c r="D270" s="141">
        <v>-15.602316999999999</v>
      </c>
      <c r="E270" s="141">
        <v>-11.525097000000001</v>
      </c>
      <c r="F270" s="141">
        <v>-9.1969112000000006</v>
      </c>
      <c r="G270">
        <f t="shared" si="16"/>
        <v>-36.324325200000004</v>
      </c>
      <c r="H270">
        <f t="shared" si="17"/>
        <v>-27.127414000000002</v>
      </c>
    </row>
    <row r="271" spans="2:8">
      <c r="C271" s="141" t="s">
        <v>2994</v>
      </c>
      <c r="D271" s="141">
        <v>-15.857143000000001</v>
      </c>
      <c r="E271" s="141">
        <v>-11.606178</v>
      </c>
      <c r="F271" s="141">
        <v>-9.1158301000000002</v>
      </c>
      <c r="G271">
        <f t="shared" si="16"/>
        <v>-36.579151100000004</v>
      </c>
      <c r="H271">
        <f t="shared" si="17"/>
        <v>-27.463321000000001</v>
      </c>
    </row>
    <row r="272" spans="2:8">
      <c r="C272" s="141" t="s">
        <v>2995</v>
      </c>
      <c r="D272" s="141">
        <v>-15.46332</v>
      </c>
      <c r="E272" s="141">
        <v>-11.803089</v>
      </c>
      <c r="F272" s="141">
        <v>-9.2432432000000002</v>
      </c>
      <c r="G272">
        <f t="shared" si="16"/>
        <v>-36.509652199999998</v>
      </c>
      <c r="H272">
        <f t="shared" si="17"/>
        <v>-27.266408999999999</v>
      </c>
    </row>
    <row r="273" spans="1:20">
      <c r="C273" s="141" t="s">
        <v>2996</v>
      </c>
      <c r="D273" s="141">
        <v>-15.393822</v>
      </c>
      <c r="E273" s="141">
        <v>-11.837838</v>
      </c>
      <c r="F273" s="141">
        <v>-9.3127413000000008</v>
      </c>
      <c r="G273">
        <f t="shared" si="16"/>
        <v>-36.544401299999997</v>
      </c>
      <c r="H273">
        <f t="shared" si="17"/>
        <v>-27.231659999999998</v>
      </c>
    </row>
    <row r="274" spans="1:20">
      <c r="C274" s="141" t="s">
        <v>2997</v>
      </c>
      <c r="D274" s="141">
        <v>-15.706564</v>
      </c>
      <c r="E274" s="141">
        <v>-11.814672</v>
      </c>
      <c r="F274" s="141">
        <v>-9.0810811000000005</v>
      </c>
      <c r="G274">
        <f t="shared" si="16"/>
        <v>-36.6023171</v>
      </c>
      <c r="H274">
        <f t="shared" si="17"/>
        <v>-27.521236000000002</v>
      </c>
    </row>
    <row r="275" spans="1:20">
      <c r="C275" s="163" t="s">
        <v>2998</v>
      </c>
      <c r="D275" s="143">
        <f>SUM(D268:D274)*5</f>
        <v>-547.35521499999993</v>
      </c>
      <c r="E275" s="143">
        <f t="shared" si="8"/>
        <v>-403.146725</v>
      </c>
      <c r="F275" s="143">
        <f t="shared" si="11"/>
        <v>-320.79150599999997</v>
      </c>
      <c r="G275" s="143">
        <f t="shared" si="11"/>
        <v>-1271.2934460000001</v>
      </c>
      <c r="H275" s="143">
        <f t="shared" si="11"/>
        <v>-950.5019400000001</v>
      </c>
    </row>
    <row r="277" spans="1:20">
      <c r="A277" t="s">
        <v>3018</v>
      </c>
      <c r="G277" t="s">
        <v>1759</v>
      </c>
      <c r="H277" t="s">
        <v>3019</v>
      </c>
      <c r="I277" t="s">
        <v>1752</v>
      </c>
      <c r="J277" t="s">
        <v>3020</v>
      </c>
      <c r="K277" t="s">
        <v>1761</v>
      </c>
    </row>
    <row r="278" spans="1:20">
      <c r="A278" t="s">
        <v>3021</v>
      </c>
      <c r="C278" s="316" t="s">
        <v>3022</v>
      </c>
      <c r="D278" s="316"/>
      <c r="E278" s="316"/>
      <c r="F278" s="179">
        <v>2015</v>
      </c>
      <c r="G278" s="152">
        <v>36735840909.090897</v>
      </c>
      <c r="H278" s="152">
        <v>36735840909.090897</v>
      </c>
      <c r="I278" s="152">
        <v>36735840909.090897</v>
      </c>
      <c r="J278" s="152">
        <v>36735840909.090897</v>
      </c>
      <c r="K278" s="152">
        <v>36735840909.090897</v>
      </c>
    </row>
    <row r="279" spans="1:20">
      <c r="C279" s="316"/>
      <c r="D279" s="316"/>
      <c r="E279" s="316"/>
      <c r="F279" s="248">
        <v>2040</v>
      </c>
      <c r="G279" s="249">
        <v>39275000000</v>
      </c>
      <c r="H279" s="249">
        <v>39796522727.272705</v>
      </c>
      <c r="I279" s="249">
        <v>40035181818.181801</v>
      </c>
      <c r="J279" s="249">
        <v>39272306818.181801</v>
      </c>
      <c r="K279" s="249">
        <v>39129772727.272705</v>
      </c>
    </row>
    <row r="280" spans="1:20">
      <c r="C280" s="316"/>
      <c r="D280" s="316"/>
      <c r="E280" s="316"/>
      <c r="F280" s="179">
        <v>2050.16129032258</v>
      </c>
      <c r="G280" s="152">
        <v>39589931818.181793</v>
      </c>
      <c r="H280" s="152">
        <v>40141454545.454498</v>
      </c>
      <c r="I280" s="152">
        <v>40471704545.454498</v>
      </c>
      <c r="J280" s="152">
        <v>39582340909.090904</v>
      </c>
      <c r="K280" s="152">
        <v>39324090909.090897</v>
      </c>
    </row>
    <row r="281" spans="1:20">
      <c r="C281" s="316"/>
      <c r="D281" s="316"/>
      <c r="E281" s="316"/>
      <c r="F281" s="248">
        <v>2060</v>
      </c>
      <c r="G281" s="249">
        <v>39472863636.363602</v>
      </c>
      <c r="H281" s="249">
        <v>39851363636.363602</v>
      </c>
      <c r="I281" s="249">
        <v>40260227272.727196</v>
      </c>
      <c r="J281" s="249">
        <v>39295431818.181801</v>
      </c>
      <c r="K281" s="249">
        <v>39128409090.909004</v>
      </c>
    </row>
    <row r="282" spans="1:20">
      <c r="C282" t="s">
        <v>3023</v>
      </c>
      <c r="G282" s="152">
        <f>G278*25+G279*10+G280*10+G281*10</f>
        <v>2101773977272.7263</v>
      </c>
      <c r="H282" s="152">
        <f t="shared" ref="H282:K282" si="18">H278*25+H279*10+H280*10+H281*10</f>
        <v>2116289431818.1804</v>
      </c>
      <c r="I282" s="152">
        <f t="shared" si="18"/>
        <v>2126067159090.9072</v>
      </c>
      <c r="J282" s="152">
        <f t="shared" si="18"/>
        <v>2099896818181.8174</v>
      </c>
      <c r="K282" s="152">
        <f t="shared" si="18"/>
        <v>2094218749999.9985</v>
      </c>
    </row>
    <row r="283" spans="1:20">
      <c r="G283" s="152"/>
      <c r="H283" s="152"/>
      <c r="I283" s="152"/>
      <c r="J283" s="152"/>
      <c r="K283" s="152"/>
    </row>
    <row r="285" spans="1:20">
      <c r="A285" t="s">
        <v>3024</v>
      </c>
      <c r="B285" t="s">
        <v>3025</v>
      </c>
    </row>
    <row r="286" spans="1:20">
      <c r="B286" s="141"/>
      <c r="C286" s="141"/>
      <c r="D286" s="141" t="s">
        <v>1216</v>
      </c>
      <c r="E286" s="141">
        <v>0</v>
      </c>
      <c r="F286" s="141">
        <v>1</v>
      </c>
      <c r="G286" s="141">
        <v>2</v>
      </c>
      <c r="H286" s="141">
        <v>3</v>
      </c>
      <c r="I286" s="141">
        <v>4</v>
      </c>
      <c r="J286" s="141"/>
      <c r="K286" s="141"/>
      <c r="L286" s="141"/>
      <c r="M286" s="141"/>
      <c r="N286" s="141"/>
      <c r="O286" s="141"/>
      <c r="P286" s="141"/>
      <c r="Q286" s="141"/>
      <c r="R286" s="141"/>
      <c r="S286" s="141"/>
      <c r="T286" s="141"/>
    </row>
    <row r="287" spans="1:20">
      <c r="B287" s="217" t="s">
        <v>2615</v>
      </c>
      <c r="C287" s="141"/>
      <c r="D287" s="141"/>
      <c r="E287" s="141">
        <v>80.851060000000004</v>
      </c>
      <c r="F287" s="141">
        <v>68.510639999999995</v>
      </c>
      <c r="G287" s="141">
        <v>96.170209999999997</v>
      </c>
      <c r="H287" s="141">
        <v>78.723399999999998</v>
      </c>
      <c r="I287" s="141">
        <v>72.765960000000007</v>
      </c>
      <c r="J287" s="141"/>
      <c r="K287" s="141"/>
      <c r="L287" s="141"/>
      <c r="N287" s="141"/>
      <c r="O287" s="141"/>
      <c r="P287" s="141"/>
      <c r="Q287" s="141"/>
      <c r="R287" s="141"/>
      <c r="S287" s="141"/>
      <c r="T287" s="141"/>
    </row>
    <row r="288" spans="1:20">
      <c r="B288" s="141"/>
      <c r="C288" s="141"/>
      <c r="D288" s="141"/>
      <c r="E288" s="141">
        <v>83.404259999999994</v>
      </c>
      <c r="F288" s="141">
        <v>70.638300000000001</v>
      </c>
      <c r="G288" s="141">
        <v>94.468090000000004</v>
      </c>
      <c r="H288" s="141">
        <v>80.425529999999995</v>
      </c>
      <c r="I288" s="141">
        <v>74.468090000000004</v>
      </c>
      <c r="J288" s="141"/>
      <c r="K288" s="141"/>
      <c r="L288" s="141"/>
      <c r="M288" s="141"/>
      <c r="N288" s="141"/>
      <c r="O288" s="141"/>
      <c r="P288" s="141"/>
      <c r="Q288" s="141"/>
      <c r="R288" s="141"/>
      <c r="S288" s="141"/>
      <c r="T288" s="141"/>
    </row>
    <row r="289" spans="2:20">
      <c r="B289" s="141"/>
      <c r="C289" s="141"/>
      <c r="D289" s="141"/>
      <c r="E289" s="141">
        <v>79.148939999999996</v>
      </c>
      <c r="F289" s="141">
        <v>70.638300000000001</v>
      </c>
      <c r="G289" s="141">
        <v>93.617019999999997</v>
      </c>
      <c r="H289" s="141">
        <v>76.595740000000006</v>
      </c>
      <c r="I289" s="141">
        <v>71.489360000000005</v>
      </c>
      <c r="J289" s="141"/>
      <c r="K289" s="141"/>
      <c r="L289" s="141"/>
      <c r="M289" s="141"/>
      <c r="N289" s="141"/>
      <c r="O289" s="141"/>
      <c r="P289" s="141"/>
      <c r="Q289" s="141"/>
      <c r="R289" s="141"/>
      <c r="S289" s="141"/>
      <c r="T289" s="141"/>
    </row>
    <row r="290" spans="2:20">
      <c r="B290" s="141"/>
      <c r="C290" s="141"/>
      <c r="D290" s="141"/>
      <c r="E290" s="141">
        <v>81.702129999999997</v>
      </c>
      <c r="F290" s="141">
        <v>70.638300000000001</v>
      </c>
      <c r="G290" s="141">
        <v>89.361699999999999</v>
      </c>
      <c r="H290" s="141">
        <v>79.574470000000005</v>
      </c>
      <c r="I290" s="141">
        <v>73.617019999999997</v>
      </c>
      <c r="J290" s="141"/>
      <c r="K290" s="141"/>
      <c r="L290" s="141"/>
      <c r="M290" s="141"/>
      <c r="N290" s="141"/>
      <c r="O290" s="141"/>
      <c r="P290" s="141"/>
      <c r="Q290" s="141"/>
      <c r="R290" s="141"/>
      <c r="S290" s="141"/>
      <c r="T290" s="141"/>
    </row>
    <row r="291" spans="2:20">
      <c r="B291" s="141"/>
      <c r="C291" s="141"/>
      <c r="D291" s="141"/>
      <c r="E291" s="141">
        <v>78.297870000000003</v>
      </c>
      <c r="F291" s="141">
        <v>73.617019999999997</v>
      </c>
      <c r="G291" s="141">
        <v>85.957449999999994</v>
      </c>
      <c r="H291" s="141">
        <v>76.170209999999997</v>
      </c>
      <c r="I291" s="141">
        <v>70.638300000000001</v>
      </c>
      <c r="J291" s="141"/>
      <c r="K291" s="141"/>
      <c r="L291" s="141"/>
      <c r="M291" s="141"/>
      <c r="N291" s="141"/>
      <c r="O291" s="141"/>
      <c r="P291" s="141"/>
      <c r="Q291" s="141"/>
      <c r="R291" s="141"/>
      <c r="S291" s="141"/>
      <c r="T291" s="141"/>
    </row>
    <row r="292" spans="2:20">
      <c r="B292" s="141"/>
      <c r="C292" s="141"/>
      <c r="D292" s="141"/>
      <c r="E292" s="141">
        <v>75.744680000000002</v>
      </c>
      <c r="F292" s="141">
        <v>74.893619999999999</v>
      </c>
      <c r="G292" s="141">
        <v>76.595740000000006</v>
      </c>
      <c r="H292" s="141">
        <v>74.042550000000006</v>
      </c>
      <c r="I292" s="141">
        <v>68.936170000000004</v>
      </c>
      <c r="J292" s="141"/>
      <c r="K292" s="141"/>
      <c r="L292" s="141"/>
      <c r="M292" s="141"/>
      <c r="N292" s="141"/>
      <c r="O292" s="141"/>
      <c r="P292" s="141"/>
      <c r="Q292" s="141"/>
      <c r="R292" s="141"/>
      <c r="S292" s="141"/>
      <c r="T292" s="141"/>
    </row>
    <row r="293" spans="2:20">
      <c r="B293" s="141"/>
      <c r="C293" s="141"/>
      <c r="D293" s="141"/>
      <c r="E293" s="141">
        <v>82.553190000000001</v>
      </c>
      <c r="F293" s="141">
        <v>78.297870000000003</v>
      </c>
      <c r="G293" s="141">
        <v>80.851060000000004</v>
      </c>
      <c r="H293" s="141">
        <v>79.574470000000005</v>
      </c>
      <c r="I293" s="141">
        <v>73.617019999999997</v>
      </c>
      <c r="J293" s="141"/>
      <c r="K293" s="141"/>
      <c r="L293" s="141"/>
      <c r="M293" s="141"/>
      <c r="N293" s="141"/>
      <c r="O293" s="141"/>
      <c r="P293" s="141"/>
      <c r="Q293" s="141"/>
      <c r="R293" s="141"/>
      <c r="S293" s="141"/>
      <c r="T293" s="141"/>
    </row>
    <row r="294" spans="2:20">
      <c r="B294" s="141"/>
      <c r="C294" s="141"/>
      <c r="D294" s="141" t="s">
        <v>2616</v>
      </c>
      <c r="E294" s="163">
        <v>80.243160000000003</v>
      </c>
      <c r="F294" s="163">
        <v>72.462010000000006</v>
      </c>
      <c r="G294" s="163">
        <v>88.145899999999997</v>
      </c>
      <c r="H294" s="163">
        <v>77.872339999999994</v>
      </c>
      <c r="I294" s="163">
        <v>72.21884</v>
      </c>
      <c r="J294" s="141"/>
      <c r="K294" s="141"/>
      <c r="L294" s="141"/>
      <c r="M294" s="141"/>
      <c r="N294" s="141"/>
      <c r="O294" s="141"/>
      <c r="P294" s="141"/>
      <c r="Q294" s="141"/>
      <c r="R294" s="141"/>
      <c r="S294" s="141"/>
      <c r="T294" s="141"/>
    </row>
    <row r="295" spans="2:20">
      <c r="B295" s="141"/>
      <c r="C295" s="141"/>
      <c r="D295" s="141" t="s">
        <v>3026</v>
      </c>
      <c r="E295" s="141">
        <v>2808.511</v>
      </c>
      <c r="F295" s="141">
        <v>2536.17</v>
      </c>
      <c r="G295" s="141">
        <v>3085.1060000000002</v>
      </c>
      <c r="H295" s="141">
        <v>2725.5320000000002</v>
      </c>
      <c r="I295" s="141">
        <v>2527.66</v>
      </c>
      <c r="J295" s="141"/>
      <c r="K295" s="141"/>
      <c r="L295" s="141"/>
      <c r="M295" s="141"/>
      <c r="N295" s="141"/>
      <c r="O295" s="141"/>
      <c r="P295" s="141"/>
      <c r="Q295" s="141"/>
      <c r="R295" s="141"/>
      <c r="S295" s="141"/>
      <c r="T295" s="141"/>
    </row>
    <row r="296" spans="2:20">
      <c r="B296" s="141"/>
      <c r="C296" s="141"/>
      <c r="D296" s="141"/>
      <c r="E296" s="141" t="s">
        <v>2617</v>
      </c>
      <c r="F296" s="141">
        <v>1</v>
      </c>
      <c r="G296" s="141">
        <v>2</v>
      </c>
      <c r="H296" s="141">
        <v>3</v>
      </c>
      <c r="I296" s="141">
        <v>4</v>
      </c>
      <c r="J296" s="141"/>
      <c r="K296" s="141"/>
      <c r="L296" s="141"/>
      <c r="M296" s="141"/>
      <c r="N296" s="141"/>
      <c r="O296" s="141"/>
      <c r="P296" s="141"/>
      <c r="Q296" s="141"/>
      <c r="R296" s="141"/>
      <c r="S296" s="141"/>
      <c r="T296" s="141"/>
    </row>
    <row r="297" spans="2:20">
      <c r="B297" s="141"/>
      <c r="C297" s="141"/>
      <c r="D297" s="141" t="s">
        <v>1337</v>
      </c>
      <c r="E297" s="141"/>
      <c r="F297" s="218" t="s">
        <v>703</v>
      </c>
      <c r="G297" s="141" t="s">
        <v>427</v>
      </c>
      <c r="H297" s="218" t="s">
        <v>2621</v>
      </c>
      <c r="I297" s="218" t="s">
        <v>2620</v>
      </c>
      <c r="J297" s="141"/>
      <c r="K297" s="141"/>
      <c r="L297" s="141"/>
      <c r="M297" s="141"/>
      <c r="N297" s="141"/>
      <c r="O297" s="141"/>
      <c r="P297" s="141"/>
      <c r="Q297" s="141"/>
      <c r="R297" s="141"/>
      <c r="S297" s="141"/>
      <c r="T297" s="141"/>
    </row>
    <row r="298" spans="2:20">
      <c r="B298" s="141"/>
      <c r="C298" s="141"/>
      <c r="D298" s="217" t="s">
        <v>2623</v>
      </c>
      <c r="E298" s="141" t="s">
        <v>2991</v>
      </c>
      <c r="F298" s="219">
        <v>-17.840900000000001</v>
      </c>
      <c r="G298" s="219">
        <v>24.49541</v>
      </c>
      <c r="H298" s="219">
        <v>-2.5858599999999998</v>
      </c>
      <c r="I298" s="220">
        <v>-8.9655199999999997</v>
      </c>
      <c r="J298" s="141"/>
      <c r="K298" s="141"/>
      <c r="L298" s="141"/>
      <c r="M298" s="141"/>
      <c r="N298" s="141"/>
      <c r="O298" s="141"/>
      <c r="P298" s="141"/>
      <c r="Q298" s="141"/>
      <c r="R298" s="141"/>
      <c r="S298" s="141"/>
      <c r="T298" s="141"/>
    </row>
    <row r="299" spans="2:20">
      <c r="B299" s="141"/>
      <c r="C299" s="141"/>
      <c r="D299" s="141"/>
      <c r="E299" s="141" t="s">
        <v>2992</v>
      </c>
      <c r="F299" s="219">
        <v>-16.818200000000001</v>
      </c>
      <c r="G299" s="219">
        <v>23.57798</v>
      </c>
      <c r="H299" s="219">
        <v>-2.6565699999999999</v>
      </c>
      <c r="I299" s="220">
        <v>-8.9655199999999997</v>
      </c>
      <c r="J299" s="141"/>
      <c r="K299" s="141"/>
      <c r="L299" s="141"/>
      <c r="M299" s="141"/>
      <c r="N299" s="141"/>
      <c r="O299" s="141"/>
      <c r="P299" s="141"/>
      <c r="Q299" s="141"/>
      <c r="R299" s="141"/>
      <c r="S299" s="141"/>
      <c r="T299" s="141"/>
    </row>
    <row r="300" spans="2:20">
      <c r="B300" s="141"/>
      <c r="C300" s="141"/>
      <c r="D300" s="141"/>
      <c r="E300" s="141" t="s">
        <v>2993</v>
      </c>
      <c r="F300" s="219">
        <v>-12.045500000000001</v>
      </c>
      <c r="G300" s="219">
        <v>25.412839999999999</v>
      </c>
      <c r="H300" s="219">
        <v>-2.5151500000000002</v>
      </c>
      <c r="I300" s="220">
        <v>-8.5862099999999995</v>
      </c>
      <c r="J300" s="141"/>
      <c r="K300" s="141"/>
      <c r="L300" s="141"/>
      <c r="M300" s="141"/>
      <c r="N300" s="141"/>
      <c r="O300" s="141"/>
      <c r="P300" s="141"/>
      <c r="Q300" s="141"/>
      <c r="R300" s="141"/>
      <c r="S300" s="141"/>
      <c r="T300" s="141"/>
    </row>
    <row r="301" spans="2:20">
      <c r="B301" s="141"/>
      <c r="C301" s="141"/>
      <c r="D301" s="141"/>
      <c r="E301" s="141" t="s">
        <v>2994</v>
      </c>
      <c r="F301" s="219">
        <v>-18.5227</v>
      </c>
      <c r="G301" s="219">
        <v>11.65138</v>
      </c>
      <c r="H301" s="219">
        <v>-2.9393899999999999</v>
      </c>
      <c r="I301" s="220">
        <v>-9.34483</v>
      </c>
      <c r="J301" s="141"/>
      <c r="K301" s="141"/>
      <c r="L301" s="141"/>
      <c r="M301" s="141"/>
      <c r="N301" s="141"/>
      <c r="O301" s="141"/>
      <c r="P301" s="141"/>
      <c r="Q301" s="141"/>
      <c r="R301" s="141"/>
      <c r="S301" s="141"/>
      <c r="T301" s="141"/>
    </row>
    <row r="302" spans="2:20">
      <c r="B302" s="141"/>
      <c r="C302" s="141"/>
      <c r="D302" s="141"/>
      <c r="E302" s="141" t="s">
        <v>2995</v>
      </c>
      <c r="F302" s="219">
        <v>-5.2272699999999999</v>
      </c>
      <c r="G302" s="219">
        <v>13.48624</v>
      </c>
      <c r="H302" s="219">
        <v>-2.5151500000000002</v>
      </c>
      <c r="I302" s="220">
        <v>-8.2068999999999992</v>
      </c>
      <c r="J302" s="141"/>
      <c r="K302" s="141"/>
      <c r="L302" s="141"/>
      <c r="M302" s="141"/>
      <c r="N302" s="141"/>
      <c r="O302" s="141"/>
      <c r="P302" s="141"/>
      <c r="Q302" s="141"/>
      <c r="R302" s="141"/>
      <c r="S302" s="141"/>
      <c r="T302" s="141"/>
    </row>
    <row r="303" spans="2:20">
      <c r="B303" s="141"/>
      <c r="C303" s="141"/>
      <c r="D303" s="141"/>
      <c r="E303" s="141" t="s">
        <v>2996</v>
      </c>
      <c r="F303" s="219">
        <v>0.227273</v>
      </c>
      <c r="G303" s="219">
        <v>1.1009169999999999</v>
      </c>
      <c r="H303" s="219">
        <v>-2.3737400000000002</v>
      </c>
      <c r="I303" s="220">
        <v>-8.0172399999999993</v>
      </c>
      <c r="J303" s="141"/>
      <c r="K303" s="141"/>
      <c r="L303" s="141"/>
      <c r="M303" s="141"/>
      <c r="N303" s="141"/>
      <c r="O303" s="141"/>
      <c r="P303" s="141"/>
      <c r="Q303" s="141"/>
      <c r="R303" s="141"/>
      <c r="S303" s="141"/>
      <c r="T303" s="141"/>
    </row>
    <row r="304" spans="2:20">
      <c r="B304" s="141"/>
      <c r="C304" s="141"/>
      <c r="D304" s="141"/>
      <c r="E304" s="141" t="s">
        <v>2997</v>
      </c>
      <c r="F304" s="219">
        <v>-0.45455000000000001</v>
      </c>
      <c r="G304" s="219">
        <v>-2.11009</v>
      </c>
      <c r="H304" s="219">
        <v>-2.7979799999999999</v>
      </c>
      <c r="I304" s="220">
        <v>-8.9655199999999997</v>
      </c>
      <c r="J304" s="141"/>
      <c r="K304" s="141"/>
      <c r="L304" s="141"/>
      <c r="M304" s="141"/>
      <c r="N304" s="141"/>
      <c r="O304" s="141"/>
      <c r="P304" s="141"/>
      <c r="Q304" s="141"/>
      <c r="R304" s="141"/>
      <c r="S304" s="141"/>
      <c r="T304" s="141"/>
    </row>
    <row r="305" spans="2:20">
      <c r="B305" s="141"/>
      <c r="C305" s="141"/>
      <c r="D305" s="217" t="s">
        <v>2616</v>
      </c>
      <c r="E305" s="141"/>
      <c r="F305" s="217">
        <v>-10.0974</v>
      </c>
      <c r="G305" s="217">
        <v>13.94495</v>
      </c>
      <c r="H305" s="217">
        <v>-2.6262599999999998</v>
      </c>
      <c r="I305" s="217">
        <v>-8.7216699999999996</v>
      </c>
      <c r="J305" s="141"/>
      <c r="K305" s="141"/>
      <c r="L305" s="141"/>
      <c r="M305" s="141"/>
      <c r="N305" s="141"/>
      <c r="O305" s="141"/>
      <c r="P305" s="141"/>
      <c r="Q305" s="141"/>
      <c r="R305" s="141"/>
      <c r="S305" s="141"/>
      <c r="T305" s="141"/>
    </row>
    <row r="306" spans="2:20">
      <c r="B306" s="141"/>
      <c r="C306" s="141"/>
      <c r="D306" s="250" t="s">
        <v>3027</v>
      </c>
      <c r="E306" s="251"/>
      <c r="F306" s="251">
        <f>F305*30</f>
        <v>-302.92200000000003</v>
      </c>
      <c r="G306" s="251">
        <f t="shared" ref="G306:I336" si="19">G305*30</f>
        <v>418.3485</v>
      </c>
      <c r="H306" s="251">
        <f t="shared" si="19"/>
        <v>-78.78779999999999</v>
      </c>
      <c r="I306" s="251">
        <f t="shared" si="19"/>
        <v>-261.65010000000001</v>
      </c>
      <c r="J306" s="141"/>
      <c r="K306" s="141"/>
      <c r="L306" s="141"/>
      <c r="M306" s="141"/>
      <c r="N306" s="141"/>
      <c r="O306" s="141"/>
      <c r="P306" s="141"/>
      <c r="Q306" s="141"/>
      <c r="R306" s="141"/>
      <c r="S306" s="141"/>
      <c r="T306" s="141"/>
    </row>
    <row r="307" spans="2:20">
      <c r="B307" s="141"/>
      <c r="C307" s="141"/>
      <c r="D307" s="141"/>
      <c r="E307" s="141"/>
      <c r="F307" s="141"/>
      <c r="G307" s="141"/>
      <c r="H307" s="141"/>
      <c r="I307" s="141"/>
      <c r="J307" s="141"/>
      <c r="K307" s="141"/>
      <c r="L307" s="141"/>
      <c r="M307" s="141"/>
      <c r="N307" s="141" t="s">
        <v>2617</v>
      </c>
      <c r="O307" s="141">
        <v>1</v>
      </c>
      <c r="P307" s="141">
        <v>2</v>
      </c>
      <c r="Q307" s="141">
        <v>3</v>
      </c>
      <c r="R307" s="141">
        <v>4</v>
      </c>
      <c r="S307" s="141"/>
      <c r="T307" s="141"/>
    </row>
    <row r="308" spans="2:20">
      <c r="B308" s="141"/>
      <c r="C308" s="141"/>
      <c r="D308" s="217" t="s">
        <v>230</v>
      </c>
      <c r="E308" s="141" t="s">
        <v>2991</v>
      </c>
      <c r="F308" s="225">
        <v>7.0454549999999996</v>
      </c>
      <c r="G308" s="225">
        <v>-7.6146799999999999</v>
      </c>
      <c r="H308" s="141">
        <v>0.66666700000000001</v>
      </c>
      <c r="I308" s="252">
        <v>2.0344799999999998</v>
      </c>
      <c r="J308" s="151" t="s">
        <v>3028</v>
      </c>
      <c r="K308" s="151"/>
      <c r="L308" s="151"/>
      <c r="M308" s="217" t="s">
        <v>3029</v>
      </c>
      <c r="N308" s="141" t="s">
        <v>2991</v>
      </c>
      <c r="O308" s="141">
        <v>-10.795500000000001</v>
      </c>
      <c r="P308" s="141">
        <v>16.88073</v>
      </c>
      <c r="Q308" s="141">
        <v>-1.91919</v>
      </c>
      <c r="R308" s="141">
        <v>-6.9310299999999998</v>
      </c>
      <c r="S308" s="141"/>
      <c r="T308" s="141"/>
    </row>
    <row r="309" spans="2:20">
      <c r="B309" s="141"/>
      <c r="C309" s="141"/>
      <c r="D309" s="141"/>
      <c r="E309" s="141" t="s">
        <v>2992</v>
      </c>
      <c r="F309" s="225">
        <v>3.6363639999999999</v>
      </c>
      <c r="G309" s="225">
        <v>-3.94495</v>
      </c>
      <c r="H309" s="141">
        <v>0.45454499999999998</v>
      </c>
      <c r="I309" s="252">
        <v>1.65517</v>
      </c>
      <c r="J309" s="141"/>
      <c r="K309" s="141"/>
      <c r="L309" s="141"/>
      <c r="M309" s="141"/>
      <c r="N309" s="141" t="s">
        <v>2992</v>
      </c>
      <c r="O309" s="141">
        <v>-13.181800000000001</v>
      </c>
      <c r="P309" s="141">
        <v>19.633030000000002</v>
      </c>
      <c r="Q309" s="141">
        <v>-2.2020200000000001</v>
      </c>
      <c r="R309" s="141">
        <v>-7.3103400000000001</v>
      </c>
      <c r="S309" s="141"/>
      <c r="T309" s="141"/>
    </row>
    <row r="310" spans="2:20">
      <c r="B310" s="141"/>
      <c r="C310" s="141"/>
      <c r="D310" s="141"/>
      <c r="E310" s="141" t="s">
        <v>2993</v>
      </c>
      <c r="F310" s="225">
        <v>1.931818</v>
      </c>
      <c r="G310" s="225">
        <v>-3.48624</v>
      </c>
      <c r="H310" s="141">
        <v>0.45454499999999998</v>
      </c>
      <c r="I310" s="252">
        <v>1.65517</v>
      </c>
      <c r="J310" s="141"/>
      <c r="K310" s="141"/>
      <c r="L310" s="141"/>
      <c r="M310" s="141"/>
      <c r="N310" s="141" t="s">
        <v>2993</v>
      </c>
      <c r="O310" s="141">
        <v>-10.1136</v>
      </c>
      <c r="P310" s="141">
        <v>21.92661</v>
      </c>
      <c r="Q310" s="141">
        <v>-2.0606100000000001</v>
      </c>
      <c r="R310" s="141">
        <v>-6.9310299999999998</v>
      </c>
      <c r="S310" s="141"/>
      <c r="T310" s="141"/>
    </row>
    <row r="311" spans="2:20">
      <c r="B311" s="141"/>
      <c r="C311" s="141"/>
      <c r="D311" s="141"/>
      <c r="E311" s="141" t="s">
        <v>2994</v>
      </c>
      <c r="F311" s="225">
        <v>1.931818</v>
      </c>
      <c r="G311" s="225">
        <v>-0.73394000000000004</v>
      </c>
      <c r="H311" s="141">
        <v>0.45454499999999998</v>
      </c>
      <c r="I311" s="252">
        <v>1.65517</v>
      </c>
      <c r="J311" s="141"/>
      <c r="K311" s="141"/>
      <c r="L311" s="141"/>
      <c r="M311" s="141"/>
      <c r="N311" s="141" t="s">
        <v>2994</v>
      </c>
      <c r="O311" s="141">
        <v>-16.590900000000001</v>
      </c>
      <c r="P311" s="141">
        <v>10.91743</v>
      </c>
      <c r="Q311" s="141">
        <v>-2.4848499999999998</v>
      </c>
      <c r="R311" s="141">
        <v>-7.6896599999999999</v>
      </c>
      <c r="S311" s="141"/>
      <c r="T311" s="141"/>
    </row>
    <row r="312" spans="2:20">
      <c r="B312" s="141"/>
      <c r="C312" s="141"/>
      <c r="D312" s="141"/>
      <c r="E312" s="141" t="s">
        <v>2995</v>
      </c>
      <c r="F312" s="225">
        <v>-0.45455000000000001</v>
      </c>
      <c r="G312" s="225">
        <v>0.18348600000000001</v>
      </c>
      <c r="H312" s="141">
        <v>0.45454499999999998</v>
      </c>
      <c r="I312" s="252">
        <v>1.65517</v>
      </c>
      <c r="J312" s="141"/>
      <c r="K312" s="141"/>
      <c r="L312" s="141"/>
      <c r="M312" s="141"/>
      <c r="N312" s="141" t="s">
        <v>2995</v>
      </c>
      <c r="O312" s="141">
        <v>-5.6818200000000001</v>
      </c>
      <c r="P312" s="141">
        <v>13.66972</v>
      </c>
      <c r="Q312" s="141">
        <v>-2.0606100000000001</v>
      </c>
      <c r="R312" s="141">
        <v>-6.5517200000000004</v>
      </c>
      <c r="S312" s="141"/>
      <c r="T312" s="141"/>
    </row>
    <row r="313" spans="2:20">
      <c r="B313" s="141"/>
      <c r="C313" s="141"/>
      <c r="D313" s="141"/>
      <c r="E313" s="141" t="s">
        <v>2996</v>
      </c>
      <c r="F313" s="225">
        <v>-0.79544999999999999</v>
      </c>
      <c r="G313" s="225">
        <v>2.9357799999999998</v>
      </c>
      <c r="H313" s="141">
        <v>0.31313099999999999</v>
      </c>
      <c r="I313" s="252">
        <v>1.4655199999999999</v>
      </c>
      <c r="J313" s="141"/>
      <c r="K313" s="141"/>
      <c r="L313" s="141"/>
      <c r="M313" s="141"/>
      <c r="N313" s="141" t="s">
        <v>2996</v>
      </c>
      <c r="O313" s="141">
        <v>-0.56818000000000002</v>
      </c>
      <c r="P313" s="141">
        <v>4.0366970000000002</v>
      </c>
      <c r="Q313" s="141">
        <v>-2.0606100000000001</v>
      </c>
      <c r="R313" s="141">
        <v>-6.5517200000000004</v>
      </c>
      <c r="S313" s="141"/>
      <c r="T313" s="141"/>
    </row>
    <row r="314" spans="2:20">
      <c r="B314" s="141"/>
      <c r="C314" s="141"/>
      <c r="D314" s="141"/>
      <c r="E314" s="141" t="s">
        <v>2997</v>
      </c>
      <c r="F314" s="225">
        <v>0.56818199999999996</v>
      </c>
      <c r="G314" s="225">
        <v>2.0183490000000002</v>
      </c>
      <c r="H314" s="141">
        <v>0.52525299999999997</v>
      </c>
      <c r="I314" s="252">
        <v>1.4655199999999999</v>
      </c>
      <c r="J314" s="141"/>
      <c r="K314" s="141"/>
      <c r="L314" s="141"/>
      <c r="M314" s="141"/>
      <c r="N314" s="141" t="s">
        <v>2997</v>
      </c>
      <c r="O314" s="141">
        <v>0.113636</v>
      </c>
      <c r="P314" s="141">
        <v>-9.1740000000000002E-2</v>
      </c>
      <c r="Q314" s="141">
        <v>-2.2727300000000001</v>
      </c>
      <c r="R314" s="141">
        <v>-7.5</v>
      </c>
      <c r="S314" s="141"/>
      <c r="T314" s="141"/>
    </row>
    <row r="315" spans="2:20">
      <c r="B315" s="141"/>
      <c r="C315" s="141"/>
      <c r="D315" s="217" t="s">
        <v>2616</v>
      </c>
      <c r="E315" s="141"/>
      <c r="F315" s="217">
        <v>1.9805189999999999</v>
      </c>
      <c r="G315" s="217">
        <v>-1.5203100000000001</v>
      </c>
      <c r="H315" s="217">
        <v>0.47474699999999997</v>
      </c>
      <c r="I315" s="217">
        <v>1.6551720000000001</v>
      </c>
      <c r="J315" s="141"/>
      <c r="K315" s="141"/>
      <c r="L315" s="141"/>
      <c r="M315" s="217" t="s">
        <v>2616</v>
      </c>
      <c r="N315" s="217"/>
      <c r="O315" s="217">
        <v>-8.1168800000000001</v>
      </c>
      <c r="P315" s="217">
        <v>12.42464</v>
      </c>
      <c r="Q315" s="217">
        <v>-2.1515200000000001</v>
      </c>
      <c r="R315" s="217">
        <v>-7.0664999999999996</v>
      </c>
      <c r="S315" s="141"/>
      <c r="T315" s="141"/>
    </row>
    <row r="316" spans="2:20">
      <c r="B316" s="141"/>
      <c r="C316" s="141"/>
      <c r="D316" s="141" t="s">
        <v>3027</v>
      </c>
      <c r="E316" s="141"/>
      <c r="F316" s="141">
        <v>59.415579999999999</v>
      </c>
      <c r="G316" s="141">
        <v>-45.609400000000001</v>
      </c>
      <c r="H316" s="141">
        <v>14.242419999999999</v>
      </c>
      <c r="I316" s="141">
        <v>49.655169999999998</v>
      </c>
      <c r="J316" s="141"/>
      <c r="K316" s="141"/>
      <c r="L316" s="141"/>
      <c r="M316" s="250" t="s">
        <v>3027</v>
      </c>
      <c r="N316" s="251"/>
      <c r="O316" s="251">
        <f>O315*30</f>
        <v>-243.50640000000001</v>
      </c>
      <c r="P316" s="251">
        <f t="shared" ref="P316:Q316" si="20">P315*30</f>
        <v>372.73919999999998</v>
      </c>
      <c r="Q316" s="251">
        <f t="shared" si="20"/>
        <v>-64.545600000000007</v>
      </c>
      <c r="R316" s="251">
        <f>R315*30</f>
        <v>-211.99499999999998</v>
      </c>
      <c r="S316" s="141"/>
      <c r="T316" s="141"/>
    </row>
    <row r="317" spans="2:20">
      <c r="B317" s="141"/>
      <c r="C317" s="141"/>
      <c r="D317" s="141"/>
      <c r="E317" s="141"/>
      <c r="F317" s="141"/>
      <c r="G317" s="141"/>
      <c r="H317" s="141"/>
      <c r="I317" s="141"/>
      <c r="J317" s="141"/>
      <c r="K317" s="141"/>
      <c r="L317" s="141"/>
      <c r="M317" s="141"/>
      <c r="N317" s="141"/>
      <c r="O317" s="141"/>
      <c r="P317" s="141"/>
      <c r="Q317" s="141"/>
      <c r="R317" s="141"/>
      <c r="S317" s="141"/>
      <c r="T317" s="141"/>
    </row>
    <row r="318" spans="2:20">
      <c r="B318" s="141"/>
      <c r="C318" s="141"/>
      <c r="D318" s="217" t="s">
        <v>2626</v>
      </c>
      <c r="E318" s="141" t="s">
        <v>2991</v>
      </c>
      <c r="F318" s="221">
        <v>13.18182</v>
      </c>
      <c r="G318" s="221">
        <v>-16.789000000000001</v>
      </c>
      <c r="H318" s="221">
        <v>2.575758</v>
      </c>
      <c r="I318" s="226">
        <v>8.4827600000000007</v>
      </c>
      <c r="J318" s="141"/>
      <c r="K318" s="141"/>
      <c r="L318" s="141"/>
      <c r="M318" s="141"/>
      <c r="N318" s="141"/>
      <c r="O318" s="141"/>
      <c r="P318" s="141"/>
      <c r="Q318" s="141"/>
      <c r="R318" s="141"/>
      <c r="S318" s="141"/>
      <c r="T318" s="141"/>
    </row>
    <row r="319" spans="2:20">
      <c r="B319" s="141"/>
      <c r="C319" s="141"/>
      <c r="D319" s="141"/>
      <c r="E319" s="141" t="s">
        <v>2992</v>
      </c>
      <c r="F319" s="221">
        <v>13.18182</v>
      </c>
      <c r="G319" s="221">
        <v>-13.119300000000001</v>
      </c>
      <c r="H319" s="221">
        <v>2.6464650000000001</v>
      </c>
      <c r="I319" s="226">
        <v>8.8620699999999992</v>
      </c>
      <c r="J319" s="141"/>
      <c r="K319" s="141"/>
      <c r="L319" s="141"/>
      <c r="M319" s="141"/>
      <c r="N319" s="141"/>
      <c r="O319" s="141"/>
      <c r="P319" s="141"/>
      <c r="Q319" s="141"/>
      <c r="R319" s="141"/>
      <c r="S319" s="141"/>
      <c r="T319" s="141"/>
    </row>
    <row r="320" spans="2:20">
      <c r="B320" s="141"/>
      <c r="C320" s="141"/>
      <c r="D320" s="141"/>
      <c r="E320" s="141" t="s">
        <v>2993</v>
      </c>
      <c r="F320" s="221">
        <v>8.4090910000000001</v>
      </c>
      <c r="G320" s="221">
        <v>-15.412800000000001</v>
      </c>
      <c r="H320" s="221">
        <v>2.575758</v>
      </c>
      <c r="I320" s="226">
        <v>8.4827600000000007</v>
      </c>
      <c r="J320" s="141"/>
      <c r="K320" s="141"/>
      <c r="L320" s="141"/>
      <c r="M320" s="141"/>
      <c r="N320" s="141"/>
      <c r="O320" s="141"/>
      <c r="P320" s="141"/>
      <c r="Q320" s="141"/>
      <c r="R320" s="141"/>
      <c r="S320" s="141"/>
      <c r="T320" s="141"/>
    </row>
    <row r="321" spans="2:20">
      <c r="B321" s="141"/>
      <c r="C321" s="141"/>
      <c r="D321" s="141"/>
      <c r="E321" s="141" t="s">
        <v>2994</v>
      </c>
      <c r="F321" s="221">
        <v>11.81818</v>
      </c>
      <c r="G321" s="221">
        <v>-8.5321099999999994</v>
      </c>
      <c r="H321" s="221">
        <v>2.575758</v>
      </c>
      <c r="I321" s="226">
        <v>8.4827600000000007</v>
      </c>
      <c r="J321" s="141"/>
      <c r="K321" s="141"/>
      <c r="L321" s="141"/>
      <c r="M321" s="141"/>
      <c r="N321" s="141"/>
      <c r="O321" s="141"/>
      <c r="P321" s="141"/>
      <c r="Q321" s="141"/>
      <c r="R321" s="141"/>
      <c r="S321" s="141"/>
      <c r="T321" s="141"/>
    </row>
    <row r="322" spans="2:20">
      <c r="B322" s="141"/>
      <c r="C322" s="141"/>
      <c r="D322" s="141"/>
      <c r="E322" s="141" t="s">
        <v>2995</v>
      </c>
      <c r="F322" s="221">
        <v>5.3409089999999999</v>
      </c>
      <c r="G322" s="221">
        <v>-7.6146799999999999</v>
      </c>
      <c r="H322" s="221">
        <v>2.5050509999999999</v>
      </c>
      <c r="I322" s="226">
        <v>8.2931000000000008</v>
      </c>
      <c r="J322" s="141"/>
      <c r="K322" s="141"/>
      <c r="L322" s="141"/>
      <c r="M322" s="141"/>
      <c r="N322" s="141"/>
      <c r="O322" s="141"/>
      <c r="P322" s="141"/>
      <c r="Q322" s="141"/>
      <c r="R322" s="141"/>
      <c r="S322" s="141"/>
      <c r="T322" s="141"/>
    </row>
    <row r="323" spans="2:20">
      <c r="B323" s="141"/>
      <c r="C323" s="141"/>
      <c r="D323" s="141"/>
      <c r="E323" s="141" t="s">
        <v>2996</v>
      </c>
      <c r="F323" s="221">
        <v>1.5909089999999999</v>
      </c>
      <c r="G323" s="221">
        <v>-0.27522999999999997</v>
      </c>
      <c r="H323" s="221">
        <v>2.4343430000000001</v>
      </c>
      <c r="I323" s="226">
        <v>8.1034500000000005</v>
      </c>
      <c r="J323" s="141"/>
      <c r="K323" s="141"/>
      <c r="L323" s="141"/>
      <c r="M323" s="141"/>
      <c r="N323" s="141"/>
      <c r="O323" s="141"/>
      <c r="P323" s="141"/>
      <c r="Q323" s="141"/>
      <c r="R323" s="141"/>
      <c r="S323" s="141"/>
      <c r="T323" s="141"/>
    </row>
    <row r="324" spans="2:20">
      <c r="B324" s="141"/>
      <c r="C324" s="141"/>
      <c r="D324" s="141"/>
      <c r="E324" s="141" t="s">
        <v>2997</v>
      </c>
      <c r="F324" s="221">
        <v>3.9772729999999998</v>
      </c>
      <c r="G324" s="221">
        <v>1.559633</v>
      </c>
      <c r="H324" s="221">
        <v>2.6464650000000001</v>
      </c>
      <c r="I324" s="226">
        <v>8.6724099999999993</v>
      </c>
      <c r="J324" s="141"/>
      <c r="K324" s="141"/>
      <c r="L324" s="141"/>
      <c r="M324" s="141"/>
      <c r="N324" s="141"/>
      <c r="O324" s="141"/>
      <c r="P324" s="141"/>
      <c r="Q324" s="141"/>
      <c r="R324" s="141"/>
      <c r="S324" s="141"/>
      <c r="T324" s="141"/>
    </row>
    <row r="325" spans="2:20">
      <c r="B325" s="141"/>
      <c r="C325" s="141"/>
      <c r="D325" s="217" t="s">
        <v>2616</v>
      </c>
      <c r="E325" s="141"/>
      <c r="F325" s="217">
        <v>8.2142859999999995</v>
      </c>
      <c r="G325" s="217">
        <v>-8.5976400000000002</v>
      </c>
      <c r="H325" s="217">
        <v>2.5656569999999999</v>
      </c>
      <c r="I325" s="217">
        <v>8.4827589999999997</v>
      </c>
      <c r="J325" s="141"/>
      <c r="K325" s="141"/>
      <c r="L325" s="141"/>
      <c r="M325" s="141"/>
      <c r="N325" s="141"/>
      <c r="O325" s="141"/>
      <c r="P325" s="141"/>
      <c r="Q325" s="141"/>
      <c r="R325" s="141"/>
      <c r="S325" s="141"/>
      <c r="T325" s="141"/>
    </row>
    <row r="326" spans="2:20">
      <c r="B326" s="141"/>
      <c r="C326" s="141"/>
      <c r="D326" s="141" t="s">
        <v>3027</v>
      </c>
      <c r="E326" s="141"/>
      <c r="F326" s="141">
        <v>246.42859999999999</v>
      </c>
      <c r="G326" s="141">
        <v>-257.92899999999997</v>
      </c>
      <c r="H326" s="141">
        <v>76.969700000000003</v>
      </c>
      <c r="I326" s="141">
        <v>254.4828</v>
      </c>
      <c r="J326" s="141"/>
      <c r="K326" s="141"/>
      <c r="L326" s="141"/>
      <c r="M326" s="141"/>
      <c r="N326" s="141"/>
      <c r="O326" s="141"/>
      <c r="P326" s="141"/>
      <c r="Q326" s="141"/>
      <c r="R326" s="141"/>
      <c r="S326" s="141"/>
      <c r="T326" s="141"/>
    </row>
    <row r="327" spans="2:20">
      <c r="B327" s="141"/>
      <c r="C327" s="141"/>
      <c r="D327" s="141"/>
      <c r="E327" s="141"/>
      <c r="F327" s="141"/>
      <c r="G327" s="141"/>
      <c r="H327" s="141"/>
      <c r="I327" s="141"/>
      <c r="J327" s="141"/>
      <c r="K327" s="141"/>
      <c r="L327" s="141"/>
      <c r="M327" s="141"/>
      <c r="N327" s="141"/>
      <c r="O327" s="141"/>
      <c r="P327" s="141"/>
      <c r="Q327" s="141"/>
      <c r="R327" s="141"/>
      <c r="S327" s="141"/>
      <c r="T327" s="141"/>
    </row>
    <row r="328" spans="2:20">
      <c r="B328" s="141"/>
      <c r="C328" s="141"/>
      <c r="D328" s="217" t="s">
        <v>2624</v>
      </c>
      <c r="E328" s="141" t="s">
        <v>2991</v>
      </c>
      <c r="F328" s="223">
        <v>2.2727270000000002</v>
      </c>
      <c r="G328" s="223">
        <v>0.64220200000000005</v>
      </c>
      <c r="H328" s="223">
        <v>1.3030299999999999</v>
      </c>
      <c r="I328" s="224">
        <v>4.3103400000000001</v>
      </c>
      <c r="J328" s="141"/>
      <c r="K328" s="141"/>
      <c r="L328" s="141"/>
      <c r="M328" s="141"/>
      <c r="N328" s="141"/>
      <c r="O328" s="141"/>
      <c r="P328" s="141"/>
      <c r="Q328" s="141"/>
      <c r="R328" s="141"/>
      <c r="S328" s="141"/>
      <c r="T328" s="141"/>
    </row>
    <row r="329" spans="2:20">
      <c r="B329" s="141"/>
      <c r="C329" s="141"/>
      <c r="D329" s="217" t="s">
        <v>2625</v>
      </c>
      <c r="E329" s="141" t="s">
        <v>2992</v>
      </c>
      <c r="F329" s="223">
        <v>-0.45455000000000001</v>
      </c>
      <c r="G329" s="223">
        <v>7.0642199999999997</v>
      </c>
      <c r="H329" s="223">
        <v>1.3030299999999999</v>
      </c>
      <c r="I329" s="224">
        <v>4.3103400000000001</v>
      </c>
      <c r="J329" s="141"/>
      <c r="K329" s="141"/>
      <c r="L329" s="141"/>
      <c r="M329" s="141"/>
      <c r="N329" s="141"/>
      <c r="O329" s="141"/>
      <c r="P329" s="141"/>
      <c r="Q329" s="141"/>
      <c r="R329" s="141"/>
      <c r="S329" s="141"/>
      <c r="T329" s="141"/>
    </row>
    <row r="330" spans="2:20">
      <c r="B330" s="141"/>
      <c r="C330" s="141"/>
      <c r="D330" s="141"/>
      <c r="E330" s="141" t="s">
        <v>2993</v>
      </c>
      <c r="F330" s="223">
        <v>-1.4772700000000001</v>
      </c>
      <c r="G330" s="223">
        <v>6.1467890000000001</v>
      </c>
      <c r="H330" s="223">
        <v>0.87878800000000001</v>
      </c>
      <c r="I330" s="224">
        <v>2.60345</v>
      </c>
      <c r="J330" s="141"/>
      <c r="K330" s="141"/>
      <c r="L330" s="141"/>
      <c r="M330" s="141"/>
      <c r="N330" s="141"/>
      <c r="O330" s="141"/>
      <c r="P330" s="141"/>
      <c r="Q330" s="141"/>
      <c r="R330" s="141"/>
      <c r="S330" s="141"/>
      <c r="T330" s="141"/>
    </row>
    <row r="331" spans="2:20">
      <c r="B331" s="141"/>
      <c r="C331" s="141"/>
      <c r="D331" s="141"/>
      <c r="E331" s="141" t="s">
        <v>2994</v>
      </c>
      <c r="F331" s="223">
        <v>-4.2045500000000002</v>
      </c>
      <c r="G331" s="223">
        <v>2.4770639999999999</v>
      </c>
      <c r="H331" s="223">
        <v>0.87878800000000001</v>
      </c>
      <c r="I331" s="224">
        <v>2.60345</v>
      </c>
      <c r="J331" s="141"/>
      <c r="K331" s="141"/>
      <c r="L331" s="141"/>
      <c r="M331" s="141"/>
      <c r="N331" s="141"/>
      <c r="O331" s="141"/>
      <c r="P331" s="141"/>
      <c r="Q331" s="141"/>
      <c r="R331" s="141"/>
      <c r="S331" s="141"/>
      <c r="T331" s="141"/>
    </row>
    <row r="332" spans="2:20">
      <c r="B332" s="141"/>
      <c r="C332" s="141"/>
      <c r="D332" s="141"/>
      <c r="E332" s="141" t="s">
        <v>2995</v>
      </c>
      <c r="F332" s="223">
        <v>-0.79544999999999999</v>
      </c>
      <c r="G332" s="223">
        <v>6.1467890000000001</v>
      </c>
      <c r="H332" s="223">
        <v>0.66666700000000001</v>
      </c>
      <c r="I332" s="224">
        <v>2.0344799999999998</v>
      </c>
      <c r="J332" s="141"/>
      <c r="K332" s="141"/>
      <c r="L332" s="141"/>
      <c r="M332" s="141"/>
      <c r="N332" s="141"/>
      <c r="O332" s="141"/>
      <c r="P332" s="141"/>
      <c r="Q332" s="141"/>
      <c r="R332" s="141"/>
      <c r="S332" s="141"/>
      <c r="T332" s="141"/>
    </row>
    <row r="333" spans="2:20">
      <c r="B333" s="141"/>
      <c r="C333" s="141"/>
      <c r="D333" s="141"/>
      <c r="E333" s="141" t="s">
        <v>2996</v>
      </c>
      <c r="F333" s="223">
        <v>0.90909099999999998</v>
      </c>
      <c r="G333" s="223">
        <v>3.8532109999999999</v>
      </c>
      <c r="H333" s="223">
        <v>0.66666700000000001</v>
      </c>
      <c r="I333" s="224">
        <v>2.0344799999999998</v>
      </c>
      <c r="J333" s="141"/>
      <c r="K333" s="141"/>
      <c r="L333" s="141"/>
      <c r="M333" s="141"/>
      <c r="N333" s="141"/>
      <c r="O333" s="141"/>
      <c r="P333" s="141"/>
      <c r="Q333" s="141"/>
      <c r="R333" s="141"/>
      <c r="S333" s="141"/>
      <c r="T333" s="141"/>
    </row>
    <row r="334" spans="2:20">
      <c r="B334" s="141"/>
      <c r="C334" s="141"/>
      <c r="D334" s="141"/>
      <c r="E334" s="141" t="s">
        <v>2997</v>
      </c>
      <c r="F334" s="223">
        <v>3.6363639999999999</v>
      </c>
      <c r="G334" s="223">
        <v>1.559633</v>
      </c>
      <c r="H334" s="223">
        <v>0.31313099999999999</v>
      </c>
      <c r="I334" s="224">
        <v>1.27586</v>
      </c>
      <c r="J334" s="141"/>
      <c r="K334" s="141"/>
      <c r="L334" s="141"/>
      <c r="M334" s="141"/>
      <c r="N334" s="141"/>
      <c r="O334" s="141"/>
      <c r="P334" s="141"/>
      <c r="Q334" s="141"/>
      <c r="R334" s="141"/>
      <c r="S334" s="141"/>
      <c r="T334" s="141"/>
    </row>
    <row r="335" spans="2:20">
      <c r="B335" s="141"/>
      <c r="C335" s="141"/>
      <c r="D335" s="217" t="s">
        <v>2616</v>
      </c>
      <c r="E335" s="141"/>
      <c r="F335" s="217">
        <v>-1.6230000000000001E-2</v>
      </c>
      <c r="G335" s="217">
        <v>3.984273</v>
      </c>
      <c r="H335" s="217">
        <v>0.85858599999999996</v>
      </c>
      <c r="I335" s="217">
        <v>2.7389160000000001</v>
      </c>
      <c r="J335" s="141"/>
      <c r="K335" s="141"/>
      <c r="L335" s="141"/>
      <c r="M335" s="141"/>
      <c r="N335" s="141"/>
      <c r="O335" s="141"/>
      <c r="P335" s="141"/>
      <c r="Q335" s="141"/>
      <c r="R335" s="141"/>
      <c r="S335" s="141"/>
      <c r="T335" s="141"/>
    </row>
    <row r="336" spans="2:20">
      <c r="B336" s="141"/>
      <c r="C336" s="141"/>
      <c r="D336" s="250" t="s">
        <v>3026</v>
      </c>
      <c r="E336" s="251"/>
      <c r="F336" s="251">
        <f>F335*30</f>
        <v>-0.48690000000000005</v>
      </c>
      <c r="G336" s="251">
        <f t="shared" si="19"/>
        <v>119.52819</v>
      </c>
      <c r="H336" s="251">
        <f t="shared" si="19"/>
        <v>25.757579999999997</v>
      </c>
      <c r="I336" s="251">
        <f t="shared" si="19"/>
        <v>82.167479999999998</v>
      </c>
      <c r="J336" s="141"/>
      <c r="K336" s="141"/>
      <c r="L336" s="141"/>
      <c r="M336" s="141"/>
      <c r="N336" s="141"/>
      <c r="O336" s="141"/>
      <c r="P336" s="141"/>
      <c r="Q336" s="141"/>
      <c r="R336" s="141"/>
      <c r="S336" s="141"/>
      <c r="T336" s="141"/>
    </row>
    <row r="337" spans="1:28">
      <c r="B337" s="141"/>
      <c r="C337" s="141"/>
      <c r="D337" s="141"/>
      <c r="E337" s="141"/>
      <c r="F337" s="141"/>
      <c r="G337" s="141"/>
      <c r="H337" s="141"/>
      <c r="I337" s="141"/>
      <c r="J337" s="141"/>
      <c r="K337" s="141"/>
      <c r="L337" s="141"/>
      <c r="M337" s="141"/>
      <c r="N337" s="141"/>
      <c r="O337" s="141"/>
      <c r="P337" s="141"/>
      <c r="Q337" s="141"/>
      <c r="R337" s="141"/>
      <c r="S337" s="141"/>
      <c r="T337" s="141"/>
    </row>
    <row r="338" spans="1:28">
      <c r="A338" t="s">
        <v>3030</v>
      </c>
      <c r="B338">
        <f>156*2*8</f>
        <v>2496</v>
      </c>
      <c r="C338" t="s">
        <v>3031</v>
      </c>
      <c r="E338">
        <f>156*2*8</f>
        <v>2496</v>
      </c>
      <c r="F338" t="s">
        <v>3032</v>
      </c>
    </row>
    <row r="339" spans="1:28">
      <c r="A339" t="s">
        <v>785</v>
      </c>
      <c r="B339" s="238" t="s">
        <v>3033</v>
      </c>
      <c r="F339" s="238" t="s">
        <v>927</v>
      </c>
      <c r="G339" t="s">
        <v>3034</v>
      </c>
      <c r="I339" t="s">
        <v>809</v>
      </c>
      <c r="K339" t="s">
        <v>808</v>
      </c>
      <c r="N339" s="238" t="s">
        <v>3035</v>
      </c>
      <c r="O339" t="s">
        <v>3034</v>
      </c>
      <c r="Q339" t="s">
        <v>809</v>
      </c>
      <c r="S339" t="s">
        <v>808</v>
      </c>
      <c r="V339" t="s">
        <v>2630</v>
      </c>
      <c r="W339" t="s">
        <v>3034</v>
      </c>
      <c r="Y339" t="s">
        <v>809</v>
      </c>
      <c r="AA339" t="s">
        <v>808</v>
      </c>
    </row>
    <row r="340" spans="1:28">
      <c r="A340" t="s">
        <v>398</v>
      </c>
      <c r="C340" t="s">
        <v>812</v>
      </c>
      <c r="D340" t="s">
        <v>260</v>
      </c>
      <c r="F340" t="s">
        <v>540</v>
      </c>
      <c r="G340" t="s">
        <v>812</v>
      </c>
      <c r="H340" t="s">
        <v>260</v>
      </c>
      <c r="I340" t="s">
        <v>812</v>
      </c>
      <c r="J340" t="s">
        <v>260</v>
      </c>
      <c r="K340" t="s">
        <v>812</v>
      </c>
      <c r="L340" t="s">
        <v>260</v>
      </c>
      <c r="N340" t="s">
        <v>398</v>
      </c>
      <c r="O340" t="s">
        <v>812</v>
      </c>
      <c r="P340" t="s">
        <v>260</v>
      </c>
      <c r="Q340" t="s">
        <v>812</v>
      </c>
      <c r="R340" t="s">
        <v>260</v>
      </c>
      <c r="S340" t="s">
        <v>812</v>
      </c>
      <c r="T340" t="s">
        <v>260</v>
      </c>
      <c r="V340" t="s">
        <v>540</v>
      </c>
      <c r="W340" t="s">
        <v>812</v>
      </c>
      <c r="X340" t="s">
        <v>260</v>
      </c>
      <c r="Y340" t="s">
        <v>812</v>
      </c>
      <c r="Z340" t="s">
        <v>260</v>
      </c>
      <c r="AA340" t="s">
        <v>812</v>
      </c>
      <c r="AB340" t="s">
        <v>260</v>
      </c>
    </row>
    <row r="341" spans="1:28">
      <c r="A341" s="253" t="s">
        <v>3036</v>
      </c>
      <c r="B341" t="s">
        <v>3037</v>
      </c>
      <c r="C341">
        <v>35.094000000000001</v>
      </c>
      <c r="D341">
        <v>28.074999999999999</v>
      </c>
      <c r="F341" t="s">
        <v>3038</v>
      </c>
      <c r="G341">
        <v>1135</v>
      </c>
      <c r="H341">
        <v>521</v>
      </c>
      <c r="I341">
        <v>1135</v>
      </c>
      <c r="J341">
        <v>521</v>
      </c>
      <c r="K341">
        <v>1135</v>
      </c>
      <c r="L341">
        <v>521</v>
      </c>
    </row>
    <row r="342" spans="1:28">
      <c r="A342" s="253" t="s">
        <v>3036</v>
      </c>
      <c r="B342" t="s">
        <v>3039</v>
      </c>
      <c r="C342">
        <v>7.31</v>
      </c>
      <c r="D342">
        <v>2.7949999999999999</v>
      </c>
      <c r="F342" t="s">
        <v>3040</v>
      </c>
      <c r="G342">
        <v>38</v>
      </c>
      <c r="H342">
        <v>20</v>
      </c>
      <c r="I342">
        <v>38</v>
      </c>
      <c r="J342">
        <v>24</v>
      </c>
      <c r="K342">
        <v>38</v>
      </c>
      <c r="L342">
        <v>40</v>
      </c>
    </row>
    <row r="343" spans="1:28">
      <c r="A343" s="253" t="s">
        <v>196</v>
      </c>
      <c r="B343" t="s">
        <v>3041</v>
      </c>
      <c r="C343">
        <v>-161.49</v>
      </c>
      <c r="D343">
        <v>-64.394000000000005</v>
      </c>
      <c r="F343" t="s">
        <v>3042</v>
      </c>
      <c r="G343">
        <v>214</v>
      </c>
      <c r="H343">
        <v>146</v>
      </c>
      <c r="I343">
        <v>197</v>
      </c>
      <c r="J343">
        <v>134</v>
      </c>
      <c r="K343">
        <v>199</v>
      </c>
      <c r="L343">
        <v>134</v>
      </c>
    </row>
    <row r="344" spans="1:28">
      <c r="A344" s="253" t="s">
        <v>196</v>
      </c>
      <c r="B344" t="s">
        <v>3043</v>
      </c>
      <c r="C344">
        <v>0</v>
      </c>
      <c r="D344">
        <v>-64.013999999999996</v>
      </c>
    </row>
    <row r="345" spans="1:28">
      <c r="B345" t="s">
        <v>2630</v>
      </c>
      <c r="C345">
        <v>-119.086</v>
      </c>
      <c r="D345">
        <v>-97.537999999999997</v>
      </c>
      <c r="G345">
        <f t="shared" ref="G345:L345" si="21">SUM(G341:G343)</f>
        <v>1387</v>
      </c>
      <c r="H345">
        <f t="shared" si="21"/>
        <v>687</v>
      </c>
      <c r="I345">
        <f t="shared" si="21"/>
        <v>1370</v>
      </c>
      <c r="J345">
        <f t="shared" si="21"/>
        <v>679</v>
      </c>
      <c r="K345">
        <f t="shared" si="21"/>
        <v>1372</v>
      </c>
      <c r="L345">
        <f t="shared" si="21"/>
        <v>695</v>
      </c>
      <c r="O345">
        <v>293.02325581395303</v>
      </c>
      <c r="P345">
        <v>353.48837209302297</v>
      </c>
      <c r="Q345">
        <v>164.34108527131701</v>
      </c>
      <c r="R345">
        <v>234.10852713178301</v>
      </c>
      <c r="S345">
        <v>269.767441860465</v>
      </c>
      <c r="T345">
        <v>310.07751937984398</v>
      </c>
      <c r="W345">
        <f>O345*0.1+G345+$C345*0.1</f>
        <v>1404.3937255813953</v>
      </c>
      <c r="X345">
        <f>P345*0.1+H345+$D345*0.1</f>
        <v>712.59503720930229</v>
      </c>
      <c r="Y345">
        <f>Q345*0.1+I345+$C345*0.1</f>
        <v>1374.5255085271317</v>
      </c>
      <c r="Z345">
        <f>R345*0.1+J345+$D345*0.1</f>
        <v>692.65705271317836</v>
      </c>
      <c r="AA345">
        <f>S345*0.1+K345+$C345*0.1</f>
        <v>1387.0681441860465</v>
      </c>
      <c r="AB345">
        <f>T345*0.1+L345+$D345*0.1</f>
        <v>716.25395193798443</v>
      </c>
    </row>
    <row r="348" spans="1:28">
      <c r="C348" t="s">
        <v>3034</v>
      </c>
      <c r="E348" t="s">
        <v>809</v>
      </c>
      <c r="G348" t="s">
        <v>808</v>
      </c>
      <c r="U348" t="s">
        <v>2626</v>
      </c>
    </row>
    <row r="349" spans="1:28">
      <c r="A349" t="s">
        <v>3044</v>
      </c>
      <c r="B349" t="s">
        <v>1611</v>
      </c>
      <c r="C349" t="s">
        <v>812</v>
      </c>
      <c r="D349" t="s">
        <v>260</v>
      </c>
      <c r="E349" t="s">
        <v>812</v>
      </c>
      <c r="F349" t="s">
        <v>260</v>
      </c>
      <c r="G349" t="s">
        <v>812</v>
      </c>
      <c r="H349" t="s">
        <v>260</v>
      </c>
    </row>
    <row r="350" spans="1:28">
      <c r="B350" t="s">
        <v>927</v>
      </c>
      <c r="C350">
        <v>1.0401746724890799</v>
      </c>
      <c r="D350">
        <v>0.52139737991266299</v>
      </c>
      <c r="E350">
        <v>1.03493449781659</v>
      </c>
      <c r="F350">
        <v>0.51877729257641902</v>
      </c>
      <c r="G350">
        <v>1.03493449781659</v>
      </c>
      <c r="H350">
        <v>0.53187772925764099</v>
      </c>
    </row>
    <row r="351" spans="1:28">
      <c r="B351" t="s">
        <v>3035</v>
      </c>
      <c r="C351">
        <v>0.29344978165938801</v>
      </c>
      <c r="D351">
        <v>0.35633187772925701</v>
      </c>
      <c r="E351">
        <v>0.27248908296943197</v>
      </c>
      <c r="F351">
        <v>0.31179039301310002</v>
      </c>
      <c r="G351">
        <v>0.40087336244541499</v>
      </c>
      <c r="H351">
        <v>0.43231441048034902</v>
      </c>
    </row>
    <row r="352" spans="1:28">
      <c r="B352" t="s">
        <v>3045</v>
      </c>
      <c r="C352">
        <v>-9.43231441048034E-2</v>
      </c>
      <c r="D352">
        <v>-7.8602620087335803E-2</v>
      </c>
      <c r="E352">
        <v>-9.43231441048034E-2</v>
      </c>
      <c r="F352">
        <v>-7.8602620087335803E-2</v>
      </c>
      <c r="G352">
        <v>-9.43231441048034E-2</v>
      </c>
      <c r="H352">
        <v>-7.8602620087335803E-2</v>
      </c>
    </row>
    <row r="353" spans="1:11">
      <c r="B353" t="s">
        <v>2630</v>
      </c>
      <c r="C353">
        <f>SUM(C350:C352)</f>
        <v>1.2393013100436645</v>
      </c>
      <c r="D353">
        <f t="shared" ref="D353:H353" si="22">SUM(D350:D352)</f>
        <v>0.79912663755458424</v>
      </c>
      <c r="E353">
        <f t="shared" si="22"/>
        <v>1.2131004366812186</v>
      </c>
      <c r="F353">
        <f t="shared" si="22"/>
        <v>0.75196506550218323</v>
      </c>
      <c r="G353">
        <f t="shared" si="22"/>
        <v>1.3414847161572017</v>
      </c>
      <c r="H353">
        <f t="shared" si="22"/>
        <v>0.88558951965065424</v>
      </c>
    </row>
    <row r="356" spans="1:11">
      <c r="I356" s="238" t="s">
        <v>3046</v>
      </c>
      <c r="J356" s="238" t="s">
        <v>3047</v>
      </c>
      <c r="K356" s="238" t="s">
        <v>3048</v>
      </c>
    </row>
    <row r="357" spans="1:11">
      <c r="A357" t="s">
        <v>3049</v>
      </c>
      <c r="E357" s="254" t="s">
        <v>3050</v>
      </c>
      <c r="F357" t="s">
        <v>3051</v>
      </c>
      <c r="G357" t="s">
        <v>3052</v>
      </c>
      <c r="H357" t="s">
        <v>3053</v>
      </c>
      <c r="I357" t="s">
        <v>3047</v>
      </c>
      <c r="J357" t="s">
        <v>3046</v>
      </c>
      <c r="K357" t="s">
        <v>3054</v>
      </c>
    </row>
    <row r="358" spans="1:11">
      <c r="E358" s="254" t="s">
        <v>667</v>
      </c>
      <c r="G358">
        <v>3476</v>
      </c>
      <c r="H358">
        <v>497</v>
      </c>
      <c r="I358">
        <v>2927522</v>
      </c>
      <c r="J358">
        <v>1029876</v>
      </c>
      <c r="K358">
        <v>200</v>
      </c>
    </row>
    <row r="359" spans="1:11">
      <c r="E359" s="254" t="s">
        <v>1046</v>
      </c>
      <c r="F359" t="s">
        <v>346</v>
      </c>
      <c r="G359">
        <v>38.799999999999997</v>
      </c>
      <c r="H359">
        <v>2.9</v>
      </c>
      <c r="I359">
        <v>150784</v>
      </c>
      <c r="J359">
        <v>60125</v>
      </c>
      <c r="K359">
        <v>1.6</v>
      </c>
    </row>
    <row r="360" spans="1:11">
      <c r="E360" s="254" t="s">
        <v>3055</v>
      </c>
      <c r="F360" t="s">
        <v>346</v>
      </c>
      <c r="G360">
        <v>3.9</v>
      </c>
      <c r="H360">
        <v>0.1</v>
      </c>
      <c r="I360">
        <v>53000</v>
      </c>
      <c r="J360">
        <v>5160</v>
      </c>
      <c r="K360">
        <v>0.6</v>
      </c>
    </row>
    <row r="361" spans="1:11">
      <c r="E361" s="254" t="s">
        <v>3056</v>
      </c>
      <c r="F361" t="s">
        <v>346</v>
      </c>
      <c r="G361">
        <v>6.5</v>
      </c>
      <c r="H361">
        <v>0.4</v>
      </c>
      <c r="I361">
        <v>14868</v>
      </c>
      <c r="J361">
        <v>26306</v>
      </c>
      <c r="K361">
        <v>0.94</v>
      </c>
    </row>
    <row r="362" spans="1:11">
      <c r="E362" s="254" t="s">
        <v>260</v>
      </c>
      <c r="F362" t="s">
        <v>499</v>
      </c>
      <c r="G362">
        <v>1009</v>
      </c>
      <c r="H362">
        <v>67.7</v>
      </c>
      <c r="I362" t="s">
        <v>3057</v>
      </c>
      <c r="J362">
        <v>119193</v>
      </c>
      <c r="K362">
        <v>1541</v>
      </c>
    </row>
    <row r="363" spans="1:11">
      <c r="E363" s="254" t="s">
        <v>3058</v>
      </c>
      <c r="F363" t="s">
        <v>346</v>
      </c>
      <c r="G363">
        <v>3.5</v>
      </c>
      <c r="H363">
        <v>0.3</v>
      </c>
      <c r="I363">
        <v>168721</v>
      </c>
      <c r="J363">
        <v>15127</v>
      </c>
      <c r="K363">
        <v>0.14000000000000001</v>
      </c>
    </row>
    <row r="364" spans="1:11">
      <c r="E364" s="254" t="s">
        <v>3059</v>
      </c>
      <c r="F364" t="s">
        <v>346</v>
      </c>
      <c r="G364">
        <v>57.1</v>
      </c>
      <c r="H364">
        <v>3.8</v>
      </c>
      <c r="I364">
        <v>2923</v>
      </c>
      <c r="J364">
        <v>14210</v>
      </c>
      <c r="K364">
        <v>4.2</v>
      </c>
    </row>
    <row r="365" spans="1:11">
      <c r="E365" s="254" t="s">
        <v>3060</v>
      </c>
      <c r="F365" t="s">
        <v>3061</v>
      </c>
      <c r="G365">
        <v>12717</v>
      </c>
      <c r="H365">
        <v>696</v>
      </c>
      <c r="I365" t="s">
        <v>3057</v>
      </c>
      <c r="J365">
        <v>8552</v>
      </c>
      <c r="K365">
        <v>783</v>
      </c>
    </row>
    <row r="366" spans="1:11">
      <c r="E366" s="254" t="s">
        <v>3062</v>
      </c>
      <c r="F366" t="s">
        <v>346</v>
      </c>
      <c r="G366">
        <v>18.3</v>
      </c>
      <c r="H366">
        <v>1.6</v>
      </c>
      <c r="I366" t="s">
        <v>3057</v>
      </c>
      <c r="J366">
        <v>2924</v>
      </c>
      <c r="K366">
        <v>9.25</v>
      </c>
    </row>
    <row r="367" spans="1:11">
      <c r="I367" t="s">
        <v>812</v>
      </c>
      <c r="J367" t="s">
        <v>260</v>
      </c>
    </row>
    <row r="368" spans="1:11">
      <c r="D368" t="s">
        <v>3063</v>
      </c>
      <c r="F368" t="s">
        <v>346</v>
      </c>
      <c r="I368">
        <f>SUM(I362,I365,I366)</f>
        <v>0</v>
      </c>
      <c r="J368">
        <f>SUM(J362,J365,J366)</f>
        <v>130669</v>
      </c>
    </row>
  </sheetData>
  <mergeCells count="12">
    <mergeCell ref="B158:C158"/>
    <mergeCell ref="E158:F158"/>
    <mergeCell ref="F184:G184"/>
    <mergeCell ref="N194:P194"/>
    <mergeCell ref="Q194:S194"/>
    <mergeCell ref="C278:E281"/>
    <mergeCell ref="N203:P203"/>
    <mergeCell ref="Q203:S203"/>
    <mergeCell ref="D213:F213"/>
    <mergeCell ref="G213:I213"/>
    <mergeCell ref="N213:P213"/>
    <mergeCell ref="Q213:S213"/>
  </mergeCells>
  <pageMargins left="0.7" right="0.7" top="0.75" bottom="0.75" header="0.3" footer="0.3"/>
  <pageSetup paperSize="9"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3"/>
  <sheetViews>
    <sheetView workbookViewId="0">
      <selection activeCell="B1" sqref="B1"/>
    </sheetView>
  </sheetViews>
  <sheetFormatPr baseColWidth="10" defaultRowHeight="16"/>
  <cols>
    <col min="2" max="2" width="19.33203125" customWidth="1"/>
  </cols>
  <sheetData>
    <row r="1" spans="1:4">
      <c r="A1" t="s">
        <v>3064</v>
      </c>
      <c r="B1">
        <f>AVERAGE(Sheet1!CU:CU)</f>
        <v>-280.21514765658407</v>
      </c>
      <c r="C1">
        <f>STDEVA(Sheet1!$BY:$BY)</f>
        <v>4609.7398834323576</v>
      </c>
      <c r="D1" s="152">
        <v>3</v>
      </c>
    </row>
    <row r="2" spans="1:4">
      <c r="A2" t="s">
        <v>165</v>
      </c>
      <c r="B2">
        <f>AVERAGE(Sheet1!BU:BU)</f>
        <v>1.0417882393006659</v>
      </c>
      <c r="C2">
        <f>STDEVA(Sheet1!$BU:$BU)</f>
        <v>19.301262991441163</v>
      </c>
      <c r="D2" s="152"/>
    </row>
    <row r="3" spans="1:4">
      <c r="B3" t="s">
        <v>3065</v>
      </c>
      <c r="C3" t="s">
        <v>3066</v>
      </c>
      <c r="D3" t="s">
        <v>3067</v>
      </c>
    </row>
  </sheetData>
  <pageMargins left="0.7" right="0.7" top="0.75" bottom="0.75" header="0.3" footer="0.3"/>
  <pageSetup paperSize="9"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4"/>
  <sheetViews>
    <sheetView workbookViewId="0">
      <selection activeCell="A4" sqref="A4"/>
    </sheetView>
  </sheetViews>
  <sheetFormatPr baseColWidth="10" defaultRowHeight="16"/>
  <sheetData>
    <row r="1" spans="1:1">
      <c r="A1" t="s">
        <v>3068</v>
      </c>
    </row>
    <row r="2" spans="1:1">
      <c r="A2" t="s">
        <v>3069</v>
      </c>
    </row>
    <row r="3" spans="1:1">
      <c r="A3" t="s">
        <v>3070</v>
      </c>
    </row>
    <row r="4" spans="1:1">
      <c r="A4" t="s">
        <v>3071</v>
      </c>
    </row>
  </sheetData>
  <pageMargins left="0.7" right="0.7" top="0.75" bottom="0.75" header="0.3" footer="0.3"/>
  <pageSetup paperSize="9" orientation="portrai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9</vt:i4>
      </vt:variant>
      <vt:variant>
        <vt:lpstr>Named Ranges</vt:lpstr>
      </vt:variant>
      <vt:variant>
        <vt:i4>4</vt:i4>
      </vt:variant>
    </vt:vector>
  </HeadingPairs>
  <TitlesOfParts>
    <vt:vector size="13" baseType="lpstr">
      <vt:lpstr>Sheet1</vt:lpstr>
      <vt:lpstr>Sheet2</vt:lpstr>
      <vt:lpstr>Conversions</vt:lpstr>
      <vt:lpstr>Palette_in_use</vt:lpstr>
      <vt:lpstr>SL_Extractions_v5</vt:lpstr>
      <vt:lpstr>VB_Extractions_v5</vt:lpstr>
      <vt:lpstr>QC_Aude</vt:lpstr>
      <vt:lpstr>QC_indicators</vt:lpstr>
      <vt:lpstr>TO DO</vt:lpstr>
      <vt:lpstr>C_to_CO2</vt:lpstr>
      <vt:lpstr>kg_to_m3</vt:lpstr>
      <vt:lpstr>t_to_m3</vt:lpstr>
      <vt:lpstr>tC_to_m3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Aude Valade</cp:lastModifiedBy>
  <cp:revision>11</cp:revision>
  <dcterms:created xsi:type="dcterms:W3CDTF">2022-03-29T09:19:07Z</dcterms:created>
  <dcterms:modified xsi:type="dcterms:W3CDTF">2025-06-18T09:11:08Z</dcterms:modified>
</cp:coreProperties>
</file>